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showInkAnnotation="0" codeName="ThisWorkbook"/>
  <mc:AlternateContent xmlns:mc="http://schemas.openxmlformats.org/markup-compatibility/2006">
    <mc:Choice Requires="x15">
      <x15ac:absPath xmlns:x15ac="http://schemas.microsoft.com/office/spreadsheetml/2010/11/ac" url="https://netorgft5642038.sharepoint.com/sites/Projects/Shared Documents/Projects/Websites/Saint Lucia Economic and Social Review/"/>
    </mc:Choice>
  </mc:AlternateContent>
  <xr:revisionPtr revIDLastSave="22" documentId="11_C4D12DDD965DFDFC499F224F565E34E2AB4219DA" xr6:coauthVersionLast="47" xr6:coauthVersionMax="47" xr10:uidLastSave="{C580B81C-8CAF-4C15-9497-94C02CC52AFB}"/>
  <bookViews>
    <workbookView xWindow="-98" yWindow="-98" windowWidth="33795" windowHeight="18375" tabRatio="830" activeTab="1" xr2:uid="{00000000-000D-0000-FFFF-FFFF00000000}"/>
  </bookViews>
  <sheets>
    <sheet name="GDP  nominal prices" sheetId="255" r:id="rId1"/>
    <sheet name="Constant Prices" sheetId="256" r:id="rId2"/>
    <sheet name="GDP (CP) Rate of Growth" sheetId="187" r:id="rId3"/>
    <sheet name="Share of Total " sheetId="188" r:id="rId4"/>
    <sheet name="Visitor Statistics " sheetId="168" r:id="rId5"/>
    <sheet name="Janai's Blog Info" sheetId="352" r:id="rId6"/>
    <sheet name="Sheet1" sheetId="351" r:id="rId7"/>
    <sheet name="Visitor Category" sheetId="169" r:id="rId8"/>
    <sheet name="Arrivals By Origin" sheetId="170" r:id="rId9"/>
    <sheet name="Construction Imports" sheetId="335" r:id="rId10"/>
    <sheet name="Quarterly Banana Exports" sheetId="247" r:id="rId11"/>
    <sheet name="Supermarkets and Hotels " sheetId="147" r:id="rId12"/>
    <sheet name="Livestock" sheetId="191" r:id="rId13"/>
    <sheet name="Fisheries" sheetId="251" r:id="rId14"/>
    <sheet name="Manufacturing" sheetId="140" r:id="rId15"/>
    <sheet name="Cargo" sheetId="268" r:id="rId16"/>
    <sheet name="Air Traffic Stats" sheetId="348" r:id="rId17"/>
    <sheet name="Aircraft Movement" sheetId="41" r:id="rId18"/>
    <sheet name="Elec. Con. and Output" sheetId="184" r:id="rId19"/>
    <sheet name="Fuel Surcharge and Price" sheetId="25" r:id="rId20"/>
    <sheet name="Water Con. and Output" sheetId="225" r:id="rId21"/>
    <sheet name="CPI " sheetId="344" r:id="rId22"/>
    <sheet name="Category" sheetId="345" r:id="rId23"/>
    <sheet name="LF Indicators Summary " sheetId="261" r:id="rId24"/>
    <sheet name="Central Gov't Fiscal Operations" sheetId="175" r:id="rId25"/>
    <sheet name="Gov't fiscal operations to GDP" sheetId="176" r:id="rId26"/>
    <sheet name="Central Gov't Revenue" sheetId="177" r:id="rId27"/>
    <sheet name="Central Gov't Expenditure" sheetId="178" r:id="rId28"/>
    <sheet name="Debt Summary" sheetId="286" r:id="rId29"/>
    <sheet name="Debt By Holder " sheetId="287" r:id="rId30"/>
    <sheet name="Debt term instrument" sheetId="288" r:id="rId31"/>
    <sheet name="Domestic Debt" sheetId="321" r:id="rId32"/>
    <sheet name="Domestic Debt (B)" sheetId="322" r:id="rId33"/>
    <sheet name="Domestic Debt (C)" sheetId="323" r:id="rId34"/>
    <sheet name=" External Debt" sheetId="292" r:id="rId35"/>
    <sheet name=" External Debt (E)" sheetId="293" r:id="rId36"/>
    <sheet name="External Debt Cont'd" sheetId="294" r:id="rId37"/>
    <sheet name="External Debt Cont'd (2)" sheetId="350" r:id="rId38"/>
    <sheet name="External Debt Cont'd 2" sheetId="295" r:id="rId39"/>
    <sheet name="External Debt Cont'd 3" sheetId="296" r:id="rId40"/>
    <sheet name="External Debt Cont'd 3 (2)" sheetId="325" r:id="rId41"/>
    <sheet name="Debt Creditor" sheetId="297" r:id="rId42"/>
    <sheet name="Debt Sectoral" sheetId="298" r:id="rId43"/>
    <sheet name="Credit By Sector" sheetId="276" state="hidden" r:id="rId44"/>
    <sheet name="DetailedMonSurvey43A-Yearly" sheetId="331" r:id="rId45"/>
    <sheet name="DetailedMonSurvey43B-Yearly" sheetId="332" r:id="rId46"/>
    <sheet name="DetailedMonSurvey43C-Yearly" sheetId="333" r:id="rId47"/>
    <sheet name="Detailed MonSurvey43D-Yearly" sheetId="334" r:id="rId48"/>
    <sheet name="Summarised Monetary Survey" sheetId="338" r:id="rId49"/>
    <sheet name="Supp A - Total Deposits" sheetId="300" r:id="rId50"/>
    <sheet name="Assets and Liabilities" sheetId="304" r:id="rId51"/>
    <sheet name="Liquidity Ratios-Yrly" sheetId="327" r:id="rId52"/>
    <sheet name="Interest Rates-Yrly" sheetId="328" r:id="rId53"/>
    <sheet name="Loans by Economic Sector-Yearly" sheetId="326" r:id="rId54"/>
    <sheet name="Imputed Reserves A-Yearly" sheetId="329" r:id="rId55"/>
    <sheet name="Imputed Reserves B-Yearly" sheetId="330" r:id="rId56"/>
    <sheet name="Import by Economic Function" sheetId="339" r:id="rId57"/>
    <sheet name="Import  % total &amp; change new" sheetId="340" r:id="rId58"/>
    <sheet name=" Exports new" sheetId="341" r:id="rId59"/>
    <sheet name="Export % total &amp; change new" sheetId="342" r:id="rId60"/>
    <sheet name="Total exports and re-export " sheetId="343" r:id="rId61"/>
    <sheet name="Analysis of primary schools (2" sheetId="264" r:id="rId62"/>
    <sheet name="analysis of seconday school (2" sheetId="265" r:id="rId63"/>
    <sheet name="cambridge advance level edu (2" sheetId="26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s>
  <definedNames>
    <definedName name="\A" localSheetId="34">#REF!</definedName>
    <definedName name="\A" localSheetId="35">#REF!</definedName>
    <definedName name="\A" localSheetId="50">#REF!</definedName>
    <definedName name="\A" localSheetId="15">#REF!</definedName>
    <definedName name="\A" localSheetId="27">#REF!</definedName>
    <definedName name="\A" localSheetId="24">#REF!</definedName>
    <definedName name="\A" localSheetId="26">#REF!</definedName>
    <definedName name="\A" localSheetId="29">#REF!</definedName>
    <definedName name="\A" localSheetId="30">#REF!</definedName>
    <definedName name="\A" localSheetId="47">#REF!</definedName>
    <definedName name="\A" localSheetId="44">#REF!</definedName>
    <definedName name="\A" localSheetId="45">#REF!</definedName>
    <definedName name="\A" localSheetId="46">#REF!</definedName>
    <definedName name="\A" localSheetId="31">#REF!</definedName>
    <definedName name="\A" localSheetId="32">#REF!</definedName>
    <definedName name="\A" localSheetId="33">#REF!</definedName>
    <definedName name="\A" localSheetId="36">#REF!</definedName>
    <definedName name="\A" localSheetId="37">#REF!</definedName>
    <definedName name="\A" localSheetId="38">#REF!</definedName>
    <definedName name="\A" localSheetId="39">#REF!</definedName>
    <definedName name="\A" localSheetId="40">#REF!</definedName>
    <definedName name="\A" localSheetId="25">#REF!</definedName>
    <definedName name="\A" localSheetId="54">#REF!</definedName>
    <definedName name="\A" localSheetId="55">#REF!</definedName>
    <definedName name="\A" localSheetId="52">#REF!</definedName>
    <definedName name="\A" localSheetId="23">#REF!</definedName>
    <definedName name="\A" localSheetId="51">#REF!</definedName>
    <definedName name="\A" localSheetId="12">#REF!</definedName>
    <definedName name="\A" localSheetId="53">#REF!</definedName>
    <definedName name="\A" localSheetId="49">#REF!</definedName>
    <definedName name="\A" localSheetId="60">#REF!</definedName>
    <definedName name="\A" localSheetId="20">#REF!</definedName>
    <definedName name="\A">#REF!</definedName>
    <definedName name="\B" localSheetId="34">#REF!</definedName>
    <definedName name="\B" localSheetId="35">#REF!</definedName>
    <definedName name="\B" localSheetId="50">#REF!</definedName>
    <definedName name="\B" localSheetId="15">#REF!</definedName>
    <definedName name="\B" localSheetId="27">#REF!</definedName>
    <definedName name="\B" localSheetId="24">#REF!</definedName>
    <definedName name="\B" localSheetId="26">#REF!</definedName>
    <definedName name="\B" localSheetId="29">#REF!</definedName>
    <definedName name="\B" localSheetId="30">#REF!</definedName>
    <definedName name="\B" localSheetId="47">#REF!</definedName>
    <definedName name="\B" localSheetId="44">#REF!</definedName>
    <definedName name="\B" localSheetId="45">#REF!</definedName>
    <definedName name="\B" localSheetId="46">#REF!</definedName>
    <definedName name="\B" localSheetId="31">#REF!</definedName>
    <definedName name="\B" localSheetId="32">#REF!</definedName>
    <definedName name="\B" localSheetId="33">#REF!</definedName>
    <definedName name="\B" localSheetId="36">#REF!</definedName>
    <definedName name="\B" localSheetId="37">#REF!</definedName>
    <definedName name="\B" localSheetId="38">#REF!</definedName>
    <definedName name="\B" localSheetId="39">#REF!</definedName>
    <definedName name="\B" localSheetId="40">#REF!</definedName>
    <definedName name="\B" localSheetId="25">#REF!</definedName>
    <definedName name="\B" localSheetId="54">#REF!</definedName>
    <definedName name="\B" localSheetId="55">#REF!</definedName>
    <definedName name="\B" localSheetId="52">#REF!</definedName>
    <definedName name="\B" localSheetId="23">#REF!</definedName>
    <definedName name="\B" localSheetId="51">#REF!</definedName>
    <definedName name="\B" localSheetId="12">#REF!</definedName>
    <definedName name="\B" localSheetId="53">#REF!</definedName>
    <definedName name="\B" localSheetId="60">#REF!</definedName>
    <definedName name="\B" localSheetId="20">#REF!</definedName>
    <definedName name="\B">#REF!</definedName>
    <definedName name="\C" localSheetId="58">[1]MS!#REF!</definedName>
    <definedName name="\C" localSheetId="34">[1]MS!#REF!</definedName>
    <definedName name="\C" localSheetId="35">[1]MS!#REF!</definedName>
    <definedName name="\C" localSheetId="50">'[2]General Instructions'!#REF!</definedName>
    <definedName name="\C" localSheetId="15">[1]MS!#REF!</definedName>
    <definedName name="\C" localSheetId="27">[1]MS!#REF!</definedName>
    <definedName name="\C" localSheetId="24">[1]MS!#REF!</definedName>
    <definedName name="\C" localSheetId="26">[1]MS!#REF!</definedName>
    <definedName name="\C" localSheetId="43">[1]MS!#REF!</definedName>
    <definedName name="\C" localSheetId="29">[1]MS!#REF!</definedName>
    <definedName name="\C" localSheetId="30">[1]MS!#REF!</definedName>
    <definedName name="\C" localSheetId="47">[1]MS!#REF!</definedName>
    <definedName name="\C" localSheetId="44">'[2]General Instructions'!#REF!</definedName>
    <definedName name="\C" localSheetId="45">[1]MS!#REF!</definedName>
    <definedName name="\C" localSheetId="46">[1]MS!#REF!</definedName>
    <definedName name="\C" localSheetId="31">[1]MS!#REF!</definedName>
    <definedName name="\C" localSheetId="32">[1]MS!#REF!</definedName>
    <definedName name="\C" localSheetId="33">[1]MS!#REF!</definedName>
    <definedName name="\C" localSheetId="59">[1]MS!#REF!</definedName>
    <definedName name="\C" localSheetId="36">[1]MS!#REF!</definedName>
    <definedName name="\C" localSheetId="37">[1]MS!#REF!</definedName>
    <definedName name="\C" localSheetId="38">[1]MS!#REF!</definedName>
    <definedName name="\C" localSheetId="39">[1]MS!#REF!</definedName>
    <definedName name="\C" localSheetId="40">[1]MS!#REF!</definedName>
    <definedName name="\C" localSheetId="25">[1]MS!#REF!</definedName>
    <definedName name="\C" localSheetId="54">[1]MS!#REF!</definedName>
    <definedName name="\C" localSheetId="55">[1]MS!#REF!</definedName>
    <definedName name="\C" localSheetId="52">'[2]General Instructions'!#REF!</definedName>
    <definedName name="\C" localSheetId="23">[1]MS!#REF!</definedName>
    <definedName name="\C" localSheetId="51">'[2]General Instructions'!#REF!</definedName>
    <definedName name="\C" localSheetId="12">[1]MS!#REF!</definedName>
    <definedName name="\C" localSheetId="53">'[2]General Instructions'!#REF!</definedName>
    <definedName name="\C" localSheetId="49">'[2]General Instructions'!#REF!</definedName>
    <definedName name="\C" localSheetId="60">[1]MS!#REF!</definedName>
    <definedName name="\C" localSheetId="20">[1]MS!#REF!</definedName>
    <definedName name="\C">[1]MS!#REF!</definedName>
    <definedName name="\D" localSheetId="58">'[3]Public Debt; holder &amp; Terms'!#REF!</definedName>
    <definedName name="\D" localSheetId="34">'[4]Public Debt; holder &amp; Terms'!#REF!</definedName>
    <definedName name="\D" localSheetId="35">'[4]Public Debt; holder &amp; Terms'!#REF!</definedName>
    <definedName name="\D" localSheetId="50">#REF!</definedName>
    <definedName name="\D" localSheetId="15">'[3]Public Debt; holder &amp; Terms'!#REF!</definedName>
    <definedName name="\D" localSheetId="27">'[3]Public Debt; holder &amp; Terms'!#REF!</definedName>
    <definedName name="\D" localSheetId="24">'[3]Public Debt; holder &amp; Terms'!#REF!</definedName>
    <definedName name="\D" localSheetId="26">'[3]Public Debt; holder &amp; Terms'!#REF!</definedName>
    <definedName name="\D" localSheetId="43">'[3]Public Debt; holder &amp; Terms'!#REF!</definedName>
    <definedName name="\D" localSheetId="29">'[5]Public Debt; holder &amp; Terms'!#REF!</definedName>
    <definedName name="\D" localSheetId="41">'[4]Public Debt; holder &amp; Terms'!#REF!</definedName>
    <definedName name="\D" localSheetId="42">'[6]Public Debt; holder &amp; Terms'!#REF!</definedName>
    <definedName name="\D" localSheetId="30">'[5]Public Debt; holder &amp; Terms'!#REF!</definedName>
    <definedName name="\D" localSheetId="47">'[3]Public Debt; holder &amp; Terms'!#REF!</definedName>
    <definedName name="\D" localSheetId="44">#REF!</definedName>
    <definedName name="\D" localSheetId="45">'[3]Public Debt; holder &amp; Terms'!#REF!</definedName>
    <definedName name="\D" localSheetId="46">'[3]Public Debt; holder &amp; Terms'!#REF!</definedName>
    <definedName name="\D" localSheetId="31">'[4]Public Debt; holder &amp; Terms'!#REF!</definedName>
    <definedName name="\D" localSheetId="32">'[4]Public Debt; holder &amp; Terms'!#REF!</definedName>
    <definedName name="\D" localSheetId="33">'[4]Public Debt; holder &amp; Terms'!#REF!</definedName>
    <definedName name="\D" localSheetId="59">'[3]Public Debt; holder &amp; Terms'!#REF!</definedName>
    <definedName name="\D" localSheetId="36">'[4]Public Debt; holder &amp; Terms'!#REF!</definedName>
    <definedName name="\D" localSheetId="37">'[4]Public Debt; holder &amp; Terms'!#REF!</definedName>
    <definedName name="\D" localSheetId="38">'[4]Public Debt; holder &amp; Terms'!#REF!</definedName>
    <definedName name="\D" localSheetId="39">'[4]Public Debt; holder &amp; Terms'!#REF!</definedName>
    <definedName name="\D" localSheetId="40">'[4]Public Debt; holder &amp; Terms'!#REF!</definedName>
    <definedName name="\D" localSheetId="25">'[3]Public Debt; holder &amp; Terms'!#REF!</definedName>
    <definedName name="\D" localSheetId="54">#REF!</definedName>
    <definedName name="\D" localSheetId="55">'[3]Public Debt; holder &amp; Terms'!#REF!</definedName>
    <definedName name="\D" localSheetId="52">#REF!</definedName>
    <definedName name="\D" localSheetId="23">'[3]Public Debt; holder &amp; Terms'!#REF!</definedName>
    <definedName name="\D" localSheetId="51">#REF!</definedName>
    <definedName name="\D" localSheetId="12">'[3]Public Debt; holder &amp; Terms'!#REF!</definedName>
    <definedName name="\D" localSheetId="53">#REF!</definedName>
    <definedName name="\D" localSheetId="49">#REF!</definedName>
    <definedName name="\D" localSheetId="60">#REF!</definedName>
    <definedName name="\D" localSheetId="20">'[3]Public Debt; holder &amp; Terms'!#REF!</definedName>
    <definedName name="\D">'[3]Public Debt; holder &amp; Terms'!#REF!</definedName>
    <definedName name="\e" localSheetId="58">'[7]Public Debt; holder &amp; Terms'!#REF!</definedName>
    <definedName name="\e" localSheetId="34">'[7]Public Debt; holder &amp; Terms'!#REF!</definedName>
    <definedName name="\e" localSheetId="35">'[7]Public Debt; holder &amp; Terms'!#REF!</definedName>
    <definedName name="\E" localSheetId="50">#REF!</definedName>
    <definedName name="\e" localSheetId="15">'[7]Public Debt; holder &amp; Terms'!#REF!</definedName>
    <definedName name="\e" localSheetId="27">'[7]Public Debt; holder &amp; Terms'!#REF!</definedName>
    <definedName name="\e" localSheetId="24">'[7]Public Debt; holder &amp; Terms'!#REF!</definedName>
    <definedName name="\e" localSheetId="26">'[7]Public Debt; holder &amp; Terms'!#REF!</definedName>
    <definedName name="\e" localSheetId="43">'[7]Public Debt; holder &amp; Terms'!#REF!</definedName>
    <definedName name="\e" localSheetId="29">'[7]Public Debt; holder &amp; Terms'!#REF!</definedName>
    <definedName name="\e" localSheetId="30">'[7]Public Debt; holder &amp; Terms'!#REF!</definedName>
    <definedName name="\e" localSheetId="47">'[7]Public Debt; holder &amp; Terms'!#REF!</definedName>
    <definedName name="\E" localSheetId="44">#REF!</definedName>
    <definedName name="\e" localSheetId="45">'[7]Public Debt; holder &amp; Terms'!#REF!</definedName>
    <definedName name="\e" localSheetId="46">'[7]Public Debt; holder &amp; Terms'!#REF!</definedName>
    <definedName name="\e" localSheetId="31">'[7]Public Debt; holder &amp; Terms'!#REF!</definedName>
    <definedName name="\e" localSheetId="32">'[7]Public Debt; holder &amp; Terms'!#REF!</definedName>
    <definedName name="\e" localSheetId="33">'[7]Public Debt; holder &amp; Terms'!#REF!</definedName>
    <definedName name="\e" localSheetId="59">'[7]Public Debt; holder &amp; Terms'!#REF!</definedName>
    <definedName name="\e" localSheetId="36">'[7]Public Debt; holder &amp; Terms'!#REF!</definedName>
    <definedName name="\e" localSheetId="37">'[7]Public Debt; holder &amp; Terms'!#REF!</definedName>
    <definedName name="\e" localSheetId="38">'[7]Public Debt; holder &amp; Terms'!#REF!</definedName>
    <definedName name="\e" localSheetId="39">'[7]Public Debt; holder &amp; Terms'!#REF!</definedName>
    <definedName name="\e" localSheetId="40">'[7]Public Debt; holder &amp; Terms'!#REF!</definedName>
    <definedName name="\e" localSheetId="25">'[7]Public Debt; holder &amp; Terms'!#REF!</definedName>
    <definedName name="\E" localSheetId="54">#REF!</definedName>
    <definedName name="\e" localSheetId="55">'[7]Public Debt; holder &amp; Terms'!#REF!</definedName>
    <definedName name="\E" localSheetId="52">#REF!</definedName>
    <definedName name="\e" localSheetId="23">'[7]Public Debt; holder &amp; Terms'!#REF!</definedName>
    <definedName name="\E" localSheetId="51">#REF!</definedName>
    <definedName name="\e" localSheetId="12">'[7]Public Debt; holder &amp; Terms'!#REF!</definedName>
    <definedName name="\E" localSheetId="53">#REF!</definedName>
    <definedName name="\e" localSheetId="60">'[7]Public Debt; holder &amp; Terms'!#REF!</definedName>
    <definedName name="\e" localSheetId="20">'[7]Public Debt; holder &amp; Terms'!#REF!</definedName>
    <definedName name="\e">'[7]Public Debt; holder &amp; Terms'!#REF!</definedName>
    <definedName name="\F" localSheetId="58">[1]MS!#REF!</definedName>
    <definedName name="\F" localSheetId="34">[1]MS!#REF!</definedName>
    <definedName name="\F" localSheetId="35">[1]MS!#REF!</definedName>
    <definedName name="\F" localSheetId="50">'[2]General Instructions'!#REF!</definedName>
    <definedName name="\F" localSheetId="15">[1]MS!#REF!</definedName>
    <definedName name="\F" localSheetId="27">[1]MS!#REF!</definedName>
    <definedName name="\F" localSheetId="24">[1]MS!#REF!</definedName>
    <definedName name="\F" localSheetId="26">[1]MS!#REF!</definedName>
    <definedName name="\F" localSheetId="43">[1]MS!#REF!</definedName>
    <definedName name="\F" localSheetId="29">[1]MS!#REF!</definedName>
    <definedName name="\F" localSheetId="30">[1]MS!#REF!</definedName>
    <definedName name="\F" localSheetId="47">[1]MS!#REF!</definedName>
    <definedName name="\F" localSheetId="44">'[2]General Instructions'!#REF!</definedName>
    <definedName name="\F" localSheetId="45">[1]MS!#REF!</definedName>
    <definedName name="\F" localSheetId="46">[1]MS!#REF!</definedName>
    <definedName name="\F" localSheetId="31">[1]MS!#REF!</definedName>
    <definedName name="\F" localSheetId="32">[1]MS!#REF!</definedName>
    <definedName name="\F" localSheetId="33">[1]MS!#REF!</definedName>
    <definedName name="\F" localSheetId="59">[1]MS!#REF!</definedName>
    <definedName name="\F" localSheetId="36">[1]MS!#REF!</definedName>
    <definedName name="\F" localSheetId="37">[1]MS!#REF!</definedName>
    <definedName name="\F" localSheetId="38">[1]MS!#REF!</definedName>
    <definedName name="\F" localSheetId="39">[1]MS!#REF!</definedName>
    <definedName name="\F" localSheetId="40">[1]MS!#REF!</definedName>
    <definedName name="\F" localSheetId="25">[1]MS!#REF!</definedName>
    <definedName name="\F" localSheetId="54">[1]MS!#REF!</definedName>
    <definedName name="\F" localSheetId="55">[1]MS!#REF!</definedName>
    <definedName name="\F" localSheetId="52">'[2]General Instructions'!#REF!</definedName>
    <definedName name="\F" localSheetId="23">[1]MS!#REF!</definedName>
    <definedName name="\F" localSheetId="51">'[2]General Instructions'!#REF!</definedName>
    <definedName name="\F" localSheetId="12">[1]MS!#REF!</definedName>
    <definedName name="\F" localSheetId="53">'[2]General Instructions'!#REF!</definedName>
    <definedName name="\F" localSheetId="49">'[2]General Instructions'!#REF!</definedName>
    <definedName name="\F" localSheetId="60">[1]MS!#REF!</definedName>
    <definedName name="\F" localSheetId="20">[1]MS!#REF!</definedName>
    <definedName name="\F">[1]MS!#REF!</definedName>
    <definedName name="\G" localSheetId="58">[1]MS!#REF!</definedName>
    <definedName name="\G" localSheetId="34">[1]MS!#REF!</definedName>
    <definedName name="\G" localSheetId="35">[1]MS!#REF!</definedName>
    <definedName name="\G" localSheetId="50">'[2]General Instructions'!#REF!</definedName>
    <definedName name="\G" localSheetId="15">[1]MS!#REF!</definedName>
    <definedName name="\G" localSheetId="27">[1]MS!#REF!</definedName>
    <definedName name="\G" localSheetId="24">[1]MS!#REF!</definedName>
    <definedName name="\G" localSheetId="26">[1]MS!#REF!</definedName>
    <definedName name="\G" localSheetId="43">[1]MS!#REF!</definedName>
    <definedName name="\G" localSheetId="29">[1]MS!#REF!</definedName>
    <definedName name="\G" localSheetId="30">[1]MS!#REF!</definedName>
    <definedName name="\G" localSheetId="47">[1]MS!#REF!</definedName>
    <definedName name="\G" localSheetId="44">'[2]General Instructions'!#REF!</definedName>
    <definedName name="\G" localSheetId="45">[1]MS!#REF!</definedName>
    <definedName name="\G" localSheetId="46">[1]MS!#REF!</definedName>
    <definedName name="\G" localSheetId="31">[1]MS!#REF!</definedName>
    <definedName name="\G" localSheetId="32">[1]MS!#REF!</definedName>
    <definedName name="\G" localSheetId="33">[1]MS!#REF!</definedName>
    <definedName name="\G" localSheetId="59">[1]MS!#REF!</definedName>
    <definedName name="\G" localSheetId="36">[1]MS!#REF!</definedName>
    <definedName name="\G" localSheetId="37">[1]MS!#REF!</definedName>
    <definedName name="\G" localSheetId="38">[1]MS!#REF!</definedName>
    <definedName name="\G" localSheetId="39">[1]MS!#REF!</definedName>
    <definedName name="\G" localSheetId="40">[1]MS!#REF!</definedName>
    <definedName name="\G" localSheetId="25">[1]MS!#REF!</definedName>
    <definedName name="\G" localSheetId="54">[1]MS!#REF!</definedName>
    <definedName name="\G" localSheetId="55">[1]MS!#REF!</definedName>
    <definedName name="\G" localSheetId="52">'[2]General Instructions'!#REF!</definedName>
    <definedName name="\G" localSheetId="23">[1]MS!#REF!</definedName>
    <definedName name="\G" localSheetId="51">'[2]General Instructions'!#REF!</definedName>
    <definedName name="\G" localSheetId="12">[1]MS!#REF!</definedName>
    <definedName name="\G" localSheetId="53">'[2]General Instructions'!#REF!</definedName>
    <definedName name="\G" localSheetId="49">'[2]General Instructions'!#REF!</definedName>
    <definedName name="\G" localSheetId="60">[1]MS!#REF!</definedName>
    <definedName name="\G" localSheetId="20">[1]MS!#REF!</definedName>
    <definedName name="\G">[1]MS!#REF!</definedName>
    <definedName name="\H" localSheetId="34">#REF!</definedName>
    <definedName name="\H" localSheetId="35">#REF!</definedName>
    <definedName name="\H" localSheetId="50">#REF!</definedName>
    <definedName name="\H" localSheetId="15">#REF!</definedName>
    <definedName name="\H" localSheetId="29">#REF!</definedName>
    <definedName name="\H" localSheetId="30">#REF!</definedName>
    <definedName name="\H" localSheetId="47">#REF!</definedName>
    <definedName name="\H" localSheetId="44">#REF!</definedName>
    <definedName name="\H" localSheetId="45">#REF!</definedName>
    <definedName name="\H" localSheetId="46">#REF!</definedName>
    <definedName name="\H" localSheetId="31">#REF!</definedName>
    <definedName name="\H" localSheetId="32">#REF!</definedName>
    <definedName name="\H" localSheetId="33">#REF!</definedName>
    <definedName name="\H" localSheetId="36">#REF!</definedName>
    <definedName name="\H" localSheetId="37">#REF!</definedName>
    <definedName name="\H" localSheetId="38">#REF!</definedName>
    <definedName name="\H" localSheetId="39">#REF!</definedName>
    <definedName name="\H" localSheetId="40">#REF!</definedName>
    <definedName name="\H" localSheetId="54">#REF!</definedName>
    <definedName name="\H" localSheetId="55">#REF!</definedName>
    <definedName name="\H" localSheetId="52">#REF!</definedName>
    <definedName name="\H" localSheetId="23">#REF!</definedName>
    <definedName name="\H" localSheetId="51">#REF!</definedName>
    <definedName name="\H" localSheetId="53">#REF!</definedName>
    <definedName name="\H" localSheetId="20">#REF!</definedName>
    <definedName name="\H">#REF!</definedName>
    <definedName name="\I" localSheetId="34">#REF!</definedName>
    <definedName name="\I" localSheetId="35">#REF!</definedName>
    <definedName name="\I" localSheetId="50">#REF!</definedName>
    <definedName name="\I" localSheetId="15">#REF!</definedName>
    <definedName name="\I" localSheetId="29">#REF!</definedName>
    <definedName name="\I" localSheetId="30">#REF!</definedName>
    <definedName name="\I" localSheetId="47">#REF!</definedName>
    <definedName name="\I" localSheetId="44">#REF!</definedName>
    <definedName name="\I" localSheetId="45">#REF!</definedName>
    <definedName name="\I" localSheetId="46">#REF!</definedName>
    <definedName name="\I" localSheetId="31">#REF!</definedName>
    <definedName name="\I" localSheetId="32">#REF!</definedName>
    <definedName name="\I" localSheetId="33">#REF!</definedName>
    <definedName name="\I" localSheetId="36">#REF!</definedName>
    <definedName name="\I" localSheetId="37">#REF!</definedName>
    <definedName name="\I" localSheetId="38">#REF!</definedName>
    <definedName name="\I" localSheetId="39">#REF!</definedName>
    <definedName name="\I" localSheetId="40">#REF!</definedName>
    <definedName name="\I" localSheetId="54">#REF!</definedName>
    <definedName name="\I" localSheetId="55">#REF!</definedName>
    <definedName name="\I" localSheetId="52">#REF!</definedName>
    <definedName name="\I" localSheetId="23">#REF!</definedName>
    <definedName name="\I" localSheetId="51">#REF!</definedName>
    <definedName name="\I" localSheetId="53">#REF!</definedName>
    <definedName name="\I" localSheetId="20">#REF!</definedName>
    <definedName name="\I">#REF!</definedName>
    <definedName name="\J" localSheetId="34">#REF!</definedName>
    <definedName name="\J" localSheetId="35">#REF!</definedName>
    <definedName name="\J" localSheetId="50">#REF!</definedName>
    <definedName name="\J" localSheetId="15">#REF!</definedName>
    <definedName name="\J" localSheetId="29">#REF!</definedName>
    <definedName name="\J" localSheetId="30">#REF!</definedName>
    <definedName name="\J" localSheetId="47">#REF!</definedName>
    <definedName name="\J" localSheetId="44">#REF!</definedName>
    <definedName name="\J" localSheetId="45">#REF!</definedName>
    <definedName name="\J" localSheetId="46">#REF!</definedName>
    <definedName name="\J" localSheetId="31">#REF!</definedName>
    <definedName name="\J" localSheetId="32">#REF!</definedName>
    <definedName name="\J" localSheetId="33">#REF!</definedName>
    <definedName name="\J" localSheetId="36">#REF!</definedName>
    <definedName name="\J" localSheetId="37">#REF!</definedName>
    <definedName name="\J" localSheetId="38">#REF!</definedName>
    <definedName name="\J" localSheetId="39">#REF!</definedName>
    <definedName name="\J" localSheetId="40">#REF!</definedName>
    <definedName name="\J" localSheetId="54">#REF!</definedName>
    <definedName name="\J" localSheetId="55">#REF!</definedName>
    <definedName name="\J" localSheetId="52">#REF!</definedName>
    <definedName name="\J" localSheetId="23">#REF!</definedName>
    <definedName name="\J" localSheetId="51">#REF!</definedName>
    <definedName name="\J" localSheetId="53">#REF!</definedName>
    <definedName name="\J" localSheetId="20">#REF!</definedName>
    <definedName name="\J">#REF!</definedName>
    <definedName name="\K" localSheetId="34">#REF!</definedName>
    <definedName name="\K" localSheetId="35">#REF!</definedName>
    <definedName name="\K" localSheetId="50">#REF!</definedName>
    <definedName name="\K" localSheetId="15">#REF!</definedName>
    <definedName name="\K" localSheetId="29">#REF!</definedName>
    <definedName name="\K" localSheetId="30">#REF!</definedName>
    <definedName name="\K" localSheetId="47">#REF!</definedName>
    <definedName name="\K" localSheetId="44">#REF!</definedName>
    <definedName name="\K" localSheetId="45">#REF!</definedName>
    <definedName name="\K" localSheetId="46">#REF!</definedName>
    <definedName name="\K" localSheetId="31">#REF!</definedName>
    <definedName name="\K" localSheetId="32">#REF!</definedName>
    <definedName name="\K" localSheetId="33">#REF!</definedName>
    <definedName name="\K" localSheetId="36">#REF!</definedName>
    <definedName name="\K" localSheetId="37">#REF!</definedName>
    <definedName name="\K" localSheetId="38">#REF!</definedName>
    <definedName name="\K" localSheetId="39">#REF!</definedName>
    <definedName name="\K" localSheetId="40">#REF!</definedName>
    <definedName name="\K" localSheetId="54">#REF!</definedName>
    <definedName name="\K" localSheetId="55">#REF!</definedName>
    <definedName name="\K" localSheetId="52">#REF!</definedName>
    <definedName name="\K" localSheetId="23">#REF!</definedName>
    <definedName name="\K" localSheetId="51">#REF!</definedName>
    <definedName name="\K" localSheetId="53">#REF!</definedName>
    <definedName name="\K" localSheetId="20">#REF!</definedName>
    <definedName name="\K">#REF!</definedName>
    <definedName name="\L" localSheetId="34">#REF!</definedName>
    <definedName name="\L" localSheetId="35">#REF!</definedName>
    <definedName name="\L" localSheetId="50">#REF!</definedName>
    <definedName name="\L" localSheetId="15">#REF!</definedName>
    <definedName name="\L" localSheetId="29">#REF!</definedName>
    <definedName name="\L" localSheetId="30">#REF!</definedName>
    <definedName name="\L" localSheetId="47">#REF!</definedName>
    <definedName name="\L" localSheetId="44">#REF!</definedName>
    <definedName name="\L" localSheetId="45">#REF!</definedName>
    <definedName name="\L" localSheetId="46">#REF!</definedName>
    <definedName name="\L" localSheetId="31">#REF!</definedName>
    <definedName name="\L" localSheetId="32">#REF!</definedName>
    <definedName name="\L" localSheetId="33">#REF!</definedName>
    <definedName name="\L" localSheetId="36">#REF!</definedName>
    <definedName name="\L" localSheetId="37">#REF!</definedName>
    <definedName name="\L" localSheetId="38">#REF!</definedName>
    <definedName name="\L" localSheetId="39">#REF!</definedName>
    <definedName name="\L" localSheetId="40">#REF!</definedName>
    <definedName name="\L" localSheetId="54">#REF!</definedName>
    <definedName name="\L" localSheetId="55">#REF!</definedName>
    <definedName name="\L" localSheetId="52">#REF!</definedName>
    <definedName name="\L" localSheetId="23">#REF!</definedName>
    <definedName name="\L" localSheetId="51">#REF!</definedName>
    <definedName name="\L" localSheetId="53">#REF!</definedName>
    <definedName name="\L" localSheetId="20">#REF!</definedName>
    <definedName name="\L">#REF!</definedName>
    <definedName name="\M" localSheetId="58">[1]MS!#REF!</definedName>
    <definedName name="\M" localSheetId="34">[1]MS!#REF!</definedName>
    <definedName name="\M" localSheetId="35">[1]MS!#REF!</definedName>
    <definedName name="\M" localSheetId="50">'[2]General Instructions'!#REF!</definedName>
    <definedName name="\M" localSheetId="15">[1]MS!#REF!</definedName>
    <definedName name="\M" localSheetId="27">[1]MS!#REF!</definedName>
    <definedName name="\M" localSheetId="24">[1]MS!#REF!</definedName>
    <definedName name="\M" localSheetId="26">[1]MS!#REF!</definedName>
    <definedName name="\M" localSheetId="43">[1]MS!#REF!</definedName>
    <definedName name="\M" localSheetId="29">[1]MS!#REF!</definedName>
    <definedName name="\M" localSheetId="30">[1]MS!#REF!</definedName>
    <definedName name="\M" localSheetId="47">[1]MS!#REF!</definedName>
    <definedName name="\M" localSheetId="44">'[2]General Instructions'!#REF!</definedName>
    <definedName name="\M" localSheetId="45">[1]MS!#REF!</definedName>
    <definedName name="\M" localSheetId="46">[1]MS!#REF!</definedName>
    <definedName name="\M" localSheetId="31">[1]MS!#REF!</definedName>
    <definedName name="\M" localSheetId="32">[1]MS!#REF!</definedName>
    <definedName name="\M" localSheetId="33">[1]MS!#REF!</definedName>
    <definedName name="\M" localSheetId="59">[1]MS!#REF!</definedName>
    <definedName name="\M" localSheetId="36">[1]MS!#REF!</definedName>
    <definedName name="\M" localSheetId="37">[1]MS!#REF!</definedName>
    <definedName name="\M" localSheetId="38">[1]MS!#REF!</definedName>
    <definedName name="\M" localSheetId="39">[1]MS!#REF!</definedName>
    <definedName name="\M" localSheetId="40">[1]MS!#REF!</definedName>
    <definedName name="\M" localSheetId="25">[1]MS!#REF!</definedName>
    <definedName name="\M" localSheetId="54">[1]MS!#REF!</definedName>
    <definedName name="\M" localSheetId="55">[1]MS!#REF!</definedName>
    <definedName name="\M" localSheetId="52">'[2]General Instructions'!#REF!</definedName>
    <definedName name="\M" localSheetId="23">[1]MS!#REF!</definedName>
    <definedName name="\M" localSheetId="51">'[2]General Instructions'!#REF!</definedName>
    <definedName name="\M" localSheetId="12">[1]MS!#REF!</definedName>
    <definedName name="\M" localSheetId="53">'[2]General Instructions'!#REF!</definedName>
    <definedName name="\M" localSheetId="49">'[2]General Instructions'!#REF!</definedName>
    <definedName name="\M" localSheetId="60">[1]MS!#REF!</definedName>
    <definedName name="\M" localSheetId="20">[1]MS!#REF!</definedName>
    <definedName name="\M">[1]MS!#REF!</definedName>
    <definedName name="\N" localSheetId="58">[1]MS!#REF!</definedName>
    <definedName name="\N" localSheetId="34">[1]MS!#REF!</definedName>
    <definedName name="\N" localSheetId="35">[1]MS!#REF!</definedName>
    <definedName name="\N" localSheetId="50">'[2]General Instructions'!#REF!</definedName>
    <definedName name="\N" localSheetId="15">[1]MS!#REF!</definedName>
    <definedName name="\N" localSheetId="27">[1]MS!#REF!</definedName>
    <definedName name="\N" localSheetId="24">[1]MS!#REF!</definedName>
    <definedName name="\N" localSheetId="26">[1]MS!#REF!</definedName>
    <definedName name="\N" localSheetId="43">[1]MS!#REF!</definedName>
    <definedName name="\N" localSheetId="29">[1]MS!#REF!</definedName>
    <definedName name="\N" localSheetId="30">[1]MS!#REF!</definedName>
    <definedName name="\N" localSheetId="47">[1]MS!#REF!</definedName>
    <definedName name="\N" localSheetId="44">'[2]General Instructions'!#REF!</definedName>
    <definedName name="\N" localSheetId="45">[1]MS!#REF!</definedName>
    <definedName name="\N" localSheetId="46">[1]MS!#REF!</definedName>
    <definedName name="\N" localSheetId="31">[1]MS!#REF!</definedName>
    <definedName name="\N" localSheetId="32">[1]MS!#REF!</definedName>
    <definedName name="\N" localSheetId="33">[1]MS!#REF!</definedName>
    <definedName name="\N" localSheetId="59">[1]MS!#REF!</definedName>
    <definedName name="\N" localSheetId="36">[1]MS!#REF!</definedName>
    <definedName name="\N" localSheetId="37">[1]MS!#REF!</definedName>
    <definedName name="\N" localSheetId="38">[1]MS!#REF!</definedName>
    <definedName name="\N" localSheetId="39">[1]MS!#REF!</definedName>
    <definedName name="\N" localSheetId="40">[1]MS!#REF!</definedName>
    <definedName name="\N" localSheetId="25">[1]MS!#REF!</definedName>
    <definedName name="\N" localSheetId="54">[1]MS!#REF!</definedName>
    <definedName name="\N" localSheetId="55">[1]MS!#REF!</definedName>
    <definedName name="\N" localSheetId="52">'[2]General Instructions'!#REF!</definedName>
    <definedName name="\N" localSheetId="23">[1]MS!#REF!</definedName>
    <definedName name="\N" localSheetId="51">'[2]General Instructions'!#REF!</definedName>
    <definedName name="\N" localSheetId="12">[1]MS!#REF!</definedName>
    <definedName name="\N" localSheetId="53">'[2]General Instructions'!#REF!</definedName>
    <definedName name="\N" localSheetId="49">'[2]General Instructions'!#REF!</definedName>
    <definedName name="\N" localSheetId="60">[1]MS!#REF!</definedName>
    <definedName name="\N" localSheetId="20">[1]MS!#REF!</definedName>
    <definedName name="\N">[1]MS!#REF!</definedName>
    <definedName name="\O" localSheetId="58">[1]MS!#REF!</definedName>
    <definedName name="\O" localSheetId="34">[1]MS!#REF!</definedName>
    <definedName name="\O" localSheetId="35">[1]MS!#REF!</definedName>
    <definedName name="\O" localSheetId="50">'[2]General Instructions'!#REF!</definedName>
    <definedName name="\O" localSheetId="15">[1]MS!#REF!</definedName>
    <definedName name="\O" localSheetId="27">[1]MS!#REF!</definedName>
    <definedName name="\O" localSheetId="24">[1]MS!#REF!</definedName>
    <definedName name="\O" localSheetId="26">[1]MS!#REF!</definedName>
    <definedName name="\O" localSheetId="43">[1]MS!#REF!</definedName>
    <definedName name="\O" localSheetId="29">[1]MS!#REF!</definedName>
    <definedName name="\O" localSheetId="30">[1]MS!#REF!</definedName>
    <definedName name="\O" localSheetId="47">[1]MS!#REF!</definedName>
    <definedName name="\O" localSheetId="44">'[2]General Instructions'!#REF!</definedName>
    <definedName name="\O" localSheetId="45">[1]MS!#REF!</definedName>
    <definedName name="\O" localSheetId="46">[1]MS!#REF!</definedName>
    <definedName name="\O" localSheetId="31">[1]MS!#REF!</definedName>
    <definedName name="\O" localSheetId="32">[1]MS!#REF!</definedName>
    <definedName name="\O" localSheetId="33">[1]MS!#REF!</definedName>
    <definedName name="\O" localSheetId="59">[1]MS!#REF!</definedName>
    <definedName name="\O" localSheetId="36">[1]MS!#REF!</definedName>
    <definedName name="\O" localSheetId="37">[1]MS!#REF!</definedName>
    <definedName name="\O" localSheetId="38">[1]MS!#REF!</definedName>
    <definedName name="\O" localSheetId="39">[1]MS!#REF!</definedName>
    <definedName name="\O" localSheetId="40">[1]MS!#REF!</definedName>
    <definedName name="\O" localSheetId="25">[1]MS!#REF!</definedName>
    <definedName name="\O" localSheetId="54">[1]MS!#REF!</definedName>
    <definedName name="\O" localSheetId="55">[1]MS!#REF!</definedName>
    <definedName name="\O" localSheetId="52">'[2]General Instructions'!#REF!</definedName>
    <definedName name="\O" localSheetId="23">[1]MS!#REF!</definedName>
    <definedName name="\O" localSheetId="51">'[2]General Instructions'!#REF!</definedName>
    <definedName name="\O" localSheetId="12">[1]MS!#REF!</definedName>
    <definedName name="\O" localSheetId="53">'[2]General Instructions'!#REF!</definedName>
    <definedName name="\O" localSheetId="49">'[2]General Instructions'!#REF!</definedName>
    <definedName name="\O" localSheetId="60">[1]MS!#REF!</definedName>
    <definedName name="\O" localSheetId="20">[1]MS!#REF!</definedName>
    <definedName name="\O">[1]MS!#REF!</definedName>
    <definedName name="\P" localSheetId="58">[1]MS!#REF!</definedName>
    <definedName name="\P" localSheetId="34">[1]MS!#REF!</definedName>
    <definedName name="\P" localSheetId="35">[1]MS!#REF!</definedName>
    <definedName name="\P" localSheetId="50">'[2]General Instructions'!#REF!</definedName>
    <definedName name="\P" localSheetId="15">[1]MS!#REF!</definedName>
    <definedName name="\P" localSheetId="27">[1]MS!#REF!</definedName>
    <definedName name="\P" localSheetId="24">[1]MS!#REF!</definedName>
    <definedName name="\P" localSheetId="26">[1]MS!#REF!</definedName>
    <definedName name="\P" localSheetId="43">[1]MS!#REF!</definedName>
    <definedName name="\P" localSheetId="29">[1]MS!#REF!</definedName>
    <definedName name="\P" localSheetId="30">[1]MS!#REF!</definedName>
    <definedName name="\P" localSheetId="47">[1]MS!#REF!</definedName>
    <definedName name="\P" localSheetId="44">'[2]General Instructions'!#REF!</definedName>
    <definedName name="\P" localSheetId="45">[1]MS!#REF!</definedName>
    <definedName name="\P" localSheetId="46">[1]MS!#REF!</definedName>
    <definedName name="\P" localSheetId="31">[1]MS!#REF!</definedName>
    <definedName name="\P" localSheetId="32">[1]MS!#REF!</definedName>
    <definedName name="\P" localSheetId="33">[1]MS!#REF!</definedName>
    <definedName name="\P" localSheetId="59">[1]MS!#REF!</definedName>
    <definedName name="\P" localSheetId="36">[1]MS!#REF!</definedName>
    <definedName name="\P" localSheetId="37">[1]MS!#REF!</definedName>
    <definedName name="\P" localSheetId="38">[1]MS!#REF!</definedName>
    <definedName name="\P" localSheetId="39">[1]MS!#REF!</definedName>
    <definedName name="\P" localSheetId="40">[1]MS!#REF!</definedName>
    <definedName name="\P" localSheetId="25">[1]MS!#REF!</definedName>
    <definedName name="\P" localSheetId="54">#REF!</definedName>
    <definedName name="\P" localSheetId="55">[1]MS!#REF!</definedName>
    <definedName name="\P" localSheetId="52">'[2]General Instructions'!#REF!</definedName>
    <definedName name="\P" localSheetId="23">[1]MS!#REF!</definedName>
    <definedName name="\P" localSheetId="51">'[2]General Instructions'!#REF!</definedName>
    <definedName name="\P" localSheetId="12">[1]MS!#REF!</definedName>
    <definedName name="\P" localSheetId="53">'[2]General Instructions'!#REF!</definedName>
    <definedName name="\P" localSheetId="49">'[2]General Instructions'!#REF!</definedName>
    <definedName name="\P" localSheetId="60">[1]MS!#REF!</definedName>
    <definedName name="\P" localSheetId="20">[1]MS!#REF!</definedName>
    <definedName name="\P">[1]MS!#REF!</definedName>
    <definedName name="\Q" localSheetId="34">#REF!</definedName>
    <definedName name="\Q" localSheetId="35">#REF!</definedName>
    <definedName name="\Q" localSheetId="50">#REF!</definedName>
    <definedName name="\Q" localSheetId="15">#REF!</definedName>
    <definedName name="\Q" localSheetId="29">#REF!</definedName>
    <definedName name="\Q" localSheetId="30">#REF!</definedName>
    <definedName name="\Q" localSheetId="47">#REF!</definedName>
    <definedName name="\Q" localSheetId="44">#REF!</definedName>
    <definedName name="\Q" localSheetId="45">#REF!</definedName>
    <definedName name="\Q" localSheetId="46">#REF!</definedName>
    <definedName name="\Q" localSheetId="31">#REF!</definedName>
    <definedName name="\Q" localSheetId="32">#REF!</definedName>
    <definedName name="\Q" localSheetId="33">#REF!</definedName>
    <definedName name="\Q" localSheetId="36">#REF!</definedName>
    <definedName name="\Q" localSheetId="37">#REF!</definedName>
    <definedName name="\Q" localSheetId="38">#REF!</definedName>
    <definedName name="\Q" localSheetId="39">#REF!</definedName>
    <definedName name="\Q" localSheetId="40">#REF!</definedName>
    <definedName name="\Q" localSheetId="54">#REF!</definedName>
    <definedName name="\Q" localSheetId="55">#REF!</definedName>
    <definedName name="\Q" localSheetId="52">#REF!</definedName>
    <definedName name="\Q" localSheetId="23">#REF!</definedName>
    <definedName name="\Q" localSheetId="51">#REF!</definedName>
    <definedName name="\Q" localSheetId="53">#REF!</definedName>
    <definedName name="\Q" localSheetId="20">#REF!</definedName>
    <definedName name="\Q">#REF!</definedName>
    <definedName name="\R" localSheetId="34">#REF!</definedName>
    <definedName name="\R" localSheetId="35">#REF!</definedName>
    <definedName name="\R" localSheetId="50">#REF!</definedName>
    <definedName name="\R" localSheetId="15">#REF!</definedName>
    <definedName name="\R" localSheetId="29">#REF!</definedName>
    <definedName name="\R" localSheetId="30">#REF!</definedName>
    <definedName name="\R" localSheetId="47">#REF!</definedName>
    <definedName name="\R" localSheetId="44">#REF!</definedName>
    <definedName name="\R" localSheetId="45">#REF!</definedName>
    <definedName name="\R" localSheetId="46">#REF!</definedName>
    <definedName name="\R" localSheetId="31">#REF!</definedName>
    <definedName name="\R" localSheetId="32">#REF!</definedName>
    <definedName name="\R" localSheetId="33">#REF!</definedName>
    <definedName name="\R" localSheetId="36">#REF!</definedName>
    <definedName name="\R" localSheetId="37">#REF!</definedName>
    <definedName name="\R" localSheetId="38">#REF!</definedName>
    <definedName name="\R" localSheetId="39">#REF!</definedName>
    <definedName name="\R" localSheetId="40">#REF!</definedName>
    <definedName name="\R" localSheetId="54">#REF!</definedName>
    <definedName name="\R" localSheetId="55">#REF!</definedName>
    <definedName name="\R" localSheetId="52">#REF!</definedName>
    <definedName name="\R" localSheetId="23">#REF!</definedName>
    <definedName name="\R" localSheetId="51">#REF!</definedName>
    <definedName name="\R" localSheetId="53">#REF!</definedName>
    <definedName name="\R" localSheetId="20">#REF!</definedName>
    <definedName name="\R">#REF!</definedName>
    <definedName name="\S" localSheetId="58">[1]MS!#REF!</definedName>
    <definedName name="\S" localSheetId="34">[1]MS!#REF!</definedName>
    <definedName name="\S" localSheetId="35">[1]MS!#REF!</definedName>
    <definedName name="\S" localSheetId="50">'[2]General Instructions'!#REF!</definedName>
    <definedName name="\S" localSheetId="15">[1]MS!#REF!</definedName>
    <definedName name="\S" localSheetId="27">[1]MS!#REF!</definedName>
    <definedName name="\S" localSheetId="24">[1]MS!#REF!</definedName>
    <definedName name="\S" localSheetId="26">[1]MS!#REF!</definedName>
    <definedName name="\S" localSheetId="43">[1]MS!#REF!</definedName>
    <definedName name="\S" localSheetId="29">[1]MS!#REF!</definedName>
    <definedName name="\S" localSheetId="30">[1]MS!#REF!</definedName>
    <definedName name="\S" localSheetId="47">[1]MS!#REF!</definedName>
    <definedName name="\S" localSheetId="44">'[2]General Instructions'!#REF!</definedName>
    <definedName name="\S" localSheetId="45">[1]MS!#REF!</definedName>
    <definedName name="\S" localSheetId="46">[1]MS!#REF!</definedName>
    <definedName name="\S" localSheetId="31">[1]MS!#REF!</definedName>
    <definedName name="\S" localSheetId="32">[1]MS!#REF!</definedName>
    <definedName name="\S" localSheetId="33">[1]MS!#REF!</definedName>
    <definedName name="\S" localSheetId="59">[1]MS!#REF!</definedName>
    <definedName name="\S" localSheetId="36">[1]MS!#REF!</definedName>
    <definedName name="\S" localSheetId="37">[1]MS!#REF!</definedName>
    <definedName name="\S" localSheetId="38">[1]MS!#REF!</definedName>
    <definedName name="\S" localSheetId="39">[1]MS!#REF!</definedName>
    <definedName name="\S" localSheetId="40">[1]MS!#REF!</definedName>
    <definedName name="\S" localSheetId="25">[1]MS!#REF!</definedName>
    <definedName name="\S" localSheetId="54">[1]MS!#REF!</definedName>
    <definedName name="\S" localSheetId="55">[1]MS!#REF!</definedName>
    <definedName name="\S" localSheetId="52">'[2]General Instructions'!#REF!</definedName>
    <definedName name="\S" localSheetId="23">[1]MS!#REF!</definedName>
    <definedName name="\S" localSheetId="51">'[2]General Instructions'!#REF!</definedName>
    <definedName name="\S" localSheetId="12">[1]MS!#REF!</definedName>
    <definedName name="\S" localSheetId="53">'[2]General Instructions'!#REF!</definedName>
    <definedName name="\S" localSheetId="49">'[2]General Instructions'!#REF!</definedName>
    <definedName name="\S" localSheetId="60">[1]MS!#REF!</definedName>
    <definedName name="\S" localSheetId="20">[1]MS!#REF!</definedName>
    <definedName name="\S">[1]MS!#REF!</definedName>
    <definedName name="\T" localSheetId="58">[1]MS!#REF!</definedName>
    <definedName name="\T" localSheetId="34">[1]MS!#REF!</definedName>
    <definedName name="\T" localSheetId="35">[1]MS!#REF!</definedName>
    <definedName name="\T" localSheetId="50">'[2]General Instructions'!#REF!</definedName>
    <definedName name="\T" localSheetId="15">[1]MS!#REF!</definedName>
    <definedName name="\T" localSheetId="27">[1]MS!#REF!</definedName>
    <definedName name="\T" localSheetId="24">[1]MS!#REF!</definedName>
    <definedName name="\T" localSheetId="26">[1]MS!#REF!</definedName>
    <definedName name="\T" localSheetId="43">[1]MS!#REF!</definedName>
    <definedName name="\T" localSheetId="29">[1]MS!#REF!</definedName>
    <definedName name="\T" localSheetId="30">[1]MS!#REF!</definedName>
    <definedName name="\T" localSheetId="47">[1]MS!#REF!</definedName>
    <definedName name="\T" localSheetId="44">'[2]General Instructions'!#REF!</definedName>
    <definedName name="\T" localSheetId="45">[1]MS!#REF!</definedName>
    <definedName name="\T" localSheetId="46">[1]MS!#REF!</definedName>
    <definedName name="\T" localSheetId="31">[1]MS!#REF!</definedName>
    <definedName name="\T" localSheetId="32">[1]MS!#REF!</definedName>
    <definedName name="\T" localSheetId="33">[1]MS!#REF!</definedName>
    <definedName name="\T" localSheetId="59">[1]MS!#REF!</definedName>
    <definedName name="\T" localSheetId="36">[1]MS!#REF!</definedName>
    <definedName name="\T" localSheetId="37">[1]MS!#REF!</definedName>
    <definedName name="\T" localSheetId="38">[1]MS!#REF!</definedName>
    <definedName name="\T" localSheetId="39">[1]MS!#REF!</definedName>
    <definedName name="\T" localSheetId="40">[1]MS!#REF!</definedName>
    <definedName name="\T" localSheetId="25">[1]MS!#REF!</definedName>
    <definedName name="\T" localSheetId="54">[1]MS!#REF!</definedName>
    <definedName name="\T" localSheetId="55">[1]MS!#REF!</definedName>
    <definedName name="\T" localSheetId="52">'[2]General Instructions'!#REF!</definedName>
    <definedName name="\T" localSheetId="23">[1]MS!#REF!</definedName>
    <definedName name="\T" localSheetId="51">'[2]General Instructions'!#REF!</definedName>
    <definedName name="\T" localSheetId="12">[1]MS!#REF!</definedName>
    <definedName name="\T" localSheetId="53">'[2]General Instructions'!#REF!</definedName>
    <definedName name="\T" localSheetId="49">'[2]General Instructions'!#REF!</definedName>
    <definedName name="\T" localSheetId="60">[1]MS!#REF!</definedName>
    <definedName name="\T" localSheetId="20">[1]MS!#REF!</definedName>
    <definedName name="\T">[1]MS!#REF!</definedName>
    <definedName name="\T1" localSheetId="50">#REF!</definedName>
    <definedName name="\T1" localSheetId="47">#REF!</definedName>
    <definedName name="\T1" localSheetId="44">#REF!</definedName>
    <definedName name="\T1" localSheetId="45">#REF!</definedName>
    <definedName name="\T1" localSheetId="46">#REF!</definedName>
    <definedName name="\T1" localSheetId="37">#REF!</definedName>
    <definedName name="\T1" localSheetId="40">#REF!</definedName>
    <definedName name="\T1" localSheetId="54">#REF!</definedName>
    <definedName name="\T1" localSheetId="55">#REF!</definedName>
    <definedName name="\T1" localSheetId="52">#REF!</definedName>
    <definedName name="\T1" localSheetId="51">#REF!</definedName>
    <definedName name="\T1" localSheetId="53">#REF!</definedName>
    <definedName name="\T1">#REF!</definedName>
    <definedName name="\T2" localSheetId="50">[8]BOP!#REF!</definedName>
    <definedName name="\T2" localSheetId="47">[8]BOP!#REF!</definedName>
    <definedName name="\T2" localSheetId="44">[8]BOP!#REF!</definedName>
    <definedName name="\T2" localSheetId="45">[8]BOP!#REF!</definedName>
    <definedName name="\T2" localSheetId="46">[8]BOP!#REF!</definedName>
    <definedName name="\T2" localSheetId="37">[8]BOP!#REF!</definedName>
    <definedName name="\T2" localSheetId="40">[8]BOP!#REF!</definedName>
    <definedName name="\T2" localSheetId="54">[8]BOP!#REF!</definedName>
    <definedName name="\T2" localSheetId="55">[8]BOP!#REF!</definedName>
    <definedName name="\T2" localSheetId="52">[8]BOP!#REF!</definedName>
    <definedName name="\T2" localSheetId="51">[8]BOP!#REF!</definedName>
    <definedName name="\T2" localSheetId="53">[8]BOP!#REF!</definedName>
    <definedName name="\T2">[8]BOP!#REF!</definedName>
    <definedName name="\U" localSheetId="34">#REF!</definedName>
    <definedName name="\U" localSheetId="35">#REF!</definedName>
    <definedName name="\U" localSheetId="50">#REF!</definedName>
    <definedName name="\U" localSheetId="15">#REF!</definedName>
    <definedName name="\U" localSheetId="29">#REF!</definedName>
    <definedName name="\U" localSheetId="30">#REF!</definedName>
    <definedName name="\U" localSheetId="47">#REF!</definedName>
    <definedName name="\U" localSheetId="44">#REF!</definedName>
    <definedName name="\U" localSheetId="45">#REF!</definedName>
    <definedName name="\U" localSheetId="46">#REF!</definedName>
    <definedName name="\U" localSheetId="31">#REF!</definedName>
    <definedName name="\U" localSheetId="32">#REF!</definedName>
    <definedName name="\U" localSheetId="33">#REF!</definedName>
    <definedName name="\U" localSheetId="36">#REF!</definedName>
    <definedName name="\U" localSheetId="37">#REF!</definedName>
    <definedName name="\U" localSheetId="38">#REF!</definedName>
    <definedName name="\U" localSheetId="39">#REF!</definedName>
    <definedName name="\U" localSheetId="40">#REF!</definedName>
    <definedName name="\U" localSheetId="54">#REF!</definedName>
    <definedName name="\U" localSheetId="55">#REF!</definedName>
    <definedName name="\U" localSheetId="52">#REF!</definedName>
    <definedName name="\U" localSheetId="23">#REF!</definedName>
    <definedName name="\U" localSheetId="51">#REF!</definedName>
    <definedName name="\U" localSheetId="53">#REF!</definedName>
    <definedName name="\U" localSheetId="20">#REF!</definedName>
    <definedName name="\U">#REF!</definedName>
    <definedName name="\V" localSheetId="34">#REF!</definedName>
    <definedName name="\V" localSheetId="35">#REF!</definedName>
    <definedName name="\V" localSheetId="50">#REF!</definedName>
    <definedName name="\V" localSheetId="15">#REF!</definedName>
    <definedName name="\V" localSheetId="29">#REF!</definedName>
    <definedName name="\V" localSheetId="30">#REF!</definedName>
    <definedName name="\V" localSheetId="47">#REF!</definedName>
    <definedName name="\V" localSheetId="44">#REF!</definedName>
    <definedName name="\V" localSheetId="45">#REF!</definedName>
    <definedName name="\V" localSheetId="46">#REF!</definedName>
    <definedName name="\V" localSheetId="31">#REF!</definedName>
    <definedName name="\V" localSheetId="32">#REF!</definedName>
    <definedName name="\V" localSheetId="33">#REF!</definedName>
    <definedName name="\V" localSheetId="36">#REF!</definedName>
    <definedName name="\V" localSheetId="37">#REF!</definedName>
    <definedName name="\V" localSheetId="38">#REF!</definedName>
    <definedName name="\V" localSheetId="39">#REF!</definedName>
    <definedName name="\V" localSheetId="40">#REF!</definedName>
    <definedName name="\V" localSheetId="54">#REF!</definedName>
    <definedName name="\V" localSheetId="55">#REF!</definedName>
    <definedName name="\V" localSheetId="52">#REF!</definedName>
    <definedName name="\V" localSheetId="23">#REF!</definedName>
    <definedName name="\V" localSheetId="51">#REF!</definedName>
    <definedName name="\V" localSheetId="53">#REF!</definedName>
    <definedName name="\V" localSheetId="20">#REF!</definedName>
    <definedName name="\V">#REF!</definedName>
    <definedName name="\W" localSheetId="34">#REF!</definedName>
    <definedName name="\W" localSheetId="35">#REF!</definedName>
    <definedName name="\W" localSheetId="50">#REF!</definedName>
    <definedName name="\W" localSheetId="15">#REF!</definedName>
    <definedName name="\W" localSheetId="29">#REF!</definedName>
    <definedName name="\W" localSheetId="30">#REF!</definedName>
    <definedName name="\W" localSheetId="47">#REF!</definedName>
    <definedName name="\W" localSheetId="44">#REF!</definedName>
    <definedName name="\W" localSheetId="45">#REF!</definedName>
    <definedName name="\W" localSheetId="46">#REF!</definedName>
    <definedName name="\W" localSheetId="31">#REF!</definedName>
    <definedName name="\W" localSheetId="32">#REF!</definedName>
    <definedName name="\W" localSheetId="33">#REF!</definedName>
    <definedName name="\W" localSheetId="36">#REF!</definedName>
    <definedName name="\W" localSheetId="37">#REF!</definedName>
    <definedName name="\W" localSheetId="38">#REF!</definedName>
    <definedName name="\W" localSheetId="39">#REF!</definedName>
    <definedName name="\W" localSheetId="40">#REF!</definedName>
    <definedName name="\W" localSheetId="54">#REF!</definedName>
    <definedName name="\W" localSheetId="55">#REF!</definedName>
    <definedName name="\W" localSheetId="52">#REF!</definedName>
    <definedName name="\W" localSheetId="23">#REF!</definedName>
    <definedName name="\W" localSheetId="51">#REF!</definedName>
    <definedName name="\W" localSheetId="53">#REF!</definedName>
    <definedName name="\W" localSheetId="20">#REF!</definedName>
    <definedName name="\W">#REF!</definedName>
    <definedName name="\X" localSheetId="34">#REF!</definedName>
    <definedName name="\X" localSheetId="35">#REF!</definedName>
    <definedName name="\X" localSheetId="50">[9]Liabilities!#REF!</definedName>
    <definedName name="\X" localSheetId="15">#REF!</definedName>
    <definedName name="\X" localSheetId="29">#REF!</definedName>
    <definedName name="\X" localSheetId="30">#REF!</definedName>
    <definedName name="\X" localSheetId="47">#REF!</definedName>
    <definedName name="\X" localSheetId="44">[9]Liabilities!#REF!</definedName>
    <definedName name="\X" localSheetId="45">#REF!</definedName>
    <definedName name="\X" localSheetId="46">#REF!</definedName>
    <definedName name="\X" localSheetId="31">#REF!</definedName>
    <definedName name="\X" localSheetId="32">#REF!</definedName>
    <definedName name="\X" localSheetId="33">#REF!</definedName>
    <definedName name="\X" localSheetId="36">#REF!</definedName>
    <definedName name="\X" localSheetId="37">#REF!</definedName>
    <definedName name="\X" localSheetId="38">#REF!</definedName>
    <definedName name="\X" localSheetId="39">#REF!</definedName>
    <definedName name="\X" localSheetId="40">#REF!</definedName>
    <definedName name="\X" localSheetId="54">[10]Liabilities!#REF!</definedName>
    <definedName name="\X" localSheetId="55">#REF!</definedName>
    <definedName name="\X" localSheetId="52">[9]Liabilities!#REF!</definedName>
    <definedName name="\X" localSheetId="23">#REF!</definedName>
    <definedName name="\X" localSheetId="51">[9]Liabilities!#REF!</definedName>
    <definedName name="\X" localSheetId="53">[9]Liabilities!#REF!</definedName>
    <definedName name="\X" localSheetId="20">#REF!</definedName>
    <definedName name="\X">#REF!</definedName>
    <definedName name="\y" localSheetId="34">#REF!</definedName>
    <definedName name="\y" localSheetId="35">#REF!</definedName>
    <definedName name="\y" localSheetId="50">#REF!</definedName>
    <definedName name="\y" localSheetId="15">#REF!</definedName>
    <definedName name="\y" localSheetId="29">#REF!</definedName>
    <definedName name="\y" localSheetId="30">#REF!</definedName>
    <definedName name="\y" localSheetId="47">#REF!</definedName>
    <definedName name="\y" localSheetId="44">#REF!</definedName>
    <definedName name="\y" localSheetId="45">#REF!</definedName>
    <definedName name="\y" localSheetId="46">#REF!</definedName>
    <definedName name="\y" localSheetId="31">#REF!</definedName>
    <definedName name="\y" localSheetId="32">#REF!</definedName>
    <definedName name="\y" localSheetId="33">#REF!</definedName>
    <definedName name="\y" localSheetId="36">#REF!</definedName>
    <definedName name="\y" localSheetId="37">#REF!</definedName>
    <definedName name="\y" localSheetId="38">#REF!</definedName>
    <definedName name="\y" localSheetId="39">#REF!</definedName>
    <definedName name="\y" localSheetId="40">#REF!</definedName>
    <definedName name="\y" localSheetId="54">#REF!</definedName>
    <definedName name="\y" localSheetId="55">#REF!</definedName>
    <definedName name="\y" localSheetId="52">#REF!</definedName>
    <definedName name="\y" localSheetId="23">#REF!</definedName>
    <definedName name="\y" localSheetId="51">#REF!</definedName>
    <definedName name="\y" localSheetId="53">#REF!</definedName>
    <definedName name="\y" localSheetId="20">#REF!</definedName>
    <definedName name="\y">#REF!</definedName>
    <definedName name="\z" localSheetId="34">#REF!</definedName>
    <definedName name="\z" localSheetId="35">#REF!</definedName>
    <definedName name="\z" localSheetId="50">#REF!</definedName>
    <definedName name="\z" localSheetId="15">#REF!</definedName>
    <definedName name="\z" localSheetId="29">#REF!</definedName>
    <definedName name="\z" localSheetId="30">#REF!</definedName>
    <definedName name="\z" localSheetId="47">#REF!</definedName>
    <definedName name="\z" localSheetId="44">#REF!</definedName>
    <definedName name="\z" localSheetId="45">#REF!</definedName>
    <definedName name="\z" localSheetId="46">#REF!</definedName>
    <definedName name="\z" localSheetId="31">#REF!</definedName>
    <definedName name="\z" localSheetId="32">#REF!</definedName>
    <definedName name="\z" localSheetId="33">#REF!</definedName>
    <definedName name="\z" localSheetId="36">#REF!</definedName>
    <definedName name="\z" localSheetId="37">#REF!</definedName>
    <definedName name="\z" localSheetId="38">#REF!</definedName>
    <definedName name="\z" localSheetId="39">#REF!</definedName>
    <definedName name="\z" localSheetId="40">#REF!</definedName>
    <definedName name="\z" localSheetId="54">#REF!</definedName>
    <definedName name="\z" localSheetId="55">#REF!</definedName>
    <definedName name="\z" localSheetId="52">#REF!</definedName>
    <definedName name="\z" localSheetId="23">#REF!</definedName>
    <definedName name="\z" localSheetId="51">#REF!</definedName>
    <definedName name="\z" localSheetId="53">#REF!</definedName>
    <definedName name="\z" localSheetId="20">#REF!</definedName>
    <definedName name="\z">#REF!</definedName>
    <definedName name="__123Graph_A" localSheetId="58" hidden="1">'[11]Commercial Banks'!#REF!</definedName>
    <definedName name="__123Graph_A" localSheetId="34" hidden="1">'[11]Commercial Banks'!#REF!</definedName>
    <definedName name="__123Graph_A" localSheetId="35" hidden="1">'[11]Commercial Banks'!#REF!</definedName>
    <definedName name="__123Graph_A" localSheetId="50" hidden="1">'[12]Commercial Banks'!#REF!</definedName>
    <definedName name="__123Graph_A" localSheetId="15" hidden="1">'[11]Commercial Banks'!#REF!</definedName>
    <definedName name="__123Graph_A" localSheetId="27" hidden="1">'[11]Commercial Banks'!#REF!</definedName>
    <definedName name="__123Graph_A" localSheetId="24" hidden="1">'[11]Commercial Banks'!#REF!</definedName>
    <definedName name="__123Graph_A" localSheetId="26" hidden="1">'[11]Commercial Banks'!#REF!</definedName>
    <definedName name="__123Graph_A" localSheetId="43" hidden="1">'[11]Commercial Banks'!#REF!</definedName>
    <definedName name="__123Graph_A" localSheetId="29" hidden="1">'[11]Commercial Banks'!#REF!</definedName>
    <definedName name="__123Graph_A" localSheetId="30" hidden="1">'[11]Commercial Banks'!#REF!</definedName>
    <definedName name="__123Graph_A" localSheetId="47" hidden="1">'[11]Commercial Banks'!#REF!</definedName>
    <definedName name="__123Graph_A" localSheetId="44" hidden="1">'[12]Commercial Banks'!#REF!</definedName>
    <definedName name="__123Graph_A" localSheetId="45" hidden="1">'[11]Commercial Banks'!#REF!</definedName>
    <definedName name="__123Graph_A" localSheetId="46" hidden="1">'[11]Commercial Banks'!#REF!</definedName>
    <definedName name="__123Graph_A" localSheetId="31" hidden="1">'[11]Commercial Banks'!#REF!</definedName>
    <definedName name="__123Graph_A" localSheetId="32" hidden="1">'[11]Commercial Banks'!#REF!</definedName>
    <definedName name="__123Graph_A" localSheetId="33" hidden="1">'[11]Commercial Banks'!#REF!</definedName>
    <definedName name="__123Graph_A" localSheetId="59" hidden="1">'[11]Commercial Banks'!#REF!</definedName>
    <definedName name="__123Graph_A" localSheetId="36" hidden="1">'[11]Commercial Banks'!#REF!</definedName>
    <definedName name="__123Graph_A" localSheetId="37" hidden="1">'[11]Commercial Banks'!#REF!</definedName>
    <definedName name="__123Graph_A" localSheetId="38" hidden="1">'[11]Commercial Banks'!#REF!</definedName>
    <definedName name="__123Graph_A" localSheetId="39" hidden="1">'[11]Commercial Banks'!#REF!</definedName>
    <definedName name="__123Graph_A" localSheetId="40" hidden="1">'[11]Commercial Banks'!#REF!</definedName>
    <definedName name="__123Graph_A" localSheetId="25" hidden="1">'[11]Commercial Banks'!#REF!</definedName>
    <definedName name="__123Graph_A" localSheetId="54" hidden="1">'[13]Treasury Bills'!$D$4:$D$5</definedName>
    <definedName name="__123Graph_A" localSheetId="55" hidden="1">'[11]Commercial Banks'!#REF!</definedName>
    <definedName name="__123Graph_A" localSheetId="52" hidden="1">'[12]Commercial Banks'!#REF!</definedName>
    <definedName name="__123Graph_A" localSheetId="23" hidden="1">'[11]Commercial Banks'!#REF!</definedName>
    <definedName name="__123Graph_A" localSheetId="51" hidden="1">'[12]Commercial Banks'!#REF!</definedName>
    <definedName name="__123Graph_A" localSheetId="12" hidden="1">'[11]Commercial Banks'!#REF!</definedName>
    <definedName name="__123Graph_A" localSheetId="53" hidden="1">'[12]Commercial Banks'!#REF!</definedName>
    <definedName name="__123Graph_A" localSheetId="49" hidden="1">'[12]Commercial Banks'!#REF!</definedName>
    <definedName name="__123Graph_A" localSheetId="60" hidden="1">'[11]Commercial Banks'!#REF!</definedName>
    <definedName name="__123Graph_A" localSheetId="20" hidden="1">'[11]Commercial Banks'!#REF!</definedName>
    <definedName name="__123Graph_A" hidden="1">'[11]Commercial Banks'!#REF!</definedName>
    <definedName name="__123Graph_AREER" localSheetId="50" hidden="1">[14]ER!#REF!</definedName>
    <definedName name="__123Graph_AREER" localSheetId="47" hidden="1">[14]ER!#REF!</definedName>
    <definedName name="__123Graph_AREER" localSheetId="44" hidden="1">[14]ER!#REF!</definedName>
    <definedName name="__123Graph_AREER" localSheetId="45" hidden="1">[14]ER!#REF!</definedName>
    <definedName name="__123Graph_AREER" localSheetId="46" hidden="1">[14]ER!#REF!</definedName>
    <definedName name="__123Graph_AREER" localSheetId="37" hidden="1">[14]ER!#REF!</definedName>
    <definedName name="__123Graph_AREER" localSheetId="40" hidden="1">[14]ER!#REF!</definedName>
    <definedName name="__123Graph_AREER" localSheetId="54" hidden="1">[14]ER!#REF!</definedName>
    <definedName name="__123Graph_AREER" localSheetId="55" hidden="1">[14]ER!#REF!</definedName>
    <definedName name="__123Graph_AREER" localSheetId="52" hidden="1">[14]ER!#REF!</definedName>
    <definedName name="__123Graph_AREER" localSheetId="51" hidden="1">[14]ER!#REF!</definedName>
    <definedName name="__123Graph_AREER" localSheetId="53" hidden="1">[14]ER!#REF!</definedName>
    <definedName name="__123Graph_AREER" hidden="1">[14]ER!#REF!</definedName>
    <definedName name="__123Graph_B" localSheetId="34" hidden="1">#REF!</definedName>
    <definedName name="__123Graph_B" localSheetId="35" hidden="1">#REF!</definedName>
    <definedName name="__123Graph_B" localSheetId="50" hidden="1">'[15]Treasury Bills'!$E$4:$E$5</definedName>
    <definedName name="__123Graph_B" localSheetId="15" hidden="1">#REF!</definedName>
    <definedName name="__123Graph_B" localSheetId="29" hidden="1">#REF!</definedName>
    <definedName name="__123Graph_B" localSheetId="30" hidden="1">#REF!</definedName>
    <definedName name="__123Graph_B" localSheetId="47" hidden="1">#REF!</definedName>
    <definedName name="__123Graph_B" localSheetId="44" hidden="1">'[15]Treasury Bills'!$E$4:$E$5</definedName>
    <definedName name="__123Graph_B" localSheetId="45" hidden="1">#REF!</definedName>
    <definedName name="__123Graph_B" localSheetId="46" hidden="1">#REF!</definedName>
    <definedName name="__123Graph_B" localSheetId="31" hidden="1">#REF!</definedName>
    <definedName name="__123Graph_B" localSheetId="32" hidden="1">#REF!</definedName>
    <definedName name="__123Graph_B" localSheetId="33" hidden="1">#REF!</definedName>
    <definedName name="__123Graph_B" localSheetId="36" hidden="1">#REF!</definedName>
    <definedName name="__123Graph_B" localSheetId="37" hidden="1">#REF!</definedName>
    <definedName name="__123Graph_B" localSheetId="38" hidden="1">#REF!</definedName>
    <definedName name="__123Graph_B" localSheetId="39" hidden="1">#REF!</definedName>
    <definedName name="__123Graph_B" localSheetId="40" hidden="1">#REF!</definedName>
    <definedName name="__123Graph_B" localSheetId="54" hidden="1">'[13]Treasury Bills'!$E$4:$E$5</definedName>
    <definedName name="__123Graph_B" localSheetId="55" hidden="1">#REF!</definedName>
    <definedName name="__123Graph_B" localSheetId="52" hidden="1">'[15]Treasury Bills'!$E$4:$E$5</definedName>
    <definedName name="__123Graph_B" localSheetId="23" hidden="1">#REF!</definedName>
    <definedName name="__123Graph_B" localSheetId="51" hidden="1">'[15]Treasury Bills'!$E$4:$E$5</definedName>
    <definedName name="__123Graph_B" localSheetId="53" hidden="1">'[15]Treasury Bills'!$E$4:$E$5</definedName>
    <definedName name="__123Graph_B" localSheetId="20" hidden="1">#REF!</definedName>
    <definedName name="__123Graph_B" hidden="1">#REF!</definedName>
    <definedName name="__123Graph_BCurrent" localSheetId="34" hidden="1">[16]G!#REF!</definedName>
    <definedName name="__123Graph_BCurrent" localSheetId="35" hidden="1">[16]G!#REF!</definedName>
    <definedName name="__123Graph_BCurrent" localSheetId="50" hidden="1">[16]G!#REF!</definedName>
    <definedName name="__123Graph_BCurrent" localSheetId="15" hidden="1">[16]G!#REF!</definedName>
    <definedName name="__123Graph_BCurrent" localSheetId="29" hidden="1">[16]G!#REF!</definedName>
    <definedName name="__123Graph_BCurrent" localSheetId="30" hidden="1">[16]G!#REF!</definedName>
    <definedName name="__123Graph_BCurrent" localSheetId="47" hidden="1">[16]G!#REF!</definedName>
    <definedName name="__123Graph_BCurrent" localSheetId="44" hidden="1">[16]G!#REF!</definedName>
    <definedName name="__123Graph_BCurrent" localSheetId="45" hidden="1">[16]G!#REF!</definedName>
    <definedName name="__123Graph_BCurrent" localSheetId="46" hidden="1">[16]G!#REF!</definedName>
    <definedName name="__123Graph_BCurrent" localSheetId="31" hidden="1">[16]G!#REF!</definedName>
    <definedName name="__123Graph_BCurrent" localSheetId="32" hidden="1">[16]G!#REF!</definedName>
    <definedName name="__123Graph_BCurrent" localSheetId="33" hidden="1">[16]G!#REF!</definedName>
    <definedName name="__123Graph_BCurrent" localSheetId="36" hidden="1">[16]G!#REF!</definedName>
    <definedName name="__123Graph_BCurrent" localSheetId="37" hidden="1">[16]G!#REF!</definedName>
    <definedName name="__123Graph_BCurrent" localSheetId="38" hidden="1">[16]G!#REF!</definedName>
    <definedName name="__123Graph_BCurrent" localSheetId="39" hidden="1">[16]G!#REF!</definedName>
    <definedName name="__123Graph_BCurrent" localSheetId="40" hidden="1">[16]G!#REF!</definedName>
    <definedName name="__123Graph_BCurrent" localSheetId="54" hidden="1">[16]G!#REF!</definedName>
    <definedName name="__123Graph_BCurrent" localSheetId="55" hidden="1">[16]G!#REF!</definedName>
    <definedName name="__123Graph_BCurrent" localSheetId="52" hidden="1">[16]G!#REF!</definedName>
    <definedName name="__123Graph_BCurrent" localSheetId="23" hidden="1">[16]G!#REF!</definedName>
    <definedName name="__123Graph_BCurrent" localSheetId="51" hidden="1">[16]G!#REF!</definedName>
    <definedName name="__123Graph_BCurrent" localSheetId="53" hidden="1">[16]G!#REF!</definedName>
    <definedName name="__123Graph_BCurrent" localSheetId="20" hidden="1">[16]G!#REF!</definedName>
    <definedName name="__123Graph_BCurrent" hidden="1">[16]G!#REF!</definedName>
    <definedName name="__123Graph_BREER" localSheetId="50" hidden="1">[14]ER!#REF!</definedName>
    <definedName name="__123Graph_BREER" localSheetId="47" hidden="1">[14]ER!#REF!</definedName>
    <definedName name="__123Graph_BREER" localSheetId="44" hidden="1">[14]ER!#REF!</definedName>
    <definedName name="__123Graph_BREER" localSheetId="45" hidden="1">[14]ER!#REF!</definedName>
    <definedName name="__123Graph_BREER" localSheetId="46" hidden="1">[14]ER!#REF!</definedName>
    <definedName name="__123Graph_BREER" localSheetId="37" hidden="1">[14]ER!#REF!</definedName>
    <definedName name="__123Graph_BREER" localSheetId="40" hidden="1">[14]ER!#REF!</definedName>
    <definedName name="__123Graph_BREER" localSheetId="54" hidden="1">[14]ER!#REF!</definedName>
    <definedName name="__123Graph_BREER" localSheetId="55" hidden="1">[14]ER!#REF!</definedName>
    <definedName name="__123Graph_BREER" localSheetId="52" hidden="1">[14]ER!#REF!</definedName>
    <definedName name="__123Graph_BREER" localSheetId="51" hidden="1">[14]ER!#REF!</definedName>
    <definedName name="__123Graph_BREER" localSheetId="53" hidden="1">[14]ER!#REF!</definedName>
    <definedName name="__123Graph_BREER" hidden="1">[14]ER!#REF!</definedName>
    <definedName name="__123Graph_C" localSheetId="34" hidden="1">#REF!</definedName>
    <definedName name="__123Graph_C" localSheetId="35" hidden="1">#REF!</definedName>
    <definedName name="__123Graph_C" localSheetId="50" hidden="1">'[15]Treasury Bills'!$F$4:$F$5</definedName>
    <definedName name="__123Graph_C" localSheetId="15" hidden="1">#REF!</definedName>
    <definedName name="__123Graph_C" localSheetId="29" hidden="1">#REF!</definedName>
    <definedName name="__123Graph_C" localSheetId="30" hidden="1">#REF!</definedName>
    <definedName name="__123Graph_C" localSheetId="47" hidden="1">#REF!</definedName>
    <definedName name="__123Graph_C" localSheetId="44" hidden="1">'[15]Treasury Bills'!$F$4:$F$5</definedName>
    <definedName name="__123Graph_C" localSheetId="45" hidden="1">#REF!</definedName>
    <definedName name="__123Graph_C" localSheetId="46" hidden="1">#REF!</definedName>
    <definedName name="__123Graph_C" localSheetId="31" hidden="1">#REF!</definedName>
    <definedName name="__123Graph_C" localSheetId="32" hidden="1">#REF!</definedName>
    <definedName name="__123Graph_C" localSheetId="33" hidden="1">#REF!</definedName>
    <definedName name="__123Graph_C" localSheetId="36" hidden="1">#REF!</definedName>
    <definedName name="__123Graph_C" localSheetId="37" hidden="1">#REF!</definedName>
    <definedName name="__123Graph_C" localSheetId="38" hidden="1">#REF!</definedName>
    <definedName name="__123Graph_C" localSheetId="39" hidden="1">#REF!</definedName>
    <definedName name="__123Graph_C" localSheetId="40" hidden="1">#REF!</definedName>
    <definedName name="__123Graph_C" localSheetId="54" hidden="1">'[13]Treasury Bills'!$F$4:$F$5</definedName>
    <definedName name="__123Graph_C" localSheetId="55" hidden="1">#REF!</definedName>
    <definedName name="__123Graph_C" localSheetId="52" hidden="1">'[15]Treasury Bills'!$F$4:$F$5</definedName>
    <definedName name="__123Graph_C" localSheetId="23" hidden="1">#REF!</definedName>
    <definedName name="__123Graph_C" localSheetId="51" hidden="1">'[15]Treasury Bills'!$F$4:$F$5</definedName>
    <definedName name="__123Graph_C" localSheetId="53" hidden="1">'[15]Treasury Bills'!$F$4:$F$5</definedName>
    <definedName name="__123Graph_C" localSheetId="20" hidden="1">#REF!</definedName>
    <definedName name="__123Graph_C" hidden="1">#REF!</definedName>
    <definedName name="__123Graph_CREER" localSheetId="50" hidden="1">[14]ER!#REF!</definedName>
    <definedName name="__123Graph_CREER" localSheetId="47" hidden="1">[14]ER!#REF!</definedName>
    <definedName name="__123Graph_CREER" localSheetId="44" hidden="1">[14]ER!#REF!</definedName>
    <definedName name="__123Graph_CREER" localSheetId="45" hidden="1">[14]ER!#REF!</definedName>
    <definedName name="__123Graph_CREER" localSheetId="46" hidden="1">[14]ER!#REF!</definedName>
    <definedName name="__123Graph_CREER" localSheetId="37" hidden="1">[14]ER!#REF!</definedName>
    <definedName name="__123Graph_CREER" localSheetId="40" hidden="1">[14]ER!#REF!</definedName>
    <definedName name="__123Graph_CREER" localSheetId="54" hidden="1">[14]ER!#REF!</definedName>
    <definedName name="__123Graph_CREER" localSheetId="55" hidden="1">[14]ER!#REF!</definedName>
    <definedName name="__123Graph_CREER" localSheetId="52" hidden="1">[14]ER!#REF!</definedName>
    <definedName name="__123Graph_CREER" localSheetId="51" hidden="1">[14]ER!#REF!</definedName>
    <definedName name="__123Graph_CREER" localSheetId="53" hidden="1">[14]ER!#REF!</definedName>
    <definedName name="__123Graph_CREER" hidden="1">[14]ER!#REF!</definedName>
    <definedName name="__123Graph_D" localSheetId="34" hidden="1">#REF!</definedName>
    <definedName name="__123Graph_D" localSheetId="35" hidden="1">#REF!</definedName>
    <definedName name="__123Graph_D" localSheetId="50" hidden="1">#REF!</definedName>
    <definedName name="__123Graph_D" localSheetId="15" hidden="1">#REF!</definedName>
    <definedName name="__123Graph_D" localSheetId="29" hidden="1">#REF!</definedName>
    <definedName name="__123Graph_D" localSheetId="30" hidden="1">#REF!</definedName>
    <definedName name="__123Graph_D" localSheetId="47" hidden="1">#REF!</definedName>
    <definedName name="__123Graph_D" localSheetId="44" hidden="1">#REF!</definedName>
    <definedName name="__123Graph_D" localSheetId="45" hidden="1">#REF!</definedName>
    <definedName name="__123Graph_D" localSheetId="46" hidden="1">#REF!</definedName>
    <definedName name="__123Graph_D" localSheetId="31" hidden="1">#REF!</definedName>
    <definedName name="__123Graph_D" localSheetId="32" hidden="1">#REF!</definedName>
    <definedName name="__123Graph_D" localSheetId="33" hidden="1">#REF!</definedName>
    <definedName name="__123Graph_D" localSheetId="36" hidden="1">#REF!</definedName>
    <definedName name="__123Graph_D" localSheetId="37" hidden="1">#REF!</definedName>
    <definedName name="__123Graph_D" localSheetId="38" hidden="1">#REF!</definedName>
    <definedName name="__123Graph_D" localSheetId="39" hidden="1">#REF!</definedName>
    <definedName name="__123Graph_D" localSheetId="40" hidden="1">#REF!</definedName>
    <definedName name="__123Graph_D" localSheetId="54" hidden="1">#REF!</definedName>
    <definedName name="__123Graph_D" localSheetId="55" hidden="1">#REF!</definedName>
    <definedName name="__123Graph_D" localSheetId="52" hidden="1">#REF!</definedName>
    <definedName name="__123Graph_D" localSheetId="23" hidden="1">#REF!</definedName>
    <definedName name="__123Graph_D" localSheetId="51" hidden="1">#REF!</definedName>
    <definedName name="__123Graph_D" localSheetId="53" hidden="1">#REF!</definedName>
    <definedName name="__123Graph_D" localSheetId="20" hidden="1">#REF!</definedName>
    <definedName name="__123Graph_D" hidden="1">#REF!</definedName>
    <definedName name="__123Graph_E" localSheetId="34" hidden="1">#REF!</definedName>
    <definedName name="__123Graph_E" localSheetId="35" hidden="1">#REF!</definedName>
    <definedName name="__123Graph_E" localSheetId="50" hidden="1">#REF!</definedName>
    <definedName name="__123Graph_E" localSheetId="15" hidden="1">#REF!</definedName>
    <definedName name="__123Graph_E" localSheetId="29" hidden="1">#REF!</definedName>
    <definedName name="__123Graph_E" localSheetId="30" hidden="1">#REF!</definedName>
    <definedName name="__123Graph_E" localSheetId="47" hidden="1">#REF!</definedName>
    <definedName name="__123Graph_E" localSheetId="44" hidden="1">#REF!</definedName>
    <definedName name="__123Graph_E" localSheetId="45" hidden="1">#REF!</definedName>
    <definedName name="__123Graph_E" localSheetId="46" hidden="1">#REF!</definedName>
    <definedName name="__123Graph_E" localSheetId="31" hidden="1">#REF!</definedName>
    <definedName name="__123Graph_E" localSheetId="32" hidden="1">#REF!</definedName>
    <definedName name="__123Graph_E" localSheetId="33" hidden="1">#REF!</definedName>
    <definedName name="__123Graph_E" localSheetId="36" hidden="1">#REF!</definedName>
    <definedName name="__123Graph_E" localSheetId="37" hidden="1">#REF!</definedName>
    <definedName name="__123Graph_E" localSheetId="38" hidden="1">#REF!</definedName>
    <definedName name="__123Graph_E" localSheetId="39" hidden="1">#REF!</definedName>
    <definedName name="__123Graph_E" localSheetId="40" hidden="1">#REF!</definedName>
    <definedName name="__123Graph_E" localSheetId="54" hidden="1">#REF!</definedName>
    <definedName name="__123Graph_E" localSheetId="55" hidden="1">#REF!</definedName>
    <definedName name="__123Graph_E" localSheetId="52" hidden="1">#REF!</definedName>
    <definedName name="__123Graph_E" localSheetId="23" hidden="1">#REF!</definedName>
    <definedName name="__123Graph_E" localSheetId="51" hidden="1">#REF!</definedName>
    <definedName name="__123Graph_E" localSheetId="53" hidden="1">#REF!</definedName>
    <definedName name="__123Graph_E" localSheetId="20" hidden="1">#REF!</definedName>
    <definedName name="__123Graph_E" hidden="1">#REF!</definedName>
    <definedName name="__123Graph_F" localSheetId="34" hidden="1">#REF!</definedName>
    <definedName name="__123Graph_F" localSheetId="35" hidden="1">#REF!</definedName>
    <definedName name="__123Graph_F" localSheetId="50" hidden="1">#REF!</definedName>
    <definedName name="__123Graph_F" localSheetId="15" hidden="1">#REF!</definedName>
    <definedName name="__123Graph_F" localSheetId="29" hidden="1">#REF!</definedName>
    <definedName name="__123Graph_F" localSheetId="30" hidden="1">#REF!</definedName>
    <definedName name="__123Graph_F" localSheetId="47" hidden="1">#REF!</definedName>
    <definedName name="__123Graph_F" localSheetId="44" hidden="1">#REF!</definedName>
    <definedName name="__123Graph_F" localSheetId="45" hidden="1">#REF!</definedName>
    <definedName name="__123Graph_F" localSheetId="46" hidden="1">#REF!</definedName>
    <definedName name="__123Graph_F" localSheetId="31" hidden="1">#REF!</definedName>
    <definedName name="__123Graph_F" localSheetId="32" hidden="1">#REF!</definedName>
    <definedName name="__123Graph_F" localSheetId="33" hidden="1">#REF!</definedName>
    <definedName name="__123Graph_F" localSheetId="36" hidden="1">#REF!</definedName>
    <definedName name="__123Graph_F" localSheetId="37" hidden="1">#REF!</definedName>
    <definedName name="__123Graph_F" localSheetId="38" hidden="1">#REF!</definedName>
    <definedName name="__123Graph_F" localSheetId="39" hidden="1">#REF!</definedName>
    <definedName name="__123Graph_F" localSheetId="40" hidden="1">#REF!</definedName>
    <definedName name="__123Graph_F" localSheetId="54" hidden="1">#REF!</definedName>
    <definedName name="__123Graph_F" localSheetId="55" hidden="1">#REF!</definedName>
    <definedName name="__123Graph_F" localSheetId="52" hidden="1">#REF!</definedName>
    <definedName name="__123Graph_F" localSheetId="23" hidden="1">#REF!</definedName>
    <definedName name="__123Graph_F" localSheetId="51" hidden="1">#REF!</definedName>
    <definedName name="__123Graph_F" localSheetId="53" hidden="1">#REF!</definedName>
    <definedName name="__123Graph_F" localSheetId="20" hidden="1">#REF!</definedName>
    <definedName name="__123Graph_F" hidden="1">#REF!</definedName>
    <definedName name="__123Graph_X" localSheetId="50" hidden="1">'[15]Treasury Bills'!$B$3:$B$5</definedName>
    <definedName name="__123Graph_X" localSheetId="44" hidden="1">'[15]Treasury Bills'!$B$3:$B$5</definedName>
    <definedName name="__123Graph_X" localSheetId="54" hidden="1">'[13]Treasury Bills'!$B$3:$B$5</definedName>
    <definedName name="__123Graph_X" localSheetId="52" hidden="1">'[15]Treasury Bills'!$B$3:$B$5</definedName>
    <definedName name="__123Graph_X" localSheetId="51" hidden="1">'[15]Treasury Bills'!$B$3:$B$5</definedName>
    <definedName name="__123Graph_X" localSheetId="53" hidden="1">'[15]Treasury Bills'!$B$3:$B$5</definedName>
    <definedName name="__123Graph_X" hidden="1">[17]FLUJO!$B$7901:$C$7901</definedName>
    <definedName name="_10__123Graph_BCPI_ER_LOG" localSheetId="50" hidden="1">[18]ER!#REF!</definedName>
    <definedName name="_10__123Graph_BCPI_ER_LOG" localSheetId="47" hidden="1">[18]ER!#REF!</definedName>
    <definedName name="_10__123Graph_BCPI_ER_LOG" localSheetId="44" hidden="1">[18]ER!#REF!</definedName>
    <definedName name="_10__123Graph_BCPI_ER_LOG" localSheetId="45" hidden="1">[18]ER!#REF!</definedName>
    <definedName name="_10__123Graph_BCPI_ER_LOG" localSheetId="46" hidden="1">[18]ER!#REF!</definedName>
    <definedName name="_10__123Graph_BCPI_ER_LOG" localSheetId="37" hidden="1">[18]ER!#REF!</definedName>
    <definedName name="_10__123Graph_BCPI_ER_LOG" localSheetId="40" hidden="1">[18]ER!#REF!</definedName>
    <definedName name="_10__123Graph_BCPI_ER_LOG" localSheetId="54" hidden="1">[18]ER!#REF!</definedName>
    <definedName name="_10__123Graph_BCPI_ER_LOG" localSheetId="55" hidden="1">[18]ER!#REF!</definedName>
    <definedName name="_10__123Graph_BCPI_ER_LOG" localSheetId="52" hidden="1">[18]ER!#REF!</definedName>
    <definedName name="_10__123Graph_BCPI_ER_LOG" localSheetId="51" hidden="1">[18]ER!#REF!</definedName>
    <definedName name="_10__123Graph_BCPI_ER_LOG" localSheetId="53" hidden="1">[18]ER!#REF!</definedName>
    <definedName name="_10__123Graph_BCPI_ER_LOG" hidden="1">[18]ER!#REF!</definedName>
    <definedName name="_10G" localSheetId="50">#REF!</definedName>
    <definedName name="_10G" localSheetId="47">#REF!</definedName>
    <definedName name="_10G" localSheetId="44">#REF!</definedName>
    <definedName name="_10G" localSheetId="45">#REF!</definedName>
    <definedName name="_10G" localSheetId="46">#REF!</definedName>
    <definedName name="_10G" localSheetId="37">#REF!</definedName>
    <definedName name="_10G" localSheetId="40">#REF!</definedName>
    <definedName name="_10G" localSheetId="54">#REF!</definedName>
    <definedName name="_10G" localSheetId="55">#REF!</definedName>
    <definedName name="_10G" localSheetId="52">#REF!</definedName>
    <definedName name="_10G" localSheetId="51">#REF!</definedName>
    <definedName name="_10G" localSheetId="53">#REF!</definedName>
    <definedName name="_10G">#REF!</definedName>
    <definedName name="_10R" localSheetId="50">#REF!</definedName>
    <definedName name="_10R" localSheetId="47">#REF!</definedName>
    <definedName name="_10R" localSheetId="44">#REF!</definedName>
    <definedName name="_10R" localSheetId="45">#REF!</definedName>
    <definedName name="_10R" localSheetId="46">#REF!</definedName>
    <definedName name="_10R" localSheetId="37">#REF!</definedName>
    <definedName name="_10R" localSheetId="40">#REF!</definedName>
    <definedName name="_10R" localSheetId="54">#REF!</definedName>
    <definedName name="_10R" localSheetId="55">#REF!</definedName>
    <definedName name="_10R" localSheetId="52">#REF!</definedName>
    <definedName name="_10R" localSheetId="51">#REF!</definedName>
    <definedName name="_10R" localSheetId="53">#REF!</definedName>
    <definedName name="_10R">#REF!</definedName>
    <definedName name="_10T" localSheetId="50">#REF!</definedName>
    <definedName name="_10T" localSheetId="47">#REF!</definedName>
    <definedName name="_10T" localSheetId="44">#REF!</definedName>
    <definedName name="_10T" localSheetId="45">#REF!</definedName>
    <definedName name="_10T" localSheetId="46">#REF!</definedName>
    <definedName name="_10T" localSheetId="37">#REF!</definedName>
    <definedName name="_10T" localSheetId="40">#REF!</definedName>
    <definedName name="_10T" localSheetId="54">#REF!</definedName>
    <definedName name="_10T" localSheetId="55">#REF!</definedName>
    <definedName name="_10T" localSheetId="52">#REF!</definedName>
    <definedName name="_10T" localSheetId="51">#REF!</definedName>
    <definedName name="_10T" localSheetId="53">#REF!</definedName>
    <definedName name="_10T">#REF!</definedName>
    <definedName name="_10W" localSheetId="50">#REF!</definedName>
    <definedName name="_10W" localSheetId="47">#REF!</definedName>
    <definedName name="_10W" localSheetId="44">#REF!</definedName>
    <definedName name="_10W" localSheetId="45">#REF!</definedName>
    <definedName name="_10W" localSheetId="46">#REF!</definedName>
    <definedName name="_10W" localSheetId="37">#REF!</definedName>
    <definedName name="_10W" localSheetId="40">#REF!</definedName>
    <definedName name="_10W" localSheetId="54">#REF!</definedName>
    <definedName name="_10W" localSheetId="55">#REF!</definedName>
    <definedName name="_10W" localSheetId="52">#REF!</definedName>
    <definedName name="_10W" localSheetId="51">#REF!</definedName>
    <definedName name="_10W" localSheetId="53">#REF!</definedName>
    <definedName name="_10W">#REF!</definedName>
    <definedName name="_12__123Graph_BIBA_IBRD" localSheetId="50" hidden="1">[18]WB!#REF!</definedName>
    <definedName name="_12__123Graph_BIBA_IBRD" localSheetId="47" hidden="1">[18]WB!#REF!</definedName>
    <definedName name="_12__123Graph_BIBA_IBRD" localSheetId="44" hidden="1">[18]WB!#REF!</definedName>
    <definedName name="_12__123Graph_BIBA_IBRD" localSheetId="45" hidden="1">[18]WB!#REF!</definedName>
    <definedName name="_12__123Graph_BIBA_IBRD" localSheetId="46" hidden="1">[18]WB!#REF!</definedName>
    <definedName name="_12__123Graph_BIBA_IBRD" localSheetId="37" hidden="1">[18]WB!#REF!</definedName>
    <definedName name="_12__123Graph_BIBA_IBRD" localSheetId="40" hidden="1">[18]WB!#REF!</definedName>
    <definedName name="_12__123Graph_BIBA_IBRD" localSheetId="54" hidden="1">[18]WB!#REF!</definedName>
    <definedName name="_12__123Graph_BIBA_IBRD" localSheetId="55" hidden="1">[18]WB!#REF!</definedName>
    <definedName name="_12__123Graph_BIBA_IBRD" localSheetId="52" hidden="1">[18]WB!#REF!</definedName>
    <definedName name="_12__123Graph_BIBA_IBRD" localSheetId="51" hidden="1">[18]WB!#REF!</definedName>
    <definedName name="_12__123Graph_BIBA_IBRD" localSheetId="53" hidden="1">[18]WB!#REF!</definedName>
    <definedName name="_12__123Graph_BIBA_IBRD" hidden="1">[18]WB!#REF!</definedName>
    <definedName name="_13__123Graph_BTERMS_OF_TRADE" localSheetId="50" hidden="1">#REF!</definedName>
    <definedName name="_13__123Graph_BTERMS_OF_TRADE" localSheetId="47" hidden="1">#REF!</definedName>
    <definedName name="_13__123Graph_BTERMS_OF_TRADE" localSheetId="44" hidden="1">#REF!</definedName>
    <definedName name="_13__123Graph_BTERMS_OF_TRADE" localSheetId="45" hidden="1">#REF!</definedName>
    <definedName name="_13__123Graph_BTERMS_OF_TRADE" localSheetId="46" hidden="1">#REF!</definedName>
    <definedName name="_13__123Graph_BTERMS_OF_TRADE" localSheetId="37" hidden="1">#REF!</definedName>
    <definedName name="_13__123Graph_BTERMS_OF_TRADE" localSheetId="40" hidden="1">#REF!</definedName>
    <definedName name="_13__123Graph_BTERMS_OF_TRADE" localSheetId="54" hidden="1">#REF!</definedName>
    <definedName name="_13__123Graph_BTERMS_OF_TRADE" localSheetId="55" hidden="1">#REF!</definedName>
    <definedName name="_13__123Graph_BTERMS_OF_TRADE" localSheetId="52" hidden="1">#REF!</definedName>
    <definedName name="_13__123Graph_BTERMS_OF_TRADE" localSheetId="51" hidden="1">#REF!</definedName>
    <definedName name="_13__123Graph_BTERMS_OF_TRADE" localSheetId="53" hidden="1">#REF!</definedName>
    <definedName name="_13__123Graph_BTERMS_OF_TRADE" hidden="1">#REF!</definedName>
    <definedName name="_14__123Graph_BWB_ADJ_PRJ" hidden="1">[18]WB!$Q$257:$AK$257</definedName>
    <definedName name="_15__123Graph_XFIG_D" localSheetId="50" hidden="1">#REF!</definedName>
    <definedName name="_15__123Graph_XFIG_D" localSheetId="47" hidden="1">#REF!</definedName>
    <definedName name="_15__123Graph_XFIG_D" localSheetId="44" hidden="1">#REF!</definedName>
    <definedName name="_15__123Graph_XFIG_D" localSheetId="45" hidden="1">#REF!</definedName>
    <definedName name="_15__123Graph_XFIG_D" localSheetId="46" hidden="1">#REF!</definedName>
    <definedName name="_15__123Graph_XFIG_D" localSheetId="37" hidden="1">#REF!</definedName>
    <definedName name="_15__123Graph_XFIG_D" localSheetId="40" hidden="1">#REF!</definedName>
    <definedName name="_15__123Graph_XFIG_D" localSheetId="54" hidden="1">#REF!</definedName>
    <definedName name="_15__123Graph_XFIG_D" localSheetId="55" hidden="1">#REF!</definedName>
    <definedName name="_15__123Graph_XFIG_D" localSheetId="52" hidden="1">#REF!</definedName>
    <definedName name="_15__123Graph_XFIG_D" localSheetId="51" hidden="1">#REF!</definedName>
    <definedName name="_15__123Graph_XFIG_D" localSheetId="53" hidden="1">#REF!</definedName>
    <definedName name="_15__123Graph_XFIG_D" hidden="1">#REF!</definedName>
    <definedName name="_17__123Graph_XREALEX_WAGE" localSheetId="50" hidden="1">[19]PRIVATE!#REF!</definedName>
    <definedName name="_17__123Graph_XREALEX_WAGE" localSheetId="47" hidden="1">[19]PRIVATE!#REF!</definedName>
    <definedName name="_17__123Graph_XREALEX_WAGE" localSheetId="44" hidden="1">[19]PRIVATE!#REF!</definedName>
    <definedName name="_17__123Graph_XREALEX_WAGE" localSheetId="45" hidden="1">[19]PRIVATE!#REF!</definedName>
    <definedName name="_17__123Graph_XREALEX_WAGE" localSheetId="46" hidden="1">[19]PRIVATE!#REF!</definedName>
    <definedName name="_17__123Graph_XREALEX_WAGE" localSheetId="37" hidden="1">[19]PRIVATE!#REF!</definedName>
    <definedName name="_17__123Graph_XREALEX_WAGE" localSheetId="40" hidden="1">[19]PRIVATE!#REF!</definedName>
    <definedName name="_17__123Graph_XREALEX_WAGE" localSheetId="54" hidden="1">[19]PRIVATE!#REF!</definedName>
    <definedName name="_17__123Graph_XREALEX_WAGE" localSheetId="55" hidden="1">[19]PRIVATE!#REF!</definedName>
    <definedName name="_17__123Graph_XREALEX_WAGE" localSheetId="52" hidden="1">[19]PRIVATE!#REF!</definedName>
    <definedName name="_17__123Graph_XREALEX_WAGE" localSheetId="51" hidden="1">[19]PRIVATE!#REF!</definedName>
    <definedName name="_17__123Graph_XREALEX_WAGE" localSheetId="53" hidden="1">[19]PRIVATE!#REF!</definedName>
    <definedName name="_17__123Graph_XREALEX_WAGE" hidden="1">[19]PRIVATE!#REF!</definedName>
    <definedName name="_18__123Graph_XTERMS_OF_TRADE" localSheetId="50" hidden="1">#REF!</definedName>
    <definedName name="_18__123Graph_XTERMS_OF_TRADE" localSheetId="47" hidden="1">#REF!</definedName>
    <definedName name="_18__123Graph_XTERMS_OF_TRADE" localSheetId="44" hidden="1">#REF!</definedName>
    <definedName name="_18__123Graph_XTERMS_OF_TRADE" localSheetId="45" hidden="1">#REF!</definedName>
    <definedName name="_18__123Graph_XTERMS_OF_TRADE" localSheetId="46" hidden="1">#REF!</definedName>
    <definedName name="_18__123Graph_XTERMS_OF_TRADE" localSheetId="37" hidden="1">#REF!</definedName>
    <definedName name="_18__123Graph_XTERMS_OF_TRADE" localSheetId="40" hidden="1">#REF!</definedName>
    <definedName name="_18__123Graph_XTERMS_OF_TRADE" localSheetId="54" hidden="1">#REF!</definedName>
    <definedName name="_18__123Graph_XTERMS_OF_TRADE" localSheetId="55" hidden="1">#REF!</definedName>
    <definedName name="_18__123Graph_XTERMS_OF_TRADE" localSheetId="52" hidden="1">#REF!</definedName>
    <definedName name="_18__123Graph_XTERMS_OF_TRADE" localSheetId="51" hidden="1">#REF!</definedName>
    <definedName name="_18__123Graph_XTERMS_OF_TRADE" localSheetId="53" hidden="1">#REF!</definedName>
    <definedName name="_18__123Graph_XTERMS_OF_TRADE" hidden="1">#REF!</definedName>
    <definedName name="_1B.2_B.3" localSheetId="50">#REF!</definedName>
    <definedName name="_1B.2_B.3" localSheetId="47">#REF!</definedName>
    <definedName name="_1B.2_B.3" localSheetId="44">#REF!</definedName>
    <definedName name="_1B.2_B.3" localSheetId="45">#REF!</definedName>
    <definedName name="_1B.2_B.3" localSheetId="46">#REF!</definedName>
    <definedName name="_1B.2_B.3" localSheetId="37">#REF!</definedName>
    <definedName name="_1B.2_B.3" localSheetId="40">#REF!</definedName>
    <definedName name="_1B.2_B.3" localSheetId="54">#REF!</definedName>
    <definedName name="_1B.2_B.3" localSheetId="55">#REF!</definedName>
    <definedName name="_1B.2_B.3" localSheetId="52">#REF!</definedName>
    <definedName name="_1B.2_B.3" localSheetId="51">#REF!</definedName>
    <definedName name="_1B.2_B.3" localSheetId="53">#REF!</definedName>
    <definedName name="_1B.2_B.3">#REF!</definedName>
    <definedName name="_1Macros_Import_.qbop" localSheetId="34">[20]!'[Macros Import].qbop'</definedName>
    <definedName name="_1Macros_Import_.qbop" localSheetId="35">[20]!'[Macros Import].qbop'</definedName>
    <definedName name="_1Macros_Import_.qbop" localSheetId="47">[20]!'[Macros Import].qbop'</definedName>
    <definedName name="_1Macros_Import_.qbop" localSheetId="44">[20]!'[Macros Import].qbop'</definedName>
    <definedName name="_1Macros_Import_.qbop" localSheetId="45">[20]!'[Macros Import].qbop'</definedName>
    <definedName name="_1Macros_Import_.qbop" localSheetId="46">[20]!'[Macros Import].qbop'</definedName>
    <definedName name="_1Macros_Import_.qbop" localSheetId="31">[20]!'[Macros Import].qbop'</definedName>
    <definedName name="_1Macros_Import_.qbop" localSheetId="32">[20]!'[Macros Import].qbop'</definedName>
    <definedName name="_1Macros_Import_.qbop" localSheetId="33">[20]!'[Macros Import].qbop'</definedName>
    <definedName name="_1Macros_Import_.qbop" localSheetId="36">[20]!'[Macros Import].qbop'</definedName>
    <definedName name="_1Macros_Import_.qbop" localSheetId="37">[20]!'[Macros Import].qbop'</definedName>
    <definedName name="_1Macros_Import_.qbop" localSheetId="38">[20]!'[Macros Import].qbop'</definedName>
    <definedName name="_1Macros_Import_.qbop" localSheetId="39">[20]!'[Macros Import].qbop'</definedName>
    <definedName name="_1Macros_Import_.qbop" localSheetId="40">[20]!'[Macros Import].qbop'</definedName>
    <definedName name="_1Macros_Import_.qbop" localSheetId="54">[20]!'[Macros Import].qbop'</definedName>
    <definedName name="_1Macros_Import_.qbop" localSheetId="55">[20]!'[Macros Import].qbop'</definedName>
    <definedName name="_1Macros_Import_.qbop" localSheetId="52">[20]!'[Macros Import].qbop'</definedName>
    <definedName name="_1Macros_Import_.qbop" localSheetId="23">[20]!'[Macros Import].qbop'</definedName>
    <definedName name="_1Macros_Import_.qbop" localSheetId="51">[20]!'[Macros Import].qbop'</definedName>
    <definedName name="_1Macros_Import_.qbop" localSheetId="53">[20]!'[Macros Import].qbop'</definedName>
    <definedName name="_1Macros_Import_.qbop" localSheetId="20">[20]!'[Macros Import].qbop'</definedName>
    <definedName name="_1Macros_Import_.qbop">[20]!'[Macros Import].qbop'</definedName>
    <definedName name="_1r" localSheetId="50">#REF!</definedName>
    <definedName name="_1r" localSheetId="47">#REF!</definedName>
    <definedName name="_1r" localSheetId="44">#REF!</definedName>
    <definedName name="_1r" localSheetId="45">#REF!</definedName>
    <definedName name="_1r" localSheetId="46">#REF!</definedName>
    <definedName name="_1r" localSheetId="37">#REF!</definedName>
    <definedName name="_1r" localSheetId="40">#REF!</definedName>
    <definedName name="_1r" localSheetId="54">#REF!</definedName>
    <definedName name="_1r" localSheetId="55">#REF!</definedName>
    <definedName name="_1r" localSheetId="52">#REF!</definedName>
    <definedName name="_1r" localSheetId="51">#REF!</definedName>
    <definedName name="_1r" localSheetId="53">#REF!</definedName>
    <definedName name="_1r">#REF!</definedName>
    <definedName name="_1TABLE_22" localSheetId="50">#REF!</definedName>
    <definedName name="_1TABLE_22" localSheetId="47">#REF!</definedName>
    <definedName name="_1TABLE_22" localSheetId="44">#REF!</definedName>
    <definedName name="_1TABLE_22" localSheetId="45">#REF!</definedName>
    <definedName name="_1TABLE_22" localSheetId="46">#REF!</definedName>
    <definedName name="_1TABLE_22" localSheetId="37">#REF!</definedName>
    <definedName name="_1TABLE_22" localSheetId="40">#REF!</definedName>
    <definedName name="_1TABLE_22" localSheetId="54">#REF!</definedName>
    <definedName name="_1TABLE_22" localSheetId="55">#REF!</definedName>
    <definedName name="_1TABLE_22" localSheetId="52">#REF!</definedName>
    <definedName name="_1TABLE_22" localSheetId="51">#REF!</definedName>
    <definedName name="_1TABLE_22" localSheetId="53">#REF!</definedName>
    <definedName name="_1TABLE_22">#REF!</definedName>
    <definedName name="_20_0CUADRO_N__4." localSheetId="50">[21]Afiliados!#REF!</definedName>
    <definedName name="_20_0CUADRO_N__4." localSheetId="47">[21]Afiliados!#REF!</definedName>
    <definedName name="_20_0CUADRO_N__4." localSheetId="44">[21]Afiliados!#REF!</definedName>
    <definedName name="_20_0CUADRO_N__4." localSheetId="45">[21]Afiliados!#REF!</definedName>
    <definedName name="_20_0CUADRO_N__4." localSheetId="46">[21]Afiliados!#REF!</definedName>
    <definedName name="_20_0CUADRO_N__4." localSheetId="37">[21]Afiliados!#REF!</definedName>
    <definedName name="_20_0CUADRO_N__4." localSheetId="40">[21]Afiliados!#REF!</definedName>
    <definedName name="_20_0CUADRO_N__4." localSheetId="54">[21]Afiliados!#REF!</definedName>
    <definedName name="_20_0CUADRO_N__4." localSheetId="55">[21]Afiliados!#REF!</definedName>
    <definedName name="_20_0CUADRO_N__4." localSheetId="52">[21]Afiliados!#REF!</definedName>
    <definedName name="_20_0CUADRO_N__4." localSheetId="51">[21]Afiliados!#REF!</definedName>
    <definedName name="_20_0CUADRO_N__4." localSheetId="53">[21]Afiliados!#REF!</definedName>
    <definedName name="_20_0CUADRO_N__4.">[21]Afiliados!#REF!</definedName>
    <definedName name="_20G" localSheetId="50">#REF!</definedName>
    <definedName name="_20G" localSheetId="47">#REF!</definedName>
    <definedName name="_20G" localSheetId="44">#REF!</definedName>
    <definedName name="_20G" localSheetId="45">#REF!</definedName>
    <definedName name="_20G" localSheetId="46">#REF!</definedName>
    <definedName name="_20G" localSheetId="37">#REF!</definedName>
    <definedName name="_20G" localSheetId="40">#REF!</definedName>
    <definedName name="_20G" localSheetId="54">#REF!</definedName>
    <definedName name="_20G" localSheetId="55">#REF!</definedName>
    <definedName name="_20G" localSheetId="52">#REF!</definedName>
    <definedName name="_20G" localSheetId="51">#REF!</definedName>
    <definedName name="_20G" localSheetId="53">#REF!</definedName>
    <definedName name="_20G">#REF!</definedName>
    <definedName name="_20H" localSheetId="50">#REF!</definedName>
    <definedName name="_20H" localSheetId="47">#REF!</definedName>
    <definedName name="_20H" localSheetId="44">#REF!</definedName>
    <definedName name="_20H" localSheetId="45">#REF!</definedName>
    <definedName name="_20H" localSheetId="46">#REF!</definedName>
    <definedName name="_20H" localSheetId="37">#REF!</definedName>
    <definedName name="_20H" localSheetId="40">#REF!</definedName>
    <definedName name="_20H" localSheetId="54">#REF!</definedName>
    <definedName name="_20H" localSheetId="55">#REF!</definedName>
    <definedName name="_20H" localSheetId="52">#REF!</definedName>
    <definedName name="_20H" localSheetId="51">#REF!</definedName>
    <definedName name="_20H" localSheetId="53">#REF!</definedName>
    <definedName name="_20H">#REF!</definedName>
    <definedName name="_20R" localSheetId="50">#REF!</definedName>
    <definedName name="_20R" localSheetId="47">#REF!</definedName>
    <definedName name="_20R" localSheetId="44">#REF!</definedName>
    <definedName name="_20R" localSheetId="45">#REF!</definedName>
    <definedName name="_20R" localSheetId="46">#REF!</definedName>
    <definedName name="_20R" localSheetId="37">#REF!</definedName>
    <definedName name="_20R" localSheetId="40">#REF!</definedName>
    <definedName name="_20R" localSheetId="54">#REF!</definedName>
    <definedName name="_20R" localSheetId="55">#REF!</definedName>
    <definedName name="_20R" localSheetId="52">#REF!</definedName>
    <definedName name="_20R" localSheetId="51">#REF!</definedName>
    <definedName name="_20R" localSheetId="53">#REF!</definedName>
    <definedName name="_20R">#REF!</definedName>
    <definedName name="_20T" localSheetId="50">#REF!</definedName>
    <definedName name="_20T" localSheetId="47">#REF!</definedName>
    <definedName name="_20T" localSheetId="44">#REF!</definedName>
    <definedName name="_20T" localSheetId="45">#REF!</definedName>
    <definedName name="_20T" localSheetId="46">#REF!</definedName>
    <definedName name="_20T" localSheetId="37">#REF!</definedName>
    <definedName name="_20T" localSheetId="40">#REF!</definedName>
    <definedName name="_20T" localSheetId="54">#REF!</definedName>
    <definedName name="_20T" localSheetId="55">#REF!</definedName>
    <definedName name="_20T" localSheetId="52">#REF!</definedName>
    <definedName name="_20T" localSheetId="51">#REF!</definedName>
    <definedName name="_20T" localSheetId="53">#REF!</definedName>
    <definedName name="_20T">#REF!</definedName>
    <definedName name="_20W" localSheetId="50">#REF!</definedName>
    <definedName name="_20W" localSheetId="47">#REF!</definedName>
    <definedName name="_20W" localSheetId="44">#REF!</definedName>
    <definedName name="_20W" localSheetId="45">#REF!</definedName>
    <definedName name="_20W" localSheetId="46">#REF!</definedName>
    <definedName name="_20W" localSheetId="37">#REF!</definedName>
    <definedName name="_20W" localSheetId="40">#REF!</definedName>
    <definedName name="_20W" localSheetId="54">#REF!</definedName>
    <definedName name="_20W" localSheetId="55">#REF!</definedName>
    <definedName name="_20W" localSheetId="52">#REF!</definedName>
    <definedName name="_20W" localSheetId="51">#REF!</definedName>
    <definedName name="_20W" localSheetId="53">#REF!</definedName>
    <definedName name="_20W">#REF!</definedName>
    <definedName name="_22_0GRÁFICO_N_10.2" localSheetId="50">[21]Afiliados!#REF!</definedName>
    <definedName name="_22_0GRÁFICO_N_10.2" localSheetId="47">[21]Afiliados!#REF!</definedName>
    <definedName name="_22_0GRÁFICO_N_10.2" localSheetId="44">[21]Afiliados!#REF!</definedName>
    <definedName name="_22_0GRÁFICO_N_10.2" localSheetId="45">[21]Afiliados!#REF!</definedName>
    <definedName name="_22_0GRÁFICO_N_10.2" localSheetId="46">[21]Afiliados!#REF!</definedName>
    <definedName name="_22_0GRÁFICO_N_10.2" localSheetId="37">[21]Afiliados!#REF!</definedName>
    <definedName name="_22_0GRÁFICO_N_10.2" localSheetId="40">[21]Afiliados!#REF!</definedName>
    <definedName name="_22_0GRÁFICO_N_10.2" localSheetId="54">[21]Afiliados!#REF!</definedName>
    <definedName name="_22_0GRÁFICO_N_10.2" localSheetId="55">[21]Afiliados!#REF!</definedName>
    <definedName name="_22_0GRÁFICO_N_10.2" localSheetId="52">[21]Afiliados!#REF!</definedName>
    <definedName name="_22_0GRÁFICO_N_10.2" localSheetId="51">[21]Afiliados!#REF!</definedName>
    <definedName name="_22_0GRÁFICO_N_10.2" localSheetId="53">[21]Afiliados!#REF!</definedName>
    <definedName name="_22_0GRÁFICO_N_10.2">[21]Afiliados!#REF!</definedName>
    <definedName name="_23TABLE_22" localSheetId="50">#REF!</definedName>
    <definedName name="_23TABLE_22" localSheetId="47">#REF!</definedName>
    <definedName name="_23TABLE_22" localSheetId="44">#REF!</definedName>
    <definedName name="_23TABLE_22" localSheetId="45">#REF!</definedName>
    <definedName name="_23TABLE_22" localSheetId="46">#REF!</definedName>
    <definedName name="_23TABLE_22" localSheetId="37">#REF!</definedName>
    <definedName name="_23TABLE_22" localSheetId="40">#REF!</definedName>
    <definedName name="_23TABLE_22" localSheetId="54">#REF!</definedName>
    <definedName name="_23TABLE_22" localSheetId="55">#REF!</definedName>
    <definedName name="_23TABLE_22" localSheetId="52">#REF!</definedName>
    <definedName name="_23TABLE_22" localSheetId="51">#REF!</definedName>
    <definedName name="_23TABLE_22" localSheetId="53">#REF!</definedName>
    <definedName name="_23TABLE_22">#REF!</definedName>
    <definedName name="_24TABLE_23" localSheetId="50">#REF!</definedName>
    <definedName name="_24TABLE_23" localSheetId="47">#REF!</definedName>
    <definedName name="_24TABLE_23" localSheetId="44">#REF!</definedName>
    <definedName name="_24TABLE_23" localSheetId="45">#REF!</definedName>
    <definedName name="_24TABLE_23" localSheetId="46">#REF!</definedName>
    <definedName name="_24TABLE_23" localSheetId="37">#REF!</definedName>
    <definedName name="_24TABLE_23" localSheetId="40">#REF!</definedName>
    <definedName name="_24TABLE_23" localSheetId="54">#REF!</definedName>
    <definedName name="_24TABLE_23" localSheetId="55">#REF!</definedName>
    <definedName name="_24TABLE_23" localSheetId="52">#REF!</definedName>
    <definedName name="_24TABLE_23" localSheetId="51">#REF!</definedName>
    <definedName name="_24TABLE_23" localSheetId="53">#REF!</definedName>
    <definedName name="_24TABLE_23">#REF!</definedName>
    <definedName name="_2B.4___5" localSheetId="50">#REF!</definedName>
    <definedName name="_2B.4___5" localSheetId="47">#REF!</definedName>
    <definedName name="_2B.4___5" localSheetId="44">#REF!</definedName>
    <definedName name="_2B.4___5" localSheetId="45">#REF!</definedName>
    <definedName name="_2B.4___5" localSheetId="46">#REF!</definedName>
    <definedName name="_2B.4___5" localSheetId="37">#REF!</definedName>
    <definedName name="_2B.4___5" localSheetId="40">#REF!</definedName>
    <definedName name="_2B.4___5" localSheetId="54">#REF!</definedName>
    <definedName name="_2B.4___5" localSheetId="55">#REF!</definedName>
    <definedName name="_2B.4___5" localSheetId="52">#REF!</definedName>
    <definedName name="_2B.4___5" localSheetId="51">#REF!</definedName>
    <definedName name="_2B.4___5" localSheetId="53">#REF!</definedName>
    <definedName name="_2B.4___5">#REF!</definedName>
    <definedName name="_2Macros_Import_.qbop" localSheetId="47">[22]!'[Macros Import].qbop'</definedName>
    <definedName name="_2Macros_Import_.qbop" localSheetId="44">[22]!'[Macros Import].qbop'</definedName>
    <definedName name="_2Macros_Import_.qbop" localSheetId="45">[22]!'[Macros Import].qbop'</definedName>
    <definedName name="_2Macros_Import_.qbop" localSheetId="46">[22]!'[Macros Import].qbop'</definedName>
    <definedName name="_2Macros_Import_.qbop" localSheetId="37">[22]!'[Macros Import].qbop'</definedName>
    <definedName name="_2Macros_Import_.qbop" localSheetId="40">[22]!'[Macros Import].qbop'</definedName>
    <definedName name="_2Macros_Import_.qbop" localSheetId="54">[22]!'[Macros Import].qbop'</definedName>
    <definedName name="_2Macros_Import_.qbop" localSheetId="55">[22]!'[Macros Import].qbop'</definedName>
    <definedName name="_2Macros_Import_.qbop" localSheetId="52">[22]!'[Macros Import].qbop'</definedName>
    <definedName name="_2Macros_Import_.qbop" localSheetId="51">[22]!'[Macros Import].qbop'</definedName>
    <definedName name="_2Macros_Import_.qbop" localSheetId="53">[22]!'[Macros Import].qbop'</definedName>
    <definedName name="_2Macros_Import_.qbop">[22]!'[Macros Import].qbop'</definedName>
    <definedName name="_2TABLE_22" localSheetId="50">#REF!</definedName>
    <definedName name="_2TABLE_22" localSheetId="47">#REF!</definedName>
    <definedName name="_2TABLE_22" localSheetId="44">#REF!</definedName>
    <definedName name="_2TABLE_22" localSheetId="45">#REF!</definedName>
    <definedName name="_2TABLE_22" localSheetId="46">#REF!</definedName>
    <definedName name="_2TABLE_22" localSheetId="37">#REF!</definedName>
    <definedName name="_2TABLE_22" localSheetId="40">#REF!</definedName>
    <definedName name="_2TABLE_22" localSheetId="54">#REF!</definedName>
    <definedName name="_2TABLE_22" localSheetId="55">#REF!</definedName>
    <definedName name="_2TABLE_22" localSheetId="52">#REF!</definedName>
    <definedName name="_2TABLE_22" localSheetId="51">#REF!</definedName>
    <definedName name="_2TABLE_22" localSheetId="53">#REF!</definedName>
    <definedName name="_2TABLE_22">#REF!</definedName>
    <definedName name="_2TABLE_23" localSheetId="50">#REF!</definedName>
    <definedName name="_2TABLE_23" localSheetId="47">#REF!</definedName>
    <definedName name="_2TABLE_23" localSheetId="44">#REF!</definedName>
    <definedName name="_2TABLE_23" localSheetId="45">#REF!</definedName>
    <definedName name="_2TABLE_23" localSheetId="46">#REF!</definedName>
    <definedName name="_2TABLE_23" localSheetId="37">#REF!</definedName>
    <definedName name="_2TABLE_23" localSheetId="40">#REF!</definedName>
    <definedName name="_2TABLE_23" localSheetId="54">#REF!</definedName>
    <definedName name="_2TABLE_23" localSheetId="55">#REF!</definedName>
    <definedName name="_2TABLE_23" localSheetId="52">#REF!</definedName>
    <definedName name="_2TABLE_23" localSheetId="51">#REF!</definedName>
    <definedName name="_2TABLE_23" localSheetId="53">#REF!</definedName>
    <definedName name="_2TABLE_23">#REF!</definedName>
    <definedName name="_3__123Graph_ACPI_ER_LOG" localSheetId="50" hidden="1">[14]ER!#REF!</definedName>
    <definedName name="_3__123Graph_ACPI_ER_LOG" localSheetId="47" hidden="1">[14]ER!#REF!</definedName>
    <definedName name="_3__123Graph_ACPI_ER_LOG" localSheetId="44" hidden="1">[14]ER!#REF!</definedName>
    <definedName name="_3__123Graph_ACPI_ER_LOG" localSheetId="45" hidden="1">[14]ER!#REF!</definedName>
    <definedName name="_3__123Graph_ACPI_ER_LOG" localSheetId="46" hidden="1">[14]ER!#REF!</definedName>
    <definedName name="_3__123Graph_ACPI_ER_LOG" localSheetId="37" hidden="1">[14]ER!#REF!</definedName>
    <definedName name="_3__123Graph_ACPI_ER_LOG" localSheetId="40" hidden="1">[14]ER!#REF!</definedName>
    <definedName name="_3__123Graph_ACPI_ER_LOG" localSheetId="54" hidden="1">[14]ER!#REF!</definedName>
    <definedName name="_3__123Graph_ACPI_ER_LOG" localSheetId="55" hidden="1">[14]ER!#REF!</definedName>
    <definedName name="_3__123Graph_ACPI_ER_LOG" localSheetId="52" hidden="1">[14]ER!#REF!</definedName>
    <definedName name="_3__123Graph_ACPI_ER_LOG" localSheetId="51" hidden="1">[14]ER!#REF!</definedName>
    <definedName name="_3__123Graph_ACPI_ER_LOG" localSheetId="53" hidden="1">[14]ER!#REF!</definedName>
    <definedName name="_3__123Graph_ACPI_ER_LOG" hidden="1">[14]ER!#REF!</definedName>
    <definedName name="_30G" localSheetId="50">#REF!</definedName>
    <definedName name="_30G" localSheetId="47">#REF!</definedName>
    <definedName name="_30G" localSheetId="44">#REF!</definedName>
    <definedName name="_30G" localSheetId="45">#REF!</definedName>
    <definedName name="_30G" localSheetId="46">#REF!</definedName>
    <definedName name="_30G" localSheetId="37">#REF!</definedName>
    <definedName name="_30G" localSheetId="40">#REF!</definedName>
    <definedName name="_30G" localSheetId="54">#REF!</definedName>
    <definedName name="_30G" localSheetId="55">#REF!</definedName>
    <definedName name="_30G" localSheetId="52">#REF!</definedName>
    <definedName name="_30G" localSheetId="51">#REF!</definedName>
    <definedName name="_30G" localSheetId="53">#REF!</definedName>
    <definedName name="_30G">#REF!</definedName>
    <definedName name="_30R" localSheetId="50">#REF!</definedName>
    <definedName name="_30R" localSheetId="47">#REF!</definedName>
    <definedName name="_30R" localSheetId="44">#REF!</definedName>
    <definedName name="_30R" localSheetId="45">#REF!</definedName>
    <definedName name="_30R" localSheetId="46">#REF!</definedName>
    <definedName name="_30R" localSheetId="37">#REF!</definedName>
    <definedName name="_30R" localSheetId="40">#REF!</definedName>
    <definedName name="_30R" localSheetId="54">#REF!</definedName>
    <definedName name="_30R" localSheetId="55">#REF!</definedName>
    <definedName name="_30R" localSheetId="52">#REF!</definedName>
    <definedName name="_30R" localSheetId="51">#REF!</definedName>
    <definedName name="_30R" localSheetId="53">#REF!</definedName>
    <definedName name="_30R">#REF!</definedName>
    <definedName name="_30T" localSheetId="50">#REF!</definedName>
    <definedName name="_30T" localSheetId="47">#REF!</definedName>
    <definedName name="_30T" localSheetId="44">#REF!</definedName>
    <definedName name="_30T" localSheetId="45">#REF!</definedName>
    <definedName name="_30T" localSheetId="46">#REF!</definedName>
    <definedName name="_30T" localSheetId="37">#REF!</definedName>
    <definedName name="_30T" localSheetId="40">#REF!</definedName>
    <definedName name="_30T" localSheetId="54">#REF!</definedName>
    <definedName name="_30T" localSheetId="55">#REF!</definedName>
    <definedName name="_30T" localSheetId="52">#REF!</definedName>
    <definedName name="_30T" localSheetId="51">#REF!</definedName>
    <definedName name="_30T" localSheetId="53">#REF!</definedName>
    <definedName name="_30T">#REF!</definedName>
    <definedName name="_30W" localSheetId="50">#REF!</definedName>
    <definedName name="_30W" localSheetId="47">#REF!</definedName>
    <definedName name="_30W" localSheetId="44">#REF!</definedName>
    <definedName name="_30W" localSheetId="45">#REF!</definedName>
    <definedName name="_30W" localSheetId="46">#REF!</definedName>
    <definedName name="_30W" localSheetId="37">#REF!</definedName>
    <definedName name="_30W" localSheetId="40">#REF!</definedName>
    <definedName name="_30W" localSheetId="54">#REF!</definedName>
    <definedName name="_30W" localSheetId="55">#REF!</definedName>
    <definedName name="_30W" localSheetId="52">#REF!</definedName>
    <definedName name="_30W" localSheetId="51">#REF!</definedName>
    <definedName name="_30W" localSheetId="53">#REF!</definedName>
    <definedName name="_30W">#REF!</definedName>
    <definedName name="_3CONSOL_B2" localSheetId="50">#REF!</definedName>
    <definedName name="_3CONSOL_B2" localSheetId="47">#REF!</definedName>
    <definedName name="_3CONSOL_B2" localSheetId="44">#REF!</definedName>
    <definedName name="_3CONSOL_B2" localSheetId="45">#REF!</definedName>
    <definedName name="_3CONSOL_B2" localSheetId="46">#REF!</definedName>
    <definedName name="_3CONSOL_B2" localSheetId="37">#REF!</definedName>
    <definedName name="_3CONSOL_B2" localSheetId="40">#REF!</definedName>
    <definedName name="_3CONSOL_B2" localSheetId="54">#REF!</definedName>
    <definedName name="_3CONSOL_B2" localSheetId="55">#REF!</definedName>
    <definedName name="_3CONSOL_B2" localSheetId="52">#REF!</definedName>
    <definedName name="_3CONSOL_B2" localSheetId="51">#REF!</definedName>
    <definedName name="_3CONSOL_B2" localSheetId="53">#REF!</definedName>
    <definedName name="_3CONSOL_B2">#REF!</definedName>
    <definedName name="_4__123Graph_ACPI_ER_LOG" localSheetId="50" hidden="1">[18]ER!#REF!</definedName>
    <definedName name="_4__123Graph_ACPI_ER_LOG" localSheetId="47" hidden="1">[18]ER!#REF!</definedName>
    <definedName name="_4__123Graph_ACPI_ER_LOG" localSheetId="44" hidden="1">[18]ER!#REF!</definedName>
    <definedName name="_4__123Graph_ACPI_ER_LOG" localSheetId="45" hidden="1">[18]ER!#REF!</definedName>
    <definedName name="_4__123Graph_ACPI_ER_LOG" localSheetId="46" hidden="1">[18]ER!#REF!</definedName>
    <definedName name="_4__123Graph_ACPI_ER_LOG" localSheetId="37" hidden="1">[18]ER!#REF!</definedName>
    <definedName name="_4__123Graph_ACPI_ER_LOG" localSheetId="40" hidden="1">[18]ER!#REF!</definedName>
    <definedName name="_4__123Graph_ACPI_ER_LOG" localSheetId="54" hidden="1">[18]ER!#REF!</definedName>
    <definedName name="_4__123Graph_ACPI_ER_LOG" localSheetId="55" hidden="1">[18]ER!#REF!</definedName>
    <definedName name="_4__123Graph_ACPI_ER_LOG" localSheetId="52" hidden="1">[18]ER!#REF!</definedName>
    <definedName name="_4__123Graph_ACPI_ER_LOG" localSheetId="51" hidden="1">[18]ER!#REF!</definedName>
    <definedName name="_4__123Graph_ACPI_ER_LOG" localSheetId="53" hidden="1">[18]ER!#REF!</definedName>
    <definedName name="_4__123Graph_ACPI_ER_LOG" hidden="1">[18]ER!#REF!</definedName>
    <definedName name="_4__123Graph_BCPI_ER_LOG" localSheetId="50" hidden="1">[14]ER!#REF!</definedName>
    <definedName name="_4__123Graph_BCPI_ER_LOG" localSheetId="47" hidden="1">[14]ER!#REF!</definedName>
    <definedName name="_4__123Graph_BCPI_ER_LOG" localSheetId="44" hidden="1">[14]ER!#REF!</definedName>
    <definedName name="_4__123Graph_BCPI_ER_LOG" localSheetId="45" hidden="1">[14]ER!#REF!</definedName>
    <definedName name="_4__123Graph_BCPI_ER_LOG" localSheetId="46" hidden="1">[14]ER!#REF!</definedName>
    <definedName name="_4__123Graph_BCPI_ER_LOG" localSheetId="37" hidden="1">[14]ER!#REF!</definedName>
    <definedName name="_4__123Graph_BCPI_ER_LOG" localSheetId="40" hidden="1">[14]ER!#REF!</definedName>
    <definedName name="_4__123Graph_BCPI_ER_LOG" localSheetId="54" hidden="1">[14]ER!#REF!</definedName>
    <definedName name="_4__123Graph_BCPI_ER_LOG" localSheetId="55" hidden="1">[14]ER!#REF!</definedName>
    <definedName name="_4__123Graph_BCPI_ER_LOG" localSheetId="52" hidden="1">[14]ER!#REF!</definedName>
    <definedName name="_4__123Graph_BCPI_ER_LOG" localSheetId="51" hidden="1">[14]ER!#REF!</definedName>
    <definedName name="_4__123Graph_BCPI_ER_LOG" localSheetId="53" hidden="1">[14]ER!#REF!</definedName>
    <definedName name="_4__123Graph_BCPI_ER_LOG" hidden="1">[14]ER!#REF!</definedName>
    <definedName name="_4__Highly_likely_probable__76__100" localSheetId="50">#REF!</definedName>
    <definedName name="_4__Highly_likely_probable__76__100" localSheetId="47">#REF!</definedName>
    <definedName name="_4__Highly_likely_probable__76__100" localSheetId="44">#REF!</definedName>
    <definedName name="_4__Highly_likely_probable__76__100" localSheetId="45">#REF!</definedName>
    <definedName name="_4__Highly_likely_probable__76__100" localSheetId="46">#REF!</definedName>
    <definedName name="_4__Highly_likely_probable__76__100" localSheetId="37">#REF!</definedName>
    <definedName name="_4__Highly_likely_probable__76__100" localSheetId="40">#REF!</definedName>
    <definedName name="_4__Highly_likely_probable__76__100" localSheetId="54">#REF!</definedName>
    <definedName name="_4__Highly_likely_probable__76__100" localSheetId="55">#REF!</definedName>
    <definedName name="_4__Highly_likely_probable__76__100" localSheetId="52">#REF!</definedName>
    <definedName name="_4__Highly_likely_probable__76__100" localSheetId="51">#REF!</definedName>
    <definedName name="_4__Highly_likely_probable__76__100" localSheetId="53">#REF!</definedName>
    <definedName name="_4__Highly_likely_probable__76__100">#REF!</definedName>
    <definedName name="_401T" localSheetId="50">#REF!</definedName>
    <definedName name="_401T" localSheetId="47">#REF!</definedName>
    <definedName name="_401T" localSheetId="44">#REF!</definedName>
    <definedName name="_401T" localSheetId="45">#REF!</definedName>
    <definedName name="_401T" localSheetId="46">#REF!</definedName>
    <definedName name="_401T" localSheetId="37">#REF!</definedName>
    <definedName name="_401T" localSheetId="40">#REF!</definedName>
    <definedName name="_401T" localSheetId="54">#REF!</definedName>
    <definedName name="_401T" localSheetId="55">#REF!</definedName>
    <definedName name="_401T" localSheetId="52">#REF!</definedName>
    <definedName name="_401T" localSheetId="51">#REF!</definedName>
    <definedName name="_401T" localSheetId="53">#REF!</definedName>
    <definedName name="_401T">#REF!</definedName>
    <definedName name="_40G" localSheetId="50">#REF!</definedName>
    <definedName name="_40G" localSheetId="47">#REF!</definedName>
    <definedName name="_40G" localSheetId="44">#REF!</definedName>
    <definedName name="_40G" localSheetId="45">#REF!</definedName>
    <definedName name="_40G" localSheetId="46">#REF!</definedName>
    <definedName name="_40G" localSheetId="37">#REF!</definedName>
    <definedName name="_40G" localSheetId="40">#REF!</definedName>
    <definedName name="_40G" localSheetId="54">#REF!</definedName>
    <definedName name="_40G" localSheetId="55">#REF!</definedName>
    <definedName name="_40G" localSheetId="52">#REF!</definedName>
    <definedName name="_40G" localSheetId="51">#REF!</definedName>
    <definedName name="_40G" localSheetId="53">#REF!</definedName>
    <definedName name="_40G">#REF!</definedName>
    <definedName name="_40IFNB40G" localSheetId="50">#REF!</definedName>
    <definedName name="_40IFNB40G" localSheetId="47">#REF!</definedName>
    <definedName name="_40IFNB40G" localSheetId="44">#REF!</definedName>
    <definedName name="_40IFNB40G" localSheetId="45">#REF!</definedName>
    <definedName name="_40IFNB40G" localSheetId="46">#REF!</definedName>
    <definedName name="_40IFNB40G" localSheetId="37">#REF!</definedName>
    <definedName name="_40IFNB40G" localSheetId="40">#REF!</definedName>
    <definedName name="_40IFNB40G" localSheetId="54">#REF!</definedName>
    <definedName name="_40IFNB40G" localSheetId="55">#REF!</definedName>
    <definedName name="_40IFNB40G" localSheetId="52">#REF!</definedName>
    <definedName name="_40IFNB40G" localSheetId="51">#REF!</definedName>
    <definedName name="_40IFNB40G" localSheetId="53">#REF!</definedName>
    <definedName name="_40IFNB40G">#REF!</definedName>
    <definedName name="_40IFNBR" localSheetId="50">#REF!</definedName>
    <definedName name="_40IFNBR" localSheetId="47">#REF!</definedName>
    <definedName name="_40IFNBR" localSheetId="44">#REF!</definedName>
    <definedName name="_40IFNBR" localSheetId="45">#REF!</definedName>
    <definedName name="_40IFNBR" localSheetId="46">#REF!</definedName>
    <definedName name="_40IFNBR" localSheetId="37">#REF!</definedName>
    <definedName name="_40IFNBR" localSheetId="40">#REF!</definedName>
    <definedName name="_40IFNBR" localSheetId="54">#REF!</definedName>
    <definedName name="_40IFNBR" localSheetId="55">#REF!</definedName>
    <definedName name="_40IFNBR" localSheetId="52">#REF!</definedName>
    <definedName name="_40IFNBR" localSheetId="51">#REF!</definedName>
    <definedName name="_40IFNBR" localSheetId="53">#REF!</definedName>
    <definedName name="_40IFNBR">#REF!</definedName>
    <definedName name="_40IFNBW" localSheetId="50">#REF!</definedName>
    <definedName name="_40IFNBW" localSheetId="47">#REF!</definedName>
    <definedName name="_40IFNBW" localSheetId="44">#REF!</definedName>
    <definedName name="_40IFNBW" localSheetId="45">#REF!</definedName>
    <definedName name="_40IFNBW" localSheetId="46">#REF!</definedName>
    <definedName name="_40IFNBW" localSheetId="37">#REF!</definedName>
    <definedName name="_40IFNBW" localSheetId="40">#REF!</definedName>
    <definedName name="_40IFNBW" localSheetId="54">#REF!</definedName>
    <definedName name="_40IFNBW" localSheetId="55">#REF!</definedName>
    <definedName name="_40IFNBW" localSheetId="52">#REF!</definedName>
    <definedName name="_40IFNBW" localSheetId="51">#REF!</definedName>
    <definedName name="_40IFNBW" localSheetId="53">#REF!</definedName>
    <definedName name="_40IFNBW">#REF!</definedName>
    <definedName name="_40R" localSheetId="50">#REF!</definedName>
    <definedName name="_40R" localSheetId="47">#REF!</definedName>
    <definedName name="_40R" localSheetId="44">#REF!</definedName>
    <definedName name="_40R" localSheetId="45">#REF!</definedName>
    <definedName name="_40R" localSheetId="46">#REF!</definedName>
    <definedName name="_40R" localSheetId="37">#REF!</definedName>
    <definedName name="_40R" localSheetId="40">#REF!</definedName>
    <definedName name="_40R" localSheetId="54">#REF!</definedName>
    <definedName name="_40R" localSheetId="55">#REF!</definedName>
    <definedName name="_40R" localSheetId="52">#REF!</definedName>
    <definedName name="_40R" localSheetId="51">#REF!</definedName>
    <definedName name="_40R" localSheetId="53">#REF!</definedName>
    <definedName name="_40R">#REF!</definedName>
    <definedName name="_40T" localSheetId="50">#REF!</definedName>
    <definedName name="_40T" localSheetId="47">#REF!</definedName>
    <definedName name="_40T" localSheetId="44">#REF!</definedName>
    <definedName name="_40T" localSheetId="45">#REF!</definedName>
    <definedName name="_40T" localSheetId="46">#REF!</definedName>
    <definedName name="_40T" localSheetId="37">#REF!</definedName>
    <definedName name="_40T" localSheetId="40">#REF!</definedName>
    <definedName name="_40T" localSheetId="54">#REF!</definedName>
    <definedName name="_40T" localSheetId="55">#REF!</definedName>
    <definedName name="_40T" localSheetId="52">#REF!</definedName>
    <definedName name="_40T" localSheetId="51">#REF!</definedName>
    <definedName name="_40T" localSheetId="53">#REF!</definedName>
    <definedName name="_40T">#REF!</definedName>
    <definedName name="_40W" localSheetId="50">#REF!</definedName>
    <definedName name="_40W" localSheetId="47">#REF!</definedName>
    <definedName name="_40W" localSheetId="44">#REF!</definedName>
    <definedName name="_40W" localSheetId="45">#REF!</definedName>
    <definedName name="_40W" localSheetId="46">#REF!</definedName>
    <definedName name="_40W" localSheetId="37">#REF!</definedName>
    <definedName name="_40W" localSheetId="40">#REF!</definedName>
    <definedName name="_40W" localSheetId="54">#REF!</definedName>
    <definedName name="_40W" localSheetId="55">#REF!</definedName>
    <definedName name="_40W" localSheetId="52">#REF!</definedName>
    <definedName name="_40W" localSheetId="51">#REF!</definedName>
    <definedName name="_40W" localSheetId="53">#REF!</definedName>
    <definedName name="_40W">#REF!</definedName>
    <definedName name="_4CONSOL_DEPOSITS" localSheetId="50">'[23]A 11'!#REF!</definedName>
    <definedName name="_4CONSOL_DEPOSITS" localSheetId="47">'[23]A 11'!#REF!</definedName>
    <definedName name="_4CONSOL_DEPOSITS" localSheetId="44">'[23]A 11'!#REF!</definedName>
    <definedName name="_4CONSOL_DEPOSITS" localSheetId="45">'[23]A 11'!#REF!</definedName>
    <definedName name="_4CONSOL_DEPOSITS" localSheetId="46">'[23]A 11'!#REF!</definedName>
    <definedName name="_4CONSOL_DEPOSITS" localSheetId="37">'[23]A 11'!#REF!</definedName>
    <definedName name="_4CONSOL_DEPOSITS" localSheetId="40">'[23]A 11'!#REF!</definedName>
    <definedName name="_4CONSOL_DEPOSITS" localSheetId="54">'[24]A 11'!#REF!</definedName>
    <definedName name="_4CONSOL_DEPOSITS" localSheetId="55">'[23]A 11'!#REF!</definedName>
    <definedName name="_4CONSOL_DEPOSITS" localSheetId="52">'[23]A 11'!#REF!</definedName>
    <definedName name="_4CONSOL_DEPOSITS" localSheetId="51">'[23]A 11'!#REF!</definedName>
    <definedName name="_4CONSOL_DEPOSITS" localSheetId="53">'[23]A 11'!#REF!</definedName>
    <definedName name="_4CONSOL_DEPOSITS">'[23]A 11'!#REF!</definedName>
    <definedName name="_4TABLE_23" localSheetId="50">#REF!</definedName>
    <definedName name="_4TABLE_23" localSheetId="47">#REF!</definedName>
    <definedName name="_4TABLE_23" localSheetId="44">#REF!</definedName>
    <definedName name="_4TABLE_23" localSheetId="45">#REF!</definedName>
    <definedName name="_4TABLE_23" localSheetId="46">#REF!</definedName>
    <definedName name="_4TABLE_23" localSheetId="37">#REF!</definedName>
    <definedName name="_4TABLE_23" localSheetId="40">#REF!</definedName>
    <definedName name="_4TABLE_23" localSheetId="54">#REF!</definedName>
    <definedName name="_4TABLE_23" localSheetId="55">#REF!</definedName>
    <definedName name="_4TABLE_23" localSheetId="52">#REF!</definedName>
    <definedName name="_4TABLE_23" localSheetId="51">#REF!</definedName>
    <definedName name="_4TABLE_23" localSheetId="53">#REF!</definedName>
    <definedName name="_4TABLE_23">#REF!</definedName>
    <definedName name="_5__123Graph_AFIG_D" localSheetId="50" hidden="1">#REF!</definedName>
    <definedName name="_5__123Graph_AFIG_D" localSheetId="47" hidden="1">#REF!</definedName>
    <definedName name="_5__123Graph_AFIG_D" localSheetId="44" hidden="1">#REF!</definedName>
    <definedName name="_5__123Graph_AFIG_D" localSheetId="45" hidden="1">#REF!</definedName>
    <definedName name="_5__123Graph_AFIG_D" localSheetId="46" hidden="1">#REF!</definedName>
    <definedName name="_5__123Graph_AFIG_D" localSheetId="37" hidden="1">#REF!</definedName>
    <definedName name="_5__123Graph_AFIG_D" localSheetId="40" hidden="1">#REF!</definedName>
    <definedName name="_5__123Graph_AFIG_D" localSheetId="54" hidden="1">#REF!</definedName>
    <definedName name="_5__123Graph_AFIG_D" localSheetId="55" hidden="1">#REF!</definedName>
    <definedName name="_5__123Graph_AFIG_D" localSheetId="52" hidden="1">#REF!</definedName>
    <definedName name="_5__123Graph_AFIG_D" localSheetId="51" hidden="1">#REF!</definedName>
    <definedName name="_5__123Graph_AFIG_D" localSheetId="53" hidden="1">#REF!</definedName>
    <definedName name="_5__123Graph_AFIG_D" hidden="1">#REF!</definedName>
    <definedName name="_5__123Graph_BIBA_IBRD" localSheetId="50" hidden="1">[14]WB!#REF!</definedName>
    <definedName name="_5__123Graph_BIBA_IBRD" localSheetId="47" hidden="1">[14]WB!#REF!</definedName>
    <definedName name="_5__123Graph_BIBA_IBRD" localSheetId="44" hidden="1">[14]WB!#REF!</definedName>
    <definedName name="_5__123Graph_BIBA_IBRD" localSheetId="45" hidden="1">[14]WB!#REF!</definedName>
    <definedName name="_5__123Graph_BIBA_IBRD" localSheetId="46" hidden="1">[14]WB!#REF!</definedName>
    <definedName name="_5__123Graph_BIBA_IBRD" localSheetId="37" hidden="1">[14]WB!#REF!</definedName>
    <definedName name="_5__123Graph_BIBA_IBRD" localSheetId="40" hidden="1">[14]WB!#REF!</definedName>
    <definedName name="_5__123Graph_BIBA_IBRD" localSheetId="54" hidden="1">[14]WB!#REF!</definedName>
    <definedName name="_5__123Graph_BIBA_IBRD" localSheetId="55" hidden="1">[14]WB!#REF!</definedName>
    <definedName name="_5__123Graph_BIBA_IBRD" localSheetId="52" hidden="1">[14]WB!#REF!</definedName>
    <definedName name="_5__123Graph_BIBA_IBRD" localSheetId="51" hidden="1">[14]WB!#REF!</definedName>
    <definedName name="_5__123Graph_BIBA_IBRD" localSheetId="53" hidden="1">[14]WB!#REF!</definedName>
    <definedName name="_5__123Graph_BIBA_IBRD" hidden="1">[14]WB!#REF!</definedName>
    <definedName name="_501T" localSheetId="50">#REF!</definedName>
    <definedName name="_501T" localSheetId="47">#REF!</definedName>
    <definedName name="_501T" localSheetId="44">#REF!</definedName>
    <definedName name="_501T" localSheetId="45">#REF!</definedName>
    <definedName name="_501T" localSheetId="46">#REF!</definedName>
    <definedName name="_501T" localSheetId="37">#REF!</definedName>
    <definedName name="_501T" localSheetId="40">#REF!</definedName>
    <definedName name="_501T" localSheetId="54">#REF!</definedName>
    <definedName name="_501T" localSheetId="55">#REF!</definedName>
    <definedName name="_501T" localSheetId="52">#REF!</definedName>
    <definedName name="_501T" localSheetId="51">#REF!</definedName>
    <definedName name="_501T" localSheetId="53">#REF!</definedName>
    <definedName name="_501T">#REF!</definedName>
    <definedName name="_50BS" localSheetId="50">#REF!</definedName>
    <definedName name="_50BS" localSheetId="47">#REF!</definedName>
    <definedName name="_50BS" localSheetId="44">#REF!</definedName>
    <definedName name="_50BS" localSheetId="45">#REF!</definedName>
    <definedName name="_50BS" localSheetId="46">#REF!</definedName>
    <definedName name="_50BS" localSheetId="37">#REF!</definedName>
    <definedName name="_50BS" localSheetId="40">#REF!</definedName>
    <definedName name="_50BS" localSheetId="54">#REF!</definedName>
    <definedName name="_50BS" localSheetId="55">#REF!</definedName>
    <definedName name="_50BS" localSheetId="52">#REF!</definedName>
    <definedName name="_50BS" localSheetId="51">#REF!</definedName>
    <definedName name="_50BS" localSheetId="53">#REF!</definedName>
    <definedName name="_50BS">#REF!</definedName>
    <definedName name="_50BSH" localSheetId="50">#REF!</definedName>
    <definedName name="_50BSH" localSheetId="47">#REF!</definedName>
    <definedName name="_50BSH" localSheetId="44">#REF!</definedName>
    <definedName name="_50BSH" localSheetId="45">#REF!</definedName>
    <definedName name="_50BSH" localSheetId="46">#REF!</definedName>
    <definedName name="_50BSH" localSheetId="37">#REF!</definedName>
    <definedName name="_50BSH" localSheetId="40">#REF!</definedName>
    <definedName name="_50BSH" localSheetId="54">#REF!</definedName>
    <definedName name="_50BSH" localSheetId="55">#REF!</definedName>
    <definedName name="_50BSH" localSheetId="52">#REF!</definedName>
    <definedName name="_50BSH" localSheetId="51">#REF!</definedName>
    <definedName name="_50BSH" localSheetId="53">#REF!</definedName>
    <definedName name="_50BSH">#REF!</definedName>
    <definedName name="_50FSG" localSheetId="50">#REF!</definedName>
    <definedName name="_50FSG" localSheetId="47">#REF!</definedName>
    <definedName name="_50FSG" localSheetId="44">#REF!</definedName>
    <definedName name="_50FSG" localSheetId="45">#REF!</definedName>
    <definedName name="_50FSG" localSheetId="46">#REF!</definedName>
    <definedName name="_50FSG" localSheetId="37">#REF!</definedName>
    <definedName name="_50FSG" localSheetId="40">#REF!</definedName>
    <definedName name="_50FSG" localSheetId="54">#REF!</definedName>
    <definedName name="_50FSG" localSheetId="55">#REF!</definedName>
    <definedName name="_50FSG" localSheetId="52">#REF!</definedName>
    <definedName name="_50FSG" localSheetId="51">#REF!</definedName>
    <definedName name="_50FSG" localSheetId="53">#REF!</definedName>
    <definedName name="_50FSG">#REF!</definedName>
    <definedName name="_50FSW" localSheetId="50">#REF!</definedName>
    <definedName name="_50FSW" localSheetId="47">#REF!</definedName>
    <definedName name="_50FSW" localSheetId="44">#REF!</definedName>
    <definedName name="_50FSW" localSheetId="45">#REF!</definedName>
    <definedName name="_50FSW" localSheetId="46">#REF!</definedName>
    <definedName name="_50FSW" localSheetId="37">#REF!</definedName>
    <definedName name="_50FSW" localSheetId="40">#REF!</definedName>
    <definedName name="_50FSW" localSheetId="54">#REF!</definedName>
    <definedName name="_50FSW" localSheetId="55">#REF!</definedName>
    <definedName name="_50FSW" localSheetId="52">#REF!</definedName>
    <definedName name="_50FSW" localSheetId="51">#REF!</definedName>
    <definedName name="_50FSW" localSheetId="53">#REF!</definedName>
    <definedName name="_50FSW">#REF!</definedName>
    <definedName name="_50T" localSheetId="50">#REF!</definedName>
    <definedName name="_50T" localSheetId="47">#REF!</definedName>
    <definedName name="_50T" localSheetId="44">#REF!</definedName>
    <definedName name="_50T" localSheetId="45">#REF!</definedName>
    <definedName name="_50T" localSheetId="46">#REF!</definedName>
    <definedName name="_50T" localSheetId="37">#REF!</definedName>
    <definedName name="_50T" localSheetId="40">#REF!</definedName>
    <definedName name="_50T" localSheetId="54">#REF!</definedName>
    <definedName name="_50T" localSheetId="55">#REF!</definedName>
    <definedName name="_50T" localSheetId="52">#REF!</definedName>
    <definedName name="_50T" localSheetId="51">#REF!</definedName>
    <definedName name="_50T" localSheetId="53">#REF!</definedName>
    <definedName name="_50T">#REF!</definedName>
    <definedName name="_5FA_L" localSheetId="50">#REF!</definedName>
    <definedName name="_5FA_L" localSheetId="47">#REF!</definedName>
    <definedName name="_5FA_L" localSheetId="44">#REF!</definedName>
    <definedName name="_5FA_L" localSheetId="45">#REF!</definedName>
    <definedName name="_5FA_L" localSheetId="46">#REF!</definedName>
    <definedName name="_5FA_L" localSheetId="37">#REF!</definedName>
    <definedName name="_5FA_L" localSheetId="40">#REF!</definedName>
    <definedName name="_5FA_L" localSheetId="54">#REF!</definedName>
    <definedName name="_5FA_L" localSheetId="55">#REF!</definedName>
    <definedName name="_5FA_L" localSheetId="52">#REF!</definedName>
    <definedName name="_5FA_L" localSheetId="51">#REF!</definedName>
    <definedName name="_5FA_L" localSheetId="53">#REF!</definedName>
    <definedName name="_5FA_L">#REF!</definedName>
    <definedName name="_6__123Graph_AIBA_IBRD" hidden="1">[18]WB!$Q$62:$AK$62</definedName>
    <definedName name="_6GAZ_LIABS" localSheetId="50">#REF!</definedName>
    <definedName name="_6GAZ_LIABS" localSheetId="47">#REF!</definedName>
    <definedName name="_6GAZ_LIABS" localSheetId="44">#REF!</definedName>
    <definedName name="_6GAZ_LIABS" localSheetId="45">#REF!</definedName>
    <definedName name="_6GAZ_LIABS" localSheetId="46">#REF!</definedName>
    <definedName name="_6GAZ_LIABS" localSheetId="37">#REF!</definedName>
    <definedName name="_6GAZ_LIABS" localSheetId="40">#REF!</definedName>
    <definedName name="_6GAZ_LIABS" localSheetId="54">#REF!</definedName>
    <definedName name="_6GAZ_LIABS" localSheetId="55">#REF!</definedName>
    <definedName name="_6GAZ_LIABS" localSheetId="52">#REF!</definedName>
    <definedName name="_6GAZ_LIABS" localSheetId="51">#REF!</definedName>
    <definedName name="_6GAZ_LIABS" localSheetId="53">#REF!</definedName>
    <definedName name="_6GAZ_LIABS">#REF!</definedName>
    <definedName name="_7__123Graph_ATERMS_OF_TRADE" localSheetId="50" hidden="1">#REF!</definedName>
    <definedName name="_7__123Graph_ATERMS_OF_TRADE" localSheetId="47" hidden="1">#REF!</definedName>
    <definedName name="_7__123Graph_ATERMS_OF_TRADE" localSheetId="44" hidden="1">#REF!</definedName>
    <definedName name="_7__123Graph_ATERMS_OF_TRADE" localSheetId="45" hidden="1">#REF!</definedName>
    <definedName name="_7__123Graph_ATERMS_OF_TRADE" localSheetId="46" hidden="1">#REF!</definedName>
    <definedName name="_7__123Graph_ATERMS_OF_TRADE" localSheetId="37" hidden="1">#REF!</definedName>
    <definedName name="_7__123Graph_ATERMS_OF_TRADE" localSheetId="40" hidden="1">#REF!</definedName>
    <definedName name="_7__123Graph_ATERMS_OF_TRADE" localSheetId="54" hidden="1">#REF!</definedName>
    <definedName name="_7__123Graph_ATERMS_OF_TRADE" localSheetId="55" hidden="1">#REF!</definedName>
    <definedName name="_7__123Graph_ATERMS_OF_TRADE" localSheetId="52" hidden="1">#REF!</definedName>
    <definedName name="_7__123Graph_ATERMS_OF_TRADE" localSheetId="51" hidden="1">#REF!</definedName>
    <definedName name="_7__123Graph_ATERMS_OF_TRADE" localSheetId="53" hidden="1">#REF!</definedName>
    <definedName name="_7__123Graph_ATERMS_OF_TRADE" hidden="1">#REF!</definedName>
    <definedName name="_7INT_RESERVES" localSheetId="50">#REF!</definedName>
    <definedName name="_7INT_RESERVES" localSheetId="47">#REF!</definedName>
    <definedName name="_7INT_RESERVES" localSheetId="44">#REF!</definedName>
    <definedName name="_7INT_RESERVES" localSheetId="45">#REF!</definedName>
    <definedName name="_7INT_RESERVES" localSheetId="46">#REF!</definedName>
    <definedName name="_7INT_RESERVES" localSheetId="37">#REF!</definedName>
    <definedName name="_7INT_RESERVES" localSheetId="40">#REF!</definedName>
    <definedName name="_7INT_RESERVES" localSheetId="54">#REF!</definedName>
    <definedName name="_7INT_RESERVES" localSheetId="55">#REF!</definedName>
    <definedName name="_7INT_RESERVES" localSheetId="52">#REF!</definedName>
    <definedName name="_7INT_RESERVES" localSheetId="51">#REF!</definedName>
    <definedName name="_7INT_RESERVES" localSheetId="53">#REF!</definedName>
    <definedName name="_7INT_RESERVES">#REF!</definedName>
    <definedName name="_8__123Graph_AWB_ADJ_PRJ" hidden="1">[18]WB!$Q$255:$AK$255</definedName>
    <definedName name="_a555555" localSheetId="50">#REF!</definedName>
    <definedName name="_a555555" localSheetId="47">#REF!</definedName>
    <definedName name="_a555555" localSheetId="44">#REF!</definedName>
    <definedName name="_a555555" localSheetId="45">#REF!</definedName>
    <definedName name="_a555555" localSheetId="46">#REF!</definedName>
    <definedName name="_a555555" localSheetId="37">#REF!</definedName>
    <definedName name="_a555555" localSheetId="40">#REF!</definedName>
    <definedName name="_a555555" localSheetId="54">#REF!</definedName>
    <definedName name="_a555555" localSheetId="55">#REF!</definedName>
    <definedName name="_a555555" localSheetId="52">#REF!</definedName>
    <definedName name="_a555555" localSheetId="51">#REF!</definedName>
    <definedName name="_a555555" localSheetId="53">#REF!</definedName>
    <definedName name="_a555555">#REF!</definedName>
    <definedName name="_a89555">'[25]BS2 (BSBAR)'!$A$55951</definedName>
    <definedName name="_abs1" localSheetId="34">#REF!</definedName>
    <definedName name="_abs1" localSheetId="35">#REF!</definedName>
    <definedName name="_abs1" localSheetId="50">#REF!</definedName>
    <definedName name="_abs1" localSheetId="15">#REF!</definedName>
    <definedName name="_abs1" localSheetId="29">#REF!</definedName>
    <definedName name="_abs1" localSheetId="30">#REF!</definedName>
    <definedName name="_abs1" localSheetId="47">#REF!</definedName>
    <definedName name="_abs1" localSheetId="44">#REF!</definedName>
    <definedName name="_abs1" localSheetId="45">#REF!</definedName>
    <definedName name="_abs1" localSheetId="46">#REF!</definedName>
    <definedName name="_abs1" localSheetId="31">#REF!</definedName>
    <definedName name="_abs1" localSheetId="32">#REF!</definedName>
    <definedName name="_abs1" localSheetId="33">#REF!</definedName>
    <definedName name="_abs1" localSheetId="36">#REF!</definedName>
    <definedName name="_abs1" localSheetId="37">#REF!</definedName>
    <definedName name="_abs1" localSheetId="38">#REF!</definedName>
    <definedName name="_abs1" localSheetId="39">#REF!</definedName>
    <definedName name="_abs1" localSheetId="40">#REF!</definedName>
    <definedName name="_abs1" localSheetId="54">#REF!</definedName>
    <definedName name="_abs1" localSheetId="55">#REF!</definedName>
    <definedName name="_abs1" localSheetId="52">#REF!</definedName>
    <definedName name="_abs1" localSheetId="23">#REF!</definedName>
    <definedName name="_abs1" localSheetId="51">#REF!</definedName>
    <definedName name="_abs1" localSheetId="53">#REF!</definedName>
    <definedName name="_abs1" localSheetId="20">#REF!</definedName>
    <definedName name="_abs1">#REF!</definedName>
    <definedName name="_abs2" localSheetId="34">#REF!</definedName>
    <definedName name="_abs2" localSheetId="35">#REF!</definedName>
    <definedName name="_abs2" localSheetId="50">#REF!</definedName>
    <definedName name="_abs2" localSheetId="15">#REF!</definedName>
    <definedName name="_abs2" localSheetId="29">#REF!</definedName>
    <definedName name="_abs2" localSheetId="30">#REF!</definedName>
    <definedName name="_abs2" localSheetId="47">#REF!</definedName>
    <definedName name="_abs2" localSheetId="44">#REF!</definedName>
    <definedName name="_abs2" localSheetId="45">#REF!</definedName>
    <definedName name="_abs2" localSheetId="46">#REF!</definedName>
    <definedName name="_abs2" localSheetId="31">#REF!</definedName>
    <definedName name="_abs2" localSheetId="32">#REF!</definedName>
    <definedName name="_abs2" localSheetId="33">#REF!</definedName>
    <definedName name="_abs2" localSheetId="36">#REF!</definedName>
    <definedName name="_abs2" localSheetId="37">#REF!</definedName>
    <definedName name="_abs2" localSheetId="38">#REF!</definedName>
    <definedName name="_abs2" localSheetId="39">#REF!</definedName>
    <definedName name="_abs2" localSheetId="40">#REF!</definedName>
    <definedName name="_abs2" localSheetId="54">#REF!</definedName>
    <definedName name="_abs2" localSheetId="55">#REF!</definedName>
    <definedName name="_abs2" localSheetId="52">#REF!</definedName>
    <definedName name="_abs2" localSheetId="23">#REF!</definedName>
    <definedName name="_abs2" localSheetId="51">#REF!</definedName>
    <definedName name="_abs2" localSheetId="53">#REF!</definedName>
    <definedName name="_abs2" localSheetId="20">#REF!</definedName>
    <definedName name="_abs2">#REF!</definedName>
    <definedName name="_abs3" localSheetId="34">#REF!</definedName>
    <definedName name="_abs3" localSheetId="35">#REF!</definedName>
    <definedName name="_abs3" localSheetId="50">#REF!</definedName>
    <definedName name="_abs3" localSheetId="15">#REF!</definedName>
    <definedName name="_abs3" localSheetId="29">#REF!</definedName>
    <definedName name="_abs3" localSheetId="30">#REF!</definedName>
    <definedName name="_abs3" localSheetId="47">#REF!</definedName>
    <definedName name="_abs3" localSheetId="44">#REF!</definedName>
    <definedName name="_abs3" localSheetId="45">#REF!</definedName>
    <definedName name="_abs3" localSheetId="46">#REF!</definedName>
    <definedName name="_abs3" localSheetId="31">#REF!</definedName>
    <definedName name="_abs3" localSheetId="32">#REF!</definedName>
    <definedName name="_abs3" localSheetId="33">#REF!</definedName>
    <definedName name="_abs3" localSheetId="36">#REF!</definedName>
    <definedName name="_abs3" localSheetId="37">#REF!</definedName>
    <definedName name="_abs3" localSheetId="38">#REF!</definedName>
    <definedName name="_abs3" localSheetId="39">#REF!</definedName>
    <definedName name="_abs3" localSheetId="40">#REF!</definedName>
    <definedName name="_abs3" localSheetId="54">#REF!</definedName>
    <definedName name="_abs3" localSheetId="55">#REF!</definedName>
    <definedName name="_abs3" localSheetId="52">#REF!</definedName>
    <definedName name="_abs3" localSheetId="23">#REF!</definedName>
    <definedName name="_abs3" localSheetId="51">#REF!</definedName>
    <definedName name="_abs3" localSheetId="53">#REF!</definedName>
    <definedName name="_abs3" localSheetId="20">#REF!</definedName>
    <definedName name="_abs3">#REF!</definedName>
    <definedName name="_aen1">[26]Programa!$A$117</definedName>
    <definedName name="_AJU97" localSheetId="34">#REF!</definedName>
    <definedName name="_AJU97" localSheetId="35">#REF!</definedName>
    <definedName name="_AJU97" localSheetId="50">#REF!</definedName>
    <definedName name="_AJU97" localSheetId="15">#REF!</definedName>
    <definedName name="_AJU97" localSheetId="29">#REF!</definedName>
    <definedName name="_AJU97" localSheetId="30">#REF!</definedName>
    <definedName name="_AJU97" localSheetId="47">#REF!</definedName>
    <definedName name="_AJU97" localSheetId="44">#REF!</definedName>
    <definedName name="_AJU97" localSheetId="45">#REF!</definedName>
    <definedName name="_AJU97" localSheetId="46">#REF!</definedName>
    <definedName name="_AJU97" localSheetId="31">#REF!</definedName>
    <definedName name="_AJU97" localSheetId="32">#REF!</definedName>
    <definedName name="_AJU97" localSheetId="33">#REF!</definedName>
    <definedName name="_AJU97" localSheetId="36">#REF!</definedName>
    <definedName name="_AJU97" localSheetId="37">#REF!</definedName>
    <definedName name="_AJU97" localSheetId="38">#REF!</definedName>
    <definedName name="_AJU97" localSheetId="39">#REF!</definedName>
    <definedName name="_AJU97" localSheetId="40">#REF!</definedName>
    <definedName name="_AJU97" localSheetId="54">#REF!</definedName>
    <definedName name="_AJU97" localSheetId="55">#REF!</definedName>
    <definedName name="_AJU97" localSheetId="52">#REF!</definedName>
    <definedName name="_AJU97" localSheetId="23">#REF!</definedName>
    <definedName name="_AJU97" localSheetId="51">#REF!</definedName>
    <definedName name="_AJU97" localSheetId="53">#REF!</definedName>
    <definedName name="_AJU97" localSheetId="20">#REF!</definedName>
    <definedName name="_AJU97">#REF!</definedName>
    <definedName name="_AJU98" localSheetId="34">#REF!</definedName>
    <definedName name="_AJU98" localSheetId="35">#REF!</definedName>
    <definedName name="_AJU98" localSheetId="50">#REF!</definedName>
    <definedName name="_AJU98" localSheetId="15">#REF!</definedName>
    <definedName name="_AJU98" localSheetId="29">#REF!</definedName>
    <definedName name="_AJU98" localSheetId="30">#REF!</definedName>
    <definedName name="_AJU98" localSheetId="47">#REF!</definedName>
    <definedName name="_AJU98" localSheetId="44">#REF!</definedName>
    <definedName name="_AJU98" localSheetId="45">#REF!</definedName>
    <definedName name="_AJU98" localSheetId="46">#REF!</definedName>
    <definedName name="_AJU98" localSheetId="31">#REF!</definedName>
    <definedName name="_AJU98" localSheetId="32">#REF!</definedName>
    <definedName name="_AJU98" localSheetId="33">#REF!</definedName>
    <definedName name="_AJU98" localSheetId="36">#REF!</definedName>
    <definedName name="_AJU98" localSheetId="37">#REF!</definedName>
    <definedName name="_AJU98" localSheetId="38">#REF!</definedName>
    <definedName name="_AJU98" localSheetId="39">#REF!</definedName>
    <definedName name="_AJU98" localSheetId="40">#REF!</definedName>
    <definedName name="_AJU98" localSheetId="54">#REF!</definedName>
    <definedName name="_AJU98" localSheetId="55">#REF!</definedName>
    <definedName name="_AJU98" localSheetId="52">#REF!</definedName>
    <definedName name="_AJU98" localSheetId="23">#REF!</definedName>
    <definedName name="_AJU98" localSheetId="51">#REF!</definedName>
    <definedName name="_AJU98" localSheetId="53">#REF!</definedName>
    <definedName name="_AJU98" localSheetId="20">#REF!</definedName>
    <definedName name="_AJU98">#REF!</definedName>
    <definedName name="_AJU99" localSheetId="34">#REF!</definedName>
    <definedName name="_AJU99" localSheetId="35">#REF!</definedName>
    <definedName name="_AJU99" localSheetId="50">#REF!</definedName>
    <definedName name="_AJU99" localSheetId="15">#REF!</definedName>
    <definedName name="_AJU99" localSheetId="29">#REF!</definedName>
    <definedName name="_AJU99" localSheetId="30">#REF!</definedName>
    <definedName name="_AJU99" localSheetId="47">#REF!</definedName>
    <definedName name="_AJU99" localSheetId="44">#REF!</definedName>
    <definedName name="_AJU99" localSheetId="45">#REF!</definedName>
    <definedName name="_AJU99" localSheetId="46">#REF!</definedName>
    <definedName name="_AJU99" localSheetId="31">#REF!</definedName>
    <definedName name="_AJU99" localSheetId="32">#REF!</definedName>
    <definedName name="_AJU99" localSheetId="33">#REF!</definedName>
    <definedName name="_AJU99" localSheetId="36">#REF!</definedName>
    <definedName name="_AJU99" localSheetId="37">#REF!</definedName>
    <definedName name="_AJU99" localSheetId="38">#REF!</definedName>
    <definedName name="_AJU99" localSheetId="39">#REF!</definedName>
    <definedName name="_AJU99" localSheetId="40">#REF!</definedName>
    <definedName name="_AJU99" localSheetId="54">#REF!</definedName>
    <definedName name="_AJU99" localSheetId="55">#REF!</definedName>
    <definedName name="_AJU99" localSheetId="52">#REF!</definedName>
    <definedName name="_AJU99" localSheetId="23">#REF!</definedName>
    <definedName name="_AJU99" localSheetId="51">#REF!</definedName>
    <definedName name="_AJU99" localSheetId="53">#REF!</definedName>
    <definedName name="_AJU99" localSheetId="20">#REF!</definedName>
    <definedName name="_AJU99">#REF!</definedName>
    <definedName name="_AMO_ContentDefinition_129898925" hidden="1">"'Partitions:17'"</definedName>
    <definedName name="_AMO_ContentDefinition_129898925.0" hidden="1">"'&lt;ContentDefinition name=""Reports"" rsid=""129898925"" type=""StoredProcess"" format=""ReportXml"" imgfmt=""ActiveX"" created=""02/02/2017 10:20:54"" modifed=""02/02/2017 10:20:54"" user=""Prunela Charles-Williams"" apply=""False"" css=""C:\SASHOME94\'"</definedName>
    <definedName name="_AMO_ContentDefinition_129898925.1" hidden="1">"'x86\SASAddinforMicrosoftOffice\7.1\Styles\AMODefault.css"" range=""Reports_2"" auto=""False"" xTime=""00:00:22.1740923"" rTime=""00:00:03.4378436"" bgnew=""False"" nFmt=""False"" grphSet=""True"" imgY=""0"" imgX=""0"" redirect=""False""&gt;_x000D_
  &lt;files&gt;C:\'"</definedName>
    <definedName name="_AMO_ContentDefinition_129898925.10" hidden="1">"'&amp;quot;p11&amp;quot; value=&amp;quot;Country&amp;quot; /&amp;gt;&amp;lt;/Value&amp;gt;&amp;lt;/PromptDefinitionReference&amp;gt;&amp;lt;PromptDefinitionReference obj=&amp;quot;p12&amp;quot; promptId=&amp;quot;PromptDef_1404319188301_915893&amp;quot; name=&amp;quot;bank_id&amp;quot; definitionType=&amp;quot;TextDefi'"</definedName>
    <definedName name="_AMO_ContentDefinition_129898925.11" hidden="1">"'nition&amp;quot; selectionType=&amp;quot;Single&amp;quot;&amp;gt;&amp;lt;Value&amp;gt;&amp;lt;NullValue obj=&amp;quot;p13&amp;quot; /&amp;gt;&amp;lt;/Value&amp;gt;&amp;lt;/PromptDefinitionReference&amp;gt;&amp;lt;/DefinitionReferencesAndValues&amp;gt;&amp;lt;/PromptValues&amp;gt;"" /&gt;_x000D_
  &lt;param n=""HasPrompts"" v=""True""'"</definedName>
    <definedName name="_AMO_ContentDefinition_129898925.12" hidden="1">"' /&gt;_x000D_
  &lt;param n=""DNA"" v=""&amp;lt;DNA&amp;gt;&amp;#xD;&amp;#xA;  &amp;lt;Type&amp;gt;StoredProcess&amp;lt;/Type&amp;gt;&amp;#xD;&amp;#xA;  &amp;lt;Name&amp;gt;Reports&amp;lt;/Name&amp;gt;&amp;#xD;&amp;#xA;  &amp;lt;Version&amp;gt;1&amp;lt;/Version&amp;gt;&amp;#xD;&amp;#xA;  &amp;lt;Assembly&amp;gt;SAS.EG.SDS.Model&amp;lt;/Assembly&amp;gt;&amp;#xD;&amp;#xA;  &amp;'"</definedName>
    <definedName name="_AMO_ContentDefinition_129898925.13" hidden="1">"'lt;Factory&amp;gt;SAS.EG.SDS.Model.Creator&amp;lt;/Factory&amp;gt;&amp;#xD;&amp;#xA;  &amp;lt;ParentName&amp;gt;Excel Reports&amp;lt;/ParentName&amp;gt;&amp;#xD;&amp;#xA;  &amp;lt;DisplayName&amp;gt;Reports&amp;lt;/DisplayName&amp;gt;&amp;#xD;&amp;#xA;  &amp;lt;SBIP&amp;gt;/ECCB/EBI/StoredProcesses/Excel Reports/Reports&amp;lt;/S'"</definedName>
    <definedName name="_AMO_ContentDefinition_129898925.14" hidden="1">"'BIP&amp;gt;&amp;#xD;&amp;#xA;  &amp;lt;SBIPFull&amp;gt;/ECCB/EBI/StoredProcesses/Excel Reports/Reports(StoredProcess)&amp;lt;/SBIPFull&amp;gt;&amp;#xD;&amp;#xA;  &amp;lt;Path&amp;gt;/ECCB/EBI/StoredProcesses/Excel Reports/Reports&amp;lt;/Path&amp;gt;&amp;#xD;&amp;#xA;&amp;lt;/DNA&amp;gt;"" /&gt;_x000D_
  &lt;param n=""ServerName'"</definedName>
    <definedName name="_AMO_ContentDefinition_129898925.15" hidden="1">"'"" v=""SASApp"" /&gt;_x000D_
  &lt;param n=""ClassName"" v=""SAS.OfficeAddin.StoredProcess"" /&gt;_x000D_
  &lt;param n=""XlNative"" v=""False"" /&gt;_x000D_
  &lt;param n=""UnselectedIds"" v="""" /&gt;_x000D_
  &lt;param n=""_ROM_Version_"" v=""1.3"" /&gt;_x000D_
  &lt;param n=""_ROM_Application_"" v=""ODS""'"</definedName>
    <definedName name="_AMO_ContentDefinition_129898925.16" hidden="1">"' /&gt;_x000D_
  &lt;param n=""_ROM_AppVersion_"" v=""9.4"" /&gt;_x000D_
  &lt;param n=""maxReportCols"" v=""16"" /&gt;_x000D_
  &lt;fids n=""main.srx"" v=""0"" /&gt;_x000D_
  &lt;ExcelXMLOptions AdjColWidths=""True"" RowOpt=""InsertEntire"" ColOpt=""InsertCells"" /&gt;_x000D_
&lt;/ContentDefinition&gt;'"</definedName>
    <definedName name="_AMO_ContentDefinition_129898925.2" hidden="1">"'Users\pwilliam\Documents\My SAS Files\Add-In for Microsoft Office\_SOA_A5MZAGEV.BH0004N2_98860476\main.srx&lt;/files&gt;_x000D_
  &lt;parents /&gt;_x000D_
  &lt;children /&gt;_x000D_
  &lt;param n=""DisplayName"" v=""Reports"" /&gt;_x000D_
  &lt;param n=""DisplayType"" v=""Stored Process"" /&gt;_x000D_
  &lt;par'"</definedName>
    <definedName name="_AMO_ContentDefinition_129898925.3" hidden="1">"'am n=""RawValues"" v=""True"" /&gt;_x000D_
  &lt;param n=""AMO_Version"" v=""7.1"" /&gt;_x000D_
  &lt;param n=""Prompts"" v=""&amp;lt;PromptValues obj=&amp;quot;p1&amp;quot; version=&amp;quot;1.0&amp;quot;&amp;gt;&amp;lt;DefinitionReferencesAndValues&amp;gt;&amp;lt;PromptDefinitionReference obj=&amp;quot;p2&amp;quot; '"</definedName>
    <definedName name="_AMO_ContentDefinition_129898925.4" hidden="1">"'promptId=&amp;quot;PromptDef_1391180368913_306480&amp;quot; name=&amp;quot;date&amp;quot; definitionType=&amp;quot;TextDefinition&amp;quot; selectionType=&amp;quot;Single&amp;quot;&amp;gt;&amp;lt;Value&amp;gt;&amp;lt;String obj=&amp;quot;p3&amp;quot; value=&amp;quot;Dec16&amp;quot; /&amp;gt;&amp;lt;/Value&amp;gt;&amp;lt;/PromptDe'"</definedName>
    <definedName name="_AMO_ContentDefinition_129898925.5" hidden="1">"'finitionReference&amp;gt;&amp;lt;PromptDefinitionReference obj=&amp;quot;p4&amp;quot; promptId=&amp;quot;PromptDef_1394727130779_470040&amp;quot; name=&amp;quot;report_id&amp;quot; definitionType=&amp;quot;TextDefinition&amp;quot; selectionType=&amp;quot;Single&amp;quot;&amp;gt;&amp;lt;Value&amp;gt;&amp;lt;String '"</definedName>
    <definedName name="_AMO_ContentDefinition_129898925.6" hidden="1">"'obj=&amp;quot;p5&amp;quot; value=&amp;quot;EFR_DMS&amp;quot; /&amp;gt;&amp;lt;/Value&amp;gt;&amp;lt;/PromptDefinitionReference&amp;gt;&amp;lt;PromptDefinitionReference obj=&amp;quot;p6&amp;quot; promptId=&amp;quot;PromptDef_1396631155476_538837&amp;quot; name=&amp;quot;report_frequency_desc&amp;quot; definitionTyp'"</definedName>
    <definedName name="_AMO_ContentDefinition_129898925.7" hidden="1">"'e=&amp;quot;TextDefinition&amp;quot; selectionType=&amp;quot;Single&amp;quot;&amp;gt;&amp;lt;Value&amp;gt;&amp;lt;String obj=&amp;quot;p7&amp;quot; value=&amp;quot;Annual&amp;quot; /&amp;gt;&amp;lt;/Value&amp;gt;&amp;lt;/PromptDefinitionReference&amp;gt;&amp;lt;PromptDefinitionReference obj=&amp;quot;p8&amp;quot; promptId=&amp;quot;P'"</definedName>
    <definedName name="_AMO_ContentDefinition_129898925.8" hidden="1">"'romptDef_1391180368912_96654&amp;quot; name=&amp;quot;country_cd&amp;quot; definitionType=&amp;quot;TextDefinition&amp;quot; selectionType=&amp;quot;Single&amp;quot;&amp;gt;&amp;lt;Value&amp;gt;&amp;lt;String obj=&amp;quot;p9&amp;quot; value=&amp;quot;362&amp;quot; /&amp;gt;&amp;lt;/Value&amp;gt;&amp;lt;/PromptDefinitionRefer'"</definedName>
    <definedName name="_AMO_ContentDefinition_129898925.9" hidden="1">"'ence&amp;gt;&amp;lt;PromptDefinitionReference obj=&amp;quot;p10&amp;quot; promptId=&amp;quot;PromptDef_1396896333577_379099&amp;quot; name=&amp;quot;report_cons_group&amp;quot; definitionType=&amp;quot;TextDefinition&amp;quot; selectionType=&amp;quot;Single&amp;quot;&amp;gt;&amp;lt;Value&amp;gt;&amp;lt;String obj='"</definedName>
    <definedName name="_AMO_ContentDefinition_316789590" hidden="1">"'Partitions:2372'"</definedName>
    <definedName name="_AMO_ContentDefinition_316789590.0" hidden="1">"'&lt;ContentDefinition name=""SASApp:METRICS.validation_metrics_prior10_view"" rsid=""316789590"" type=""DataSet"" format=""ReportXml"" imgfmt=""ActiveX"" created=""06/03/2020 15:42:21"" modifed=""12/24/2020 07:57:18"" user="""" apply=""False"" css=""C:\S'"</definedName>
    <definedName name="_AMO_ContentDefinition_316789590.1" hidden="1">"'ASHOME94\x86\SASAddInforMicrosoftOffice\8\Styles\AMODefault.css"" range=""SASApp_METRICS_validation_metrics_prior10_view"" auto=""False"" xTime=""00:00:00.0200014"" rTime=""00:02:11.3612844"" bgnew=""False"" nFmt=""False"" grphSet=""True"" imgY=""0'"</definedName>
    <definedName name="_AMO_ContentDefinition_316789590.10" hidden="1">"'01000257',&amp;#xD;&amp;#xA;'MFPR01000258',&amp;#xD;&amp;#xA;'MFPR01000279',&amp;#xD;&amp;#xA;'MFPR01000285',&amp;#xD;&amp;#xA;'MFPR01000286',&amp;#xD;&amp;#xA;'MFPR01000287',&amp;#xD;&amp;#xA;'MFPR01000290',&amp;#xD;&amp;#xA;'MFPR01000294',&amp;#xD;&amp;#xA;'MFPR01000295',&amp;#xD;&amp;#xA;'MFPR01000296',&amp;#xD;&amp;#xA;'MFPR0'"</definedName>
    <definedName name="_AMO_ContentDefinition_316789590.100" hidden="1">"'&amp;#xA;'MFPR01003386',&amp;#xD;&amp;#xA;'MFPR01003388',&amp;#xD;&amp;#xA;'MFPR01003389',&amp;#xD;&amp;#xA;'MFPR01003390',&amp;#xD;&amp;#xA;'MFPR01003391',&amp;#xD;&amp;#xA;'MFPR01003396',&amp;#xD;&amp;#xA;'MFPR01003403',&amp;#xD;&amp;#xA;'MFPR01003407',&amp;#xD;&amp;#xA;'MFPR01003408',&amp;#xD;&amp;#xA;'MFPR01003415',&amp;#xD;&amp;'"</definedName>
    <definedName name="_AMO_ContentDefinition_316789590.1000" hidden="1">"'lt;RightHandSideExpression xml:space=&amp;amp;quot;preserve&amp;amp;quot;&amp;amp;gt;MFPR01001752&amp;amp;lt;/RightHandSideExpression&amp;amp;gt;&amp;amp;lt;IsSubquery&amp;amp;gt;False&amp;amp;lt;/IsSubquery&amp;amp;gt;&amp;amp;lt;SubqueryTemplateName /&amp;amp;gt;&amp;amp;lt;/RHSItem&amp;amp;gt;&amp;amp;l'"</definedName>
    <definedName name="_AMO_ContentDefinition_316789590.1001" hidden="1">"'t;RHSItem&amp;amp;gt;&amp;amp;lt;RHSType&amp;amp;gt;EXPRESSION&amp;amp;lt;/RHSType&amp;amp;gt;&amp;amp;lt;AddQuotes&amp;amp;gt;True&amp;amp;lt;/AddQuotes&amp;amp;gt;&amp;amp;lt;DateFormat&amp;amp;gt;None&amp;amp;lt;/DateFormat&amp;amp;gt;&amp;amp;lt;RightHandSideExpression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316789590.1002" hidden="1">"'quot;&amp;amp;gt;MFPR01001754&amp;amp;lt;/RightHandSideExpression&amp;amp;gt;&amp;amp;lt;IsSubquery&amp;amp;gt;False&amp;amp;lt;/IsSubquery&amp;amp;gt;&amp;amp;lt;SubqueryTemplateName /&amp;amp;gt;&amp;amp;lt;/RHSItem&amp;amp;gt;&amp;amp;lt;RHSItem&amp;amp;gt;&amp;amp;lt;RHSType&amp;amp;gt;EXPRESSION&amp;amp;lt;/R'"</definedName>
    <definedName name="_AMO_ContentDefinition_316789590.1003" hidden="1">"'HSType&amp;amp;gt;&amp;amp;lt;AddQuotes&amp;amp;gt;True&amp;amp;lt;/AddQuotes&amp;amp;gt;&amp;amp;lt;DateFormat&amp;amp;gt;None&amp;amp;lt;/DateFormat&amp;amp;gt;&amp;amp;lt;RightHandSideExpression xml:space=&amp;amp;quot;preserve&amp;amp;quot;&amp;amp;gt;MFPR01001755&amp;amp;lt;/RightHandSideExpression&amp;am'"</definedName>
    <definedName name="_AMO_ContentDefinition_316789590.1004"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316789590.1005" hidden="1">"'s&amp;amp;gt;&amp;amp;lt;DateFormat&amp;amp;gt;None&amp;amp;lt;/DateFormat&amp;amp;gt;&amp;amp;lt;RightHandSideExpression xml:space=&amp;amp;quot;preserve&amp;amp;quot;&amp;amp;gt;MFPR01001756&amp;amp;lt;/RightHandSideExpression&amp;amp;gt;&amp;amp;lt;IsSubquery&amp;amp;gt;False&amp;amp;lt;/IsSubquery&amp;amp;'"</definedName>
    <definedName name="_AMO_ContentDefinition_316789590.1006"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316789590.1007" hidden="1">"'mp;gt;&amp;amp;lt;RightHandSideExpression xml:space=&amp;amp;quot;preserve&amp;amp;quot;&amp;amp;gt;MFPR01001757&amp;amp;lt;/RightHandSideExpression&amp;amp;gt;&amp;amp;lt;IsSubquery&amp;amp;gt;False&amp;amp;lt;/IsSubquery&amp;amp;gt;&amp;amp;lt;SubqueryTemplateName /&amp;amp;gt;&amp;amp;lt;/RHSItem&amp;am'"</definedName>
    <definedName name="_AMO_ContentDefinition_316789590.1008" hidden="1">"'p;gt;&amp;amp;lt;RHSItem&amp;amp;gt;&amp;amp;lt;RHSType&amp;amp;gt;EXPRESSION&amp;amp;lt;/RHSType&amp;amp;gt;&amp;amp;lt;AddQuotes&amp;amp;gt;True&amp;amp;lt;/AddQuotes&amp;amp;gt;&amp;amp;lt;DateFormat&amp;amp;gt;None&amp;amp;lt;/DateFormat&amp;amp;gt;&amp;amp;lt;RightHandSideExpression xml:space=&amp;amp;quot;pr'"</definedName>
    <definedName name="_AMO_ContentDefinition_316789590.1009" hidden="1">"'eserve&amp;amp;quot;&amp;amp;gt;MFPR01001758&amp;amp;lt;/RightHandSideExpression&amp;amp;gt;&amp;amp;lt;IsSubquery&amp;amp;gt;False&amp;amp;lt;/IsSubquery&amp;amp;gt;&amp;amp;lt;SubqueryTemplateName /&amp;amp;gt;&amp;amp;lt;/RHSItem&amp;amp;gt;&amp;amp;lt;RHSItem&amp;amp;gt;&amp;amp;lt;RHSType&amp;amp;gt;EXPRESSIO'"</definedName>
    <definedName name="_AMO_ContentDefinition_316789590.101" hidden="1">"'#xA;'MFPR01003428',&amp;#xD;&amp;#xA;'MFPR01003429',&amp;#xD;&amp;#xA;'MFPR01003433',&amp;#xD;&amp;#xA;'MFPR01003446',&amp;#xD;&amp;#xA;'MFPR01003448',&amp;#xD;&amp;#xA;'MFPR01003449',&amp;#xD;&amp;#xA;'MFPR01003450',&amp;#xD;&amp;#xA;'MFPR01003451',&amp;#xD;&amp;#xA;'MFPR01003455',&amp;#xD;&amp;#xA;'MFPR01003462',&amp;#xD;&amp;#'"</definedName>
    <definedName name="_AMO_ContentDefinition_316789590.1010" hidden="1">"'N&amp;amp;lt;/RHSType&amp;amp;gt;&amp;amp;lt;AddQuotes&amp;amp;gt;True&amp;amp;lt;/AddQuotes&amp;amp;gt;&amp;amp;lt;DateFormat&amp;amp;gt;None&amp;amp;lt;/DateFormat&amp;amp;gt;&amp;amp;lt;RightHandSideExpression xml:space=&amp;amp;quot;preserve&amp;amp;quot;&amp;amp;gt;MFPR01001759&amp;amp;lt;/RightHandSideEx'"</definedName>
    <definedName name="_AMO_ContentDefinition_316789590.1011"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316789590.1012" hidden="1">"'t;/AddQuotes&amp;amp;gt;&amp;amp;lt;DateFormat&amp;amp;gt;None&amp;amp;lt;/DateFormat&amp;amp;gt;&amp;amp;lt;RightHandSideExpression xml:space=&amp;amp;quot;preserve&amp;amp;quot;&amp;amp;gt;MFPR01001761&amp;amp;lt;/RightHandSideExpression&amp;amp;gt;&amp;amp;lt;IsSubquery&amp;amp;gt;False&amp;amp;lt;/IsSu'"</definedName>
    <definedName name="_AMO_ContentDefinition_316789590.1013"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316789590.1014" hidden="1">"'ateFormat&amp;amp;gt;&amp;amp;lt;RightHandSideExpression xml:space=&amp;amp;quot;preserve&amp;amp;quot;&amp;amp;gt;MFPR01001762&amp;amp;lt;/RightHandSideExpression&amp;amp;gt;&amp;amp;lt;IsSubquery&amp;amp;gt;False&amp;amp;lt;/IsSubquery&amp;amp;gt;&amp;amp;lt;SubqueryTemplateName /&amp;amp;gt;&amp;amp;lt;'"</definedName>
    <definedName name="_AMO_ContentDefinition_316789590.1015" hidden="1">"'/RHSItem&amp;amp;gt;&amp;amp;lt;RHSItem&amp;amp;gt;&amp;amp;lt;RHSType&amp;amp;gt;EXPRESSION&amp;amp;lt;/RHSType&amp;amp;gt;&amp;amp;lt;AddQuotes&amp;amp;gt;True&amp;amp;lt;/AddQuotes&amp;amp;gt;&amp;amp;lt;DateFormat&amp;amp;gt;None&amp;amp;lt;/DateFormat&amp;amp;gt;&amp;amp;lt;RightHandSideExpression xml:space=&amp;'"</definedName>
    <definedName name="_AMO_ContentDefinition_316789590.1016" hidden="1">"'amp;quot;preserve&amp;amp;quot;&amp;amp;gt;MFPR01001763&amp;amp;lt;/RightHandSideExpression&amp;amp;gt;&amp;amp;lt;IsSubquery&amp;amp;gt;False&amp;amp;lt;/IsSubquery&amp;amp;gt;&amp;amp;lt;SubqueryTemplateName /&amp;amp;gt;&amp;amp;lt;/RHSItem&amp;amp;gt;&amp;amp;lt;RHSItem&amp;amp;gt;&amp;amp;lt;RHSType&amp;amp;g'"</definedName>
    <definedName name="_AMO_ContentDefinition_316789590.1017" hidden="1">"'t;EXPRESSION&amp;amp;lt;/RHSType&amp;amp;gt;&amp;amp;lt;AddQuotes&amp;amp;gt;True&amp;amp;lt;/AddQuotes&amp;amp;gt;&amp;amp;lt;DateFormat&amp;amp;gt;None&amp;amp;lt;/DateFormat&amp;amp;gt;&amp;amp;lt;RightHandSideExpression xml:space=&amp;amp;quot;preserve&amp;amp;quot;&amp;amp;gt;MFPR01001764&amp;amp;lt;/Righ'"</definedName>
    <definedName name="_AMO_ContentDefinition_316789590.1018"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316789590.1019" hidden="1">"';True&amp;amp;lt;/AddQuotes&amp;amp;gt;&amp;amp;lt;DateFormat&amp;amp;gt;None&amp;amp;lt;/DateFormat&amp;amp;gt;&amp;amp;lt;RightHandSideExpression xml:space=&amp;amp;quot;preserve&amp;amp;quot;&amp;amp;gt;MFPR01001765&amp;amp;lt;/RightHandSideExpression&amp;amp;gt;&amp;amp;lt;IsSubquery&amp;amp;gt;False&amp;a'"</definedName>
    <definedName name="_AMO_ContentDefinition_316789590.102" hidden="1">"'xA;'MFPR01003466',&amp;#xD;&amp;#xA;'MFPR01003467',&amp;#xD;&amp;#xA;'MFPR01003473',&amp;#xD;&amp;#xA;'MFPR01003481',&amp;#xD;&amp;#xA;'MFPR01003483',&amp;#xD;&amp;#xA;'MFPR01003484',&amp;#xD;&amp;#xA;'MFPR01003485',&amp;#xD;&amp;#xA;'MFPR01003486',&amp;#xD;&amp;#xA;'MFPR01003491',&amp;#xD;&amp;#xA;'MFPR01003497',&amp;#xD;&amp;#x'"</definedName>
    <definedName name="_AMO_ContentDefinition_316789590.1020"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316789590.1021" hidden="1">"'e&amp;amp;lt;/DateFormat&amp;amp;gt;&amp;amp;lt;RightHandSideExpression xml:space=&amp;amp;quot;preserve&amp;amp;quot;&amp;amp;gt;MFPR01001766&amp;amp;lt;/RightHandSideExpression&amp;amp;gt;&amp;amp;lt;IsSubquery&amp;amp;gt;False&amp;amp;lt;/IsSubquery&amp;amp;gt;&amp;amp;lt;SubqueryTemplateName /&amp;amp;'"</definedName>
    <definedName name="_AMO_ContentDefinition_316789590.1022" hidden="1">"'gt;&amp;amp;lt;/RHSItem&amp;amp;gt;&amp;amp;lt;RHSItem&amp;amp;gt;&amp;amp;lt;RHSType&amp;amp;gt;EXPRESSION&amp;amp;lt;/RHSType&amp;amp;gt;&amp;amp;lt;AddQuotes&amp;amp;gt;True&amp;amp;lt;/AddQuotes&amp;amp;gt;&amp;amp;lt;DateFormat&amp;amp;gt;None&amp;amp;lt;/DateFormat&amp;amp;gt;&amp;amp;lt;RightHandSideExpression '"</definedName>
    <definedName name="_AMO_ContentDefinition_316789590.1023" hidden="1">"'xml:space=&amp;amp;quot;preserve&amp;amp;quot;&amp;amp;gt;MFPR01001768&amp;amp;lt;/RightHandSideExpression&amp;amp;gt;&amp;amp;lt;IsSubquery&amp;amp;gt;False&amp;amp;lt;/IsSubquery&amp;amp;gt;&amp;amp;lt;SubqueryTemplateName /&amp;amp;gt;&amp;amp;lt;/RHSItem&amp;amp;gt;&amp;amp;lt;RHSItem&amp;amp;gt;&amp;amp;lt;RH'"</definedName>
    <definedName name="_AMO_ContentDefinition_316789590.1024" hidden="1">"'SType&amp;amp;gt;EXPRESSION&amp;amp;lt;/RHSType&amp;amp;gt;&amp;amp;lt;AddQuotes&amp;amp;gt;True&amp;amp;lt;/AddQuotes&amp;amp;gt;&amp;amp;lt;DateFormat&amp;amp;gt;None&amp;amp;lt;/DateFormat&amp;amp;gt;&amp;amp;lt;RightHandSideExpression xml:space=&amp;amp;quot;preserve&amp;amp;quot;&amp;amp;gt;MFPR01001769&amp;a'"</definedName>
    <definedName name="_AMO_ContentDefinition_316789590.1025"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316789590.1026" hidden="1">"'otes&amp;amp;gt;True&amp;amp;lt;/AddQuotes&amp;amp;gt;&amp;amp;lt;DateFormat&amp;amp;gt;None&amp;amp;lt;/DateFormat&amp;amp;gt;&amp;amp;lt;RightHandSideExpression xml:space=&amp;amp;quot;preserve&amp;amp;quot;&amp;amp;gt;MFPR01001770&amp;amp;lt;/RightHandSideExpression&amp;amp;gt;&amp;amp;lt;IsSubquery&amp;amp'"</definedName>
    <definedName name="_AMO_ContentDefinition_316789590.1027"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316789590.1028" hidden="1">"'&amp;amp;gt;None&amp;amp;lt;/DateFormat&amp;amp;gt;&amp;amp;lt;RightHandSideExpression xml:space=&amp;amp;quot;preserve&amp;amp;quot;&amp;amp;gt;MFPR01001771&amp;amp;lt;/RightHandSideExpression&amp;amp;gt;&amp;amp;lt;IsSubquery&amp;amp;gt;False&amp;amp;lt;/IsSubquery&amp;amp;gt;&amp;amp;lt;SubqueryTemplate'"</definedName>
    <definedName name="_AMO_ContentDefinition_316789590.1029"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316789590.103" hidden="1">"'A;'MFPR01003504',&amp;#xD;&amp;#xA;'MFPR01003506',&amp;#xD;&amp;#xA;'MFPR01003507',&amp;#xD;&amp;#xA;'MFPR01003508',&amp;#xD;&amp;#xA;'MFPR01003509',&amp;#xD;&amp;#xA;'MFPR01003514',&amp;#xD;&amp;#xA;'MFPR01003521',&amp;#xD;&amp;#xA;'MFPR01003525',&amp;#xD;&amp;#xA;'MFPR01003526',&amp;#xD;&amp;#xA;'MFPR01003532',&amp;#xD;&amp;#xA'"</definedName>
    <definedName name="_AMO_ContentDefinition_316789590.1030" hidden="1">"'Expression xml:space=&amp;amp;quot;preserve&amp;amp;quot;&amp;amp;gt;MFPR01001772&amp;amp;lt;/RightHandSideExpression&amp;amp;gt;&amp;amp;lt;IsSubquery&amp;amp;gt;False&amp;amp;lt;/IsSubquery&amp;amp;gt;&amp;amp;lt;SubqueryTemplateName /&amp;amp;gt;&amp;amp;lt;/RHSItem&amp;amp;gt;&amp;amp;lt;RHSItem&amp;amp;gt'"</definedName>
    <definedName name="_AMO_ContentDefinition_316789590.1031" hidden="1">"';&amp;amp;lt;RHSType&amp;amp;gt;EXPRESSION&amp;amp;lt;/RHSType&amp;amp;gt;&amp;amp;lt;AddQuotes&amp;amp;gt;True&amp;amp;lt;/AddQuotes&amp;amp;gt;&amp;amp;lt;DateFormat&amp;amp;gt;None&amp;amp;lt;/DateFormat&amp;amp;gt;&amp;amp;lt;RightHandSideExpression xml:space=&amp;amp;quot;preserve&amp;amp;quot;&amp;amp;gt;MFP'"</definedName>
    <definedName name="_AMO_ContentDefinition_316789590.1032" hidden="1">"'R01001773&amp;amp;lt;/RightHandSideExpression&amp;amp;gt;&amp;amp;lt;IsSubquery&amp;amp;gt;False&amp;amp;lt;/IsSubquery&amp;amp;gt;&amp;amp;lt;SubqueryTemplateName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316789590.1033" hidden="1">"'mp;lt;AddQuotes&amp;amp;gt;True&amp;amp;lt;/AddQuotes&amp;amp;gt;&amp;amp;lt;DateFormat&amp;amp;gt;None&amp;amp;lt;/DateFormat&amp;amp;gt;&amp;amp;lt;RightHandSideExpression xml:space=&amp;amp;quot;preserve&amp;amp;quot;&amp;amp;gt;MFPR01001775&amp;amp;lt;/RightHandSideExpression&amp;amp;gt;&amp;amp;lt;IsS'"</definedName>
    <definedName name="_AMO_ContentDefinition_316789590.1034"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316789590.1035" hidden="1">"';DateFormat&amp;amp;gt;None&amp;amp;lt;/DateFormat&amp;amp;gt;&amp;amp;lt;RightHandSideExpression xml:space=&amp;amp;quot;preserve&amp;amp;quot;&amp;amp;gt;MFPR01001776&amp;amp;lt;/RightHandSideExpression&amp;amp;gt;&amp;amp;lt;IsSubquery&amp;amp;gt;False&amp;amp;lt;/IsSubquery&amp;amp;gt;&amp;amp;lt;Subqu'"</definedName>
    <definedName name="_AMO_ContentDefinition_316789590.1036"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316789590.1037" hidden="1">"'ghtHandSideExpression xml:space=&amp;amp;quot;preserve&amp;amp;quot;&amp;amp;gt;MFPR01001777&amp;amp;lt;/RightHandSideExpression&amp;amp;gt;&amp;amp;lt;IsSubquery&amp;amp;gt;False&amp;amp;lt;/IsSubquery&amp;amp;gt;&amp;amp;lt;SubqueryTemplateName /&amp;amp;gt;&amp;amp;lt;/RHSItem&amp;amp;gt;&amp;amp;lt;RHS'"</definedName>
    <definedName name="_AMO_ContentDefinition_316789590.1038" hidden="1">"'Item&amp;amp;gt;&amp;amp;lt;RHSType&amp;amp;gt;EXPRESSION&amp;amp;lt;/RHSType&amp;amp;gt;&amp;amp;lt;AddQuotes&amp;amp;gt;True&amp;amp;lt;/AddQuotes&amp;amp;gt;&amp;amp;lt;DateFormat&amp;amp;gt;None&amp;amp;lt;/DateFormat&amp;amp;gt;&amp;amp;lt;RightHandSideExpression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316789590.1039" hidden="1">"'&amp;amp;gt;MFPR01001778&amp;amp;lt;/RightHandSideExpression&amp;amp;gt;&amp;amp;lt;IsSubquery&amp;amp;gt;False&amp;amp;lt;/IsSubquery&amp;amp;gt;&amp;amp;lt;SubqueryTemplateName /&amp;amp;gt;&amp;amp;lt;/RHSItem&amp;amp;gt;&amp;amp;lt;RHSItem&amp;amp;gt;&amp;amp;lt;RHSType&amp;amp;gt;EXPRESSION&amp;amp;lt;/RHSTyp'"</definedName>
    <definedName name="_AMO_ContentDefinition_316789590.104" hidden="1">"';'MFPR01003540',&amp;#xD;&amp;#xA;'MFPR01003547',&amp;#xD;&amp;#xA;'MFPR01003549',&amp;#xD;&amp;#xA;'MFPR01003550',&amp;#xD;&amp;#xA;'MFPR01003551',&amp;#xD;&amp;#xA;'MFPR01003552',&amp;#xD;&amp;#xA;'MFPR01003557',&amp;#xD;&amp;#xA;'MFPR01003563',&amp;#xD;&amp;#xA;'MFPR01003567',&amp;#xD;&amp;#xA;'MFPR01003571',&amp;#xD;&amp;#xA;'"</definedName>
    <definedName name="_AMO_ContentDefinition_316789590.1040" hidden="1">"'e&amp;amp;gt;&amp;amp;lt;AddQuotes&amp;amp;gt;True&amp;amp;lt;/AddQuotes&amp;amp;gt;&amp;amp;lt;DateFormat&amp;amp;gt;None&amp;amp;lt;/DateFormat&amp;amp;gt;&amp;amp;lt;RightHandSideExpression xml:space=&amp;amp;quot;preserve&amp;amp;quot;&amp;amp;gt;MFPR01001779&amp;amp;lt;/RightHandSideExpression&amp;amp;gt;'"</definedName>
    <definedName name="_AMO_ContentDefinition_316789590.1041"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316789590.1042" hidden="1">"';gt;&amp;amp;lt;DateFormat&amp;amp;gt;None&amp;amp;lt;/DateFormat&amp;amp;gt;&amp;amp;lt;RightHandSideExpression xml:space=&amp;amp;quot;preserve&amp;amp;quot;&amp;amp;gt;MFPR01001780&amp;amp;lt;/RightHandSideExpression&amp;amp;gt;&amp;amp;lt;IsSubquery&amp;amp;gt;False&amp;amp;lt;/IsSubquery&amp;amp;gt;&amp;a'"</definedName>
    <definedName name="_AMO_ContentDefinition_316789590.1043"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316789590.1044" hidden="1">"';&amp;amp;lt;RightHandSideExpression xml:space=&amp;amp;quot;preserve&amp;amp;quot;&amp;amp;gt;MFPR01001782&amp;amp;lt;/RightHandSideExpression&amp;amp;gt;&amp;amp;lt;IsSubquery&amp;amp;gt;False&amp;amp;lt;/IsSubquery&amp;amp;gt;&amp;amp;lt;SubqueryTemplateName /&amp;amp;gt;&amp;amp;lt;/RHSItem&amp;amp;gt;'"</definedName>
    <definedName name="_AMO_ContentDefinition_316789590.1045" hidden="1">"'&amp;amp;lt;RHSItem&amp;amp;gt;&amp;amp;lt;RHSType&amp;amp;gt;EXPRESSION&amp;amp;lt;/RHSType&amp;amp;gt;&amp;amp;lt;AddQuotes&amp;amp;gt;True&amp;amp;lt;/AddQuotes&amp;amp;gt;&amp;amp;lt;DateFormat&amp;amp;gt;None&amp;amp;lt;/DateFormat&amp;amp;gt;&amp;amp;lt;RightHandSideExpression xml:space=&amp;amp;quot;preserv'"</definedName>
    <definedName name="_AMO_ContentDefinition_316789590.1046" hidden="1">"'e&amp;amp;quot;&amp;amp;gt;MFPR01001783&amp;amp;lt;/RightHandSideExpression&amp;amp;gt;&amp;amp;lt;IsSubquery&amp;amp;gt;False&amp;amp;lt;/IsSubquery&amp;amp;gt;&amp;amp;lt;SubqueryTemplateName /&amp;amp;gt;&amp;amp;lt;/RHSItem&amp;amp;gt;&amp;amp;lt;RHSItem&amp;amp;gt;&amp;amp;lt;RHSType&amp;amp;gt;EXPRESSION&amp;amp'"</definedName>
    <definedName name="_AMO_ContentDefinition_316789590.1047" hidden="1">"';lt;/RHSType&amp;amp;gt;&amp;amp;lt;AddQuotes&amp;amp;gt;True&amp;amp;lt;/AddQuotes&amp;amp;gt;&amp;amp;lt;DateFormat&amp;amp;gt;None&amp;amp;lt;/DateFormat&amp;amp;gt;&amp;amp;lt;RightHandSideExpression xml:space=&amp;amp;quot;preserve&amp;amp;quot;&amp;amp;gt;MFPR01001784&amp;amp;lt;/RightHandSideExpress'"</definedName>
    <definedName name="_AMO_ContentDefinition_316789590.1048"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316789590.1049" hidden="1">"'dQuotes&amp;amp;gt;&amp;amp;lt;DateFormat&amp;amp;gt;None&amp;amp;lt;/DateFormat&amp;amp;gt;&amp;amp;lt;RightHandSideExpression xml:space=&amp;amp;quot;preserve&amp;amp;quot;&amp;amp;gt;MFPR01001785&amp;amp;lt;/RightHandSideExpression&amp;amp;gt;&amp;amp;lt;IsSubquery&amp;amp;gt;False&amp;amp;lt;/IsSubquer'"</definedName>
    <definedName name="_AMO_ContentDefinition_316789590.105" hidden="1">"''MFPR01003574',&amp;#xD;&amp;#xA;'MFPR01003577',&amp;#xD;&amp;#xA;'MFPR01003579',&amp;#xD;&amp;#xA;'MFPR01003580',&amp;#xD;&amp;#xA;'MFPR01003581',&amp;#xD;&amp;#xA;'MFPR01003582',&amp;#xD;&amp;#xA;'MFPR01003587',&amp;#xD;&amp;#xA;'MFPR01003594',&amp;#xD;&amp;#xA;'MFPR01003598',&amp;#xD;&amp;#xA;'MFPR01003599',&amp;#xD;&amp;#xA;''"</definedName>
    <definedName name="_AMO_ContentDefinition_316789590.1050"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316789590.1051" hidden="1">"'rmat&amp;amp;gt;&amp;amp;lt;RightHandSideExpression xml:space=&amp;amp;quot;preserve&amp;amp;quot;&amp;amp;gt;MFPR01001786&amp;amp;lt;/RightHandSideExpression&amp;amp;gt;&amp;amp;lt;IsSubquery&amp;amp;gt;False&amp;amp;lt;/IsSubquery&amp;amp;gt;&amp;amp;lt;SubqueryTemplateName /&amp;amp;gt;&amp;amp;lt;/RHSI'"</definedName>
    <definedName name="_AMO_ContentDefinition_316789590.1052" hidden="1">"'tem&amp;amp;gt;&amp;amp;lt;RHSItem&amp;amp;gt;&amp;amp;lt;RHSType&amp;amp;gt;EXPRESSION&amp;amp;lt;/RHSType&amp;amp;gt;&amp;amp;lt;AddQuotes&amp;amp;gt;True&amp;amp;lt;/AddQuotes&amp;amp;gt;&amp;amp;lt;DateFormat&amp;amp;gt;None&amp;amp;lt;/DateFormat&amp;amp;gt;&amp;amp;lt;RightHandSideExpression xml:space=&amp;amp;q'"</definedName>
    <definedName name="_AMO_ContentDefinition_316789590.1053" hidden="1">"'uot;preserve&amp;amp;quot;&amp;amp;gt;MFPR01001787&amp;amp;lt;/RightHandSideExpression&amp;amp;gt;&amp;amp;lt;IsSubquery&amp;amp;gt;False&amp;amp;lt;/IsSubquery&amp;amp;gt;&amp;amp;lt;SubqueryTemplateName /&amp;amp;gt;&amp;amp;lt;/RHSItem&amp;amp;gt;&amp;amp;lt;RHSItem&amp;amp;gt;&amp;amp;lt;RHSType&amp;amp;gt;EXP'"</definedName>
    <definedName name="_AMO_ContentDefinition_316789590.1054" hidden="1">"'RESSION&amp;amp;lt;/RHSType&amp;amp;gt;&amp;amp;lt;AddQuotes&amp;amp;gt;True&amp;amp;lt;/AddQuotes&amp;amp;gt;&amp;amp;lt;DateFormat&amp;amp;gt;None&amp;amp;lt;/DateFormat&amp;amp;gt;&amp;amp;lt;RightHandSideExpression xml:space=&amp;amp;quot;preserve&amp;amp;quot;&amp;amp;gt;MFPR01001789&amp;amp;lt;/RightHand'"</definedName>
    <definedName name="_AMO_ContentDefinition_316789590.1055"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316789590.1056" hidden="1">"'&amp;amp;lt;/AddQuotes&amp;amp;gt;&amp;amp;lt;DateFormat&amp;amp;gt;None&amp;amp;lt;/DateFormat&amp;amp;gt;&amp;amp;lt;RightHandSideExpression xml:space=&amp;amp;quot;preserve&amp;amp;quot;&amp;amp;gt;MFPR01001790&amp;amp;lt;/RightHandSideExpression&amp;amp;gt;&amp;amp;lt;IsSubquery&amp;amp;gt;False&amp;amp;lt'"</definedName>
    <definedName name="_AMO_ContentDefinition_316789590.1057"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316789590.1058" hidden="1">"';lt;/DateFormat&amp;amp;gt;&amp;amp;lt;RightHandSideExpression xml:space=&amp;amp;quot;preserve&amp;amp;quot;&amp;amp;gt;MFPR01001791&amp;amp;lt;/RightHandSideExpression&amp;amp;gt;&amp;amp;lt;IsSubquery&amp;amp;gt;False&amp;amp;lt;/IsSubquery&amp;amp;gt;&amp;amp;lt;SubqueryTemplateName /&amp;amp;gt;&amp;a'"</definedName>
    <definedName name="_AMO_ContentDefinition_316789590.1059" hidden="1">"'mp;lt;/RHSItem&amp;amp;gt;&amp;amp;lt;RHSItem&amp;amp;gt;&amp;amp;lt;RHSType&amp;amp;gt;EXPRESSION&amp;amp;lt;/RHSType&amp;amp;gt;&amp;amp;lt;AddQuotes&amp;amp;gt;True&amp;amp;lt;/AddQuotes&amp;amp;gt;&amp;amp;lt;DateFormat&amp;amp;gt;None&amp;amp;lt;/DateFormat&amp;amp;gt;&amp;amp;lt;RightHandSideExpression xml:s'"</definedName>
    <definedName name="_AMO_ContentDefinition_316789590.106" hidden="1">"'MFPR01003606',&amp;#xD;&amp;#xA;'MFPR01004148',&amp;#xD;&amp;#xA;'MFPR01004149',&amp;#xD;&amp;#xA;'MFPR01004150',&amp;#xD;&amp;#xA;'MFPR01004152',&amp;#xD;&amp;#xA;'MFPR01004153',&amp;#xD;&amp;#xA;'MFPR01004154',&amp;#xD;&amp;#xA;'MFPR01004155',&amp;#xD;&amp;#xA;'MFPR01004160',&amp;#xD;&amp;#xA;'MFPR01004166',&amp;#xD;&amp;#xA;'M'"</definedName>
    <definedName name="_AMO_ContentDefinition_316789590.1060" hidden="1">"'pace=&amp;amp;quot;preserve&amp;amp;quot;&amp;amp;gt;MFPR01001792&amp;amp;lt;/RightHandSideExpression&amp;amp;gt;&amp;amp;lt;IsSubquery&amp;amp;gt;False&amp;amp;lt;/IsSubquery&amp;amp;gt;&amp;amp;lt;SubqueryTemplateName /&amp;amp;gt;&amp;amp;lt;/RHSItem&amp;amp;gt;&amp;amp;lt;RHSItem&amp;amp;gt;&amp;amp;lt;RHSType'"</definedName>
    <definedName name="_AMO_ContentDefinition_316789590.1061" hidden="1">"'&amp;amp;gt;EXPRESSION&amp;amp;lt;/RHSType&amp;amp;gt;&amp;amp;lt;AddQuotes&amp;amp;gt;True&amp;amp;lt;/AddQuotes&amp;amp;gt;&amp;amp;lt;DateFormat&amp;amp;gt;None&amp;amp;lt;/DateFormat&amp;amp;gt;&amp;amp;lt;RightHandSideExpression xml:space=&amp;amp;quot;preserve&amp;amp;quot;&amp;amp;gt;MFPR01001793&amp;amp;lt'"</definedName>
    <definedName name="_AMO_ContentDefinition_316789590.1062"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316789590.1063" hidden="1">"'amp;gt;True&amp;amp;lt;/AddQuotes&amp;amp;gt;&amp;amp;lt;DateFormat&amp;amp;gt;None&amp;amp;lt;/DateFormat&amp;amp;gt;&amp;amp;lt;RightHandSideExpression xml:space=&amp;amp;quot;preserve&amp;amp;quot;&amp;amp;gt;MFPR01001794&amp;amp;lt;/RightHandSideExpression&amp;amp;gt;&amp;amp;lt;IsSubquery&amp;amp;gt;F'"</definedName>
    <definedName name="_AMO_ContentDefinition_316789590.1064"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316789590.1065" hidden="1">"'gt;None&amp;amp;lt;/DateFormat&amp;amp;gt;&amp;amp;lt;RightHandSideExpression xml:space=&amp;amp;quot;preserve&amp;amp;quot;&amp;amp;gt;MFPR01001796&amp;amp;lt;/RightHandSideExpression&amp;amp;gt;&amp;amp;lt;IsSubquery&amp;amp;gt;False&amp;amp;lt;/IsSubquery&amp;amp;gt;&amp;amp;lt;SubqueryTemplateName '"</definedName>
    <definedName name="_AMO_ContentDefinition_316789590.1066"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316789590.1067" hidden="1">"'ssion xml:space=&amp;amp;quot;preserve&amp;amp;quot;&amp;amp;gt;MFPR01001797&amp;amp;lt;/RightHandSideExpression&amp;amp;gt;&amp;amp;lt;IsSubquery&amp;amp;gt;False&amp;amp;lt;/IsSubquery&amp;amp;gt;&amp;amp;lt;SubqueryTemplateName /&amp;amp;gt;&amp;amp;lt;/RHSItem&amp;amp;gt;&amp;amp;lt;RHSItem&amp;amp;gt;&amp;amp'"</definedName>
    <definedName name="_AMO_ContentDefinition_316789590.1068" hidden="1">"';lt;RHSType&amp;amp;gt;EXPRESSION&amp;amp;lt;/RHSType&amp;amp;gt;&amp;amp;lt;AddQuotes&amp;amp;gt;True&amp;amp;lt;/AddQuotes&amp;amp;gt;&amp;amp;lt;DateFormat&amp;amp;gt;None&amp;amp;lt;/DateFormat&amp;amp;gt;&amp;amp;lt;RightHandSideExpression xml:space=&amp;amp;quot;preserve&amp;amp;quot;&amp;amp;gt;MFPR0100'"</definedName>
    <definedName name="_AMO_ContentDefinition_316789590.1069" hidden="1">"'1798&amp;amp;lt;/RightHandSideExpression&amp;amp;gt;&amp;amp;lt;IsSubquery&amp;amp;gt;False&amp;amp;lt;/IsSubquery&amp;amp;gt;&amp;amp;lt;SubqueryTemplateName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316789590.107" hidden="1">"'FPR01004170',&amp;#xD;&amp;#xA;'MFPR01004171',&amp;#xD;&amp;#xA;'MFPR01004175',&amp;#xD;&amp;#xA;'MFPR01004176',&amp;#xD;&amp;#xA;'MFPR01004177',&amp;#xD;&amp;#xA;'MFPR01004179',&amp;#xD;&amp;#xA;'MFPR01004180',&amp;#xD;&amp;#xA;'MFPR01004181',&amp;#xD;&amp;#xA;'MFPR01004182',&amp;#xD;&amp;#xA;'MFPR01004187',&amp;#xD;&amp;#xA;'MF'"</definedName>
    <definedName name="_AMO_ContentDefinition_316789590.1070" hidden="1">"';AddQuotes&amp;amp;gt;True&amp;amp;lt;/AddQuotes&amp;amp;gt;&amp;amp;lt;DateFormat&amp;amp;gt;None&amp;amp;lt;/DateFormat&amp;amp;gt;&amp;amp;lt;RightHandSideExpression xml:space=&amp;amp;quot;preserve&amp;amp;quot;&amp;amp;gt;MFPR01001799&amp;amp;lt;/RightHandSideExpression&amp;amp;gt;&amp;amp;lt;IsSubque'"</definedName>
    <definedName name="_AMO_ContentDefinition_316789590.1071"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316789590.1072" hidden="1">"'Format&amp;amp;gt;None&amp;amp;lt;/DateFormat&amp;amp;gt;&amp;amp;lt;RightHandSideExpression xml:space=&amp;amp;quot;preserve&amp;amp;quot;&amp;amp;gt;MFPR01001800&amp;amp;lt;/RightHandSideExpression&amp;amp;gt;&amp;amp;lt;IsSubquery&amp;amp;gt;False&amp;amp;lt;/IsSubquery&amp;amp;gt;&amp;amp;lt;SubqueryTe'"</definedName>
    <definedName name="_AMO_ContentDefinition_316789590.1073"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316789590.1074" hidden="1">"'ndSideExpression xml:space=&amp;amp;quot;preserve&amp;amp;quot;&amp;amp;gt;MFPR01001801&amp;amp;lt;/RightHandSideExpression&amp;amp;gt;&amp;amp;lt;IsSubquery&amp;amp;gt;False&amp;amp;lt;/IsSubquery&amp;amp;gt;&amp;amp;lt;SubqueryTemplateName /&amp;amp;gt;&amp;amp;lt;/RHSItem&amp;amp;gt;&amp;amp;lt;RHSItem&amp;'"</definedName>
    <definedName name="_AMO_ContentDefinition_316789590.1075" hidden="1">"'amp;gt;&amp;amp;lt;RHSType&amp;amp;gt;EXPRESSION&amp;amp;lt;/RHSType&amp;amp;gt;&amp;amp;lt;AddQuotes&amp;amp;gt;True&amp;amp;lt;/AddQuotes&amp;amp;gt;&amp;amp;lt;DateFormat&amp;amp;gt;None&amp;amp;lt;/DateFormat&amp;amp;gt;&amp;amp;lt;RightHandSideExpression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316789590.1076" hidden="1">"'gt;MFPR01001803&amp;amp;lt;/RightHandSideExpression&amp;amp;gt;&amp;amp;lt;IsSubquery&amp;amp;gt;False&amp;amp;lt;/IsSubquery&amp;amp;gt;&amp;amp;lt;SubqueryTemplateName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316789590.1077" hidden="1">"';gt;&amp;amp;lt;AddQuotes&amp;amp;gt;True&amp;amp;lt;/AddQuotes&amp;amp;gt;&amp;amp;lt;DateFormat&amp;amp;gt;None&amp;amp;lt;/DateFormat&amp;amp;gt;&amp;amp;lt;RightHandSideExpression xml:space=&amp;amp;quot;preserve&amp;amp;quot;&amp;amp;gt;MFPR01001804&amp;amp;lt;/RightHandSideExpression&amp;amp;gt;&amp;amp;'"</definedName>
    <definedName name="_AMO_ContentDefinition_316789590.1078"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316789590.1079" hidden="1">"'amp;lt;DateFormat&amp;amp;gt;None&amp;amp;lt;/DateFormat&amp;amp;gt;&amp;amp;lt;RightHandSideExpression xml:space=&amp;amp;quot;preserve&amp;amp;quot;&amp;amp;gt;MFPR01001808&amp;amp;lt;/RightHandSideExpression&amp;amp;gt;&amp;amp;lt;IsSubquery&amp;amp;gt;False&amp;amp;lt;/IsSubquery&amp;amp;gt;&amp;amp;lt'"</definedName>
    <definedName name="_AMO_ContentDefinition_316789590.108" hidden="1">"'PR01004193',&amp;#xD;&amp;#xA;'MFPR01004197',&amp;#xD;&amp;#xA;'MFPR01004198',&amp;#xD;&amp;#xA;'MFPR01004199',&amp;#xD;&amp;#xA;'MFPR01004207',&amp;#xD;&amp;#xA;'MFPR01004218',&amp;#xD;&amp;#xA;'MFPR01004219',&amp;#xD;&amp;#xA;'MFPR01004220',&amp;#xD;&amp;#xA;'MFPR01004222',&amp;#xD;&amp;#xA;'MFPR01004223',&amp;#xD;&amp;#xA;'MFP'"</definedName>
    <definedName name="_AMO_ContentDefinition_316789590.1080"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316789590.1081" hidden="1">"';lt;RightHandSideExpression xml:space=&amp;amp;quot;preserve&amp;amp;quot;&amp;amp;gt;MFPR01001816&amp;amp;lt;/RightHandSideExpression&amp;amp;gt;&amp;amp;lt;IsSubquery&amp;amp;gt;False&amp;amp;lt;/IsSubquery&amp;amp;gt;&amp;amp;lt;SubqueryTemplateName /&amp;amp;gt;&amp;amp;lt;/RHSItem&amp;amp;gt;&amp;amp;'"</definedName>
    <definedName name="_AMO_ContentDefinition_316789590.1082" hidden="1">"'lt;RHSItem&amp;amp;gt;&amp;amp;lt;RHSType&amp;amp;gt;EXPRESSION&amp;amp;lt;/RHSType&amp;amp;gt;&amp;amp;lt;AddQuotes&amp;amp;gt;True&amp;amp;lt;/AddQuotes&amp;amp;gt;&amp;amp;lt;DateFormat&amp;amp;gt;None&amp;amp;lt;/DateFormat&amp;amp;gt;&amp;amp;lt;RightHandSideExpression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316789590.1083" hidden="1">"';quot;&amp;amp;gt;MFPR01001817&amp;amp;lt;/RightHandSideExpression&amp;amp;gt;&amp;amp;lt;IsSubquery&amp;amp;gt;False&amp;amp;lt;/IsSubquery&amp;amp;gt;&amp;amp;lt;SubqueryTemplateName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1084" hidden="1">"'RHSType&amp;amp;gt;&amp;amp;lt;AddQuotes&amp;amp;gt;True&amp;amp;lt;/AddQuotes&amp;amp;gt;&amp;amp;lt;DateFormat&amp;amp;gt;None&amp;amp;lt;/DateFormat&amp;amp;gt;&amp;amp;lt;RightHandSideExpression xml:space=&amp;amp;quot;preserve&amp;amp;quot;&amp;amp;gt;MFPR01001818&amp;amp;lt;/RightHandSideExpression&amp;a'"</definedName>
    <definedName name="_AMO_ContentDefinition_316789590.1085"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316789590.1086" hidden="1">"'es&amp;amp;gt;&amp;amp;lt;DateFormat&amp;amp;gt;None&amp;amp;lt;/DateFormat&amp;amp;gt;&amp;amp;lt;RightHandSideExpression xml:space=&amp;amp;quot;preserve&amp;amp;quot;&amp;amp;gt;MFPR01001822&amp;amp;lt;/RightHandSideExpression&amp;amp;gt;&amp;amp;lt;IsSubquery&amp;amp;gt;False&amp;amp;lt;/IsSubquery&amp;amp'"</definedName>
    <definedName name="_AMO_ContentDefinition_316789590.1087"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316789590.1088" hidden="1">"'amp;gt;&amp;amp;lt;RightHandSideExpression xml:space=&amp;amp;quot;preserve&amp;amp;quot;&amp;amp;gt;MFPR01001830&amp;amp;lt;/RightHandSideExpression&amp;amp;gt;&amp;amp;lt;IsSubquery&amp;amp;gt;False&amp;amp;lt;/IsSubquery&amp;amp;gt;&amp;amp;lt;SubqueryTemplateName /&amp;amp;gt;&amp;amp;lt;/RHSItem&amp;a'"</definedName>
    <definedName name="_AMO_ContentDefinition_316789590.1089" hidden="1">"'mp;gt;&amp;amp;lt;RHSItem&amp;amp;gt;&amp;amp;lt;RHSType&amp;amp;gt;EXPRESSION&amp;amp;lt;/RHSType&amp;amp;gt;&amp;amp;lt;AddQuotes&amp;amp;gt;True&amp;amp;lt;/AddQuotes&amp;amp;gt;&amp;amp;lt;DateFormat&amp;amp;gt;None&amp;amp;lt;/DateFormat&amp;amp;gt;&amp;amp;lt;RightHandSideExpression xml:space=&amp;amp;quot;p'"</definedName>
    <definedName name="_AMO_ContentDefinition_316789590.109" hidden="1">"'R01004224',&amp;#xD;&amp;#xA;'MFPR01004225',&amp;#xD;&amp;#xA;'MFPR01004230',&amp;#xD;&amp;#xA;'MFPR01004236',&amp;#xD;&amp;#xA;'MFPR01004240',&amp;#xD;&amp;#xA;'MFPR01004241',&amp;#xD;&amp;#xA;'MFPR01004245',&amp;#xD;&amp;#xA;'MFPR01004246',&amp;#xD;&amp;#xA;'MFPR01004247',&amp;#xD;&amp;#xA;'MFPR01004249',&amp;#xD;&amp;#xA;'MFPR'"</definedName>
    <definedName name="_AMO_ContentDefinition_316789590.1090" hidden="1">"'reserve&amp;amp;quot;&amp;amp;gt;MFPR01001833&amp;amp;lt;/RightHandSideExpression&amp;amp;gt;&amp;amp;lt;IsSubquery&amp;amp;gt;False&amp;amp;lt;/IsSubquery&amp;amp;gt;&amp;amp;lt;SubqueryTemplateName /&amp;amp;gt;&amp;amp;lt;/RHSItem&amp;amp;gt;&amp;amp;lt;RHSItem&amp;amp;gt;&amp;amp;lt;RHSType&amp;amp;gt;EXPRESSI'"</definedName>
    <definedName name="_AMO_ContentDefinition_316789590.1091" hidden="1">"'ON&amp;amp;lt;/RHSType&amp;amp;gt;&amp;amp;lt;AddQuotes&amp;amp;gt;True&amp;amp;lt;/AddQuotes&amp;amp;gt;&amp;amp;lt;DateFormat&amp;amp;gt;None&amp;amp;lt;/DateFormat&amp;amp;gt;&amp;amp;lt;RightHandSideExpression xml:space=&amp;amp;quot;preserve&amp;amp;quot;&amp;amp;gt;MFPR01001839&amp;amp;lt;/RightHandSideE'"</definedName>
    <definedName name="_AMO_ContentDefinition_316789590.1092"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316789590.1093" hidden="1">"'lt;/AddQuotes&amp;amp;gt;&amp;amp;lt;DateFormat&amp;amp;gt;None&amp;amp;lt;/DateFormat&amp;amp;gt;&amp;amp;lt;RightHandSideExpression xml:space=&amp;amp;quot;preserve&amp;amp;quot;&amp;amp;gt;MFPR01001840&amp;amp;lt;/RightHandSideExpression&amp;amp;gt;&amp;amp;lt;IsSubquery&amp;amp;gt;False&amp;amp;lt;/IsS'"</definedName>
    <definedName name="_AMO_ContentDefinition_316789590.1094"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1095" hidden="1">"'DateFormat&amp;amp;gt;&amp;amp;lt;RightHandSideExpression xml:space=&amp;amp;quot;preserve&amp;amp;quot;&amp;amp;gt;MFPR01001841&amp;amp;lt;/RightHandSideExpression&amp;amp;gt;&amp;amp;lt;IsSubquery&amp;amp;gt;False&amp;amp;lt;/IsSubquery&amp;amp;gt;&amp;amp;lt;SubqueryTemplateName /&amp;amp;gt;&amp;amp;lt'"</definedName>
    <definedName name="_AMO_ContentDefinition_316789590.1096" hidden="1">"';/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316789590.1097" hidden="1">"'&amp;amp;quot;preserve&amp;amp;quot;&amp;amp;gt;MFPR01001843&amp;amp;lt;/RightHandSideExpression&amp;amp;gt;&amp;amp;lt;IsSubquery&amp;amp;gt;False&amp;amp;lt;/IsSubquery&amp;amp;gt;&amp;amp;lt;SubqueryTemplateName /&amp;amp;gt;&amp;amp;lt;/RHSItem&amp;amp;gt;&amp;amp;lt;RHSItem&amp;amp;gt;&amp;amp;lt;RHSType&amp;amp;'"</definedName>
    <definedName name="_AMO_ContentDefinition_316789590.1098" hidden="1">"'gt;EXPRESSION&amp;amp;lt;/RHSType&amp;amp;gt;&amp;amp;lt;AddQuotes&amp;amp;gt;True&amp;amp;lt;/AddQuotes&amp;amp;gt;&amp;amp;lt;DateFormat&amp;amp;gt;None&amp;amp;lt;/DateFormat&amp;amp;gt;&amp;amp;lt;RightHandSideExpression xml:space=&amp;amp;quot;preserve&amp;amp;quot;&amp;amp;gt;MFPR01001844&amp;amp;lt;/Rig'"</definedName>
    <definedName name="_AMO_ContentDefinition_316789590.1099"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316789590.11" hidden="1">"'1000297',&amp;#xD;&amp;#xA;'MFPR01000298',&amp;#xD;&amp;#xA;'MFPR01000299',&amp;#xD;&amp;#xA;'MFPR01000300',&amp;#xD;&amp;#xA;'MFPR01000301',&amp;#xD;&amp;#xA;'MFPR01000302',&amp;#xD;&amp;#xA;'MFPR01000304',&amp;#xD;&amp;#xA;'MFPR01000305',&amp;#xD;&amp;#xA;'MFPR01000306',&amp;#xD;&amp;#xA;'MFPR01000307',&amp;#xD;&amp;#xA;'MFPR01'"</definedName>
    <definedName name="_AMO_ContentDefinition_316789590.110" hidden="1">"'01004250',&amp;#xD;&amp;#xA;'MFPR01004251',&amp;#xD;&amp;#xA;'MFPR01004252',&amp;#xD;&amp;#xA;'MFPR01004257',&amp;#xD;&amp;#xA;'MFPR01004263',&amp;#xD;&amp;#xA;'MFPR01004267',&amp;#xD;&amp;#xA;'MFPR01004268',&amp;#xD;&amp;#xA;'MFPR01004269',&amp;#xD;&amp;#xA;'MFPR01004277',&amp;#xD;&amp;#xA;'MFPR01004288',&amp;#xD;&amp;#xA;'MFPR0'"</definedName>
    <definedName name="_AMO_ContentDefinition_316789590.1100" hidden="1">"'t;True&amp;amp;lt;/AddQuotes&amp;amp;gt;&amp;amp;lt;DateFormat&amp;amp;gt;None&amp;amp;lt;/DateFormat&amp;amp;gt;&amp;amp;lt;RightHandSideExpression xml:space=&amp;amp;quot;preserve&amp;amp;quot;&amp;amp;gt;MFPR01001845&amp;amp;lt;/RightHandSideExpression&amp;amp;gt;&amp;amp;lt;IsSubquery&amp;amp;gt;False&amp;'"</definedName>
    <definedName name="_AMO_ContentDefinition_316789590.1101"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316789590.1102" hidden="1">"'ne&amp;amp;lt;/DateFormat&amp;amp;gt;&amp;amp;lt;RightHandSideExpression xml:space=&amp;amp;quot;preserve&amp;amp;quot;&amp;amp;gt;MFPR01001846&amp;amp;lt;/RightHandSideExpression&amp;amp;gt;&amp;amp;lt;IsSubquery&amp;amp;gt;False&amp;amp;lt;/IsSubquery&amp;amp;gt;&amp;amp;lt;SubqueryTemplateName /&amp;amp'"</definedName>
    <definedName name="_AMO_ContentDefinition_316789590.1103"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316789590.1104" hidden="1">"' xml:space=&amp;amp;quot;preserve&amp;amp;quot;&amp;amp;gt;MFPR01001850&amp;amp;lt;/RightHandSideExpression&amp;amp;gt;&amp;amp;lt;IsSubquery&amp;amp;gt;False&amp;amp;lt;/IsSubquery&amp;amp;gt;&amp;amp;lt;SubqueryTemplateName /&amp;amp;gt;&amp;amp;lt;/RHSItem&amp;amp;gt;&amp;amp;lt;RHSItem&amp;amp;gt;&amp;amp;lt;R'"</definedName>
    <definedName name="_AMO_ContentDefinition_316789590.1105" hidden="1">"'HSType&amp;amp;gt;EXPRESSION&amp;amp;lt;/RHSType&amp;amp;gt;&amp;amp;lt;AddQuotes&amp;amp;gt;True&amp;amp;lt;/AddQuotes&amp;amp;gt;&amp;amp;lt;DateFormat&amp;amp;gt;None&amp;amp;lt;/DateFormat&amp;amp;gt;&amp;amp;lt;RightHandSideExpression xml:space=&amp;amp;quot;preserve&amp;amp;quot;&amp;amp;gt;MFPR01001857&amp;'"</definedName>
    <definedName name="_AMO_ContentDefinition_316789590.1106"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316789590.1107" hidden="1">"'uotes&amp;amp;gt;True&amp;amp;lt;/AddQuotes&amp;amp;gt;&amp;amp;lt;DateFormat&amp;amp;gt;None&amp;amp;lt;/DateFormat&amp;amp;gt;&amp;amp;lt;RightHandSideExpression xml:space=&amp;amp;quot;preserve&amp;amp;quot;&amp;amp;gt;MFPR01001862&amp;amp;lt;/RightHandSideExpression&amp;amp;gt;&amp;amp;lt;IsSubquery&amp;am'"</definedName>
    <definedName name="_AMO_ContentDefinition_316789590.1108"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316789590.1109" hidden="1">"'t&amp;amp;gt;None&amp;amp;lt;/DateFormat&amp;amp;gt;&amp;amp;lt;RightHandSideExpression xml:space=&amp;amp;quot;preserve&amp;amp;quot;&amp;amp;gt;MFPR01001864&amp;amp;lt;/RightHandSideExpression&amp;amp;gt;&amp;amp;lt;IsSubquery&amp;amp;gt;False&amp;amp;lt;/IsSubquery&amp;amp;gt;&amp;amp;lt;SubqueryTemplat'"</definedName>
    <definedName name="_AMO_ContentDefinition_316789590.111" hidden="1">"'1004289',&amp;#xD;&amp;#xA;'MFPR01004290',&amp;#xD;&amp;#xA;'MFPR01004292',&amp;#xD;&amp;#xA;'MFPR01004293',&amp;#xD;&amp;#xA;'MFPR01004294',&amp;#xD;&amp;#xA;'MFPR01004295',&amp;#xD;&amp;#xA;'MFPR01004300',&amp;#xD;&amp;#xA;'MFPR01004306',&amp;#xD;&amp;#xA;'MFPR01004310',&amp;#xD;&amp;#xA;'MFPR01004311',&amp;#xD;&amp;#xA;'MFPR01'"</definedName>
    <definedName name="_AMO_ContentDefinition_316789590.1110"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316789590.1111" hidden="1">"'eExpression xml:space=&amp;amp;quot;preserve&amp;amp;quot;&amp;amp;gt;MFPR01001865&amp;amp;lt;/RightHandSideExpression&amp;amp;gt;&amp;amp;lt;IsSubquery&amp;amp;gt;False&amp;amp;lt;/IsSubquery&amp;amp;gt;&amp;amp;lt;SubqueryTemplateName /&amp;amp;gt;&amp;amp;lt;/RHSItem&amp;amp;gt;&amp;amp;lt;RHSItem&amp;amp;g'"</definedName>
    <definedName name="_AMO_ContentDefinition_316789590.1112" hidden="1">"'t;&amp;amp;lt;RHSType&amp;amp;gt;EXPRESSION&amp;amp;lt;/RHSType&amp;amp;gt;&amp;amp;lt;AddQuotes&amp;amp;gt;True&amp;amp;lt;/AddQuotes&amp;amp;gt;&amp;amp;lt;DateFormat&amp;amp;gt;None&amp;amp;lt;/DateFormat&amp;amp;gt;&amp;amp;lt;RightHandSideExpression xml:space=&amp;amp;quot;preserve&amp;amp;quot;&amp;amp;gt;MF'"</definedName>
    <definedName name="_AMO_ContentDefinition_316789590.1113" hidden="1">"'PR01001866&amp;amp;lt;/RightHandSideExpression&amp;amp;gt;&amp;amp;lt;IsSubquery&amp;amp;gt;False&amp;amp;lt;/IsSubquery&amp;amp;gt;&amp;amp;lt;SubqueryTemplateName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316789590.1114" hidden="1">"'amp;lt;AddQuotes&amp;amp;gt;True&amp;amp;lt;/AddQuotes&amp;amp;gt;&amp;amp;lt;DateFormat&amp;amp;gt;None&amp;amp;lt;/DateFormat&amp;amp;gt;&amp;amp;lt;RightHandSideExpression xml:space=&amp;amp;quot;preserve&amp;amp;quot;&amp;amp;gt;MFPR01001868&amp;amp;lt;/RightHandSideExpression&amp;amp;gt;&amp;amp;lt;Is'"</definedName>
    <definedName name="_AMO_ContentDefinition_316789590.1115"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316789590.1116" hidden="1">"'t;DateFormat&amp;amp;gt;None&amp;amp;lt;/DateFormat&amp;amp;gt;&amp;amp;lt;RightHandSideExpression xml:space=&amp;amp;quot;preserve&amp;amp;quot;&amp;amp;gt;MFPR01001869&amp;amp;lt;/RightHandSideExpression&amp;amp;gt;&amp;amp;lt;IsSubquery&amp;amp;gt;False&amp;amp;lt;/IsSubquery&amp;amp;gt;&amp;amp;lt;Subq'"</definedName>
    <definedName name="_AMO_ContentDefinition_316789590.1117"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316789590.1118" hidden="1">"'ightHandSideExpression xml:space=&amp;amp;quot;preserve&amp;amp;quot;&amp;amp;gt;MFPR01001870&amp;amp;lt;/RightHandSideExpression&amp;amp;gt;&amp;amp;lt;IsSubquery&amp;amp;gt;False&amp;amp;lt;/IsSubquery&amp;amp;gt;&amp;amp;lt;SubqueryTemplateName /&amp;amp;gt;&amp;amp;lt;/RHSItem&amp;amp;gt;&amp;amp;lt;RH'"</definedName>
    <definedName name="_AMO_ContentDefinition_316789590.1119" hidden="1">"'SItem&amp;amp;gt;&amp;amp;lt;RHSType&amp;amp;gt;EXPRESSION&amp;amp;lt;/RHSType&amp;amp;gt;&amp;amp;lt;AddQuotes&amp;amp;gt;True&amp;amp;lt;/AddQuotes&amp;amp;gt;&amp;amp;lt;DateFormat&amp;amp;gt;None&amp;amp;lt;/DateFormat&amp;amp;gt;&amp;amp;lt;RightHandSideExpression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316789590.112" hidden="1">"'004315',&amp;#xD;&amp;#xA;'MFPR01004316',&amp;#xD;&amp;#xA;'MFPR01004317',&amp;#xD;&amp;#xA;'MFPR01004319',&amp;#xD;&amp;#xA;'MFPR01004320',&amp;#xD;&amp;#xA;'MFPR01004321',&amp;#xD;&amp;#xA;'MFPR01004322',&amp;#xD;&amp;#xA;'MFPR01004327',&amp;#xD;&amp;#xA;'MFPR01004333',&amp;#xD;&amp;#xA;'MFPR01004337',&amp;#xD;&amp;#xA;'MFPR010'"</definedName>
    <definedName name="_AMO_ContentDefinition_316789590.1120" hidden="1">"';&amp;amp;gt;MFPR01001871&amp;amp;lt;/RightHandSideExpression&amp;amp;gt;&amp;amp;lt;IsSubquery&amp;amp;gt;False&amp;amp;lt;/IsSubquery&amp;amp;gt;&amp;amp;lt;SubqueryTemplateName /&amp;amp;gt;&amp;amp;lt;/RHSItem&amp;amp;gt;&amp;amp;lt;RHSItem&amp;amp;gt;&amp;amp;lt;RHSType&amp;amp;gt;EXPRESSION&amp;amp;lt;/RHSTy'"</definedName>
    <definedName name="_AMO_ContentDefinition_316789590.1121" hidden="1">"'pe&amp;amp;gt;&amp;amp;lt;AddQuotes&amp;amp;gt;True&amp;amp;lt;/AddQuotes&amp;amp;gt;&amp;amp;lt;DateFormat&amp;amp;gt;None&amp;amp;lt;/DateFormat&amp;amp;gt;&amp;amp;lt;RightHandSideExpression xml:space=&amp;amp;quot;preserve&amp;amp;quot;&amp;amp;gt;MFPR01001875&amp;amp;lt;/RightHandSideExpression&amp;amp;gt'"</definedName>
    <definedName name="_AMO_ContentDefinition_316789590.1122"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316789590.1123" hidden="1">"'p;gt;&amp;amp;lt;DateFormat&amp;amp;gt;None&amp;amp;lt;/DateFormat&amp;amp;gt;&amp;amp;lt;RightHandSideExpression xml:space=&amp;amp;quot;preserve&amp;amp;quot;&amp;amp;gt;MFPR01001883&amp;amp;lt;/RightHandSideExpression&amp;amp;gt;&amp;amp;lt;IsSubquery&amp;amp;gt;False&amp;amp;lt;/IsSubquery&amp;amp;gt;&amp;'"</definedName>
    <definedName name="_AMO_ContentDefinition_316789590.1124"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316789590.1125" hidden="1">"'t;&amp;amp;lt;RightHandSideExpression xml:space=&amp;amp;quot;preserve&amp;amp;quot;&amp;amp;gt;MFPR01001887&amp;amp;lt;/RightHandSideExpression&amp;amp;gt;&amp;amp;lt;IsSubquery&amp;amp;gt;False&amp;amp;lt;/IsSubquery&amp;amp;gt;&amp;amp;lt;SubqueryTemplateName /&amp;amp;gt;&amp;amp;lt;/RHSItem&amp;amp;gt'"</definedName>
    <definedName name="_AMO_ContentDefinition_316789590.1126" hidden="1">"';&amp;amp;lt;RHSItem&amp;amp;gt;&amp;amp;lt;RHSType&amp;amp;gt;EXPRESSION&amp;amp;lt;/RHSType&amp;amp;gt;&amp;amp;lt;AddQuotes&amp;amp;gt;True&amp;amp;lt;/AddQuotes&amp;amp;gt;&amp;amp;lt;DateFormat&amp;amp;gt;None&amp;amp;lt;/DateFormat&amp;amp;gt;&amp;amp;lt;RightHandSideExpression xml:space=&amp;amp;quot;preser'"</definedName>
    <definedName name="_AMO_ContentDefinition_316789590.1127" hidden="1">"'ve&amp;amp;quot;&amp;amp;gt;MFPR01001893&amp;amp;lt;/RightHandSideExpression&amp;amp;gt;&amp;amp;lt;IsSubquery&amp;amp;gt;False&amp;amp;lt;/IsSubquery&amp;amp;gt;&amp;amp;lt;SubqueryTemplateName /&amp;amp;gt;&amp;amp;lt;/RHSItem&amp;amp;gt;&amp;amp;lt;RHSItem&amp;amp;gt;&amp;amp;lt;RHSType&amp;amp;gt;EXPRESSION&amp;am'"</definedName>
    <definedName name="_AMO_ContentDefinition_316789590.1128" hidden="1">"'p;lt;/RHSType&amp;amp;gt;&amp;amp;lt;AddQuotes&amp;amp;gt;True&amp;amp;lt;/AddQuotes&amp;amp;gt;&amp;amp;lt;DateFormat&amp;amp;gt;None&amp;amp;lt;/DateFormat&amp;amp;gt;&amp;amp;lt;RightHandSideExpression xml:space=&amp;amp;quot;preserve&amp;amp;quot;&amp;amp;gt;MFPR01001901&amp;amp;lt;/RightHandSideExpres'"</definedName>
    <definedName name="_AMO_ContentDefinition_316789590.1129"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316789590.113" hidden="1">"'04338',&amp;#xD;&amp;#xA;'MFPR01004339',&amp;#xD;&amp;#xA;'MFPR01004347',&amp;#xD;&amp;#xA;'MFPR01004358',&amp;#xD;&amp;#xA;'MFPR01004359',&amp;#xD;&amp;#xA;'MFPR01004360',&amp;#xD;&amp;#xA;'MFPR01004362',&amp;#xD;&amp;#xA;'MFPR01004363',&amp;#xD;&amp;#xA;'MFPR01004364',&amp;#xD;&amp;#xA;'MFPR01004365',&amp;#xD;&amp;#xA;'MFPR0100'"</definedName>
    <definedName name="_AMO_ContentDefinition_316789590.1130" hidden="1">"'ddQuotes&amp;amp;gt;&amp;amp;lt;DateFormat&amp;amp;gt;None&amp;amp;lt;/DateFormat&amp;amp;gt;&amp;amp;lt;RightHandSideExpression xml:space=&amp;amp;quot;preserve&amp;amp;quot;&amp;amp;gt;MFPR01001902&amp;amp;lt;/RightHandSideExpression&amp;amp;gt;&amp;amp;lt;IsSubquery&amp;amp;gt;False&amp;amp;lt;/IsSubque'"</definedName>
    <definedName name="_AMO_ContentDefinition_316789590.1131"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316789590.1132" hidden="1">"'ormat&amp;amp;gt;&amp;amp;lt;RightHandSideExpression xml:space=&amp;amp;quot;preserve&amp;amp;quot;&amp;amp;gt;MFPR01001906&amp;amp;lt;/RightHandSideExpression&amp;amp;gt;&amp;amp;lt;IsSubquery&amp;amp;gt;False&amp;amp;lt;/IsSubquery&amp;amp;gt;&amp;amp;lt;SubqueryTemplateName /&amp;amp;gt;&amp;amp;lt;/RHS'"</definedName>
    <definedName name="_AMO_ContentDefinition_316789590.1133" hidden="1">"'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316789590.1134" hidden="1">"'quot;preserve&amp;amp;quot;&amp;amp;gt;MFPR01001915&amp;amp;lt;/RightHandSideExpression&amp;amp;gt;&amp;amp;lt;IsSubquery&amp;amp;gt;False&amp;amp;lt;/IsSubquery&amp;amp;gt;&amp;amp;lt;SubqueryTemplateName /&amp;amp;gt;&amp;amp;lt;/RHSItem&amp;amp;gt;&amp;amp;lt;RHSItem&amp;amp;gt;&amp;amp;lt;RHSType&amp;amp;gt;EX'"</definedName>
    <definedName name="_AMO_ContentDefinition_316789590.1135" hidden="1">"'PRESSION&amp;amp;lt;/RHSType&amp;amp;gt;&amp;amp;lt;AddQuotes&amp;amp;gt;True&amp;amp;lt;/AddQuotes&amp;amp;gt;&amp;amp;lt;DateFormat&amp;amp;gt;None&amp;amp;lt;/DateFormat&amp;amp;gt;&amp;amp;lt;RightHandSideExpression xml:space=&amp;amp;quot;preserve&amp;amp;quot;&amp;amp;gt;MFPR01001916&amp;amp;lt;/RightHan'"</definedName>
    <definedName name="_AMO_ContentDefinition_316789590.1136"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316789590.1137" hidden="1">"'e&amp;amp;lt;/AddQuotes&amp;amp;gt;&amp;amp;lt;DateFormat&amp;amp;gt;None&amp;amp;lt;/DateFormat&amp;amp;gt;&amp;amp;lt;RightHandSideExpression xml:space=&amp;amp;quot;preserve&amp;amp;quot;&amp;amp;gt;MFPR01001920&amp;amp;lt;/RightHandSideExpression&amp;amp;gt;&amp;amp;lt;IsSubquery&amp;amp;gt;False&amp;amp;l'"</definedName>
    <definedName name="_AMO_ContentDefinition_316789590.1138"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316789590.1139" hidden="1">"'p;lt;/DateFormat&amp;amp;gt;&amp;amp;lt;RightHandSideExpression xml:space=&amp;amp;quot;preserve&amp;amp;quot;&amp;amp;gt;MFPR01001928&amp;amp;lt;/RightHandSideExpression&amp;amp;gt;&amp;amp;lt;IsSubquery&amp;amp;gt;False&amp;amp;lt;/IsSubquery&amp;amp;gt;&amp;amp;lt;SubqueryTemplateName /&amp;amp;gt;&amp;'"</definedName>
    <definedName name="_AMO_ContentDefinition_316789590.114" hidden="1">"'4370',&amp;#xD;&amp;#xA;'MFPR01004376',&amp;#xD;&amp;#xA;'MFPR01004380',&amp;#xD;&amp;#xA;'MFPR01004381',&amp;#xD;&amp;#xA;'MFPR01004385',&amp;#xD;&amp;#xA;'MFPR01004386',&amp;#xD;&amp;#xA;'MFPR01004387',&amp;#xD;&amp;#xA;'MFPR01004389',&amp;#xD;&amp;#xA;'MFPR01004390',&amp;#xD;&amp;#xA;'MFPR01004391',&amp;#xD;&amp;#xA;'MFPR01004'"</definedName>
    <definedName name="_AMO_ContentDefinition_316789590.1140" hidden="1">"'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316789590.1141" hidden="1">"'space=&amp;amp;quot;preserve&amp;amp;quot;&amp;amp;gt;MFPR01001931&amp;amp;lt;/RightHandSideExpression&amp;amp;gt;&amp;amp;lt;IsSubquery&amp;amp;gt;False&amp;amp;lt;/IsSubquery&amp;amp;gt;&amp;amp;lt;SubqueryTemplateName /&amp;amp;gt;&amp;amp;lt;/RHSItem&amp;amp;gt;&amp;amp;lt;RHSItem&amp;amp;gt;&amp;amp;lt;RHSTyp'"</definedName>
    <definedName name="_AMO_ContentDefinition_316789590.1142" hidden="1">"'e&amp;amp;gt;EXPRESSION&amp;amp;lt;/RHSType&amp;amp;gt;&amp;amp;lt;AddQuotes&amp;amp;gt;True&amp;amp;lt;/AddQuotes&amp;amp;gt;&amp;amp;lt;DateFormat&amp;amp;gt;None&amp;amp;lt;/DateFormat&amp;amp;gt;&amp;amp;lt;RightHandSideExpression xml:space=&amp;amp;quot;preserve&amp;amp;quot;&amp;amp;gt;MFPR01001937&amp;amp;l'"</definedName>
    <definedName name="_AMO_ContentDefinition_316789590.1143"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316789590.1144" hidden="1">"'&amp;amp;gt;True&amp;amp;lt;/AddQuotes&amp;amp;gt;&amp;amp;lt;DateFormat&amp;amp;gt;None&amp;amp;lt;/DateFormat&amp;amp;gt;&amp;amp;lt;RightHandSideExpression xml:space=&amp;amp;quot;preserve&amp;amp;quot;&amp;amp;gt;MFPR01001938&amp;amp;lt;/RightHandSideExpression&amp;amp;gt;&amp;amp;lt;IsSubquery&amp;amp;gt;'"</definedName>
    <definedName name="_AMO_ContentDefinition_316789590.1145"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316789590.1146" hidden="1">"';gt;None&amp;amp;lt;/DateFormat&amp;amp;gt;&amp;amp;lt;RightHandSideExpression xml:space=&amp;amp;quot;preserve&amp;amp;quot;&amp;amp;gt;MFPR01001939&amp;amp;lt;/RightHandSideExpression&amp;amp;gt;&amp;amp;lt;IsSubquery&amp;amp;gt;False&amp;amp;lt;/IsSubquery&amp;amp;gt;&amp;amp;lt;SubqueryTemplateName'"</definedName>
    <definedName name="_AMO_ContentDefinition_316789590.1147"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316789590.1148" hidden="1">"'ession xml:space=&amp;amp;quot;preserve&amp;amp;quot;&amp;amp;gt;MFPR01001941&amp;amp;lt;/RightHandSideExpression&amp;amp;gt;&amp;amp;lt;IsSubquery&amp;amp;gt;False&amp;amp;lt;/IsSubquery&amp;amp;gt;&amp;amp;lt;SubqueryTemplateName /&amp;amp;gt;&amp;amp;lt;/RHSItem&amp;amp;gt;&amp;amp;lt;RHSItem&amp;amp;gt;&amp;am'"</definedName>
    <definedName name="_AMO_ContentDefinition_316789590.1149" hidden="1">"'p;lt;RHSType&amp;amp;gt;EXPRESSION&amp;amp;lt;/RHSType&amp;amp;gt;&amp;amp;lt;AddQuotes&amp;amp;gt;True&amp;amp;lt;/AddQuotes&amp;amp;gt;&amp;amp;lt;DateFormat&amp;amp;gt;None&amp;amp;lt;/DateFormat&amp;amp;gt;&amp;amp;lt;RightHandSideExpression xml:space=&amp;amp;quot;preserve&amp;amp;quot;&amp;amp;gt;MFPR010'"</definedName>
    <definedName name="_AMO_ContentDefinition_316789590.115" hidden="1">"'392',&amp;#xD;&amp;#xA;'MFPR01004397',&amp;#xD;&amp;#xA;'MFPR01004403',&amp;#xD;&amp;#xA;'MFPR01004407',&amp;#xD;&amp;#xA;'MFPR01004408',&amp;#xD;&amp;#xA;'MFPR01004409',&amp;#xD;&amp;#xA;'MFPR01004417',&amp;#xD;&amp;#xA;'MFPR01004426',&amp;#xD;&amp;#xA;'MFPR01004428',&amp;#xD;&amp;#xA;'MFPR01004429',&amp;#xD;&amp;#xA;'MFPR010044'"</definedName>
    <definedName name="_AMO_ContentDefinition_316789590.1150" hidden="1">"'01942&amp;amp;lt;/RightHandSideExpression&amp;amp;gt;&amp;amp;lt;IsSubquery&amp;amp;gt;False&amp;amp;lt;/IsSubquery&amp;amp;gt;&amp;amp;lt;SubqueryTemplateName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316789590.1151" hidden="1">"'t;AddQuotes&amp;amp;gt;True&amp;amp;lt;/AddQuotes&amp;amp;gt;&amp;amp;lt;DateFormat&amp;amp;gt;None&amp;amp;lt;/DateFormat&amp;amp;gt;&amp;amp;lt;RightHandSideExpression xml:space=&amp;amp;quot;preserve&amp;amp;quot;&amp;amp;gt;MFPR01001943&amp;amp;lt;/RightHandSideExpression&amp;amp;gt;&amp;amp;lt;IsSubqu'"</definedName>
    <definedName name="_AMO_ContentDefinition_316789590.1152"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316789590.1153" hidden="1">"'eFormat&amp;amp;gt;None&amp;amp;lt;/DateFormat&amp;amp;gt;&amp;amp;lt;RightHandSideExpression xml:space=&amp;amp;quot;preserve&amp;amp;quot;&amp;amp;gt;MFPR01001944&amp;amp;lt;/RightHandSideExpression&amp;amp;gt;&amp;amp;lt;IsSubquery&amp;amp;gt;False&amp;amp;lt;/IsSubquery&amp;amp;gt;&amp;amp;lt;SubqueryT'"</definedName>
    <definedName name="_AMO_ContentDefinition_316789590.1154"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316789590.1155" hidden="1">"'andSideExpression xml:space=&amp;amp;quot;preserve&amp;amp;quot;&amp;amp;gt;MFPR01001948&amp;amp;lt;/RightHandSideExpression&amp;amp;gt;&amp;amp;lt;IsSubquery&amp;amp;gt;False&amp;amp;lt;/IsSubquery&amp;amp;gt;&amp;amp;lt;SubqueryTemplateName /&amp;amp;gt;&amp;amp;lt;/RHSItem&amp;amp;gt;&amp;amp;lt;RHSItem'"</definedName>
    <definedName name="_AMO_ContentDefinition_316789590.1156" hidden="1">"'&amp;amp;gt;&amp;amp;lt;RHSType&amp;amp;gt;EXPRESSION&amp;amp;lt;/RHSType&amp;amp;gt;&amp;amp;lt;AddQuotes&amp;amp;gt;True&amp;amp;lt;/AddQuotes&amp;amp;gt;&amp;amp;lt;DateFormat&amp;amp;gt;None&amp;amp;lt;/DateFormat&amp;amp;gt;&amp;amp;lt;RightHandSideExpression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316789590.1157" hidden="1">"';gt;MFPR01001955&amp;amp;lt;/RightHandSideExpression&amp;amp;gt;&amp;amp;lt;IsSubquery&amp;amp;gt;False&amp;amp;lt;/IsSubquery&amp;amp;gt;&amp;amp;lt;SubqueryTemplateName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316789590.1158" hidden="1">"'p;gt;&amp;amp;lt;AddQuotes&amp;amp;gt;True&amp;amp;lt;/AddQuotes&amp;amp;gt;&amp;amp;lt;DateFormat&amp;amp;gt;None&amp;amp;lt;/DateFormat&amp;amp;gt;&amp;amp;lt;RightHandSideExpression xml:space=&amp;amp;quot;preserve&amp;amp;quot;&amp;amp;gt;MFPR01001962&amp;amp;lt;/RightHandSideExpression&amp;amp;gt;&amp;amp'"</definedName>
    <definedName name="_AMO_ContentDefinition_316789590.1159"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316789590.116" hidden="1">"'30',&amp;#xD;&amp;#xA;'MFPR01004431',&amp;#xD;&amp;#xA;'MFPR01004432',&amp;#xD;&amp;#xA;'MFPR01004433',&amp;#xD;&amp;#xA;'MFPR01004434',&amp;#xD;&amp;#xA;'MFPR01004436',&amp;#xD;&amp;#xA;'MFPR01004437',&amp;#xD;&amp;#xA;'MFPR01004438',&amp;#xD;&amp;#xA;'MFPR01004439',&amp;#xD;&amp;#xA;'MFPR01004440',&amp;#xD;&amp;#xA;'MFPR0100444'"</definedName>
    <definedName name="_AMO_ContentDefinition_316789590.1160" hidden="1">"'&amp;amp;lt;DateFormat&amp;amp;gt;None&amp;amp;lt;/DateFormat&amp;amp;gt;&amp;amp;lt;RightHandSideExpression xml:space=&amp;amp;quot;preserve&amp;amp;quot;&amp;amp;gt;MFPR01001963&amp;amp;lt;/RightHandSideExpression&amp;amp;gt;&amp;amp;lt;IsSubquery&amp;amp;gt;False&amp;amp;lt;/IsSubquery&amp;amp;gt;&amp;amp;l'"</definedName>
    <definedName name="_AMO_ContentDefinition_316789590.1161"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316789590.1162" hidden="1">"'p;lt;RightHandSideExpression xml:space=&amp;amp;quot;preserve&amp;amp;quot;&amp;amp;gt;MFPR01001964&amp;amp;lt;/RightHandSideExpression&amp;amp;gt;&amp;amp;lt;IsSubquery&amp;amp;gt;False&amp;amp;lt;/IsSubquery&amp;amp;gt;&amp;amp;lt;SubqueryTemplateName /&amp;amp;gt;&amp;amp;lt;/RHSItem&amp;amp;gt;&amp;amp'"</definedName>
    <definedName name="_AMO_ContentDefinition_316789590.1163" hidden="1">"';lt;RHSItem&amp;amp;gt;&amp;amp;lt;RHSType&amp;amp;gt;EXPRESSION&amp;amp;lt;/RHSType&amp;amp;gt;&amp;amp;lt;AddQuotes&amp;amp;gt;True&amp;amp;lt;/AddQuotes&amp;amp;gt;&amp;amp;lt;DateFormat&amp;amp;gt;None&amp;amp;lt;/DateFormat&amp;amp;gt;&amp;amp;lt;RightHandSideExpression xml:space=&amp;amp;quot;preserve&amp;am'"</definedName>
    <definedName name="_AMO_ContentDefinition_316789590.1164" hidden="1">"'p;quot;&amp;amp;gt;MFPR01001966&amp;amp;lt;/RightHandSideExpression&amp;amp;gt;&amp;amp;lt;IsSubquery&amp;amp;gt;False&amp;amp;lt;/IsSubquery&amp;amp;gt;&amp;amp;lt;SubqueryTemplateName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1165" hidden="1">"'/RHSType&amp;amp;gt;&amp;amp;lt;AddQuotes&amp;amp;gt;True&amp;amp;lt;/AddQuotes&amp;amp;gt;&amp;amp;lt;DateFormat&amp;amp;gt;None&amp;amp;lt;/DateFormat&amp;amp;gt;&amp;amp;lt;RightHandSideExpression xml:space=&amp;amp;quot;preserve&amp;amp;quot;&amp;amp;gt;MFPR01001967&amp;amp;lt;/RightHandSideExpression&amp;'"</definedName>
    <definedName name="_AMO_ContentDefinition_316789590.1166"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316789590.1167" hidden="1">"'tes&amp;amp;gt;&amp;amp;lt;DateFormat&amp;amp;gt;None&amp;amp;lt;/DateFormat&amp;amp;gt;&amp;amp;lt;RightHandSideExpression xml:space=&amp;amp;quot;preserve&amp;amp;quot;&amp;amp;gt;MFPR01001968&amp;amp;lt;/RightHandSideExpression&amp;amp;gt;&amp;amp;lt;IsSubquery&amp;amp;gt;False&amp;amp;lt;/IsSubquery&amp;am'"</definedName>
    <definedName name="_AMO_ContentDefinition_316789590.1168"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316789590.1169" hidden="1">"'&amp;amp;gt;&amp;amp;lt;RightHandSideExpression xml:space=&amp;amp;quot;preserve&amp;amp;quot;&amp;amp;gt;MFPR01001969&amp;amp;lt;/RightHandSideExpression&amp;amp;gt;&amp;amp;lt;IsSubquery&amp;amp;gt;False&amp;amp;lt;/IsSubquery&amp;amp;gt;&amp;amp;lt;SubqueryTemplateName /&amp;amp;gt;&amp;amp;lt;/RHSItem&amp;'"</definedName>
    <definedName name="_AMO_ContentDefinition_316789590.117" hidden="1">"'1',&amp;#xD;&amp;#xA;'MFPR01004442',&amp;#xD;&amp;#xA;'MFPR01004443',&amp;#xD;&amp;#xA;'MFPR01004446',&amp;#xD;&amp;#xA;'MFPR01004447',&amp;#xD;&amp;#xA;'MFPR01004448',&amp;#xD;&amp;#xA;'MFPR01004449',&amp;#xD;&amp;#xA;'MFPR01004450',&amp;#xD;&amp;#xA;'MFPR01004451',&amp;#xD;&amp;#xA;'MFPR01004454',&amp;#xD;&amp;#xA;'MFPR01004455'"</definedName>
    <definedName name="_AMO_ContentDefinition_316789590.1170" hidden="1">"'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1171" hidden="1">"'preserve&amp;amp;quot;&amp;amp;gt;MFPR01001973&amp;amp;lt;/RightHandSideExpression&amp;amp;gt;&amp;amp;lt;IsSubquery&amp;amp;gt;False&amp;amp;lt;/IsSubquery&amp;amp;gt;&amp;amp;lt;SubqueryTemplateName /&amp;amp;gt;&amp;amp;lt;/RHSItem&amp;amp;gt;&amp;amp;lt;RHSItem&amp;amp;gt;&amp;amp;lt;RHSType&amp;amp;gt;EXPRESS'"</definedName>
    <definedName name="_AMO_ContentDefinition_316789590.1172" hidden="1">"'ION&amp;amp;lt;/RHSType&amp;amp;gt;&amp;amp;lt;AddQuotes&amp;amp;gt;True&amp;amp;lt;/AddQuotes&amp;amp;gt;&amp;amp;lt;DateFormat&amp;amp;gt;None&amp;amp;lt;/DateFormat&amp;amp;gt;&amp;amp;lt;RightHandSideExpression xml:space=&amp;amp;quot;preserve&amp;amp;quot;&amp;amp;gt;MFPR01001981&amp;amp;lt;/RightHandSide'"</definedName>
    <definedName name="_AMO_ContentDefinition_316789590.1173"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316789590.1174" hidden="1">"';lt;/AddQuotes&amp;amp;gt;&amp;amp;lt;DateFormat&amp;amp;gt;None&amp;amp;lt;/DateFormat&amp;amp;gt;&amp;amp;lt;RightHandSideExpression xml:space=&amp;amp;quot;preserve&amp;amp;quot;&amp;amp;gt;MFPR01001985&amp;amp;lt;/RightHandSideExpression&amp;amp;gt;&amp;amp;lt;IsSubquery&amp;amp;gt;False&amp;amp;lt;/Is'"</definedName>
    <definedName name="_AMO_ContentDefinition_316789590.1175"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1176" hidden="1">"'/DateFormat&amp;amp;gt;&amp;amp;lt;RightHandSideExpression xml:space=&amp;amp;quot;preserve&amp;amp;quot;&amp;amp;gt;MFPR01001991&amp;amp;lt;/RightHandSideExpression&amp;amp;gt;&amp;amp;lt;IsSubquery&amp;amp;gt;False&amp;amp;lt;/IsSubquery&amp;amp;gt;&amp;amp;lt;SubqueryTemplateName /&amp;amp;gt;&amp;amp;l'"</definedName>
    <definedName name="_AMO_ContentDefinition_316789590.1177" hidden="1">"'t;/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316789590.1178" hidden="1">"'=&amp;amp;quot;preserve&amp;amp;quot;&amp;amp;gt;MFPR01002000&amp;amp;lt;/RightHandSideExpression&amp;amp;gt;&amp;amp;lt;IsSubquery&amp;amp;gt;False&amp;amp;lt;/IsSubquery&amp;amp;gt;&amp;amp;lt;SubqueryTemplateName /&amp;amp;gt;&amp;amp;lt;/RHSItem&amp;amp;gt;&amp;amp;lt;RHSItem&amp;amp;gt;&amp;amp;lt;RHSType&amp;amp'"</definedName>
    <definedName name="_AMO_ContentDefinition_316789590.1179" hidden="1">"';gt;EXPRESSION&amp;amp;lt;/RHSType&amp;amp;gt;&amp;amp;lt;AddQuotes&amp;amp;gt;True&amp;amp;lt;/AddQuotes&amp;amp;gt;&amp;amp;lt;DateFormat&amp;amp;gt;None&amp;amp;lt;/DateFormat&amp;amp;gt;&amp;amp;lt;RightHandSideExpression xml:space=&amp;amp;quot;preserve&amp;amp;quot;&amp;amp;gt;MFPR01002001&amp;amp;lt;/Ri'"</definedName>
    <definedName name="_AMO_ContentDefinition_316789590.118" hidden="1">"'',&amp;#xD;&amp;#xA;'MFPR01004456',&amp;#xD;&amp;#xA;'MFPR01004457',&amp;#xD;&amp;#xA;'MFPR01004458',&amp;#xD;&amp;#xA;'MFPR01004460',&amp;#xD;&amp;#xA;'MFPR01004461',&amp;#xD;&amp;#xA;'MFPR01004462',&amp;#xD;&amp;#xA;'MFPR01004463',&amp;#xD;&amp;#xA;'MFPR01004464',&amp;#xD;&amp;#xA;'MFPR01004465',&amp;#xD;&amp;#xA;'MFPR01004466''"</definedName>
    <definedName name="_AMO_ContentDefinition_316789590.1180"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1181" hidden="1">"'gt;True&amp;amp;lt;/AddQuotes&amp;amp;gt;&amp;amp;lt;DateFormat&amp;amp;gt;None&amp;amp;lt;/DateFormat&amp;amp;gt;&amp;amp;lt;RightHandSideExpression xml:space=&amp;amp;quot;preserve&amp;amp;quot;&amp;amp;gt;MFPR01002002&amp;amp;lt;/RightHandSideExpression&amp;amp;gt;&amp;amp;lt;IsSubquery&amp;amp;gt;False'"</definedName>
    <definedName name="_AMO_ContentDefinition_316789590.1182"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316789590.1183" hidden="1">"'one&amp;amp;lt;/DateFormat&amp;amp;gt;&amp;amp;lt;RightHandSideExpression xml:space=&amp;amp;quot;preserve&amp;amp;quot;&amp;amp;gt;MFPR01002004&amp;amp;lt;/RightHandSideExpression&amp;amp;gt;&amp;amp;lt;IsSubquery&amp;amp;gt;False&amp;amp;lt;/IsSubquery&amp;amp;gt;&amp;amp;lt;SubqueryTemplateName /&amp;am'"</definedName>
    <definedName name="_AMO_ContentDefinition_316789590.1184"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316789590.1185" hidden="1">"'n xml:space=&amp;amp;quot;preserve&amp;amp;quot;&amp;amp;gt;MFPR01002005&amp;amp;lt;/RightHandSideExpression&amp;amp;gt;&amp;amp;lt;IsSubquery&amp;amp;gt;False&amp;amp;lt;/IsSubquery&amp;amp;gt;&amp;amp;lt;SubqueryTemplateName /&amp;amp;gt;&amp;amp;lt;/RHSItem&amp;amp;gt;&amp;amp;lt;RHSItem&amp;amp;gt;&amp;amp;lt;'"</definedName>
    <definedName name="_AMO_ContentDefinition_316789590.1186" hidden="1">"'RHSType&amp;amp;gt;EXPRESSION&amp;amp;lt;/RHSType&amp;amp;gt;&amp;amp;lt;AddQuotes&amp;amp;gt;True&amp;amp;lt;/AddQuotes&amp;amp;gt;&amp;amp;lt;DateFormat&amp;amp;gt;None&amp;amp;lt;/DateFormat&amp;amp;gt;&amp;amp;lt;RightHandSideExpression xml:space=&amp;amp;quot;preserve&amp;amp;quot;&amp;amp;gt;MFPR01002006'"</definedName>
    <definedName name="_AMO_ContentDefinition_316789590.1187"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316789590.1188" hidden="1">"'Quotes&amp;amp;gt;True&amp;amp;lt;/AddQuotes&amp;amp;gt;&amp;amp;lt;DateFormat&amp;amp;gt;None&amp;amp;lt;/DateFormat&amp;amp;gt;&amp;amp;lt;RightHandSideExpression xml:space=&amp;amp;quot;preserve&amp;amp;quot;&amp;amp;gt;MFPR01002007&amp;amp;lt;/RightHandSideExpression&amp;amp;gt;&amp;amp;lt;IsSubquery&amp;a'"</definedName>
    <definedName name="_AMO_ContentDefinition_316789590.1189"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316789590.119" hidden="1">"',&amp;#xD;&amp;#xA;'MFPR01004468',&amp;#xD;&amp;#xA;'MFPR01004469',&amp;#xD;&amp;#xA;'MFPR01004470',&amp;#xD;&amp;#xA;'MFPR01004471',&amp;#xD;&amp;#xA;'MFPR01004472',&amp;#xD;&amp;#xA;'MFPR01004473',&amp;#xD;&amp;#xA;'MFPR01004474',&amp;#xD;&amp;#xA;'MFPR01004475',&amp;#xD;&amp;#xA;'MFPR01004478',&amp;#xD;&amp;#xA;'MFPR01004479','"</definedName>
    <definedName name="_AMO_ContentDefinition_316789590.1190" hidden="1">"'at&amp;amp;gt;None&amp;amp;lt;/DateFormat&amp;amp;gt;&amp;amp;lt;RightHandSideExpression xml:space=&amp;amp;quot;preserve&amp;amp;quot;&amp;amp;gt;MFPR01002012&amp;amp;lt;/RightHandSideExpression&amp;amp;gt;&amp;amp;lt;IsSubquery&amp;amp;gt;False&amp;amp;lt;/IsSubquery&amp;amp;gt;&amp;amp;lt;SubqueryTempla'"</definedName>
    <definedName name="_AMO_ContentDefinition_316789590.1191"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316789590.1192" hidden="1">"'deExpression xml:space=&amp;amp;quot;preserve&amp;amp;quot;&amp;amp;gt;MFPR01002018&amp;amp;lt;/RightHandSideExpression&amp;amp;gt;&amp;amp;lt;IsSubquery&amp;amp;gt;False&amp;amp;lt;/IsSubquery&amp;amp;gt;&amp;amp;lt;SubqueryTemplateName /&amp;amp;gt;&amp;amp;lt;/RHSItem&amp;amp;gt;&amp;amp;lt;RHSItem&amp;amp;'"</definedName>
    <definedName name="_AMO_ContentDefinition_316789590.1193" hidden="1">"'gt;&amp;amp;lt;RHSType&amp;amp;gt;EXPRESSION&amp;amp;lt;/RHSType&amp;amp;gt;&amp;amp;lt;AddQuotes&amp;amp;gt;True&amp;amp;lt;/AddQuotes&amp;amp;gt;&amp;amp;lt;DateFormat&amp;amp;gt;None&amp;amp;lt;/DateFormat&amp;amp;gt;&amp;amp;lt;RightHandSideExpression xml:space=&amp;amp;quot;preserve&amp;amp;quot;&amp;amp;gt;M'"</definedName>
    <definedName name="_AMO_ContentDefinition_316789590.1194" hidden="1">"'FPR01002022&amp;amp;lt;/RightHandSideExpression&amp;amp;gt;&amp;amp;lt;IsSubquery&amp;amp;gt;False&amp;amp;lt;/IsSubquery&amp;amp;gt;&amp;amp;lt;SubqueryTemplateName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1195" hidden="1">"'&amp;amp;lt;AddQuotes&amp;amp;gt;True&amp;amp;lt;/AddQuotes&amp;amp;gt;&amp;amp;lt;DateFormat&amp;amp;gt;None&amp;amp;lt;/DateFormat&amp;amp;gt;&amp;amp;lt;RightHandSideExpression xml:space=&amp;amp;quot;preserve&amp;amp;quot;&amp;amp;gt;MFPR01002023&amp;amp;lt;/RightHandSideExpression&amp;amp;gt;&amp;amp;lt;I'"</definedName>
    <definedName name="_AMO_ContentDefinition_316789590.1196"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1197" hidden="1">"'lt;DateFormat&amp;amp;gt;None&amp;amp;lt;/DateFormat&amp;amp;gt;&amp;amp;lt;RightHandSideExpression xml:space=&amp;amp;quot;preserve&amp;amp;quot;&amp;amp;gt;MFPR01002027&amp;amp;lt;/RightHandSideExpression&amp;amp;gt;&amp;amp;lt;IsSubquery&amp;amp;gt;False&amp;amp;lt;/IsSubquery&amp;amp;gt;&amp;amp;lt;Sub'"</definedName>
    <definedName name="_AMO_ContentDefinition_316789590.1198"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1199" hidden="1">"'RightHandSideExpression xml:space=&amp;amp;quot;preserve&amp;amp;quot;&amp;amp;gt;MFPR01002028&amp;amp;lt;/RightHandSideExpression&amp;amp;gt;&amp;amp;lt;IsSubquery&amp;amp;gt;False&amp;amp;lt;/IsSubquery&amp;amp;gt;&amp;amp;lt;SubqueryTemplateName /&amp;amp;gt;&amp;amp;lt;/RHSItem&amp;amp;gt;&amp;amp;lt;R'"</definedName>
    <definedName name="_AMO_ContentDefinition_316789590.12" hidden="1">"'000450',&amp;#xD;&amp;#xA;'MFPR01000451',&amp;#xD;&amp;#xA;'MFPR01000452',&amp;#xD;&amp;#xA;'MFPR01000454',&amp;#xD;&amp;#xA;'MFPR01000455',&amp;#xD;&amp;#xA;'MFPR01000456',&amp;#xD;&amp;#xA;'MFPR01000457',&amp;#xD;&amp;#xA;'MFPR01000461',&amp;#xD;&amp;#xA;'MFPR01000467',&amp;#xD;&amp;#xA;'MFPR01000471',&amp;#xD;&amp;#xA;'MFPR010'"</definedName>
    <definedName name="_AMO_ContentDefinition_316789590.120" hidden="1">"'&amp;#xD;&amp;#xA;'MFPR01004480',&amp;#xD;&amp;#xA;'MFPR01004481',&amp;#xD;&amp;#xA;'MFPR01004482',&amp;#xD;&amp;#xA;'MFPR01004483',&amp;#xD;&amp;#xA;'MFPR01004486',&amp;#xD;&amp;#xA;'MFPR01004487',&amp;#xD;&amp;#xA;'MFPR01004488',&amp;#xD;&amp;#xA;'MFPR01004489'&amp;#xD;&amp;#xA;)"" /&gt;_x000D_
  &lt;param n=""MoreSheetsForRows"" '"</definedName>
    <definedName name="_AMO_ContentDefinition_316789590.1200" hidden="1">"'HSItem&amp;amp;gt;&amp;amp;lt;RHSType&amp;amp;gt;EXPRESSION&amp;amp;lt;/RHSType&amp;amp;gt;&amp;amp;lt;AddQuotes&amp;amp;gt;True&amp;amp;lt;/AddQuotes&amp;amp;gt;&amp;amp;lt;DateFormat&amp;amp;gt;None&amp;amp;lt;/DateFormat&amp;amp;gt;&amp;amp;lt;RightHandSideExpression xml:space=&amp;amp;quot;preserve&amp;amp;quo'"</definedName>
    <definedName name="_AMO_ContentDefinition_316789590.1201" hidden="1">"'t;&amp;amp;gt;MFPR01002029&amp;amp;lt;/RightHandSideExpression&amp;amp;gt;&amp;amp;lt;IsSubquery&amp;amp;gt;False&amp;amp;lt;/IsSubquery&amp;amp;gt;&amp;amp;lt;SubqueryTemplateName /&amp;amp;gt;&amp;amp;lt;/RHSItem&amp;amp;gt;&amp;amp;lt;RHSItem&amp;amp;gt;&amp;amp;lt;RHSType&amp;amp;gt;EXPRESSION&amp;amp;lt;/RHST'"</definedName>
    <definedName name="_AMO_ContentDefinition_316789590.1202" hidden="1">"'ype&amp;amp;gt;&amp;amp;lt;AddQuotes&amp;amp;gt;True&amp;amp;lt;/AddQuotes&amp;amp;gt;&amp;amp;lt;DateFormat&amp;amp;gt;None&amp;amp;lt;/DateFormat&amp;amp;gt;&amp;amp;lt;RightHandSideExpression xml:space=&amp;amp;quot;preserve&amp;amp;quot;&amp;amp;gt;MFPR01002031&amp;amp;lt;/RightHandSideExpression&amp;amp;g'"</definedName>
    <definedName name="_AMO_ContentDefinition_316789590.1203"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316789590.1204" hidden="1">"'mp;gt;&amp;amp;lt;DateFormat&amp;amp;gt;None&amp;amp;lt;/DateFormat&amp;amp;gt;&amp;amp;lt;RightHandSideExpression xml:space=&amp;amp;quot;preserve&amp;amp;quot;&amp;amp;gt;MFPR01002032&amp;amp;lt;/RightHandSideExpression&amp;amp;gt;&amp;amp;lt;IsSubquery&amp;amp;gt;False&amp;amp;lt;/IsSubquery&amp;amp;gt;'"</definedName>
    <definedName name="_AMO_ContentDefinition_316789590.1205"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1206" hidden="1">"'gt;&amp;amp;lt;RightHandSideExpression xml:space=&amp;amp;quot;preserve&amp;amp;quot;&amp;amp;gt;MFPR01002033&amp;amp;lt;/RightHandSideExpression&amp;amp;gt;&amp;amp;lt;IsSubquery&amp;amp;gt;False&amp;amp;lt;/IsSubquery&amp;amp;gt;&amp;amp;lt;SubqueryTemplateName /&amp;amp;gt;&amp;amp;lt;/RHSItem&amp;amp;g'"</definedName>
    <definedName name="_AMO_ContentDefinition_316789590.1207" hidden="1">"'t;&amp;amp;lt;RHSItem&amp;amp;gt;&amp;amp;lt;RHSType&amp;amp;gt;EXPRESSION&amp;amp;lt;/RHSType&amp;amp;gt;&amp;amp;lt;AddQuotes&amp;amp;gt;True&amp;amp;lt;/AddQuotes&amp;amp;gt;&amp;amp;lt;DateFormat&amp;amp;gt;None&amp;amp;lt;/DateFormat&amp;amp;gt;&amp;amp;lt;RightHandSideExpression xml:space=&amp;amp;quot;prese'"</definedName>
    <definedName name="_AMO_ContentDefinition_316789590.1208" hidden="1">"'rve&amp;amp;quot;&amp;amp;gt;MFPR01002034&amp;amp;lt;/RightHandSideExpression&amp;amp;gt;&amp;amp;lt;IsSubquery&amp;amp;gt;False&amp;amp;lt;/IsSubquery&amp;amp;gt;&amp;amp;lt;SubqueryTemplateName /&amp;amp;gt;&amp;amp;lt;/RHSItem&amp;amp;gt;&amp;amp;lt;RHSItem&amp;amp;gt;&amp;amp;lt;RHSType&amp;amp;gt;EXPRESSION&amp;a'"</definedName>
    <definedName name="_AMO_ContentDefinition_316789590.1209" hidden="1">"'mp;lt;/RHSType&amp;amp;gt;&amp;amp;lt;AddQuotes&amp;amp;gt;True&amp;amp;lt;/AddQuotes&amp;amp;gt;&amp;amp;lt;DateFormat&amp;amp;gt;None&amp;amp;lt;/DateFormat&amp;amp;gt;&amp;amp;lt;RightHandSideExpression xml:space=&amp;amp;quot;preserve&amp;amp;quot;&amp;amp;gt;MFPR01002039&amp;amp;lt;/RightHandSideExpre'"</definedName>
    <definedName name="_AMO_ContentDefinition_316789590.121" hidden="1">"'v=""True"" /&gt;_x000D_
  &lt;param n=""PageSize"" v=""5"" /&gt;_x000D_
  &lt;param n=""ShowRowNumbers"" v=""False"" /&gt;_x000D_
  &lt;param n=""ShowInfoInSheet"" v=""False"" /&gt;_x000D_
  &lt;param n=""CredKey"" v=""VALIDATION_METRICS_PRIOR10_VIEW&amp;#x1;SASApp&amp;#x1;Metrics Data"" /&gt;_x000D_
  &lt;param n='"</definedName>
    <definedName name="_AMO_ContentDefinition_316789590.1210"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1211" hidden="1">"'AddQuotes&amp;amp;gt;&amp;amp;lt;DateFormat&amp;amp;gt;None&amp;amp;lt;/DateFormat&amp;amp;gt;&amp;amp;lt;RightHandSideExpression xml:space=&amp;amp;quot;preserve&amp;amp;quot;&amp;amp;gt;MFPR01002045&amp;amp;lt;/RightHandSideExpression&amp;amp;gt;&amp;amp;lt;IsSubquery&amp;amp;gt;False&amp;amp;lt;/IsSubqu'"</definedName>
    <definedName name="_AMO_ContentDefinition_316789590.1212"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316789590.1213" hidden="1">"'Format&amp;amp;gt;&amp;amp;lt;RightHandSideExpression xml:space=&amp;amp;quot;preserve&amp;amp;quot;&amp;amp;gt;MFPR01002049&amp;amp;lt;/RightHandSideExpression&amp;amp;gt;&amp;amp;lt;IsSubquery&amp;amp;gt;False&amp;amp;lt;/IsSubquery&amp;amp;gt;&amp;amp;lt;SubqueryTemplateName /&amp;amp;gt;&amp;amp;lt;/RH'"</definedName>
    <definedName name="_AMO_ContentDefinition_316789590.1214" hidden="1">"'S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316789590.1215" hidden="1">"';quot;preserve&amp;amp;quot;&amp;amp;gt;MFPR01002050&amp;amp;lt;/RightHandSideExpression&amp;amp;gt;&amp;amp;lt;IsSubquery&amp;amp;gt;False&amp;amp;lt;/IsSubquery&amp;amp;gt;&amp;amp;lt;SubqueryTemplateName /&amp;amp;gt;&amp;amp;lt;/RHSItem&amp;amp;gt;&amp;amp;lt;RHSItem&amp;amp;gt;&amp;amp;lt;RHSType&amp;amp;gt;E'"</definedName>
    <definedName name="_AMO_ContentDefinition_316789590.1216" hidden="1">"'XPRESSION&amp;amp;lt;/RHSType&amp;amp;gt;&amp;amp;lt;AddQuotes&amp;amp;gt;True&amp;amp;lt;/AddQuotes&amp;amp;gt;&amp;amp;lt;DateFormat&amp;amp;gt;None&amp;amp;lt;/DateFormat&amp;amp;gt;&amp;amp;lt;RightHandSideExpression xml:space=&amp;amp;quot;preserve&amp;amp;quot;&amp;amp;gt;MFPR01002051&amp;amp;lt;/RightHa'"</definedName>
    <definedName name="_AMO_ContentDefinition_316789590.1217"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316789590.1218" hidden="1">"'ue&amp;amp;lt;/AddQuotes&amp;amp;gt;&amp;amp;lt;DateFormat&amp;amp;gt;None&amp;amp;lt;/DateFormat&amp;amp;gt;&amp;amp;lt;RightHandSideExpression xml:space=&amp;amp;quot;preserve&amp;amp;quot;&amp;amp;gt;MFPR01002059&amp;amp;lt;/RightHandSideExpression&amp;amp;gt;&amp;amp;lt;IsSubquery&amp;amp;gt;False&amp;amp;'"</definedName>
    <definedName name="_AMO_ContentDefinition_316789590.1219"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316789590.122" hidden="1">"'""ClassName"" v=""SAS.OfficeAddin.DataViewItem"" /&gt;_x000D_
  &lt;param n=""ServerName"" v=""SASApp"" /&gt;_x000D_
  &lt;param n=""DataSource"" v=""&amp;lt;SasDataSource Version=&amp;quot;4.2&amp;quot; Type=&amp;quot;SAS.Servers.Dataset&amp;quot; Svr=&amp;quot;SASApp&amp;quot; Lib=&amp;quot;METRICS&amp;quot;'"</definedName>
    <definedName name="_AMO_ContentDefinition_316789590.1220" hidden="1">"'mp;lt;/DateFormat&amp;amp;gt;&amp;amp;lt;RightHandSideExpression xml:space=&amp;amp;quot;preserve&amp;amp;quot;&amp;amp;gt;MFPR01002070&amp;amp;lt;/RightHandSideExpression&amp;amp;gt;&amp;amp;lt;IsSubquery&amp;amp;gt;False&amp;amp;lt;/IsSubquery&amp;amp;gt;&amp;amp;lt;SubqueryTemplateName /&amp;amp;gt;'"</definedName>
    <definedName name="_AMO_ContentDefinition_316789590.1221" hidden="1">"'&amp;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316789590.1222" hidden="1">"':space=&amp;amp;quot;preserve&amp;amp;quot;&amp;amp;gt;MFPR01002071&amp;amp;lt;/RightHandSideExpression&amp;amp;gt;&amp;amp;lt;IsSubquery&amp;amp;gt;False&amp;amp;lt;/IsSubquery&amp;amp;gt;&amp;amp;lt;SubqueryTemplateName /&amp;amp;gt;&amp;amp;lt;/RHSItem&amp;amp;gt;&amp;amp;lt;RHSItem&amp;amp;gt;&amp;amp;lt;RHSTy'"</definedName>
    <definedName name="_AMO_ContentDefinition_316789590.1223" hidden="1">"'pe&amp;amp;gt;EXPRESSION&amp;amp;lt;/RHSType&amp;amp;gt;&amp;amp;lt;AddQuotes&amp;amp;gt;True&amp;amp;lt;/AddQuotes&amp;amp;gt;&amp;amp;lt;DateFormat&amp;amp;gt;None&amp;amp;lt;/DateFormat&amp;amp;gt;&amp;amp;lt;RightHandSideExpression xml:space=&amp;amp;quot;preserve&amp;amp;quot;&amp;amp;gt;MFPR01002072&amp;amp;'"</definedName>
    <definedName name="_AMO_ContentDefinition_316789590.1224"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316789590.1225" hidden="1">"'s&amp;amp;gt;True&amp;amp;lt;/AddQuotes&amp;amp;gt;&amp;amp;lt;DateFormat&amp;amp;gt;None&amp;amp;lt;/DateFormat&amp;amp;gt;&amp;amp;lt;RightHandSideExpression xml:space=&amp;amp;quot;preserve&amp;amp;quot;&amp;amp;gt;MFPR01002074&amp;amp;lt;/RightHandSideExpression&amp;amp;gt;&amp;amp;lt;IsSubquery&amp;amp;gt'"</definedName>
    <definedName name="_AMO_ContentDefinition_316789590.1226"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316789590.1227" hidden="1">"'p;gt;None&amp;amp;lt;/DateFormat&amp;amp;gt;&amp;amp;lt;RightHandSideExpression xml:space=&amp;amp;quot;preserve&amp;amp;quot;&amp;amp;gt;MFPR01002075&amp;amp;lt;/RightHandSideExpression&amp;amp;gt;&amp;amp;lt;IsSubquery&amp;amp;gt;False&amp;amp;lt;/IsSubquery&amp;amp;gt;&amp;amp;lt;SubqueryTemplateNam'"</definedName>
    <definedName name="_AMO_ContentDefinition_316789590.1228"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316789590.1229" hidden="1">"'ression xml:space=&amp;amp;quot;preserve&amp;amp;quot;&amp;amp;gt;MFPR01002076&amp;amp;lt;/RightHandSideExpression&amp;amp;gt;&amp;amp;lt;IsSubquery&amp;amp;gt;False&amp;amp;lt;/IsSubquery&amp;amp;gt;&amp;amp;lt;SubqueryTemplateName /&amp;amp;gt;&amp;amp;lt;/RHSItem&amp;amp;gt;&amp;amp;lt;RHSItem&amp;amp;gt;&amp;a'"</definedName>
    <definedName name="_AMO_ContentDefinition_316789590.123" hidden="1">"' Libname=&amp;quot;Metrics Data&amp;quot; Filter=&amp;quot;entity_submitter_type IN &amp;amp;#xD;&amp;amp;#xA;(&amp;amp;#xD;&amp;amp;#xA;'Country'&amp;amp;#xD;&amp;amp;#xA;) AND date_dt &amp;amp;gt;= '31Dec2019'd AND frequency_cd IN &amp;amp;#xD;&amp;amp;#xA;(&amp;amp;#xD;&amp;amp;#xA;'M'&amp;amp;#xD;&amp;amp;#xA;'"</definedName>
    <definedName name="_AMO_ContentDefinition_316789590.1230" hidden="1">"'mp;lt;RHSType&amp;amp;gt;EXPRESSION&amp;amp;lt;/RHSType&amp;amp;gt;&amp;amp;lt;AddQuotes&amp;amp;gt;True&amp;amp;lt;/AddQuotes&amp;amp;gt;&amp;amp;lt;DateFormat&amp;amp;gt;None&amp;amp;lt;/DateFormat&amp;amp;gt;&amp;amp;lt;RightHandSideExpression xml:space=&amp;amp;quot;preserve&amp;amp;quot;&amp;amp;gt;MFPR01'"</definedName>
    <definedName name="_AMO_ContentDefinition_316789590.1231" hidden="1">"'002077&amp;amp;lt;/RightHandSideExpression&amp;amp;gt;&amp;amp;lt;IsSubquery&amp;amp;gt;False&amp;amp;lt;/IsSubquery&amp;amp;gt;&amp;amp;lt;SubqueryTemplateName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1232" hidden="1">"'lt;AddQuotes&amp;amp;gt;True&amp;amp;lt;/AddQuotes&amp;amp;gt;&amp;amp;lt;DateFormat&amp;amp;gt;None&amp;amp;lt;/DateFormat&amp;amp;gt;&amp;amp;lt;RightHandSideExpression xml:space=&amp;amp;quot;preserve&amp;amp;quot;&amp;amp;gt;MFPR01002082&amp;amp;lt;/RightHandSideExpression&amp;amp;gt;&amp;amp;lt;IsSubq'"</definedName>
    <definedName name="_AMO_ContentDefinition_316789590.1233"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316789590.1234" hidden="1">"'teFormat&amp;amp;gt;None&amp;amp;lt;/DateFormat&amp;amp;gt;&amp;amp;lt;RightHandSideExpression xml:space=&amp;amp;quot;preserve&amp;amp;quot;&amp;amp;gt;MFPR01002088&amp;amp;lt;/RightHandSideExpression&amp;amp;gt;&amp;amp;lt;IsSubquery&amp;amp;gt;False&amp;amp;lt;/IsSubquery&amp;amp;gt;&amp;amp;lt;Subquery'"</definedName>
    <definedName name="_AMO_ContentDefinition_316789590.1235"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316789590.1236" hidden="1">"'HandSideExpression xml:space=&amp;amp;quot;preserve&amp;amp;quot;&amp;amp;gt;MFPR01002092&amp;amp;lt;/RightHandSideExpression&amp;amp;gt;&amp;amp;lt;IsSubquery&amp;amp;gt;False&amp;amp;lt;/IsSubquery&amp;amp;gt;&amp;amp;lt;SubqueryTemplateName /&amp;amp;gt;&amp;amp;lt;/RHSItem&amp;amp;gt;&amp;amp;lt;RHSIte'"</definedName>
    <definedName name="_AMO_ContentDefinition_316789590.1237" hidden="1">"'m&amp;amp;gt;&amp;amp;lt;RHSType&amp;amp;gt;EXPRESSION&amp;amp;lt;/RHSType&amp;amp;gt;&amp;amp;lt;AddQuotes&amp;amp;gt;True&amp;amp;lt;/AddQuotes&amp;amp;gt;&amp;amp;lt;DateFormat&amp;amp;gt;None&amp;amp;lt;/DateFormat&amp;amp;gt;&amp;amp;lt;RightHandSideExpression xml:space=&amp;amp;quot;preserve&amp;amp;quot;&amp;am'"</definedName>
    <definedName name="_AMO_ContentDefinition_316789590.1238" hidden="1">"'p;gt;MFPR01002093&amp;amp;lt;/RightHandSideExpression&amp;amp;gt;&amp;amp;lt;IsSubquery&amp;amp;gt;False&amp;amp;lt;/IsSubquery&amp;amp;gt;&amp;amp;lt;SubqueryTemplateName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316789590.1239" hidden="1">"'mp;gt;&amp;amp;lt;AddQuotes&amp;amp;gt;True&amp;amp;lt;/AddQuotes&amp;amp;gt;&amp;amp;lt;DateFormat&amp;amp;gt;None&amp;amp;lt;/DateFormat&amp;amp;gt;&amp;amp;lt;RightHandSideExpression xml:space=&amp;amp;quot;preserve&amp;amp;quot;&amp;amp;gt;MFPR01002097&amp;amp;lt;/RightHandSideExpression&amp;amp;gt;&amp;am'"</definedName>
    <definedName name="_AMO_ContentDefinition_316789590.124" hidden="1">"') AND indicator_id IN &amp;amp;#xD;&amp;amp;#xA;(&amp;amp;#xD;&amp;amp;#xA;'MFPR01000001',&amp;amp;#xD;&amp;amp;#xA;'MFPR01000013',&amp;amp;#xD;&amp;amp;#xA;'MFPR01000016',&amp;amp;#xD;&amp;amp;#xA;'MFPR01000018',&amp;amp;#xD;&amp;amp;#xA;'MFPR01000019',&amp;amp;#xD;&amp;amp;#xA;'MFPR01000020',&amp;amp;#xD;&amp;am'"</definedName>
    <definedName name="_AMO_ContentDefinition_316789590.1240"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316789590.1241" hidden="1">"';&amp;amp;lt;DateFormat&amp;amp;gt;None&amp;amp;lt;/DateFormat&amp;amp;gt;&amp;amp;lt;RightHandSideExpression xml:space=&amp;amp;quot;preserve&amp;amp;quot;&amp;amp;gt;MFPR01002098&amp;amp;lt;/RightHandSideExpression&amp;amp;gt;&amp;amp;lt;IsSubquery&amp;amp;gt;False&amp;amp;lt;/IsSubquery&amp;amp;gt;&amp;amp;'"</definedName>
    <definedName name="_AMO_ContentDefinition_316789590.1242"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316789590.1243" hidden="1">"'mp;lt;RightHandSideExpression xml:space=&amp;amp;quot;preserve&amp;amp;quot;&amp;amp;gt;MFPR01002099&amp;amp;lt;/RightHandSideExpression&amp;amp;gt;&amp;amp;lt;IsSubquery&amp;amp;gt;False&amp;amp;lt;/IsSubquery&amp;amp;gt;&amp;amp;lt;SubqueryTemplateName /&amp;amp;gt;&amp;amp;lt;/RHSItem&amp;amp;gt;&amp;am'"</definedName>
    <definedName name="_AMO_ContentDefinition_316789590.1244" hidden="1">"'p;lt;RHSItem&amp;amp;gt;&amp;amp;lt;RHSType&amp;amp;gt;EXPRESSION&amp;amp;lt;/RHSType&amp;amp;gt;&amp;amp;lt;AddQuotes&amp;amp;gt;True&amp;amp;lt;/AddQuotes&amp;amp;gt;&amp;amp;lt;DateFormat&amp;amp;gt;None&amp;amp;lt;/DateFormat&amp;amp;gt;&amp;amp;lt;RightHandSideExpression xml:space=&amp;amp;quot;preserve&amp;a'"</definedName>
    <definedName name="_AMO_ContentDefinition_316789590.1245" hidden="1">"'mp;quot;&amp;amp;gt;MFPR01002101&amp;amp;lt;/RightHandSideExpression&amp;amp;gt;&amp;amp;lt;IsSubquery&amp;amp;gt;False&amp;amp;lt;/IsSubquery&amp;amp;gt;&amp;amp;lt;SubqueryTemplateName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1246" hidden="1">"';/RHSType&amp;amp;gt;&amp;amp;lt;AddQuotes&amp;amp;gt;True&amp;amp;lt;/AddQuotes&amp;amp;gt;&amp;amp;lt;DateFormat&amp;amp;gt;None&amp;amp;lt;/DateFormat&amp;amp;gt;&amp;amp;lt;RightHandSideExpression xml:space=&amp;amp;quot;preserve&amp;amp;quot;&amp;amp;gt;MFPR01002102&amp;amp;lt;/RightHandSideExpression'"</definedName>
    <definedName name="_AMO_ContentDefinition_316789590.1247"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316789590.1248" hidden="1">"'otes&amp;amp;gt;&amp;amp;lt;DateFormat&amp;amp;gt;None&amp;amp;lt;/DateFormat&amp;amp;gt;&amp;amp;lt;RightHandSideExpression xml:space=&amp;amp;quot;preserve&amp;amp;quot;&amp;amp;gt;MFPR01002103&amp;amp;lt;/RightHandSideExpression&amp;amp;gt;&amp;amp;lt;IsSubquery&amp;amp;gt;False&amp;amp;lt;/IsSubquery&amp;a'"</definedName>
    <definedName name="_AMO_ContentDefinition_316789590.1249"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316789590.125" hidden="1">"'p;#xA;'MFPR01000021',&amp;amp;#xD;&amp;amp;#xA;'MFPR01000022',&amp;amp;#xD;&amp;amp;#xA;'MFPR01000023',&amp;amp;#xD;&amp;amp;#xA;'MFPR01000024',&amp;amp;#xD;&amp;amp;#xA;'MFPR01000032',&amp;amp;#xD;&amp;amp;#xA;'MFPR01000049',&amp;amp;#xD;&amp;amp;#xA;'MFPR01000066',&amp;amp;#xD;&amp;amp;#xA;'MFPR01000083''"</definedName>
    <definedName name="_AMO_ContentDefinition_316789590.1250" hidden="1">"'t&amp;amp;gt;&amp;amp;lt;RightHandSideExpression xml:space=&amp;amp;quot;preserve&amp;amp;quot;&amp;amp;gt;MFPR01002104&amp;amp;lt;/RightHandSideExpression&amp;amp;gt;&amp;amp;lt;IsSubquery&amp;amp;gt;False&amp;amp;lt;/IsSubquery&amp;amp;gt;&amp;amp;lt;SubqueryTemplateName /&amp;amp;gt;&amp;amp;lt;/RHSItem'"</definedName>
    <definedName name="_AMO_ContentDefinition_316789590.1251" hidden="1">"'&amp;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1252" hidden="1">"';preserve&amp;amp;quot;&amp;amp;gt;MFPR01002109&amp;amp;lt;/RightHandSideExpression&amp;amp;gt;&amp;amp;lt;IsSubquery&amp;amp;gt;False&amp;amp;lt;/IsSubquery&amp;amp;gt;&amp;amp;lt;SubqueryTemplateName /&amp;amp;gt;&amp;amp;lt;/RHSItem&amp;amp;gt;&amp;amp;lt;RHSItem&amp;amp;gt;&amp;amp;lt;RHSType&amp;amp;gt;EXPRES'"</definedName>
    <definedName name="_AMO_ContentDefinition_316789590.1253" hidden="1">"'SION&amp;amp;lt;/RHSType&amp;amp;gt;&amp;amp;lt;AddQuotes&amp;amp;gt;True&amp;amp;lt;/AddQuotes&amp;amp;gt;&amp;amp;lt;DateFormat&amp;amp;gt;None&amp;amp;lt;/DateFormat&amp;amp;gt;&amp;amp;lt;RightHandSideExpression xml:space=&amp;amp;quot;preserve&amp;amp;quot;&amp;amp;gt;MFPR01002115&amp;amp;lt;/RightHandSid'"</definedName>
    <definedName name="_AMO_ContentDefinition_316789590.1254"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316789590.1255" hidden="1">"'p;lt;/AddQuotes&amp;amp;gt;&amp;amp;lt;DateFormat&amp;amp;gt;None&amp;amp;lt;/DateFormat&amp;amp;gt;&amp;amp;lt;RightHandSideExpression xml:space=&amp;amp;quot;preserve&amp;amp;quot;&amp;amp;gt;MFPR01002119&amp;amp;lt;/RightHandSideExpression&amp;amp;gt;&amp;amp;lt;IsSubquery&amp;amp;gt;False&amp;amp;lt;/I'"</definedName>
    <definedName name="_AMO_ContentDefinition_316789590.1256"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1257" hidden="1">"';/DateFormat&amp;amp;gt;&amp;amp;lt;RightHandSideExpression xml:space=&amp;amp;quot;preserve&amp;amp;quot;&amp;amp;gt;MFPR01002120&amp;amp;lt;/RightHandSideExpression&amp;amp;gt;&amp;amp;lt;IsSubquery&amp;amp;gt;False&amp;amp;lt;/IsSubquery&amp;amp;gt;&amp;amp;lt;SubqueryTemplateName /&amp;amp;gt;&amp;amp;'"</definedName>
    <definedName name="_AMO_ContentDefinition_316789590.1258" hidden="1">"'lt;/RHSItem&amp;amp;gt;&amp;amp;lt;RHSItem&amp;amp;gt;&amp;amp;lt;RHSType&amp;amp;gt;EXPRESSION&amp;amp;lt;/RHSType&amp;amp;gt;&amp;amp;lt;AddQuotes&amp;amp;gt;True&amp;amp;lt;/AddQuotes&amp;amp;gt;&amp;amp;lt;DateFormat&amp;amp;gt;None&amp;amp;lt;/DateFormat&amp;amp;gt;&amp;amp;lt;RightHandSideExpression xml:spac'"</definedName>
    <definedName name="_AMO_ContentDefinition_316789590.1259" hidden="1">"'e=&amp;amp;quot;preserve&amp;amp;quot;&amp;amp;gt;MFPR01002121&amp;amp;lt;/RightHandSideExpression&amp;amp;gt;&amp;amp;lt;IsSubquery&amp;amp;gt;False&amp;amp;lt;/IsSubquery&amp;amp;gt;&amp;amp;lt;SubqueryTemplateName /&amp;amp;gt;&amp;amp;lt;/RHSItem&amp;amp;gt;&amp;amp;lt;RHSItem&amp;amp;gt;&amp;amp;lt;RHSType&amp;am'"</definedName>
    <definedName name="_AMO_ContentDefinition_316789590.126" hidden="1">"',&amp;amp;#xD;&amp;amp;#xA;'MFPR01000089',&amp;amp;#xD;&amp;amp;#xA;'MFPR01000095',&amp;amp;#xD;&amp;amp;#xA;'MFPR01000101',&amp;amp;#xD;&amp;amp;#xA;'MFPR01000107',&amp;amp;#xD;&amp;amp;#xA;'MFPR01000110',&amp;amp;#xD;&amp;amp;#xA;'MFPR01000111',&amp;amp;#xD;&amp;amp;#xA;'MFPR01000112',&amp;amp;#xD;&amp;amp;#xA;''"</definedName>
    <definedName name="_AMO_ContentDefinition_316789590.1260" hidden="1">"'p;gt;EXPRESSION&amp;amp;lt;/RHSType&amp;amp;gt;&amp;amp;lt;AddQuotes&amp;amp;gt;True&amp;amp;lt;/AddQuotes&amp;amp;gt;&amp;amp;lt;DateFormat&amp;amp;gt;None&amp;amp;lt;/DateFormat&amp;amp;gt;&amp;amp;lt;RightHandSideExpression xml:space=&amp;amp;quot;preserve&amp;amp;quot;&amp;amp;gt;MFPR01002129&amp;amp;lt;/R'"</definedName>
    <definedName name="_AMO_ContentDefinition_316789590.1261"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1262" hidden="1">"';gt;True&amp;amp;lt;/AddQuotes&amp;amp;gt;&amp;amp;lt;DateFormat&amp;amp;gt;None&amp;amp;lt;/DateFormat&amp;amp;gt;&amp;amp;lt;RightHandSideExpression xml:space=&amp;amp;quot;preserve&amp;amp;quot;&amp;amp;gt;MFPR01002140&amp;amp;lt;/RightHandSideExpression&amp;amp;gt;&amp;amp;lt;IsSubquery&amp;amp;gt;Fals'"</definedName>
    <definedName name="_AMO_ContentDefinition_316789590.1263"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1264" hidden="1">"'None&amp;amp;lt;/DateFormat&amp;amp;gt;&amp;amp;lt;RightHandSideExpression xml:space=&amp;amp;quot;preserve&amp;amp;quot;&amp;amp;gt;MFPR01002141&amp;amp;lt;/RightHandSideExpression&amp;amp;gt;&amp;amp;lt;IsSubquery&amp;amp;gt;False&amp;amp;lt;/IsSubquery&amp;amp;gt;&amp;amp;lt;SubqueryTemplateName /&amp;a'"</definedName>
    <definedName name="_AMO_ContentDefinition_316789590.1265"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316789590.1266" hidden="1">"'on xml:space=&amp;amp;quot;preserve&amp;amp;quot;&amp;amp;gt;MFPR01002142&amp;amp;lt;/RightHandSideExpression&amp;amp;gt;&amp;amp;lt;IsSubquery&amp;amp;gt;False&amp;amp;lt;/IsSubquery&amp;amp;gt;&amp;amp;lt;SubqueryTemplateName /&amp;amp;gt;&amp;amp;lt;/RHSItem&amp;amp;gt;&amp;amp;lt;RHSItem&amp;amp;gt;&amp;amp;lt'"</definedName>
    <definedName name="_AMO_ContentDefinition_316789590.1267" hidden="1">"';RHSType&amp;amp;gt;EXPRESSION&amp;amp;lt;/RHSType&amp;amp;gt;&amp;amp;lt;AddQuotes&amp;amp;gt;True&amp;amp;lt;/AddQuotes&amp;amp;gt;&amp;amp;lt;DateFormat&amp;amp;gt;None&amp;amp;lt;/DateFormat&amp;amp;gt;&amp;amp;lt;RightHandSideExpression xml:space=&amp;amp;quot;preserve&amp;amp;quot;&amp;amp;gt;MFPR0100214'"</definedName>
    <definedName name="_AMO_ContentDefinition_316789590.1268" hidden="1">"'4&amp;amp;lt;/RightHandSideExpression&amp;amp;gt;&amp;amp;lt;IsSubquery&amp;amp;gt;False&amp;amp;lt;/IsSubquery&amp;amp;gt;&amp;amp;lt;SubqueryTemplateName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316789590.1269" hidden="1">"'dQuotes&amp;amp;gt;True&amp;amp;lt;/AddQuotes&amp;amp;gt;&amp;amp;lt;DateFormat&amp;amp;gt;None&amp;amp;lt;/DateFormat&amp;amp;gt;&amp;amp;lt;RightHandSideExpression xml:space=&amp;amp;quot;preserve&amp;amp;quot;&amp;amp;gt;MFPR01002145&amp;amp;lt;/RightHandSideExpression&amp;amp;gt;&amp;amp;lt;IsSubquery&amp;'"</definedName>
    <definedName name="_AMO_ContentDefinition_316789590.127" hidden="1">"'MFPR01000113',&amp;amp;#xD;&amp;amp;#xA;'MFPR01000128',&amp;amp;#xD;&amp;amp;#xA;'MFPR01000129',&amp;amp;#xD;&amp;amp;#xA;'MFPR01000130',&amp;amp;#xD;&amp;amp;#xA;'MFPR01000131',&amp;amp;#xD;&amp;amp;#xA;'MFPR01000135',&amp;amp;#xD;&amp;amp;#xA;'MFPR01000136',&amp;amp;#xD;&amp;amp;#xA;'MFPR01000137',&amp;amp;#'"</definedName>
    <definedName name="_AMO_ContentDefinition_316789590.1270"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316789590.1271" hidden="1">"'mat&amp;amp;gt;None&amp;amp;lt;/DateFormat&amp;amp;gt;&amp;amp;lt;RightHandSideExpression xml:space=&amp;amp;quot;preserve&amp;amp;quot;&amp;amp;gt;MFPR01002146&amp;amp;lt;/RightHandSideExpression&amp;amp;gt;&amp;amp;lt;IsSubquery&amp;amp;gt;False&amp;amp;lt;/IsSubquery&amp;amp;gt;&amp;amp;lt;SubqueryTempl'"</definedName>
    <definedName name="_AMO_ContentDefinition_316789590.1272"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316789590.1273" hidden="1">"'ideExpression xml:space=&amp;amp;quot;preserve&amp;amp;quot;&amp;amp;gt;MFPR01002147&amp;amp;lt;/RightHandSideExpression&amp;amp;gt;&amp;amp;lt;IsSubquery&amp;amp;gt;False&amp;amp;lt;/IsSubquery&amp;amp;gt;&amp;amp;lt;SubqueryTemplateName /&amp;amp;gt;&amp;amp;lt;/RHSItem&amp;amp;gt;&amp;amp;lt;RHSItem&amp;amp'"</definedName>
    <definedName name="_AMO_ContentDefinition_316789590.1274" hidden="1">"';gt;&amp;amp;lt;RHSType&amp;amp;gt;EXPRESSION&amp;amp;lt;/RHSType&amp;amp;gt;&amp;amp;lt;AddQuotes&amp;amp;gt;True&amp;amp;lt;/AddQuotes&amp;amp;gt;&amp;amp;lt;DateFormat&amp;amp;gt;None&amp;amp;lt;/DateFormat&amp;amp;gt;&amp;amp;lt;RightHandSideExpression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1275" hidden="1">"'MFPR01002152&amp;amp;lt;/RightHandSideExpression&amp;amp;gt;&amp;amp;lt;IsSubquery&amp;amp;gt;False&amp;amp;lt;/IsSubquery&amp;amp;gt;&amp;amp;lt;SubqueryTemplateName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1276" hidden="1">"';&amp;amp;lt;AddQuotes&amp;amp;gt;True&amp;amp;lt;/AddQuotes&amp;amp;gt;&amp;amp;lt;DateFormat&amp;amp;gt;None&amp;amp;lt;/DateFormat&amp;amp;gt;&amp;amp;lt;RightHandSideExpression xml:space=&amp;amp;quot;preserve&amp;amp;quot;&amp;amp;gt;MFPR01002158&amp;amp;lt;/RightHandSideExpression&amp;amp;gt;&amp;amp;lt;'"</definedName>
    <definedName name="_AMO_ContentDefinition_316789590.1277"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1278" hidden="1">"';lt;DateFormat&amp;amp;gt;None&amp;amp;lt;/DateFormat&amp;amp;gt;&amp;amp;lt;RightHandSideExpression xml:space=&amp;amp;quot;preserve&amp;amp;quot;&amp;amp;gt;MFPR01002162&amp;amp;lt;/RightHandSideExpression&amp;amp;gt;&amp;amp;lt;IsSubquery&amp;amp;gt;False&amp;amp;lt;/IsSubquery&amp;amp;gt;&amp;amp;lt;Su'"</definedName>
    <definedName name="_AMO_ContentDefinition_316789590.1279"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128" hidden="1">"'xD;&amp;amp;#xA;'MFPR01000138',&amp;amp;#xD;&amp;amp;#xA;'MFPR01000139',&amp;amp;#xD;&amp;amp;#xA;'MFPR01000140',&amp;amp;#xD;&amp;amp;#xA;'MFPR01000141',&amp;amp;#xD;&amp;amp;#xA;'MFPR01000143',&amp;amp;#xD;&amp;amp;#xA;'MFPR01000144',&amp;amp;#xD;&amp;amp;#xA;'MFPR01000145',&amp;amp;#xD;&amp;amp;#xA;'MFPR010'"</definedName>
    <definedName name="_AMO_ContentDefinition_316789590.1280" hidden="1">"';RightHandSideExpression xml:space=&amp;amp;quot;preserve&amp;amp;quot;&amp;amp;gt;MFPR01002163&amp;amp;lt;/RightHandSideExpression&amp;amp;gt;&amp;amp;lt;IsSubquery&amp;amp;gt;False&amp;amp;lt;/IsSubquery&amp;amp;gt;&amp;amp;lt;SubqueryTemplateName /&amp;amp;gt;&amp;amp;lt;/RHSItem&amp;amp;gt;&amp;amp;lt;'"</definedName>
    <definedName name="_AMO_ContentDefinition_316789590.1281" hidden="1">"'RHSItem&amp;amp;gt;&amp;amp;lt;RHSType&amp;amp;gt;EXPRESSION&amp;amp;lt;/RHSType&amp;amp;gt;&amp;amp;lt;AddQuotes&amp;amp;gt;True&amp;amp;lt;/AddQuotes&amp;amp;gt;&amp;amp;lt;DateFormat&amp;amp;gt;None&amp;amp;lt;/DateFormat&amp;amp;gt;&amp;amp;lt;RightHandSideExpression xml:space=&amp;amp;quot;preserve&amp;amp;qu'"</definedName>
    <definedName name="_AMO_ContentDefinition_316789590.1282" hidden="1">"'ot;&amp;amp;gt;MFPR01002167&amp;amp;lt;/RightHandSideExpression&amp;amp;gt;&amp;amp;lt;IsSubquery&amp;amp;gt;False&amp;amp;lt;/IsSubquery&amp;amp;gt;&amp;amp;lt;SubqueryTemplateName /&amp;amp;gt;&amp;amp;lt;/RHSItem&amp;amp;gt;&amp;amp;lt;RHSItem&amp;amp;gt;&amp;amp;lt;RHSType&amp;amp;gt;EXPRESSION&amp;amp;lt;/RHS'"</definedName>
    <definedName name="_AMO_ContentDefinition_316789590.1283" hidden="1">"'Type&amp;amp;gt;&amp;amp;lt;AddQuotes&amp;amp;gt;True&amp;amp;lt;/AddQuotes&amp;amp;gt;&amp;amp;lt;DateFormat&amp;amp;gt;None&amp;amp;lt;/DateFormat&amp;amp;gt;&amp;amp;lt;RightHandSideExpression xml:space=&amp;amp;quot;preserve&amp;amp;quot;&amp;amp;gt;MFPR01002168&amp;amp;lt;/RightHandSideExpression&amp;amp;'"</definedName>
    <definedName name="_AMO_ContentDefinition_316789590.1284"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316789590.1285" hidden="1">"'amp;gt;&amp;amp;lt;DateFormat&amp;amp;gt;None&amp;amp;lt;/DateFormat&amp;amp;gt;&amp;amp;lt;RightHandSideExpression xml:space=&amp;amp;quot;preserve&amp;amp;quot;&amp;amp;gt;MFPR01002169&amp;amp;lt;/RightHandSideExpression&amp;amp;gt;&amp;amp;lt;IsSubquery&amp;amp;gt;False&amp;amp;lt;/IsSubquery&amp;amp;gt'"</definedName>
    <definedName name="_AMO_ContentDefinition_316789590.1286"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1287" hidden="1">"';gt;&amp;amp;lt;RightHandSideExpression xml:space=&amp;amp;quot;preserve&amp;amp;quot;&amp;amp;gt;MFPR01002171&amp;amp;lt;/RightHandSideExpression&amp;amp;gt;&amp;amp;lt;IsSubquery&amp;amp;gt;False&amp;amp;lt;/IsSubquery&amp;amp;gt;&amp;amp;lt;SubqueryTemplateName /&amp;amp;gt;&amp;amp;lt;/RHSItem&amp;amp;'"</definedName>
    <definedName name="_AMO_ContentDefinition_316789590.1288" hidden="1">"'gt;&amp;amp;lt;RHSItem&amp;amp;gt;&amp;amp;lt;RHSType&amp;amp;gt;EXPRESSION&amp;amp;lt;/RHSType&amp;amp;gt;&amp;amp;lt;AddQuotes&amp;amp;gt;True&amp;amp;lt;/AddQuotes&amp;amp;gt;&amp;amp;lt;DateFormat&amp;amp;gt;None&amp;amp;lt;/DateFormat&amp;amp;gt;&amp;amp;lt;RightHandSideExpression xml:space=&amp;amp;quot;pres'"</definedName>
    <definedName name="_AMO_ContentDefinition_316789590.1289" hidden="1">"'erve&amp;amp;quot;&amp;amp;gt;MFPR01002172&amp;amp;lt;/RightHandSideExpression&amp;amp;gt;&amp;amp;lt;IsSubquery&amp;amp;gt;False&amp;amp;lt;/IsSubquery&amp;amp;gt;&amp;amp;lt;SubqueryTemplateName /&amp;amp;gt;&amp;amp;lt;/RHSItem&amp;amp;gt;&amp;amp;lt;RHSItem&amp;amp;gt;&amp;amp;lt;RHSType&amp;amp;gt;EXPRESSION&amp;'"</definedName>
    <definedName name="_AMO_ContentDefinition_316789590.129" hidden="1">"'00148',&amp;amp;#xD;&amp;amp;#xA;'MFPR01000160',&amp;amp;#xD;&amp;amp;#xA;'MFPR01000161',&amp;amp;#xD;&amp;amp;#xA;'MFPR01000162',&amp;amp;#xD;&amp;amp;#xA;'MFPR01000163',&amp;amp;#xD;&amp;amp;#xA;'MFPR01000165',&amp;amp;#xD;&amp;amp;#xA;'MFPR01000168',&amp;amp;#xD;&amp;amp;#xA;'MFPR01000169',&amp;amp;#xD;&amp;amp'"</definedName>
    <definedName name="_AMO_ContentDefinition_316789590.1290" hidden="1">"'amp;lt;/RHSType&amp;amp;gt;&amp;amp;lt;AddQuotes&amp;amp;gt;True&amp;amp;lt;/AddQuotes&amp;amp;gt;&amp;amp;lt;DateFormat&amp;amp;gt;None&amp;amp;lt;/DateFormat&amp;amp;gt;&amp;amp;lt;RightHandSideExpression xml:space=&amp;amp;quot;preserve&amp;amp;quot;&amp;amp;gt;MFPR01002173&amp;amp;lt;/RightHandSideExpr'"</definedName>
    <definedName name="_AMO_ContentDefinition_316789590.1291"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1292" hidden="1">"'/AddQuotes&amp;amp;gt;&amp;amp;lt;DateFormat&amp;amp;gt;None&amp;amp;lt;/DateFormat&amp;amp;gt;&amp;amp;lt;RightHandSideExpression xml:space=&amp;amp;quot;preserve&amp;amp;quot;&amp;amp;gt;MFPR01002174&amp;amp;lt;/RightHandSideExpression&amp;amp;gt;&amp;amp;lt;IsSubquery&amp;amp;gt;False&amp;amp;lt;/IsSubq'"</definedName>
    <definedName name="_AMO_ContentDefinition_316789590.1293"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316789590.1294" hidden="1">"'eFormat&amp;amp;gt;&amp;amp;lt;RightHandSideExpression xml:space=&amp;amp;quot;preserve&amp;amp;quot;&amp;amp;gt;MFPR01002179&amp;amp;lt;/RightHandSideExpression&amp;amp;gt;&amp;amp;lt;IsSubquery&amp;amp;gt;False&amp;amp;lt;/IsSubquery&amp;amp;gt;&amp;amp;lt;SubqueryTemplateName /&amp;amp;gt;&amp;amp;lt;/R'"</definedName>
    <definedName name="_AMO_ContentDefinition_316789590.1295" hidden="1">"'HSItem&amp;amp;gt;&amp;amp;lt;RHSItem&amp;amp;gt;&amp;amp;lt;RHSType&amp;amp;gt;EXPRESSION&amp;amp;lt;/RHSType&amp;amp;gt;&amp;amp;lt;AddQuotes&amp;amp;gt;True&amp;amp;lt;/AddQuotes&amp;amp;gt;&amp;amp;lt;DateFormat&amp;amp;gt;None&amp;amp;lt;/DateFormat&amp;amp;gt;&amp;amp;lt;RightHandSideExpression xml:space=&amp;am'"</definedName>
    <definedName name="_AMO_ContentDefinition_316789590.1296" hidden="1">"'p;quot;preserve&amp;amp;quot;&amp;amp;gt;MFPR01002185&amp;amp;lt;/RightHandSideExpression&amp;amp;gt;&amp;amp;lt;IsSubquery&amp;amp;gt;False&amp;amp;lt;/IsSubquery&amp;amp;gt;&amp;amp;lt;SubqueryTemplateName /&amp;amp;gt;&amp;amp;lt;/RHSItem&amp;amp;gt;&amp;amp;lt;RHSItem&amp;amp;gt;&amp;amp;lt;RHSType&amp;amp;gt;'"</definedName>
    <definedName name="_AMO_ContentDefinition_316789590.1297" hidden="1">"'EXPRESSION&amp;amp;lt;/RHSType&amp;amp;gt;&amp;amp;lt;AddQuotes&amp;amp;gt;True&amp;amp;lt;/AddQuotes&amp;amp;gt;&amp;amp;lt;DateFormat&amp;amp;gt;None&amp;amp;lt;/DateFormat&amp;amp;gt;&amp;amp;lt;RightHandSideExpression xml:space=&amp;amp;quot;preserve&amp;amp;quot;&amp;amp;gt;MFPR01002189&amp;amp;lt;/RightH'"</definedName>
    <definedName name="_AMO_ContentDefinition_316789590.1298"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316789590.1299" hidden="1">"'rue&amp;amp;lt;/AddQuotes&amp;amp;gt;&amp;amp;lt;DateFormat&amp;amp;gt;None&amp;amp;lt;/DateFormat&amp;amp;gt;&amp;amp;lt;RightHandSideExpression xml:space=&amp;amp;quot;preserve&amp;amp;quot;&amp;amp;gt;MFPR01002190&amp;amp;lt;/RightHandSideExpression&amp;amp;gt;&amp;amp;lt;IsSubquery&amp;amp;gt;False&amp;amp'"</definedName>
    <definedName name="_AMO_ContentDefinition_316789590.13" hidden="1">"'00472',&amp;#xD;&amp;#xA;'MFPR01000476',&amp;#xD;&amp;#xA;'MFPR01000477',&amp;#xD;&amp;#xA;'MFPR01000478',&amp;#xD;&amp;#xA;'MFPR01000480',&amp;#xD;&amp;#xA;'MFPR01000481',&amp;#xD;&amp;#xA;'MFPR01000482',&amp;#xD;&amp;#xA;'MFPR01000483',&amp;#xD;&amp;#xA;'MFPR01000487',&amp;#xD;&amp;#xA;'MFPR01000494',&amp;#xD;&amp;#xA;'MFPR0100'"</definedName>
    <definedName name="_AMO_ContentDefinition_316789590.130" hidden="1">"';#xA;'MFPR01000170',&amp;amp;#xD;&amp;amp;#xA;'MFPR01000171',&amp;amp;#xD;&amp;amp;#xA;'MFPR01000172',&amp;amp;#xD;&amp;amp;#xA;'MFPR01000173',&amp;amp;#xD;&amp;amp;#xA;'MFPR01000176',&amp;amp;#xD;&amp;amp;#xA;'MFPR01000184',&amp;amp;#xD;&amp;amp;#xA;'MFPR01000200',&amp;amp;#xD;&amp;amp;#xA;'MFPR01000216','"</definedName>
    <definedName name="_AMO_ContentDefinition_316789590.1300"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316789590.1301" hidden="1">"'amp;lt;/DateFormat&amp;amp;gt;&amp;amp;lt;RightHandSideExpression xml:space=&amp;amp;quot;preserve&amp;amp;quot;&amp;amp;gt;MFPR01002191&amp;amp;lt;/RightHandSideExpression&amp;amp;gt;&amp;amp;lt;IsSubquery&amp;amp;gt;False&amp;amp;lt;/IsSubquery&amp;amp;gt;&amp;amp;lt;SubqueryTemplateName /&amp;amp;gt'"</definedName>
    <definedName name="_AMO_ContentDefinition_316789590.1302" hidden="1">"';&amp;amp;lt;/RHSItem&amp;amp;gt;&amp;amp;lt;RHSItem&amp;amp;gt;&amp;amp;lt;RHSType&amp;amp;gt;EXPRESSION&amp;amp;lt;/RHSType&amp;amp;gt;&amp;amp;lt;AddQuotes&amp;amp;gt;True&amp;amp;lt;/AddQuotes&amp;amp;gt;&amp;amp;lt;DateFormat&amp;amp;gt;None&amp;amp;lt;/DateFormat&amp;amp;gt;&amp;amp;lt;RightHandSideExpression xm'"</definedName>
    <definedName name="_AMO_ContentDefinition_316789590.1303" hidden="1">"'l:space=&amp;amp;quot;preserve&amp;amp;quot;&amp;amp;gt;MFPR01002199&amp;amp;lt;/RightHandSideExpression&amp;amp;gt;&amp;amp;lt;IsSubquery&amp;amp;gt;False&amp;amp;lt;/IsSubquery&amp;amp;gt;&amp;amp;lt;SubqueryTemplateName /&amp;amp;gt;&amp;amp;lt;/RHSItem&amp;amp;gt;&amp;amp;lt;RHSItem&amp;amp;gt;&amp;amp;lt;RHST'"</definedName>
    <definedName name="_AMO_ContentDefinition_316789590.1304" hidden="1">"'ype&amp;amp;gt;EXPRESSION&amp;amp;lt;/RHSType&amp;amp;gt;&amp;amp;lt;AddQuotes&amp;amp;gt;True&amp;amp;lt;/AddQuotes&amp;amp;gt;&amp;amp;lt;DateFormat&amp;amp;gt;None&amp;amp;lt;/DateFormat&amp;amp;gt;&amp;amp;lt;RightHandSideExpression xml:space=&amp;amp;quot;preserve&amp;amp;quot;&amp;amp;gt;MFPR01002210&amp;amp'"</definedName>
    <definedName name="_AMO_ContentDefinition_316789590.1305"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316789590.1306" hidden="1">"'es&amp;amp;gt;True&amp;amp;lt;/AddQuotes&amp;amp;gt;&amp;amp;lt;DateFormat&amp;amp;gt;None&amp;amp;lt;/DateFormat&amp;amp;gt;&amp;amp;lt;RightHandSideExpression xml:space=&amp;amp;quot;preserve&amp;amp;quot;&amp;amp;gt;MFPR01002211&amp;amp;lt;/RightHandSideExpression&amp;amp;gt;&amp;amp;lt;IsSubquery&amp;amp;g'"</definedName>
    <definedName name="_AMO_ContentDefinition_316789590.1307"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316789590.1308" hidden="1">"'mp;gt;None&amp;amp;lt;/DateFormat&amp;amp;gt;&amp;amp;lt;RightHandSideExpression xml:space=&amp;amp;quot;preserve&amp;amp;quot;&amp;amp;gt;MFPR01002212&amp;amp;lt;/RightHandSideExpression&amp;amp;gt;&amp;amp;lt;IsSubquery&amp;amp;gt;False&amp;amp;lt;/IsSubquery&amp;amp;gt;&amp;amp;lt;SubqueryTemplateNa'"</definedName>
    <definedName name="_AMO_ContentDefinition_316789590.1309"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316789590.131" hidden="1">"'&amp;amp;#xD;&amp;amp;#xA;'MFPR01000232',&amp;amp;#xD;&amp;amp;#xA;'MFPR01000254',&amp;amp;#xD;&amp;amp;#xA;'MFPR01000255',&amp;amp;#xD;&amp;amp;#xA;'MFPR01000256',&amp;amp;#xD;&amp;amp;#xA;'MFPR01000257',&amp;amp;#xD;&amp;amp;#xA;'MFPR01000258',&amp;amp;#xD;&amp;amp;#xA;'MFPR01000279',&amp;amp;#xD;&amp;amp;#xA;'M'"</definedName>
    <definedName name="_AMO_ContentDefinition_316789590.1310" hidden="1">"'pression xml:space=&amp;amp;quot;preserve&amp;amp;quot;&amp;amp;gt;MFPR01002214&amp;amp;lt;/RightHandSideExpression&amp;amp;gt;&amp;amp;lt;IsSubquery&amp;amp;gt;False&amp;amp;lt;/IsSubquery&amp;amp;gt;&amp;amp;lt;SubqueryTemplateName /&amp;amp;gt;&amp;amp;lt;/RHSItem&amp;amp;gt;&amp;amp;lt;RHSItem&amp;amp;gt;&amp;'"</definedName>
    <definedName name="_AMO_ContentDefinition_316789590.1311" hidden="1">"'amp;lt;RHSType&amp;amp;gt;EXPRESSION&amp;amp;lt;/RHSType&amp;amp;gt;&amp;amp;lt;AddQuotes&amp;amp;gt;True&amp;amp;lt;/AddQuotes&amp;amp;gt;&amp;amp;lt;DateFormat&amp;amp;gt;None&amp;amp;lt;/DateFormat&amp;amp;gt;&amp;amp;lt;RightHandSideExpression xml:space=&amp;amp;quot;preserve&amp;amp;quot;&amp;amp;gt;MFPR0'"</definedName>
    <definedName name="_AMO_ContentDefinition_316789590.1312" hidden="1">"'1002215&amp;amp;lt;/RightHandSideExpression&amp;amp;gt;&amp;amp;lt;IsSubquery&amp;amp;gt;False&amp;amp;lt;/IsSubquery&amp;amp;gt;&amp;amp;lt;SubqueryTemplateName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1313" hidden="1">"';lt;AddQuotes&amp;amp;gt;True&amp;amp;lt;/AddQuotes&amp;amp;gt;&amp;amp;lt;DateFormat&amp;amp;gt;None&amp;amp;lt;/DateFormat&amp;amp;gt;&amp;amp;lt;RightHandSideExpression xml:space=&amp;amp;quot;preserve&amp;amp;quot;&amp;amp;gt;MFPR01002216&amp;amp;lt;/RightHandSideExpression&amp;amp;gt;&amp;amp;lt;IsSub'"</definedName>
    <definedName name="_AMO_ContentDefinition_316789590.1314"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316789590.1315" hidden="1">"'ateFormat&amp;amp;gt;None&amp;amp;lt;/DateFormat&amp;amp;gt;&amp;amp;lt;RightHandSideExpression xml:space=&amp;amp;quot;preserve&amp;amp;quot;&amp;amp;gt;MFPR01002217&amp;amp;lt;/RightHandSideExpression&amp;amp;gt;&amp;amp;lt;IsSubquery&amp;amp;gt;False&amp;amp;lt;/IsSubquery&amp;amp;gt;&amp;amp;lt;Subquer'"</definedName>
    <definedName name="_AMO_ContentDefinition_316789590.1316"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316789590.1317" hidden="1">"'tHandSideExpression xml:space=&amp;amp;quot;preserve&amp;amp;quot;&amp;amp;gt;MFPR01002222&amp;amp;lt;/RightHandSideExpression&amp;amp;gt;&amp;amp;lt;IsSubquery&amp;amp;gt;False&amp;amp;lt;/IsSubquery&amp;amp;gt;&amp;amp;lt;SubqueryTemplateName /&amp;amp;gt;&amp;amp;lt;/RHSItem&amp;amp;gt;&amp;amp;lt;RHSIt'"</definedName>
    <definedName name="_AMO_ContentDefinition_316789590.1318" hidden="1">"'em&amp;amp;gt;&amp;amp;lt;RHSType&amp;amp;gt;EXPRESSION&amp;amp;lt;/RHSType&amp;amp;gt;&amp;amp;lt;AddQuotes&amp;amp;gt;True&amp;amp;lt;/AddQuotes&amp;amp;gt;&amp;amp;lt;DateFormat&amp;amp;gt;None&amp;amp;lt;/DateFormat&amp;amp;gt;&amp;amp;lt;RightHandSideExpression xml:space=&amp;amp;quot;preserve&amp;amp;quot;&amp;a'"</definedName>
    <definedName name="_AMO_ContentDefinition_316789590.1319" hidden="1">"'mp;gt;MFPR01002228&amp;amp;lt;/RightHandSideExpression&amp;amp;gt;&amp;amp;lt;IsSubquery&amp;amp;gt;False&amp;amp;lt;/IsSubquery&amp;amp;gt;&amp;amp;lt;SubqueryTemplateName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316789590.132" hidden="1">"'FPR01000285',&amp;amp;#xD;&amp;amp;#xA;'MFPR01000286',&amp;amp;#xD;&amp;amp;#xA;'MFPR01000287',&amp;amp;#xD;&amp;amp;#xA;'MFPR01000290',&amp;amp;#xD;&amp;amp;#xA;'MFPR01000294',&amp;amp;#xD;&amp;amp;#xA;'MFPR01000295',&amp;amp;#xD;&amp;amp;#xA;'MFPR01000296',&amp;amp;#xD;&amp;amp;#xA;'MFPR01000297',&amp;amp;#x'"</definedName>
    <definedName name="_AMO_ContentDefinition_316789590.1320" hidden="1">"'amp;gt;&amp;amp;lt;AddQuotes&amp;amp;gt;True&amp;amp;lt;/AddQuotes&amp;amp;gt;&amp;amp;lt;DateFormat&amp;amp;gt;None&amp;amp;lt;/DateFormat&amp;amp;gt;&amp;amp;lt;RightHandSideExpression xml:space=&amp;amp;quot;preserve&amp;amp;quot;&amp;amp;gt;MFPR01002232&amp;amp;lt;/RightHandSideExpression&amp;amp;gt;&amp;a'"</definedName>
    <definedName name="_AMO_ContentDefinition_316789590.1321"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316789590.1322" hidden="1">"'t;&amp;amp;lt;DateFormat&amp;amp;gt;None&amp;amp;lt;/DateFormat&amp;amp;gt;&amp;amp;lt;RightHandSideExpression xml:space=&amp;amp;quot;preserve&amp;amp;quot;&amp;amp;gt;MFPR01002233&amp;amp;lt;/RightHandSideExpression&amp;amp;gt;&amp;amp;lt;IsSubquery&amp;amp;gt;False&amp;amp;lt;/IsSubquery&amp;amp;gt;&amp;amp'"</definedName>
    <definedName name="_AMO_ContentDefinition_316789590.1323"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316789590.1324" hidden="1">"'amp;lt;RightHandSideExpression xml:space=&amp;amp;quot;preserve&amp;amp;quot;&amp;amp;gt;MFPR01002237&amp;amp;lt;/RightHandSideExpression&amp;amp;gt;&amp;amp;lt;IsSubquery&amp;amp;gt;False&amp;amp;lt;/IsSubquery&amp;amp;gt;&amp;amp;lt;SubqueryTemplateName /&amp;amp;gt;&amp;amp;lt;/RHSItem&amp;amp;gt;&amp;a'"</definedName>
    <definedName name="_AMO_ContentDefinition_316789590.1325" hidden="1">"'mp;lt;RHSItem&amp;amp;gt;&amp;amp;lt;RHSType&amp;amp;gt;EXPRESSION&amp;amp;lt;/RHSType&amp;amp;gt;&amp;amp;lt;AddQuotes&amp;amp;gt;True&amp;amp;lt;/AddQuotes&amp;amp;gt;&amp;amp;lt;DateFormat&amp;amp;gt;None&amp;amp;lt;/DateFormat&amp;amp;gt;&amp;amp;lt;RightHandSideExpression xml:space=&amp;amp;quot;preserve&amp;'"</definedName>
    <definedName name="_AMO_ContentDefinition_316789590.1326" hidden="1">"'amp;quot;&amp;amp;gt;MFPR01002238&amp;amp;lt;/RightHandSideExpression&amp;amp;gt;&amp;amp;lt;IsSubquery&amp;amp;gt;False&amp;amp;lt;/IsSubquery&amp;amp;gt;&amp;amp;lt;SubqueryTemplateName /&amp;amp;gt;&amp;amp;lt;/RHSItem&amp;amp;gt;&amp;amp;lt;RHSItem&amp;amp;gt;&amp;amp;lt;RHSType&amp;amp;gt;EXPRESSION&amp;amp;l'"</definedName>
    <definedName name="_AMO_ContentDefinition_316789590.1327" hidden="1">"'t;/RHSType&amp;amp;gt;&amp;amp;lt;AddQuotes&amp;amp;gt;True&amp;amp;lt;/AddQuotes&amp;amp;gt;&amp;amp;lt;DateFormat&amp;amp;gt;None&amp;amp;lt;/DateFormat&amp;amp;gt;&amp;amp;lt;RightHandSideExpression xml:space=&amp;amp;quot;preserve&amp;amp;quot;&amp;amp;gt;MFPR01002239&amp;amp;lt;/RightHandSideExpressio'"</definedName>
    <definedName name="_AMO_ContentDefinition_316789590.1328"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316789590.1329" hidden="1">"'uotes&amp;amp;gt;&amp;amp;lt;DateFormat&amp;amp;gt;None&amp;amp;lt;/DateFormat&amp;amp;gt;&amp;amp;lt;RightHandSideExpression xml:space=&amp;amp;quot;preserve&amp;amp;quot;&amp;amp;gt;MFPR01002241&amp;amp;lt;/RightHandSideExpression&amp;amp;gt;&amp;amp;lt;IsSubquery&amp;amp;gt;False&amp;amp;lt;/IsSubquery&amp;'"</definedName>
    <definedName name="_AMO_ContentDefinition_316789590.133" hidden="1">"'D;&amp;amp;#xA;'MFPR01000298',&amp;amp;#xD;&amp;amp;#xA;'MFPR01000299',&amp;amp;#xD;&amp;amp;#xA;'MFPR01000300',&amp;amp;#xD;&amp;amp;#xA;'MFPR01000301',&amp;amp;#xD;&amp;amp;#xA;'MFPR01000302',&amp;amp;#xD;&amp;amp;#xA;'MFPR01000304',&amp;amp;#xD;&amp;amp;#xA;'MFPR01000305',&amp;amp;#xD;&amp;amp;#xA;'MFPR0100'"</definedName>
    <definedName name="_AMO_ContentDefinition_316789590.1330"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316789590.1331" hidden="1">"'at&amp;amp;gt;&amp;amp;lt;RightHandSideExpression xml:space=&amp;amp;quot;preserve&amp;amp;quot;&amp;amp;gt;MFPR01002242&amp;amp;lt;/RightHandSideExpression&amp;amp;gt;&amp;amp;lt;IsSubquery&amp;amp;gt;False&amp;amp;lt;/IsSubquery&amp;amp;gt;&amp;amp;lt;SubqueryTemplateName /&amp;amp;gt;&amp;amp;lt;/RHSIte'"</definedName>
    <definedName name="_AMO_ContentDefinition_316789590.1332" hidden="1">"'m&amp;amp;gt;&amp;amp;lt;RHSItem&amp;amp;gt;&amp;amp;lt;RHSType&amp;amp;gt;EXPRESSION&amp;amp;lt;/RHSType&amp;amp;gt;&amp;amp;lt;AddQuotes&amp;amp;gt;True&amp;amp;lt;/AddQuotes&amp;amp;gt;&amp;amp;lt;DateFormat&amp;amp;gt;None&amp;amp;lt;/DateFormat&amp;amp;gt;&amp;amp;lt;RightHandSideExpression xml:space=&amp;amp;quo'"</definedName>
    <definedName name="_AMO_ContentDefinition_316789590.1333" hidden="1">"'t;preserve&amp;amp;quot;&amp;amp;gt;MFPR01002243&amp;amp;lt;/RightHandSideExpression&amp;amp;gt;&amp;amp;lt;IsSubquery&amp;amp;gt;False&amp;amp;lt;/IsSubquery&amp;amp;gt;&amp;amp;lt;SubqueryTemplateName /&amp;amp;gt;&amp;amp;lt;/RHSItem&amp;amp;gt;&amp;amp;lt;RHSItem&amp;amp;gt;&amp;amp;lt;RHSType&amp;amp;gt;EXPRE'"</definedName>
    <definedName name="_AMO_ContentDefinition_316789590.1334" hidden="1">"'SSION&amp;amp;lt;/RHSType&amp;amp;gt;&amp;amp;lt;AddQuotes&amp;amp;gt;True&amp;amp;lt;/AddQuotes&amp;amp;gt;&amp;amp;lt;DateFormat&amp;amp;gt;None&amp;amp;lt;/DateFormat&amp;amp;gt;&amp;amp;lt;RightHandSideExpression xml:space=&amp;amp;quot;preserve&amp;amp;quot;&amp;amp;gt;MFPR01002244&amp;amp;lt;/RightHandSi'"</definedName>
    <definedName name="_AMO_ContentDefinition_316789590.1335"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316789590.1336" hidden="1">"'mp;lt;/AddQuotes&amp;amp;gt;&amp;amp;lt;DateFormat&amp;amp;gt;None&amp;amp;lt;/DateFormat&amp;amp;gt;&amp;amp;lt;RightHandSideExpression xml:space=&amp;amp;quot;preserve&amp;amp;quot;&amp;amp;gt;MFPR01002249&amp;amp;lt;/RightHandSideExpression&amp;amp;gt;&amp;amp;lt;IsSubquery&amp;amp;gt;False&amp;amp;lt;/'"</definedName>
    <definedName name="_AMO_ContentDefinition_316789590.1337"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316789590.1338" hidden="1">"'t;/DateFormat&amp;amp;gt;&amp;amp;lt;RightHandSideExpression xml:space=&amp;amp;quot;preserve&amp;amp;quot;&amp;amp;gt;MFPR01002255&amp;amp;lt;/RightHandSideExpression&amp;amp;gt;&amp;amp;lt;IsSubquery&amp;amp;gt;False&amp;amp;lt;/IsSubquery&amp;amp;gt;&amp;amp;lt;SubqueryTemplateName /&amp;amp;gt;&amp;amp'"</definedName>
    <definedName name="_AMO_ContentDefinition_316789590.1339" hidden="1">"';lt;/RHSItem&amp;amp;gt;&amp;amp;lt;RHSItem&amp;amp;gt;&amp;amp;lt;RHSType&amp;amp;gt;EXPRESSION&amp;amp;lt;/RHSType&amp;amp;gt;&amp;amp;lt;AddQuotes&amp;amp;gt;True&amp;amp;lt;/AddQuotes&amp;amp;gt;&amp;amp;lt;DateFormat&amp;amp;gt;None&amp;amp;lt;/DateFormat&amp;amp;gt;&amp;amp;lt;RightHandSideExpression xml:spa'"</definedName>
    <definedName name="_AMO_ContentDefinition_316789590.134" hidden="1">"'0306',&amp;amp;#xD;&amp;amp;#xA;'MFPR01000307',&amp;amp;#xD;&amp;amp;#xA;'MFPR01000450',&amp;amp;#xD;&amp;amp;#xA;'MFPR01000451',&amp;amp;#xD;&amp;amp;#xA;'MFPR01000452',&amp;amp;#xD;&amp;amp;#xA;'MFPR01000454',&amp;amp;#xD;&amp;amp;#xA;'MFPR01000455',&amp;amp;#xD;&amp;amp;#xA;'MFPR01000456',&amp;amp;#xD;&amp;amp;'"</definedName>
    <definedName name="_AMO_ContentDefinition_316789590.1340" hidden="1">"'ce=&amp;amp;quot;preserve&amp;amp;quot;&amp;amp;gt;MFPR01002259&amp;amp;lt;/RightHandSideExpression&amp;amp;gt;&amp;amp;lt;IsSubquery&amp;amp;gt;False&amp;amp;lt;/IsSubquery&amp;amp;gt;&amp;amp;lt;SubqueryTemplateName /&amp;amp;gt;&amp;amp;lt;/RHSItem&amp;amp;gt;&amp;amp;lt;RHSItem&amp;amp;gt;&amp;amp;lt;RHSType&amp;a'"</definedName>
    <definedName name="_AMO_ContentDefinition_316789590.1341" hidden="1">"'mp;gt;EXPRESSION&amp;amp;lt;/RHSType&amp;amp;gt;&amp;amp;lt;AddQuotes&amp;amp;gt;True&amp;amp;lt;/AddQuotes&amp;amp;gt;&amp;amp;lt;DateFormat&amp;amp;gt;None&amp;amp;lt;/DateFormat&amp;amp;gt;&amp;amp;lt;RightHandSideExpression xml:space=&amp;amp;quot;preserve&amp;amp;quot;&amp;amp;gt;MFPR01002260&amp;amp;lt;/'"</definedName>
    <definedName name="_AMO_ContentDefinition_316789590.1342"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316789590.1343" hidden="1">"'p;gt;True&amp;amp;lt;/AddQuotes&amp;amp;gt;&amp;amp;lt;DateFormat&amp;amp;gt;None&amp;amp;lt;/DateFormat&amp;amp;gt;&amp;amp;lt;RightHandSideExpression xml:space=&amp;amp;quot;preserve&amp;amp;quot;&amp;amp;gt;MFPR01002261&amp;amp;lt;/RightHandSideExpression&amp;amp;gt;&amp;amp;lt;IsSubquery&amp;amp;gt;Fal'"</definedName>
    <definedName name="_AMO_ContentDefinition_316789590.1344"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1345" hidden="1">"';None&amp;amp;lt;/DateFormat&amp;amp;gt;&amp;amp;lt;RightHandSideExpression xml:space=&amp;amp;quot;preserve&amp;amp;quot;&amp;amp;gt;MFPR01002269&amp;amp;lt;/RightHandSideExpression&amp;amp;gt;&amp;amp;lt;IsSubquery&amp;amp;gt;False&amp;amp;lt;/IsSubquery&amp;amp;gt;&amp;amp;lt;SubqueryTemplateName /&amp;'"</definedName>
    <definedName name="_AMO_ContentDefinition_316789590.1346"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316789590.1347" hidden="1">"'ion xml:space=&amp;amp;quot;preserve&amp;amp;quot;&amp;amp;gt;MFPR01002280&amp;amp;lt;/RightHandSideExpression&amp;amp;gt;&amp;amp;lt;IsSubquery&amp;amp;gt;False&amp;amp;lt;/IsSubquery&amp;amp;gt;&amp;amp;lt;SubqueryTemplateName /&amp;amp;gt;&amp;amp;lt;/RHSItem&amp;amp;gt;&amp;amp;lt;RHSItem&amp;amp;gt;&amp;amp;l'"</definedName>
    <definedName name="_AMO_ContentDefinition_316789590.1348" hidden="1">"'t;RHSType&amp;amp;gt;EXPRESSION&amp;amp;lt;/RHSType&amp;amp;gt;&amp;amp;lt;AddQuotes&amp;amp;gt;True&amp;amp;lt;/AddQuotes&amp;amp;gt;&amp;amp;lt;DateFormat&amp;amp;gt;None&amp;amp;lt;/DateFormat&amp;amp;gt;&amp;amp;lt;RightHandSideExpression xml:space=&amp;amp;quot;preserve&amp;amp;quot;&amp;amp;gt;MFPR010022'"</definedName>
    <definedName name="_AMO_ContentDefinition_316789590.1349" hidden="1">"'81&amp;amp;lt;/RightHandSideExpression&amp;amp;gt;&amp;amp;lt;IsSubquery&amp;amp;gt;False&amp;amp;lt;/IsSubquery&amp;amp;gt;&amp;amp;lt;SubqueryTemplateName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316789590.135" hidden="1">"'#xA;'MFPR01000457',&amp;amp;#xD;&amp;amp;#xA;'MFPR01000461',&amp;amp;#xD;&amp;amp;#xA;'MFPR01000467',&amp;amp;#xD;&amp;amp;#xA;'MFPR01000471',&amp;amp;#xD;&amp;amp;#xA;'MFPR01000472',&amp;amp;#xD;&amp;amp;#xA;'MFPR01000476',&amp;amp;#xD;&amp;amp;#xA;'MFPR01000477',&amp;amp;#xD;&amp;amp;#xA;'MFPR01000478',&amp;'"</definedName>
    <definedName name="_AMO_ContentDefinition_316789590.1350" hidden="1">"'ddQuotes&amp;amp;gt;True&amp;amp;lt;/AddQuotes&amp;amp;gt;&amp;amp;lt;DateFormat&amp;amp;gt;None&amp;amp;lt;/DateFormat&amp;amp;gt;&amp;amp;lt;RightHandSideExpression xml:space=&amp;amp;quot;preserve&amp;amp;quot;&amp;amp;gt;MFPR01002282&amp;amp;lt;/RightHandSideExpression&amp;amp;gt;&amp;amp;lt;IsSubquery'"</definedName>
    <definedName name="_AMO_ContentDefinition_316789590.1351"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316789590.1352" hidden="1">"'rmat&amp;amp;gt;None&amp;amp;lt;/DateFormat&amp;amp;gt;&amp;amp;lt;RightHandSideExpression xml:space=&amp;amp;quot;preserve&amp;amp;quot;&amp;amp;gt;MFPR01002284&amp;amp;lt;/RightHandSideExpression&amp;amp;gt;&amp;amp;lt;IsSubquery&amp;amp;gt;False&amp;amp;lt;/IsSubquery&amp;amp;gt;&amp;amp;lt;SubqueryTemp'"</definedName>
    <definedName name="_AMO_ContentDefinition_316789590.1353"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316789590.1354" hidden="1">"'SideExpression xml:space=&amp;amp;quot;preserve&amp;amp;quot;&amp;amp;gt;MFPR01002285&amp;amp;lt;/RightHandSideExpression&amp;amp;gt;&amp;amp;lt;IsSubquery&amp;amp;gt;False&amp;amp;lt;/IsSubquery&amp;amp;gt;&amp;amp;lt;SubqueryTemplateName /&amp;amp;gt;&amp;amp;lt;/RHSItem&amp;amp;gt;&amp;amp;lt;RHSItem&amp;am'"</definedName>
    <definedName name="_AMO_ContentDefinition_316789590.1355"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1356" hidden="1">"';MFPR01002286&amp;amp;lt;/RightHandSideExpression&amp;amp;gt;&amp;amp;lt;IsSubquery&amp;amp;gt;False&amp;amp;lt;/IsSubquery&amp;amp;gt;&amp;amp;lt;SubqueryTemplateName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316789590.1357" hidden="1">"'t;&amp;amp;lt;AddQuotes&amp;amp;gt;True&amp;amp;lt;/AddQuotes&amp;amp;gt;&amp;amp;lt;DateFormat&amp;amp;gt;None&amp;amp;lt;/DateFormat&amp;amp;gt;&amp;amp;lt;RightHandSideExpression xml:space=&amp;amp;quot;preserve&amp;amp;quot;&amp;amp;gt;MFPR01002287&amp;amp;lt;/RightHandSideExpression&amp;amp;gt;&amp;amp;lt'"</definedName>
    <definedName name="_AMO_ContentDefinition_316789590.1358"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316789590.1359" hidden="1">"'p;lt;DateFormat&amp;amp;gt;None&amp;amp;lt;/DateFormat&amp;amp;gt;&amp;amp;lt;RightHandSideExpression xml:space=&amp;amp;quot;preserve&amp;amp;quot;&amp;amp;gt;MFPR01002292&amp;amp;lt;/RightHandSideExpression&amp;amp;gt;&amp;amp;lt;IsSubquery&amp;amp;gt;False&amp;amp;lt;/IsSubquery&amp;amp;gt;&amp;amp;lt;S'"</definedName>
    <definedName name="_AMO_ContentDefinition_316789590.136" hidden="1">"'amp;#xD;&amp;amp;#xA;'MFPR01000480',&amp;amp;#xD;&amp;amp;#xA;'MFPR01000481',&amp;amp;#xD;&amp;amp;#xA;'MFPR01000482',&amp;amp;#xD;&amp;amp;#xA;'MFPR01000483',&amp;amp;#xD;&amp;amp;#xA;'MFPR01000487',&amp;amp;#xD;&amp;amp;#xA;'MFPR01000494',&amp;amp;#xD;&amp;amp;#xA;'MFPR01000498',&amp;amp;#xD;&amp;amp;#xA;'MF'"</definedName>
    <definedName name="_AMO_ContentDefinition_316789590.1360"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316789590.1361" hidden="1">"'t;RightHandSideExpression xml:space=&amp;amp;quot;preserve&amp;amp;quot;&amp;amp;gt;MFPR01002298&amp;amp;lt;/RightHandSideExpression&amp;amp;gt;&amp;amp;lt;IsSubquery&amp;amp;gt;False&amp;amp;lt;/IsSubquery&amp;amp;gt;&amp;amp;lt;SubqueryTemplateName /&amp;amp;gt;&amp;amp;lt;/RHSItem&amp;amp;gt;&amp;amp;lt'"</definedName>
    <definedName name="_AMO_ContentDefinition_316789590.1362" hidden="1">"';RHSItem&amp;amp;gt;&amp;amp;lt;RHSType&amp;amp;gt;EXPRESSION&amp;amp;lt;/RHSType&amp;amp;gt;&amp;amp;lt;AddQuotes&amp;amp;gt;True&amp;amp;lt;/AddQuotes&amp;amp;gt;&amp;amp;lt;DateFormat&amp;amp;gt;None&amp;amp;lt;/DateFormat&amp;amp;gt;&amp;amp;lt;RightHandSideExpression xml:space=&amp;amp;quot;preserve&amp;amp;q'"</definedName>
    <definedName name="_AMO_ContentDefinition_316789590.1363" hidden="1">"'uot;&amp;amp;gt;MFPR01002302&amp;amp;lt;/RightHandSideExpression&amp;amp;gt;&amp;amp;lt;IsSubquery&amp;amp;gt;False&amp;amp;lt;/IsSubquery&amp;amp;gt;&amp;amp;lt;SubqueryTemplateName /&amp;amp;gt;&amp;amp;lt;/RHSItem&amp;amp;gt;&amp;amp;lt;RHSItem&amp;amp;gt;&amp;amp;lt;RHSType&amp;amp;gt;EXPRESSION&amp;amp;lt;/RH'"</definedName>
    <definedName name="_AMO_ContentDefinition_316789590.1364" hidden="1">"'SType&amp;amp;gt;&amp;amp;lt;AddQuotes&amp;amp;gt;True&amp;amp;lt;/AddQuotes&amp;amp;gt;&amp;amp;lt;DateFormat&amp;amp;gt;None&amp;amp;lt;/DateFormat&amp;amp;gt;&amp;amp;lt;RightHandSideExpression xml:space=&amp;amp;quot;preserve&amp;amp;quot;&amp;amp;gt;MFPR01002303&amp;amp;lt;/RightHandSideExpression&amp;amp'"</definedName>
    <definedName name="_AMO_ContentDefinition_316789590.1365"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316789590.1366" hidden="1">"'&amp;amp;gt;&amp;amp;lt;DateFormat&amp;amp;gt;None&amp;amp;lt;/DateFormat&amp;amp;gt;&amp;amp;lt;RightHandSideExpression xml:space=&amp;amp;quot;preserve&amp;amp;quot;&amp;amp;gt;MFPR01002307&amp;amp;lt;/RightHandSideExpression&amp;amp;gt;&amp;amp;lt;IsSubquery&amp;amp;gt;False&amp;amp;lt;/IsSubquery&amp;amp;g'"</definedName>
    <definedName name="_AMO_ContentDefinition_316789590.1367"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316789590.1368" hidden="1">"'p;gt;&amp;amp;lt;RightHandSideExpression xml:space=&amp;amp;quot;preserve&amp;amp;quot;&amp;amp;gt;MFPR01002308&amp;amp;lt;/RightHandSideExpression&amp;amp;gt;&amp;amp;lt;IsSubquery&amp;amp;gt;False&amp;amp;lt;/IsSubquery&amp;amp;gt;&amp;amp;lt;SubqueryTemplateName /&amp;amp;gt;&amp;amp;lt;/RHSItem&amp;amp'"</definedName>
    <definedName name="_AMO_ContentDefinition_316789590.1369" hidden="1">"';gt;&amp;amp;lt;RHSItem&amp;amp;gt;&amp;amp;lt;RHSType&amp;amp;gt;EXPRESSION&amp;amp;lt;/RHSType&amp;amp;gt;&amp;amp;lt;AddQuotes&amp;amp;gt;True&amp;amp;lt;/AddQuotes&amp;amp;gt;&amp;amp;lt;DateFormat&amp;amp;gt;None&amp;amp;lt;/DateFormat&amp;amp;gt;&amp;amp;lt;RightHandSideExpression xml:space=&amp;amp;quot;pre'"</definedName>
    <definedName name="_AMO_ContentDefinition_316789590.137" hidden="1">"'PR01000499',&amp;amp;#xD;&amp;amp;#xA;'MFPR01000500',&amp;amp;#xD;&amp;amp;#xA;'MFPR01000508',&amp;amp;#xD;&amp;amp;#xA;'MFPR01000519',&amp;amp;#xD;&amp;amp;#xA;'MFPR01000520',&amp;amp;#xD;&amp;amp;#xA;'MFPR01000521',&amp;amp;#xD;&amp;amp;#xA;'MFPR01000523',&amp;amp;#xD;&amp;amp;#xA;'MFPR01000524',&amp;amp;#xD'"</definedName>
    <definedName name="_AMO_ContentDefinition_316789590.1370" hidden="1">"'serve&amp;amp;quot;&amp;amp;gt;MFPR01002309&amp;amp;lt;/RightHandSideExpression&amp;amp;gt;&amp;amp;lt;IsSubquery&amp;amp;gt;False&amp;amp;lt;/IsSubquery&amp;amp;gt;&amp;amp;lt;SubqueryTemplateName /&amp;amp;gt;&amp;amp;lt;/RHSItem&amp;amp;gt;&amp;amp;lt;RHSItem&amp;amp;gt;&amp;amp;lt;RHSType&amp;amp;gt;EXPRESSION'"</definedName>
    <definedName name="_AMO_ContentDefinition_316789590.1371" hidden="1">"'&amp;amp;lt;/RHSType&amp;amp;gt;&amp;amp;lt;AddQuotes&amp;amp;gt;True&amp;amp;lt;/AddQuotes&amp;amp;gt;&amp;amp;lt;DateFormat&amp;amp;gt;None&amp;amp;lt;/DateFormat&amp;amp;gt;&amp;amp;lt;RightHandSideExpression xml:space=&amp;amp;quot;preserve&amp;amp;quot;&amp;amp;gt;MFPR01002311&amp;amp;lt;/RightHandSideExp'"</definedName>
    <definedName name="_AMO_ContentDefinition_316789590.1372"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1373" hidden="1">"';/AddQuotes&amp;amp;gt;&amp;amp;lt;DateFormat&amp;amp;gt;None&amp;amp;lt;/DateFormat&amp;amp;gt;&amp;amp;lt;RightHandSideExpression xml:space=&amp;amp;quot;preserve&amp;amp;quot;&amp;amp;gt;MFPR01002312&amp;amp;lt;/RightHandSideExpression&amp;amp;gt;&amp;amp;lt;IsSubquery&amp;amp;gt;False&amp;amp;lt;/IsSub'"</definedName>
    <definedName name="_AMO_ContentDefinition_316789590.1374"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316789590.1375" hidden="1">"'teFormat&amp;amp;gt;&amp;amp;lt;RightHandSideExpression xml:space=&amp;amp;quot;preserve&amp;amp;quot;&amp;amp;gt;MFPR01002313&amp;amp;lt;/RightHandSideExpression&amp;amp;gt;&amp;amp;lt;IsSubquery&amp;amp;gt;False&amp;amp;lt;/IsSubquery&amp;amp;gt;&amp;amp;lt;SubqueryTemplateName /&amp;amp;gt;&amp;amp;lt;/'"</definedName>
    <definedName name="_AMO_ContentDefinition_316789590.1376" hidden="1">"'RHSItem&amp;amp;gt;&amp;amp;lt;RHSItem&amp;amp;gt;&amp;amp;lt;RHSType&amp;amp;gt;EXPRESSION&amp;amp;lt;/RHSType&amp;amp;gt;&amp;amp;lt;AddQuotes&amp;amp;gt;True&amp;amp;lt;/AddQuotes&amp;amp;gt;&amp;amp;lt;DateFormat&amp;amp;gt;None&amp;amp;lt;/DateFormat&amp;amp;gt;&amp;amp;lt;RightHandSideExpression xml:space=&amp;a'"</definedName>
    <definedName name="_AMO_ContentDefinition_316789590.1377" hidden="1">"'mp;quot;preserve&amp;amp;quot;&amp;amp;gt;MFPR01002314&amp;amp;lt;/RightHandSideExpression&amp;amp;gt;&amp;amp;lt;IsSubquery&amp;amp;gt;False&amp;amp;lt;/IsSubquery&amp;amp;gt;&amp;amp;lt;SubqueryTemplateName /&amp;amp;gt;&amp;amp;lt;/RHSItem&amp;amp;gt;&amp;amp;lt;RHSItem&amp;amp;gt;&amp;amp;lt;RHSType&amp;amp;gt'"</definedName>
    <definedName name="_AMO_ContentDefinition_316789590.1378" hidden="1">"';EXPRESSION&amp;amp;lt;/RHSType&amp;amp;gt;&amp;amp;lt;AddQuotes&amp;amp;gt;True&amp;amp;lt;/AddQuotes&amp;amp;gt;&amp;amp;lt;DateFormat&amp;amp;gt;None&amp;amp;lt;/DateFormat&amp;amp;gt;&amp;amp;lt;RightHandSideExpression xml:space=&amp;amp;quot;preserve&amp;amp;quot;&amp;amp;gt;MFPR01002319&amp;amp;lt;/Right'"</definedName>
    <definedName name="_AMO_ContentDefinition_316789590.1379"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316789590.138" hidden="1">"';&amp;amp;#xA;'MFPR01000525',&amp;amp;#xD;&amp;amp;#xA;'MFPR01000526',&amp;amp;#xD;&amp;amp;#xA;'MFPR01000530',&amp;amp;#xD;&amp;amp;#xA;'MFPR01000536',&amp;amp;#xD;&amp;amp;#xA;'MFPR01000540',&amp;amp;#xD;&amp;amp;#xA;'MFPR01000541',&amp;amp;#xD;&amp;amp;#xA;'MFPR01000545',&amp;amp;#xD;&amp;amp;#xA;'MFPR01000'"</definedName>
    <definedName name="_AMO_ContentDefinition_316789590.1380" hidden="1">"'True&amp;amp;lt;/AddQuotes&amp;amp;gt;&amp;amp;lt;DateFormat&amp;amp;gt;None&amp;amp;lt;/DateFormat&amp;amp;gt;&amp;amp;lt;RightHandSideExpression xml:space=&amp;amp;quot;preserve&amp;amp;quot;&amp;amp;gt;MFPR01002325&amp;amp;lt;/RightHandSideExpression&amp;amp;gt;&amp;amp;lt;IsSubquery&amp;amp;gt;False&amp;am'"</definedName>
    <definedName name="_AMO_ContentDefinition_316789590.1381"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316789590.1382" hidden="1">"'&amp;amp;lt;/DateFormat&amp;amp;gt;&amp;amp;lt;RightHandSideExpression xml:space=&amp;amp;quot;preserve&amp;amp;quot;&amp;amp;gt;MFPR01002329&amp;amp;lt;/RightHandSideExpression&amp;amp;gt;&amp;amp;lt;IsSubquery&amp;amp;gt;False&amp;amp;lt;/IsSubquery&amp;amp;gt;&amp;amp;lt;SubqueryTemplateName /&amp;amp;g'"</definedName>
    <definedName name="_AMO_ContentDefinition_316789590.1383" hidden="1">"'t;&amp;amp;lt;/RHSItem&amp;amp;gt;&amp;amp;lt;RHSItem&amp;amp;gt;&amp;amp;lt;RHSType&amp;amp;gt;EXPRESSION&amp;amp;lt;/RHSType&amp;amp;gt;&amp;amp;lt;AddQuotes&amp;amp;gt;True&amp;amp;lt;/AddQuotes&amp;amp;gt;&amp;amp;lt;DateFormat&amp;amp;gt;None&amp;amp;lt;/DateFormat&amp;amp;gt;&amp;amp;lt;RightHandSideExpression x'"</definedName>
    <definedName name="_AMO_ContentDefinition_316789590.1384" hidden="1">"'ml:space=&amp;amp;quot;preserve&amp;amp;quot;&amp;amp;gt;MFPR01002330&amp;amp;lt;/RightHandSideExpression&amp;amp;gt;&amp;amp;lt;IsSubquery&amp;amp;gt;False&amp;amp;lt;/IsSubquery&amp;amp;gt;&amp;amp;lt;SubqueryTemplateName /&amp;amp;gt;&amp;amp;lt;/RHSItem&amp;amp;gt;&amp;amp;lt;RHSItem&amp;amp;gt;&amp;amp;lt;RHS'"</definedName>
    <definedName name="_AMO_ContentDefinition_316789590.1385" hidden="1">"'Type&amp;amp;gt;EXPRESSION&amp;amp;lt;/RHSType&amp;amp;gt;&amp;amp;lt;AddQuotes&amp;amp;gt;True&amp;amp;lt;/AddQuotes&amp;amp;gt;&amp;amp;lt;DateFormat&amp;amp;gt;None&amp;amp;lt;/DateFormat&amp;amp;gt;&amp;amp;lt;RightHandSideExpression xml:space=&amp;amp;quot;preserve&amp;amp;quot;&amp;amp;gt;MFPR01002331&amp;am'"</definedName>
    <definedName name="_AMO_ContentDefinition_316789590.1386"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316789590.1387" hidden="1">"'tes&amp;amp;gt;True&amp;amp;lt;/AddQuotes&amp;amp;gt;&amp;amp;lt;DateFormat&amp;amp;gt;None&amp;amp;lt;/DateFormat&amp;amp;gt;&amp;amp;lt;RightHandSideExpression xml:space=&amp;amp;quot;preserve&amp;amp;quot;&amp;amp;gt;MFPR01002339&amp;amp;lt;/RightHandSideExpression&amp;amp;gt;&amp;amp;lt;IsSubquery&amp;amp;'"</definedName>
    <definedName name="_AMO_ContentDefinition_316789590.1388"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316789590.1389" hidden="1">"'amp;gt;None&amp;amp;lt;/DateFormat&amp;amp;gt;&amp;amp;lt;RightHandSideExpression xml:space=&amp;amp;quot;preserve&amp;amp;quot;&amp;amp;gt;MFPR01002350&amp;amp;lt;/RightHandSideExpression&amp;amp;gt;&amp;amp;lt;IsSubquery&amp;amp;gt;False&amp;amp;lt;/IsSubquery&amp;amp;gt;&amp;amp;lt;SubqueryTemplateN'"</definedName>
    <definedName name="_AMO_ContentDefinition_316789590.139" hidden="1">"'546',&amp;amp;#xD;&amp;amp;#xA;'MFPR01000547',&amp;amp;#xD;&amp;amp;#xA;'MFPR01000549',&amp;amp;#xD;&amp;amp;#xA;'MFPR01000550',&amp;amp;#xD;&amp;amp;#xA;'MFPR01000551',&amp;amp;#xD;&amp;amp;#xA;'MFPR01000552',&amp;amp;#xD;&amp;amp;#xA;'MFPR01000556',&amp;amp;#xD;&amp;amp;#xA;'MFPR01000563',&amp;amp;#xD;&amp;amp;#'"</definedName>
    <definedName name="_AMO_ContentDefinition_316789590.1390"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316789590.1391" hidden="1">"'xpression xml:space=&amp;amp;quot;preserve&amp;amp;quot;&amp;amp;gt;MFPR01002351&amp;amp;lt;/RightHandSideExpression&amp;amp;gt;&amp;amp;lt;IsSubquery&amp;amp;gt;False&amp;amp;lt;/IsSubquery&amp;amp;gt;&amp;amp;lt;SubqueryTemplateName /&amp;amp;gt;&amp;amp;lt;/RHSItem&amp;amp;gt;&amp;amp;lt;RHSItem&amp;amp;gt;'"</definedName>
    <definedName name="_AMO_ContentDefinition_316789590.1392" hidden="1">"'&amp;amp;lt;RHSType&amp;amp;gt;EXPRESSION&amp;amp;lt;/RHSType&amp;amp;gt;&amp;amp;lt;AddQuotes&amp;amp;gt;True&amp;amp;lt;/AddQuotes&amp;amp;gt;&amp;amp;lt;DateFormat&amp;amp;gt;None&amp;amp;lt;/DateFormat&amp;amp;gt;&amp;amp;lt;RightHandSideExpression xml:space=&amp;amp;quot;preserve&amp;amp;quot;&amp;amp;gt;MFPR'"</definedName>
    <definedName name="_AMO_ContentDefinition_316789590.1393" hidden="1">"'01002352&amp;amp;lt;/RightHandSideExpression&amp;amp;gt;&amp;amp;lt;IsSubquery&amp;amp;gt;False&amp;amp;lt;/IsSubquery&amp;amp;gt;&amp;amp;lt;SubqueryTemplateName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316789590.1394" hidden="1">"'p;lt;AddQuotes&amp;amp;gt;True&amp;amp;lt;/AddQuotes&amp;amp;gt;&amp;amp;lt;DateFormat&amp;amp;gt;None&amp;amp;lt;/DateFormat&amp;amp;gt;&amp;amp;lt;RightHandSideExpression xml:space=&amp;amp;quot;preserve&amp;amp;quot;&amp;amp;gt;MFPR01002354&amp;amp;lt;/RightHandSideExpression&amp;amp;gt;&amp;amp;lt;IsSu'"</definedName>
    <definedName name="_AMO_ContentDefinition_316789590.1395"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316789590.1396" hidden="1">"'DateFormat&amp;amp;gt;None&amp;amp;lt;/DateFormat&amp;amp;gt;&amp;amp;lt;RightHandSideExpression xml:space=&amp;amp;quot;preserve&amp;amp;quot;&amp;amp;gt;MFPR01002355&amp;amp;lt;/RightHandSideExpression&amp;amp;gt;&amp;amp;lt;IsSubquery&amp;amp;gt;False&amp;amp;lt;/IsSubquery&amp;amp;gt;&amp;amp;lt;Subque'"</definedName>
    <definedName name="_AMO_ContentDefinition_316789590.1397"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316789590.1398" hidden="1">"'htHandSideExpression xml:space=&amp;amp;quot;preserve&amp;amp;quot;&amp;amp;gt;MFPR01002356&amp;amp;lt;/RightHandSideExpression&amp;amp;gt;&amp;amp;lt;IsSubquery&amp;amp;gt;False&amp;amp;lt;/IsSubquery&amp;amp;gt;&amp;amp;lt;SubqueryTemplateName /&amp;amp;gt;&amp;amp;lt;/RHSItem&amp;amp;gt;&amp;amp;lt;RHSI'"</definedName>
    <definedName name="_AMO_ContentDefinition_316789590.1399" hidden="1">"'tem&amp;amp;gt;&amp;amp;lt;RHSType&amp;amp;gt;EXPRESSION&amp;amp;lt;/RHSType&amp;amp;gt;&amp;amp;lt;AddQuotes&amp;amp;gt;True&amp;amp;lt;/AddQuotes&amp;amp;gt;&amp;amp;lt;DateFormat&amp;amp;gt;None&amp;amp;lt;/DateFormat&amp;amp;gt;&amp;amp;lt;RightHandSideExpression xml:space=&amp;amp;quot;preserve&amp;amp;quot;&amp;'"</definedName>
    <definedName name="_AMO_ContentDefinition_316789590.14" hidden="1">"'0498',&amp;#xD;&amp;#xA;'MFPR01000499',&amp;#xD;&amp;#xA;'MFPR01000500',&amp;#xD;&amp;#xA;'MFPR01000508',&amp;#xD;&amp;#xA;'MFPR01000519',&amp;#xD;&amp;#xA;'MFPR01000520',&amp;#xD;&amp;#xA;'MFPR01000521',&amp;#xD;&amp;#xA;'MFPR01000523',&amp;#xD;&amp;#xA;'MFPR01000524',&amp;#xD;&amp;#xA;'MFPR01000525',&amp;#xD;&amp;#xA;'MFPR01000'"</definedName>
    <definedName name="_AMO_ContentDefinition_316789590.140" hidden="1">"'xA;'MFPR01000567',&amp;amp;#xD;&amp;amp;#xA;'MFPR01000568',&amp;amp;#xD;&amp;amp;#xA;'MFPR01000569',&amp;amp;#xD;&amp;amp;#xA;'MFPR01000577',&amp;amp;#xD;&amp;amp;#xA;'MFPR01000588',&amp;amp;#xD;&amp;amp;#xA;'MFPR01000589',&amp;amp;#xD;&amp;amp;#xA;'MFPR01000590',&amp;amp;#xD;&amp;amp;#xA;'MFPR01000592',&amp;a'"</definedName>
    <definedName name="_AMO_ContentDefinition_316789590.1400" hidden="1">"'amp;gt;MFPR01002357&amp;amp;lt;/RightHandSideExpression&amp;amp;gt;&amp;amp;lt;IsSubquery&amp;amp;gt;False&amp;amp;lt;/IsSubquery&amp;amp;gt;&amp;amp;lt;SubqueryTemplateName /&amp;amp;gt;&amp;amp;lt;/RHSItem&amp;amp;gt;&amp;amp;lt;RHSItem&amp;amp;gt;&amp;amp;lt;RHSType&amp;amp;gt;EXPRESSION&amp;amp;lt;/RHSType'"</definedName>
    <definedName name="_AMO_ContentDefinition_316789590.1401" hidden="1">"'&amp;amp;gt;&amp;amp;lt;AddQuotes&amp;amp;gt;True&amp;amp;lt;/AddQuotes&amp;amp;gt;&amp;amp;lt;DateFormat&amp;amp;gt;None&amp;amp;lt;/DateFormat&amp;amp;gt;&amp;amp;lt;RightHandSideExpression xml:space=&amp;amp;quot;preserve&amp;amp;quot;&amp;amp;gt;MFPR01002362&amp;amp;lt;/RightHandSideExpression&amp;amp;gt;&amp;'"</definedName>
    <definedName name="_AMO_ContentDefinition_316789590.1402"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316789590.1403" hidden="1">"'gt;&amp;amp;lt;DateFormat&amp;amp;gt;None&amp;amp;lt;/DateFormat&amp;amp;gt;&amp;amp;lt;RightHandSideExpression xml:space=&amp;amp;quot;preserve&amp;amp;quot;&amp;amp;gt;MFPR01002368&amp;amp;lt;/RightHandSideExpression&amp;amp;gt;&amp;amp;lt;IsSubquery&amp;amp;gt;False&amp;amp;lt;/IsSubquery&amp;amp;gt;&amp;am'"</definedName>
    <definedName name="_AMO_ContentDefinition_316789590.1404"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316789590.1405" hidden="1">"'&amp;amp;lt;RightHandSideExpression xml:space=&amp;amp;quot;preserve&amp;amp;quot;&amp;amp;gt;MFPR01002372&amp;amp;lt;/RightHandSideExpression&amp;amp;gt;&amp;amp;lt;IsSubquery&amp;amp;gt;False&amp;amp;lt;/IsSubquery&amp;amp;gt;&amp;amp;lt;SubqueryTemplateName /&amp;amp;gt;&amp;amp;lt;/RHSItem&amp;amp;gt;&amp;'"</definedName>
    <definedName name="_AMO_ContentDefinition_316789590.1406"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316789590.1407" hidden="1">"'&amp;amp;quot;&amp;amp;gt;MFPR01002373&amp;amp;lt;/RightHandSideExpression&amp;amp;gt;&amp;amp;lt;IsSubquery&amp;amp;gt;False&amp;amp;lt;/IsSubquery&amp;amp;gt;&amp;amp;lt;SubqueryTemplateName /&amp;amp;gt;&amp;amp;lt;/RHSItem&amp;amp;gt;&amp;amp;lt;RHSItem&amp;amp;gt;&amp;amp;lt;RHSType&amp;amp;gt;EXPRESSION&amp;amp;'"</definedName>
    <definedName name="_AMO_ContentDefinition_316789590.1408" hidden="1">"'lt;/RHSType&amp;amp;gt;&amp;amp;lt;AddQuotes&amp;amp;gt;True&amp;amp;lt;/AddQuotes&amp;amp;gt;&amp;amp;lt;DateFormat&amp;amp;gt;None&amp;amp;lt;/DateFormat&amp;amp;gt;&amp;amp;lt;RightHandSideExpression xml:space=&amp;amp;quot;preserve&amp;amp;quot;&amp;amp;gt;MFPR01002377&amp;amp;lt;/RightHandSideExpressi'"</definedName>
    <definedName name="_AMO_ContentDefinition_316789590.1409"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316789590.141" hidden="1">"'mp;#xD;&amp;amp;#xA;'MFPR01000593',&amp;amp;#xD;&amp;amp;#xA;'MFPR01000594',&amp;amp;#xD;&amp;amp;#xA;'MFPR01000595',&amp;amp;#xD;&amp;amp;#xA;'MFPR01000599',&amp;amp;#xD;&amp;amp;#xA;'MFPR01000605',&amp;amp;#xD;&amp;amp;#xA;'MFPR01000609',&amp;amp;#xD;&amp;amp;#xA;'MFPR01000610',&amp;amp;#xD;&amp;amp;#xA;'MFP'"</definedName>
    <definedName name="_AMO_ContentDefinition_316789590.1410" hidden="1">"'Quotes&amp;amp;gt;&amp;amp;lt;DateFormat&amp;amp;gt;None&amp;amp;lt;/DateFormat&amp;amp;gt;&amp;amp;lt;RightHandSideExpression xml:space=&amp;amp;quot;preserve&amp;amp;quot;&amp;amp;gt;MFPR01002378&amp;amp;lt;/RightHandSideExpression&amp;amp;gt;&amp;amp;lt;IsSubquery&amp;amp;gt;False&amp;amp;lt;/IsSubquery'"</definedName>
    <definedName name="_AMO_ContentDefinition_316789590.1411"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316789590.1412" hidden="1">"'mat&amp;amp;gt;&amp;amp;lt;RightHandSideExpression xml:space=&amp;amp;quot;preserve&amp;amp;quot;&amp;amp;gt;MFPR01002379&amp;amp;lt;/RightHandSideExpression&amp;amp;gt;&amp;amp;lt;IsSubquery&amp;amp;gt;False&amp;amp;lt;/IsSubquery&amp;amp;gt;&amp;amp;lt;SubqueryTemplateName /&amp;amp;gt;&amp;amp;lt;/RHSIt'"</definedName>
    <definedName name="_AMO_ContentDefinition_316789590.1413" hidden="1">"'em&amp;amp;gt;&amp;amp;lt;RHSItem&amp;amp;gt;&amp;amp;lt;RHSType&amp;amp;gt;EXPRESSION&amp;amp;lt;/RHSType&amp;amp;gt;&amp;amp;lt;AddQuotes&amp;amp;gt;True&amp;amp;lt;/AddQuotes&amp;amp;gt;&amp;amp;lt;DateFormat&amp;amp;gt;None&amp;amp;lt;/DateFormat&amp;amp;gt;&amp;amp;lt;RightHandSideExpression xml:space=&amp;amp;qu'"</definedName>
    <definedName name="_AMO_ContentDefinition_316789590.1414" hidden="1">"'ot;preserve&amp;amp;quot;&amp;amp;gt;MFPR01002381&amp;amp;lt;/RightHandSideExpression&amp;amp;gt;&amp;amp;lt;IsSubquery&amp;amp;gt;False&amp;amp;lt;/IsSubquery&amp;amp;gt;&amp;amp;lt;SubqueryTemplateName /&amp;amp;gt;&amp;amp;lt;/RHSItem&amp;amp;gt;&amp;amp;lt;RHSItem&amp;amp;gt;&amp;amp;lt;RHSType&amp;amp;gt;EXPR'"</definedName>
    <definedName name="_AMO_ContentDefinition_316789590.1415" hidden="1">"'ESSION&amp;amp;lt;/RHSType&amp;amp;gt;&amp;amp;lt;AddQuotes&amp;amp;gt;True&amp;amp;lt;/AddQuotes&amp;amp;gt;&amp;amp;lt;DateFormat&amp;amp;gt;None&amp;amp;lt;/DateFormat&amp;amp;gt;&amp;amp;lt;RightHandSideExpression xml:space=&amp;amp;quot;preserve&amp;amp;quot;&amp;amp;gt;MFPR01002382&amp;amp;lt;/RightHandS'"</definedName>
    <definedName name="_AMO_ContentDefinition_316789590.1416"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316789590.1417" hidden="1">"'amp;lt;/AddQuotes&amp;amp;gt;&amp;amp;lt;DateFormat&amp;amp;gt;None&amp;amp;lt;/DateFormat&amp;amp;gt;&amp;amp;lt;RightHandSideExpression xml:space=&amp;amp;quot;preserve&amp;amp;quot;&amp;amp;gt;MFPR01002383&amp;amp;lt;/RightHandSideExpression&amp;amp;gt;&amp;amp;lt;IsSubquery&amp;amp;gt;False&amp;amp;lt;'"</definedName>
    <definedName name="_AMO_ContentDefinition_316789590.1418"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316789590.1419" hidden="1">"'lt;/DateFormat&amp;amp;gt;&amp;amp;lt;RightHandSideExpression xml:space=&amp;amp;quot;preserve&amp;amp;quot;&amp;amp;gt;MFPR01002384&amp;amp;lt;/RightHandSideExpression&amp;amp;gt;&amp;amp;lt;IsSubquery&amp;amp;gt;False&amp;amp;lt;/IsSubquery&amp;amp;gt;&amp;amp;lt;SubqueryTemplateName /&amp;amp;gt;&amp;am'"</definedName>
    <definedName name="_AMO_ContentDefinition_316789590.142" hidden="1">"'R01000614',&amp;amp;#xD;&amp;amp;#xA;'MFPR01000615',&amp;amp;#xD;&amp;amp;#xA;'MFPR01000616',&amp;amp;#xD;&amp;amp;#xA;'MFPR01000618',&amp;amp;#xD;&amp;amp;#xA;'MFPR01000619',&amp;amp;#xD;&amp;amp;#xA;'MFPR01000620',&amp;amp;#xD;&amp;amp;#xA;'MFPR01000621',&amp;amp;#xD;&amp;amp;#xA;'MFPR01000625',&amp;amp;#xD;'"</definedName>
    <definedName name="_AMO_ContentDefinition_316789590.1420" hidden="1">"'p;lt;/RHSItem&amp;amp;gt;&amp;amp;lt;RHSItem&amp;amp;gt;&amp;amp;lt;RHSType&amp;amp;gt;EXPRESSION&amp;amp;lt;/RHSType&amp;amp;gt;&amp;amp;lt;AddQuotes&amp;amp;gt;True&amp;amp;lt;/AddQuotes&amp;amp;gt;&amp;amp;lt;DateFormat&amp;amp;gt;None&amp;amp;lt;/DateFormat&amp;amp;gt;&amp;amp;lt;RightHandSideExpression xml:sp'"</definedName>
    <definedName name="_AMO_ContentDefinition_316789590.1421" hidden="1">"'ace=&amp;amp;quot;preserve&amp;amp;quot;&amp;amp;gt;MFPR01002389&amp;amp;lt;/RightHandSideExpression&amp;amp;gt;&amp;amp;lt;IsSubquery&amp;amp;gt;False&amp;amp;lt;/IsSubquery&amp;amp;gt;&amp;amp;lt;SubqueryTemplateName /&amp;amp;gt;&amp;amp;lt;/RHSItem&amp;amp;gt;&amp;amp;lt;RHSItem&amp;amp;gt;&amp;amp;lt;RHSType&amp;'"</definedName>
    <definedName name="_AMO_ContentDefinition_316789590.1422" hidden="1">"'amp;gt;EXPRESSION&amp;amp;lt;/RHSType&amp;amp;gt;&amp;amp;lt;AddQuotes&amp;amp;gt;True&amp;amp;lt;/AddQuotes&amp;amp;gt;&amp;amp;lt;DateFormat&amp;amp;gt;None&amp;amp;lt;/DateFormat&amp;amp;gt;&amp;amp;lt;RightHandSideExpression xml:space=&amp;amp;quot;preserve&amp;amp;quot;&amp;amp;gt;MFPR01002395&amp;amp;lt;'"</definedName>
    <definedName name="_AMO_ContentDefinition_316789590.1423"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316789590.1424" hidden="1">"'mp;gt;True&amp;amp;lt;/AddQuotes&amp;amp;gt;&amp;amp;lt;DateFormat&amp;amp;gt;None&amp;amp;lt;/DateFormat&amp;amp;gt;&amp;amp;lt;RightHandSideExpression xml:space=&amp;amp;quot;preserve&amp;amp;quot;&amp;amp;gt;MFPR01002399&amp;amp;lt;/RightHandSideExpression&amp;amp;gt;&amp;amp;lt;IsSubquery&amp;amp;gt;Fa'"</definedName>
    <definedName name="_AMO_ContentDefinition_316789590.1425"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316789590.1426" hidden="1">"'t;None&amp;amp;lt;/DateFormat&amp;amp;gt;&amp;amp;lt;RightHandSideExpression xml:space=&amp;amp;quot;preserve&amp;amp;quot;&amp;amp;gt;MFPR01002400&amp;amp;lt;/RightHandSideExpression&amp;amp;gt;&amp;amp;lt;IsSubquery&amp;amp;gt;False&amp;amp;lt;/IsSubquery&amp;amp;gt;&amp;amp;lt;SubqueryTemplateName /'"</definedName>
    <definedName name="_AMO_ContentDefinition_316789590.1427"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316789590.1428" hidden="1">"'sion xml:space=&amp;amp;quot;preserve&amp;amp;quot;&amp;amp;gt;MFPR01002401&amp;amp;lt;/RightHandSideExpression&amp;amp;gt;&amp;amp;lt;IsSubquery&amp;amp;gt;False&amp;amp;lt;/IsSubquery&amp;amp;gt;&amp;amp;lt;SubqueryTemplateName /&amp;amp;gt;&amp;amp;lt;/RHSItem&amp;amp;gt;&amp;amp;lt;RHSItem&amp;amp;gt;&amp;amp;'"</definedName>
    <definedName name="_AMO_ContentDefinition_316789590.1429" hidden="1">"'lt;RHSType&amp;amp;gt;EXPRESSION&amp;amp;lt;/RHSType&amp;amp;gt;&amp;amp;lt;AddQuotes&amp;amp;gt;True&amp;amp;lt;/AddQuotes&amp;amp;gt;&amp;amp;lt;DateFormat&amp;amp;gt;None&amp;amp;lt;/DateFormat&amp;amp;gt;&amp;amp;lt;RightHandSideExpression xml:space=&amp;amp;quot;preserve&amp;amp;quot;&amp;amp;gt;MFPR01002'"</definedName>
    <definedName name="_AMO_ContentDefinition_316789590.143" hidden="1">"'&amp;amp;#xA;'MFPR01000632',&amp;amp;#xD;&amp;amp;#xA;'MFPR01000636',&amp;amp;#xD;&amp;amp;#xA;'MFPR01000637',&amp;amp;#xD;&amp;amp;#xA;'MFPR01000638',&amp;amp;#xD;&amp;amp;#xA;'MFPR01000646',&amp;amp;#xD;&amp;amp;#xA;'MFPR01000657',&amp;amp;#xD;&amp;amp;#xA;'MFPR01000658',&amp;amp;#xD;&amp;amp;#xA;'MFPR010006'"</definedName>
    <definedName name="_AMO_ContentDefinition_316789590.1430" hidden="1">"'409&amp;amp;lt;/RightHandSideExpression&amp;amp;gt;&amp;amp;lt;IsSubquery&amp;amp;gt;False&amp;amp;lt;/IsSubquery&amp;amp;gt;&amp;amp;lt;SubqueryTemplateName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316789590.1431" hidden="1">"'AddQuotes&amp;amp;gt;True&amp;amp;lt;/AddQuotes&amp;amp;gt;&amp;amp;lt;DateFormat&amp;amp;gt;None&amp;amp;lt;/DateFormat&amp;amp;gt;&amp;amp;lt;RightHandSideExpression xml:space=&amp;amp;quot;preserve&amp;amp;quot;&amp;amp;gt;MFPR01002420&amp;amp;lt;/RightHandSideExpression&amp;amp;gt;&amp;amp;lt;IsSubquer'"</definedName>
    <definedName name="_AMO_ContentDefinition_316789590.1432"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316789590.1433" hidden="1">"'ormat&amp;amp;gt;None&amp;amp;lt;/DateFormat&amp;amp;gt;&amp;amp;lt;RightHandSideExpression xml:space=&amp;amp;quot;preserve&amp;amp;quot;&amp;amp;gt;MFPR01002421&amp;amp;lt;/RightHandSideExpression&amp;amp;gt;&amp;amp;lt;IsSubquery&amp;amp;gt;False&amp;amp;lt;/IsSubquery&amp;amp;gt;&amp;amp;lt;SubqueryTem'"</definedName>
    <definedName name="_AMO_ContentDefinition_316789590.1434"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316789590.1435" hidden="1">"'dSideExpression xml:space=&amp;amp;quot;preserve&amp;amp;quot;&amp;amp;gt;MFPR01002422&amp;amp;lt;/RightHandSideExpression&amp;amp;gt;&amp;amp;lt;IsSubquery&amp;amp;gt;False&amp;amp;lt;/IsSubquery&amp;amp;gt;&amp;amp;lt;SubqueryTemplateName /&amp;amp;gt;&amp;amp;lt;/RHSItem&amp;amp;gt;&amp;amp;lt;RHSItem&amp;a'"</definedName>
    <definedName name="_AMO_ContentDefinition_316789590.1436"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316789590.1437" hidden="1">"'t;MFPR01002424&amp;amp;lt;/RightHandSideExpression&amp;amp;gt;&amp;amp;lt;IsSubquery&amp;amp;gt;False&amp;amp;lt;/IsSubquery&amp;amp;gt;&amp;amp;lt;SubqueryTemplateName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316789590.1438" hidden="1">"'gt;&amp;amp;lt;AddQuotes&amp;amp;gt;True&amp;amp;lt;/AddQuotes&amp;amp;gt;&amp;amp;lt;DateFormat&amp;amp;gt;None&amp;amp;lt;/DateFormat&amp;amp;gt;&amp;amp;lt;RightHandSideExpression xml:space=&amp;amp;quot;preserve&amp;amp;quot;&amp;amp;gt;MFPR01002425&amp;amp;lt;/RightHandSideExpression&amp;amp;gt;&amp;amp;l'"</definedName>
    <definedName name="_AMO_ContentDefinition_316789590.1439"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316789590.144" hidden="1">"'59',&amp;amp;#xD;&amp;amp;#xA;'MFPR01000661',&amp;amp;#xD;&amp;amp;#xA;'MFPR01000662',&amp;amp;#xD;&amp;amp;#xA;'MFPR01000663',&amp;amp;#xD;&amp;amp;#xA;'MFPR01000664',&amp;amp;#xD;&amp;amp;#xA;'MFPR01000668',&amp;amp;#xD;&amp;amp;#xA;'MFPR01000674',&amp;amp;#xD;&amp;amp;#xA;'MFPR01000678',&amp;amp;#xD;&amp;amp;#x'"</definedName>
    <definedName name="_AMO_ContentDefinition_316789590.1440" hidden="1">"'mp;lt;DateFormat&amp;amp;gt;None&amp;amp;lt;/DateFormat&amp;amp;gt;&amp;amp;lt;RightHandSideExpression xml:space=&amp;amp;quot;preserve&amp;amp;quot;&amp;amp;gt;MFPR01002426&amp;amp;lt;/RightHandSideExpression&amp;amp;gt;&amp;amp;lt;IsSubquery&amp;amp;gt;False&amp;amp;lt;/IsSubquery&amp;amp;gt;&amp;amp;lt;'"</definedName>
    <definedName name="_AMO_ContentDefinition_316789590.1441"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316789590.1442" hidden="1">"'lt;RightHandSideExpression xml:space=&amp;amp;quot;preserve&amp;amp;quot;&amp;amp;gt;MFPR01002427&amp;amp;lt;/RightHandSideExpression&amp;amp;gt;&amp;amp;lt;IsSubquery&amp;amp;gt;False&amp;amp;lt;/IsSubquery&amp;amp;gt;&amp;amp;lt;SubqueryTemplateName /&amp;amp;gt;&amp;amp;lt;/RHSItem&amp;amp;gt;&amp;amp;l'"</definedName>
    <definedName name="_AMO_ContentDefinition_316789590.1443" hidden="1">"'t;RHSItem&amp;amp;gt;&amp;amp;lt;RHSType&amp;amp;gt;EXPRESSION&amp;amp;lt;/RHSType&amp;amp;gt;&amp;amp;lt;AddQuotes&amp;amp;gt;True&amp;amp;lt;/AddQuotes&amp;amp;gt;&amp;amp;lt;DateFormat&amp;amp;gt;None&amp;amp;lt;/DateFormat&amp;amp;gt;&amp;amp;lt;RightHandSideExpression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316789590.1444" hidden="1">"'quot;&amp;amp;gt;MFPR01002432&amp;amp;lt;/RightHandSideExpression&amp;amp;gt;&amp;amp;lt;IsSubquery&amp;amp;gt;False&amp;amp;lt;/IsSubquery&amp;amp;gt;&amp;amp;lt;SubqueryTemplateName /&amp;amp;gt;&amp;amp;lt;/RHSItem&amp;amp;gt;&amp;amp;lt;RHSItem&amp;amp;gt;&amp;amp;lt;RHSType&amp;amp;gt;EXPRESSION&amp;amp;lt;/R'"</definedName>
    <definedName name="_AMO_ContentDefinition_316789590.1445" hidden="1">"'HSType&amp;amp;gt;&amp;amp;lt;AddQuotes&amp;amp;gt;True&amp;amp;lt;/AddQuotes&amp;amp;gt;&amp;amp;lt;DateFormat&amp;amp;gt;None&amp;amp;lt;/DateFormat&amp;amp;gt;&amp;amp;lt;RightHandSideExpression xml:space=&amp;amp;quot;preserve&amp;amp;quot;&amp;amp;gt;MFPR01002438&amp;amp;lt;/RightHandSideExpression&amp;am'"</definedName>
    <definedName name="_AMO_ContentDefinition_316789590.1446"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316789590.1447" hidden="1">"'s&amp;amp;gt;&amp;amp;lt;DateFormat&amp;amp;gt;None&amp;amp;lt;/DateFormat&amp;amp;gt;&amp;amp;lt;RightHandSideExpression xml:space=&amp;amp;quot;preserve&amp;amp;quot;&amp;amp;gt;MFPR01002442&amp;amp;lt;/RightHandSideExpression&amp;amp;gt;&amp;amp;lt;IsSubquery&amp;amp;gt;False&amp;amp;lt;/IsSubquery&amp;amp;'"</definedName>
    <definedName name="_AMO_ContentDefinition_316789590.1448"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316789590.1449" hidden="1">"'mp;gt;&amp;amp;lt;RightHandSideExpression xml:space=&amp;amp;quot;preserve&amp;amp;quot;&amp;amp;gt;MFPR01002443&amp;amp;lt;/RightHandSideExpression&amp;amp;gt;&amp;amp;lt;IsSubquery&amp;amp;gt;False&amp;amp;lt;/IsSubquery&amp;amp;gt;&amp;amp;lt;SubqueryTemplateName /&amp;amp;gt;&amp;amp;lt;/RHSItem&amp;am'"</definedName>
    <definedName name="_AMO_ContentDefinition_316789590.145" hidden="1">"'A;'MFPR01000679',&amp;amp;#xD;&amp;amp;#xA;'MFPR01000683',&amp;amp;#xD;&amp;amp;#xA;'MFPR01000684',&amp;amp;#xD;&amp;amp;#xA;'MFPR01000685',&amp;amp;#xD;&amp;amp;#xA;'MFPR01000687',&amp;amp;#xD;&amp;amp;#xA;'MFPR01000688',&amp;amp;#xD;&amp;amp;#xA;'MFPR01000689',&amp;amp;#xD;&amp;amp;#xA;'MFPR01000690',&amp;am'"</definedName>
    <definedName name="_AMO_ContentDefinition_316789590.1450" hidden="1">"'p;gt;&amp;amp;lt;RHSItem&amp;amp;gt;&amp;amp;lt;RHSType&amp;amp;gt;EXPRESSION&amp;amp;lt;/RHSType&amp;amp;gt;&amp;amp;lt;AddQuotes&amp;amp;gt;True&amp;amp;lt;/AddQuotes&amp;amp;gt;&amp;amp;lt;DateFormat&amp;amp;gt;None&amp;amp;lt;/DateFormat&amp;amp;gt;&amp;amp;lt;RightHandSideExpression xml:space=&amp;amp;quot;pr'"</definedName>
    <definedName name="_AMO_ContentDefinition_316789590.1451" hidden="1">"'eserve&amp;amp;quot;&amp;amp;gt;MFPR01002447&amp;amp;lt;/RightHandSideExpression&amp;amp;gt;&amp;amp;lt;IsSubquery&amp;amp;gt;False&amp;amp;lt;/IsSubquery&amp;amp;gt;&amp;amp;lt;SubqueryTemplateName /&amp;amp;gt;&amp;amp;lt;/RHSItem&amp;amp;gt;&amp;amp;lt;RHSItem&amp;amp;gt;&amp;amp;lt;RHSType&amp;amp;gt;EXPRESSIO'"</definedName>
    <definedName name="_AMO_ContentDefinition_316789590.1452" hidden="1">"'N&amp;amp;lt;/RHSType&amp;amp;gt;&amp;amp;lt;AddQuotes&amp;amp;gt;True&amp;amp;lt;/AddQuotes&amp;amp;gt;&amp;amp;lt;DateFormat&amp;amp;gt;None&amp;amp;lt;/DateFormat&amp;amp;gt;&amp;amp;lt;RightHandSideExpression xml:space=&amp;amp;quot;preserve&amp;amp;quot;&amp;amp;gt;MFPR01002448&amp;amp;lt;/RightHandSideEx'"</definedName>
    <definedName name="_AMO_ContentDefinition_316789590.1453"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316789590.1454" hidden="1">"'t;/AddQuotes&amp;amp;gt;&amp;amp;lt;DateFormat&amp;amp;gt;None&amp;amp;lt;/DateFormat&amp;amp;gt;&amp;amp;lt;RightHandSideExpression xml:space=&amp;amp;quot;preserve&amp;amp;quot;&amp;amp;gt;MFPR01002449&amp;amp;lt;/RightHandSideExpression&amp;amp;gt;&amp;amp;lt;IsSubquery&amp;amp;gt;False&amp;amp;lt;/IsSu'"</definedName>
    <definedName name="_AMO_ContentDefinition_316789590.1455"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316789590.1456" hidden="1">"'ateFormat&amp;amp;gt;&amp;amp;lt;RightHandSideExpression xml:space=&amp;amp;quot;preserve&amp;amp;quot;&amp;amp;gt;MFPR01002451&amp;amp;lt;/RightHandSideExpression&amp;amp;gt;&amp;amp;lt;IsSubquery&amp;amp;gt;False&amp;amp;lt;/IsSubquery&amp;amp;gt;&amp;amp;lt;SubqueryTemplateName /&amp;amp;gt;&amp;amp;lt;'"</definedName>
    <definedName name="_AMO_ContentDefinition_316789590.1457" hidden="1">"'/RHSItem&amp;amp;gt;&amp;amp;lt;RHSItem&amp;amp;gt;&amp;amp;lt;RHSType&amp;amp;gt;EXPRESSION&amp;amp;lt;/RHSType&amp;amp;gt;&amp;amp;lt;AddQuotes&amp;amp;gt;True&amp;amp;lt;/AddQuotes&amp;amp;gt;&amp;amp;lt;DateFormat&amp;amp;gt;None&amp;amp;lt;/DateFormat&amp;amp;gt;&amp;amp;lt;RightHandSideExpression xml:space=&amp;'"</definedName>
    <definedName name="_AMO_ContentDefinition_316789590.1458" hidden="1">"'amp;quot;preserve&amp;amp;quot;&amp;amp;gt;MFPR01002452&amp;amp;lt;/RightHandSideExpression&amp;amp;gt;&amp;amp;lt;IsSubquery&amp;amp;gt;False&amp;amp;lt;/IsSubquery&amp;amp;gt;&amp;amp;lt;SubqueryTemplateName /&amp;amp;gt;&amp;amp;lt;/RHSItem&amp;amp;gt;&amp;amp;lt;RHSItem&amp;amp;gt;&amp;amp;lt;RHSType&amp;amp;g'"</definedName>
    <definedName name="_AMO_ContentDefinition_316789590.1459" hidden="1">"'t;EXPRESSION&amp;amp;lt;/RHSType&amp;amp;gt;&amp;amp;lt;AddQuotes&amp;amp;gt;True&amp;amp;lt;/AddQuotes&amp;amp;gt;&amp;amp;lt;DateFormat&amp;amp;gt;None&amp;amp;lt;/DateFormat&amp;amp;gt;&amp;amp;lt;RightHandSideExpression xml:space=&amp;amp;quot;preserve&amp;amp;quot;&amp;amp;gt;MFPR01002453&amp;amp;lt;/Righ'"</definedName>
    <definedName name="_AMO_ContentDefinition_316789590.146" hidden="1">"'p;#xD;&amp;amp;#xA;'MFPR01000694',&amp;amp;#xD;&amp;amp;#xA;'MFPR01000701',&amp;amp;#xD;&amp;amp;#xA;'MFPR01000705',&amp;amp;#xD;&amp;amp;#xA;'MFPR01000706',&amp;amp;#xD;&amp;amp;#xA;'MFPR01000707',&amp;amp;#xD;&amp;amp;#xA;'MFPR01000715',&amp;amp;#xD;&amp;amp;#xA;'MFPR01000731',&amp;amp;#xD;&amp;amp;#xA;'MFPR'"</definedName>
    <definedName name="_AMO_ContentDefinition_316789590.1460"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316789590.1461" hidden="1">"';True&amp;amp;lt;/AddQuotes&amp;amp;gt;&amp;amp;lt;DateFormat&amp;amp;gt;None&amp;amp;lt;/DateFormat&amp;amp;gt;&amp;amp;lt;RightHandSideExpression xml:space=&amp;amp;quot;preserve&amp;amp;quot;&amp;amp;gt;MFPR01002454&amp;amp;lt;/RightHandSideExpression&amp;amp;gt;&amp;amp;lt;IsSubquery&amp;amp;gt;False&amp;a'"</definedName>
    <definedName name="_AMO_ContentDefinition_316789590.1462"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316789590.1463" hidden="1">"'e&amp;amp;lt;/DateFormat&amp;amp;gt;&amp;amp;lt;RightHandSideExpression xml:space=&amp;amp;quot;preserve&amp;amp;quot;&amp;amp;gt;MFPR01002459&amp;amp;lt;/RightHandSideExpression&amp;amp;gt;&amp;amp;lt;IsSubquery&amp;amp;gt;False&amp;amp;lt;/IsSubquery&amp;amp;gt;&amp;amp;lt;SubqueryTemplateName /&amp;amp;'"</definedName>
    <definedName name="_AMO_ContentDefinition_316789590.1464" hidden="1">"'gt;&amp;amp;lt;/RHSItem&amp;amp;gt;&amp;amp;lt;RHSItem&amp;amp;gt;&amp;amp;lt;RHSType&amp;amp;gt;EXPRESSION&amp;amp;lt;/RHSType&amp;amp;gt;&amp;amp;lt;AddQuotes&amp;amp;gt;True&amp;amp;lt;/AddQuotes&amp;amp;gt;&amp;amp;lt;DateFormat&amp;amp;gt;None&amp;amp;lt;/DateFormat&amp;amp;gt;&amp;amp;lt;RightHandSideExpression '"</definedName>
    <definedName name="_AMO_ContentDefinition_316789590.1465" hidden="1">"'xml:space=&amp;amp;quot;preserve&amp;amp;quot;&amp;amp;gt;MFPR01002465&amp;amp;lt;/RightHandSideExpression&amp;amp;gt;&amp;amp;lt;IsSubquery&amp;amp;gt;False&amp;amp;lt;/IsSubquery&amp;amp;gt;&amp;amp;lt;SubqueryTemplateName /&amp;amp;gt;&amp;amp;lt;/RHSItem&amp;amp;gt;&amp;amp;lt;RHSItem&amp;amp;gt;&amp;amp;lt;RH'"</definedName>
    <definedName name="_AMO_ContentDefinition_316789590.1466" hidden="1">"'SType&amp;amp;gt;EXPRESSION&amp;amp;lt;/RHSType&amp;amp;gt;&amp;amp;lt;AddQuotes&amp;amp;gt;True&amp;amp;lt;/AddQuotes&amp;amp;gt;&amp;amp;lt;DateFormat&amp;amp;gt;None&amp;amp;lt;/DateFormat&amp;amp;gt;&amp;amp;lt;RightHandSideExpression xml:space=&amp;amp;quot;preserve&amp;amp;quot;&amp;amp;gt;MFPR01002469&amp;a'"</definedName>
    <definedName name="_AMO_ContentDefinition_316789590.1467"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316789590.1468" hidden="1">"'otes&amp;amp;gt;True&amp;amp;lt;/AddQuotes&amp;amp;gt;&amp;amp;lt;DateFormat&amp;amp;gt;None&amp;amp;lt;/DateFormat&amp;amp;gt;&amp;amp;lt;RightHandSideExpression xml:space=&amp;amp;quot;preserve&amp;amp;quot;&amp;amp;gt;MFPR01002470&amp;amp;lt;/RightHandSideExpression&amp;amp;gt;&amp;amp;lt;IsSubquery&amp;amp'"</definedName>
    <definedName name="_AMO_ContentDefinition_316789590.1469"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316789590.147" hidden="1">"'01000732',&amp;amp;#xD;&amp;amp;#xA;'MFPR01000737',&amp;amp;#xD;&amp;amp;#xA;'MFPR01000743',&amp;amp;#xD;&amp;amp;#xA;'MFPR01000747',&amp;amp;#xD;&amp;amp;#xA;'MFPR01000748',&amp;amp;#xD;&amp;amp;#xA;'MFPR01000800',&amp;amp;#xD;&amp;amp;#xA;'MFPR01000801',&amp;amp;#xD;&amp;amp;#xA;'MFPR01000806',&amp;amp;#xD;&amp;'"</definedName>
    <definedName name="_AMO_ContentDefinition_316789590.1470" hidden="1">"'&amp;amp;gt;None&amp;amp;lt;/DateFormat&amp;amp;gt;&amp;amp;lt;RightHandSideExpression xml:space=&amp;amp;quot;preserve&amp;amp;quot;&amp;amp;gt;MFPR01002471&amp;amp;lt;/RightHandSideExpression&amp;amp;gt;&amp;amp;lt;IsSubquery&amp;amp;gt;False&amp;amp;lt;/IsSubquery&amp;amp;gt;&amp;amp;lt;SubqueryTemplate'"</definedName>
    <definedName name="_AMO_ContentDefinition_316789590.1471"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316789590.1472" hidden="1">"'Expression xml:space=&amp;amp;quot;preserve&amp;amp;quot;&amp;amp;gt;MFPR01002479&amp;amp;lt;/RightHandSideExpression&amp;amp;gt;&amp;amp;lt;IsSubquery&amp;amp;gt;False&amp;amp;lt;/IsSubquery&amp;amp;gt;&amp;amp;lt;SubqueryTemplateName /&amp;amp;gt;&amp;amp;lt;/RHSItem&amp;amp;gt;&amp;amp;lt;RHSItem&amp;amp;gt'"</definedName>
    <definedName name="_AMO_ContentDefinition_316789590.1473" hidden="1">"';&amp;amp;lt;RHSType&amp;amp;gt;EXPRESSION&amp;amp;lt;/RHSType&amp;amp;gt;&amp;amp;lt;AddQuotes&amp;amp;gt;True&amp;amp;lt;/AddQuotes&amp;amp;gt;&amp;amp;lt;DateFormat&amp;amp;gt;None&amp;amp;lt;/DateFormat&amp;amp;gt;&amp;amp;lt;RightHandSideExpression xml:space=&amp;amp;quot;preserve&amp;amp;quot;&amp;amp;gt;MFP'"</definedName>
    <definedName name="_AMO_ContentDefinition_316789590.1474" hidden="1">"'R01002490&amp;amp;lt;/RightHandSideExpression&amp;amp;gt;&amp;amp;lt;IsSubquery&amp;amp;gt;False&amp;amp;lt;/IsSubquery&amp;amp;gt;&amp;amp;lt;SubqueryTemplateName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316789590.1475" hidden="1">"'mp;lt;AddQuotes&amp;amp;gt;True&amp;amp;lt;/AddQuotes&amp;amp;gt;&amp;amp;lt;DateFormat&amp;amp;gt;None&amp;amp;lt;/DateFormat&amp;amp;gt;&amp;amp;lt;RightHandSideExpression xml:space=&amp;amp;quot;preserve&amp;amp;quot;&amp;amp;gt;MFPR01002491&amp;amp;lt;/RightHandSideExpression&amp;amp;gt;&amp;amp;lt;IsS'"</definedName>
    <definedName name="_AMO_ContentDefinition_316789590.1476"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316789590.1477" hidden="1">"';DateFormat&amp;amp;gt;None&amp;amp;lt;/DateFormat&amp;amp;gt;&amp;amp;lt;RightHandSideExpression xml:space=&amp;amp;quot;preserve&amp;amp;quot;&amp;amp;gt;MFPR01002492&amp;amp;lt;/RightHandSideExpression&amp;amp;gt;&amp;amp;lt;IsSubquery&amp;amp;gt;False&amp;amp;lt;/IsSubquery&amp;amp;gt;&amp;amp;lt;Subqu'"</definedName>
    <definedName name="_AMO_ContentDefinition_316789590.1478"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316789590.1479" hidden="1">"'ghtHandSideExpression xml:space=&amp;amp;quot;preserve&amp;amp;quot;&amp;amp;gt;MFPR01002494&amp;amp;lt;/RightHandSideExpression&amp;amp;gt;&amp;amp;lt;IsSubquery&amp;amp;gt;False&amp;amp;lt;/IsSubquery&amp;amp;gt;&amp;amp;lt;SubqueryTemplateName /&amp;amp;gt;&amp;amp;lt;/RHSItem&amp;amp;gt;&amp;amp;lt;RHS'"</definedName>
    <definedName name="_AMO_ContentDefinition_316789590.148" hidden="1">"'amp;#xA;'MFPR01000812',&amp;amp;#xD;&amp;amp;#xA;'MFPR01000816',&amp;amp;#xD;&amp;amp;#xA;'MFPR01000817',&amp;amp;#xD;&amp;amp;#xA;'MFPR01000869',&amp;amp;#xD;&amp;amp;#xA;'MFPR01000870',&amp;amp;#xD;&amp;amp;#xA;'MFPR01000875',&amp;amp;#xD;&amp;amp;#xA;'MFPR01000881',&amp;amp;#xD;&amp;amp;#xA;'MFPR0100088'"</definedName>
    <definedName name="_AMO_ContentDefinition_316789590.1480" hidden="1">"'Item&amp;amp;gt;&amp;amp;lt;RHSType&amp;amp;gt;EXPRESSION&amp;amp;lt;/RHSType&amp;amp;gt;&amp;amp;lt;AddQuotes&amp;amp;gt;True&amp;amp;lt;/AddQuotes&amp;amp;gt;&amp;amp;lt;DateFormat&amp;amp;gt;None&amp;amp;lt;/DateFormat&amp;amp;gt;&amp;amp;lt;RightHandSideExpression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316789590.1481" hidden="1">"'&amp;amp;gt;MFPR01002495&amp;amp;lt;/RightHandSideExpression&amp;amp;gt;&amp;amp;lt;IsSubquery&amp;amp;gt;False&amp;amp;lt;/IsSubquery&amp;amp;gt;&amp;amp;lt;SubqueryTemplateName /&amp;amp;gt;&amp;amp;lt;/RHSItem&amp;amp;gt;&amp;amp;lt;RHSItem&amp;amp;gt;&amp;amp;lt;RHSType&amp;amp;gt;EXPRESSION&amp;amp;lt;/RHSTyp'"</definedName>
    <definedName name="_AMO_ContentDefinition_316789590.1482" hidden="1">"'e&amp;amp;gt;&amp;amp;lt;AddQuotes&amp;amp;gt;True&amp;amp;lt;/AddQuotes&amp;amp;gt;&amp;amp;lt;DateFormat&amp;amp;gt;None&amp;amp;lt;/DateFormat&amp;amp;gt;&amp;amp;lt;RightHandSideExpression xml:space=&amp;amp;quot;preserve&amp;amp;quot;&amp;amp;gt;MFPR01002496&amp;amp;lt;/RightHandSideExpression&amp;amp;gt;'"</definedName>
    <definedName name="_AMO_ContentDefinition_316789590.1483"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316789590.1484" hidden="1">"';gt;&amp;amp;lt;DateFormat&amp;amp;gt;None&amp;amp;lt;/DateFormat&amp;amp;gt;&amp;amp;lt;RightHandSideExpression xml:space=&amp;amp;quot;preserve&amp;amp;quot;&amp;amp;gt;MFPR01002497&amp;amp;lt;/RightHandSideExpression&amp;amp;gt;&amp;amp;lt;IsSubquery&amp;amp;gt;False&amp;amp;lt;/IsSubquery&amp;amp;gt;&amp;a'"</definedName>
    <definedName name="_AMO_ContentDefinition_316789590.1485"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316789590.1486" hidden="1">"';&amp;amp;lt;RightHandSideExpression xml:space=&amp;amp;quot;preserve&amp;amp;quot;&amp;amp;gt;MFPR01002502&amp;amp;lt;/RightHandSideExpression&amp;amp;gt;&amp;amp;lt;IsSubquery&amp;amp;gt;False&amp;amp;lt;/IsSubquery&amp;amp;gt;&amp;amp;lt;SubqueryTemplateName /&amp;amp;gt;&amp;amp;lt;/RHSItem&amp;amp;gt;'"</definedName>
    <definedName name="_AMO_ContentDefinition_316789590.1487" hidden="1">"'&amp;amp;lt;RHSItem&amp;amp;gt;&amp;amp;lt;RHSType&amp;amp;gt;EXPRESSION&amp;amp;lt;/RHSType&amp;amp;gt;&amp;amp;lt;AddQuotes&amp;amp;gt;True&amp;amp;lt;/AddQuotes&amp;amp;gt;&amp;amp;lt;DateFormat&amp;amp;gt;None&amp;amp;lt;/DateFormat&amp;amp;gt;&amp;amp;lt;RightHandSideExpression xml:space=&amp;amp;quot;preserv'"</definedName>
    <definedName name="_AMO_ContentDefinition_316789590.1488" hidden="1">"'e&amp;amp;quot;&amp;amp;gt;MFPR01002508&amp;amp;lt;/RightHandSideExpression&amp;amp;gt;&amp;amp;lt;IsSubquery&amp;amp;gt;False&amp;amp;lt;/IsSubquery&amp;amp;gt;&amp;amp;lt;SubqueryTemplateName /&amp;amp;gt;&amp;amp;lt;/RHSItem&amp;amp;gt;&amp;amp;lt;RHSItem&amp;amp;gt;&amp;amp;lt;RHSType&amp;amp;gt;EXPRESSION&amp;amp'"</definedName>
    <definedName name="_AMO_ContentDefinition_316789590.1489" hidden="1">"';lt;/RHSType&amp;amp;gt;&amp;amp;lt;AddQuotes&amp;amp;gt;True&amp;amp;lt;/AddQuotes&amp;amp;gt;&amp;amp;lt;DateFormat&amp;amp;gt;None&amp;amp;lt;/DateFormat&amp;amp;gt;&amp;amp;lt;RightHandSideExpression xml:space=&amp;amp;quot;preserve&amp;amp;quot;&amp;amp;gt;MFPR01002512&amp;amp;lt;/RightHandSideExpress'"</definedName>
    <definedName name="_AMO_ContentDefinition_316789590.149" hidden="1">"'5',&amp;amp;#xD;&amp;amp;#xA;'MFPR01000886',&amp;amp;#xD;&amp;amp;#xA;'MFPR01001002',&amp;amp;#xD;&amp;amp;#xA;'MFPR01001003',&amp;amp;#xD;&amp;amp;#xA;'MFPR01001004',&amp;amp;#xD;&amp;amp;#xA;'MFPR01001006',&amp;amp;#xD;&amp;amp;#xA;'MFPR01001007',&amp;amp;#xD;&amp;amp;#xA;'MFPR01001008',&amp;amp;#xD;&amp;amp;#xA'"</definedName>
    <definedName name="_AMO_ContentDefinition_316789590.1490"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316789590.1491" hidden="1">"'dQuotes&amp;amp;gt;&amp;amp;lt;DateFormat&amp;amp;gt;None&amp;amp;lt;/DateFormat&amp;amp;gt;&amp;amp;lt;RightHandSideExpression xml:space=&amp;amp;quot;preserve&amp;amp;quot;&amp;amp;gt;MFPR01002513&amp;amp;lt;/RightHandSideExpression&amp;amp;gt;&amp;amp;lt;IsSubquery&amp;amp;gt;False&amp;amp;lt;/IsSubquer'"</definedName>
    <definedName name="_AMO_ContentDefinition_316789590.1492"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316789590.1493" hidden="1">"'rmat&amp;amp;gt;&amp;amp;lt;RightHandSideExpression xml:space=&amp;amp;quot;preserve&amp;amp;quot;&amp;amp;gt;MFPR01002517&amp;amp;lt;/RightHandSideExpression&amp;amp;gt;&amp;amp;lt;IsSubquery&amp;amp;gt;False&amp;amp;lt;/IsSubquery&amp;amp;gt;&amp;amp;lt;SubqueryTemplateName /&amp;amp;gt;&amp;amp;lt;/RHSI'"</definedName>
    <definedName name="_AMO_ContentDefinition_316789590.1494" hidden="1">"'tem&amp;amp;gt;&amp;amp;lt;RHSItem&amp;amp;gt;&amp;amp;lt;RHSType&amp;amp;gt;EXPRESSION&amp;amp;lt;/RHSType&amp;amp;gt;&amp;amp;lt;AddQuotes&amp;amp;gt;True&amp;amp;lt;/AddQuotes&amp;amp;gt;&amp;amp;lt;DateFormat&amp;amp;gt;None&amp;amp;lt;/DateFormat&amp;amp;gt;&amp;amp;lt;RightHandSideExpression xml:space=&amp;amp;q'"</definedName>
    <definedName name="_AMO_ContentDefinition_316789590.1495" hidden="1">"'uot;preserve&amp;amp;quot;&amp;amp;gt;MFPR01002518&amp;amp;lt;/RightHandSideExpression&amp;amp;gt;&amp;amp;lt;IsSubquery&amp;amp;gt;False&amp;amp;lt;/IsSubquery&amp;amp;gt;&amp;amp;lt;SubqueryTemplateName /&amp;amp;gt;&amp;amp;lt;/RHSItem&amp;amp;gt;&amp;amp;lt;RHSItem&amp;amp;gt;&amp;amp;lt;RHSType&amp;amp;gt;EXP'"</definedName>
    <definedName name="_AMO_ContentDefinition_316789590.1496" hidden="1">"'RESSION&amp;amp;lt;/RHSType&amp;amp;gt;&amp;amp;lt;AddQuotes&amp;amp;gt;True&amp;amp;lt;/AddQuotes&amp;amp;gt;&amp;amp;lt;DateFormat&amp;amp;gt;None&amp;amp;lt;/DateFormat&amp;amp;gt;&amp;amp;lt;RightHandSideExpression xml:space=&amp;amp;quot;preserve&amp;amp;quot;&amp;amp;gt;MFPR01002519&amp;amp;lt;/RightHand'"</definedName>
    <definedName name="_AMO_ContentDefinition_316789590.1497"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316789590.1498" hidden="1">"'&amp;amp;lt;/AddQuotes&amp;amp;gt;&amp;amp;lt;DateFormat&amp;amp;gt;None&amp;amp;lt;/DateFormat&amp;amp;gt;&amp;amp;lt;RightHandSideExpression xml:space=&amp;amp;quot;preserve&amp;amp;quot;&amp;amp;gt;MFPR01002521&amp;amp;lt;/RightHandSideExpression&amp;amp;gt;&amp;amp;lt;IsSubquery&amp;amp;gt;False&amp;amp;lt'"</definedName>
    <definedName name="_AMO_ContentDefinition_316789590.1499"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316789590.15" hidden="1">"'526',&amp;#xD;&amp;#xA;'MFPR01000530',&amp;#xD;&amp;#xA;'MFPR01000536',&amp;#xD;&amp;#xA;'MFPR01000540',&amp;#xD;&amp;#xA;'MFPR01000541',&amp;#xD;&amp;#xA;'MFPR01000545',&amp;#xD;&amp;#xA;'MFPR01000546',&amp;#xD;&amp;#xA;'MFPR01000547',&amp;#xD;&amp;#xA;'MFPR01000549',&amp;#xD;&amp;#xA;'MFPR01000550',&amp;#xD;&amp;#xA;'MFPR010005'"</definedName>
    <definedName name="_AMO_ContentDefinition_316789590.150" hidden="1">"';'MFPR01001009',&amp;amp;#xD;&amp;amp;#xA;'MFPR01001013',&amp;amp;#xD;&amp;amp;#xA;'MFPR01001019',&amp;amp;#xD;&amp;amp;#xA;'MFPR01001023',&amp;amp;#xD;&amp;amp;#xA;'MFPR01001024',&amp;amp;#xD;&amp;amp;#xA;'MFPR01001028',&amp;amp;#xD;&amp;amp;#xA;'MFPR01001029',&amp;amp;#xD;&amp;amp;#xA;'MFPR01001030',&amp;amp'"</definedName>
    <definedName name="_AMO_ContentDefinition_316789590.1500" hidden="1">"';lt;/DateFormat&amp;amp;gt;&amp;amp;lt;RightHandSideExpression xml:space=&amp;amp;quot;preserve&amp;amp;quot;&amp;amp;gt;MFPR01002522&amp;amp;lt;/RightHandSideExpression&amp;amp;gt;&amp;amp;lt;IsSubquery&amp;amp;gt;False&amp;amp;lt;/IsSubquery&amp;amp;gt;&amp;amp;lt;SubqueryTemplateName /&amp;amp;gt;&amp;a'"</definedName>
    <definedName name="_AMO_ContentDefinition_316789590.1501" hidden="1">"'mp;lt;/RHSItem&amp;amp;gt;&amp;amp;lt;RHSItem&amp;amp;gt;&amp;amp;lt;RHSType&amp;amp;gt;EXPRESSION&amp;amp;lt;/RHSType&amp;amp;gt;&amp;amp;lt;AddQuotes&amp;amp;gt;True&amp;amp;lt;/AddQuotes&amp;amp;gt;&amp;amp;lt;DateFormat&amp;amp;gt;None&amp;amp;lt;/DateFormat&amp;amp;gt;&amp;amp;lt;RightHandSideExpression xml:s'"</definedName>
    <definedName name="_AMO_ContentDefinition_316789590.1502" hidden="1">"'pace=&amp;amp;quot;preserve&amp;amp;quot;&amp;amp;gt;MFPR01002523&amp;amp;lt;/RightHandSideExpression&amp;amp;gt;&amp;amp;lt;IsSubquery&amp;amp;gt;False&amp;amp;lt;/IsSubquery&amp;amp;gt;&amp;amp;lt;SubqueryTemplateName /&amp;amp;gt;&amp;amp;lt;/RHSItem&amp;amp;gt;&amp;amp;lt;RHSItem&amp;amp;gt;&amp;amp;lt;RHSType'"</definedName>
    <definedName name="_AMO_ContentDefinition_316789590.1503" hidden="1">"'&amp;amp;gt;EXPRESSION&amp;amp;lt;/RHSType&amp;amp;gt;&amp;amp;lt;AddQuotes&amp;amp;gt;True&amp;amp;lt;/AddQuotes&amp;amp;gt;&amp;amp;lt;DateFormat&amp;amp;gt;None&amp;amp;lt;/DateFormat&amp;amp;gt;&amp;amp;lt;RightHandSideExpression xml:space=&amp;amp;quot;preserve&amp;amp;quot;&amp;amp;gt;MFPR01002524&amp;amp;lt'"</definedName>
    <definedName name="_AMO_ContentDefinition_316789590.1504"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316789590.1505" hidden="1">"'amp;gt;True&amp;amp;lt;/AddQuotes&amp;amp;gt;&amp;amp;lt;DateFormat&amp;amp;gt;None&amp;amp;lt;/DateFormat&amp;amp;gt;&amp;amp;lt;RightHandSideExpression xml:space=&amp;amp;quot;preserve&amp;amp;quot;&amp;amp;gt;MFPR01002529&amp;amp;lt;/RightHandSideExpression&amp;amp;gt;&amp;amp;lt;IsSubquery&amp;amp;gt;F'"</definedName>
    <definedName name="_AMO_ContentDefinition_316789590.1506"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316789590.1507" hidden="1">"'gt;None&amp;amp;lt;/DateFormat&amp;amp;gt;&amp;amp;lt;RightHandSideExpression xml:space=&amp;amp;quot;preserve&amp;amp;quot;&amp;amp;gt;MFPR01002535&amp;amp;lt;/RightHandSideExpression&amp;amp;gt;&amp;amp;lt;IsSubquery&amp;amp;gt;False&amp;amp;lt;/IsSubquery&amp;amp;gt;&amp;amp;lt;SubqueryTemplateName '"</definedName>
    <definedName name="_AMO_ContentDefinition_316789590.1508"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316789590.1509" hidden="1">"'ssion xml:space=&amp;amp;quot;preserve&amp;amp;quot;&amp;amp;gt;MFPR01002539&amp;amp;lt;/RightHandSideExpression&amp;amp;gt;&amp;amp;lt;IsSubquery&amp;amp;gt;False&amp;amp;lt;/IsSubquery&amp;amp;gt;&amp;amp;lt;SubqueryTemplateName /&amp;amp;gt;&amp;amp;lt;/RHSItem&amp;amp;gt;&amp;amp;lt;RHSItem&amp;amp;gt;&amp;amp'"</definedName>
    <definedName name="_AMO_ContentDefinition_316789590.151" hidden="1">"';#xD;&amp;amp;#xA;'MFPR01001032',&amp;amp;#xD;&amp;amp;#xA;'MFPR01001033',&amp;amp;#xD;&amp;amp;#xA;'MFPR01001034',&amp;amp;#xD;&amp;amp;#xA;'MFPR01001035',&amp;amp;#xD;&amp;amp;#xA;'MFPR01001039',&amp;amp;#xD;&amp;amp;#xA;'MFPR01001046',&amp;amp;#xD;&amp;amp;#xA;'MFPR01001050',&amp;amp;#xD;&amp;amp;#xA;'MFPR0'"</definedName>
    <definedName name="_AMO_ContentDefinition_316789590.1510" hidden="1">"';lt;RHSType&amp;amp;gt;EXPRESSION&amp;amp;lt;/RHSType&amp;amp;gt;&amp;amp;lt;AddQuotes&amp;amp;gt;True&amp;amp;lt;/AddQuotes&amp;amp;gt;&amp;amp;lt;DateFormat&amp;amp;gt;None&amp;amp;lt;/DateFormat&amp;amp;gt;&amp;amp;lt;RightHandSideExpression xml:space=&amp;amp;quot;preserve&amp;amp;quot;&amp;amp;gt;MFPR0100'"</definedName>
    <definedName name="_AMO_ContentDefinition_316789590.1511" hidden="1">"'2540&amp;amp;lt;/RightHandSideExpression&amp;amp;gt;&amp;amp;lt;IsSubquery&amp;amp;gt;False&amp;amp;lt;/IsSubquery&amp;amp;gt;&amp;amp;lt;SubqueryTemplateName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316789590.1512" hidden="1">"';AddQuotes&amp;amp;gt;True&amp;amp;lt;/AddQuotes&amp;amp;gt;&amp;amp;lt;DateFormat&amp;amp;gt;None&amp;amp;lt;/DateFormat&amp;amp;gt;&amp;amp;lt;RightHandSideExpression xml:space=&amp;amp;quot;preserve&amp;amp;quot;&amp;amp;gt;MFPR01002541&amp;amp;lt;/RightHandSideExpression&amp;amp;gt;&amp;amp;lt;IsSubque'"</definedName>
    <definedName name="_AMO_ContentDefinition_316789590.1513"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316789590.1514" hidden="1">"'Format&amp;amp;gt;None&amp;amp;lt;/DateFormat&amp;amp;gt;&amp;amp;lt;RightHandSideExpression xml:space=&amp;amp;quot;preserve&amp;amp;quot;&amp;amp;gt;MFPR01002549&amp;amp;lt;/RightHandSideExpression&amp;amp;gt;&amp;amp;lt;IsSubquery&amp;amp;gt;False&amp;amp;lt;/IsSubquery&amp;amp;gt;&amp;amp;lt;SubqueryTe'"</definedName>
    <definedName name="_AMO_ContentDefinition_316789590.1515"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316789590.1516" hidden="1">"'ndSideExpression xml:space=&amp;amp;quot;preserve&amp;amp;quot;&amp;amp;gt;MFPR01002560&amp;amp;lt;/RightHandSideExpression&amp;amp;gt;&amp;amp;lt;IsSubquery&amp;amp;gt;False&amp;amp;lt;/IsSubquery&amp;amp;gt;&amp;amp;lt;SubqueryTemplateName /&amp;amp;gt;&amp;amp;lt;/RHSItem&amp;amp;gt;&amp;amp;lt;RHSItem&amp;'"</definedName>
    <definedName name="_AMO_ContentDefinition_316789590.1517" hidden="1">"'amp;gt;&amp;amp;lt;RHSType&amp;amp;gt;EXPRESSION&amp;amp;lt;/RHSType&amp;amp;gt;&amp;amp;lt;AddQuotes&amp;amp;gt;True&amp;amp;lt;/AddQuotes&amp;amp;gt;&amp;amp;lt;DateFormat&amp;amp;gt;None&amp;amp;lt;/DateFormat&amp;amp;gt;&amp;amp;lt;RightHandSideExpression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316789590.1518" hidden="1">"'gt;MFPR01002561&amp;amp;lt;/RightHandSideExpression&amp;amp;gt;&amp;amp;lt;IsSubquery&amp;amp;gt;False&amp;amp;lt;/IsSubquery&amp;amp;gt;&amp;amp;lt;SubqueryTemplateName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316789590.1519" hidden="1">"';gt;&amp;amp;lt;AddQuotes&amp;amp;gt;True&amp;amp;lt;/AddQuotes&amp;amp;gt;&amp;amp;lt;DateFormat&amp;amp;gt;None&amp;amp;lt;/DateFormat&amp;amp;gt;&amp;amp;lt;RightHandSideExpression xml:space=&amp;amp;quot;preserve&amp;amp;quot;&amp;amp;gt;MFPR01002562&amp;amp;lt;/RightHandSideExpression&amp;amp;gt;&amp;amp;'"</definedName>
    <definedName name="_AMO_ContentDefinition_316789590.152" hidden="1">"'1001051',&amp;amp;#xD;&amp;amp;#xA;'MFPR01001052',&amp;amp;#xD;&amp;amp;#xA;'MFPR01001060',&amp;amp;#xD;&amp;amp;#xA;'MFPR01001071',&amp;amp;#xD;&amp;amp;#xA;'MFPR01001072',&amp;amp;#xD;&amp;amp;#xA;'MFPR01001073',&amp;amp;#xD;&amp;amp;#xA;'MFPR01001075',&amp;amp;#xD;&amp;amp;#xA;'MFPR01001076',&amp;amp;#xD;&amp;a'"</definedName>
    <definedName name="_AMO_ContentDefinition_316789590.1520"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316789590.1521" hidden="1">"'amp;lt;DateFormat&amp;amp;gt;None&amp;amp;lt;/DateFormat&amp;amp;gt;&amp;amp;lt;RightHandSideExpression xml:space=&amp;amp;quot;preserve&amp;amp;quot;&amp;amp;gt;MFPR01002564&amp;amp;lt;/RightHandSideExpression&amp;amp;gt;&amp;amp;lt;IsSubquery&amp;amp;gt;False&amp;amp;lt;/IsSubquery&amp;amp;gt;&amp;amp;lt'"</definedName>
    <definedName name="_AMO_ContentDefinition_316789590.1522"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316789590.1523" hidden="1">"';lt;RightHandSideExpression xml:space=&amp;amp;quot;preserve&amp;amp;quot;&amp;amp;gt;MFPR01002565&amp;amp;lt;/RightHandSideExpression&amp;amp;gt;&amp;amp;lt;IsSubquery&amp;amp;gt;False&amp;amp;lt;/IsSubquery&amp;amp;gt;&amp;amp;lt;SubqueryTemplateName /&amp;amp;gt;&amp;amp;lt;/RHSItem&amp;amp;gt;&amp;amp;'"</definedName>
    <definedName name="_AMO_ContentDefinition_316789590.1524" hidden="1">"'lt;RHSItem&amp;amp;gt;&amp;amp;lt;RHSType&amp;amp;gt;EXPRESSION&amp;amp;lt;/RHSType&amp;amp;gt;&amp;amp;lt;AddQuotes&amp;amp;gt;True&amp;amp;lt;/AddQuotes&amp;amp;gt;&amp;amp;lt;DateFormat&amp;amp;gt;None&amp;amp;lt;/DateFormat&amp;amp;gt;&amp;amp;lt;RightHandSideExpression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316789590.1525" hidden="1">"';quot;&amp;amp;gt;MFPR01002566&amp;amp;lt;/RightHandSideExpression&amp;amp;gt;&amp;amp;lt;IsSubquery&amp;amp;gt;False&amp;amp;lt;/IsSubquery&amp;amp;gt;&amp;amp;lt;SubqueryTemplateName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1526" hidden="1">"'RHSType&amp;amp;gt;&amp;amp;lt;AddQuotes&amp;amp;gt;True&amp;amp;lt;/AddQuotes&amp;amp;gt;&amp;amp;lt;DateFormat&amp;amp;gt;None&amp;amp;lt;/DateFormat&amp;amp;gt;&amp;amp;lt;RightHandSideExpression xml:space=&amp;amp;quot;preserve&amp;amp;quot;&amp;amp;gt;MFPR01002567&amp;amp;lt;/RightHandSideExpression&amp;a'"</definedName>
    <definedName name="_AMO_ContentDefinition_316789590.1527"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316789590.1528" hidden="1">"'es&amp;amp;gt;&amp;amp;lt;DateFormat&amp;amp;gt;None&amp;amp;lt;/DateFormat&amp;amp;gt;&amp;amp;lt;RightHandSideExpression xml:space=&amp;amp;quot;preserve&amp;amp;quot;&amp;amp;gt;MFPR01002571&amp;amp;lt;/RightHandSideExpression&amp;amp;gt;&amp;amp;lt;IsSubquery&amp;amp;gt;False&amp;amp;lt;/IsSubquery&amp;amp'"</definedName>
    <definedName name="_AMO_ContentDefinition_316789590.1529"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316789590.153" hidden="1">"'mp;#xA;'MFPR01001077',&amp;amp;#xD;&amp;amp;#xA;'MFPR01001078',&amp;amp;#xD;&amp;amp;#xA;'MFPR01001082',&amp;amp;#xD;&amp;amp;#xA;'MFPR01001088',&amp;amp;#xD;&amp;amp;#xA;'MFPR01001092',&amp;amp;#xD;&amp;amp;#xA;'MFPR01001093',&amp;amp;#xD;&amp;amp;#xA;'MFPR01001097',&amp;amp;#xD;&amp;amp;#xA;'MFPR01001098'"</definedName>
    <definedName name="_AMO_ContentDefinition_316789590.1530" hidden="1">"'amp;gt;&amp;amp;lt;RightHandSideExpression xml:space=&amp;amp;quot;preserve&amp;amp;quot;&amp;amp;gt;MFPR01002577&amp;amp;lt;/RightHandSideExpression&amp;amp;gt;&amp;amp;lt;IsSubquery&amp;amp;gt;False&amp;amp;lt;/IsSubquery&amp;amp;gt;&amp;amp;lt;SubqueryTemplateName /&amp;amp;gt;&amp;amp;lt;/RHSItem&amp;a'"</definedName>
    <definedName name="_AMO_ContentDefinition_316789590.1531" hidden="1">"'mp;gt;&amp;amp;lt;RHSItem&amp;amp;gt;&amp;amp;lt;RHSType&amp;amp;gt;EXPRESSION&amp;amp;lt;/RHSType&amp;amp;gt;&amp;amp;lt;AddQuotes&amp;amp;gt;True&amp;amp;lt;/AddQuotes&amp;amp;gt;&amp;amp;lt;DateFormat&amp;amp;gt;None&amp;amp;lt;/DateFormat&amp;amp;gt;&amp;amp;lt;RightHandSideExpression xml:space=&amp;amp;quot;p'"</definedName>
    <definedName name="_AMO_ContentDefinition_316789590.1532" hidden="1">"'reserve&amp;amp;quot;&amp;amp;gt;MFPR01002581&amp;amp;lt;/RightHandSideExpression&amp;amp;gt;&amp;amp;lt;IsSubquery&amp;amp;gt;False&amp;amp;lt;/IsSubquery&amp;amp;gt;&amp;amp;lt;SubqueryTemplateName /&amp;amp;gt;&amp;amp;lt;/RHSItem&amp;amp;gt;&amp;amp;lt;RHSItem&amp;amp;gt;&amp;amp;lt;RHSType&amp;amp;gt;EXPRESSI'"</definedName>
    <definedName name="_AMO_ContentDefinition_316789590.1533" hidden="1">"'ON&amp;amp;lt;/RHSType&amp;amp;gt;&amp;amp;lt;AddQuotes&amp;amp;gt;True&amp;amp;lt;/AddQuotes&amp;amp;gt;&amp;amp;lt;DateFormat&amp;amp;gt;None&amp;amp;lt;/DateFormat&amp;amp;gt;&amp;amp;lt;RightHandSideExpression xml:space=&amp;amp;quot;preserve&amp;amp;quot;&amp;amp;gt;MFPR01002582&amp;amp;lt;/RightHandSideE'"</definedName>
    <definedName name="_AMO_ContentDefinition_316789590.1534"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316789590.1535" hidden="1">"'lt;/AddQuotes&amp;amp;gt;&amp;amp;lt;DateFormat&amp;amp;gt;None&amp;amp;lt;/DateFormat&amp;amp;gt;&amp;amp;lt;RightHandSideExpression xml:space=&amp;amp;quot;preserve&amp;amp;quot;&amp;amp;gt;MFPR01002586&amp;amp;lt;/RightHandSideExpression&amp;amp;gt;&amp;amp;lt;IsSubquery&amp;amp;gt;False&amp;amp;lt;/IsS'"</definedName>
    <definedName name="_AMO_ContentDefinition_316789590.1536"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1537" hidden="1">"'DateFormat&amp;amp;gt;&amp;amp;lt;RightHandSideExpression xml:space=&amp;amp;quot;preserve&amp;amp;quot;&amp;amp;gt;MFPR01002587&amp;amp;lt;/RightHandSideExpression&amp;amp;gt;&amp;amp;lt;IsSubquery&amp;amp;gt;False&amp;amp;lt;/IsSubquery&amp;amp;gt;&amp;amp;lt;SubqueryTemplateName /&amp;amp;gt;&amp;amp;lt'"</definedName>
    <definedName name="_AMO_ContentDefinition_316789590.1538" hidden="1">"';/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316789590.1539" hidden="1">"'&amp;amp;quot;preserve&amp;amp;quot;&amp;amp;gt;MFPR01002588&amp;amp;lt;/RightHandSideExpression&amp;amp;gt;&amp;amp;lt;IsSubquery&amp;amp;gt;False&amp;amp;lt;/IsSubquery&amp;amp;gt;&amp;amp;lt;SubqueryTemplateName /&amp;amp;gt;&amp;amp;lt;/RHSItem&amp;amp;gt;&amp;amp;lt;RHSItem&amp;amp;gt;&amp;amp;lt;RHSType&amp;amp;'"</definedName>
    <definedName name="_AMO_ContentDefinition_316789590.154" hidden="1">"'',&amp;amp;#xD;&amp;amp;#xA;'MFPR01001099',&amp;amp;#xD;&amp;amp;#xA;'MFPR01001101',&amp;amp;#xD;&amp;amp;#xA;'MFPR01001102',&amp;amp;#xD;&amp;amp;#xA;'MFPR01001103',&amp;amp;#xD;&amp;amp;#xA;'MFPR01001104',&amp;amp;#xD;&amp;amp;#xA;'MFPR01001108',&amp;amp;#xD;&amp;amp;#xA;'MFPR01001115',&amp;amp;#xD;&amp;amp;#xA;'"</definedName>
    <definedName name="_AMO_ContentDefinition_316789590.1540" hidden="1">"'gt;EXPRESSION&amp;amp;lt;/RHSType&amp;amp;gt;&amp;amp;lt;AddQuotes&amp;amp;gt;True&amp;amp;lt;/AddQuotes&amp;amp;gt;&amp;amp;lt;DateFormat&amp;amp;gt;None&amp;amp;lt;/DateFormat&amp;amp;gt;&amp;amp;lt;RightHandSideExpression xml:space=&amp;amp;quot;preserve&amp;amp;quot;&amp;amp;gt;MFPR01002590&amp;amp;lt;/Rig'"</definedName>
    <definedName name="_AMO_ContentDefinition_316789590.1541"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316789590.1542" hidden="1">"'t;True&amp;amp;lt;/AddQuotes&amp;amp;gt;&amp;amp;lt;DateFormat&amp;amp;gt;None&amp;amp;lt;/DateFormat&amp;amp;gt;&amp;amp;lt;RightHandSideExpression xml:space=&amp;amp;quot;preserve&amp;amp;quot;&amp;amp;gt;MFPR01002591&amp;amp;lt;/RightHandSideExpression&amp;amp;gt;&amp;amp;lt;IsSubquery&amp;amp;gt;False&amp;'"</definedName>
    <definedName name="_AMO_ContentDefinition_316789590.1543"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316789590.1544" hidden="1">"'ne&amp;amp;lt;/DateFormat&amp;amp;gt;&amp;amp;lt;RightHandSideExpression xml:space=&amp;amp;quot;preserve&amp;amp;quot;&amp;amp;gt;MFPR01002592&amp;amp;lt;/RightHandSideExpression&amp;amp;gt;&amp;amp;lt;IsSubquery&amp;amp;gt;False&amp;amp;lt;/IsSubquery&amp;amp;gt;&amp;amp;lt;SubqueryTemplateName /&amp;amp'"</definedName>
    <definedName name="_AMO_ContentDefinition_316789590.1545"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316789590.1546" hidden="1">"' xml:space=&amp;amp;quot;preserve&amp;amp;quot;&amp;amp;gt;MFPR01002593&amp;amp;lt;/RightHandSideExpression&amp;amp;gt;&amp;amp;lt;IsSubquery&amp;amp;gt;False&amp;amp;lt;/IsSubquery&amp;amp;gt;&amp;amp;lt;SubqueryTemplateName /&amp;amp;gt;&amp;amp;lt;/RHSItem&amp;amp;gt;&amp;amp;lt;RHSItem&amp;amp;gt;&amp;amp;lt;R'"</definedName>
    <definedName name="_AMO_ContentDefinition_316789590.1547" hidden="1">"'HSType&amp;amp;gt;EXPRESSION&amp;amp;lt;/RHSType&amp;amp;gt;&amp;amp;lt;AddQuotes&amp;amp;gt;True&amp;amp;lt;/AddQuotes&amp;amp;gt;&amp;amp;lt;DateFormat&amp;amp;gt;None&amp;amp;lt;/DateFormat&amp;amp;gt;&amp;amp;lt;RightHandSideExpression xml:space=&amp;amp;quot;preserve&amp;amp;quot;&amp;amp;gt;MFPR01002597&amp;'"</definedName>
    <definedName name="_AMO_ContentDefinition_316789590.1548"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316789590.1549" hidden="1">"'uotes&amp;amp;gt;True&amp;amp;lt;/AddQuotes&amp;amp;gt;&amp;amp;lt;DateFormat&amp;amp;gt;None&amp;amp;lt;/DateFormat&amp;amp;gt;&amp;amp;lt;RightHandSideExpression xml:space=&amp;amp;quot;preserve&amp;amp;quot;&amp;amp;gt;MFPR01002604&amp;amp;lt;/RightHandSideExpression&amp;amp;gt;&amp;amp;lt;IsSubquery&amp;am'"</definedName>
    <definedName name="_AMO_ContentDefinition_316789590.155" hidden="1">"''MFPR01001119',&amp;amp;#xD;&amp;amp;#xA;'MFPR01001120',&amp;amp;#xD;&amp;amp;#xA;'MFPR01001121',&amp;amp;#xD;&amp;amp;#xA;'MFPR01001129',&amp;amp;#xD;&amp;amp;#xA;'MFPR01001140',&amp;amp;#xD;&amp;amp;#xA;'MFPR01001141',&amp;amp;#xD;&amp;amp;#xA;'MFPR01001142',&amp;amp;#xD;&amp;amp;#xA;'MFPR01001144',&amp;amp;'"</definedName>
    <definedName name="_AMO_ContentDefinition_316789590.1550"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316789590.1551" hidden="1">"'t&amp;amp;gt;None&amp;amp;lt;/DateFormat&amp;amp;gt;&amp;amp;lt;RightHandSideExpression xml:space=&amp;amp;quot;preserve&amp;amp;quot;&amp;amp;gt;MFPR01002608&amp;amp;lt;/RightHandSideExpression&amp;amp;gt;&amp;amp;lt;IsSubquery&amp;amp;gt;False&amp;amp;lt;/IsSubquery&amp;amp;gt;&amp;amp;lt;SubqueryTemplat'"</definedName>
    <definedName name="_AMO_ContentDefinition_316789590.1552"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316789590.1553" hidden="1">"'eExpression xml:space=&amp;amp;quot;preserve&amp;amp;quot;&amp;amp;gt;MFPR01002609&amp;amp;lt;/RightHandSideExpression&amp;amp;gt;&amp;amp;lt;IsSubquery&amp;amp;gt;False&amp;amp;lt;/IsSubquery&amp;amp;gt;&amp;amp;lt;SubqueryTemplateName /&amp;amp;gt;&amp;amp;lt;/RHSItem&amp;amp;gt;&amp;amp;lt;RHSItem&amp;amp;g'"</definedName>
    <definedName name="_AMO_ContentDefinition_316789590.1554" hidden="1">"'t;&amp;amp;lt;RHSType&amp;amp;gt;EXPRESSION&amp;amp;lt;/RHSType&amp;amp;gt;&amp;amp;lt;AddQuotes&amp;amp;gt;True&amp;amp;lt;/AddQuotes&amp;amp;gt;&amp;amp;lt;DateFormat&amp;amp;gt;None&amp;amp;lt;/DateFormat&amp;amp;gt;&amp;amp;lt;RightHandSideExpression xml:space=&amp;amp;quot;preserve&amp;amp;quot;&amp;amp;gt;MF'"</definedName>
    <definedName name="_AMO_ContentDefinition_316789590.1555" hidden="1">"'PR01002610&amp;amp;lt;/RightHandSideExpression&amp;amp;gt;&amp;amp;lt;IsSubquery&amp;amp;gt;False&amp;amp;lt;/IsSubquery&amp;amp;gt;&amp;amp;lt;SubqueryTemplateName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316789590.1556" hidden="1">"'amp;lt;AddQuotes&amp;amp;gt;True&amp;amp;lt;/AddQuotes&amp;amp;gt;&amp;amp;lt;DateFormat&amp;amp;gt;None&amp;amp;lt;/DateFormat&amp;amp;gt;&amp;amp;lt;RightHandSideExpression xml:space=&amp;amp;quot;preserve&amp;amp;quot;&amp;amp;gt;MFPR01002618&amp;amp;lt;/RightHandSideExpression&amp;amp;gt;&amp;amp;lt;Is'"</definedName>
    <definedName name="_AMO_ContentDefinition_316789590.1557"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316789590.1558" hidden="1">"'t;DateFormat&amp;amp;gt;None&amp;amp;lt;/DateFormat&amp;amp;gt;&amp;amp;lt;RightHandSideExpression xml:space=&amp;amp;quot;preserve&amp;amp;quot;&amp;amp;gt;MFPR01002629&amp;amp;lt;/RightHandSideExpression&amp;amp;gt;&amp;amp;lt;IsSubquery&amp;amp;gt;False&amp;amp;lt;/IsSubquery&amp;amp;gt;&amp;amp;lt;Subq'"</definedName>
    <definedName name="_AMO_ContentDefinition_316789590.1559"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316789590.156" hidden="1">"'#xD;&amp;amp;#xA;'MFPR01001145',&amp;amp;#xD;&amp;amp;#xA;'MFPR01001146',&amp;amp;#xD;&amp;amp;#xA;'MFPR01001147',&amp;amp;#xD;&amp;amp;#xA;'MFPR01001151',&amp;amp;#xD;&amp;amp;#xA;'MFPR01001157',&amp;amp;#xD;&amp;amp;#xA;'MFPR01001161',&amp;amp;#xD;&amp;amp;#xA;'MFPR01001162',&amp;amp;#xD;&amp;amp;#xA;'MFPR01'"</definedName>
    <definedName name="_AMO_ContentDefinition_316789590.1560" hidden="1">"'ightHandSideExpression xml:space=&amp;amp;quot;preserve&amp;amp;quot;&amp;amp;gt;MFPR01002630&amp;amp;lt;/RightHandSideExpression&amp;amp;gt;&amp;amp;lt;IsSubquery&amp;amp;gt;False&amp;amp;lt;/IsSubquery&amp;amp;gt;&amp;amp;lt;SubqueryTemplateName /&amp;amp;gt;&amp;amp;lt;/RHSItem&amp;amp;gt;&amp;amp;lt;RH'"</definedName>
    <definedName name="_AMO_ContentDefinition_316789590.1561" hidden="1">"'SItem&amp;amp;gt;&amp;amp;lt;RHSType&amp;amp;gt;EXPRESSION&amp;amp;lt;/RHSType&amp;amp;gt;&amp;amp;lt;AddQuotes&amp;amp;gt;True&amp;amp;lt;/AddQuotes&amp;amp;gt;&amp;amp;lt;DateFormat&amp;amp;gt;None&amp;amp;lt;/DateFormat&amp;amp;gt;&amp;amp;lt;RightHandSideExpression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316789590.1562" hidden="1">"';&amp;amp;gt;MFPR01002631&amp;amp;lt;/RightHandSideExpression&amp;amp;gt;&amp;amp;lt;IsSubquery&amp;amp;gt;False&amp;amp;lt;/IsSubquery&amp;amp;gt;&amp;amp;lt;SubqueryTemplateName /&amp;amp;gt;&amp;amp;lt;/RHSItem&amp;amp;gt;&amp;amp;lt;RHSItem&amp;amp;gt;&amp;amp;lt;RHSType&amp;amp;gt;EXPRESSION&amp;amp;lt;/RHSTy'"</definedName>
    <definedName name="_AMO_ContentDefinition_316789590.1563" hidden="1">"'pe&amp;amp;gt;&amp;amp;lt;AddQuotes&amp;amp;gt;True&amp;amp;lt;/AddQuotes&amp;amp;gt;&amp;amp;lt;DateFormat&amp;amp;gt;None&amp;amp;lt;/DateFormat&amp;amp;gt;&amp;amp;lt;RightHandSideExpression xml:space=&amp;amp;quot;preserve&amp;amp;quot;&amp;amp;gt;MFPR01002633&amp;amp;lt;/RightHandSideExpression&amp;amp;gt'"</definedName>
    <definedName name="_AMO_ContentDefinition_316789590.1564"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316789590.1565" hidden="1">"'p;gt;&amp;amp;lt;DateFormat&amp;amp;gt;None&amp;amp;lt;/DateFormat&amp;amp;gt;&amp;amp;lt;RightHandSideExpression xml:space=&amp;amp;quot;preserve&amp;amp;quot;&amp;amp;gt;MFPR01002634&amp;amp;lt;/RightHandSideExpression&amp;amp;gt;&amp;amp;lt;IsSubquery&amp;amp;gt;False&amp;amp;lt;/IsSubquery&amp;amp;gt;&amp;'"</definedName>
    <definedName name="_AMO_ContentDefinition_316789590.1566"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316789590.1567" hidden="1">"'t;&amp;amp;lt;RightHandSideExpression xml:space=&amp;amp;quot;preserve&amp;amp;quot;&amp;amp;gt;MFPR01002635&amp;amp;lt;/RightHandSideExpression&amp;amp;gt;&amp;amp;lt;IsSubquery&amp;amp;gt;False&amp;amp;lt;/IsSubquery&amp;amp;gt;&amp;amp;lt;SubqueryTemplateName /&amp;amp;gt;&amp;amp;lt;/RHSItem&amp;amp;gt'"</definedName>
    <definedName name="_AMO_ContentDefinition_316789590.1568" hidden="1">"';&amp;amp;lt;RHSItem&amp;amp;gt;&amp;amp;lt;RHSType&amp;amp;gt;EXPRESSION&amp;amp;lt;/RHSType&amp;amp;gt;&amp;amp;lt;AddQuotes&amp;amp;gt;True&amp;amp;lt;/AddQuotes&amp;amp;gt;&amp;amp;lt;DateFormat&amp;amp;gt;None&amp;amp;lt;/DateFormat&amp;amp;gt;&amp;amp;lt;RightHandSideExpression xml:space=&amp;amp;quot;preser'"</definedName>
    <definedName name="_AMO_ContentDefinition_316789590.1569" hidden="1">"'ve&amp;amp;quot;&amp;amp;gt;MFPR01002636&amp;amp;lt;/RightHandSideExpression&amp;amp;gt;&amp;amp;lt;IsSubquery&amp;amp;gt;False&amp;amp;lt;/IsSubquery&amp;amp;gt;&amp;amp;lt;SubqueryTemplateName /&amp;amp;gt;&amp;amp;lt;/RHSItem&amp;amp;gt;&amp;amp;lt;RHSItem&amp;amp;gt;&amp;amp;lt;RHSType&amp;amp;gt;EXPRESSION&amp;am'"</definedName>
    <definedName name="_AMO_ContentDefinition_316789590.157" hidden="1">"'001166',&amp;amp;#xD;&amp;amp;#xA;'MFPR01001167',&amp;amp;#xD;&amp;amp;#xA;'MFPR01001168',&amp;amp;#xD;&amp;amp;#xA;'MFPR01001170',&amp;amp;#xD;&amp;amp;#xA;'MFPR01001171',&amp;amp;#xD;&amp;amp;#xA;'MFPR01001172',&amp;amp;#xD;&amp;amp;#xA;'MFPR01001173',&amp;amp;#xD;&amp;amp;#xA;'MFPR01001177',&amp;amp;#xD;&amp;am'"</definedName>
    <definedName name="_AMO_ContentDefinition_316789590.1570" hidden="1">"'p;lt;/RHSType&amp;amp;gt;&amp;amp;lt;AddQuotes&amp;amp;gt;True&amp;amp;lt;/AddQuotes&amp;amp;gt;&amp;amp;lt;DateFormat&amp;amp;gt;None&amp;amp;lt;/DateFormat&amp;amp;gt;&amp;amp;lt;RightHandSideExpression xml:space=&amp;amp;quot;preserve&amp;amp;quot;&amp;amp;gt;MFPR01002640&amp;amp;lt;/RightHandSideExpres'"</definedName>
    <definedName name="_AMO_ContentDefinition_316789590.1571"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316789590.1572" hidden="1">"'ddQuotes&amp;amp;gt;&amp;amp;lt;DateFormat&amp;amp;gt;None&amp;amp;lt;/DateFormat&amp;amp;gt;&amp;amp;lt;RightHandSideExpression xml:space=&amp;amp;quot;preserve&amp;amp;quot;&amp;amp;gt;MFPR01002646&amp;amp;lt;/RightHandSideExpression&amp;amp;gt;&amp;amp;lt;IsSubquery&amp;amp;gt;False&amp;amp;lt;/IsSubque'"</definedName>
    <definedName name="_AMO_ContentDefinition_316789590.1573"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316789590.1574" hidden="1">"'ormat&amp;amp;gt;&amp;amp;lt;RightHandSideExpression xml:space=&amp;amp;quot;preserve&amp;amp;quot;&amp;amp;gt;MFPR01002650&amp;amp;lt;/RightHandSideExpression&amp;amp;gt;&amp;amp;lt;IsSubquery&amp;amp;gt;False&amp;amp;lt;/IsSubquery&amp;amp;gt;&amp;amp;lt;SubqueryTemplateName /&amp;amp;gt;&amp;amp;lt;/RHS'"</definedName>
    <definedName name="_AMO_ContentDefinition_316789590.1575" hidden="1">"'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316789590.1576" hidden="1">"'quot;preserve&amp;amp;quot;&amp;amp;gt;MFPR01002651&amp;amp;lt;/RightHandSideExpression&amp;amp;gt;&amp;amp;lt;IsSubquery&amp;amp;gt;False&amp;amp;lt;/IsSubquery&amp;amp;gt;&amp;amp;lt;SubqueryTemplateName /&amp;amp;gt;&amp;amp;lt;/RHSItem&amp;amp;gt;&amp;amp;lt;RHSItem&amp;amp;gt;&amp;amp;lt;RHSType&amp;amp;gt;EX'"</definedName>
    <definedName name="_AMO_ContentDefinition_316789590.1577" hidden="1">"'PRESSION&amp;amp;lt;/RHSType&amp;amp;gt;&amp;amp;lt;AddQuotes&amp;amp;gt;True&amp;amp;lt;/AddQuotes&amp;amp;gt;&amp;amp;lt;DateFormat&amp;amp;gt;None&amp;amp;lt;/DateFormat&amp;amp;gt;&amp;amp;lt;RightHandSideExpression xml:space=&amp;amp;quot;preserve&amp;amp;quot;&amp;amp;gt;MFPR01002655&amp;amp;lt;/RightHan'"</definedName>
    <definedName name="_AMO_ContentDefinition_316789590.1578"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316789590.1579" hidden="1">"'e&amp;amp;lt;/AddQuotes&amp;amp;gt;&amp;amp;lt;DateFormat&amp;amp;gt;None&amp;amp;lt;/DateFormat&amp;amp;gt;&amp;amp;lt;RightHandSideExpression xml:space=&amp;amp;quot;preserve&amp;amp;quot;&amp;amp;gt;MFPR01002656&amp;amp;lt;/RightHandSideExpression&amp;amp;gt;&amp;amp;lt;IsSubquery&amp;amp;gt;False&amp;amp;l'"</definedName>
    <definedName name="_AMO_ContentDefinition_316789590.158" hidden="1">"'p;#xA;'MFPR01001184',&amp;amp;#xD;&amp;amp;#xA;'MFPR01001188',&amp;amp;#xD;&amp;amp;#xA;'MFPR01001189',&amp;amp;#xD;&amp;amp;#xA;'MFPR01001190',&amp;amp;#xD;&amp;amp;#xA;'MFPR01001198',&amp;amp;#xD;&amp;amp;#xA;'MFPR01001209',&amp;amp;#xD;&amp;amp;#xA;'MFPR01001210',&amp;amp;#xD;&amp;amp;#xA;'MFPR01001211''"</definedName>
    <definedName name="_AMO_ContentDefinition_316789590.1580"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316789590.1581" hidden="1">"'p;lt;/DateFormat&amp;amp;gt;&amp;amp;lt;RightHandSideExpression xml:space=&amp;amp;quot;preserve&amp;amp;quot;&amp;amp;gt;MFPR01002657&amp;amp;lt;/RightHandSideExpression&amp;amp;gt;&amp;amp;lt;IsSubquery&amp;amp;gt;False&amp;amp;lt;/IsSubquery&amp;amp;gt;&amp;amp;lt;SubqueryTemplateName /&amp;amp;gt;&amp;'"</definedName>
    <definedName name="_AMO_ContentDefinition_316789590.1582" hidden="1">"'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316789590.1583" hidden="1">"'space=&amp;amp;quot;preserve&amp;amp;quot;&amp;amp;gt;MFPR01002659&amp;amp;lt;/RightHandSideExpression&amp;amp;gt;&amp;amp;lt;IsSubquery&amp;amp;gt;False&amp;amp;lt;/IsSubquery&amp;amp;gt;&amp;amp;lt;SubqueryTemplateName /&amp;amp;gt;&amp;amp;lt;/RHSItem&amp;amp;gt;&amp;amp;lt;RHSItem&amp;amp;gt;&amp;amp;lt;RHSTyp'"</definedName>
    <definedName name="_AMO_ContentDefinition_316789590.1584" hidden="1">"'e&amp;amp;gt;EXPRESSION&amp;amp;lt;/RHSType&amp;amp;gt;&amp;amp;lt;AddQuotes&amp;amp;gt;True&amp;amp;lt;/AddQuotes&amp;amp;gt;&amp;amp;lt;DateFormat&amp;amp;gt;None&amp;amp;lt;/DateFormat&amp;amp;gt;&amp;amp;lt;RightHandSideExpression xml:space=&amp;amp;quot;preserve&amp;amp;quot;&amp;amp;gt;MFPR01002660&amp;amp;l'"</definedName>
    <definedName name="_AMO_ContentDefinition_316789590.1585"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316789590.1586" hidden="1">"'&amp;amp;gt;True&amp;amp;lt;/AddQuotes&amp;amp;gt;&amp;amp;lt;DateFormat&amp;amp;gt;None&amp;amp;lt;/DateFormat&amp;amp;gt;&amp;amp;lt;RightHandSideExpression xml:space=&amp;amp;quot;preserve&amp;amp;quot;&amp;amp;gt;MFPR01002661&amp;amp;lt;/RightHandSideExpression&amp;amp;gt;&amp;amp;lt;IsSubquery&amp;amp;gt;'"</definedName>
    <definedName name="_AMO_ContentDefinition_316789590.1587"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316789590.1588" hidden="1">"';gt;None&amp;amp;lt;/DateFormat&amp;amp;gt;&amp;amp;lt;RightHandSideExpression xml:space=&amp;amp;quot;preserve&amp;amp;quot;&amp;amp;gt;MFPR01002662&amp;amp;lt;/RightHandSideExpression&amp;amp;gt;&amp;amp;lt;IsSubquery&amp;amp;gt;False&amp;amp;lt;/IsSubquery&amp;amp;gt;&amp;amp;lt;SubqueryTemplateName'"</definedName>
    <definedName name="_AMO_ContentDefinition_316789590.1589"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316789590.159" hidden="1">"',&amp;amp;#xD;&amp;amp;#xA;'MFPR01001213',&amp;amp;#xD;&amp;amp;#xA;'MFPR01001214',&amp;amp;#xD;&amp;amp;#xA;'MFPR01001215',&amp;amp;#xD;&amp;amp;#xA;'MFPR01001216',&amp;amp;#xD;&amp;amp;#xA;'MFPR01001220',&amp;amp;#xD;&amp;amp;#xA;'MFPR01001226',&amp;amp;#xD;&amp;amp;#xA;'MFPR01001230',&amp;amp;#xD;&amp;amp;#xA;''"</definedName>
    <definedName name="_AMO_ContentDefinition_316789590.1590" hidden="1">"'ession xml:space=&amp;amp;quot;preserve&amp;amp;quot;&amp;amp;gt;MFPR01002666&amp;amp;lt;/RightHandSideExpression&amp;amp;gt;&amp;amp;lt;IsSubquery&amp;amp;gt;False&amp;amp;lt;/IsSubquery&amp;amp;gt;&amp;amp;lt;SubqueryTemplateName /&amp;amp;gt;&amp;amp;lt;/RHSItem&amp;amp;gt;&amp;amp;lt;RHSItem&amp;amp;gt;&amp;am'"</definedName>
    <definedName name="_AMO_ContentDefinition_316789590.1591" hidden="1">"'p;lt;RHSType&amp;amp;gt;EXPRESSION&amp;amp;lt;/RHSType&amp;amp;gt;&amp;amp;lt;AddQuotes&amp;amp;gt;True&amp;amp;lt;/AddQuotes&amp;amp;gt;&amp;amp;lt;DateFormat&amp;amp;gt;None&amp;amp;lt;/DateFormat&amp;amp;gt;&amp;amp;lt;RightHandSideExpression xml:space=&amp;amp;quot;preserve&amp;amp;quot;&amp;amp;gt;MFPR010'"</definedName>
    <definedName name="_AMO_ContentDefinition_316789590.1592" hidden="1">"'02673&amp;amp;lt;/RightHandSideExpression&amp;amp;gt;&amp;amp;lt;IsSubquery&amp;amp;gt;False&amp;amp;lt;/IsSubquery&amp;amp;gt;&amp;amp;lt;SubqueryTemplateName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316789590.1593" hidden="1">"'t;AddQuotes&amp;amp;gt;True&amp;amp;lt;/AddQuotes&amp;amp;gt;&amp;amp;lt;DateFormat&amp;amp;gt;None&amp;amp;lt;/DateFormat&amp;amp;gt;&amp;amp;lt;RightHandSideExpression xml:space=&amp;amp;quot;preserve&amp;amp;quot;&amp;amp;gt;MFPR01002677&amp;amp;lt;/RightHandSideExpression&amp;amp;gt;&amp;amp;lt;IsSubqu'"</definedName>
    <definedName name="_AMO_ContentDefinition_316789590.1594"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316789590.1595" hidden="1">"'eFormat&amp;amp;gt;None&amp;amp;lt;/DateFormat&amp;amp;gt;&amp;amp;lt;RightHandSideExpression xml:space=&amp;amp;quot;preserve&amp;amp;quot;&amp;amp;gt;MFPR01002678&amp;amp;lt;/RightHandSideExpression&amp;amp;gt;&amp;amp;lt;IsSubquery&amp;amp;gt;False&amp;amp;lt;/IsSubquery&amp;amp;gt;&amp;amp;lt;SubqueryT'"</definedName>
    <definedName name="_AMO_ContentDefinition_316789590.1596"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316789590.1597" hidden="1">"'andSideExpression xml:space=&amp;amp;quot;preserve&amp;amp;quot;&amp;amp;gt;MFPR01002679&amp;amp;lt;/RightHandSideExpression&amp;amp;gt;&amp;amp;lt;IsSubquery&amp;amp;gt;False&amp;amp;lt;/IsSubquery&amp;amp;gt;&amp;amp;lt;SubqueryTemplateName /&amp;amp;gt;&amp;amp;lt;/RHSItem&amp;amp;gt;&amp;amp;lt;RHSItem'"</definedName>
    <definedName name="_AMO_ContentDefinition_316789590.1598" hidden="1">"'&amp;amp;gt;&amp;amp;lt;RHSType&amp;amp;gt;EXPRESSION&amp;amp;lt;/RHSType&amp;amp;gt;&amp;amp;lt;AddQuotes&amp;amp;gt;True&amp;amp;lt;/AddQuotes&amp;amp;gt;&amp;amp;lt;DateFormat&amp;amp;gt;None&amp;amp;lt;/DateFormat&amp;amp;gt;&amp;amp;lt;RightHandSideExpression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316789590.1599" hidden="1">"';gt;MFPR01002687&amp;amp;lt;/RightHandSideExpression&amp;amp;gt;&amp;amp;lt;IsSubquery&amp;amp;gt;False&amp;amp;lt;/IsSubquery&amp;amp;gt;&amp;amp;lt;SubqueryTemplateName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316789590.16" hidden="1">"'51',&amp;#xD;&amp;#xA;'MFPR01000552',&amp;#xD;&amp;#xA;'MFPR01000556',&amp;#xD;&amp;#xA;'MFPR01000563',&amp;#xD;&amp;#xA;'MFPR01000567',&amp;#xD;&amp;#xA;'MFPR01000568',&amp;#xD;&amp;#xA;'MFPR01000569',&amp;#xD;&amp;#xA;'MFPR01000577',&amp;#xD;&amp;#xA;'MFPR01000588',&amp;#xD;&amp;#xA;'MFPR01000589',&amp;#xD;&amp;#xA;'MFPR0100059'"</definedName>
    <definedName name="_AMO_ContentDefinition_316789590.160" hidden="1">"'MFPR01001231',&amp;amp;#xD;&amp;amp;#xA;'MFPR01001235',&amp;amp;#xD;&amp;amp;#xA;'MFPR01001236',&amp;amp;#xD;&amp;amp;#xA;'MFPR01001237',&amp;amp;#xD;&amp;amp;#xA;'MFPR01001239',&amp;amp;#xD;&amp;amp;#xA;'MFPR01001240',&amp;amp;#xD;&amp;amp;#xA;'MFPR01001241',&amp;amp;#xD;&amp;amp;#xA;'MFPR01001242',&amp;amp;#'"</definedName>
    <definedName name="_AMO_ContentDefinition_316789590.1600" hidden="1">"'p;gt;&amp;amp;lt;AddQuotes&amp;amp;gt;True&amp;amp;lt;/AddQuotes&amp;amp;gt;&amp;amp;lt;DateFormat&amp;amp;gt;None&amp;amp;lt;/DateFormat&amp;amp;gt;&amp;amp;lt;RightHandSideExpression xml:space=&amp;amp;quot;preserve&amp;amp;quot;&amp;amp;gt;MFPR01002698&amp;amp;lt;/RightHandSideExpression&amp;amp;gt;&amp;amp'"</definedName>
    <definedName name="_AMO_ContentDefinition_316789590.1601"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316789590.1602" hidden="1">"'&amp;amp;lt;DateFormat&amp;amp;gt;None&amp;amp;lt;/DateFormat&amp;amp;gt;&amp;amp;lt;RightHandSideExpression xml:space=&amp;amp;quot;preserve&amp;amp;quot;&amp;amp;gt;MFPR01002699&amp;amp;lt;/RightHandSideExpression&amp;amp;gt;&amp;amp;lt;IsSubquery&amp;amp;gt;False&amp;amp;lt;/IsSubquery&amp;amp;gt;&amp;amp;l'"</definedName>
    <definedName name="_AMO_ContentDefinition_316789590.1603"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316789590.1604" hidden="1">"'p;lt;RightHandSideExpression xml:space=&amp;amp;quot;preserve&amp;amp;quot;&amp;amp;gt;MFPR01002700&amp;amp;lt;/RightHandSideExpression&amp;amp;gt;&amp;amp;lt;IsSubquery&amp;amp;gt;False&amp;amp;lt;/IsSubquery&amp;amp;gt;&amp;amp;lt;SubqueryTemplateName /&amp;amp;gt;&amp;amp;lt;/RHSItem&amp;amp;gt;&amp;amp'"</definedName>
    <definedName name="_AMO_ContentDefinition_316789590.1605" hidden="1">"';lt;RHSItem&amp;amp;gt;&amp;amp;lt;RHSType&amp;amp;gt;EXPRESSION&amp;amp;lt;/RHSType&amp;amp;gt;&amp;amp;lt;AddQuotes&amp;amp;gt;True&amp;amp;lt;/AddQuotes&amp;amp;gt;&amp;amp;lt;DateFormat&amp;amp;gt;None&amp;amp;lt;/DateFormat&amp;amp;gt;&amp;amp;lt;RightHandSideExpression xml:space=&amp;amp;quot;preserve&amp;am'"</definedName>
    <definedName name="_AMO_ContentDefinition_316789590.1606" hidden="1">"'p;quot;&amp;amp;gt;MFPR01002702&amp;amp;lt;/RightHandSideExpression&amp;amp;gt;&amp;amp;lt;IsSubquery&amp;amp;gt;False&amp;amp;lt;/IsSubquery&amp;amp;gt;&amp;amp;lt;SubqueryTemplateName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1607" hidden="1">"'/RHSType&amp;amp;gt;&amp;amp;lt;AddQuotes&amp;amp;gt;True&amp;amp;lt;/AddQuotes&amp;amp;gt;&amp;amp;lt;DateFormat&amp;amp;gt;None&amp;amp;lt;/DateFormat&amp;amp;gt;&amp;amp;lt;RightHandSideExpression xml:space=&amp;amp;quot;preserve&amp;amp;quot;&amp;amp;gt;MFPR01002703&amp;amp;lt;/RightHandSideExpression&amp;'"</definedName>
    <definedName name="_AMO_ContentDefinition_316789590.1608"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316789590.1609" hidden="1">"'tes&amp;amp;gt;&amp;amp;lt;DateFormat&amp;amp;gt;None&amp;amp;lt;/DateFormat&amp;amp;gt;&amp;amp;lt;RightHandSideExpression xml:space=&amp;amp;quot;preserve&amp;amp;quot;&amp;amp;gt;MFPR01002704&amp;amp;lt;/RightHandSideExpression&amp;amp;gt;&amp;amp;lt;IsSubquery&amp;amp;gt;False&amp;amp;lt;/IsSubquery&amp;am'"</definedName>
    <definedName name="_AMO_ContentDefinition_316789590.161" hidden="1">"'xD;&amp;amp;#xA;'MFPR01001246',&amp;amp;#xD;&amp;amp;#xA;'MFPR01001253',&amp;amp;#xD;&amp;amp;#xA;'MFPR01001257',&amp;amp;#xD;&amp;amp;#xA;'MFPR01001258',&amp;amp;#xD;&amp;amp;#xA;'MFPR01001259',&amp;amp;#xD;&amp;amp;#xA;'MFPR01001267',&amp;amp;#xD;&amp;amp;#xA;'MFPR01001283',&amp;amp;#xD;&amp;amp;#xA;'MFPR010'"</definedName>
    <definedName name="_AMO_ContentDefinition_316789590.1610"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316789590.1611" hidden="1">"'&amp;amp;gt;&amp;amp;lt;RightHandSideExpression xml:space=&amp;amp;quot;preserve&amp;amp;quot;&amp;amp;gt;MFPR01002705&amp;amp;lt;/RightHandSideExpression&amp;amp;gt;&amp;amp;lt;IsSubquery&amp;amp;gt;False&amp;amp;lt;/IsSubquery&amp;amp;gt;&amp;amp;lt;SubqueryTemplateName /&amp;amp;gt;&amp;amp;lt;/RHSItem&amp;'"</definedName>
    <definedName name="_AMO_ContentDefinition_316789590.1612" hidden="1">"'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1613" hidden="1">"'preserve&amp;amp;quot;&amp;amp;gt;MFPR01002709&amp;amp;lt;/RightHandSideExpression&amp;amp;gt;&amp;amp;lt;IsSubquery&amp;amp;gt;False&amp;amp;lt;/IsSubquery&amp;amp;gt;&amp;amp;lt;SubqueryTemplateName /&amp;amp;gt;&amp;amp;lt;/RHSItem&amp;amp;gt;&amp;amp;lt;RHSItem&amp;amp;gt;&amp;amp;lt;RHSType&amp;amp;gt;EXPRESS'"</definedName>
    <definedName name="_AMO_ContentDefinition_316789590.1614" hidden="1">"'ION&amp;amp;lt;/RHSType&amp;amp;gt;&amp;amp;lt;AddQuotes&amp;amp;gt;True&amp;amp;lt;/AddQuotes&amp;amp;gt;&amp;amp;lt;DateFormat&amp;amp;gt;None&amp;amp;lt;/DateFormat&amp;amp;gt;&amp;amp;lt;RightHandSideExpression xml:space=&amp;amp;quot;preserve&amp;amp;quot;&amp;amp;gt;MFPR01002715&amp;amp;lt;/RightHandSide'"</definedName>
    <definedName name="_AMO_ContentDefinition_316789590.1615"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316789590.1616" hidden="1">"';lt;/AddQuotes&amp;amp;gt;&amp;amp;lt;DateFormat&amp;amp;gt;None&amp;amp;lt;/DateFormat&amp;amp;gt;&amp;amp;lt;RightHandSideExpression xml:space=&amp;amp;quot;preserve&amp;amp;quot;&amp;amp;gt;MFPR01002719&amp;amp;lt;/RightHandSideExpression&amp;amp;gt;&amp;amp;lt;IsSubquery&amp;amp;gt;False&amp;amp;lt;/Is'"</definedName>
    <definedName name="_AMO_ContentDefinition_316789590.1617"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1618" hidden="1">"'/DateFormat&amp;amp;gt;&amp;amp;lt;RightHandSideExpression xml:space=&amp;amp;quot;preserve&amp;amp;quot;&amp;amp;gt;MFPR01002720&amp;amp;lt;/RightHandSideExpression&amp;amp;gt;&amp;amp;lt;IsSubquery&amp;amp;gt;False&amp;amp;lt;/IsSubquery&amp;amp;gt;&amp;amp;lt;SubqueryTemplateName /&amp;amp;gt;&amp;amp;l'"</definedName>
    <definedName name="_AMO_ContentDefinition_316789590.1619" hidden="1">"'t;/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316789590.162" hidden="1">"'01284',&amp;amp;#xD;&amp;amp;#xA;'MFPR01001289',&amp;amp;#xD;&amp;amp;#xA;'MFPR01001295',&amp;amp;#xD;&amp;amp;#xA;'MFPR01001299',&amp;amp;#xD;&amp;amp;#xA;'MFPR01001300',&amp;amp;#xD;&amp;amp;#xA;'MFPR01001352',&amp;amp;#xD;&amp;amp;#xA;'MFPR01001353',&amp;amp;#xD;&amp;amp;#xA;'MFPR01001358',&amp;amp;#xD;&amp;amp'"</definedName>
    <definedName name="_AMO_ContentDefinition_316789590.1620" hidden="1">"'=&amp;amp;quot;preserve&amp;amp;quot;&amp;amp;gt;MFPR01002724&amp;amp;lt;/RightHandSideExpression&amp;amp;gt;&amp;amp;lt;IsSubquery&amp;amp;gt;False&amp;amp;lt;/IsSubquery&amp;amp;gt;&amp;amp;lt;SubqueryTemplateName /&amp;amp;gt;&amp;amp;lt;/RHSItem&amp;amp;gt;&amp;amp;lt;RHSItem&amp;amp;gt;&amp;amp;lt;RHSType&amp;amp'"</definedName>
    <definedName name="_AMO_ContentDefinition_316789590.1621" hidden="1">"';gt;EXPRESSION&amp;amp;lt;/RHSType&amp;amp;gt;&amp;amp;lt;AddQuotes&amp;amp;gt;True&amp;amp;lt;/AddQuotes&amp;amp;gt;&amp;amp;lt;DateFormat&amp;amp;gt;None&amp;amp;lt;/DateFormat&amp;amp;gt;&amp;amp;lt;RightHandSideExpression xml:space=&amp;amp;quot;preserve&amp;amp;quot;&amp;amp;gt;MFPR01002725&amp;amp;lt;/Ri'"</definedName>
    <definedName name="_AMO_ContentDefinition_316789590.1622"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1623" hidden="1">"'gt;True&amp;amp;lt;/AddQuotes&amp;amp;gt;&amp;amp;lt;DateFormat&amp;amp;gt;None&amp;amp;lt;/DateFormat&amp;amp;gt;&amp;amp;lt;RightHandSideExpression xml:space=&amp;amp;quot;preserve&amp;amp;quot;&amp;amp;gt;MFPR01002726&amp;amp;lt;/RightHandSideExpression&amp;amp;gt;&amp;amp;lt;IsSubquery&amp;amp;gt;False'"</definedName>
    <definedName name="_AMO_ContentDefinition_316789590.1624"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316789590.1625" hidden="1">"'one&amp;amp;lt;/DateFormat&amp;amp;gt;&amp;amp;lt;RightHandSideExpression xml:space=&amp;amp;quot;preserve&amp;amp;quot;&amp;amp;gt;MFPR01002728&amp;amp;lt;/RightHandSideExpression&amp;amp;gt;&amp;amp;lt;IsSubquery&amp;amp;gt;False&amp;amp;lt;/IsSubquery&amp;amp;gt;&amp;amp;lt;SubqueryTemplateName /&amp;am'"</definedName>
    <definedName name="_AMO_ContentDefinition_316789590.1626"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316789590.1627" hidden="1">"'n xml:space=&amp;amp;quot;preserve&amp;amp;quot;&amp;amp;gt;MFPR01002729&amp;amp;lt;/RightHandSideExpression&amp;amp;gt;&amp;amp;lt;IsSubquery&amp;amp;gt;False&amp;amp;lt;/IsSubquery&amp;amp;gt;&amp;amp;lt;SubqueryTemplateName /&amp;amp;gt;&amp;amp;lt;/RHSItem&amp;amp;gt;&amp;amp;lt;RHSItem&amp;amp;gt;&amp;amp;lt;'"</definedName>
    <definedName name="_AMO_ContentDefinition_316789590.1628" hidden="1">"'RHSType&amp;amp;gt;EXPRESSION&amp;amp;lt;/RHSType&amp;amp;gt;&amp;amp;lt;AddQuotes&amp;amp;gt;True&amp;amp;lt;/AddQuotes&amp;amp;gt;&amp;amp;lt;DateFormat&amp;amp;gt;None&amp;amp;lt;/DateFormat&amp;amp;gt;&amp;amp;lt;RightHandSideExpression xml:space=&amp;amp;quot;preserve&amp;amp;quot;&amp;amp;gt;MFPR01002730'"</definedName>
    <definedName name="_AMO_ContentDefinition_316789590.1629"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316789590.163" hidden="1">"';#xA;'MFPR01001364',&amp;amp;#xD;&amp;amp;#xA;'MFPR01001368',&amp;amp;#xD;&amp;amp;#xA;'MFPR01001369',&amp;amp;#xD;&amp;amp;#xA;'MFPR01001421',&amp;amp;#xD;&amp;amp;#xA;'MFPR01001422',&amp;amp;#xD;&amp;amp;#xA;'MFPR01001427',&amp;amp;#xD;&amp;amp;#xA;'MFPR01001433',&amp;amp;#xD;&amp;amp;#xA;'MFPR01001437','"</definedName>
    <definedName name="_AMO_ContentDefinition_316789590.1630" hidden="1">"'Quotes&amp;amp;gt;True&amp;amp;lt;/AddQuotes&amp;amp;gt;&amp;amp;lt;DateFormat&amp;amp;gt;None&amp;amp;lt;/DateFormat&amp;amp;gt;&amp;amp;lt;RightHandSideExpression xml:space=&amp;amp;quot;preserve&amp;amp;quot;&amp;amp;gt;MFPR01002731&amp;amp;lt;/RightHandSideExpression&amp;amp;gt;&amp;amp;lt;IsSubquery&amp;a'"</definedName>
    <definedName name="_AMO_ContentDefinition_316789590.1631"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316789590.1632" hidden="1">"'at&amp;amp;gt;None&amp;amp;lt;/DateFormat&amp;amp;gt;&amp;amp;lt;RightHandSideExpression xml:space=&amp;amp;quot;preserve&amp;amp;quot;&amp;amp;gt;MFPR01002735&amp;amp;lt;/RightHandSideExpression&amp;amp;gt;&amp;amp;lt;IsSubquery&amp;amp;gt;False&amp;amp;lt;/IsSubquery&amp;amp;gt;&amp;amp;lt;SubqueryTempla'"</definedName>
    <definedName name="_AMO_ContentDefinition_316789590.1633"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316789590.1634" hidden="1">"'deExpression xml:space=&amp;amp;quot;preserve&amp;amp;quot;&amp;amp;gt;MFPR01002742&amp;amp;lt;/RightHandSideExpression&amp;amp;gt;&amp;amp;lt;IsSubquery&amp;amp;gt;False&amp;amp;lt;/IsSubquery&amp;amp;gt;&amp;amp;lt;SubqueryTemplateName /&amp;amp;gt;&amp;amp;lt;/RHSItem&amp;amp;gt;&amp;amp;lt;RHSItem&amp;amp;'"</definedName>
    <definedName name="_AMO_ContentDefinition_316789590.1635" hidden="1">"'gt;&amp;amp;lt;RHSType&amp;amp;gt;EXPRESSION&amp;amp;lt;/RHSType&amp;amp;gt;&amp;amp;lt;AddQuotes&amp;amp;gt;True&amp;amp;lt;/AddQuotes&amp;amp;gt;&amp;amp;lt;DateFormat&amp;amp;gt;None&amp;amp;lt;/DateFormat&amp;amp;gt;&amp;amp;lt;RightHandSideExpression xml:space=&amp;amp;quot;preserve&amp;amp;quot;&amp;amp;gt;M'"</definedName>
    <definedName name="_AMO_ContentDefinition_316789590.1636" hidden="1">"'FPR01002746&amp;amp;lt;/RightHandSideExpression&amp;amp;gt;&amp;amp;lt;IsSubquery&amp;amp;gt;False&amp;amp;lt;/IsSubquery&amp;amp;gt;&amp;amp;lt;SubqueryTemplateName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1637" hidden="1">"'&amp;amp;lt;AddQuotes&amp;amp;gt;True&amp;amp;lt;/AddQuotes&amp;amp;gt;&amp;amp;lt;DateFormat&amp;amp;gt;None&amp;amp;lt;/DateFormat&amp;amp;gt;&amp;amp;lt;RightHandSideExpression xml:space=&amp;amp;quot;preserve&amp;amp;quot;&amp;amp;gt;MFPR01002747&amp;amp;lt;/RightHandSideExpression&amp;amp;gt;&amp;amp;lt;I'"</definedName>
    <definedName name="_AMO_ContentDefinition_316789590.1638"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1639" hidden="1">"'lt;DateFormat&amp;amp;gt;None&amp;amp;lt;/DateFormat&amp;amp;gt;&amp;amp;lt;RightHandSideExpression xml:space=&amp;amp;quot;preserve&amp;amp;quot;&amp;amp;gt;MFPR01002748&amp;amp;lt;/RightHandSideExpression&amp;amp;gt;&amp;amp;lt;IsSubquery&amp;amp;gt;False&amp;amp;lt;/IsSubquery&amp;amp;gt;&amp;amp;lt;Sub'"</definedName>
    <definedName name="_AMO_ContentDefinition_316789590.164" hidden="1">"'&amp;amp;#xD;&amp;amp;#xA;'MFPR01001438',&amp;amp;#xD;&amp;amp;#xA;'MFPR01001554',&amp;amp;#xD;&amp;amp;#xA;'MFPR01001555',&amp;amp;#xD;&amp;amp;#xA;'MFPR01001556',&amp;amp;#xD;&amp;amp;#xA;'MFPR01001558',&amp;amp;#xD;&amp;amp;#xA;'MFPR01001559',&amp;amp;#xD;&amp;amp;#xA;'MFPR01001560',&amp;amp;#xD;&amp;amp;#xA;'M'"</definedName>
    <definedName name="_AMO_ContentDefinition_316789590.1640"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1641" hidden="1">"'RightHandSideExpression xml:space=&amp;amp;quot;preserve&amp;amp;quot;&amp;amp;gt;MFPR01002756&amp;amp;lt;/RightHandSideExpression&amp;amp;gt;&amp;amp;lt;IsSubquery&amp;amp;gt;False&amp;amp;lt;/IsSubquery&amp;amp;gt;&amp;amp;lt;SubqueryTemplateName /&amp;amp;gt;&amp;amp;lt;/RHSItem&amp;amp;gt;&amp;amp;lt;R'"</definedName>
    <definedName name="_AMO_ContentDefinition_316789590.1642" hidden="1">"'HSItem&amp;amp;gt;&amp;amp;lt;RHSType&amp;amp;gt;EXPRESSION&amp;amp;lt;/RHSType&amp;amp;gt;&amp;amp;lt;AddQuotes&amp;amp;gt;True&amp;amp;lt;/AddQuotes&amp;amp;gt;&amp;amp;lt;DateFormat&amp;amp;gt;None&amp;amp;lt;/DateFormat&amp;amp;gt;&amp;amp;lt;RightHandSideExpression xml:space=&amp;amp;quot;preserve&amp;amp;quo'"</definedName>
    <definedName name="_AMO_ContentDefinition_316789590.1643" hidden="1">"'t;&amp;amp;gt;MFPR01002767&amp;amp;lt;/RightHandSideExpression&amp;amp;gt;&amp;amp;lt;IsSubquery&amp;amp;gt;False&amp;amp;lt;/IsSubquery&amp;amp;gt;&amp;amp;lt;SubqueryTemplateName /&amp;amp;gt;&amp;amp;lt;/RHSItem&amp;amp;gt;&amp;amp;lt;RHSItem&amp;amp;gt;&amp;amp;lt;RHSType&amp;amp;gt;EXPRESSION&amp;amp;lt;/RHST'"</definedName>
    <definedName name="_AMO_ContentDefinition_316789590.1644" hidden="1">"'ype&amp;amp;gt;&amp;amp;lt;AddQuotes&amp;amp;gt;True&amp;amp;lt;/AddQuotes&amp;amp;gt;&amp;amp;lt;DateFormat&amp;amp;gt;None&amp;amp;lt;/DateFormat&amp;amp;gt;&amp;amp;lt;RightHandSideExpression xml:space=&amp;amp;quot;preserve&amp;amp;quot;&amp;amp;gt;MFPR01002768&amp;amp;lt;/RightHandSideExpression&amp;amp;g'"</definedName>
    <definedName name="_AMO_ContentDefinition_316789590.1645"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316789590.1646" hidden="1">"'mp;gt;&amp;amp;lt;DateFormat&amp;amp;gt;None&amp;amp;lt;/DateFormat&amp;amp;gt;&amp;amp;lt;RightHandSideExpression xml:space=&amp;amp;quot;preserve&amp;amp;quot;&amp;amp;gt;MFPR01002769&amp;amp;lt;/RightHandSideExpression&amp;amp;gt;&amp;amp;lt;IsSubquery&amp;amp;gt;False&amp;amp;lt;/IsSubquery&amp;amp;gt;'"</definedName>
    <definedName name="_AMO_ContentDefinition_316789590.1647"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1648" hidden="1">"'gt;&amp;amp;lt;RightHandSideExpression xml:space=&amp;amp;quot;preserve&amp;amp;quot;&amp;amp;gt;MFPR01002771&amp;amp;lt;/RightHandSideExpression&amp;amp;gt;&amp;amp;lt;IsSubquery&amp;amp;gt;False&amp;amp;lt;/IsSubquery&amp;amp;gt;&amp;amp;lt;SubqueryTemplateName /&amp;amp;gt;&amp;amp;lt;/RHSItem&amp;amp;g'"</definedName>
    <definedName name="_AMO_ContentDefinition_316789590.1649" hidden="1">"'t;&amp;amp;lt;RHSItem&amp;amp;gt;&amp;amp;lt;RHSType&amp;amp;gt;EXPRESSION&amp;amp;lt;/RHSType&amp;amp;gt;&amp;amp;lt;AddQuotes&amp;amp;gt;True&amp;amp;lt;/AddQuotes&amp;amp;gt;&amp;amp;lt;DateFormat&amp;amp;gt;None&amp;amp;lt;/DateFormat&amp;amp;gt;&amp;amp;lt;RightHandSideExpression xml:space=&amp;amp;quot;prese'"</definedName>
    <definedName name="_AMO_ContentDefinition_316789590.165" hidden="1">"'FPR01001561',&amp;amp;#xD;&amp;amp;#xA;'MFPR01001565',&amp;amp;#xD;&amp;amp;#xA;'MFPR01001571',&amp;amp;#xD;&amp;amp;#xA;'MFPR01001575',&amp;amp;#xD;&amp;amp;#xA;'MFPR01001576',&amp;amp;#xD;&amp;amp;#xA;'MFPR01001580',&amp;amp;#xD;&amp;amp;#xA;'MFPR01001581',&amp;amp;#xD;&amp;amp;#xA;'MFPR01001582',&amp;amp;#x'"</definedName>
    <definedName name="_AMO_ContentDefinition_316789590.1650" hidden="1">"'rve&amp;amp;quot;&amp;amp;gt;MFPR01002772&amp;amp;lt;/RightHandSideExpression&amp;amp;gt;&amp;amp;lt;IsSubquery&amp;amp;gt;False&amp;amp;lt;/IsSubquery&amp;amp;gt;&amp;amp;lt;SubqueryTemplateName /&amp;amp;gt;&amp;amp;lt;/RHSItem&amp;amp;gt;&amp;amp;lt;RHSItem&amp;amp;gt;&amp;amp;lt;RHSType&amp;amp;gt;EXPRESSION&amp;a'"</definedName>
    <definedName name="_AMO_ContentDefinition_316789590.1651" hidden="1">"'mp;lt;/RHSType&amp;amp;gt;&amp;amp;lt;AddQuotes&amp;amp;gt;True&amp;amp;lt;/AddQuotes&amp;amp;gt;&amp;amp;lt;DateFormat&amp;amp;gt;None&amp;amp;lt;/DateFormat&amp;amp;gt;&amp;amp;lt;RightHandSideExpression xml:space=&amp;amp;quot;preserve&amp;amp;quot;&amp;amp;gt;MFPR01002773&amp;amp;lt;/RightHandSideExpre'"</definedName>
    <definedName name="_AMO_ContentDefinition_316789590.1652"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1653" hidden="1">"'AddQuotes&amp;amp;gt;&amp;amp;lt;DateFormat&amp;amp;gt;None&amp;amp;lt;/DateFormat&amp;amp;gt;&amp;amp;lt;RightHandSideExpression xml:space=&amp;amp;quot;preserve&amp;amp;quot;&amp;amp;gt;MFPR01002774&amp;amp;lt;/RightHandSideExpression&amp;amp;gt;&amp;amp;lt;IsSubquery&amp;amp;gt;False&amp;amp;lt;/IsSubqu'"</definedName>
    <definedName name="_AMO_ContentDefinition_316789590.1654"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316789590.1655" hidden="1">"'Format&amp;amp;gt;&amp;amp;lt;RightHandSideExpression xml:space=&amp;amp;quot;preserve&amp;amp;quot;&amp;amp;gt;MFPR01002778&amp;amp;lt;/RightHandSideExpression&amp;amp;gt;&amp;amp;lt;IsSubquery&amp;amp;gt;False&amp;amp;lt;/IsSubquery&amp;amp;gt;&amp;amp;lt;SubqueryTemplateName /&amp;amp;gt;&amp;amp;lt;/RH'"</definedName>
    <definedName name="_AMO_ContentDefinition_316789590.1656" hidden="1">"'S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316789590.1657" hidden="1">"';quot;preserve&amp;amp;quot;&amp;amp;gt;MFPR01002784&amp;amp;lt;/RightHandSideExpression&amp;amp;gt;&amp;amp;lt;IsSubquery&amp;amp;gt;False&amp;amp;lt;/IsSubquery&amp;amp;gt;&amp;amp;lt;SubqueryTemplateName /&amp;amp;gt;&amp;amp;lt;/RHSItem&amp;amp;gt;&amp;amp;lt;RHSItem&amp;amp;gt;&amp;amp;lt;RHSType&amp;amp;gt;E'"</definedName>
    <definedName name="_AMO_ContentDefinition_316789590.1658" hidden="1">"'XPRESSION&amp;amp;lt;/RHSType&amp;amp;gt;&amp;amp;lt;AddQuotes&amp;amp;gt;True&amp;amp;lt;/AddQuotes&amp;amp;gt;&amp;amp;lt;DateFormat&amp;amp;gt;None&amp;amp;lt;/DateFormat&amp;amp;gt;&amp;amp;lt;RightHandSideExpression xml:space=&amp;amp;quot;preserve&amp;amp;quot;&amp;amp;gt;MFPR01002788&amp;amp;lt;/RightHa'"</definedName>
    <definedName name="_AMO_ContentDefinition_316789590.1659"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316789590.166" hidden="1">"'D;&amp;amp;#xA;'MFPR01001584',&amp;amp;#xD;&amp;amp;#xA;'MFPR01001585',&amp;amp;#xD;&amp;amp;#xA;'MFPR01001586',&amp;amp;#xD;&amp;amp;#xA;'MFPR01001587',&amp;amp;#xD;&amp;amp;#xA;'MFPR01001591',&amp;amp;#xD;&amp;amp;#xA;'MFPR01001598',&amp;amp;#xD;&amp;amp;#xA;'MFPR01001602',&amp;amp;#xD;&amp;amp;#xA;'MFPR0100'"</definedName>
    <definedName name="_AMO_ContentDefinition_316789590.1660" hidden="1">"'ue&amp;amp;lt;/AddQuotes&amp;amp;gt;&amp;amp;lt;DateFormat&amp;amp;gt;None&amp;amp;lt;/DateFormat&amp;amp;gt;&amp;amp;lt;RightHandSideExpression xml:space=&amp;amp;quot;preserve&amp;amp;quot;&amp;amp;gt;MFPR01002789&amp;amp;lt;/RightHandSideExpression&amp;amp;gt;&amp;amp;lt;IsSubquery&amp;amp;gt;False&amp;amp;'"</definedName>
    <definedName name="_AMO_ContentDefinition_316789590.1661"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316789590.1662" hidden="1">"'mp;lt;/DateFormat&amp;amp;gt;&amp;amp;lt;RightHandSideExpression xml:space=&amp;amp;quot;preserve&amp;amp;quot;&amp;amp;gt;MFPR01002793&amp;amp;lt;/RightHandSideExpression&amp;amp;gt;&amp;amp;lt;IsSubquery&amp;amp;gt;False&amp;amp;lt;/IsSubquery&amp;amp;gt;&amp;amp;lt;SubqueryTemplateName /&amp;amp;gt;'"</definedName>
    <definedName name="_AMO_ContentDefinition_316789590.1663" hidden="1">"'&amp;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316789590.1664" hidden="1">"':space=&amp;amp;quot;preserve&amp;amp;quot;&amp;amp;gt;MFPR01002794&amp;amp;lt;/RightHandSideExpression&amp;amp;gt;&amp;amp;lt;IsSubquery&amp;amp;gt;False&amp;amp;lt;/IsSubquery&amp;amp;gt;&amp;amp;lt;SubqueryTemplateName /&amp;amp;gt;&amp;amp;lt;/RHSItem&amp;amp;gt;&amp;amp;lt;RHSItem&amp;amp;gt;&amp;amp;lt;RHSTy'"</definedName>
    <definedName name="_AMO_ContentDefinition_316789590.1665" hidden="1">"'pe&amp;amp;gt;EXPRESSION&amp;amp;lt;/RHSType&amp;amp;gt;&amp;amp;lt;AddQuotes&amp;amp;gt;True&amp;amp;lt;/AddQuotes&amp;amp;gt;&amp;amp;lt;DateFormat&amp;amp;gt;None&amp;amp;lt;/DateFormat&amp;amp;gt;&amp;amp;lt;RightHandSideExpression xml:space=&amp;amp;quot;preserve&amp;amp;quot;&amp;amp;gt;MFPR01002795&amp;amp;'"</definedName>
    <definedName name="_AMO_ContentDefinition_316789590.1666"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316789590.1667" hidden="1">"'s&amp;amp;gt;True&amp;amp;lt;/AddQuotes&amp;amp;gt;&amp;amp;lt;DateFormat&amp;amp;gt;None&amp;amp;lt;/DateFormat&amp;amp;gt;&amp;amp;lt;RightHandSideExpression xml:space=&amp;amp;quot;preserve&amp;amp;quot;&amp;amp;gt;MFPR01002797&amp;amp;lt;/RightHandSideExpression&amp;amp;gt;&amp;amp;lt;IsSubquery&amp;amp;gt'"</definedName>
    <definedName name="_AMO_ContentDefinition_316789590.1668"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316789590.1669" hidden="1">"'p;gt;None&amp;amp;lt;/DateFormat&amp;amp;gt;&amp;amp;lt;RightHandSideExpression xml:space=&amp;amp;quot;preserve&amp;amp;quot;&amp;amp;gt;MFPR01002798&amp;amp;lt;/RightHandSideExpression&amp;amp;gt;&amp;amp;lt;IsSubquery&amp;amp;gt;False&amp;amp;lt;/IsSubquery&amp;amp;gt;&amp;amp;lt;SubqueryTemplateNam'"</definedName>
    <definedName name="_AMO_ContentDefinition_316789590.167" hidden="1">"'1603',&amp;amp;#xD;&amp;amp;#xA;'MFPR01001604',&amp;amp;#xD;&amp;amp;#xA;'MFPR01001612',&amp;amp;#xD;&amp;amp;#xA;'MFPR01001623',&amp;amp;#xD;&amp;amp;#xA;'MFPR01001624',&amp;amp;#xD;&amp;amp;#xA;'MFPR01001625',&amp;amp;#xD;&amp;amp;#xA;'MFPR01001627',&amp;amp;#xD;&amp;amp;#xA;'MFPR01001628',&amp;amp;#xD;&amp;amp;'"</definedName>
    <definedName name="_AMO_ContentDefinition_316789590.1670"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316789590.1671" hidden="1">"'ression xml:space=&amp;amp;quot;preserve&amp;amp;quot;&amp;amp;gt;MFPR01002799&amp;amp;lt;/RightHandSideExpression&amp;amp;gt;&amp;amp;lt;IsSubquery&amp;amp;gt;False&amp;amp;lt;/IsSubquery&amp;amp;gt;&amp;amp;lt;SubqueryTemplateName /&amp;amp;gt;&amp;amp;lt;/RHSItem&amp;amp;gt;&amp;amp;lt;RHSItem&amp;amp;gt;&amp;a'"</definedName>
    <definedName name="_AMO_ContentDefinition_316789590.1672" hidden="1">"'mp;lt;RHSType&amp;amp;gt;EXPRESSION&amp;amp;lt;/RHSType&amp;amp;gt;&amp;amp;lt;AddQuotes&amp;amp;gt;True&amp;amp;lt;/AddQuotes&amp;amp;gt;&amp;amp;lt;DateFormat&amp;amp;gt;None&amp;amp;lt;/DateFormat&amp;amp;gt;&amp;amp;lt;RightHandSideExpression xml:space=&amp;amp;quot;preserve&amp;amp;quot;&amp;amp;gt;MFPR01'"</definedName>
    <definedName name="_AMO_ContentDefinition_316789590.1673" hidden="1">"'002800&amp;amp;lt;/RightHandSideExpression&amp;amp;gt;&amp;amp;lt;IsSubquery&amp;amp;gt;False&amp;amp;lt;/IsSubquery&amp;amp;gt;&amp;amp;lt;SubqueryTemplateName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1674" hidden="1">"'lt;AddQuotes&amp;amp;gt;True&amp;amp;lt;/AddQuotes&amp;amp;gt;&amp;amp;lt;DateFormat&amp;amp;gt;None&amp;amp;lt;/DateFormat&amp;amp;gt;&amp;amp;lt;RightHandSideExpression xml:space=&amp;amp;quot;preserve&amp;amp;quot;&amp;amp;gt;MFPR01002804&amp;amp;lt;/RightHandSideExpression&amp;amp;gt;&amp;amp;lt;IsSubq'"</definedName>
    <definedName name="_AMO_ContentDefinition_316789590.1675"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316789590.1676" hidden="1">"'teFormat&amp;amp;gt;None&amp;amp;lt;/DateFormat&amp;amp;gt;&amp;amp;lt;RightHandSideExpression xml:space=&amp;amp;quot;preserve&amp;amp;quot;&amp;amp;gt;MFPR01002811&amp;amp;lt;/RightHandSideExpression&amp;amp;gt;&amp;amp;lt;IsSubquery&amp;amp;gt;False&amp;amp;lt;/IsSubquery&amp;amp;gt;&amp;amp;lt;Subquery'"</definedName>
    <definedName name="_AMO_ContentDefinition_316789590.1677"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316789590.1678" hidden="1">"'HandSideExpression xml:space=&amp;amp;quot;preserve&amp;amp;quot;&amp;amp;gt;MFPR01002815&amp;amp;lt;/RightHandSideExpression&amp;amp;gt;&amp;amp;lt;IsSubquery&amp;amp;gt;False&amp;amp;lt;/IsSubquery&amp;amp;gt;&amp;amp;lt;SubqueryTemplateName /&amp;amp;gt;&amp;amp;lt;/RHSItem&amp;amp;gt;&amp;amp;lt;RHSIte'"</definedName>
    <definedName name="_AMO_ContentDefinition_316789590.1679" hidden="1">"'m&amp;amp;gt;&amp;amp;lt;RHSType&amp;amp;gt;EXPRESSION&amp;amp;lt;/RHSType&amp;amp;gt;&amp;amp;lt;AddQuotes&amp;amp;gt;True&amp;amp;lt;/AddQuotes&amp;amp;gt;&amp;amp;lt;DateFormat&amp;amp;gt;None&amp;amp;lt;/DateFormat&amp;amp;gt;&amp;amp;lt;RightHandSideExpression xml:space=&amp;amp;quot;preserve&amp;amp;quot;&amp;am'"</definedName>
    <definedName name="_AMO_ContentDefinition_316789590.168" hidden="1">"'#xA;'MFPR01001629',&amp;amp;#xD;&amp;amp;#xA;'MFPR01001630',&amp;amp;#xD;&amp;amp;#xA;'MFPR01001634',&amp;amp;#xD;&amp;amp;#xA;'MFPR01001640',&amp;amp;#xD;&amp;amp;#xA;'MFPR01001644',&amp;amp;#xD;&amp;amp;#xA;'MFPR01001645',&amp;amp;#xD;&amp;amp;#xA;'MFPR01001649',&amp;amp;#xD;&amp;amp;#xA;'MFPR01001650',&amp;'"</definedName>
    <definedName name="_AMO_ContentDefinition_316789590.1680" hidden="1">"'p;gt;MFPR01002816&amp;amp;lt;/RightHandSideExpression&amp;amp;gt;&amp;amp;lt;IsSubquery&amp;amp;gt;False&amp;amp;lt;/IsSubquery&amp;amp;gt;&amp;amp;lt;SubqueryTemplateName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316789590.1681" hidden="1">"'mp;gt;&amp;amp;lt;AddQuotes&amp;amp;gt;True&amp;amp;lt;/AddQuotes&amp;amp;gt;&amp;amp;lt;DateFormat&amp;amp;gt;None&amp;amp;lt;/DateFormat&amp;amp;gt;&amp;amp;lt;RightHandSideExpression xml:space=&amp;amp;quot;preserve&amp;amp;quot;&amp;amp;gt;MFPR01002817&amp;amp;lt;/RightHandSideExpression&amp;amp;gt;&amp;am'"</definedName>
    <definedName name="_AMO_ContentDefinition_316789590.1682"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316789590.1683" hidden="1">"';&amp;amp;lt;DateFormat&amp;amp;gt;None&amp;amp;lt;/DateFormat&amp;amp;gt;&amp;amp;lt;RightHandSideExpression xml:space=&amp;amp;quot;preserve&amp;amp;quot;&amp;amp;gt;MFPR01002825&amp;amp;lt;/RightHandSideExpression&amp;amp;gt;&amp;amp;lt;IsSubquery&amp;amp;gt;False&amp;amp;lt;/IsSubquery&amp;amp;gt;&amp;amp;'"</definedName>
    <definedName name="_AMO_ContentDefinition_316789590.1684"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316789590.1685" hidden="1">"'mp;lt;RightHandSideExpression xml:space=&amp;amp;quot;preserve&amp;amp;quot;&amp;amp;gt;MFPR01002835&amp;amp;lt;/RightHandSideExpression&amp;amp;gt;&amp;amp;lt;IsSubquery&amp;amp;gt;False&amp;amp;lt;/IsSubquery&amp;amp;gt;&amp;amp;lt;SubqueryTemplateName /&amp;amp;gt;&amp;amp;lt;/RHSItem&amp;amp;gt;&amp;am'"</definedName>
    <definedName name="_AMO_ContentDefinition_316789590.1686" hidden="1">"'p;lt;RHSItem&amp;amp;gt;&amp;amp;lt;RHSType&amp;amp;gt;EXPRESSION&amp;amp;lt;/RHSType&amp;amp;gt;&amp;amp;lt;AddQuotes&amp;amp;gt;True&amp;amp;lt;/AddQuotes&amp;amp;gt;&amp;amp;lt;DateFormat&amp;amp;gt;None&amp;amp;lt;/DateFormat&amp;amp;gt;&amp;amp;lt;RightHandSideExpression xml:space=&amp;amp;quot;preserve&amp;a'"</definedName>
    <definedName name="_AMO_ContentDefinition_316789590.1687" hidden="1">"'mp;quot;&amp;amp;gt;MFPR01002836&amp;amp;lt;/RightHandSideExpression&amp;amp;gt;&amp;amp;lt;IsSubquery&amp;amp;gt;False&amp;amp;lt;/IsSubquery&amp;amp;gt;&amp;amp;lt;SubqueryTemplateName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1688" hidden="1">"';/RHSType&amp;amp;gt;&amp;amp;lt;AddQuotes&amp;amp;gt;True&amp;amp;lt;/AddQuotes&amp;amp;gt;&amp;amp;lt;DateFormat&amp;amp;gt;None&amp;amp;lt;/DateFormat&amp;amp;gt;&amp;amp;lt;RightHandSideExpression xml:space=&amp;amp;quot;preserve&amp;amp;quot;&amp;amp;gt;MFPR01002840&amp;amp;lt;/RightHandSideExpression'"</definedName>
    <definedName name="_AMO_ContentDefinition_316789590.1689"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316789590.169" hidden="1">"'amp;#xD;&amp;amp;#xA;'MFPR01001651',&amp;amp;#xD;&amp;amp;#xA;'MFPR01001653',&amp;amp;#xD;&amp;amp;#xA;'MFPR01001654',&amp;amp;#xD;&amp;amp;#xA;'MFPR01001655',&amp;amp;#xD;&amp;amp;#xA;'MFPR01001656',&amp;amp;#xD;&amp;amp;#xA;'MFPR01001660',&amp;amp;#xD;&amp;amp;#xA;'MFPR01001667',&amp;amp;#xD;&amp;amp;#xA;'MF'"</definedName>
    <definedName name="_AMO_ContentDefinition_316789590.1690" hidden="1">"'otes&amp;amp;gt;&amp;amp;lt;DateFormat&amp;amp;gt;None&amp;amp;lt;/DateFormat&amp;amp;gt;&amp;amp;lt;RightHandSideExpression xml:space=&amp;amp;quot;preserve&amp;amp;quot;&amp;amp;gt;MFPR01002848&amp;amp;lt;/RightHandSideExpression&amp;amp;gt;&amp;amp;lt;IsSubquery&amp;amp;gt;False&amp;amp;lt;/IsSubquery&amp;a'"</definedName>
    <definedName name="_AMO_ContentDefinition_316789590.1691"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316789590.1692" hidden="1">"'t&amp;amp;gt;&amp;amp;lt;RightHandSideExpression xml:space=&amp;amp;quot;preserve&amp;amp;quot;&amp;amp;gt;MFPR01002849&amp;amp;lt;/RightHandSideExpression&amp;amp;gt;&amp;amp;lt;IsSubquery&amp;amp;gt;False&amp;amp;lt;/IsSubquery&amp;amp;gt;&amp;amp;lt;SubqueryTemplateName /&amp;amp;gt;&amp;amp;lt;/RHSItem'"</definedName>
    <definedName name="_AMO_ContentDefinition_316789590.1693" hidden="1">"'&amp;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1694" hidden="1">"';preserve&amp;amp;quot;&amp;amp;gt;MFPR01002853&amp;amp;lt;/RightHandSideExpression&amp;amp;gt;&amp;amp;lt;IsSubquery&amp;amp;gt;False&amp;amp;lt;/IsSubquery&amp;amp;gt;&amp;amp;lt;SubqueryTemplateName /&amp;amp;gt;&amp;amp;lt;/RHSItem&amp;amp;gt;&amp;amp;lt;RHSItem&amp;amp;gt;&amp;amp;lt;RHSType&amp;amp;gt;EXPRES'"</definedName>
    <definedName name="_AMO_ContentDefinition_316789590.1695" hidden="1">"'SION&amp;amp;lt;/RHSType&amp;amp;gt;&amp;amp;lt;AddQuotes&amp;amp;gt;True&amp;amp;lt;/AddQuotes&amp;amp;gt;&amp;amp;lt;DateFormat&amp;amp;gt;None&amp;amp;lt;/DateFormat&amp;amp;gt;&amp;amp;lt;RightHandSideExpression xml:space=&amp;amp;quot;preserve&amp;amp;quot;&amp;amp;gt;MFPR01002860&amp;amp;lt;/RightHandSid'"</definedName>
    <definedName name="_AMO_ContentDefinition_316789590.1696"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316789590.1697" hidden="1">"'p;lt;/AddQuotes&amp;amp;gt;&amp;amp;lt;DateFormat&amp;amp;gt;None&amp;amp;lt;/DateFormat&amp;amp;gt;&amp;amp;lt;RightHandSideExpression xml:space=&amp;amp;quot;preserve&amp;amp;quot;&amp;amp;gt;MFPR01002863&amp;amp;lt;/RightHandSideExpression&amp;amp;gt;&amp;amp;lt;IsSubquery&amp;amp;gt;False&amp;amp;lt;/I'"</definedName>
    <definedName name="_AMO_ContentDefinition_316789590.1698"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1699" hidden="1">"';/DateFormat&amp;amp;gt;&amp;amp;lt;RightHandSideExpression xml:space=&amp;amp;quot;preserve&amp;amp;quot;&amp;amp;gt;MFPR01002869&amp;amp;lt;/RightHandSideExpression&amp;amp;gt;&amp;amp;lt;IsSubquery&amp;amp;gt;False&amp;amp;lt;/IsSubquery&amp;amp;gt;&amp;amp;lt;SubqueryTemplateName /&amp;amp;gt;&amp;amp;'"</definedName>
    <definedName name="_AMO_ContentDefinition_316789590.17" hidden="1">"'0',&amp;#xD;&amp;#xA;'MFPR01000592',&amp;#xD;&amp;#xA;'MFPR01000593',&amp;#xD;&amp;#xA;'MFPR01000594',&amp;#xD;&amp;#xA;'MFPR01000595',&amp;#xD;&amp;#xA;'MFPR01000599',&amp;#xD;&amp;#xA;'MFPR01000605',&amp;#xD;&amp;#xA;'MFPR01000609',&amp;#xD;&amp;#xA;'MFPR01000610',&amp;#xD;&amp;#xA;'MFPR01000614',&amp;#xD;&amp;#xA;'MFPR01000615'"</definedName>
    <definedName name="_AMO_ContentDefinition_316789590.170" hidden="1">"'PR01001671',&amp;amp;#xD;&amp;amp;#xA;'MFPR01001672',&amp;amp;#xD;&amp;amp;#xA;'MFPR01001673',&amp;amp;#xD;&amp;amp;#xA;'MFPR01001681',&amp;amp;#xD;&amp;amp;#xA;'MFPR01001691',&amp;amp;#xD;&amp;amp;#xA;'MFPR01001692',&amp;amp;#xD;&amp;amp;#xA;'MFPR01001693',&amp;amp;#xD;&amp;amp;#xA;'MFPR01001694',&amp;amp;#xD'"</definedName>
    <definedName name="_AMO_ContentDefinition_316789590.1700" hidden="1">"'lt;/RHSItem&amp;amp;gt;&amp;amp;lt;RHSItem&amp;amp;gt;&amp;amp;lt;RHSType&amp;amp;gt;EXPRESSION&amp;amp;lt;/RHSType&amp;amp;gt;&amp;amp;lt;AddQuotes&amp;amp;gt;True&amp;amp;lt;/AddQuotes&amp;amp;gt;&amp;amp;lt;DateFormat&amp;amp;gt;None&amp;amp;lt;/DateFormat&amp;amp;gt;&amp;amp;lt;RightHandSideExpression xml:spac'"</definedName>
    <definedName name="_AMO_ContentDefinition_316789590.1701" hidden="1">"'e=&amp;amp;quot;preserve&amp;amp;quot;&amp;amp;gt;MFPR01002870&amp;amp;lt;/RightHandSideExpression&amp;amp;gt;&amp;amp;lt;IsSubquery&amp;amp;gt;False&amp;amp;lt;/IsSubquery&amp;amp;gt;&amp;amp;lt;SubqueryTemplateName /&amp;amp;gt;&amp;amp;lt;/RHSItem&amp;amp;gt;&amp;amp;lt;RHSItem&amp;amp;gt;&amp;amp;lt;RHSType&amp;am'"</definedName>
    <definedName name="_AMO_ContentDefinition_316789590.1702" hidden="1">"'p;gt;EXPRESSION&amp;amp;lt;/RHSType&amp;amp;gt;&amp;amp;lt;AddQuotes&amp;amp;gt;True&amp;amp;lt;/AddQuotes&amp;amp;gt;&amp;amp;lt;DateFormat&amp;amp;gt;None&amp;amp;lt;/DateFormat&amp;amp;gt;&amp;amp;lt;RightHandSideExpression xml:space=&amp;amp;quot;preserve&amp;amp;quot;&amp;amp;gt;MFPR01002871&amp;amp;lt;/R'"</definedName>
    <definedName name="_AMO_ContentDefinition_316789590.1703"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1704" hidden="1">"';gt;True&amp;amp;lt;/AddQuotes&amp;amp;gt;&amp;amp;lt;DateFormat&amp;amp;gt;None&amp;amp;lt;/DateFormat&amp;amp;gt;&amp;amp;lt;RightHandSideExpression xml:space=&amp;amp;quot;preserve&amp;amp;quot;&amp;amp;gt;MFPR01002873&amp;amp;lt;/RightHandSideExpression&amp;amp;gt;&amp;amp;lt;IsSubquery&amp;amp;gt;Fals'"</definedName>
    <definedName name="_AMO_ContentDefinition_316789590.1705"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1706" hidden="1">"'None&amp;amp;lt;/DateFormat&amp;amp;gt;&amp;amp;lt;RightHandSideExpression xml:space=&amp;amp;quot;preserve&amp;amp;quot;&amp;amp;gt;MFPR01002874&amp;amp;lt;/RightHandSideExpression&amp;amp;gt;&amp;amp;lt;IsSubquery&amp;amp;gt;False&amp;amp;lt;/IsSubquery&amp;amp;gt;&amp;amp;lt;SubqueryTemplateName /&amp;a'"</definedName>
    <definedName name="_AMO_ContentDefinition_316789590.1707"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316789590.1708" hidden="1">"'on xml:space=&amp;amp;quot;preserve&amp;amp;quot;&amp;amp;gt;MFPR01002875&amp;amp;lt;/RightHandSideExpression&amp;amp;gt;&amp;amp;lt;IsSubquery&amp;amp;gt;False&amp;amp;lt;/IsSubquery&amp;amp;gt;&amp;amp;lt;SubqueryTemplateName /&amp;amp;gt;&amp;amp;lt;/RHSItem&amp;amp;gt;&amp;amp;lt;RHSItem&amp;amp;gt;&amp;amp;lt'"</definedName>
    <definedName name="_AMO_ContentDefinition_316789590.1709" hidden="1">"';RHSType&amp;amp;gt;EXPRESSION&amp;amp;lt;/RHSType&amp;amp;gt;&amp;amp;lt;AddQuotes&amp;amp;gt;True&amp;amp;lt;/AddQuotes&amp;amp;gt;&amp;amp;lt;DateFormat&amp;amp;gt;None&amp;amp;lt;/DateFormat&amp;amp;gt;&amp;amp;lt;RightHandSideExpression xml:space=&amp;amp;quot;preserve&amp;amp;quot;&amp;amp;gt;MFPR0100287'"</definedName>
    <definedName name="_AMO_ContentDefinition_316789590.171" hidden="1">"';&amp;amp;#xA;'MFPR01001695',&amp;amp;#xD;&amp;amp;#xA;'MFPR01001696',&amp;amp;#xD;&amp;amp;#xA;'MFPR01001698',&amp;amp;#xD;&amp;amp;#xA;'MFPR01001699',&amp;amp;#xD;&amp;amp;#xA;'MFPR01001700',&amp;amp;#xD;&amp;amp;#xA;'MFPR01001701',&amp;amp;#xD;&amp;amp;#xA;'MFPR01001702',&amp;amp;#xD;&amp;amp;#xA;'MFPR01001'"</definedName>
    <definedName name="_AMO_ContentDefinition_316789590.1710" hidden="1">"'6&amp;amp;lt;/RightHandSideExpression&amp;amp;gt;&amp;amp;lt;IsSubquery&amp;amp;gt;False&amp;amp;lt;/IsSubquery&amp;amp;gt;&amp;amp;lt;SubqueryTemplateName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316789590.1711" hidden="1">"'dQuotes&amp;amp;gt;True&amp;amp;lt;/AddQuotes&amp;amp;gt;&amp;amp;lt;DateFormat&amp;amp;gt;None&amp;amp;lt;/DateFormat&amp;amp;gt;&amp;amp;lt;RightHandSideExpression xml:space=&amp;amp;quot;preserve&amp;amp;quot;&amp;amp;gt;MFPR01002880&amp;amp;lt;/RightHandSideExpression&amp;amp;gt;&amp;amp;lt;IsSubquery&amp;'"</definedName>
    <definedName name="_AMO_ContentDefinition_316789590.1712"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316789590.1713" hidden="1">"'mat&amp;amp;gt;None&amp;amp;lt;/DateFormat&amp;amp;gt;&amp;amp;lt;RightHandSideExpression xml:space=&amp;amp;quot;preserve&amp;amp;quot;&amp;amp;gt;MFPR01002886&amp;amp;lt;/RightHandSideExpression&amp;amp;gt;&amp;amp;lt;IsSubquery&amp;amp;gt;False&amp;amp;lt;/IsSubquery&amp;amp;gt;&amp;amp;lt;SubqueryTempl'"</definedName>
    <definedName name="_AMO_ContentDefinition_316789590.1714"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316789590.1715" hidden="1">"'ideExpression xml:space=&amp;amp;quot;preserve&amp;amp;quot;&amp;amp;gt;MFPR01002890&amp;amp;lt;/RightHandSideExpression&amp;amp;gt;&amp;amp;lt;IsSubquery&amp;amp;gt;False&amp;amp;lt;/IsSubquery&amp;amp;gt;&amp;amp;lt;SubqueryTemplateName /&amp;amp;gt;&amp;amp;lt;/RHSItem&amp;amp;gt;&amp;amp;lt;RHSItem&amp;amp'"</definedName>
    <definedName name="_AMO_ContentDefinition_316789590.1716" hidden="1">"';gt;&amp;amp;lt;RHSType&amp;amp;gt;EXPRESSION&amp;amp;lt;/RHSType&amp;amp;gt;&amp;amp;lt;AddQuotes&amp;amp;gt;True&amp;amp;lt;/AddQuotes&amp;amp;gt;&amp;amp;lt;DateFormat&amp;amp;gt;None&amp;amp;lt;/DateFormat&amp;amp;gt;&amp;amp;lt;RightHandSideExpression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1717" hidden="1">"'MFPR01002891&amp;amp;lt;/RightHandSideExpression&amp;amp;gt;&amp;amp;lt;IsSubquery&amp;amp;gt;False&amp;amp;lt;/IsSubquery&amp;amp;gt;&amp;amp;lt;SubqueryTemplateName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1718" hidden="1">"';&amp;amp;lt;AddQuotes&amp;amp;gt;True&amp;amp;lt;/AddQuotes&amp;amp;gt;&amp;amp;lt;DateFormat&amp;amp;gt;None&amp;amp;lt;/DateFormat&amp;amp;gt;&amp;amp;lt;RightHandSideExpression xml:space=&amp;amp;quot;preserve&amp;amp;quot;&amp;amp;gt;MFPR01002895&amp;amp;lt;/RightHandSideExpression&amp;amp;gt;&amp;amp;lt;'"</definedName>
    <definedName name="_AMO_ContentDefinition_316789590.1719"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172" hidden="1">"'703',&amp;amp;#xD;&amp;amp;#xA;'MFPR01001705',&amp;amp;#xD;&amp;amp;#xA;'MFPR01001706',&amp;amp;#xD;&amp;amp;#xA;'MFPR01001707',&amp;amp;#xD;&amp;amp;#xA;'MFPR01001708',&amp;amp;#xD;&amp;amp;#xA;'MFPR01001709',&amp;amp;#xD;&amp;amp;#xA;'MFPR01001710',&amp;amp;#xD;&amp;amp;#xA;'MFPR01001712',&amp;amp;#xD;&amp;amp;#'"</definedName>
    <definedName name="_AMO_ContentDefinition_316789590.1720" hidden="1">"';lt;DateFormat&amp;amp;gt;None&amp;amp;lt;/DateFormat&amp;amp;gt;&amp;amp;lt;RightHandSideExpression xml:space=&amp;amp;quot;preserve&amp;amp;quot;&amp;amp;gt;MFPR01002896&amp;amp;lt;/RightHandSideExpression&amp;amp;gt;&amp;amp;lt;IsSubquery&amp;amp;gt;False&amp;amp;lt;/IsSubquery&amp;amp;gt;&amp;amp;lt;Su'"</definedName>
    <definedName name="_AMO_ContentDefinition_316789590.1721"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1722" hidden="1">"';RightHandSideExpression xml:space=&amp;amp;quot;preserve&amp;amp;quot;&amp;amp;gt;MFPR01002897&amp;amp;lt;/RightHandSideExpression&amp;amp;gt;&amp;amp;lt;IsSubquery&amp;amp;gt;False&amp;amp;lt;/IsSubquery&amp;amp;gt;&amp;amp;lt;SubqueryTemplateName /&amp;amp;gt;&amp;amp;lt;/RHSItem&amp;amp;gt;&amp;amp;lt;'"</definedName>
    <definedName name="_AMO_ContentDefinition_316789590.1723" hidden="1">"'RHSItem&amp;amp;gt;&amp;amp;lt;RHSType&amp;amp;gt;EXPRESSION&amp;amp;lt;/RHSType&amp;amp;gt;&amp;amp;lt;AddQuotes&amp;amp;gt;True&amp;amp;lt;/AddQuotes&amp;amp;gt;&amp;amp;lt;DateFormat&amp;amp;gt;None&amp;amp;lt;/DateFormat&amp;amp;gt;&amp;amp;lt;RightHandSideExpression xml:space=&amp;amp;quot;preserve&amp;amp;qu'"</definedName>
    <definedName name="_AMO_ContentDefinition_316789590.1724" hidden="1">"'ot;&amp;amp;gt;MFPR01002899&amp;amp;lt;/RightHandSideExpression&amp;amp;gt;&amp;amp;lt;IsSubquery&amp;amp;gt;False&amp;amp;lt;/IsSubquery&amp;amp;gt;&amp;amp;lt;SubqueryTemplateName /&amp;amp;gt;&amp;amp;lt;/RHSItem&amp;amp;gt;&amp;amp;lt;RHSItem&amp;amp;gt;&amp;amp;lt;RHSType&amp;amp;gt;EXPRESSION&amp;amp;lt;/RHS'"</definedName>
    <definedName name="_AMO_ContentDefinition_316789590.1725" hidden="1">"'Type&amp;amp;gt;&amp;amp;lt;AddQuotes&amp;amp;gt;True&amp;amp;lt;/AddQuotes&amp;amp;gt;&amp;amp;lt;DateFormat&amp;amp;gt;None&amp;amp;lt;/DateFormat&amp;amp;gt;&amp;amp;lt;RightHandSideExpression xml:space=&amp;amp;quot;preserve&amp;amp;quot;&amp;amp;gt;MFPR01002900&amp;amp;lt;/RightHandSideExpression&amp;amp;'"</definedName>
    <definedName name="_AMO_ContentDefinition_316789590.1726"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316789590.1727" hidden="1">"'amp;gt;&amp;amp;lt;DateFormat&amp;amp;gt;None&amp;amp;lt;/DateFormat&amp;amp;gt;&amp;amp;lt;RightHandSideExpression xml:space=&amp;amp;quot;preserve&amp;amp;quot;&amp;amp;gt;MFPR01002901&amp;amp;lt;/RightHandSideExpression&amp;amp;gt;&amp;amp;lt;IsSubquery&amp;amp;gt;False&amp;amp;lt;/IsSubquery&amp;amp;gt'"</definedName>
    <definedName name="_AMO_ContentDefinition_316789590.1728"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1729" hidden="1">"';gt;&amp;amp;lt;RightHandSideExpression xml:space=&amp;amp;quot;preserve&amp;amp;quot;&amp;amp;gt;MFPR01002902&amp;amp;lt;/RightHandSideExpression&amp;amp;gt;&amp;amp;lt;IsSubquery&amp;amp;gt;False&amp;amp;lt;/IsSubquery&amp;amp;gt;&amp;amp;lt;SubqueryTemplateName /&amp;amp;gt;&amp;amp;lt;/RHSItem&amp;amp;'"</definedName>
    <definedName name="_AMO_ContentDefinition_316789590.173" hidden="1">"'xA;'MFPR01001713',&amp;amp;#xD;&amp;amp;#xA;'MFPR01001714',&amp;amp;#xD;&amp;amp;#xA;'MFPR01001715',&amp;amp;#xD;&amp;amp;#xA;'MFPR01001716',&amp;amp;#xD;&amp;amp;#xA;'MFPR01001717',&amp;amp;#xD;&amp;amp;#xA;'MFPR01001719',&amp;amp;#xD;&amp;amp;#xA;'MFPR01001720',&amp;amp;#xD;&amp;amp;#xA;'MFPR01001721',&amp;a'"</definedName>
    <definedName name="_AMO_ContentDefinition_316789590.1730" hidden="1">"'gt;&amp;amp;lt;RHSItem&amp;amp;gt;&amp;amp;lt;RHSType&amp;amp;gt;EXPRESSION&amp;amp;lt;/RHSType&amp;amp;gt;&amp;amp;lt;AddQuotes&amp;amp;gt;True&amp;amp;lt;/AddQuotes&amp;amp;gt;&amp;amp;lt;DateFormat&amp;amp;gt;None&amp;amp;lt;/DateFormat&amp;amp;gt;&amp;amp;lt;RightHandSideExpression xml:space=&amp;amp;quot;pres'"</definedName>
    <definedName name="_AMO_ContentDefinition_316789590.1731" hidden="1">"'erve&amp;amp;quot;&amp;amp;gt;MFPR01002906&amp;amp;lt;/RightHandSideExpression&amp;amp;gt;&amp;amp;lt;IsSubquery&amp;amp;gt;False&amp;amp;lt;/IsSubquery&amp;amp;gt;&amp;amp;lt;SubqueryTemplateName /&amp;amp;gt;&amp;amp;lt;/RHSItem&amp;amp;gt;&amp;amp;lt;RHSItem&amp;amp;gt;&amp;amp;lt;RHSType&amp;amp;gt;EXPRESSION&amp;'"</definedName>
    <definedName name="_AMO_ContentDefinition_316789590.1732" hidden="1">"'amp;lt;/RHSType&amp;amp;gt;&amp;amp;lt;AddQuotes&amp;amp;gt;True&amp;amp;lt;/AddQuotes&amp;amp;gt;&amp;amp;lt;DateFormat&amp;amp;gt;None&amp;amp;lt;/DateFormat&amp;amp;gt;&amp;amp;lt;RightHandSideExpression xml:space=&amp;amp;quot;preserve&amp;amp;quot;&amp;amp;gt;MFPR01002913&amp;amp;lt;/RightHandSideExpr'"</definedName>
    <definedName name="_AMO_ContentDefinition_316789590.1733"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1734" hidden="1">"'/AddQuotes&amp;amp;gt;&amp;amp;lt;DateFormat&amp;amp;gt;None&amp;amp;lt;/DateFormat&amp;amp;gt;&amp;amp;lt;RightHandSideExpression xml:space=&amp;amp;quot;preserve&amp;amp;quot;&amp;amp;gt;MFPR01002917&amp;amp;lt;/RightHandSideExpression&amp;amp;gt;&amp;amp;lt;IsSubquery&amp;amp;gt;False&amp;amp;lt;/IsSubq'"</definedName>
    <definedName name="_AMO_ContentDefinition_316789590.1735"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316789590.1736" hidden="1">"'eFormat&amp;amp;gt;&amp;amp;lt;RightHandSideExpression xml:space=&amp;amp;quot;preserve&amp;amp;quot;&amp;amp;gt;MFPR01002918&amp;amp;lt;/RightHandSideExpression&amp;amp;gt;&amp;amp;lt;IsSubquery&amp;amp;gt;False&amp;amp;lt;/IsSubquery&amp;amp;gt;&amp;amp;lt;SubqueryTemplateName /&amp;amp;gt;&amp;amp;lt;/R'"</definedName>
    <definedName name="_AMO_ContentDefinition_316789590.1737" hidden="1">"'HSItem&amp;amp;gt;&amp;amp;lt;RHSItem&amp;amp;gt;&amp;amp;lt;RHSType&amp;amp;gt;EXPRESSION&amp;amp;lt;/RHSType&amp;amp;gt;&amp;amp;lt;AddQuotes&amp;amp;gt;True&amp;amp;lt;/AddQuotes&amp;amp;gt;&amp;amp;lt;DateFormat&amp;amp;gt;None&amp;amp;lt;/DateFormat&amp;amp;gt;&amp;amp;lt;RightHandSideExpression xml:space=&amp;am'"</definedName>
    <definedName name="_AMO_ContentDefinition_316789590.1738" hidden="1">"'p;quot;preserve&amp;amp;quot;&amp;amp;gt;MFPR01002919&amp;amp;lt;/RightHandSideExpression&amp;amp;gt;&amp;amp;lt;IsSubquery&amp;amp;gt;False&amp;amp;lt;/IsSubquery&amp;amp;gt;&amp;amp;lt;SubqueryTemplateName /&amp;amp;gt;&amp;amp;lt;/RHSItem&amp;amp;gt;&amp;amp;lt;RHSItem&amp;amp;gt;&amp;amp;lt;RHSType&amp;amp;gt;'"</definedName>
    <definedName name="_AMO_ContentDefinition_316789590.1739" hidden="1">"'EXPRESSION&amp;amp;lt;/RHSType&amp;amp;gt;&amp;amp;lt;AddQuotes&amp;amp;gt;True&amp;amp;lt;/AddQuotes&amp;amp;gt;&amp;amp;lt;DateFormat&amp;amp;gt;None&amp;amp;lt;/DateFormat&amp;amp;gt;&amp;amp;lt;RightHandSideExpression xml:space=&amp;amp;quot;preserve&amp;amp;quot;&amp;amp;gt;MFPR01002927&amp;amp;lt;/RightH'"</definedName>
    <definedName name="_AMO_ContentDefinition_316789590.174" hidden="1">"'mp;#xD;&amp;amp;#xA;'MFPR01001722',&amp;amp;#xD;&amp;amp;#xA;'MFPR01001723',&amp;amp;#xD;&amp;amp;#xA;'MFPR01001724',&amp;amp;#xD;&amp;amp;#xA;'MFPR01001726',&amp;amp;#xD;&amp;amp;#xA;'MFPR01001727',&amp;amp;#xD;&amp;amp;#xA;'MFPR01001728',&amp;amp;#xD;&amp;amp;#xA;'MFPR01001729',&amp;amp;#xD;&amp;amp;#xA;'MFP'"</definedName>
    <definedName name="_AMO_ContentDefinition_316789590.1740"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316789590.1741" hidden="1">"'rue&amp;amp;lt;/AddQuotes&amp;amp;gt;&amp;amp;lt;DateFormat&amp;amp;gt;None&amp;amp;lt;/DateFormat&amp;amp;gt;&amp;amp;lt;RightHandSideExpression xml:space=&amp;amp;quot;preserve&amp;amp;quot;&amp;amp;gt;MFPR01002938&amp;amp;lt;/RightHandSideExpression&amp;amp;gt;&amp;amp;lt;IsSubquery&amp;amp;gt;False&amp;amp'"</definedName>
    <definedName name="_AMO_ContentDefinition_316789590.1742"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316789590.1743" hidden="1">"'amp;lt;/DateFormat&amp;amp;gt;&amp;amp;lt;RightHandSideExpression xml:space=&amp;amp;quot;preserve&amp;amp;quot;&amp;amp;gt;MFPR01002939&amp;amp;lt;/RightHandSideExpression&amp;amp;gt;&amp;amp;lt;IsSubquery&amp;amp;gt;False&amp;amp;lt;/IsSubquery&amp;amp;gt;&amp;amp;lt;SubqueryTemplateName /&amp;amp;gt'"</definedName>
    <definedName name="_AMO_ContentDefinition_316789590.1744" hidden="1">"';&amp;amp;lt;/RHSItem&amp;amp;gt;&amp;amp;lt;RHSItem&amp;amp;gt;&amp;amp;lt;RHSType&amp;amp;gt;EXPRESSION&amp;amp;lt;/RHSType&amp;amp;gt;&amp;amp;lt;AddQuotes&amp;amp;gt;True&amp;amp;lt;/AddQuotes&amp;amp;gt;&amp;amp;lt;DateFormat&amp;amp;gt;None&amp;amp;lt;/DateFormat&amp;amp;gt;&amp;amp;lt;RightHandSideExpression xm'"</definedName>
    <definedName name="_AMO_ContentDefinition_316789590.1745" hidden="1">"'l:space=&amp;amp;quot;preserve&amp;amp;quot;&amp;amp;gt;MFPR01002940&amp;amp;lt;/RightHandSideExpression&amp;amp;gt;&amp;amp;lt;IsSubquery&amp;amp;gt;False&amp;amp;lt;/IsSubquery&amp;amp;gt;&amp;amp;lt;SubqueryTemplateName /&amp;amp;gt;&amp;amp;lt;/RHSItem&amp;amp;gt;&amp;amp;lt;RHSItem&amp;amp;gt;&amp;amp;lt;RHST'"</definedName>
    <definedName name="_AMO_ContentDefinition_316789590.1746" hidden="1">"'ype&amp;amp;gt;EXPRESSION&amp;amp;lt;/RHSType&amp;amp;gt;&amp;amp;lt;AddQuotes&amp;amp;gt;True&amp;amp;lt;/AddQuotes&amp;amp;gt;&amp;amp;lt;DateFormat&amp;amp;gt;None&amp;amp;lt;/DateFormat&amp;amp;gt;&amp;amp;lt;RightHandSideExpression xml:space=&amp;amp;quot;preserve&amp;amp;quot;&amp;amp;gt;MFPR01002942&amp;amp'"</definedName>
    <definedName name="_AMO_ContentDefinition_316789590.1747"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316789590.1748" hidden="1">"'es&amp;amp;gt;True&amp;amp;lt;/AddQuotes&amp;amp;gt;&amp;amp;lt;DateFormat&amp;amp;gt;None&amp;amp;lt;/DateFormat&amp;amp;gt;&amp;amp;lt;RightHandSideExpression xml:space=&amp;amp;quot;preserve&amp;amp;quot;&amp;amp;gt;MFPR01002943&amp;amp;lt;/RightHandSideExpression&amp;amp;gt;&amp;amp;lt;IsSubquery&amp;amp;g'"</definedName>
    <definedName name="_AMO_ContentDefinition_316789590.1749"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316789590.175" hidden="1">"'R01001730',&amp;amp;#xD;&amp;amp;#xA;'MFPR01001731',&amp;amp;#xD;&amp;amp;#xA;'MFPR01001733',&amp;amp;#xD;&amp;amp;#xA;'MFPR01001734',&amp;amp;#xD;&amp;amp;#xA;'MFPR01001735',&amp;amp;#xD;&amp;amp;#xA;'MFPR01001736',&amp;amp;#xD;&amp;amp;#xA;'MFPR01001737',&amp;amp;#xD;&amp;amp;#xA;'MFPR01001738',&amp;amp;#xD;'"</definedName>
    <definedName name="_AMO_ContentDefinition_316789590.1750" hidden="1">"'mp;gt;None&amp;amp;lt;/DateFormat&amp;amp;gt;&amp;amp;lt;RightHandSideExpression xml:space=&amp;amp;quot;preserve&amp;amp;quot;&amp;amp;gt;MFPR01002944&amp;amp;lt;/RightHandSideExpression&amp;amp;gt;&amp;amp;lt;IsSubquery&amp;amp;gt;False&amp;amp;lt;/IsSubquery&amp;amp;gt;&amp;amp;lt;SubqueryTemplateNa'"</definedName>
    <definedName name="_AMO_ContentDefinition_316789590.1751"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316789590.1752" hidden="1">"'pression xml:space=&amp;amp;quot;preserve&amp;amp;quot;&amp;amp;gt;MFPR01002945&amp;amp;lt;/RightHandSideExpression&amp;amp;gt;&amp;amp;lt;IsSubquery&amp;amp;gt;False&amp;amp;lt;/IsSubquery&amp;amp;gt;&amp;amp;lt;SubqueryTemplateName /&amp;amp;gt;&amp;amp;lt;/RHSItem&amp;amp;gt;&amp;amp;lt;RHSItem&amp;amp;gt;&amp;'"</definedName>
    <definedName name="_AMO_ContentDefinition_316789590.1753" hidden="1">"'amp;lt;RHSType&amp;amp;gt;EXPRESSION&amp;amp;lt;/RHSType&amp;amp;gt;&amp;amp;lt;AddQuotes&amp;amp;gt;True&amp;amp;lt;/AddQuotes&amp;amp;gt;&amp;amp;lt;DateFormat&amp;amp;gt;None&amp;amp;lt;/DateFormat&amp;amp;gt;&amp;amp;lt;RightHandSideExpression xml:space=&amp;amp;quot;preserve&amp;amp;quot;&amp;amp;gt;MFPR0'"</definedName>
    <definedName name="_AMO_ContentDefinition_316789590.1754" hidden="1">"'1002950&amp;amp;lt;/RightHandSideExpression&amp;amp;gt;&amp;amp;lt;IsSubquery&amp;amp;gt;False&amp;amp;lt;/IsSubquery&amp;amp;gt;&amp;amp;lt;SubqueryTemplateName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1755" hidden="1">"';lt;AddQuotes&amp;amp;gt;True&amp;amp;lt;/AddQuotes&amp;amp;gt;&amp;amp;lt;DateFormat&amp;amp;gt;None&amp;amp;lt;/DateFormat&amp;amp;gt;&amp;amp;lt;RightHandSideExpression xml:space=&amp;amp;quot;preserve&amp;amp;quot;&amp;amp;gt;MFPR01002956&amp;amp;lt;/RightHandSideExpression&amp;amp;gt;&amp;amp;lt;IsSub'"</definedName>
    <definedName name="_AMO_ContentDefinition_316789590.1756"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316789590.1757" hidden="1">"'ateFormat&amp;amp;gt;None&amp;amp;lt;/DateFormat&amp;amp;gt;&amp;amp;lt;RightHandSideExpression xml:space=&amp;amp;quot;preserve&amp;amp;quot;&amp;amp;gt;MFPR01002960&amp;amp;lt;/RightHandSideExpression&amp;amp;gt;&amp;amp;lt;IsSubquery&amp;amp;gt;False&amp;amp;lt;/IsSubquery&amp;amp;gt;&amp;amp;lt;Subquer'"</definedName>
    <definedName name="_AMO_ContentDefinition_316789590.1758"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316789590.1759" hidden="1">"'tHandSideExpression xml:space=&amp;amp;quot;preserve&amp;amp;quot;&amp;amp;gt;MFPR01002961&amp;amp;lt;/RightHandSideExpression&amp;amp;gt;&amp;amp;lt;IsSubquery&amp;amp;gt;False&amp;amp;lt;/IsSubquery&amp;amp;gt;&amp;amp;lt;SubqueryTemplateName /&amp;amp;gt;&amp;amp;lt;/RHSItem&amp;amp;gt;&amp;amp;lt;RHSIt'"</definedName>
    <definedName name="_AMO_ContentDefinition_316789590.176" hidden="1">"'&amp;amp;#xA;'MFPR01001740',&amp;amp;#xD;&amp;amp;#xA;'MFPR01001741',&amp;amp;#xD;&amp;amp;#xA;'MFPR01001742',&amp;amp;#xD;&amp;amp;#xA;'MFPR01001743',&amp;amp;#xD;&amp;amp;#xA;'MFPR01001744',&amp;amp;#xD;&amp;amp;#xA;'MFPR01001745',&amp;amp;#xD;&amp;amp;#xA;'MFPR01001747',&amp;amp;#xD;&amp;amp;#xA;'MFPR010017'"</definedName>
    <definedName name="_AMO_ContentDefinition_316789590.1760" hidden="1">"'em&amp;amp;gt;&amp;amp;lt;RHSType&amp;amp;gt;EXPRESSION&amp;amp;lt;/RHSType&amp;amp;gt;&amp;amp;lt;AddQuotes&amp;amp;gt;True&amp;amp;lt;/AddQuotes&amp;amp;gt;&amp;amp;lt;DateFormat&amp;amp;gt;None&amp;amp;lt;/DateFormat&amp;amp;gt;&amp;amp;lt;RightHandSideExpression xml:space=&amp;amp;quot;preserve&amp;amp;quot;&amp;a'"</definedName>
    <definedName name="_AMO_ContentDefinition_316789590.1761" hidden="1">"'mp;gt;MFPR01002965&amp;amp;lt;/RightHandSideExpression&amp;amp;gt;&amp;amp;lt;IsSubquery&amp;amp;gt;False&amp;amp;lt;/IsSubquery&amp;amp;gt;&amp;amp;lt;SubqueryTemplateName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316789590.1762" hidden="1">"'amp;gt;&amp;amp;lt;AddQuotes&amp;amp;gt;True&amp;amp;lt;/AddQuotes&amp;amp;gt;&amp;amp;lt;DateFormat&amp;amp;gt;None&amp;amp;lt;/DateFormat&amp;amp;gt;&amp;amp;lt;RightHandSideExpression xml:space=&amp;amp;quot;preserve&amp;amp;quot;&amp;amp;gt;MFPR01002966&amp;amp;lt;/RightHandSideExpression&amp;amp;gt;&amp;a'"</definedName>
    <definedName name="_AMO_ContentDefinition_316789590.1763"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316789590.1764" hidden="1">"'t;&amp;amp;lt;DateFormat&amp;amp;gt;None&amp;amp;lt;/DateFormat&amp;amp;gt;&amp;amp;lt;RightHandSideExpression xml:space=&amp;amp;quot;preserve&amp;amp;quot;&amp;amp;gt;MFPR01002967&amp;amp;lt;/RightHandSideExpression&amp;amp;gt;&amp;amp;lt;IsSubquery&amp;amp;gt;False&amp;amp;lt;/IsSubquery&amp;amp;gt;&amp;amp'"</definedName>
    <definedName name="_AMO_ContentDefinition_316789590.1765"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316789590.1766" hidden="1">"'amp;lt;RightHandSideExpression xml:space=&amp;amp;quot;preserve&amp;amp;quot;&amp;amp;gt;MFPR01002969&amp;amp;lt;/RightHandSideExpression&amp;amp;gt;&amp;amp;lt;IsSubquery&amp;amp;gt;False&amp;amp;lt;/IsSubquery&amp;amp;gt;&amp;amp;lt;SubqueryTemplateName /&amp;amp;gt;&amp;amp;lt;/RHSItem&amp;amp;gt;&amp;a'"</definedName>
    <definedName name="_AMO_ContentDefinition_316789590.1767" hidden="1">"'mp;lt;RHSItem&amp;amp;gt;&amp;amp;lt;RHSType&amp;amp;gt;EXPRESSION&amp;amp;lt;/RHSType&amp;amp;gt;&amp;amp;lt;AddQuotes&amp;amp;gt;True&amp;amp;lt;/AddQuotes&amp;amp;gt;&amp;amp;lt;DateFormat&amp;amp;gt;None&amp;amp;lt;/DateFormat&amp;amp;gt;&amp;amp;lt;RightHandSideExpression xml:space=&amp;amp;quot;preserve&amp;'"</definedName>
    <definedName name="_AMO_ContentDefinition_316789590.1768" hidden="1">"'amp;quot;&amp;amp;gt;MFPR01002970&amp;amp;lt;/RightHandSideExpression&amp;amp;gt;&amp;amp;lt;IsSubquery&amp;amp;gt;False&amp;amp;lt;/IsSubquery&amp;amp;gt;&amp;amp;lt;SubqueryTemplateName /&amp;amp;gt;&amp;amp;lt;/RHSItem&amp;amp;gt;&amp;amp;lt;RHSItem&amp;amp;gt;&amp;amp;lt;RHSType&amp;amp;gt;EXPRESSION&amp;amp;l'"</definedName>
    <definedName name="_AMO_ContentDefinition_316789590.1769" hidden="1">"'t;/RHSType&amp;amp;gt;&amp;amp;lt;AddQuotes&amp;amp;gt;True&amp;amp;lt;/AddQuotes&amp;amp;gt;&amp;amp;lt;DateFormat&amp;amp;gt;None&amp;amp;lt;/DateFormat&amp;amp;gt;&amp;amp;lt;RightHandSideExpression xml:space=&amp;amp;quot;preserve&amp;amp;quot;&amp;amp;gt;MFPR01002971&amp;amp;lt;/RightHandSideExpressio'"</definedName>
    <definedName name="_AMO_ContentDefinition_316789590.177" hidden="1">"'48',&amp;amp;#xD;&amp;amp;#xA;'MFPR01001749',&amp;amp;#xD;&amp;amp;#xA;'MFPR01001750',&amp;amp;#xD;&amp;amp;#xA;'MFPR01001751',&amp;amp;#xD;&amp;amp;#xA;'MFPR01001752',&amp;amp;#xD;&amp;amp;#xA;'MFPR01001754',&amp;amp;#xD;&amp;amp;#xA;'MFPR01001755',&amp;amp;#xD;&amp;amp;#xA;'MFPR01001756',&amp;amp;#xD;&amp;amp;#x'"</definedName>
    <definedName name="_AMO_ContentDefinition_316789590.1770"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316789590.1771" hidden="1">"'uotes&amp;amp;gt;&amp;amp;lt;DateFormat&amp;amp;gt;None&amp;amp;lt;/DateFormat&amp;amp;gt;&amp;amp;lt;RightHandSideExpression xml:space=&amp;amp;quot;preserve&amp;amp;quot;&amp;amp;gt;MFPR01002972&amp;amp;lt;/RightHandSideExpression&amp;amp;gt;&amp;amp;lt;IsSubquery&amp;amp;gt;False&amp;amp;lt;/IsSubquery&amp;'"</definedName>
    <definedName name="_AMO_ContentDefinition_316789590.1772"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316789590.1773" hidden="1">"'at&amp;amp;gt;&amp;amp;lt;RightHandSideExpression xml:space=&amp;amp;quot;preserve&amp;amp;quot;&amp;amp;gt;MFPR01002977&amp;amp;lt;/RightHandSideExpression&amp;amp;gt;&amp;amp;lt;IsSubquery&amp;amp;gt;False&amp;amp;lt;/IsSubquery&amp;amp;gt;&amp;amp;lt;SubqueryTemplateName /&amp;amp;gt;&amp;amp;lt;/RHSIte'"</definedName>
    <definedName name="_AMO_ContentDefinition_316789590.1774" hidden="1">"'m&amp;amp;gt;&amp;amp;lt;RHSItem&amp;amp;gt;&amp;amp;lt;RHSType&amp;amp;gt;EXPRESSION&amp;amp;lt;/RHSType&amp;amp;gt;&amp;amp;lt;AddQuotes&amp;amp;gt;True&amp;amp;lt;/AddQuotes&amp;amp;gt;&amp;amp;lt;DateFormat&amp;amp;gt;None&amp;amp;lt;/DateFormat&amp;amp;gt;&amp;amp;lt;RightHandSideExpression xml:space=&amp;amp;quo'"</definedName>
    <definedName name="_AMO_ContentDefinition_316789590.1775" hidden="1">"'t;preserve&amp;amp;quot;&amp;amp;gt;MFPR01002984&amp;amp;lt;/RightHandSideExpression&amp;amp;gt;&amp;amp;lt;IsSubquery&amp;amp;gt;False&amp;amp;lt;/IsSubquery&amp;amp;gt;&amp;amp;lt;SubqueryTemplateName /&amp;amp;gt;&amp;amp;lt;/RHSItem&amp;amp;gt;&amp;amp;lt;RHSItem&amp;amp;gt;&amp;amp;lt;RHSType&amp;amp;gt;EXPRE'"</definedName>
    <definedName name="_AMO_ContentDefinition_316789590.1776" hidden="1">"'SSION&amp;amp;lt;/RHSType&amp;amp;gt;&amp;amp;lt;AddQuotes&amp;amp;gt;True&amp;amp;lt;/AddQuotes&amp;amp;gt;&amp;amp;lt;DateFormat&amp;amp;gt;None&amp;amp;lt;/DateFormat&amp;amp;gt;&amp;amp;lt;RightHandSideExpression xml:space=&amp;amp;quot;preserve&amp;amp;quot;&amp;amp;gt;MFPR01002988&amp;amp;lt;/RightHandSi'"</definedName>
    <definedName name="_AMO_ContentDefinition_316789590.1777"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316789590.1778" hidden="1">"'mp;lt;/AddQuotes&amp;amp;gt;&amp;amp;lt;DateFormat&amp;amp;gt;None&amp;amp;lt;/DateFormat&amp;amp;gt;&amp;amp;lt;RightHandSideExpression xml:space=&amp;amp;quot;preserve&amp;amp;quot;&amp;amp;gt;MFPR01002989&amp;amp;lt;/RightHandSideExpression&amp;amp;gt;&amp;amp;lt;IsSubquery&amp;amp;gt;False&amp;amp;lt;/'"</definedName>
    <definedName name="_AMO_ContentDefinition_316789590.1779"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316789590.178" hidden="1">"'A;'MFPR01001757',&amp;amp;#xD;&amp;amp;#xA;'MFPR01001758',&amp;amp;#xD;&amp;amp;#xA;'MFPR01001759',&amp;amp;#xD;&amp;amp;#xA;'MFPR01001761',&amp;amp;#xD;&amp;amp;#xA;'MFPR01001762',&amp;amp;#xD;&amp;amp;#xA;'MFPR01001763',&amp;amp;#xD;&amp;amp;#xA;'MFPR01001764',&amp;amp;#xD;&amp;amp;#xA;'MFPR01001765',&amp;am'"</definedName>
    <definedName name="_AMO_ContentDefinition_316789590.1780" hidden="1">"'t;/DateFormat&amp;amp;gt;&amp;amp;lt;RightHandSideExpression xml:space=&amp;amp;quot;preserve&amp;amp;quot;&amp;amp;gt;MFPR01002990&amp;amp;lt;/RightHandSideExpression&amp;amp;gt;&amp;amp;lt;IsSubquery&amp;amp;gt;False&amp;amp;lt;/IsSubquery&amp;amp;gt;&amp;amp;lt;SubqueryTemplateName /&amp;amp;gt;&amp;amp'"</definedName>
    <definedName name="_AMO_ContentDefinition_316789590.1781" hidden="1">"';lt;/RHSItem&amp;amp;gt;&amp;amp;lt;RHSItem&amp;amp;gt;&amp;amp;lt;RHSType&amp;amp;gt;EXPRESSION&amp;amp;lt;/RHSType&amp;amp;gt;&amp;amp;lt;AddQuotes&amp;amp;gt;True&amp;amp;lt;/AddQuotes&amp;amp;gt;&amp;amp;lt;DateFormat&amp;amp;gt;None&amp;amp;lt;/DateFormat&amp;amp;gt;&amp;amp;lt;RightHandSideExpression xml:spa'"</definedName>
    <definedName name="_AMO_ContentDefinition_316789590.1782" hidden="1">"'ce=&amp;amp;quot;preserve&amp;amp;quot;&amp;amp;gt;MFPR01002998&amp;amp;lt;/RightHandSideExpression&amp;amp;gt;&amp;amp;lt;IsSubquery&amp;amp;gt;False&amp;amp;lt;/IsSubquery&amp;amp;gt;&amp;amp;lt;SubqueryTemplateName /&amp;amp;gt;&amp;amp;lt;/RHSItem&amp;amp;gt;&amp;amp;lt;RHSItem&amp;amp;gt;&amp;amp;lt;RHSType&amp;a'"</definedName>
    <definedName name="_AMO_ContentDefinition_316789590.1783" hidden="1">"'mp;gt;EXPRESSION&amp;amp;lt;/RHSType&amp;amp;gt;&amp;amp;lt;AddQuotes&amp;amp;gt;True&amp;amp;lt;/AddQuotes&amp;amp;gt;&amp;amp;lt;DateFormat&amp;amp;gt;None&amp;amp;lt;/DateFormat&amp;amp;gt;&amp;amp;lt;RightHandSideExpression xml:space=&amp;amp;quot;preserve&amp;amp;quot;&amp;amp;gt;MFPR01003009&amp;amp;lt;/'"</definedName>
    <definedName name="_AMO_ContentDefinition_316789590.1784"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316789590.1785" hidden="1">"'p;gt;True&amp;amp;lt;/AddQuotes&amp;amp;gt;&amp;amp;lt;DateFormat&amp;amp;gt;None&amp;amp;lt;/DateFormat&amp;amp;gt;&amp;amp;lt;RightHandSideExpression xml:space=&amp;amp;quot;preserve&amp;amp;quot;&amp;amp;gt;MFPR01003010&amp;amp;lt;/RightHandSideExpression&amp;amp;gt;&amp;amp;lt;IsSubquery&amp;amp;gt;Fal'"</definedName>
    <definedName name="_AMO_ContentDefinition_316789590.1786"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1787" hidden="1">"';None&amp;amp;lt;/DateFormat&amp;amp;gt;&amp;amp;lt;RightHandSideExpression xml:space=&amp;amp;quot;preserve&amp;amp;quot;&amp;amp;gt;MFPR01003011&amp;amp;lt;/RightHandSideExpression&amp;amp;gt;&amp;amp;lt;IsSubquery&amp;amp;gt;False&amp;amp;lt;/IsSubquery&amp;amp;gt;&amp;amp;lt;SubqueryTemplateName /&amp;'"</definedName>
    <definedName name="_AMO_ContentDefinition_316789590.1788"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316789590.1789" hidden="1">"'ion xml:space=&amp;amp;quot;preserve&amp;amp;quot;&amp;amp;gt;MFPR01003013&amp;amp;lt;/RightHandSideExpression&amp;amp;gt;&amp;amp;lt;IsSubquery&amp;amp;gt;False&amp;amp;lt;/IsSubquery&amp;amp;gt;&amp;amp;lt;SubqueryTemplateName /&amp;amp;gt;&amp;amp;lt;/RHSItem&amp;amp;gt;&amp;amp;lt;RHSItem&amp;amp;gt;&amp;amp;l'"</definedName>
    <definedName name="_AMO_ContentDefinition_316789590.179" hidden="1">"'p;#xD;&amp;amp;#xA;'MFPR01001766',&amp;amp;#xD;&amp;amp;#xA;'MFPR01001768',&amp;amp;#xD;&amp;amp;#xA;'MFPR01001769',&amp;amp;#xD;&amp;amp;#xA;'MFPR01001770',&amp;amp;#xD;&amp;amp;#xA;'MFPR01001771',&amp;amp;#xD;&amp;amp;#xA;'MFPR01001772',&amp;amp;#xD;&amp;amp;#xA;'MFPR01001773',&amp;amp;#xD;&amp;amp;#xA;'MFPR'"</definedName>
    <definedName name="_AMO_ContentDefinition_316789590.1790" hidden="1">"'t;RHSType&amp;amp;gt;EXPRESSION&amp;amp;lt;/RHSType&amp;amp;gt;&amp;amp;lt;AddQuotes&amp;amp;gt;True&amp;amp;lt;/AddQuotes&amp;amp;gt;&amp;amp;lt;DateFormat&amp;amp;gt;None&amp;amp;lt;/DateFormat&amp;amp;gt;&amp;amp;lt;RightHandSideExpression xml:space=&amp;amp;quot;preserve&amp;amp;quot;&amp;amp;gt;MFPR010030'"</definedName>
    <definedName name="_AMO_ContentDefinition_316789590.1791" hidden="1">"'14&amp;amp;lt;/RightHandSideExpression&amp;amp;gt;&amp;amp;lt;IsSubquery&amp;amp;gt;False&amp;amp;lt;/IsSubquery&amp;amp;gt;&amp;amp;lt;SubqueryTemplateName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316789590.1792" hidden="1">"'ddQuotes&amp;amp;gt;True&amp;amp;lt;/AddQuotes&amp;amp;gt;&amp;amp;lt;DateFormat&amp;amp;gt;None&amp;amp;lt;/DateFormat&amp;amp;gt;&amp;amp;lt;RightHandSideExpression xml:space=&amp;amp;quot;preserve&amp;amp;quot;&amp;amp;gt;MFPR01003015&amp;amp;lt;/RightHandSideExpression&amp;amp;gt;&amp;amp;lt;IsSubquery'"</definedName>
    <definedName name="_AMO_ContentDefinition_316789590.1793"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316789590.1794" hidden="1">"'rmat&amp;amp;gt;None&amp;amp;lt;/DateFormat&amp;amp;gt;&amp;amp;lt;RightHandSideExpression xml:space=&amp;amp;quot;preserve&amp;amp;quot;&amp;amp;gt;MFPR01003016&amp;amp;lt;/RightHandSideExpression&amp;amp;gt;&amp;amp;lt;IsSubquery&amp;amp;gt;False&amp;amp;lt;/IsSubquery&amp;amp;gt;&amp;amp;lt;SubqueryTemp'"</definedName>
    <definedName name="_AMO_ContentDefinition_316789590.1795"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316789590.1796" hidden="1">"'SideExpression xml:space=&amp;amp;quot;preserve&amp;amp;quot;&amp;amp;gt;MFPR01003021&amp;amp;lt;/RightHandSideExpression&amp;amp;gt;&amp;amp;lt;IsSubquery&amp;amp;gt;False&amp;amp;lt;/IsSubquery&amp;amp;gt;&amp;amp;lt;SubqueryTemplateName /&amp;amp;gt;&amp;amp;lt;/RHSItem&amp;amp;gt;&amp;amp;lt;RHSItem&amp;am'"</definedName>
    <definedName name="_AMO_ContentDefinition_316789590.1797"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1798" hidden="1">"';MFPR01003027&amp;amp;lt;/RightHandSideExpression&amp;amp;gt;&amp;amp;lt;IsSubquery&amp;amp;gt;False&amp;amp;lt;/IsSubquery&amp;amp;gt;&amp;amp;lt;SubqueryTemplateName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316789590.1799" hidden="1">"'t;&amp;amp;lt;AddQuotes&amp;amp;gt;True&amp;amp;lt;/AddQuotes&amp;amp;gt;&amp;amp;lt;DateFormat&amp;amp;gt;None&amp;amp;lt;/DateFormat&amp;amp;gt;&amp;amp;lt;RightHandSideExpression xml:space=&amp;amp;quot;preserve&amp;amp;quot;&amp;amp;gt;MFPR01003031&amp;amp;lt;/RightHandSideExpression&amp;amp;gt;&amp;amp;lt'"</definedName>
    <definedName name="_AMO_ContentDefinition_316789590.18" hidden="1">"'',&amp;#xD;&amp;#xA;'MFPR01000616',&amp;#xD;&amp;#xA;'MFPR01000618',&amp;#xD;&amp;#xA;'MFPR01000619',&amp;#xD;&amp;#xA;'MFPR01000620',&amp;#xD;&amp;#xA;'MFPR01000621',&amp;#xD;&amp;#xA;'MFPR01000625',&amp;#xD;&amp;#xA;'MFPR01000632',&amp;#xD;&amp;#xA;'MFPR01000636',&amp;#xD;&amp;#xA;'MFPR01000637',&amp;#xD;&amp;#xA;'MFPR01000638''"</definedName>
    <definedName name="_AMO_ContentDefinition_316789590.180" hidden="1">"'01001775',&amp;amp;#xD;&amp;amp;#xA;'MFPR01001776',&amp;amp;#xD;&amp;amp;#xA;'MFPR01001777',&amp;amp;#xD;&amp;amp;#xA;'MFPR01001778',&amp;amp;#xD;&amp;amp;#xA;'MFPR01001779',&amp;amp;#xD;&amp;amp;#xA;'MFPR01001780',&amp;amp;#xD;&amp;amp;#xA;'MFPR01001782',&amp;amp;#xD;&amp;amp;#xA;'MFPR01001783',&amp;amp;#xD;&amp;'"</definedName>
    <definedName name="_AMO_ContentDefinition_316789590.1800"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316789590.1801" hidden="1">"'p;lt;DateFormat&amp;amp;gt;None&amp;amp;lt;/DateFormat&amp;amp;gt;&amp;amp;lt;RightHandSideExpression xml:space=&amp;amp;quot;preserve&amp;amp;quot;&amp;amp;gt;MFPR01003032&amp;amp;lt;/RightHandSideExpression&amp;amp;gt;&amp;amp;lt;IsSubquery&amp;amp;gt;False&amp;amp;lt;/IsSubquery&amp;amp;gt;&amp;amp;lt;S'"</definedName>
    <definedName name="_AMO_ContentDefinition_316789590.1802"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316789590.1803" hidden="1">"'t;RightHandSideExpression xml:space=&amp;amp;quot;preserve&amp;amp;quot;&amp;amp;gt;MFPR01003036&amp;amp;lt;/RightHandSideExpression&amp;amp;gt;&amp;amp;lt;IsSubquery&amp;amp;gt;False&amp;amp;lt;/IsSubquery&amp;amp;gt;&amp;amp;lt;SubqueryTemplateName /&amp;amp;gt;&amp;amp;lt;/RHSItem&amp;amp;gt;&amp;amp;lt'"</definedName>
    <definedName name="_AMO_ContentDefinition_316789590.1804" hidden="1">"';RHSItem&amp;amp;gt;&amp;amp;lt;RHSType&amp;amp;gt;EXPRESSION&amp;amp;lt;/RHSType&amp;amp;gt;&amp;amp;lt;AddQuotes&amp;amp;gt;True&amp;amp;lt;/AddQuotes&amp;amp;gt;&amp;amp;lt;DateFormat&amp;amp;gt;None&amp;amp;lt;/DateFormat&amp;amp;gt;&amp;amp;lt;RightHandSideExpression xml:space=&amp;amp;quot;preserve&amp;amp;q'"</definedName>
    <definedName name="_AMO_ContentDefinition_316789590.1805" hidden="1">"'uot;&amp;amp;gt;MFPR01003037&amp;amp;lt;/RightHandSideExpression&amp;amp;gt;&amp;amp;lt;IsSubquery&amp;amp;gt;False&amp;amp;lt;/IsSubquery&amp;amp;gt;&amp;amp;lt;SubqueryTemplateName /&amp;amp;gt;&amp;amp;lt;/RHSItem&amp;amp;gt;&amp;amp;lt;RHSItem&amp;amp;gt;&amp;amp;lt;RHSType&amp;amp;gt;EXPRESSION&amp;amp;lt;/RH'"</definedName>
    <definedName name="_AMO_ContentDefinition_316789590.1806" hidden="1">"'SType&amp;amp;gt;&amp;amp;lt;AddQuotes&amp;amp;gt;True&amp;amp;lt;/AddQuotes&amp;amp;gt;&amp;amp;lt;DateFormat&amp;amp;gt;None&amp;amp;lt;/DateFormat&amp;amp;gt;&amp;amp;lt;RightHandSideExpression xml:space=&amp;amp;quot;preserve&amp;amp;quot;&amp;amp;gt;MFPR01003038&amp;amp;lt;/RightHandSideExpression&amp;amp'"</definedName>
    <definedName name="_AMO_ContentDefinition_316789590.1807"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316789590.1808" hidden="1">"'&amp;amp;gt;&amp;amp;lt;DateFormat&amp;amp;gt;None&amp;amp;lt;/DateFormat&amp;amp;gt;&amp;amp;lt;RightHandSideExpression xml:space=&amp;amp;quot;preserve&amp;amp;quot;&amp;amp;gt;MFPR01003040&amp;amp;lt;/RightHandSideExpression&amp;amp;gt;&amp;amp;lt;IsSubquery&amp;amp;gt;False&amp;amp;lt;/IsSubquery&amp;amp;g'"</definedName>
    <definedName name="_AMO_ContentDefinition_316789590.1809"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316789590.181" hidden="1">"'amp;#xA;'MFPR01001784',&amp;amp;#xD;&amp;amp;#xA;'MFPR01001785',&amp;amp;#xD;&amp;amp;#xA;'MFPR01001786',&amp;amp;#xD;&amp;amp;#xA;'MFPR01001787',&amp;amp;#xD;&amp;amp;#xA;'MFPR01001789',&amp;amp;#xD;&amp;amp;#xA;'MFPR01001790',&amp;amp;#xD;&amp;amp;#xA;'MFPR01001791',&amp;amp;#xD;&amp;amp;#xA;'MFPR0100179'"</definedName>
    <definedName name="_AMO_ContentDefinition_316789590.1810" hidden="1">"'p;gt;&amp;amp;lt;RightHandSideExpression xml:space=&amp;amp;quot;preserve&amp;amp;quot;&amp;amp;gt;MFPR01003041&amp;amp;lt;/RightHandSideExpression&amp;amp;gt;&amp;amp;lt;IsSubquery&amp;amp;gt;False&amp;amp;lt;/IsSubquery&amp;amp;gt;&amp;amp;lt;SubqueryTemplateName /&amp;amp;gt;&amp;amp;lt;/RHSItem&amp;amp'"</definedName>
    <definedName name="_AMO_ContentDefinition_316789590.1811" hidden="1">"';gt;&amp;amp;lt;RHSItem&amp;amp;gt;&amp;amp;lt;RHSType&amp;amp;gt;EXPRESSION&amp;amp;lt;/RHSType&amp;amp;gt;&amp;amp;lt;AddQuotes&amp;amp;gt;True&amp;amp;lt;/AddQuotes&amp;amp;gt;&amp;amp;lt;DateFormat&amp;amp;gt;None&amp;amp;lt;/DateFormat&amp;amp;gt;&amp;amp;lt;RightHandSideExpression xml:space=&amp;amp;quot;pre'"</definedName>
    <definedName name="_AMO_ContentDefinition_316789590.1812" hidden="1">"'serve&amp;amp;quot;&amp;amp;gt;MFPR01003042&amp;amp;lt;/RightHandSideExpression&amp;amp;gt;&amp;amp;lt;IsSubquery&amp;amp;gt;False&amp;amp;lt;/IsSubquery&amp;amp;gt;&amp;amp;lt;SubqueryTemplateName /&amp;amp;gt;&amp;amp;lt;/RHSItem&amp;amp;gt;&amp;amp;lt;RHSItem&amp;amp;gt;&amp;amp;lt;RHSType&amp;amp;gt;EXPRESSION'"</definedName>
    <definedName name="_AMO_ContentDefinition_316789590.1813" hidden="1">"'&amp;amp;lt;/RHSType&amp;amp;gt;&amp;amp;lt;AddQuotes&amp;amp;gt;True&amp;amp;lt;/AddQuotes&amp;amp;gt;&amp;amp;lt;DateFormat&amp;amp;gt;None&amp;amp;lt;/DateFormat&amp;amp;gt;&amp;amp;lt;RightHandSideExpression xml:space=&amp;amp;quot;preserve&amp;amp;quot;&amp;amp;gt;MFPR01003043&amp;amp;lt;/RightHandSideExp'"</definedName>
    <definedName name="_AMO_ContentDefinition_316789590.1814"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1815" hidden="1">"';/AddQuotes&amp;amp;gt;&amp;amp;lt;DateFormat&amp;amp;gt;None&amp;amp;lt;/DateFormat&amp;amp;gt;&amp;amp;lt;RightHandSideExpression xml:space=&amp;amp;quot;preserve&amp;amp;quot;&amp;amp;gt;MFPR01003048&amp;amp;lt;/RightHandSideExpression&amp;amp;gt;&amp;amp;lt;IsSubquery&amp;amp;gt;False&amp;amp;lt;/IsSub'"</definedName>
    <definedName name="_AMO_ContentDefinition_316789590.1816"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316789590.1817" hidden="1">"'teFormat&amp;amp;gt;&amp;amp;lt;RightHandSideExpression xml:space=&amp;amp;quot;preserve&amp;amp;quot;&amp;amp;gt;MFPR01003055&amp;amp;lt;/RightHandSideExpression&amp;amp;gt;&amp;amp;lt;IsSubquery&amp;amp;gt;False&amp;amp;lt;/IsSubquery&amp;amp;gt;&amp;amp;lt;SubqueryTemplateName /&amp;amp;gt;&amp;amp;lt;/'"</definedName>
    <definedName name="_AMO_ContentDefinition_316789590.1818" hidden="1">"'RHSItem&amp;amp;gt;&amp;amp;lt;RHSItem&amp;amp;gt;&amp;amp;lt;RHSType&amp;amp;gt;EXPRESSION&amp;amp;lt;/RHSType&amp;amp;gt;&amp;amp;lt;AddQuotes&amp;amp;gt;True&amp;amp;lt;/AddQuotes&amp;amp;gt;&amp;amp;lt;DateFormat&amp;amp;gt;None&amp;amp;lt;/DateFormat&amp;amp;gt;&amp;amp;lt;RightHandSideExpression xml:space=&amp;a'"</definedName>
    <definedName name="_AMO_ContentDefinition_316789590.1819" hidden="1">"'mp;quot;preserve&amp;amp;quot;&amp;amp;gt;MFPR01003059&amp;amp;lt;/RightHandSideExpression&amp;amp;gt;&amp;amp;lt;IsSubquery&amp;amp;gt;False&amp;amp;lt;/IsSubquery&amp;amp;gt;&amp;amp;lt;SubqueryTemplateName /&amp;amp;gt;&amp;amp;lt;/RHSItem&amp;amp;gt;&amp;amp;lt;RHSItem&amp;amp;gt;&amp;amp;lt;RHSType&amp;amp;gt'"</definedName>
    <definedName name="_AMO_ContentDefinition_316789590.182" hidden="1">"'2',&amp;amp;#xD;&amp;amp;#xA;'MFPR01001793',&amp;amp;#xD;&amp;amp;#xA;'MFPR01001794',&amp;amp;#xD;&amp;amp;#xA;'MFPR01001796',&amp;amp;#xD;&amp;amp;#xA;'MFPR01001797',&amp;amp;#xD;&amp;amp;#xA;'MFPR01001798',&amp;amp;#xD;&amp;amp;#xA;'MFPR01001799',&amp;amp;#xD;&amp;amp;#xA;'MFPR01001800',&amp;amp;#xD;&amp;amp;#xA'"</definedName>
    <definedName name="_AMO_ContentDefinition_316789590.1820" hidden="1">"';EXPRESSION&amp;amp;lt;/RHSType&amp;amp;gt;&amp;amp;lt;AddQuotes&amp;amp;gt;True&amp;amp;lt;/AddQuotes&amp;amp;gt;&amp;amp;lt;DateFormat&amp;amp;gt;None&amp;amp;lt;/DateFormat&amp;amp;gt;&amp;amp;lt;RightHandSideExpression xml:space=&amp;amp;quot;preserve&amp;amp;quot;&amp;amp;gt;MFPR01003060&amp;amp;lt;/Right'"</definedName>
    <definedName name="_AMO_ContentDefinition_316789590.1821"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316789590.1822" hidden="1">"'True&amp;amp;lt;/AddQuotes&amp;amp;gt;&amp;amp;lt;DateFormat&amp;amp;gt;None&amp;amp;lt;/DateFormat&amp;amp;gt;&amp;amp;lt;RightHandSideExpression xml:space=&amp;amp;quot;preserve&amp;amp;quot;&amp;amp;gt;MFPR01003061&amp;amp;lt;/RightHandSideExpression&amp;amp;gt;&amp;amp;lt;IsSubquery&amp;amp;gt;False&amp;am'"</definedName>
    <definedName name="_AMO_ContentDefinition_316789590.1823"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316789590.1824" hidden="1">"'&amp;amp;lt;/DateFormat&amp;amp;gt;&amp;amp;lt;RightHandSideExpression xml:space=&amp;amp;quot;preserve&amp;amp;quot;&amp;amp;gt;MFPR01003069&amp;amp;lt;/RightHandSideExpression&amp;amp;gt;&amp;amp;lt;IsSubquery&amp;amp;gt;False&amp;amp;lt;/IsSubquery&amp;amp;gt;&amp;amp;lt;SubqueryTemplateName /&amp;amp;g'"</definedName>
    <definedName name="_AMO_ContentDefinition_316789590.1825" hidden="1">"'t;&amp;amp;lt;/RHSItem&amp;amp;gt;&amp;amp;lt;RHSItem&amp;amp;gt;&amp;amp;lt;RHSType&amp;amp;gt;EXPRESSION&amp;amp;lt;/RHSType&amp;amp;gt;&amp;amp;lt;AddQuotes&amp;amp;gt;True&amp;amp;lt;/AddQuotes&amp;amp;gt;&amp;amp;lt;DateFormat&amp;amp;gt;None&amp;amp;lt;/DateFormat&amp;amp;gt;&amp;amp;lt;RightHandSideExpression x'"</definedName>
    <definedName name="_AMO_ContentDefinition_316789590.1826" hidden="1">"'ml:space=&amp;amp;quot;preserve&amp;amp;quot;&amp;amp;gt;MFPR01003080&amp;amp;lt;/RightHandSideExpression&amp;amp;gt;&amp;amp;lt;IsSubquery&amp;amp;gt;False&amp;amp;lt;/IsSubquery&amp;amp;gt;&amp;amp;lt;SubqueryTemplateName /&amp;amp;gt;&amp;amp;lt;/RHSItem&amp;amp;gt;&amp;amp;lt;RHSItem&amp;amp;gt;&amp;amp;lt;RHS'"</definedName>
    <definedName name="_AMO_ContentDefinition_316789590.1827" hidden="1">"'Type&amp;amp;gt;EXPRESSION&amp;amp;lt;/RHSType&amp;amp;gt;&amp;amp;lt;AddQuotes&amp;amp;gt;True&amp;amp;lt;/AddQuotes&amp;amp;gt;&amp;amp;lt;DateFormat&amp;amp;gt;None&amp;amp;lt;/DateFormat&amp;amp;gt;&amp;amp;lt;RightHandSideExpression xml:space=&amp;amp;quot;preserve&amp;amp;quot;&amp;amp;gt;MFPR01003083&amp;am'"</definedName>
    <definedName name="_AMO_ContentDefinition_316789590.1828"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316789590.1829" hidden="1">"'tes&amp;amp;gt;True&amp;amp;lt;/AddQuotes&amp;amp;gt;&amp;amp;lt;DateFormat&amp;amp;gt;None&amp;amp;lt;/DateFormat&amp;amp;gt;&amp;amp;lt;RightHandSideExpression xml:space=&amp;amp;quot;preserve&amp;amp;quot;&amp;amp;gt;MFPR01003086&amp;amp;lt;/RightHandSideExpression&amp;amp;gt;&amp;amp;lt;IsSubquery&amp;amp;'"</definedName>
    <definedName name="_AMO_ContentDefinition_316789590.183" hidden="1">"';'MFPR01001801',&amp;amp;#xD;&amp;amp;#xA;'MFPR01001803',&amp;amp;#xD;&amp;amp;#xA;'MFPR01001804',&amp;amp;#xD;&amp;amp;#xA;'MFPR01001808',&amp;amp;#xD;&amp;amp;#xA;'MFPR01001816',&amp;amp;#xD;&amp;amp;#xA;'MFPR01001817',&amp;amp;#xD;&amp;amp;#xA;'MFPR01001818',&amp;amp;#xD;&amp;amp;#xA;'MFPR01001822',&amp;amp'"</definedName>
    <definedName name="_AMO_ContentDefinition_316789590.1830"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316789590.1831" hidden="1">"'amp;gt;None&amp;amp;lt;/DateFormat&amp;amp;gt;&amp;amp;lt;RightHandSideExpression xml:space=&amp;amp;quot;preserve&amp;amp;quot;&amp;amp;gt;MFPR01003088&amp;amp;lt;/RightHandSideExpression&amp;amp;gt;&amp;amp;lt;IsSubquery&amp;amp;gt;False&amp;amp;lt;/IsSubquery&amp;amp;gt;&amp;amp;lt;SubqueryTemplateN'"</definedName>
    <definedName name="_AMO_ContentDefinition_316789590.1832"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316789590.1833" hidden="1">"'xpression xml:space=&amp;amp;quot;preserve&amp;amp;quot;&amp;amp;gt;MFPR01003089&amp;amp;lt;/RightHandSideExpression&amp;amp;gt;&amp;amp;lt;IsSubquery&amp;amp;gt;False&amp;amp;lt;/IsSubquery&amp;amp;gt;&amp;amp;lt;SubqueryTemplateName /&amp;amp;gt;&amp;amp;lt;/RHSItem&amp;amp;gt;&amp;amp;lt;RHSItem&amp;amp;gt;'"</definedName>
    <definedName name="_AMO_ContentDefinition_316789590.1834" hidden="1">"'&amp;amp;lt;RHSType&amp;amp;gt;EXPRESSION&amp;amp;lt;/RHSType&amp;amp;gt;&amp;amp;lt;AddQuotes&amp;amp;gt;True&amp;amp;lt;/AddQuotes&amp;amp;gt;&amp;amp;lt;DateFormat&amp;amp;gt;None&amp;amp;lt;/DateFormat&amp;amp;gt;&amp;amp;lt;RightHandSideExpression xml:space=&amp;amp;quot;preserve&amp;amp;quot;&amp;amp;gt;MFPR'"</definedName>
    <definedName name="_AMO_ContentDefinition_316789590.1835" hidden="1">"'01003090&amp;amp;lt;/RightHandSideExpression&amp;amp;gt;&amp;amp;lt;IsSubquery&amp;amp;gt;False&amp;amp;lt;/IsSubquery&amp;amp;gt;&amp;amp;lt;SubqueryTemplateName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316789590.1836" hidden="1">"'p;lt;AddQuotes&amp;amp;gt;True&amp;amp;lt;/AddQuotes&amp;amp;gt;&amp;amp;lt;DateFormat&amp;amp;gt;None&amp;amp;lt;/DateFormat&amp;amp;gt;&amp;amp;lt;RightHandSideExpression xml:space=&amp;amp;quot;preserve&amp;amp;quot;&amp;amp;gt;MFPR01003091&amp;amp;lt;/RightHandSideExpression&amp;amp;gt;&amp;amp;lt;IsSu'"</definedName>
    <definedName name="_AMO_ContentDefinition_316789590.1837"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316789590.1838" hidden="1">"'DateFormat&amp;amp;gt;None&amp;amp;lt;/DateFormat&amp;amp;gt;&amp;amp;lt;RightHandSideExpression xml:space=&amp;amp;quot;preserve&amp;amp;quot;&amp;amp;gt;MFPR01003096&amp;amp;lt;/RightHandSideExpression&amp;amp;gt;&amp;amp;lt;IsSubquery&amp;amp;gt;False&amp;amp;lt;/IsSubquery&amp;amp;gt;&amp;amp;lt;Subque'"</definedName>
    <definedName name="_AMO_ContentDefinition_316789590.1839"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316789590.184" hidden="1">"';#xD;&amp;amp;#xA;'MFPR01001830',&amp;amp;#xD;&amp;amp;#xA;'MFPR01001833',&amp;amp;#xD;&amp;amp;#xA;'MFPR01001839',&amp;amp;#xD;&amp;amp;#xA;'MFPR01001840',&amp;amp;#xD;&amp;amp;#xA;'MFPR01001841',&amp;amp;#xD;&amp;amp;#xA;'MFPR01001843',&amp;amp;#xD;&amp;amp;#xA;'MFPR01001844',&amp;amp;#xD;&amp;amp;#xA;'MFPR0'"</definedName>
    <definedName name="_AMO_ContentDefinition_316789590.1840" hidden="1">"'htHandSideExpression xml:space=&amp;amp;quot;preserve&amp;amp;quot;&amp;amp;gt;MFPR01003102&amp;amp;lt;/RightHandSideExpression&amp;amp;gt;&amp;amp;lt;IsSubquery&amp;amp;gt;False&amp;amp;lt;/IsSubquery&amp;amp;gt;&amp;amp;lt;SubqueryTemplateName /&amp;amp;gt;&amp;amp;lt;/RHSItem&amp;amp;gt;&amp;amp;lt;RHSI'"</definedName>
    <definedName name="_AMO_ContentDefinition_316789590.1841" hidden="1">"'tem&amp;amp;gt;&amp;amp;lt;RHSType&amp;amp;gt;EXPRESSION&amp;amp;lt;/RHSType&amp;amp;gt;&amp;amp;lt;AddQuotes&amp;amp;gt;True&amp;amp;lt;/AddQuotes&amp;amp;gt;&amp;amp;lt;DateFormat&amp;amp;gt;None&amp;amp;lt;/DateFormat&amp;amp;gt;&amp;amp;lt;RightHandSideExpression xml:space=&amp;amp;quot;preserve&amp;amp;quot;&amp;'"</definedName>
    <definedName name="_AMO_ContentDefinition_316789590.1842" hidden="1">"'amp;gt;MFPR01003106&amp;amp;lt;/RightHandSideExpression&amp;amp;gt;&amp;amp;lt;IsSubquery&amp;amp;gt;False&amp;amp;lt;/IsSubquery&amp;amp;gt;&amp;amp;lt;SubqueryTemplateName /&amp;amp;gt;&amp;amp;lt;/RHSItem&amp;amp;gt;&amp;amp;lt;RHSItem&amp;amp;gt;&amp;amp;lt;RHSType&amp;amp;gt;EXPRESSION&amp;amp;lt;/RHSType'"</definedName>
    <definedName name="_AMO_ContentDefinition_316789590.1843" hidden="1">"'&amp;amp;gt;&amp;amp;lt;AddQuotes&amp;amp;gt;True&amp;amp;lt;/AddQuotes&amp;amp;gt;&amp;amp;lt;DateFormat&amp;amp;gt;None&amp;amp;lt;/DateFormat&amp;amp;gt;&amp;amp;lt;RightHandSideExpression xml:space=&amp;amp;quot;preserve&amp;amp;quot;&amp;amp;gt;MFPR01003110&amp;amp;lt;/RightHandSideExpression&amp;amp;gt;&amp;'"</definedName>
    <definedName name="_AMO_ContentDefinition_316789590.1844"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316789590.1845" hidden="1">"'gt;&amp;amp;lt;DateFormat&amp;amp;gt;None&amp;amp;lt;/DateFormat&amp;amp;gt;&amp;amp;lt;RightHandSideExpression xml:space=&amp;amp;quot;preserve&amp;amp;quot;&amp;amp;gt;MFPR01003113&amp;amp;lt;/RightHandSideExpression&amp;amp;gt;&amp;amp;lt;IsSubquery&amp;amp;gt;False&amp;amp;lt;/IsSubquery&amp;amp;gt;&amp;am'"</definedName>
    <definedName name="_AMO_ContentDefinition_316789590.1846"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316789590.1847" hidden="1">"'&amp;amp;lt;RightHandSideExpression xml:space=&amp;amp;quot;preserve&amp;amp;quot;&amp;amp;gt;MFPR01003116&amp;amp;lt;/RightHandSideExpression&amp;amp;gt;&amp;amp;lt;IsSubquery&amp;amp;gt;False&amp;amp;lt;/IsSubquery&amp;amp;gt;&amp;amp;lt;SubqueryTemplateName /&amp;amp;gt;&amp;amp;lt;/RHSItem&amp;amp;gt;&amp;'"</definedName>
    <definedName name="_AMO_ContentDefinition_316789590.1848"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316789590.1849" hidden="1">"'&amp;amp;quot;&amp;amp;gt;MFPR01003118&amp;amp;lt;/RightHandSideExpression&amp;amp;gt;&amp;amp;lt;IsSubquery&amp;amp;gt;False&amp;amp;lt;/IsSubquery&amp;amp;gt;&amp;amp;lt;SubqueryTemplateName /&amp;amp;gt;&amp;amp;lt;/RHSItem&amp;amp;gt;&amp;amp;lt;RHSItem&amp;amp;gt;&amp;amp;lt;RHSType&amp;amp;gt;EXPRESSION&amp;amp;'"</definedName>
    <definedName name="_AMO_ContentDefinition_316789590.185" hidden="1">"'1001845',&amp;amp;#xD;&amp;amp;#xA;'MFPR01001846',&amp;amp;#xD;&amp;amp;#xA;'MFPR01001850',&amp;amp;#xD;&amp;amp;#xA;'MFPR01001857',&amp;amp;#xD;&amp;amp;#xA;'MFPR01001862',&amp;amp;#xD;&amp;amp;#xA;'MFPR01001864',&amp;amp;#xD;&amp;amp;#xA;'MFPR01001865',&amp;amp;#xD;&amp;amp;#xA;'MFPR01001866',&amp;amp;#xD;&amp;a'"</definedName>
    <definedName name="_AMO_ContentDefinition_316789590.1850" hidden="1">"'lt;/RHSType&amp;amp;gt;&amp;amp;lt;AddQuotes&amp;amp;gt;True&amp;amp;lt;/AddQuotes&amp;amp;gt;&amp;amp;lt;DateFormat&amp;amp;gt;None&amp;amp;lt;/DateFormat&amp;amp;gt;&amp;amp;lt;RightHandSideExpression xml:space=&amp;amp;quot;preserve&amp;amp;quot;&amp;amp;gt;MFPR01003119&amp;amp;lt;/RightHandSideExpressi'"</definedName>
    <definedName name="_AMO_ContentDefinition_316789590.1851"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316789590.1852" hidden="1">"'Quotes&amp;amp;gt;&amp;amp;lt;DateFormat&amp;amp;gt;None&amp;amp;lt;/DateFormat&amp;amp;gt;&amp;amp;lt;RightHandSideExpression xml:space=&amp;amp;quot;preserve&amp;amp;quot;&amp;amp;gt;MFPR01003120&amp;amp;lt;/RightHandSideExpression&amp;amp;gt;&amp;amp;lt;IsSubquery&amp;amp;gt;False&amp;amp;lt;/IsSubquery'"</definedName>
    <definedName name="_AMO_ContentDefinition_316789590.1853"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316789590.1854" hidden="1">"'mat&amp;amp;gt;&amp;amp;lt;RightHandSideExpression xml:space=&amp;amp;quot;preserve&amp;amp;quot;&amp;amp;gt;MFPR01003121&amp;amp;lt;/RightHandSideExpression&amp;amp;gt;&amp;amp;lt;IsSubquery&amp;amp;gt;False&amp;amp;lt;/IsSubquery&amp;amp;gt;&amp;amp;lt;SubqueryTemplateName /&amp;amp;gt;&amp;amp;lt;/RHSIt'"</definedName>
    <definedName name="_AMO_ContentDefinition_316789590.1855" hidden="1">"'em&amp;amp;gt;&amp;amp;lt;RHSItem&amp;amp;gt;&amp;amp;lt;RHSType&amp;amp;gt;EXPRESSION&amp;amp;lt;/RHSType&amp;amp;gt;&amp;amp;lt;AddQuotes&amp;amp;gt;True&amp;amp;lt;/AddQuotes&amp;amp;gt;&amp;amp;lt;DateFormat&amp;amp;gt;None&amp;amp;lt;/DateFormat&amp;amp;gt;&amp;amp;lt;RightHandSideExpression xml:space=&amp;amp;qu'"</definedName>
    <definedName name="_AMO_ContentDefinition_316789590.1856" hidden="1">"'ot;preserve&amp;amp;quot;&amp;amp;gt;MFPR01003126&amp;amp;lt;/RightHandSideExpression&amp;amp;gt;&amp;amp;lt;IsSubquery&amp;amp;gt;False&amp;amp;lt;/IsSubquery&amp;amp;gt;&amp;amp;lt;SubqueryTemplateName /&amp;amp;gt;&amp;amp;lt;/RHSItem&amp;amp;gt;&amp;amp;lt;RHSItem&amp;amp;gt;&amp;amp;lt;RHSType&amp;amp;gt;EXPR'"</definedName>
    <definedName name="_AMO_ContentDefinition_316789590.1857" hidden="1">"'ESSION&amp;amp;lt;/RHSType&amp;amp;gt;&amp;amp;lt;AddQuotes&amp;amp;gt;True&amp;amp;lt;/AddQuotes&amp;amp;gt;&amp;amp;lt;DateFormat&amp;amp;gt;None&amp;amp;lt;/DateFormat&amp;amp;gt;&amp;amp;lt;RightHandSideExpression xml:space=&amp;amp;quot;preserve&amp;amp;quot;&amp;amp;gt;MFPR01003133&amp;amp;lt;/RightHandS'"</definedName>
    <definedName name="_AMO_ContentDefinition_316789590.1858"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316789590.1859" hidden="1">"'amp;lt;/AddQuotes&amp;amp;gt;&amp;amp;lt;DateFormat&amp;amp;gt;None&amp;amp;lt;/DateFormat&amp;amp;gt;&amp;amp;lt;RightHandSideExpression xml:space=&amp;amp;quot;preserve&amp;amp;quot;&amp;amp;gt;MFPR01003137&amp;amp;lt;/RightHandSideExpression&amp;amp;gt;&amp;amp;lt;IsSubquery&amp;amp;gt;False&amp;amp;lt;'"</definedName>
    <definedName name="_AMO_ContentDefinition_316789590.186" hidden="1">"'mp;#xA;'MFPR01001868',&amp;amp;#xD;&amp;amp;#xA;'MFPR01001869',&amp;amp;#xD;&amp;amp;#xA;'MFPR01001870',&amp;amp;#xD;&amp;amp;#xA;'MFPR01001871',&amp;amp;#xD;&amp;amp;#xA;'MFPR01001875',&amp;amp;#xD;&amp;amp;#xA;'MFPR01001883',&amp;amp;#xD;&amp;amp;#xA;'MFPR01001887',&amp;amp;#xD;&amp;amp;#xA;'MFPR01001893'"</definedName>
    <definedName name="_AMO_ContentDefinition_316789590.1860"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316789590.1861" hidden="1">"'lt;/DateFormat&amp;amp;gt;&amp;amp;lt;RightHandSideExpression xml:space=&amp;amp;quot;preserve&amp;amp;quot;&amp;amp;gt;MFPR01003138&amp;amp;lt;/RightHandSideExpression&amp;amp;gt;&amp;amp;lt;IsSubquery&amp;amp;gt;False&amp;amp;lt;/IsSubquery&amp;amp;gt;&amp;amp;lt;SubqueryTemplateName /&amp;amp;gt;&amp;am'"</definedName>
    <definedName name="_AMO_ContentDefinition_316789590.1862" hidden="1">"'p;lt;/RHSItem&amp;amp;gt;&amp;amp;lt;RHSItem&amp;amp;gt;&amp;amp;lt;RHSType&amp;amp;gt;EXPRESSION&amp;amp;lt;/RHSType&amp;amp;gt;&amp;amp;lt;AddQuotes&amp;amp;gt;True&amp;amp;lt;/AddQuotes&amp;amp;gt;&amp;amp;lt;DateFormat&amp;amp;gt;None&amp;amp;lt;/DateFormat&amp;amp;gt;&amp;amp;lt;RightHandSideExpression xml:sp'"</definedName>
    <definedName name="_AMO_ContentDefinition_316789590.1863" hidden="1">"'ace=&amp;amp;quot;preserve&amp;amp;quot;&amp;amp;gt;MFPR01003145&amp;amp;lt;/RightHandSideExpression&amp;amp;gt;&amp;amp;lt;IsSubquery&amp;amp;gt;False&amp;amp;lt;/IsSubquery&amp;amp;gt;&amp;amp;lt;SubqueryTemplateName /&amp;amp;gt;&amp;amp;lt;/RHSItem&amp;amp;gt;&amp;amp;lt;RHSItem&amp;amp;gt;&amp;amp;lt;RHSType&amp;'"</definedName>
    <definedName name="_AMO_ContentDefinition_316789590.1864" hidden="1">"'amp;gt;EXPRESSION&amp;amp;lt;/RHSType&amp;amp;gt;&amp;amp;lt;AddQuotes&amp;amp;gt;True&amp;amp;lt;/AddQuotes&amp;amp;gt;&amp;amp;lt;DateFormat&amp;amp;gt;None&amp;amp;lt;/DateFormat&amp;amp;gt;&amp;amp;lt;RightHandSideExpression xml:space=&amp;amp;quot;preserve&amp;amp;quot;&amp;amp;gt;MFPR01003158&amp;amp;lt;'"</definedName>
    <definedName name="_AMO_ContentDefinition_316789590.1865"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316789590.1866" hidden="1">"'mp;gt;True&amp;amp;lt;/AddQuotes&amp;amp;gt;&amp;amp;lt;DateFormat&amp;amp;gt;None&amp;amp;lt;/DateFormat&amp;amp;gt;&amp;amp;lt;RightHandSideExpression xml:space=&amp;amp;quot;preserve&amp;amp;quot;&amp;amp;gt;MFPR01003159&amp;amp;lt;/RightHandSideExpression&amp;amp;gt;&amp;amp;lt;IsSubquery&amp;amp;gt;Fa'"</definedName>
    <definedName name="_AMO_ContentDefinition_316789590.1867"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316789590.1868" hidden="1">"'t;None&amp;amp;lt;/DateFormat&amp;amp;gt;&amp;amp;lt;RightHandSideExpression xml:space=&amp;amp;quot;preserve&amp;amp;quot;&amp;amp;gt;MFPR01003163&amp;amp;lt;/RightHandSideExpression&amp;amp;gt;&amp;amp;lt;IsSubquery&amp;amp;gt;False&amp;amp;lt;/IsSubquery&amp;amp;gt;&amp;amp;lt;SubqueryTemplateName /'"</definedName>
    <definedName name="_AMO_ContentDefinition_316789590.1869"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316789590.187" hidden="1">"'',&amp;amp;#xD;&amp;amp;#xA;'MFPR01001901',&amp;amp;#xD;&amp;amp;#xA;'MFPR01001902',&amp;amp;#xD;&amp;amp;#xA;'MFPR01001906',&amp;amp;#xD;&amp;amp;#xA;'MFPR01001915',&amp;amp;#xD;&amp;amp;#xA;'MFPR01001916',&amp;amp;#xD;&amp;amp;#xA;'MFPR01001920',&amp;amp;#xD;&amp;amp;#xA;'MFPR01001928',&amp;amp;#xD;&amp;amp;#xA;'"</definedName>
    <definedName name="_AMO_ContentDefinition_316789590.1870" hidden="1">"'sion xml:space=&amp;amp;quot;preserve&amp;amp;quot;&amp;amp;gt;MFPR01003169&amp;amp;lt;/RightHandSideExpression&amp;amp;gt;&amp;amp;lt;IsSubquery&amp;amp;gt;False&amp;amp;lt;/IsSubquery&amp;amp;gt;&amp;amp;lt;SubqueryTemplateName /&amp;amp;gt;&amp;amp;lt;/RHSItem&amp;amp;gt;&amp;amp;lt;RHSItem&amp;amp;gt;&amp;amp;'"</definedName>
    <definedName name="_AMO_ContentDefinition_316789590.1871" hidden="1">"'lt;RHSType&amp;amp;gt;EXPRESSION&amp;amp;lt;/RHSType&amp;amp;gt;&amp;amp;lt;AddQuotes&amp;amp;gt;True&amp;amp;lt;/AddQuotes&amp;amp;gt;&amp;amp;lt;DateFormat&amp;amp;gt;None&amp;amp;lt;/DateFormat&amp;amp;gt;&amp;amp;lt;RightHandSideExpression xml:space=&amp;amp;quot;preserve&amp;amp;quot;&amp;amp;gt;MFPR01003'"</definedName>
    <definedName name="_AMO_ContentDefinition_316789590.1872" hidden="1">"'176&amp;amp;lt;/RightHandSideExpression&amp;amp;gt;&amp;amp;lt;IsSubquery&amp;amp;gt;False&amp;amp;lt;/IsSubquery&amp;amp;gt;&amp;amp;lt;SubqueryTemplateName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316789590.1873" hidden="1">"'AddQuotes&amp;amp;gt;True&amp;amp;lt;/AddQuotes&amp;amp;gt;&amp;amp;lt;DateFormat&amp;amp;gt;None&amp;amp;lt;/DateFormat&amp;amp;gt;&amp;amp;lt;RightHandSideExpression xml:space=&amp;amp;quot;preserve&amp;amp;quot;&amp;amp;gt;MFPR01003178&amp;amp;lt;/RightHandSideExpression&amp;amp;gt;&amp;amp;lt;IsSubquer'"</definedName>
    <definedName name="_AMO_ContentDefinition_316789590.1874"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316789590.1875" hidden="1">"'ormat&amp;amp;gt;None&amp;amp;lt;/DateFormat&amp;amp;gt;&amp;amp;lt;RightHandSideExpression xml:space=&amp;amp;quot;preserve&amp;amp;quot;&amp;amp;gt;MFPR01003179&amp;amp;lt;/RightHandSideExpression&amp;amp;gt;&amp;amp;lt;IsSubquery&amp;amp;gt;False&amp;amp;lt;/IsSubquery&amp;amp;gt;&amp;amp;lt;SubqueryTem'"</definedName>
    <definedName name="_AMO_ContentDefinition_316789590.1876"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316789590.1877" hidden="1">"'dSideExpression xml:space=&amp;amp;quot;preserve&amp;amp;quot;&amp;amp;gt;MFPR01003180&amp;amp;lt;/RightHandSideExpression&amp;amp;gt;&amp;amp;lt;IsSubquery&amp;amp;gt;False&amp;amp;lt;/IsSubquery&amp;amp;gt;&amp;amp;lt;SubqueryTemplateName /&amp;amp;gt;&amp;amp;lt;/RHSItem&amp;amp;gt;&amp;amp;lt;RHSItem&amp;a'"</definedName>
    <definedName name="_AMO_ContentDefinition_316789590.1878"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316789590.1879" hidden="1">"'t;MFPR01003181&amp;amp;lt;/RightHandSideExpression&amp;amp;gt;&amp;amp;lt;IsSubquery&amp;amp;gt;False&amp;amp;lt;/IsSubquery&amp;amp;gt;&amp;amp;lt;SubqueryTemplateName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316789590.188" hidden="1">"''MFPR01001931',&amp;amp;#xD;&amp;amp;#xA;'MFPR01001937',&amp;amp;#xD;&amp;amp;#xA;'MFPR01001938',&amp;amp;#xD;&amp;amp;#xA;'MFPR01001939',&amp;amp;#xD;&amp;amp;#xA;'MFPR01001941',&amp;amp;#xD;&amp;amp;#xA;'MFPR01001942',&amp;amp;#xD;&amp;amp;#xA;'MFPR01001943',&amp;amp;#xD;&amp;amp;#xA;'MFPR01001944',&amp;amp;'"</definedName>
    <definedName name="_AMO_ContentDefinition_316789590.1880" hidden="1">"'gt;&amp;amp;lt;AddQuotes&amp;amp;gt;True&amp;amp;lt;/AddQuotes&amp;amp;gt;&amp;amp;lt;DateFormat&amp;amp;gt;None&amp;amp;lt;/DateFormat&amp;amp;gt;&amp;amp;lt;RightHandSideExpression xml:space=&amp;amp;quot;preserve&amp;amp;quot;&amp;amp;gt;MFPR01003185&amp;amp;lt;/RightHandSideExpression&amp;amp;gt;&amp;amp;l'"</definedName>
    <definedName name="_AMO_ContentDefinition_316789590.1881"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316789590.1882" hidden="1">"'mp;lt;DateFormat&amp;amp;gt;None&amp;amp;lt;/DateFormat&amp;amp;gt;&amp;amp;lt;RightHandSideExpression xml:space=&amp;amp;quot;preserve&amp;amp;quot;&amp;amp;gt;MFPR01003192&amp;amp;lt;/RightHandSideExpression&amp;amp;gt;&amp;amp;lt;IsSubquery&amp;amp;gt;False&amp;amp;lt;/IsSubquery&amp;amp;gt;&amp;amp;lt;'"</definedName>
    <definedName name="_AMO_ContentDefinition_316789590.1883"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316789590.1884" hidden="1">"'lt;RightHandSideExpression xml:space=&amp;amp;quot;preserve&amp;amp;quot;&amp;amp;gt;MFPR01003196&amp;amp;lt;/RightHandSideExpression&amp;amp;gt;&amp;amp;lt;IsSubquery&amp;amp;gt;False&amp;amp;lt;/IsSubquery&amp;amp;gt;&amp;amp;lt;SubqueryTemplateName /&amp;amp;gt;&amp;amp;lt;/RHSItem&amp;amp;gt;&amp;amp;l'"</definedName>
    <definedName name="_AMO_ContentDefinition_316789590.1885" hidden="1">"'t;RHSItem&amp;amp;gt;&amp;amp;lt;RHSType&amp;amp;gt;EXPRESSION&amp;amp;lt;/RHSType&amp;amp;gt;&amp;amp;lt;AddQuotes&amp;amp;gt;True&amp;amp;lt;/AddQuotes&amp;amp;gt;&amp;amp;lt;DateFormat&amp;amp;gt;None&amp;amp;lt;/DateFormat&amp;amp;gt;&amp;amp;lt;RightHandSideExpression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316789590.1886" hidden="1">"'quot;&amp;amp;gt;MFPR01003197&amp;amp;lt;/RightHandSideExpression&amp;amp;gt;&amp;amp;lt;IsSubquery&amp;amp;gt;False&amp;amp;lt;/IsSubquery&amp;amp;gt;&amp;amp;lt;SubqueryTemplateName /&amp;amp;gt;&amp;amp;lt;/RHSItem&amp;amp;gt;&amp;amp;lt;RHSItem&amp;amp;gt;&amp;amp;lt;RHSType&amp;amp;gt;EXPRESSION&amp;amp;lt;/R'"</definedName>
    <definedName name="_AMO_ContentDefinition_316789590.1887" hidden="1">"'HSType&amp;amp;gt;&amp;amp;lt;AddQuotes&amp;amp;gt;True&amp;amp;lt;/AddQuotes&amp;amp;gt;&amp;amp;lt;DateFormat&amp;amp;gt;None&amp;amp;lt;/DateFormat&amp;amp;gt;&amp;amp;lt;RightHandSideExpression xml:space=&amp;amp;quot;preserve&amp;amp;quot;&amp;amp;gt;MFPR01003204&amp;amp;lt;/RightHandSideExpression&amp;am'"</definedName>
    <definedName name="_AMO_ContentDefinition_316789590.1888"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316789590.1889" hidden="1">"'s&amp;amp;gt;&amp;amp;lt;DateFormat&amp;amp;gt;None&amp;amp;lt;/DateFormat&amp;amp;gt;&amp;amp;lt;RightHandSideExpression xml:space=&amp;amp;quot;preserve&amp;amp;quot;&amp;amp;gt;MFPR01003213&amp;amp;lt;/RightHandSideExpression&amp;amp;gt;&amp;amp;lt;IsSubquery&amp;amp;gt;False&amp;amp;lt;/IsSubquery&amp;amp;'"</definedName>
    <definedName name="_AMO_ContentDefinition_316789590.189" hidden="1">"'#xD;&amp;amp;#xA;'MFPR01001948',&amp;amp;#xD;&amp;amp;#xA;'MFPR01001955',&amp;amp;#xD;&amp;amp;#xA;'MFPR01001962',&amp;amp;#xD;&amp;amp;#xA;'MFPR01001963',&amp;amp;#xD;&amp;amp;#xA;'MFPR01001964',&amp;amp;#xD;&amp;amp;#xA;'MFPR01001966',&amp;amp;#xD;&amp;amp;#xA;'MFPR01001967',&amp;amp;#xD;&amp;amp;#xA;'MFPR01'"</definedName>
    <definedName name="_AMO_ContentDefinition_316789590.1890"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316789590.1891" hidden="1">"'mp;gt;&amp;amp;lt;RightHandSideExpression xml:space=&amp;amp;quot;preserve&amp;amp;quot;&amp;amp;gt;MFPR01003215&amp;amp;lt;/RightHandSideExpression&amp;amp;gt;&amp;amp;lt;IsSubquery&amp;amp;gt;False&amp;amp;lt;/IsSubquery&amp;amp;gt;&amp;amp;lt;SubqueryTemplateName /&amp;amp;gt;&amp;amp;lt;/RHSItem&amp;am'"</definedName>
    <definedName name="_AMO_ContentDefinition_316789590.1892" hidden="1">"'p;gt;&amp;amp;lt;RHSItem&amp;amp;gt;&amp;amp;lt;RHSType&amp;amp;gt;EXPRESSION&amp;amp;lt;/RHSType&amp;amp;gt;&amp;amp;lt;AddQuotes&amp;amp;gt;True&amp;amp;lt;/AddQuotes&amp;amp;gt;&amp;amp;lt;DateFormat&amp;amp;gt;None&amp;amp;lt;/DateFormat&amp;amp;gt;&amp;amp;lt;RightHandSideExpression xml:space=&amp;amp;quot;pr'"</definedName>
    <definedName name="_AMO_ContentDefinition_316789590.1893" hidden="1">"'eserve&amp;amp;quot;&amp;amp;gt;MFPR01003216&amp;amp;lt;/RightHandSideExpression&amp;amp;gt;&amp;amp;lt;IsSubquery&amp;amp;gt;False&amp;amp;lt;/IsSubquery&amp;amp;gt;&amp;amp;lt;SubqueryTemplateName /&amp;amp;gt;&amp;amp;lt;/RHSItem&amp;amp;gt;&amp;amp;lt;RHSItem&amp;amp;gt;&amp;amp;lt;RHSType&amp;amp;gt;EXPRESSIO'"</definedName>
    <definedName name="_AMO_ContentDefinition_316789590.1894" hidden="1">"'N&amp;amp;lt;/RHSType&amp;amp;gt;&amp;amp;lt;AddQuotes&amp;amp;gt;True&amp;amp;lt;/AddQuotes&amp;amp;gt;&amp;amp;lt;DateFormat&amp;amp;gt;None&amp;amp;lt;/DateFormat&amp;amp;gt;&amp;amp;lt;RightHandSideExpression xml:space=&amp;amp;quot;preserve&amp;amp;quot;&amp;amp;gt;MFPR01003217&amp;amp;lt;/RightHandSideEx'"</definedName>
    <definedName name="_AMO_ContentDefinition_316789590.1895"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316789590.1896" hidden="1">"'t;/AddQuotes&amp;amp;gt;&amp;amp;lt;DateFormat&amp;amp;gt;None&amp;amp;lt;/DateFormat&amp;amp;gt;&amp;amp;lt;RightHandSideExpression xml:space=&amp;amp;quot;preserve&amp;amp;quot;&amp;amp;gt;MFPR01003218&amp;amp;lt;/RightHandSideExpression&amp;amp;gt;&amp;amp;lt;IsSubquery&amp;amp;gt;False&amp;amp;lt;/IsSu'"</definedName>
    <definedName name="_AMO_ContentDefinition_316789590.1897"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316789590.1898" hidden="1">"'ateFormat&amp;amp;gt;&amp;amp;lt;RightHandSideExpression xml:space=&amp;amp;quot;preserve&amp;amp;quot;&amp;amp;gt;MFPR01003223&amp;amp;lt;/RightHandSideExpression&amp;amp;gt;&amp;amp;lt;IsSubquery&amp;amp;gt;False&amp;amp;lt;/IsSubquery&amp;amp;gt;&amp;amp;lt;SubqueryTemplateName /&amp;amp;gt;&amp;amp;lt;'"</definedName>
    <definedName name="_AMO_ContentDefinition_316789590.1899" hidden="1">"'/RHSItem&amp;amp;gt;&amp;amp;lt;RHSItem&amp;amp;gt;&amp;amp;lt;RHSType&amp;amp;gt;EXPRESSION&amp;amp;lt;/RHSType&amp;amp;gt;&amp;amp;lt;AddQuotes&amp;amp;gt;True&amp;amp;lt;/AddQuotes&amp;amp;gt;&amp;amp;lt;DateFormat&amp;amp;gt;None&amp;amp;lt;/DateFormat&amp;amp;gt;&amp;amp;lt;RightHandSideExpression xml:space=&amp;'"</definedName>
    <definedName name="_AMO_ContentDefinition_316789590.19" hidden="1">"',&amp;#xD;&amp;#xA;'MFPR01000646',&amp;#xD;&amp;#xA;'MFPR01000657',&amp;#xD;&amp;#xA;'MFPR01000658',&amp;#xD;&amp;#xA;'MFPR01000659',&amp;#xD;&amp;#xA;'MFPR01000661',&amp;#xD;&amp;#xA;'MFPR01000662',&amp;#xD;&amp;#xA;'MFPR01000663',&amp;#xD;&amp;#xA;'MFPR01000664',&amp;#xD;&amp;#xA;'MFPR01000668',&amp;#xD;&amp;#xA;'MFPR01000674','"</definedName>
    <definedName name="_AMO_ContentDefinition_316789590.190" hidden="1">"'001968',&amp;amp;#xD;&amp;amp;#xA;'MFPR01001969',&amp;amp;#xD;&amp;amp;#xA;'MFPR01001973',&amp;amp;#xD;&amp;amp;#xA;'MFPR01001981',&amp;amp;#xD;&amp;amp;#xA;'MFPR01001985',&amp;amp;#xD;&amp;amp;#xA;'MFPR01001991',&amp;amp;#xD;&amp;amp;#xA;'MFPR01002000',&amp;amp;#xD;&amp;amp;#xA;'MFPR01002001',&amp;amp;#xD;&amp;am'"</definedName>
    <definedName name="_AMO_ContentDefinition_316789590.1900" hidden="1">"'amp;quot;preserve&amp;amp;quot;&amp;amp;gt;MFPR01003229&amp;amp;lt;/RightHandSideExpression&amp;amp;gt;&amp;amp;lt;IsSubquery&amp;amp;gt;False&amp;amp;lt;/IsSubquery&amp;amp;gt;&amp;amp;lt;SubqueryTemplateName /&amp;amp;gt;&amp;amp;lt;/RHSItem&amp;amp;gt;&amp;amp;lt;RHSItem&amp;amp;gt;&amp;amp;lt;RHSType&amp;amp;g'"</definedName>
    <definedName name="_AMO_ContentDefinition_316789590.1901" hidden="1">"'t;EXPRESSION&amp;amp;lt;/RHSType&amp;amp;gt;&amp;amp;lt;AddQuotes&amp;amp;gt;True&amp;amp;lt;/AddQuotes&amp;amp;gt;&amp;amp;lt;DateFormat&amp;amp;gt;None&amp;amp;lt;/DateFormat&amp;amp;gt;&amp;amp;lt;RightHandSideExpression xml:space=&amp;amp;quot;preserve&amp;amp;quot;&amp;amp;gt;MFPR01003233&amp;amp;lt;/Righ'"</definedName>
    <definedName name="_AMO_ContentDefinition_316789590.1902"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316789590.1903" hidden="1">"';True&amp;amp;lt;/AddQuotes&amp;amp;gt;&amp;amp;lt;DateFormat&amp;amp;gt;None&amp;amp;lt;/DateFormat&amp;amp;gt;&amp;amp;lt;RightHandSideExpression xml:space=&amp;amp;quot;preserve&amp;amp;quot;&amp;amp;gt;MFPR01003236&amp;amp;lt;/RightHandSideExpression&amp;amp;gt;&amp;amp;lt;IsSubquery&amp;amp;gt;False&amp;a'"</definedName>
    <definedName name="_AMO_ContentDefinition_316789590.1904"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316789590.1905" hidden="1">"'e&amp;amp;lt;/DateFormat&amp;amp;gt;&amp;amp;lt;RightHandSideExpression xml:space=&amp;amp;quot;preserve&amp;amp;quot;&amp;amp;gt;MFPR01003238&amp;amp;lt;/RightHandSideExpression&amp;amp;gt;&amp;amp;lt;IsSubquery&amp;amp;gt;False&amp;amp;lt;/IsSubquery&amp;amp;gt;&amp;amp;lt;SubqueryTemplateName /&amp;amp;'"</definedName>
    <definedName name="_AMO_ContentDefinition_316789590.1906" hidden="1">"'gt;&amp;amp;lt;/RHSItem&amp;amp;gt;&amp;amp;lt;RHSItem&amp;amp;gt;&amp;amp;lt;RHSType&amp;amp;gt;EXPRESSION&amp;amp;lt;/RHSType&amp;amp;gt;&amp;amp;lt;AddQuotes&amp;amp;gt;True&amp;amp;lt;/AddQuotes&amp;amp;gt;&amp;amp;lt;DateFormat&amp;amp;gt;None&amp;amp;lt;/DateFormat&amp;amp;gt;&amp;amp;lt;RightHandSideExpression '"</definedName>
    <definedName name="_AMO_ContentDefinition_316789590.1907" hidden="1">"'xml:space=&amp;amp;quot;preserve&amp;amp;quot;&amp;amp;gt;MFPR01003239&amp;amp;lt;/RightHandSideExpression&amp;amp;gt;&amp;amp;lt;IsSubquery&amp;amp;gt;False&amp;amp;lt;/IsSubquery&amp;amp;gt;&amp;amp;lt;SubqueryTemplateName /&amp;amp;gt;&amp;amp;lt;/RHSItem&amp;amp;gt;&amp;amp;lt;RHSItem&amp;amp;gt;&amp;amp;lt;RH'"</definedName>
    <definedName name="_AMO_ContentDefinition_316789590.1908" hidden="1">"'SType&amp;amp;gt;EXPRESSION&amp;amp;lt;/RHSType&amp;amp;gt;&amp;amp;lt;AddQuotes&amp;amp;gt;True&amp;amp;lt;/AddQuotes&amp;amp;gt;&amp;amp;lt;DateFormat&amp;amp;gt;None&amp;amp;lt;/DateFormat&amp;amp;gt;&amp;amp;lt;RightHandSideExpression xml:space=&amp;amp;quot;preserve&amp;amp;quot;&amp;amp;gt;MFPR01003240&amp;a'"</definedName>
    <definedName name="_AMO_ContentDefinition_316789590.1909"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316789590.191" hidden="1">"'p;#xA;'MFPR01002002',&amp;amp;#xD;&amp;amp;#xA;'MFPR01002004',&amp;amp;#xD;&amp;amp;#xA;'MFPR01002005',&amp;amp;#xD;&amp;amp;#xA;'MFPR01002006',&amp;amp;#xD;&amp;amp;#xA;'MFPR01002007',&amp;amp;#xD;&amp;amp;#xA;'MFPR01002012',&amp;amp;#xD;&amp;amp;#xA;'MFPR01002018',&amp;amp;#xD;&amp;amp;#xA;'MFPR01002022''"</definedName>
    <definedName name="_AMO_ContentDefinition_316789590.1910" hidden="1">"'otes&amp;amp;gt;True&amp;amp;lt;/AddQuotes&amp;amp;gt;&amp;amp;lt;DateFormat&amp;amp;gt;None&amp;amp;lt;/DateFormat&amp;amp;gt;&amp;amp;lt;RightHandSideExpression xml:space=&amp;amp;quot;preserve&amp;amp;quot;&amp;amp;gt;MFPR01003241&amp;amp;lt;/RightHandSideExpression&amp;amp;gt;&amp;amp;lt;IsSubquery&amp;amp'"</definedName>
    <definedName name="_AMO_ContentDefinition_316789590.1911"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316789590.1912" hidden="1">"'&amp;amp;gt;None&amp;amp;lt;/DateFormat&amp;amp;gt;&amp;amp;lt;RightHandSideExpression xml:space=&amp;amp;quot;preserve&amp;amp;quot;&amp;amp;gt;MFPR01003246&amp;amp;lt;/RightHandSideExpression&amp;amp;gt;&amp;amp;lt;IsSubquery&amp;amp;gt;False&amp;amp;lt;/IsSubquery&amp;amp;gt;&amp;amp;lt;SubqueryTemplate'"</definedName>
    <definedName name="_AMO_ContentDefinition_316789590.1913"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316789590.1914" hidden="1">"'Expression xml:space=&amp;amp;quot;preserve&amp;amp;quot;&amp;amp;gt;MFPR01003253&amp;amp;lt;/RightHandSideExpression&amp;amp;gt;&amp;amp;lt;IsSubquery&amp;amp;gt;False&amp;amp;lt;/IsSubquery&amp;amp;gt;&amp;amp;lt;SubqueryTemplateName /&amp;amp;gt;&amp;amp;lt;/RHSItem&amp;amp;gt;&amp;amp;lt;RHSItem&amp;amp;gt'"</definedName>
    <definedName name="_AMO_ContentDefinition_316789590.1915" hidden="1">"';&amp;amp;lt;RHSType&amp;amp;gt;EXPRESSION&amp;amp;lt;/RHSType&amp;amp;gt;&amp;amp;lt;AddQuotes&amp;amp;gt;True&amp;amp;lt;/AddQuotes&amp;amp;gt;&amp;amp;lt;DateFormat&amp;amp;gt;None&amp;amp;lt;/DateFormat&amp;amp;gt;&amp;amp;lt;RightHandSideExpression xml:space=&amp;amp;quot;preserve&amp;amp;quot;&amp;amp;gt;MFP'"</definedName>
    <definedName name="_AMO_ContentDefinition_316789590.1916" hidden="1">"'R01003257&amp;amp;lt;/RightHandSideExpression&amp;amp;gt;&amp;amp;lt;IsSubquery&amp;amp;gt;False&amp;amp;lt;/IsSubquery&amp;amp;gt;&amp;amp;lt;SubqueryTemplateName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316789590.1917" hidden="1">"'mp;lt;AddQuotes&amp;amp;gt;True&amp;amp;lt;/AddQuotes&amp;amp;gt;&amp;amp;lt;DateFormat&amp;amp;gt;None&amp;amp;lt;/DateFormat&amp;amp;gt;&amp;amp;lt;RightHandSideExpression xml:space=&amp;amp;quot;preserve&amp;amp;quot;&amp;amp;gt;MFPR01003258&amp;amp;lt;/RightHandSideExpression&amp;amp;gt;&amp;amp;lt;IsS'"</definedName>
    <definedName name="_AMO_ContentDefinition_316789590.1918"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316789590.1919" hidden="1">"';DateFormat&amp;amp;gt;None&amp;amp;lt;/DateFormat&amp;amp;gt;&amp;amp;lt;RightHandSideExpression xml:space=&amp;amp;quot;preserve&amp;amp;quot;&amp;amp;gt;MFPR01003265&amp;amp;lt;/RightHandSideExpression&amp;amp;gt;&amp;amp;lt;IsSubquery&amp;amp;gt;False&amp;amp;lt;/IsSubquery&amp;amp;gt;&amp;amp;lt;Subqu'"</definedName>
    <definedName name="_AMO_ContentDefinition_316789590.192" hidden="1">"',&amp;amp;#xD;&amp;amp;#xA;'MFPR01002023',&amp;amp;#xD;&amp;amp;#xA;'MFPR01002027',&amp;amp;#xD;&amp;amp;#xA;'MFPR01002028',&amp;amp;#xD;&amp;amp;#xA;'MFPR01002029',&amp;amp;#xD;&amp;amp;#xA;'MFPR01002031',&amp;amp;#xD;&amp;amp;#xA;'MFPR01002032',&amp;amp;#xD;&amp;amp;#xA;'MFPR01002033',&amp;amp;#xD;&amp;amp;#xA;''"</definedName>
    <definedName name="_AMO_ContentDefinition_316789590.1920"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316789590.1921" hidden="1">"'ghtHandSideExpression xml:space=&amp;amp;quot;preserve&amp;amp;quot;&amp;amp;gt;MFPR01003274&amp;amp;lt;/RightHandSideExpression&amp;amp;gt;&amp;amp;lt;IsSubquery&amp;amp;gt;False&amp;amp;lt;/IsSubquery&amp;amp;gt;&amp;amp;lt;SubqueryTemplateName /&amp;amp;gt;&amp;amp;lt;/RHSItem&amp;amp;gt;&amp;amp;lt;RHS'"</definedName>
    <definedName name="_AMO_ContentDefinition_316789590.1922" hidden="1">"'Item&amp;amp;gt;&amp;amp;lt;RHSType&amp;amp;gt;EXPRESSION&amp;amp;lt;/RHSType&amp;amp;gt;&amp;amp;lt;AddQuotes&amp;amp;gt;True&amp;amp;lt;/AddQuotes&amp;amp;gt;&amp;amp;lt;DateFormat&amp;amp;gt;None&amp;amp;lt;/DateFormat&amp;amp;gt;&amp;amp;lt;RightHandSideExpression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316789590.1923" hidden="1">"'&amp;amp;gt;MFPR01003281&amp;amp;lt;/RightHandSideExpression&amp;amp;gt;&amp;amp;lt;IsSubquery&amp;amp;gt;False&amp;amp;lt;/IsSubquery&amp;amp;gt;&amp;amp;lt;SubqueryTemplateName /&amp;amp;gt;&amp;amp;lt;/RHSItem&amp;amp;gt;&amp;amp;lt;RHSItem&amp;amp;gt;&amp;amp;lt;RHSType&amp;amp;gt;EXPRESSION&amp;amp;lt;/RHSTyp'"</definedName>
    <definedName name="_AMO_ContentDefinition_316789590.1924" hidden="1">"'e&amp;amp;gt;&amp;amp;lt;AddQuotes&amp;amp;gt;True&amp;amp;lt;/AddQuotes&amp;amp;gt;&amp;amp;lt;DateFormat&amp;amp;gt;None&amp;amp;lt;/DateFormat&amp;amp;gt;&amp;amp;lt;RightHandSideExpression xml:space=&amp;amp;quot;preserve&amp;amp;quot;&amp;amp;gt;MFPR01003283&amp;amp;lt;/RightHandSideExpression&amp;amp;gt;'"</definedName>
    <definedName name="_AMO_ContentDefinition_316789590.1925"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316789590.1926" hidden="1">"';gt;&amp;amp;lt;DateFormat&amp;amp;gt;None&amp;amp;lt;/DateFormat&amp;amp;gt;&amp;amp;lt;RightHandSideExpression xml:space=&amp;amp;quot;preserve&amp;amp;quot;&amp;amp;gt;MFPR01003284&amp;amp;lt;/RightHandSideExpression&amp;amp;gt;&amp;amp;lt;IsSubquery&amp;amp;gt;False&amp;amp;lt;/IsSubquery&amp;amp;gt;&amp;a'"</definedName>
    <definedName name="_AMO_ContentDefinition_316789590.1927"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316789590.1928" hidden="1">"';&amp;amp;lt;RightHandSideExpression xml:space=&amp;amp;quot;preserve&amp;amp;quot;&amp;amp;gt;MFPR01003285&amp;amp;lt;/RightHandSideExpression&amp;amp;gt;&amp;amp;lt;IsSubquery&amp;amp;gt;False&amp;amp;lt;/IsSubquery&amp;amp;gt;&amp;amp;lt;SubqueryTemplateName /&amp;amp;gt;&amp;amp;lt;/RHSItem&amp;amp;gt;'"</definedName>
    <definedName name="_AMO_ContentDefinition_316789590.1929" hidden="1">"'&amp;amp;lt;RHSItem&amp;amp;gt;&amp;amp;lt;RHSType&amp;amp;gt;EXPRESSION&amp;amp;lt;/RHSType&amp;amp;gt;&amp;amp;lt;AddQuotes&amp;amp;gt;True&amp;amp;lt;/AddQuotes&amp;amp;gt;&amp;amp;lt;DateFormat&amp;amp;gt;None&amp;amp;lt;/DateFormat&amp;amp;gt;&amp;amp;lt;RightHandSideExpression xml:space=&amp;amp;quot;preserv'"</definedName>
    <definedName name="_AMO_ContentDefinition_316789590.193" hidden="1">"'MFPR01002034',&amp;amp;#xD;&amp;amp;#xA;'MFPR01002039',&amp;amp;#xD;&amp;amp;#xA;'MFPR01002045',&amp;amp;#xD;&amp;amp;#xA;'MFPR01002049',&amp;amp;#xD;&amp;amp;#xA;'MFPR01002050',&amp;amp;#xD;&amp;amp;#xA;'MFPR01002051',&amp;amp;#xD;&amp;amp;#xA;'MFPR01002059',&amp;amp;#xD;&amp;amp;#xA;'MFPR01002070',&amp;amp;#'"</definedName>
    <definedName name="_AMO_ContentDefinition_316789590.1930" hidden="1">"'e&amp;amp;quot;&amp;amp;gt;MFPR01003286&amp;amp;lt;/RightHandSideExpression&amp;amp;gt;&amp;amp;lt;IsSubquery&amp;amp;gt;False&amp;amp;lt;/IsSubquery&amp;amp;gt;&amp;amp;lt;SubqueryTemplateName /&amp;amp;gt;&amp;amp;lt;/RHSItem&amp;amp;gt;&amp;amp;lt;RHSItem&amp;amp;gt;&amp;amp;lt;RHSType&amp;amp;gt;EXPRESSION&amp;amp'"</definedName>
    <definedName name="_AMO_ContentDefinition_316789590.1931" hidden="1">"';lt;/RHSType&amp;amp;gt;&amp;amp;lt;AddQuotes&amp;amp;gt;True&amp;amp;lt;/AddQuotes&amp;amp;gt;&amp;amp;lt;DateFormat&amp;amp;gt;None&amp;amp;lt;/DateFormat&amp;amp;gt;&amp;amp;lt;RightHandSideExpression xml:space=&amp;amp;quot;preserve&amp;amp;quot;&amp;amp;gt;MFPR01003291&amp;amp;lt;/RightHandSideExpress'"</definedName>
    <definedName name="_AMO_ContentDefinition_316789590.1932"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316789590.1933" hidden="1">"'dQuotes&amp;amp;gt;&amp;amp;lt;DateFormat&amp;amp;gt;None&amp;amp;lt;/DateFormat&amp;amp;gt;&amp;amp;lt;RightHandSideExpression xml:space=&amp;amp;quot;preserve&amp;amp;quot;&amp;amp;gt;MFPR01003297&amp;amp;lt;/RightHandSideExpression&amp;amp;gt;&amp;amp;lt;IsSubquery&amp;amp;gt;False&amp;amp;lt;/IsSubquer'"</definedName>
    <definedName name="_AMO_ContentDefinition_316789590.1934"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316789590.1935" hidden="1">"'rmat&amp;amp;gt;&amp;amp;lt;RightHandSideExpression xml:space=&amp;amp;quot;preserve&amp;amp;quot;&amp;amp;gt;MFPR01003301&amp;amp;lt;/RightHandSideExpression&amp;amp;gt;&amp;amp;lt;IsSubquery&amp;amp;gt;False&amp;amp;lt;/IsSubquery&amp;amp;gt;&amp;amp;lt;SubqueryTemplateName /&amp;amp;gt;&amp;amp;lt;/RHSI'"</definedName>
    <definedName name="_AMO_ContentDefinition_316789590.1936" hidden="1">"'tem&amp;amp;gt;&amp;amp;lt;RHSItem&amp;amp;gt;&amp;amp;lt;RHSType&amp;amp;gt;EXPRESSION&amp;amp;lt;/RHSType&amp;amp;gt;&amp;amp;lt;AddQuotes&amp;amp;gt;True&amp;amp;lt;/AddQuotes&amp;amp;gt;&amp;amp;lt;DateFormat&amp;amp;gt;None&amp;amp;lt;/DateFormat&amp;amp;gt;&amp;amp;lt;RightHandSideExpression xml:space=&amp;amp;q'"</definedName>
    <definedName name="_AMO_ContentDefinition_316789590.1937" hidden="1">"'uot;preserve&amp;amp;quot;&amp;amp;gt;MFPR01003305&amp;amp;lt;/RightHandSideExpression&amp;amp;gt;&amp;amp;lt;IsSubquery&amp;amp;gt;False&amp;amp;lt;/IsSubquery&amp;amp;gt;&amp;amp;lt;SubqueryTemplateName /&amp;amp;gt;&amp;amp;lt;/RHSItem&amp;amp;gt;&amp;amp;lt;RHSItem&amp;amp;gt;&amp;amp;lt;RHSType&amp;amp;gt;EXP'"</definedName>
    <definedName name="_AMO_ContentDefinition_316789590.1938" hidden="1">"'RESSION&amp;amp;lt;/RHSType&amp;amp;gt;&amp;amp;lt;AddQuotes&amp;amp;gt;True&amp;amp;lt;/AddQuotes&amp;amp;gt;&amp;amp;lt;DateFormat&amp;amp;gt;None&amp;amp;lt;/DateFormat&amp;amp;gt;&amp;amp;lt;RightHandSideExpression xml:space=&amp;amp;quot;preserve&amp;amp;quot;&amp;amp;gt;MFPR01003308&amp;amp;lt;/RightHand'"</definedName>
    <definedName name="_AMO_ContentDefinition_316789590.1939"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316789590.194" hidden="1">"'xD;&amp;amp;#xA;'MFPR01002071',&amp;amp;#xD;&amp;amp;#xA;'MFPR01002072',&amp;amp;#xD;&amp;amp;#xA;'MFPR01002074',&amp;amp;#xD;&amp;amp;#xA;'MFPR01002075',&amp;amp;#xD;&amp;amp;#xA;'MFPR01002076',&amp;amp;#xD;&amp;amp;#xA;'MFPR01002077',&amp;amp;#xD;&amp;amp;#xA;'MFPR01002082',&amp;amp;#xD;&amp;amp;#xA;'MFPR010'"</definedName>
    <definedName name="_AMO_ContentDefinition_316789590.1940" hidden="1">"'&amp;amp;lt;/AddQuotes&amp;amp;gt;&amp;amp;lt;DateFormat&amp;amp;gt;None&amp;amp;lt;/DateFormat&amp;amp;gt;&amp;amp;lt;RightHandSideExpression xml:space=&amp;amp;quot;preserve&amp;amp;quot;&amp;amp;gt;MFPR01003311&amp;amp;lt;/RightHandSideExpression&amp;amp;gt;&amp;amp;lt;IsSubquery&amp;amp;gt;False&amp;amp;lt'"</definedName>
    <definedName name="_AMO_ContentDefinition_316789590.1941"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316789590.1942" hidden="1">"';lt;/DateFormat&amp;amp;gt;&amp;amp;lt;RightHandSideExpression xml:space=&amp;amp;quot;preserve&amp;amp;quot;&amp;amp;gt;MFPR01003313&amp;amp;lt;/RightHandSideExpression&amp;amp;gt;&amp;amp;lt;IsSubquery&amp;amp;gt;False&amp;amp;lt;/IsSubquery&amp;amp;gt;&amp;amp;lt;SubqueryTemplateName /&amp;amp;gt;&amp;a'"</definedName>
    <definedName name="_AMO_ContentDefinition_316789590.1943" hidden="1">"'mp;lt;/RHSItem&amp;amp;gt;&amp;amp;lt;RHSItem&amp;amp;gt;&amp;amp;lt;RHSType&amp;amp;gt;EXPRESSION&amp;amp;lt;/RHSType&amp;amp;gt;&amp;amp;lt;AddQuotes&amp;amp;gt;True&amp;amp;lt;/AddQuotes&amp;amp;gt;&amp;amp;lt;DateFormat&amp;amp;gt;None&amp;amp;lt;/DateFormat&amp;amp;gt;&amp;amp;lt;RightHandSideExpression xml:s'"</definedName>
    <definedName name="_AMO_ContentDefinition_316789590.1944" hidden="1">"'pace=&amp;amp;quot;preserve&amp;amp;quot;&amp;amp;gt;MFPR01003314&amp;amp;lt;/RightHandSideExpression&amp;amp;gt;&amp;amp;lt;IsSubquery&amp;amp;gt;False&amp;amp;lt;/IsSubquery&amp;amp;gt;&amp;amp;lt;SubqueryTemplateName /&amp;amp;gt;&amp;amp;lt;/RHSItem&amp;amp;gt;&amp;amp;lt;RHSItem&amp;amp;gt;&amp;amp;lt;RHSType'"</definedName>
    <definedName name="_AMO_ContentDefinition_316789590.1945" hidden="1">"'&amp;amp;gt;EXPRESSION&amp;amp;lt;/RHSType&amp;amp;gt;&amp;amp;lt;AddQuotes&amp;amp;gt;True&amp;amp;lt;/AddQuotes&amp;amp;gt;&amp;amp;lt;DateFormat&amp;amp;gt;None&amp;amp;lt;/DateFormat&amp;amp;gt;&amp;amp;lt;RightHandSideExpression xml:space=&amp;amp;quot;preserve&amp;amp;quot;&amp;amp;gt;MFPR01003315&amp;amp;lt'"</definedName>
    <definedName name="_AMO_ContentDefinition_316789590.1946"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316789590.1947" hidden="1">"'amp;gt;True&amp;amp;lt;/AddQuotes&amp;amp;gt;&amp;amp;lt;DateFormat&amp;amp;gt;None&amp;amp;lt;/DateFormat&amp;amp;gt;&amp;amp;lt;RightHandSideExpression xml:space=&amp;amp;quot;preserve&amp;amp;quot;&amp;amp;gt;MFPR01003316&amp;amp;lt;/RightHandSideExpression&amp;amp;gt;&amp;amp;lt;IsSubquery&amp;amp;gt;F'"</definedName>
    <definedName name="_AMO_ContentDefinition_316789590.1948"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316789590.1949" hidden="1">"'gt;None&amp;amp;lt;/DateFormat&amp;amp;gt;&amp;amp;lt;RightHandSideExpression xml:space=&amp;amp;quot;preserve&amp;amp;quot;&amp;amp;gt;MFPR01003321&amp;amp;lt;/RightHandSideExpression&amp;amp;gt;&amp;amp;lt;IsSubquery&amp;amp;gt;False&amp;amp;lt;/IsSubquery&amp;amp;gt;&amp;amp;lt;SubqueryTemplateName '"</definedName>
    <definedName name="_AMO_ContentDefinition_316789590.195" hidden="1">"'02088',&amp;amp;#xD;&amp;amp;#xA;'MFPR01002092',&amp;amp;#xD;&amp;amp;#xA;'MFPR01002093',&amp;amp;#xD;&amp;amp;#xA;'MFPR01002097',&amp;amp;#xD;&amp;amp;#xA;'MFPR01002098',&amp;amp;#xD;&amp;amp;#xA;'MFPR01002099',&amp;amp;#xD;&amp;amp;#xA;'MFPR01002101',&amp;amp;#xD;&amp;amp;#xA;'MFPR01002102',&amp;amp;#xD;&amp;amp'"</definedName>
    <definedName name="_AMO_ContentDefinition_316789590.1950"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316789590.1951" hidden="1">"'ssion xml:space=&amp;amp;quot;preserve&amp;amp;quot;&amp;amp;gt;MFPR01003328&amp;amp;lt;/RightHandSideExpression&amp;amp;gt;&amp;amp;lt;IsSubquery&amp;amp;gt;False&amp;amp;lt;/IsSubquery&amp;amp;gt;&amp;amp;lt;SubqueryTemplateName /&amp;amp;gt;&amp;amp;lt;/RHSItem&amp;amp;gt;&amp;amp;lt;RHSItem&amp;amp;gt;&amp;amp'"</definedName>
    <definedName name="_AMO_ContentDefinition_316789590.1952" hidden="1">"';lt;RHSType&amp;amp;gt;EXPRESSION&amp;amp;lt;/RHSType&amp;amp;gt;&amp;amp;lt;AddQuotes&amp;amp;gt;True&amp;amp;lt;/AddQuotes&amp;amp;gt;&amp;amp;lt;DateFormat&amp;amp;gt;None&amp;amp;lt;/DateFormat&amp;amp;gt;&amp;amp;lt;RightHandSideExpression xml:space=&amp;amp;quot;preserve&amp;amp;quot;&amp;amp;gt;MFPR0100'"</definedName>
    <definedName name="_AMO_ContentDefinition_316789590.1953" hidden="1">"'3332&amp;amp;lt;/RightHandSideExpression&amp;amp;gt;&amp;amp;lt;IsSubquery&amp;amp;gt;False&amp;amp;lt;/IsSubquery&amp;amp;gt;&amp;amp;lt;SubqueryTemplateName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316789590.1954" hidden="1">"';AddQuotes&amp;amp;gt;True&amp;amp;lt;/AddQuotes&amp;amp;gt;&amp;amp;lt;DateFormat&amp;amp;gt;None&amp;amp;lt;/DateFormat&amp;amp;gt;&amp;amp;lt;RightHandSideExpression xml:space=&amp;amp;quot;preserve&amp;amp;quot;&amp;amp;gt;MFPR01003333&amp;amp;lt;/RightHandSideExpression&amp;amp;gt;&amp;amp;lt;IsSubque'"</definedName>
    <definedName name="_AMO_ContentDefinition_316789590.1955"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316789590.1956" hidden="1">"'Format&amp;amp;gt;None&amp;amp;lt;/DateFormat&amp;amp;gt;&amp;amp;lt;RightHandSideExpression xml:space=&amp;amp;quot;preserve&amp;amp;quot;&amp;amp;gt;MFPR01003340&amp;amp;lt;/RightHandSideExpression&amp;amp;gt;&amp;amp;lt;IsSubquery&amp;amp;gt;False&amp;amp;lt;/IsSubquery&amp;amp;gt;&amp;amp;lt;SubqueryTe'"</definedName>
    <definedName name="_AMO_ContentDefinition_316789590.1957"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316789590.1958" hidden="1">"'ndSideExpression xml:space=&amp;amp;quot;preserve&amp;amp;quot;&amp;amp;gt;MFPR01003350&amp;amp;lt;/RightHandSideExpression&amp;amp;gt;&amp;amp;lt;IsSubquery&amp;amp;gt;False&amp;amp;lt;/IsSubquery&amp;amp;gt;&amp;amp;lt;SubqueryTemplateName /&amp;amp;gt;&amp;amp;lt;/RHSItem&amp;amp;gt;&amp;amp;lt;RHSItem&amp;'"</definedName>
    <definedName name="_AMO_ContentDefinition_316789590.1959" hidden="1">"'amp;gt;&amp;amp;lt;RHSType&amp;amp;gt;EXPRESSION&amp;amp;lt;/RHSType&amp;amp;gt;&amp;amp;lt;AddQuotes&amp;amp;gt;True&amp;amp;lt;/AddQuotes&amp;amp;gt;&amp;amp;lt;DateFormat&amp;amp;gt;None&amp;amp;lt;/DateFormat&amp;amp;gt;&amp;amp;lt;RightHandSideExpression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316789590.196" hidden="1">"';#xA;'MFPR01002103',&amp;amp;#xD;&amp;amp;#xA;'MFPR01002104',&amp;amp;#xD;&amp;amp;#xA;'MFPR01002109',&amp;amp;#xD;&amp;amp;#xA;'MFPR01002115',&amp;amp;#xD;&amp;amp;#xA;'MFPR01002119',&amp;amp;#xD;&amp;amp;#xA;'MFPR01002120',&amp;amp;#xD;&amp;amp;#xA;'MFPR01002121',&amp;amp;#xD;&amp;amp;#xA;'MFPR01002129','"</definedName>
    <definedName name="_AMO_ContentDefinition_316789590.1960" hidden="1">"'gt;MFPR01003353&amp;amp;lt;/RightHandSideExpression&amp;amp;gt;&amp;amp;lt;IsSubquery&amp;amp;gt;False&amp;amp;lt;/IsSubquery&amp;amp;gt;&amp;amp;lt;SubqueryTemplateName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316789590.1961" hidden="1">"';gt;&amp;amp;lt;AddQuotes&amp;amp;gt;True&amp;amp;lt;/AddQuotes&amp;amp;gt;&amp;amp;lt;DateFormat&amp;amp;gt;None&amp;amp;lt;/DateFormat&amp;amp;gt;&amp;amp;lt;RightHandSideExpression xml:space=&amp;amp;quot;preserve&amp;amp;quot;&amp;amp;gt;MFPR01003356&amp;amp;lt;/RightHandSideExpression&amp;amp;gt;&amp;amp;'"</definedName>
    <definedName name="_AMO_ContentDefinition_316789590.1962"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316789590.1963" hidden="1">"'amp;lt;DateFormat&amp;amp;gt;None&amp;amp;lt;/DateFormat&amp;amp;gt;&amp;amp;lt;RightHandSideExpression xml:space=&amp;amp;quot;preserve&amp;amp;quot;&amp;amp;gt;MFPR01003358&amp;amp;lt;/RightHandSideExpression&amp;amp;gt;&amp;amp;lt;IsSubquery&amp;amp;gt;False&amp;amp;lt;/IsSubquery&amp;amp;gt;&amp;amp;lt'"</definedName>
    <definedName name="_AMO_ContentDefinition_316789590.1964"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316789590.1965" hidden="1">"';lt;RightHandSideExpression xml:space=&amp;amp;quot;preserve&amp;amp;quot;&amp;amp;gt;MFPR01003359&amp;amp;lt;/RightHandSideExpression&amp;amp;gt;&amp;amp;lt;IsSubquery&amp;amp;gt;False&amp;amp;lt;/IsSubquery&amp;amp;gt;&amp;amp;lt;SubqueryTemplateName /&amp;amp;gt;&amp;amp;lt;/RHSItem&amp;amp;gt;&amp;amp;'"</definedName>
    <definedName name="_AMO_ContentDefinition_316789590.1966" hidden="1">"'lt;RHSItem&amp;amp;gt;&amp;amp;lt;RHSType&amp;amp;gt;EXPRESSION&amp;amp;lt;/RHSType&amp;amp;gt;&amp;amp;lt;AddQuotes&amp;amp;gt;True&amp;amp;lt;/AddQuotes&amp;amp;gt;&amp;amp;lt;DateFormat&amp;amp;gt;None&amp;amp;lt;/DateFormat&amp;amp;gt;&amp;amp;lt;RightHandSideExpression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316789590.1967" hidden="1">"';quot;&amp;amp;gt;MFPR01003360&amp;amp;lt;/RightHandSideExpression&amp;amp;gt;&amp;amp;lt;IsSubquery&amp;amp;gt;False&amp;amp;lt;/IsSubquery&amp;amp;gt;&amp;amp;lt;SubqueryTemplateName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1968" hidden="1">"'RHSType&amp;amp;gt;&amp;amp;lt;AddQuotes&amp;amp;gt;True&amp;amp;lt;/AddQuotes&amp;amp;gt;&amp;amp;lt;DateFormat&amp;amp;gt;None&amp;amp;lt;/DateFormat&amp;amp;gt;&amp;amp;lt;RightHandSideExpression xml:space=&amp;amp;quot;preserve&amp;amp;quot;&amp;amp;gt;MFPR01003361&amp;amp;lt;/RightHandSideExpression&amp;a'"</definedName>
    <definedName name="_AMO_ContentDefinition_316789590.1969"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316789590.197" hidden="1">"'&amp;amp;#xD;&amp;amp;#xA;'MFPR01002140',&amp;amp;#xD;&amp;amp;#xA;'MFPR01002141',&amp;amp;#xD;&amp;amp;#xA;'MFPR01002142',&amp;amp;#xD;&amp;amp;#xA;'MFPR01002144',&amp;amp;#xD;&amp;amp;#xA;'MFPR01002145',&amp;amp;#xD;&amp;amp;#xA;'MFPR01002146',&amp;amp;#xD;&amp;amp;#xA;'MFPR01002147',&amp;amp;#xD;&amp;amp;#xA;'M'"</definedName>
    <definedName name="_AMO_ContentDefinition_316789590.1970" hidden="1">"'es&amp;amp;gt;&amp;amp;lt;DateFormat&amp;amp;gt;None&amp;amp;lt;/DateFormat&amp;amp;gt;&amp;amp;lt;RightHandSideExpression xml:space=&amp;amp;quot;preserve&amp;amp;quot;&amp;amp;gt;MFPR01003366&amp;amp;lt;/RightHandSideExpression&amp;amp;gt;&amp;amp;lt;IsSubquery&amp;amp;gt;False&amp;amp;lt;/IsSubquery&amp;amp'"</definedName>
    <definedName name="_AMO_ContentDefinition_316789590.1971"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316789590.1972" hidden="1">"'amp;gt;&amp;amp;lt;RightHandSideExpression xml:space=&amp;amp;quot;preserve&amp;amp;quot;&amp;amp;gt;MFPR01003372&amp;amp;lt;/RightHandSideExpression&amp;amp;gt;&amp;amp;lt;IsSubquery&amp;amp;gt;False&amp;amp;lt;/IsSubquery&amp;amp;gt;&amp;amp;lt;SubqueryTemplateName /&amp;amp;gt;&amp;amp;lt;/RHSItem&amp;a'"</definedName>
    <definedName name="_AMO_ContentDefinition_316789590.1973" hidden="1">"'mp;gt;&amp;amp;lt;RHSItem&amp;amp;gt;&amp;amp;lt;RHSType&amp;amp;gt;EXPRESSION&amp;amp;lt;/RHSType&amp;amp;gt;&amp;amp;lt;AddQuotes&amp;amp;gt;True&amp;amp;lt;/AddQuotes&amp;amp;gt;&amp;amp;lt;DateFormat&amp;amp;gt;None&amp;amp;lt;/DateFormat&amp;amp;gt;&amp;amp;lt;RightHandSideExpression xml:space=&amp;amp;quot;p'"</definedName>
    <definedName name="_AMO_ContentDefinition_316789590.1974" hidden="1">"'reserve&amp;amp;quot;&amp;amp;gt;MFPR01003380&amp;amp;lt;/RightHandSideExpression&amp;amp;gt;&amp;amp;lt;IsSubquery&amp;amp;gt;False&amp;amp;lt;/IsSubquery&amp;amp;gt;&amp;amp;lt;SubqueryTemplateName /&amp;amp;gt;&amp;amp;lt;/RHSItem&amp;amp;gt;&amp;amp;lt;RHSItem&amp;amp;gt;&amp;amp;lt;RHSType&amp;amp;gt;EXPRESSI'"</definedName>
    <definedName name="_AMO_ContentDefinition_316789590.1975" hidden="1">"'ON&amp;amp;lt;/RHSType&amp;amp;gt;&amp;amp;lt;AddQuotes&amp;amp;gt;True&amp;amp;lt;/AddQuotes&amp;amp;gt;&amp;amp;lt;DateFormat&amp;amp;gt;None&amp;amp;lt;/DateFormat&amp;amp;gt;&amp;amp;lt;RightHandSideExpression xml:space=&amp;amp;quot;preserve&amp;amp;quot;&amp;amp;gt;MFPR01003383&amp;amp;lt;/RightHandSideE'"</definedName>
    <definedName name="_AMO_ContentDefinition_316789590.1976"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316789590.1977" hidden="1">"'lt;/AddQuotes&amp;amp;gt;&amp;amp;lt;DateFormat&amp;amp;gt;None&amp;amp;lt;/DateFormat&amp;amp;gt;&amp;amp;lt;RightHandSideExpression xml:space=&amp;amp;quot;preserve&amp;amp;quot;&amp;amp;gt;MFPR01003386&amp;amp;lt;/RightHandSideExpression&amp;amp;gt;&amp;amp;lt;IsSubquery&amp;amp;gt;False&amp;amp;lt;/IsS'"</definedName>
    <definedName name="_AMO_ContentDefinition_316789590.1978"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1979" hidden="1">"'DateFormat&amp;amp;gt;&amp;amp;lt;RightHandSideExpression xml:space=&amp;amp;quot;preserve&amp;amp;quot;&amp;amp;gt;MFPR01003388&amp;amp;lt;/RightHandSideExpression&amp;amp;gt;&amp;amp;lt;IsSubquery&amp;amp;gt;False&amp;amp;lt;/IsSubquery&amp;amp;gt;&amp;amp;lt;SubqueryTemplateName /&amp;amp;gt;&amp;amp;lt'"</definedName>
    <definedName name="_AMO_ContentDefinition_316789590.198" hidden="1">"'FPR01002152',&amp;amp;#xD;&amp;amp;#xA;'MFPR01002158',&amp;amp;#xD;&amp;amp;#xA;'MFPR01002162',&amp;amp;#xD;&amp;amp;#xA;'MFPR01002163',&amp;amp;#xD;&amp;amp;#xA;'MFPR01002167',&amp;amp;#xD;&amp;amp;#xA;'MFPR01002168',&amp;amp;#xD;&amp;amp;#xA;'MFPR01002169',&amp;amp;#xD;&amp;amp;#xA;'MFPR01002171',&amp;amp;#x'"</definedName>
    <definedName name="_AMO_ContentDefinition_316789590.1980" hidden="1">"';/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316789590.1981" hidden="1">"'&amp;amp;quot;preserve&amp;amp;quot;&amp;amp;gt;MFPR01003389&amp;amp;lt;/RightHandSideExpression&amp;amp;gt;&amp;amp;lt;IsSubquery&amp;amp;gt;False&amp;amp;lt;/IsSubquery&amp;amp;gt;&amp;amp;lt;SubqueryTemplateName /&amp;amp;gt;&amp;amp;lt;/RHSItem&amp;amp;gt;&amp;amp;lt;RHSItem&amp;amp;gt;&amp;amp;lt;RHSType&amp;amp;'"</definedName>
    <definedName name="_AMO_ContentDefinition_316789590.1982" hidden="1">"'gt;EXPRESSION&amp;amp;lt;/RHSType&amp;amp;gt;&amp;amp;lt;AddQuotes&amp;amp;gt;True&amp;amp;lt;/AddQuotes&amp;amp;gt;&amp;amp;lt;DateFormat&amp;amp;gt;None&amp;amp;lt;/DateFormat&amp;amp;gt;&amp;amp;lt;RightHandSideExpression xml:space=&amp;amp;quot;preserve&amp;amp;quot;&amp;amp;gt;MFPR01003390&amp;amp;lt;/Rig'"</definedName>
    <definedName name="_AMO_ContentDefinition_316789590.1983"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316789590.1984" hidden="1">"'t;True&amp;amp;lt;/AddQuotes&amp;amp;gt;&amp;amp;lt;DateFormat&amp;amp;gt;None&amp;amp;lt;/DateFormat&amp;amp;gt;&amp;amp;lt;RightHandSideExpression xml:space=&amp;amp;quot;preserve&amp;amp;quot;&amp;amp;gt;MFPR01003391&amp;amp;lt;/RightHandSideExpression&amp;amp;gt;&amp;amp;lt;IsSubquery&amp;amp;gt;False&amp;'"</definedName>
    <definedName name="_AMO_ContentDefinition_316789590.1985"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316789590.1986" hidden="1">"'ne&amp;amp;lt;/DateFormat&amp;amp;gt;&amp;amp;lt;RightHandSideExpression xml:space=&amp;amp;quot;preserve&amp;amp;quot;&amp;amp;gt;MFPR01003396&amp;amp;lt;/RightHandSideExpression&amp;amp;gt;&amp;amp;lt;IsSubquery&amp;amp;gt;False&amp;amp;lt;/IsSubquery&amp;amp;gt;&amp;amp;lt;SubqueryTemplateName /&amp;amp'"</definedName>
    <definedName name="_AMO_ContentDefinition_316789590.1987"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316789590.1988" hidden="1">"' xml:space=&amp;amp;quot;preserve&amp;amp;quot;&amp;amp;gt;MFPR01003403&amp;amp;lt;/RightHandSideExpression&amp;amp;gt;&amp;amp;lt;IsSubquery&amp;amp;gt;False&amp;amp;lt;/IsSubquery&amp;amp;gt;&amp;amp;lt;SubqueryTemplateName /&amp;amp;gt;&amp;amp;lt;/RHSItem&amp;amp;gt;&amp;amp;lt;RHSItem&amp;amp;gt;&amp;amp;lt;R'"</definedName>
    <definedName name="_AMO_ContentDefinition_316789590.1989" hidden="1">"'HSType&amp;amp;gt;EXPRESSION&amp;amp;lt;/RHSType&amp;amp;gt;&amp;amp;lt;AddQuotes&amp;amp;gt;True&amp;amp;lt;/AddQuotes&amp;amp;gt;&amp;amp;lt;DateFormat&amp;amp;gt;None&amp;amp;lt;/DateFormat&amp;amp;gt;&amp;amp;lt;RightHandSideExpression xml:space=&amp;amp;quot;preserve&amp;amp;quot;&amp;amp;gt;MFPR01003407&amp;'"</definedName>
    <definedName name="_AMO_ContentDefinition_316789590.199" hidden="1">"'D;&amp;amp;#xA;'MFPR01002172',&amp;amp;#xD;&amp;amp;#xA;'MFPR01002173',&amp;amp;#xD;&amp;amp;#xA;'MFPR01002174',&amp;amp;#xD;&amp;amp;#xA;'MFPR01002179',&amp;amp;#xD;&amp;amp;#xA;'MFPR01002185',&amp;amp;#xD;&amp;amp;#xA;'MFPR01002189',&amp;amp;#xD;&amp;amp;#xA;'MFPR01002190',&amp;amp;#xD;&amp;amp;#xA;'MFPR0100'"</definedName>
    <definedName name="_AMO_ContentDefinition_316789590.1990"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316789590.1991" hidden="1">"'uotes&amp;amp;gt;True&amp;amp;lt;/AddQuotes&amp;amp;gt;&amp;amp;lt;DateFormat&amp;amp;gt;None&amp;amp;lt;/DateFormat&amp;amp;gt;&amp;amp;lt;RightHandSideExpression xml:space=&amp;amp;quot;preserve&amp;amp;quot;&amp;amp;gt;MFPR01003408&amp;amp;lt;/RightHandSideExpression&amp;amp;gt;&amp;amp;lt;IsSubquery&amp;am'"</definedName>
    <definedName name="_AMO_ContentDefinition_316789590.1992"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316789590.1993" hidden="1">"'t&amp;amp;gt;None&amp;amp;lt;/DateFormat&amp;amp;gt;&amp;amp;lt;RightHandSideExpression xml:space=&amp;amp;quot;preserve&amp;amp;quot;&amp;amp;gt;MFPR01003415&amp;amp;lt;/RightHandSideExpression&amp;amp;gt;&amp;amp;lt;IsSubquery&amp;amp;gt;False&amp;amp;lt;/IsSubquery&amp;amp;gt;&amp;amp;lt;SubqueryTemplat'"</definedName>
    <definedName name="_AMO_ContentDefinition_316789590.1994"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316789590.1995" hidden="1">"'eExpression xml:space=&amp;amp;quot;preserve&amp;amp;quot;&amp;amp;gt;MFPR01003428&amp;amp;lt;/RightHandSideExpression&amp;amp;gt;&amp;amp;lt;IsSubquery&amp;amp;gt;False&amp;amp;lt;/IsSubquery&amp;amp;gt;&amp;amp;lt;SubqueryTemplateName /&amp;amp;gt;&amp;amp;lt;/RHSItem&amp;amp;gt;&amp;amp;lt;RHSItem&amp;amp;g'"</definedName>
    <definedName name="_AMO_ContentDefinition_316789590.1996" hidden="1">"'t;&amp;amp;lt;RHSType&amp;amp;gt;EXPRESSION&amp;amp;lt;/RHSType&amp;amp;gt;&amp;amp;lt;AddQuotes&amp;amp;gt;True&amp;amp;lt;/AddQuotes&amp;amp;gt;&amp;amp;lt;DateFormat&amp;amp;gt;None&amp;amp;lt;/DateFormat&amp;amp;gt;&amp;amp;lt;RightHandSideExpression xml:space=&amp;amp;quot;preserve&amp;amp;quot;&amp;amp;gt;MF'"</definedName>
    <definedName name="_AMO_ContentDefinition_316789590.1997" hidden="1">"'PR01003429&amp;amp;lt;/RightHandSideExpression&amp;amp;gt;&amp;amp;lt;IsSubquery&amp;amp;gt;False&amp;amp;lt;/IsSubquery&amp;amp;gt;&amp;amp;lt;SubqueryTemplateName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316789590.1998" hidden="1">"'amp;lt;AddQuotes&amp;amp;gt;True&amp;amp;lt;/AddQuotes&amp;amp;gt;&amp;amp;lt;DateFormat&amp;amp;gt;None&amp;amp;lt;/DateFormat&amp;amp;gt;&amp;amp;lt;RightHandSideExpression xml:space=&amp;amp;quot;preserve&amp;amp;quot;&amp;amp;gt;MFPR01003433&amp;amp;lt;/RightHandSideExpression&amp;amp;gt;&amp;amp;lt;Is'"</definedName>
    <definedName name="_AMO_ContentDefinition_316789590.1999"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316789590.2" hidden="1">"'"" imgX=""0"" redirect=""False""&gt;_x000D_
  &lt;files /&gt;_x000D_
  &lt;parents /&gt;_x000D_
  &lt;children /&gt;_x000D_
  &lt;param n=""DisplayName"" v=""SASApp:METRICS.validation_metrics_prior10_view"" /&gt;_x000D_
  &lt;param n=""DisplayType"" v=""Data Set"" /&gt;_x000D_
  &lt;param n=""AMO_Version"" v=""8.2"" /&gt;_x000D_
'"</definedName>
    <definedName name="_AMO_ContentDefinition_316789590.20" hidden="1">"'&amp;#xD;&amp;#xA;'MFPR01000678',&amp;#xD;&amp;#xA;'MFPR01000679',&amp;#xD;&amp;#xA;'MFPR01000683',&amp;#xD;&amp;#xA;'MFPR01000684',&amp;#xD;&amp;#xA;'MFPR01000685',&amp;#xD;&amp;#xA;'MFPR01000687',&amp;#xD;&amp;#xA;'MFPR01000688',&amp;#xD;&amp;#xA;'MFPR01000689',&amp;#xD;&amp;#xA;'MFPR01000690',&amp;#xD;&amp;#xA;'MFPR01000694',&amp;'"</definedName>
    <definedName name="_AMO_ContentDefinition_316789590.200" hidden="1">"'2191',&amp;amp;#xD;&amp;amp;#xA;'MFPR01002199',&amp;amp;#xD;&amp;amp;#xA;'MFPR01002210',&amp;amp;#xD;&amp;amp;#xA;'MFPR01002211',&amp;amp;#xD;&amp;amp;#xA;'MFPR01002212',&amp;amp;#xD;&amp;amp;#xA;'MFPR01002214',&amp;amp;#xD;&amp;amp;#xA;'MFPR01002215',&amp;amp;#xD;&amp;amp;#xA;'MFPR01002216',&amp;amp;#xD;&amp;amp;'"</definedName>
    <definedName name="_AMO_ContentDefinition_316789590.2000" hidden="1">"'t;DateFormat&amp;amp;gt;None&amp;amp;lt;/DateFormat&amp;amp;gt;&amp;amp;lt;RightHandSideExpression xml:space=&amp;amp;quot;preserve&amp;amp;quot;&amp;amp;gt;MFPR01003446&amp;amp;lt;/RightHandSideExpression&amp;amp;gt;&amp;amp;lt;IsSubquery&amp;amp;gt;False&amp;amp;lt;/IsSubquery&amp;amp;gt;&amp;amp;lt;Subq'"</definedName>
    <definedName name="_AMO_ContentDefinition_316789590.2001"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316789590.2002" hidden="1">"'ightHandSideExpression xml:space=&amp;amp;quot;preserve&amp;amp;quot;&amp;amp;gt;MFPR01003448&amp;amp;lt;/RightHandSideExpression&amp;amp;gt;&amp;amp;lt;IsSubquery&amp;amp;gt;False&amp;amp;lt;/IsSubquery&amp;amp;gt;&amp;amp;lt;SubqueryTemplateName /&amp;amp;gt;&amp;amp;lt;/RHSItem&amp;amp;gt;&amp;amp;lt;RH'"</definedName>
    <definedName name="_AMO_ContentDefinition_316789590.2003" hidden="1">"'SItem&amp;amp;gt;&amp;amp;lt;RHSType&amp;amp;gt;EXPRESSION&amp;amp;lt;/RHSType&amp;amp;gt;&amp;amp;lt;AddQuotes&amp;amp;gt;True&amp;amp;lt;/AddQuotes&amp;amp;gt;&amp;amp;lt;DateFormat&amp;amp;gt;None&amp;amp;lt;/DateFormat&amp;amp;gt;&amp;amp;lt;RightHandSideExpression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316789590.2004" hidden="1">"';&amp;amp;gt;MFPR01003449&amp;amp;lt;/RightHandSideExpression&amp;amp;gt;&amp;amp;lt;IsSubquery&amp;amp;gt;False&amp;amp;lt;/IsSubquery&amp;amp;gt;&amp;amp;lt;SubqueryTemplateName /&amp;amp;gt;&amp;amp;lt;/RHSItem&amp;amp;gt;&amp;amp;lt;RHSItem&amp;amp;gt;&amp;amp;lt;RHSType&amp;amp;gt;EXPRESSION&amp;amp;lt;/RHSTy'"</definedName>
    <definedName name="_AMO_ContentDefinition_316789590.2005" hidden="1">"'pe&amp;amp;gt;&amp;amp;lt;AddQuotes&amp;amp;gt;True&amp;amp;lt;/AddQuotes&amp;amp;gt;&amp;amp;lt;DateFormat&amp;amp;gt;None&amp;amp;lt;/DateFormat&amp;amp;gt;&amp;amp;lt;RightHandSideExpression xml:space=&amp;amp;quot;preserve&amp;amp;quot;&amp;amp;gt;MFPR01003450&amp;amp;lt;/RightHandSideExpression&amp;amp;gt'"</definedName>
    <definedName name="_AMO_ContentDefinition_316789590.2006"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316789590.2007" hidden="1">"'p;gt;&amp;amp;lt;DateFormat&amp;amp;gt;None&amp;amp;lt;/DateFormat&amp;amp;gt;&amp;amp;lt;RightHandSideExpression xml:space=&amp;amp;quot;preserve&amp;amp;quot;&amp;amp;gt;MFPR01003451&amp;amp;lt;/RightHandSideExpression&amp;amp;gt;&amp;amp;lt;IsSubquery&amp;amp;gt;False&amp;amp;lt;/IsSubquery&amp;amp;gt;&amp;'"</definedName>
    <definedName name="_AMO_ContentDefinition_316789590.2008"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316789590.2009" hidden="1">"'t;&amp;amp;lt;RightHandSideExpression xml:space=&amp;amp;quot;preserve&amp;amp;quot;&amp;amp;gt;MFPR01003455&amp;amp;lt;/RightHandSideExpression&amp;amp;gt;&amp;amp;lt;IsSubquery&amp;amp;gt;False&amp;amp;lt;/IsSubquery&amp;amp;gt;&amp;amp;lt;SubqueryTemplateName /&amp;amp;gt;&amp;amp;lt;/RHSItem&amp;amp;gt'"</definedName>
    <definedName name="_AMO_ContentDefinition_316789590.201" hidden="1">"'#xA;'MFPR01002217',&amp;amp;#xD;&amp;amp;#xA;'MFPR01002222',&amp;amp;#xD;&amp;amp;#xA;'MFPR01002228',&amp;amp;#xD;&amp;amp;#xA;'MFPR01002232',&amp;amp;#xD;&amp;amp;#xA;'MFPR01002233',&amp;amp;#xD;&amp;amp;#xA;'MFPR01002237',&amp;amp;#xD;&amp;amp;#xA;'MFPR01002238',&amp;amp;#xD;&amp;amp;#xA;'MFPR01002239',&amp;'"</definedName>
    <definedName name="_AMO_ContentDefinition_316789590.2010" hidden="1">"';&amp;amp;lt;RHSItem&amp;amp;gt;&amp;amp;lt;RHSType&amp;amp;gt;EXPRESSION&amp;amp;lt;/RHSType&amp;amp;gt;&amp;amp;lt;AddQuotes&amp;amp;gt;True&amp;amp;lt;/AddQuotes&amp;amp;gt;&amp;amp;lt;DateFormat&amp;amp;gt;None&amp;amp;lt;/DateFormat&amp;amp;gt;&amp;amp;lt;RightHandSideExpression xml:space=&amp;amp;quot;preser'"</definedName>
    <definedName name="_AMO_ContentDefinition_316789590.2011" hidden="1">"'ve&amp;amp;quot;&amp;amp;gt;MFPR01003462&amp;amp;lt;/RightHandSideExpression&amp;amp;gt;&amp;amp;lt;IsSubquery&amp;amp;gt;False&amp;amp;lt;/IsSubquery&amp;amp;gt;&amp;amp;lt;SubqueryTemplateName /&amp;amp;gt;&amp;amp;lt;/RHSItem&amp;amp;gt;&amp;amp;lt;RHSItem&amp;amp;gt;&amp;amp;lt;RHSType&amp;amp;gt;EXPRESSION&amp;am'"</definedName>
    <definedName name="_AMO_ContentDefinition_316789590.2012" hidden="1">"'p;lt;/RHSType&amp;amp;gt;&amp;amp;lt;AddQuotes&amp;amp;gt;True&amp;amp;lt;/AddQuotes&amp;amp;gt;&amp;amp;lt;DateFormat&amp;amp;gt;None&amp;amp;lt;/DateFormat&amp;amp;gt;&amp;amp;lt;RightHandSideExpression xml:space=&amp;amp;quot;preserve&amp;amp;quot;&amp;amp;gt;MFPR01003466&amp;amp;lt;/RightHandSideExpres'"</definedName>
    <definedName name="_AMO_ContentDefinition_316789590.2013"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316789590.2014" hidden="1">"'ddQuotes&amp;amp;gt;&amp;amp;lt;DateFormat&amp;amp;gt;None&amp;amp;lt;/DateFormat&amp;amp;gt;&amp;amp;lt;RightHandSideExpression xml:space=&amp;amp;quot;preserve&amp;amp;quot;&amp;amp;gt;MFPR01003467&amp;amp;lt;/RightHandSideExpression&amp;amp;gt;&amp;amp;lt;IsSubquery&amp;amp;gt;False&amp;amp;lt;/IsSubque'"</definedName>
    <definedName name="_AMO_ContentDefinition_316789590.2015"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316789590.2016" hidden="1">"'ormat&amp;amp;gt;&amp;amp;lt;RightHandSideExpression xml:space=&amp;amp;quot;preserve&amp;amp;quot;&amp;amp;gt;MFPR01003473&amp;amp;lt;/RightHandSideExpression&amp;amp;gt;&amp;amp;lt;IsSubquery&amp;amp;gt;False&amp;amp;lt;/IsSubquery&amp;amp;gt;&amp;amp;lt;SubqueryTemplateName /&amp;amp;gt;&amp;amp;lt;/RHS'"</definedName>
    <definedName name="_AMO_ContentDefinition_316789590.2017" hidden="1">"'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316789590.2018" hidden="1">"'quot;preserve&amp;amp;quot;&amp;amp;gt;MFPR01003481&amp;amp;lt;/RightHandSideExpression&amp;amp;gt;&amp;amp;lt;IsSubquery&amp;amp;gt;False&amp;amp;lt;/IsSubquery&amp;amp;gt;&amp;amp;lt;SubqueryTemplateName /&amp;amp;gt;&amp;amp;lt;/RHSItem&amp;amp;gt;&amp;amp;lt;RHSItem&amp;amp;gt;&amp;amp;lt;RHSType&amp;amp;gt;EX'"</definedName>
    <definedName name="_AMO_ContentDefinition_316789590.2019" hidden="1">"'PRESSION&amp;amp;lt;/RHSType&amp;amp;gt;&amp;amp;lt;AddQuotes&amp;amp;gt;True&amp;amp;lt;/AddQuotes&amp;amp;gt;&amp;amp;lt;DateFormat&amp;amp;gt;None&amp;amp;lt;/DateFormat&amp;amp;gt;&amp;amp;lt;RightHandSideExpression xml:space=&amp;amp;quot;preserve&amp;amp;quot;&amp;amp;gt;MFPR01003483&amp;amp;lt;/RightHan'"</definedName>
    <definedName name="_AMO_ContentDefinition_316789590.202" hidden="1">"'amp;#xD;&amp;amp;#xA;'MFPR01002241',&amp;amp;#xD;&amp;amp;#xA;'MFPR01002242',&amp;amp;#xD;&amp;amp;#xA;'MFPR01002243',&amp;amp;#xD;&amp;amp;#xA;'MFPR01002244',&amp;amp;#xD;&amp;amp;#xA;'MFPR01002249',&amp;amp;#xD;&amp;amp;#xA;'MFPR01002255',&amp;amp;#xD;&amp;amp;#xA;'MFPR01002259',&amp;amp;#xD;&amp;amp;#xA;'MF'"</definedName>
    <definedName name="_AMO_ContentDefinition_316789590.2020"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316789590.2021" hidden="1">"'e&amp;amp;lt;/AddQuotes&amp;amp;gt;&amp;amp;lt;DateFormat&amp;amp;gt;None&amp;amp;lt;/DateFormat&amp;amp;gt;&amp;amp;lt;RightHandSideExpression xml:space=&amp;amp;quot;preserve&amp;amp;quot;&amp;amp;gt;MFPR01003484&amp;amp;lt;/RightHandSideExpression&amp;amp;gt;&amp;amp;lt;IsSubquery&amp;amp;gt;False&amp;amp;l'"</definedName>
    <definedName name="_AMO_ContentDefinition_316789590.2022"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316789590.2023" hidden="1">"'p;lt;/DateFormat&amp;amp;gt;&amp;amp;lt;RightHandSideExpression xml:space=&amp;amp;quot;preserve&amp;amp;quot;&amp;amp;gt;MFPR01003485&amp;amp;lt;/RightHandSideExpression&amp;amp;gt;&amp;amp;lt;IsSubquery&amp;amp;gt;False&amp;amp;lt;/IsSubquery&amp;amp;gt;&amp;amp;lt;SubqueryTemplateName /&amp;amp;gt;&amp;'"</definedName>
    <definedName name="_AMO_ContentDefinition_316789590.2024" hidden="1">"'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316789590.2025" hidden="1">"'space=&amp;amp;quot;preserve&amp;amp;quot;&amp;amp;gt;MFPR01003486&amp;amp;lt;/RightHandSideExpression&amp;amp;gt;&amp;amp;lt;IsSubquery&amp;amp;gt;False&amp;amp;lt;/IsSubquery&amp;amp;gt;&amp;amp;lt;SubqueryTemplateName /&amp;amp;gt;&amp;amp;lt;/RHSItem&amp;amp;gt;&amp;amp;lt;RHSItem&amp;amp;gt;&amp;amp;lt;RHSTyp'"</definedName>
    <definedName name="_AMO_ContentDefinition_316789590.2026" hidden="1">"'e&amp;amp;gt;EXPRESSION&amp;amp;lt;/RHSType&amp;amp;gt;&amp;amp;lt;AddQuotes&amp;amp;gt;True&amp;amp;lt;/AddQuotes&amp;amp;gt;&amp;amp;lt;DateFormat&amp;amp;gt;None&amp;amp;lt;/DateFormat&amp;amp;gt;&amp;amp;lt;RightHandSideExpression xml:space=&amp;amp;quot;preserve&amp;amp;quot;&amp;amp;gt;MFPR01003491&amp;amp;l'"</definedName>
    <definedName name="_AMO_ContentDefinition_316789590.2027"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316789590.2028" hidden="1">"'&amp;amp;gt;True&amp;amp;lt;/AddQuotes&amp;amp;gt;&amp;amp;lt;DateFormat&amp;amp;gt;None&amp;amp;lt;/DateFormat&amp;amp;gt;&amp;amp;lt;RightHandSideExpression xml:space=&amp;amp;quot;preserve&amp;amp;quot;&amp;amp;gt;MFPR01003497&amp;amp;lt;/RightHandSideExpression&amp;amp;gt;&amp;amp;lt;IsSubquery&amp;amp;gt;'"</definedName>
    <definedName name="_AMO_ContentDefinition_316789590.2029"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316789590.203" hidden="1">"'PR01002260',&amp;amp;#xD;&amp;amp;#xA;'MFPR01002261',&amp;amp;#xD;&amp;amp;#xA;'MFPR01002269',&amp;amp;#xD;&amp;amp;#xA;'MFPR01002280',&amp;amp;#xD;&amp;amp;#xA;'MFPR01002281',&amp;amp;#xD;&amp;amp;#xA;'MFPR01002282',&amp;amp;#xD;&amp;amp;#xA;'MFPR01002284',&amp;amp;#xD;&amp;amp;#xA;'MFPR01002285',&amp;amp;#xD'"</definedName>
    <definedName name="_AMO_ContentDefinition_316789590.2030" hidden="1">"';gt;None&amp;amp;lt;/DateFormat&amp;amp;gt;&amp;amp;lt;RightHandSideExpression xml:space=&amp;amp;quot;preserve&amp;amp;quot;&amp;amp;gt;MFPR01003504&amp;amp;lt;/RightHandSideExpression&amp;amp;gt;&amp;amp;lt;IsSubquery&amp;amp;gt;False&amp;amp;lt;/IsSubquery&amp;amp;gt;&amp;amp;lt;SubqueryTemplateName'"</definedName>
    <definedName name="_AMO_ContentDefinition_316789590.2031"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316789590.2032" hidden="1">"'ession xml:space=&amp;amp;quot;preserve&amp;amp;quot;&amp;amp;gt;MFPR01003506&amp;amp;lt;/RightHandSideExpression&amp;amp;gt;&amp;amp;lt;IsSubquery&amp;amp;gt;False&amp;amp;lt;/IsSubquery&amp;amp;gt;&amp;amp;lt;SubqueryTemplateName /&amp;amp;gt;&amp;amp;lt;/RHSItem&amp;amp;gt;&amp;amp;lt;RHSItem&amp;amp;gt;&amp;am'"</definedName>
    <definedName name="_AMO_ContentDefinition_316789590.2033" hidden="1">"'p;lt;RHSType&amp;amp;gt;EXPRESSION&amp;amp;lt;/RHSType&amp;amp;gt;&amp;amp;lt;AddQuotes&amp;amp;gt;True&amp;amp;lt;/AddQuotes&amp;amp;gt;&amp;amp;lt;DateFormat&amp;amp;gt;None&amp;amp;lt;/DateFormat&amp;amp;gt;&amp;amp;lt;RightHandSideExpression xml:space=&amp;amp;quot;preserve&amp;amp;quot;&amp;amp;gt;MFPR010'"</definedName>
    <definedName name="_AMO_ContentDefinition_316789590.2034" hidden="1">"'03507&amp;amp;lt;/RightHandSideExpression&amp;amp;gt;&amp;amp;lt;IsSubquery&amp;amp;gt;False&amp;amp;lt;/IsSubquery&amp;amp;gt;&amp;amp;lt;SubqueryTemplateName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316789590.2035" hidden="1">"'t;AddQuotes&amp;amp;gt;True&amp;amp;lt;/AddQuotes&amp;amp;gt;&amp;amp;lt;DateFormat&amp;amp;gt;None&amp;amp;lt;/DateFormat&amp;amp;gt;&amp;amp;lt;RightHandSideExpression xml:space=&amp;amp;quot;preserve&amp;amp;quot;&amp;amp;gt;MFPR01003508&amp;amp;lt;/RightHandSideExpression&amp;amp;gt;&amp;amp;lt;IsSubqu'"</definedName>
    <definedName name="_AMO_ContentDefinition_316789590.2036"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316789590.2037" hidden="1">"'eFormat&amp;amp;gt;None&amp;amp;lt;/DateFormat&amp;amp;gt;&amp;amp;lt;RightHandSideExpression xml:space=&amp;amp;quot;preserve&amp;amp;quot;&amp;amp;gt;MFPR01003509&amp;amp;lt;/RightHandSideExpression&amp;amp;gt;&amp;amp;lt;IsSubquery&amp;amp;gt;False&amp;amp;lt;/IsSubquery&amp;amp;gt;&amp;amp;lt;SubqueryT'"</definedName>
    <definedName name="_AMO_ContentDefinition_316789590.2038"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316789590.2039" hidden="1">"'andSideExpression xml:space=&amp;amp;quot;preserve&amp;amp;quot;&amp;amp;gt;MFPR01003514&amp;amp;lt;/RightHandSideExpression&amp;amp;gt;&amp;amp;lt;IsSubquery&amp;amp;gt;False&amp;amp;lt;/IsSubquery&amp;amp;gt;&amp;amp;lt;SubqueryTemplateName /&amp;amp;gt;&amp;amp;lt;/RHSItem&amp;amp;gt;&amp;amp;lt;RHSItem'"</definedName>
    <definedName name="_AMO_ContentDefinition_316789590.204" hidden="1">"';&amp;amp;#xA;'MFPR01002286',&amp;amp;#xD;&amp;amp;#xA;'MFPR01002287',&amp;amp;#xD;&amp;amp;#xA;'MFPR01002292',&amp;amp;#xD;&amp;amp;#xA;'MFPR01002298',&amp;amp;#xD;&amp;amp;#xA;'MFPR01002302',&amp;amp;#xD;&amp;amp;#xA;'MFPR01002303',&amp;amp;#xD;&amp;amp;#xA;'MFPR01002307',&amp;amp;#xD;&amp;amp;#xA;'MFPR01002'"</definedName>
    <definedName name="_AMO_ContentDefinition_316789590.2040" hidden="1">"'&amp;amp;gt;&amp;amp;lt;RHSType&amp;amp;gt;EXPRESSION&amp;amp;lt;/RHSType&amp;amp;gt;&amp;amp;lt;AddQuotes&amp;amp;gt;True&amp;amp;lt;/AddQuotes&amp;amp;gt;&amp;amp;lt;DateFormat&amp;amp;gt;None&amp;amp;lt;/DateFormat&amp;amp;gt;&amp;amp;lt;RightHandSideExpression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316789590.2041" hidden="1">"';gt;MFPR01003521&amp;amp;lt;/RightHandSideExpression&amp;amp;gt;&amp;amp;lt;IsSubquery&amp;amp;gt;False&amp;amp;lt;/IsSubquery&amp;amp;gt;&amp;amp;lt;SubqueryTemplateName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316789590.2042" hidden="1">"'p;gt;&amp;amp;lt;AddQuotes&amp;amp;gt;True&amp;amp;lt;/AddQuotes&amp;amp;gt;&amp;amp;lt;DateFormat&amp;amp;gt;None&amp;amp;lt;/DateFormat&amp;amp;gt;&amp;amp;lt;RightHandSideExpression xml:space=&amp;amp;quot;preserve&amp;amp;quot;&amp;amp;gt;MFPR01003525&amp;amp;lt;/RightHandSideExpression&amp;amp;gt;&amp;amp'"</definedName>
    <definedName name="_AMO_ContentDefinition_316789590.2043"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316789590.2044" hidden="1">"'&amp;amp;lt;DateFormat&amp;amp;gt;None&amp;amp;lt;/DateFormat&amp;amp;gt;&amp;amp;lt;RightHandSideExpression xml:space=&amp;amp;quot;preserve&amp;amp;quot;&amp;amp;gt;MFPR01003526&amp;amp;lt;/RightHandSideExpression&amp;amp;gt;&amp;amp;lt;IsSubquery&amp;amp;gt;False&amp;amp;lt;/IsSubquery&amp;amp;gt;&amp;amp;l'"</definedName>
    <definedName name="_AMO_ContentDefinition_316789590.2045"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316789590.2046" hidden="1">"'p;lt;RightHandSideExpression xml:space=&amp;amp;quot;preserve&amp;amp;quot;&amp;amp;gt;MFPR01003532&amp;amp;lt;/RightHandSideExpression&amp;amp;gt;&amp;amp;lt;IsSubquery&amp;amp;gt;False&amp;amp;lt;/IsSubquery&amp;amp;gt;&amp;amp;lt;SubqueryTemplateName /&amp;amp;gt;&amp;amp;lt;/RHSItem&amp;amp;gt;&amp;amp'"</definedName>
    <definedName name="_AMO_ContentDefinition_316789590.2047" hidden="1">"';lt;RHSItem&amp;amp;gt;&amp;amp;lt;RHSType&amp;amp;gt;EXPRESSION&amp;amp;lt;/RHSType&amp;amp;gt;&amp;amp;lt;AddQuotes&amp;amp;gt;True&amp;amp;lt;/AddQuotes&amp;amp;gt;&amp;amp;lt;DateFormat&amp;amp;gt;None&amp;amp;lt;/DateFormat&amp;amp;gt;&amp;amp;lt;RightHandSideExpression xml:space=&amp;amp;quot;preserve&amp;am'"</definedName>
    <definedName name="_AMO_ContentDefinition_316789590.2048" hidden="1">"'p;quot;&amp;amp;gt;MFPR01003540&amp;amp;lt;/RightHandSideExpression&amp;amp;gt;&amp;amp;lt;IsSubquery&amp;amp;gt;False&amp;amp;lt;/IsSubquery&amp;amp;gt;&amp;amp;lt;SubqueryTemplateName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2049" hidden="1">"'/RHSType&amp;amp;gt;&amp;amp;lt;AddQuotes&amp;amp;gt;True&amp;amp;lt;/AddQuotes&amp;amp;gt;&amp;amp;lt;DateFormat&amp;amp;gt;None&amp;amp;lt;/DateFormat&amp;amp;gt;&amp;amp;lt;RightHandSideExpression xml:space=&amp;amp;quot;preserve&amp;amp;quot;&amp;amp;gt;MFPR01003547&amp;amp;lt;/RightHandSideExpression&amp;'"</definedName>
    <definedName name="_AMO_ContentDefinition_316789590.205" hidden="1">"'308',&amp;amp;#xD;&amp;amp;#xA;'MFPR01002309',&amp;amp;#xD;&amp;amp;#xA;'MFPR01002311',&amp;amp;#xD;&amp;amp;#xA;'MFPR01002312',&amp;amp;#xD;&amp;amp;#xA;'MFPR01002313',&amp;amp;#xD;&amp;amp;#xA;'MFPR01002314',&amp;amp;#xD;&amp;amp;#xA;'MFPR01002319',&amp;amp;#xD;&amp;amp;#xA;'MFPR01002325',&amp;amp;#xD;&amp;amp;#'"</definedName>
    <definedName name="_AMO_ContentDefinition_316789590.2050"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316789590.2051" hidden="1">"'tes&amp;amp;gt;&amp;amp;lt;DateFormat&amp;amp;gt;None&amp;amp;lt;/DateFormat&amp;amp;gt;&amp;amp;lt;RightHandSideExpression xml:space=&amp;amp;quot;preserve&amp;amp;quot;&amp;amp;gt;MFPR01003549&amp;amp;lt;/RightHandSideExpression&amp;amp;gt;&amp;amp;lt;IsSubquery&amp;amp;gt;False&amp;amp;lt;/IsSubquery&amp;am'"</definedName>
    <definedName name="_AMO_ContentDefinition_316789590.2052"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316789590.2053" hidden="1">"'&amp;amp;gt;&amp;amp;lt;RightHandSideExpression xml:space=&amp;amp;quot;preserve&amp;amp;quot;&amp;amp;gt;MFPR01003550&amp;amp;lt;/RightHandSideExpression&amp;amp;gt;&amp;amp;lt;IsSubquery&amp;amp;gt;False&amp;amp;lt;/IsSubquery&amp;amp;gt;&amp;amp;lt;SubqueryTemplateName /&amp;amp;gt;&amp;amp;lt;/RHSItem&amp;'"</definedName>
    <definedName name="_AMO_ContentDefinition_316789590.2054" hidden="1">"'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2055" hidden="1">"'preserve&amp;amp;quot;&amp;amp;gt;MFPR01003551&amp;amp;lt;/RightHandSideExpression&amp;amp;gt;&amp;amp;lt;IsSubquery&amp;amp;gt;False&amp;amp;lt;/IsSubquery&amp;amp;gt;&amp;amp;lt;SubqueryTemplateName /&amp;amp;gt;&amp;amp;lt;/RHSItem&amp;amp;gt;&amp;amp;lt;RHSItem&amp;amp;gt;&amp;amp;lt;RHSType&amp;amp;gt;EXPRESS'"</definedName>
    <definedName name="_AMO_ContentDefinition_316789590.2056" hidden="1">"'ION&amp;amp;lt;/RHSType&amp;amp;gt;&amp;amp;lt;AddQuotes&amp;amp;gt;True&amp;amp;lt;/AddQuotes&amp;amp;gt;&amp;amp;lt;DateFormat&amp;amp;gt;None&amp;amp;lt;/DateFormat&amp;amp;gt;&amp;amp;lt;RightHandSideExpression xml:space=&amp;amp;quot;preserve&amp;amp;quot;&amp;amp;gt;MFPR01003552&amp;amp;lt;/RightHandSide'"</definedName>
    <definedName name="_AMO_ContentDefinition_316789590.2057"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316789590.2058" hidden="1">"';lt;/AddQuotes&amp;amp;gt;&amp;amp;lt;DateFormat&amp;amp;gt;None&amp;amp;lt;/DateFormat&amp;amp;gt;&amp;amp;lt;RightHandSideExpression xml:space=&amp;amp;quot;preserve&amp;amp;quot;&amp;amp;gt;MFPR01003557&amp;amp;lt;/RightHandSideExpression&amp;amp;gt;&amp;amp;lt;IsSubquery&amp;amp;gt;False&amp;amp;lt;/Is'"</definedName>
    <definedName name="_AMO_ContentDefinition_316789590.2059"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206" hidden="1">"'xA;'MFPR01002329',&amp;amp;#xD;&amp;amp;#xA;'MFPR01002330',&amp;amp;#xD;&amp;amp;#xA;'MFPR01002331',&amp;amp;#xD;&amp;amp;#xA;'MFPR01002339',&amp;amp;#xD;&amp;amp;#xA;'MFPR01002350',&amp;amp;#xD;&amp;amp;#xA;'MFPR01002351',&amp;amp;#xD;&amp;amp;#xA;'MFPR01002352',&amp;amp;#xD;&amp;amp;#xA;'MFPR01002354',&amp;a'"</definedName>
    <definedName name="_AMO_ContentDefinition_316789590.2060" hidden="1">"'/DateFormat&amp;amp;gt;&amp;amp;lt;RightHandSideExpression xml:space=&amp;amp;quot;preserve&amp;amp;quot;&amp;amp;gt;MFPR01003563&amp;amp;lt;/RightHandSideExpression&amp;amp;gt;&amp;amp;lt;IsSubquery&amp;amp;gt;False&amp;amp;lt;/IsSubquery&amp;amp;gt;&amp;amp;lt;SubqueryTemplateName /&amp;amp;gt;&amp;amp;l'"</definedName>
    <definedName name="_AMO_ContentDefinition_316789590.2061" hidden="1">"'t;/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316789590.2062" hidden="1">"'=&amp;amp;quot;preserve&amp;amp;quot;&amp;amp;gt;MFPR01003567&amp;amp;lt;/RightHandSideExpression&amp;amp;gt;&amp;amp;lt;IsSubquery&amp;amp;gt;False&amp;amp;lt;/IsSubquery&amp;amp;gt;&amp;amp;lt;SubqueryTemplateName /&amp;amp;gt;&amp;amp;lt;/RHSItem&amp;amp;gt;&amp;amp;lt;RHSItem&amp;amp;gt;&amp;amp;lt;RHSType&amp;amp'"</definedName>
    <definedName name="_AMO_ContentDefinition_316789590.2063" hidden="1">"';gt;EXPRESSION&amp;amp;lt;/RHSType&amp;amp;gt;&amp;amp;lt;AddQuotes&amp;amp;gt;True&amp;amp;lt;/AddQuotes&amp;amp;gt;&amp;amp;lt;DateFormat&amp;amp;gt;None&amp;amp;lt;/DateFormat&amp;amp;gt;&amp;amp;lt;RightHandSideExpression xml:space=&amp;amp;quot;preserve&amp;amp;quot;&amp;amp;gt;MFPR01003571&amp;amp;lt;/Ri'"</definedName>
    <definedName name="_AMO_ContentDefinition_316789590.2064"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2065" hidden="1">"'gt;True&amp;amp;lt;/AddQuotes&amp;amp;gt;&amp;amp;lt;DateFormat&amp;amp;gt;None&amp;amp;lt;/DateFormat&amp;amp;gt;&amp;amp;lt;RightHandSideExpression xml:space=&amp;amp;quot;preserve&amp;amp;quot;&amp;amp;gt;MFPR01003574&amp;amp;lt;/RightHandSideExpression&amp;amp;gt;&amp;amp;lt;IsSubquery&amp;amp;gt;False'"</definedName>
    <definedName name="_AMO_ContentDefinition_316789590.2066"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316789590.2067" hidden="1">"'one&amp;amp;lt;/DateFormat&amp;amp;gt;&amp;amp;lt;RightHandSideExpression xml:space=&amp;amp;quot;preserve&amp;amp;quot;&amp;amp;gt;MFPR01003577&amp;amp;lt;/RightHandSideExpression&amp;amp;gt;&amp;amp;lt;IsSubquery&amp;amp;gt;False&amp;amp;lt;/IsSubquery&amp;amp;gt;&amp;amp;lt;SubqueryTemplateName /&amp;am'"</definedName>
    <definedName name="_AMO_ContentDefinition_316789590.2068"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316789590.2069" hidden="1">"'n xml:space=&amp;amp;quot;preserve&amp;amp;quot;&amp;amp;gt;MFPR01003579&amp;amp;lt;/RightHandSideExpression&amp;amp;gt;&amp;amp;lt;IsSubquery&amp;amp;gt;False&amp;amp;lt;/IsSubquery&amp;amp;gt;&amp;amp;lt;SubqueryTemplateName /&amp;amp;gt;&amp;amp;lt;/RHSItem&amp;amp;gt;&amp;amp;lt;RHSItem&amp;amp;gt;&amp;amp;lt;'"</definedName>
    <definedName name="_AMO_ContentDefinition_316789590.207" hidden="1">"'mp;#xD;&amp;amp;#xA;'MFPR01002355',&amp;amp;#xD;&amp;amp;#xA;'MFPR01002356',&amp;amp;#xD;&amp;amp;#xA;'MFPR01002357',&amp;amp;#xD;&amp;amp;#xA;'MFPR01002362',&amp;amp;#xD;&amp;amp;#xA;'MFPR01002368',&amp;amp;#xD;&amp;amp;#xA;'MFPR01002372',&amp;amp;#xD;&amp;amp;#xA;'MFPR01002373',&amp;amp;#xD;&amp;amp;#xA;'MFP'"</definedName>
    <definedName name="_AMO_ContentDefinition_316789590.2070" hidden="1">"'RHSType&amp;amp;gt;EXPRESSION&amp;amp;lt;/RHSType&amp;amp;gt;&amp;amp;lt;AddQuotes&amp;amp;gt;True&amp;amp;lt;/AddQuotes&amp;amp;gt;&amp;amp;lt;DateFormat&amp;amp;gt;None&amp;amp;lt;/DateFormat&amp;amp;gt;&amp;amp;lt;RightHandSideExpression xml:space=&amp;amp;quot;preserve&amp;amp;quot;&amp;amp;gt;MFPR01003580'"</definedName>
    <definedName name="_AMO_ContentDefinition_316789590.2071"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316789590.2072" hidden="1">"'Quotes&amp;amp;gt;True&amp;amp;lt;/AddQuotes&amp;amp;gt;&amp;amp;lt;DateFormat&amp;amp;gt;None&amp;amp;lt;/DateFormat&amp;amp;gt;&amp;amp;lt;RightHandSideExpression xml:space=&amp;amp;quot;preserve&amp;amp;quot;&amp;amp;gt;MFPR01003581&amp;amp;lt;/RightHandSideExpression&amp;amp;gt;&amp;amp;lt;IsSubquery&amp;a'"</definedName>
    <definedName name="_AMO_ContentDefinition_316789590.2073"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316789590.2074" hidden="1">"'at&amp;amp;gt;None&amp;amp;lt;/DateFormat&amp;amp;gt;&amp;amp;lt;RightHandSideExpression xml:space=&amp;amp;quot;preserve&amp;amp;quot;&amp;amp;gt;MFPR01003582&amp;amp;lt;/RightHandSideExpression&amp;amp;gt;&amp;amp;lt;IsSubquery&amp;amp;gt;False&amp;amp;lt;/IsSubquery&amp;amp;gt;&amp;amp;lt;SubqueryTempla'"</definedName>
    <definedName name="_AMO_ContentDefinition_316789590.2075"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316789590.2076" hidden="1">"'deExpression xml:space=&amp;amp;quot;preserve&amp;amp;quot;&amp;amp;gt;MFPR01003587&amp;amp;lt;/RightHandSideExpression&amp;amp;gt;&amp;amp;lt;IsSubquery&amp;amp;gt;False&amp;amp;lt;/IsSubquery&amp;amp;gt;&amp;amp;lt;SubqueryTemplateName /&amp;amp;gt;&amp;amp;lt;/RHSItem&amp;amp;gt;&amp;amp;lt;RHSItem&amp;amp;'"</definedName>
    <definedName name="_AMO_ContentDefinition_316789590.2077" hidden="1">"'gt;&amp;amp;lt;RHSType&amp;amp;gt;EXPRESSION&amp;amp;lt;/RHSType&amp;amp;gt;&amp;amp;lt;AddQuotes&amp;amp;gt;True&amp;amp;lt;/AddQuotes&amp;amp;gt;&amp;amp;lt;DateFormat&amp;amp;gt;None&amp;amp;lt;/DateFormat&amp;amp;gt;&amp;amp;lt;RightHandSideExpression xml:space=&amp;amp;quot;preserve&amp;amp;quot;&amp;amp;gt;M'"</definedName>
    <definedName name="_AMO_ContentDefinition_316789590.2078" hidden="1">"'FPR01003594&amp;amp;lt;/RightHandSideExpression&amp;amp;gt;&amp;amp;lt;IsSubquery&amp;amp;gt;False&amp;amp;lt;/IsSubquery&amp;amp;gt;&amp;amp;lt;SubqueryTemplateName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2079" hidden="1">"'&amp;amp;lt;AddQuotes&amp;amp;gt;True&amp;amp;lt;/AddQuotes&amp;amp;gt;&amp;amp;lt;DateFormat&amp;amp;gt;None&amp;amp;lt;/DateFormat&amp;amp;gt;&amp;amp;lt;RightHandSideExpression xml:space=&amp;amp;quot;preserve&amp;amp;quot;&amp;amp;gt;MFPR01003598&amp;amp;lt;/RightHandSideExpression&amp;amp;gt;&amp;amp;lt;I'"</definedName>
    <definedName name="_AMO_ContentDefinition_316789590.208" hidden="1">"'R01002377',&amp;amp;#xD;&amp;amp;#xA;'MFPR01002378',&amp;amp;#xD;&amp;amp;#xA;'MFPR01002379',&amp;amp;#xD;&amp;amp;#xA;'MFPR01002381',&amp;amp;#xD;&amp;amp;#xA;'MFPR01002382',&amp;amp;#xD;&amp;amp;#xA;'MFPR01002383',&amp;amp;#xD;&amp;amp;#xA;'MFPR01002384',&amp;amp;#xD;&amp;amp;#xA;'MFPR01002389',&amp;amp;#xD;'"</definedName>
    <definedName name="_AMO_ContentDefinition_316789590.2080"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2081" hidden="1">"'lt;DateFormat&amp;amp;gt;None&amp;amp;lt;/DateFormat&amp;amp;gt;&amp;amp;lt;RightHandSideExpression xml:space=&amp;amp;quot;preserve&amp;amp;quot;&amp;amp;gt;MFPR01003599&amp;amp;lt;/RightHandSideExpression&amp;amp;gt;&amp;amp;lt;IsSubquery&amp;amp;gt;False&amp;amp;lt;/IsSubquery&amp;amp;gt;&amp;amp;lt;Sub'"</definedName>
    <definedName name="_AMO_ContentDefinition_316789590.2082"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2083" hidden="1">"'RightHandSideExpression xml:space=&amp;amp;quot;preserve&amp;amp;quot;&amp;amp;gt;MFPR01003606&amp;amp;lt;/RightHandSideExpression&amp;amp;gt;&amp;amp;lt;IsSubquery&amp;amp;gt;False&amp;amp;lt;/IsSubquery&amp;amp;gt;&amp;amp;lt;SubqueryTemplateName /&amp;amp;gt;&amp;amp;lt;/RHSItem&amp;amp;gt;&amp;amp;lt;R'"</definedName>
    <definedName name="_AMO_ContentDefinition_316789590.2084" hidden="1">"'HSItem&amp;amp;gt;&amp;amp;lt;RHSType&amp;amp;gt;EXPRESSION&amp;amp;lt;/RHSType&amp;amp;gt;&amp;amp;lt;AddQuotes&amp;amp;gt;True&amp;amp;lt;/AddQuotes&amp;amp;gt;&amp;amp;lt;DateFormat&amp;amp;gt;None&amp;amp;lt;/DateFormat&amp;amp;gt;&amp;amp;lt;RightHandSideExpression xml:space=&amp;amp;quot;preserve&amp;amp;quo'"</definedName>
    <definedName name="_AMO_ContentDefinition_316789590.2085" hidden="1">"'t;&amp;amp;gt;MFPR01004148&amp;amp;lt;/RightHandSideExpression&amp;amp;gt;&amp;amp;lt;IsSubquery&amp;amp;gt;False&amp;amp;lt;/IsSubquery&amp;amp;gt;&amp;amp;lt;SubqueryTemplateName /&amp;amp;gt;&amp;amp;lt;/RHSItem&amp;amp;gt;&amp;amp;lt;RHSItem&amp;amp;gt;&amp;amp;lt;RHSType&amp;amp;gt;EXPRESSION&amp;amp;lt;/RHST'"</definedName>
    <definedName name="_AMO_ContentDefinition_316789590.2086" hidden="1">"'ype&amp;amp;gt;&amp;amp;lt;AddQuotes&amp;amp;gt;True&amp;amp;lt;/AddQuotes&amp;amp;gt;&amp;amp;lt;DateFormat&amp;amp;gt;None&amp;amp;lt;/DateFormat&amp;amp;gt;&amp;amp;lt;RightHandSideExpression xml:space=&amp;amp;quot;preserve&amp;amp;quot;&amp;amp;gt;MFPR01004149&amp;amp;lt;/RightHandSideExpression&amp;amp;g'"</definedName>
    <definedName name="_AMO_ContentDefinition_316789590.2087"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316789590.2088" hidden="1">"'mp;gt;&amp;amp;lt;DateFormat&amp;amp;gt;None&amp;amp;lt;/DateFormat&amp;amp;gt;&amp;amp;lt;RightHandSideExpression xml:space=&amp;amp;quot;preserve&amp;amp;quot;&amp;amp;gt;MFPR01004150&amp;amp;lt;/RightHandSideExpression&amp;amp;gt;&amp;amp;lt;IsSubquery&amp;amp;gt;False&amp;amp;lt;/IsSubquery&amp;amp;gt;'"</definedName>
    <definedName name="_AMO_ContentDefinition_316789590.2089"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209" hidden="1">"'&amp;amp;#xA;'MFPR01002395',&amp;amp;#xD;&amp;amp;#xA;'MFPR01002399',&amp;amp;#xD;&amp;amp;#xA;'MFPR01002400',&amp;amp;#xD;&amp;amp;#xA;'MFPR01002401',&amp;amp;#xD;&amp;amp;#xA;'MFPR01002409',&amp;amp;#xD;&amp;amp;#xA;'MFPR01002420',&amp;amp;#xD;&amp;amp;#xA;'MFPR01002421',&amp;amp;#xD;&amp;amp;#xA;'MFPR010024'"</definedName>
    <definedName name="_AMO_ContentDefinition_316789590.2090" hidden="1">"'gt;&amp;amp;lt;RightHandSideExpression xml:space=&amp;amp;quot;preserve&amp;amp;quot;&amp;amp;gt;MFPR01004152&amp;amp;lt;/RightHandSideExpression&amp;amp;gt;&amp;amp;lt;IsSubquery&amp;amp;gt;False&amp;amp;lt;/IsSubquery&amp;amp;gt;&amp;amp;lt;SubqueryTemplateName /&amp;amp;gt;&amp;amp;lt;/RHSItem&amp;amp;g'"</definedName>
    <definedName name="_AMO_ContentDefinition_316789590.2091" hidden="1">"'t;&amp;amp;lt;RHSItem&amp;amp;gt;&amp;amp;lt;RHSType&amp;amp;gt;EXPRESSION&amp;amp;lt;/RHSType&amp;amp;gt;&amp;amp;lt;AddQuotes&amp;amp;gt;True&amp;amp;lt;/AddQuotes&amp;amp;gt;&amp;amp;lt;DateFormat&amp;amp;gt;None&amp;amp;lt;/DateFormat&amp;amp;gt;&amp;amp;lt;RightHandSideExpression xml:space=&amp;amp;quot;prese'"</definedName>
    <definedName name="_AMO_ContentDefinition_316789590.2092" hidden="1">"'rve&amp;amp;quot;&amp;amp;gt;MFPR01004153&amp;amp;lt;/RightHandSideExpression&amp;amp;gt;&amp;amp;lt;IsSubquery&amp;amp;gt;False&amp;amp;lt;/IsSubquery&amp;amp;gt;&amp;amp;lt;SubqueryTemplateName /&amp;amp;gt;&amp;amp;lt;/RHSItem&amp;amp;gt;&amp;amp;lt;RHSItem&amp;amp;gt;&amp;amp;lt;RHSType&amp;amp;gt;EXPRESSION&amp;a'"</definedName>
    <definedName name="_AMO_ContentDefinition_316789590.2093" hidden="1">"'mp;lt;/RHSType&amp;amp;gt;&amp;amp;lt;AddQuotes&amp;amp;gt;True&amp;amp;lt;/AddQuotes&amp;amp;gt;&amp;amp;lt;DateFormat&amp;amp;gt;None&amp;amp;lt;/DateFormat&amp;amp;gt;&amp;amp;lt;RightHandSideExpression xml:space=&amp;amp;quot;preserve&amp;amp;quot;&amp;amp;gt;MFPR01004154&amp;amp;lt;/RightHandSideExpre'"</definedName>
    <definedName name="_AMO_ContentDefinition_316789590.2094"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2095" hidden="1">"'AddQuotes&amp;amp;gt;&amp;amp;lt;DateFormat&amp;amp;gt;None&amp;amp;lt;/DateFormat&amp;amp;gt;&amp;amp;lt;RightHandSideExpression xml:space=&amp;amp;quot;preserve&amp;amp;quot;&amp;amp;gt;MFPR01004155&amp;amp;lt;/RightHandSideExpression&amp;amp;gt;&amp;amp;lt;IsSubquery&amp;amp;gt;False&amp;amp;lt;/IsSubqu'"</definedName>
    <definedName name="_AMO_ContentDefinition_316789590.2096"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316789590.2097" hidden="1">"'Format&amp;amp;gt;&amp;amp;lt;RightHandSideExpression xml:space=&amp;amp;quot;preserve&amp;amp;quot;&amp;amp;gt;MFPR01004160&amp;amp;lt;/RightHandSideExpression&amp;amp;gt;&amp;amp;lt;IsSubquery&amp;amp;gt;False&amp;amp;lt;/IsSubquery&amp;amp;gt;&amp;amp;lt;SubqueryTemplateName /&amp;amp;gt;&amp;amp;lt;/RH'"</definedName>
    <definedName name="_AMO_ContentDefinition_316789590.2098" hidden="1">"'S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316789590.2099" hidden="1">"';quot;preserve&amp;amp;quot;&amp;amp;gt;MFPR01004166&amp;amp;lt;/RightHandSideExpression&amp;amp;gt;&amp;amp;lt;IsSubquery&amp;amp;gt;False&amp;amp;lt;/IsSubquery&amp;amp;gt;&amp;amp;lt;SubqueryTemplateName /&amp;amp;gt;&amp;amp;lt;/RHSItem&amp;amp;gt;&amp;amp;lt;RHSItem&amp;amp;gt;&amp;amp;lt;RHSType&amp;amp;gt;E'"</definedName>
    <definedName name="_AMO_ContentDefinition_316789590.21" hidden="1">"'#xD;&amp;#xA;'MFPR01000701',&amp;#xD;&amp;#xA;'MFPR01000705',&amp;#xD;&amp;#xA;'MFPR01000706',&amp;#xD;&amp;#xA;'MFPR01000707',&amp;#xD;&amp;#xA;'MFPR01000715',&amp;#xD;&amp;#xA;'MFPR01000731',&amp;#xD;&amp;#xA;'MFPR01000732',&amp;#xD;&amp;#xA;'MFPR01000737',&amp;#xD;&amp;#xA;'MFPR01000743',&amp;#xD;&amp;#xA;'MFPR01000747',&amp;#'"</definedName>
    <definedName name="_AMO_ContentDefinition_316789590.210" hidden="1">"'22',&amp;amp;#xD;&amp;amp;#xA;'MFPR01002424',&amp;amp;#xD;&amp;amp;#xA;'MFPR01002425',&amp;amp;#xD;&amp;amp;#xA;'MFPR01002426',&amp;amp;#xD;&amp;amp;#xA;'MFPR01002427',&amp;amp;#xD;&amp;amp;#xA;'MFPR01002432',&amp;amp;#xD;&amp;amp;#xA;'MFPR01002438',&amp;amp;#xD;&amp;amp;#xA;'MFPR01002442',&amp;amp;#xD;&amp;amp;#x'"</definedName>
    <definedName name="_AMO_ContentDefinition_316789590.2100" hidden="1">"'XPRESSION&amp;amp;lt;/RHSType&amp;amp;gt;&amp;amp;lt;AddQuotes&amp;amp;gt;True&amp;amp;lt;/AddQuotes&amp;amp;gt;&amp;amp;lt;DateFormat&amp;amp;gt;None&amp;amp;lt;/DateFormat&amp;amp;gt;&amp;amp;lt;RightHandSideExpression xml:space=&amp;amp;quot;preserve&amp;amp;quot;&amp;amp;gt;MFPR01004170&amp;amp;lt;/RightHa'"</definedName>
    <definedName name="_AMO_ContentDefinition_316789590.2101"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316789590.2102" hidden="1">"'ue&amp;amp;lt;/AddQuotes&amp;amp;gt;&amp;amp;lt;DateFormat&amp;amp;gt;None&amp;amp;lt;/DateFormat&amp;amp;gt;&amp;amp;lt;RightHandSideExpression xml:space=&amp;amp;quot;preserve&amp;amp;quot;&amp;amp;gt;MFPR01004171&amp;amp;lt;/RightHandSideExpression&amp;amp;gt;&amp;amp;lt;IsSubquery&amp;amp;gt;False&amp;amp;'"</definedName>
    <definedName name="_AMO_ContentDefinition_316789590.2103"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316789590.2104" hidden="1">"'mp;lt;/DateFormat&amp;amp;gt;&amp;amp;lt;RightHandSideExpression xml:space=&amp;amp;quot;preserve&amp;amp;quot;&amp;amp;gt;MFPR01004175&amp;amp;lt;/RightHandSideExpression&amp;amp;gt;&amp;amp;lt;IsSubquery&amp;amp;gt;False&amp;amp;lt;/IsSubquery&amp;amp;gt;&amp;amp;lt;SubqueryTemplateName /&amp;amp;gt;'"</definedName>
    <definedName name="_AMO_ContentDefinition_316789590.2105" hidden="1">"'&amp;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316789590.2106" hidden="1">"':space=&amp;amp;quot;preserve&amp;amp;quot;&amp;amp;gt;MFPR01004176&amp;amp;lt;/RightHandSideExpression&amp;amp;gt;&amp;amp;lt;IsSubquery&amp;amp;gt;False&amp;amp;lt;/IsSubquery&amp;amp;gt;&amp;amp;lt;SubqueryTemplateName /&amp;amp;gt;&amp;amp;lt;/RHSItem&amp;amp;gt;&amp;amp;lt;RHSItem&amp;amp;gt;&amp;amp;lt;RHSTy'"</definedName>
    <definedName name="_AMO_ContentDefinition_316789590.2107" hidden="1">"'pe&amp;amp;gt;EXPRESSION&amp;amp;lt;/RHSType&amp;amp;gt;&amp;amp;lt;AddQuotes&amp;amp;gt;True&amp;amp;lt;/AddQuotes&amp;amp;gt;&amp;amp;lt;DateFormat&amp;amp;gt;None&amp;amp;lt;/DateFormat&amp;amp;gt;&amp;amp;lt;RightHandSideExpression xml:space=&amp;amp;quot;preserve&amp;amp;quot;&amp;amp;gt;MFPR01004177&amp;amp;'"</definedName>
    <definedName name="_AMO_ContentDefinition_316789590.2108"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316789590.2109" hidden="1">"'s&amp;amp;gt;True&amp;amp;lt;/AddQuotes&amp;amp;gt;&amp;amp;lt;DateFormat&amp;amp;gt;None&amp;amp;lt;/DateFormat&amp;amp;gt;&amp;amp;lt;RightHandSideExpression xml:space=&amp;amp;quot;preserve&amp;amp;quot;&amp;amp;gt;MFPR01004179&amp;amp;lt;/RightHandSideExpression&amp;amp;gt;&amp;amp;lt;IsSubquery&amp;amp;gt'"</definedName>
    <definedName name="_AMO_ContentDefinition_316789590.211" hidden="1">"'A;'MFPR01002443',&amp;amp;#xD;&amp;amp;#xA;'MFPR01002447',&amp;amp;#xD;&amp;amp;#xA;'MFPR01002448',&amp;amp;#xD;&amp;amp;#xA;'MFPR01002449',&amp;amp;#xD;&amp;amp;#xA;'MFPR01002451',&amp;amp;#xD;&amp;amp;#xA;'MFPR01002452',&amp;amp;#xD;&amp;amp;#xA;'MFPR01002453',&amp;amp;#xD;&amp;amp;#xA;'MFPR01002454',&amp;am'"</definedName>
    <definedName name="_AMO_ContentDefinition_316789590.2110"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316789590.2111" hidden="1">"'p;gt;None&amp;amp;lt;/DateFormat&amp;amp;gt;&amp;amp;lt;RightHandSideExpression xml:space=&amp;amp;quot;preserve&amp;amp;quot;&amp;amp;gt;MFPR01004180&amp;amp;lt;/RightHandSideExpression&amp;amp;gt;&amp;amp;lt;IsSubquery&amp;amp;gt;False&amp;amp;lt;/IsSubquery&amp;amp;gt;&amp;amp;lt;SubqueryTemplateNam'"</definedName>
    <definedName name="_AMO_ContentDefinition_316789590.2112"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316789590.2113" hidden="1">"'ression xml:space=&amp;amp;quot;preserve&amp;amp;quot;&amp;amp;gt;MFPR01004181&amp;amp;lt;/RightHandSideExpression&amp;amp;gt;&amp;amp;lt;IsSubquery&amp;amp;gt;False&amp;amp;lt;/IsSubquery&amp;amp;gt;&amp;amp;lt;SubqueryTemplateName /&amp;amp;gt;&amp;amp;lt;/RHSItem&amp;amp;gt;&amp;amp;lt;RHSItem&amp;amp;gt;&amp;a'"</definedName>
    <definedName name="_AMO_ContentDefinition_316789590.2114" hidden="1">"'mp;lt;RHSType&amp;amp;gt;EXPRESSION&amp;amp;lt;/RHSType&amp;amp;gt;&amp;amp;lt;AddQuotes&amp;amp;gt;True&amp;amp;lt;/AddQuotes&amp;amp;gt;&amp;amp;lt;DateFormat&amp;amp;gt;None&amp;amp;lt;/DateFormat&amp;amp;gt;&amp;amp;lt;RightHandSideExpression xml:space=&amp;amp;quot;preserve&amp;amp;quot;&amp;amp;gt;MFPR01'"</definedName>
    <definedName name="_AMO_ContentDefinition_316789590.2115" hidden="1">"'004182&amp;amp;lt;/RightHandSideExpression&amp;amp;gt;&amp;amp;lt;IsSubquery&amp;amp;gt;False&amp;amp;lt;/IsSubquery&amp;amp;gt;&amp;amp;lt;SubqueryTemplateName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2116" hidden="1">"'lt;AddQuotes&amp;amp;gt;True&amp;amp;lt;/AddQuotes&amp;amp;gt;&amp;amp;lt;DateFormat&amp;amp;gt;None&amp;amp;lt;/DateFormat&amp;amp;gt;&amp;amp;lt;RightHandSideExpression xml:space=&amp;amp;quot;preserve&amp;amp;quot;&amp;amp;gt;MFPR01004187&amp;amp;lt;/RightHandSideExpression&amp;amp;gt;&amp;amp;lt;IsSubq'"</definedName>
    <definedName name="_AMO_ContentDefinition_316789590.2117"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316789590.2118" hidden="1">"'teFormat&amp;amp;gt;None&amp;amp;lt;/DateFormat&amp;amp;gt;&amp;amp;lt;RightHandSideExpression xml:space=&amp;amp;quot;preserve&amp;amp;quot;&amp;amp;gt;MFPR01004193&amp;amp;lt;/RightHandSideExpression&amp;amp;gt;&amp;amp;lt;IsSubquery&amp;amp;gt;False&amp;amp;lt;/IsSubquery&amp;amp;gt;&amp;amp;lt;Subquery'"</definedName>
    <definedName name="_AMO_ContentDefinition_316789590.2119"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316789590.212" hidden="1">"'p;#xD;&amp;amp;#xA;'MFPR01002459',&amp;amp;#xD;&amp;amp;#xA;'MFPR01002465',&amp;amp;#xD;&amp;amp;#xA;'MFPR01002469',&amp;amp;#xD;&amp;amp;#xA;'MFPR01002470',&amp;amp;#xD;&amp;amp;#xA;'MFPR01002471',&amp;amp;#xD;&amp;amp;#xA;'MFPR01002479',&amp;amp;#xD;&amp;amp;#xA;'MFPR01002490',&amp;amp;#xD;&amp;amp;#xA;'MFPR'"</definedName>
    <definedName name="_AMO_ContentDefinition_316789590.2120" hidden="1">"'HandSideExpression xml:space=&amp;amp;quot;preserve&amp;amp;quot;&amp;amp;gt;MFPR01004197&amp;amp;lt;/RightHandSideExpression&amp;amp;gt;&amp;amp;lt;IsSubquery&amp;amp;gt;False&amp;amp;lt;/IsSubquery&amp;amp;gt;&amp;amp;lt;SubqueryTemplateName /&amp;amp;gt;&amp;amp;lt;/RHSItem&amp;amp;gt;&amp;amp;lt;RHSIte'"</definedName>
    <definedName name="_AMO_ContentDefinition_316789590.2121" hidden="1">"'m&amp;amp;gt;&amp;amp;lt;RHSType&amp;amp;gt;EXPRESSION&amp;amp;lt;/RHSType&amp;amp;gt;&amp;amp;lt;AddQuotes&amp;amp;gt;True&amp;amp;lt;/AddQuotes&amp;amp;gt;&amp;amp;lt;DateFormat&amp;amp;gt;None&amp;amp;lt;/DateFormat&amp;amp;gt;&amp;amp;lt;RightHandSideExpression xml:space=&amp;amp;quot;preserve&amp;amp;quot;&amp;am'"</definedName>
    <definedName name="_AMO_ContentDefinition_316789590.2122" hidden="1">"'p;gt;MFPR01004198&amp;amp;lt;/RightHandSideExpression&amp;amp;gt;&amp;amp;lt;IsSubquery&amp;amp;gt;False&amp;amp;lt;/IsSubquery&amp;amp;gt;&amp;amp;lt;SubqueryTemplateName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316789590.2123" hidden="1">"'mp;gt;&amp;amp;lt;AddQuotes&amp;amp;gt;True&amp;amp;lt;/AddQuotes&amp;amp;gt;&amp;amp;lt;DateFormat&amp;amp;gt;None&amp;amp;lt;/DateFormat&amp;amp;gt;&amp;amp;lt;RightHandSideExpression xml:space=&amp;amp;quot;preserve&amp;amp;quot;&amp;amp;gt;MFPR01004199&amp;amp;lt;/RightHandSideExpression&amp;amp;gt;&amp;am'"</definedName>
    <definedName name="_AMO_ContentDefinition_316789590.2124"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316789590.2125" hidden="1">"';&amp;amp;lt;DateFormat&amp;amp;gt;None&amp;amp;lt;/DateFormat&amp;amp;gt;&amp;amp;lt;RightHandSideExpression xml:space=&amp;amp;quot;preserve&amp;amp;quot;&amp;amp;gt;MFPR01004207&amp;amp;lt;/RightHandSideExpression&amp;amp;gt;&amp;amp;lt;IsSubquery&amp;amp;gt;False&amp;amp;lt;/IsSubquery&amp;amp;gt;&amp;amp;'"</definedName>
    <definedName name="_AMO_ContentDefinition_316789590.2126"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316789590.2127" hidden="1">"'mp;lt;RightHandSideExpression xml:space=&amp;amp;quot;preserve&amp;amp;quot;&amp;amp;gt;MFPR01004218&amp;amp;lt;/RightHandSideExpression&amp;amp;gt;&amp;amp;lt;IsSubquery&amp;amp;gt;False&amp;amp;lt;/IsSubquery&amp;amp;gt;&amp;amp;lt;SubqueryTemplateName /&amp;amp;gt;&amp;amp;lt;/RHSItem&amp;amp;gt;&amp;am'"</definedName>
    <definedName name="_AMO_ContentDefinition_316789590.2128" hidden="1">"'p;lt;RHSItem&amp;amp;gt;&amp;amp;lt;RHSType&amp;amp;gt;EXPRESSION&amp;amp;lt;/RHSType&amp;amp;gt;&amp;amp;lt;AddQuotes&amp;amp;gt;True&amp;amp;lt;/AddQuotes&amp;amp;gt;&amp;amp;lt;DateFormat&amp;amp;gt;None&amp;amp;lt;/DateFormat&amp;amp;gt;&amp;amp;lt;RightHandSideExpression xml:space=&amp;amp;quot;preserve&amp;a'"</definedName>
    <definedName name="_AMO_ContentDefinition_316789590.2129" hidden="1">"'mp;quot;&amp;amp;gt;MFPR01004219&amp;amp;lt;/RightHandSideExpression&amp;amp;gt;&amp;amp;lt;IsSubquery&amp;amp;gt;False&amp;amp;lt;/IsSubquery&amp;amp;gt;&amp;amp;lt;SubqueryTemplateName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213" hidden="1">"'01002491',&amp;amp;#xD;&amp;amp;#xA;'MFPR01002492',&amp;amp;#xD;&amp;amp;#xA;'MFPR01002494',&amp;amp;#xD;&amp;amp;#xA;'MFPR01002495',&amp;amp;#xD;&amp;amp;#xA;'MFPR01002496',&amp;amp;#xD;&amp;amp;#xA;'MFPR01002497',&amp;amp;#xD;&amp;amp;#xA;'MFPR01002502',&amp;amp;#xD;&amp;amp;#xA;'MFPR01002508',&amp;amp;#xD;&amp;'"</definedName>
    <definedName name="_AMO_ContentDefinition_316789590.2130" hidden="1">"';/RHSType&amp;amp;gt;&amp;amp;lt;AddQuotes&amp;amp;gt;True&amp;amp;lt;/AddQuotes&amp;amp;gt;&amp;amp;lt;DateFormat&amp;amp;gt;None&amp;amp;lt;/DateFormat&amp;amp;gt;&amp;amp;lt;RightHandSideExpression xml:space=&amp;amp;quot;preserve&amp;amp;quot;&amp;amp;gt;MFPR01004220&amp;amp;lt;/RightHandSideExpression'"</definedName>
    <definedName name="_AMO_ContentDefinition_316789590.2131"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316789590.2132" hidden="1">"'otes&amp;amp;gt;&amp;amp;lt;DateFormat&amp;amp;gt;None&amp;amp;lt;/DateFormat&amp;amp;gt;&amp;amp;lt;RightHandSideExpression xml:space=&amp;amp;quot;preserve&amp;amp;quot;&amp;amp;gt;MFPR01004222&amp;amp;lt;/RightHandSideExpression&amp;amp;gt;&amp;amp;lt;IsSubquery&amp;amp;gt;False&amp;amp;lt;/IsSubquery&amp;a'"</definedName>
    <definedName name="_AMO_ContentDefinition_316789590.2133"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316789590.2134" hidden="1">"'t&amp;amp;gt;&amp;amp;lt;RightHandSideExpression xml:space=&amp;amp;quot;preserve&amp;amp;quot;&amp;amp;gt;MFPR01004223&amp;amp;lt;/RightHandSideExpression&amp;amp;gt;&amp;amp;lt;IsSubquery&amp;amp;gt;False&amp;amp;lt;/IsSubquery&amp;amp;gt;&amp;amp;lt;SubqueryTemplateName /&amp;amp;gt;&amp;amp;lt;/RHSItem'"</definedName>
    <definedName name="_AMO_ContentDefinition_316789590.2135" hidden="1">"'&amp;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2136" hidden="1">"';preserve&amp;amp;quot;&amp;amp;gt;MFPR01004224&amp;amp;lt;/RightHandSideExpression&amp;amp;gt;&amp;amp;lt;IsSubquery&amp;amp;gt;False&amp;amp;lt;/IsSubquery&amp;amp;gt;&amp;amp;lt;SubqueryTemplateName /&amp;amp;gt;&amp;amp;lt;/RHSItem&amp;amp;gt;&amp;amp;lt;RHSItem&amp;amp;gt;&amp;amp;lt;RHSType&amp;amp;gt;EXPRES'"</definedName>
    <definedName name="_AMO_ContentDefinition_316789590.2137" hidden="1">"'SION&amp;amp;lt;/RHSType&amp;amp;gt;&amp;amp;lt;AddQuotes&amp;amp;gt;True&amp;amp;lt;/AddQuotes&amp;amp;gt;&amp;amp;lt;DateFormat&amp;amp;gt;None&amp;amp;lt;/DateFormat&amp;amp;gt;&amp;amp;lt;RightHandSideExpression xml:space=&amp;amp;quot;preserve&amp;amp;quot;&amp;amp;gt;MFPR01004225&amp;amp;lt;/RightHandSid'"</definedName>
    <definedName name="_AMO_ContentDefinition_316789590.2138"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316789590.2139" hidden="1">"'p;lt;/AddQuotes&amp;amp;gt;&amp;amp;lt;DateFormat&amp;amp;gt;None&amp;amp;lt;/DateFormat&amp;amp;gt;&amp;amp;lt;RightHandSideExpression xml:space=&amp;amp;quot;preserve&amp;amp;quot;&amp;amp;gt;MFPR01004230&amp;amp;lt;/RightHandSideExpression&amp;amp;gt;&amp;amp;lt;IsSubquery&amp;amp;gt;False&amp;amp;lt;/I'"</definedName>
    <definedName name="_AMO_ContentDefinition_316789590.214" hidden="1">"'amp;#xA;'MFPR01002512',&amp;amp;#xD;&amp;amp;#xA;'MFPR01002513',&amp;amp;#xD;&amp;amp;#xA;'MFPR01002517',&amp;amp;#xD;&amp;amp;#xA;'MFPR01002518',&amp;amp;#xD;&amp;amp;#xA;'MFPR01002519',&amp;amp;#xD;&amp;amp;#xA;'MFPR01002521',&amp;amp;#xD;&amp;amp;#xA;'MFPR01002522',&amp;amp;#xD;&amp;amp;#xA;'MFPR0100252'"</definedName>
    <definedName name="_AMO_ContentDefinition_316789590.2140"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2141" hidden="1">"';/DateFormat&amp;amp;gt;&amp;amp;lt;RightHandSideExpression xml:space=&amp;amp;quot;preserve&amp;amp;quot;&amp;amp;gt;MFPR01004236&amp;amp;lt;/RightHandSideExpression&amp;amp;gt;&amp;amp;lt;IsSubquery&amp;amp;gt;False&amp;amp;lt;/IsSubquery&amp;amp;gt;&amp;amp;lt;SubqueryTemplateName /&amp;amp;gt;&amp;amp;'"</definedName>
    <definedName name="_AMO_ContentDefinition_316789590.2142" hidden="1">"'lt;/RHSItem&amp;amp;gt;&amp;amp;lt;RHSItem&amp;amp;gt;&amp;amp;lt;RHSType&amp;amp;gt;EXPRESSION&amp;amp;lt;/RHSType&amp;amp;gt;&amp;amp;lt;AddQuotes&amp;amp;gt;True&amp;amp;lt;/AddQuotes&amp;amp;gt;&amp;amp;lt;DateFormat&amp;amp;gt;None&amp;amp;lt;/DateFormat&amp;amp;gt;&amp;amp;lt;RightHandSideExpression xml:spac'"</definedName>
    <definedName name="_AMO_ContentDefinition_316789590.2143" hidden="1">"'e=&amp;amp;quot;preserve&amp;amp;quot;&amp;amp;gt;MFPR01004240&amp;amp;lt;/RightHandSideExpression&amp;amp;gt;&amp;amp;lt;IsSubquery&amp;amp;gt;False&amp;amp;lt;/IsSubquery&amp;amp;gt;&amp;amp;lt;SubqueryTemplateName /&amp;amp;gt;&amp;amp;lt;/RHSItem&amp;amp;gt;&amp;amp;lt;RHSItem&amp;amp;gt;&amp;amp;lt;RHSType&amp;am'"</definedName>
    <definedName name="_AMO_ContentDefinition_316789590.2144" hidden="1">"'p;gt;EXPRESSION&amp;amp;lt;/RHSType&amp;amp;gt;&amp;amp;lt;AddQuotes&amp;amp;gt;True&amp;amp;lt;/AddQuotes&amp;amp;gt;&amp;amp;lt;DateFormat&amp;amp;gt;None&amp;amp;lt;/DateFormat&amp;amp;gt;&amp;amp;lt;RightHandSideExpression xml:space=&amp;amp;quot;preserve&amp;amp;quot;&amp;amp;gt;MFPR01004241&amp;amp;lt;/R'"</definedName>
    <definedName name="_AMO_ContentDefinition_316789590.2145"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2146" hidden="1">"';gt;True&amp;amp;lt;/AddQuotes&amp;amp;gt;&amp;amp;lt;DateFormat&amp;amp;gt;None&amp;amp;lt;/DateFormat&amp;amp;gt;&amp;amp;lt;RightHandSideExpression xml:space=&amp;amp;quot;preserve&amp;amp;quot;&amp;amp;gt;MFPR01004245&amp;amp;lt;/RightHandSideExpression&amp;amp;gt;&amp;amp;lt;IsSubquery&amp;amp;gt;Fals'"</definedName>
    <definedName name="_AMO_ContentDefinition_316789590.2147"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2148" hidden="1">"'None&amp;amp;lt;/DateFormat&amp;amp;gt;&amp;amp;lt;RightHandSideExpression xml:space=&amp;amp;quot;preserve&amp;amp;quot;&amp;amp;gt;MFPR01004246&amp;amp;lt;/RightHandSideExpression&amp;amp;gt;&amp;amp;lt;IsSubquery&amp;amp;gt;False&amp;amp;lt;/IsSubquery&amp;amp;gt;&amp;amp;lt;SubqueryTemplateName /&amp;a'"</definedName>
    <definedName name="_AMO_ContentDefinition_316789590.2149"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316789590.215" hidden="1">"'3',&amp;amp;#xD;&amp;amp;#xA;'MFPR01002524',&amp;amp;#xD;&amp;amp;#xA;'MFPR01002529',&amp;amp;#xD;&amp;amp;#xA;'MFPR01002535',&amp;amp;#xD;&amp;amp;#xA;'MFPR01002539',&amp;amp;#xD;&amp;amp;#xA;'MFPR01002540',&amp;amp;#xD;&amp;amp;#xA;'MFPR01002541',&amp;amp;#xD;&amp;amp;#xA;'MFPR01002549',&amp;amp;#xD;&amp;amp;#xA'"</definedName>
    <definedName name="_AMO_ContentDefinition_316789590.2150" hidden="1">"'on xml:space=&amp;amp;quot;preserve&amp;amp;quot;&amp;amp;gt;MFPR01004247&amp;amp;lt;/RightHandSideExpression&amp;amp;gt;&amp;amp;lt;IsSubquery&amp;amp;gt;False&amp;amp;lt;/IsSubquery&amp;amp;gt;&amp;amp;lt;SubqueryTemplateName /&amp;amp;gt;&amp;amp;lt;/RHSItem&amp;amp;gt;&amp;amp;lt;RHSItem&amp;amp;gt;&amp;amp;lt'"</definedName>
    <definedName name="_AMO_ContentDefinition_316789590.2151" hidden="1">"';RHSType&amp;amp;gt;EXPRESSION&amp;amp;lt;/RHSType&amp;amp;gt;&amp;amp;lt;AddQuotes&amp;amp;gt;True&amp;amp;lt;/AddQuotes&amp;amp;gt;&amp;amp;lt;DateFormat&amp;amp;gt;None&amp;amp;lt;/DateFormat&amp;amp;gt;&amp;amp;lt;RightHandSideExpression xml:space=&amp;amp;quot;preserve&amp;amp;quot;&amp;amp;gt;MFPR0100424'"</definedName>
    <definedName name="_AMO_ContentDefinition_316789590.2152" hidden="1">"'9&amp;amp;lt;/RightHandSideExpression&amp;amp;gt;&amp;amp;lt;IsSubquery&amp;amp;gt;False&amp;amp;lt;/IsSubquery&amp;amp;gt;&amp;amp;lt;SubqueryTemplateName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316789590.2153" hidden="1">"'dQuotes&amp;amp;gt;True&amp;amp;lt;/AddQuotes&amp;amp;gt;&amp;amp;lt;DateFormat&amp;amp;gt;None&amp;amp;lt;/DateFormat&amp;amp;gt;&amp;amp;lt;RightHandSideExpression xml:space=&amp;amp;quot;preserve&amp;amp;quot;&amp;amp;gt;MFPR01004250&amp;amp;lt;/RightHandSideExpression&amp;amp;gt;&amp;amp;lt;IsSubquery&amp;'"</definedName>
    <definedName name="_AMO_ContentDefinition_316789590.2154"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316789590.2155" hidden="1">"'mat&amp;amp;gt;None&amp;amp;lt;/DateFormat&amp;amp;gt;&amp;amp;lt;RightHandSideExpression xml:space=&amp;amp;quot;preserve&amp;amp;quot;&amp;amp;gt;MFPR01004251&amp;amp;lt;/RightHandSideExpression&amp;amp;gt;&amp;amp;lt;IsSubquery&amp;amp;gt;False&amp;amp;lt;/IsSubquery&amp;amp;gt;&amp;amp;lt;SubqueryTempl'"</definedName>
    <definedName name="_AMO_ContentDefinition_316789590.2156"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316789590.2157" hidden="1">"'ideExpression xml:space=&amp;amp;quot;preserve&amp;amp;quot;&amp;amp;gt;MFPR01004252&amp;amp;lt;/RightHandSideExpression&amp;amp;gt;&amp;amp;lt;IsSubquery&amp;amp;gt;False&amp;amp;lt;/IsSubquery&amp;amp;gt;&amp;amp;lt;SubqueryTemplateName /&amp;amp;gt;&amp;amp;lt;/RHSItem&amp;amp;gt;&amp;amp;lt;RHSItem&amp;amp'"</definedName>
    <definedName name="_AMO_ContentDefinition_316789590.2158" hidden="1">"';gt;&amp;amp;lt;RHSType&amp;amp;gt;EXPRESSION&amp;amp;lt;/RHSType&amp;amp;gt;&amp;amp;lt;AddQuotes&amp;amp;gt;True&amp;amp;lt;/AddQuotes&amp;amp;gt;&amp;amp;lt;DateFormat&amp;amp;gt;None&amp;amp;lt;/DateFormat&amp;amp;gt;&amp;amp;lt;RightHandSideExpression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2159" hidden="1">"'MFPR01004257&amp;amp;lt;/RightHandSideExpression&amp;amp;gt;&amp;amp;lt;IsSubquery&amp;amp;gt;False&amp;amp;lt;/IsSubquery&amp;amp;gt;&amp;amp;lt;SubqueryTemplateName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216" hidden="1">"';'MFPR01002560',&amp;amp;#xD;&amp;amp;#xA;'MFPR01002561',&amp;amp;#xD;&amp;amp;#xA;'MFPR01002562',&amp;amp;#xD;&amp;amp;#xA;'MFPR01002564',&amp;amp;#xD;&amp;amp;#xA;'MFPR01002565',&amp;amp;#xD;&amp;amp;#xA;'MFPR01002566',&amp;amp;#xD;&amp;amp;#xA;'MFPR01002567',&amp;amp;#xD;&amp;amp;#xA;'MFPR01002571',&amp;amp'"</definedName>
    <definedName name="_AMO_ContentDefinition_316789590.2160" hidden="1">"';&amp;amp;lt;AddQuotes&amp;amp;gt;True&amp;amp;lt;/AddQuotes&amp;amp;gt;&amp;amp;lt;DateFormat&amp;amp;gt;None&amp;amp;lt;/DateFormat&amp;amp;gt;&amp;amp;lt;RightHandSideExpression xml:space=&amp;amp;quot;preserve&amp;amp;quot;&amp;amp;gt;MFPR01004263&amp;amp;lt;/RightHandSideExpression&amp;amp;gt;&amp;amp;lt;'"</definedName>
    <definedName name="_AMO_ContentDefinition_316789590.2161"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2162" hidden="1">"';lt;DateFormat&amp;amp;gt;None&amp;amp;lt;/DateFormat&amp;amp;gt;&amp;amp;lt;RightHandSideExpression xml:space=&amp;amp;quot;preserve&amp;amp;quot;&amp;amp;gt;MFPR01004267&amp;amp;lt;/RightHandSideExpression&amp;amp;gt;&amp;amp;lt;IsSubquery&amp;amp;gt;False&amp;amp;lt;/IsSubquery&amp;amp;gt;&amp;amp;lt;Su'"</definedName>
    <definedName name="_AMO_ContentDefinition_316789590.2163"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2164" hidden="1">"';RightHandSideExpression xml:space=&amp;amp;quot;preserve&amp;amp;quot;&amp;amp;gt;MFPR01004268&amp;amp;lt;/RightHandSideExpression&amp;amp;gt;&amp;amp;lt;IsSubquery&amp;amp;gt;False&amp;amp;lt;/IsSubquery&amp;amp;gt;&amp;amp;lt;SubqueryTemplateName /&amp;amp;gt;&amp;amp;lt;/RHSItem&amp;amp;gt;&amp;amp;lt;'"</definedName>
    <definedName name="_AMO_ContentDefinition_316789590.2165" hidden="1">"'RHSItem&amp;amp;gt;&amp;amp;lt;RHSType&amp;amp;gt;EXPRESSION&amp;amp;lt;/RHSType&amp;amp;gt;&amp;amp;lt;AddQuotes&amp;amp;gt;True&amp;amp;lt;/AddQuotes&amp;amp;gt;&amp;amp;lt;DateFormat&amp;amp;gt;None&amp;amp;lt;/DateFormat&amp;amp;gt;&amp;amp;lt;RightHandSideExpression xml:space=&amp;amp;quot;preserve&amp;amp;qu'"</definedName>
    <definedName name="_AMO_ContentDefinition_316789590.2166" hidden="1">"'ot;&amp;amp;gt;MFPR01004269&amp;amp;lt;/RightHandSideExpression&amp;amp;gt;&amp;amp;lt;IsSubquery&amp;amp;gt;False&amp;amp;lt;/IsSubquery&amp;amp;gt;&amp;amp;lt;SubqueryTemplateName /&amp;amp;gt;&amp;amp;lt;/RHSItem&amp;amp;gt;&amp;amp;lt;RHSItem&amp;amp;gt;&amp;amp;lt;RHSType&amp;amp;gt;EXPRESSION&amp;amp;lt;/RHS'"</definedName>
    <definedName name="_AMO_ContentDefinition_316789590.2167" hidden="1">"'Type&amp;amp;gt;&amp;amp;lt;AddQuotes&amp;amp;gt;True&amp;amp;lt;/AddQuotes&amp;amp;gt;&amp;amp;lt;DateFormat&amp;amp;gt;None&amp;amp;lt;/DateFormat&amp;amp;gt;&amp;amp;lt;RightHandSideExpression xml:space=&amp;amp;quot;preserve&amp;amp;quot;&amp;amp;gt;MFPR01004277&amp;amp;lt;/RightHandSideExpression&amp;amp;'"</definedName>
    <definedName name="_AMO_ContentDefinition_316789590.2168"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316789590.2169" hidden="1">"'amp;gt;&amp;amp;lt;DateFormat&amp;amp;gt;None&amp;amp;lt;/DateFormat&amp;amp;gt;&amp;amp;lt;RightHandSideExpression xml:space=&amp;amp;quot;preserve&amp;amp;quot;&amp;amp;gt;MFPR01004288&amp;amp;lt;/RightHandSideExpression&amp;amp;gt;&amp;amp;lt;IsSubquery&amp;amp;gt;False&amp;amp;lt;/IsSubquery&amp;amp;gt'"</definedName>
    <definedName name="_AMO_ContentDefinition_316789590.217" hidden="1">"';#xD;&amp;amp;#xA;'MFPR01002577',&amp;amp;#xD;&amp;amp;#xA;'MFPR01002581',&amp;amp;#xD;&amp;amp;#xA;'MFPR01002582',&amp;amp;#xD;&amp;amp;#xA;'MFPR01002586',&amp;amp;#xD;&amp;amp;#xA;'MFPR01002587',&amp;amp;#xD;&amp;amp;#xA;'MFPR01002588',&amp;amp;#xD;&amp;amp;#xA;'MFPR01002590',&amp;amp;#xD;&amp;amp;#xA;'MFPR0'"</definedName>
    <definedName name="_AMO_ContentDefinition_316789590.2170"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2171" hidden="1">"';gt;&amp;amp;lt;RightHandSideExpression xml:space=&amp;amp;quot;preserve&amp;amp;quot;&amp;amp;gt;MFPR01004289&amp;amp;lt;/RightHandSideExpression&amp;amp;gt;&amp;amp;lt;IsSubquery&amp;amp;gt;False&amp;amp;lt;/IsSubquery&amp;amp;gt;&amp;amp;lt;SubqueryTemplateName /&amp;amp;gt;&amp;amp;lt;/RHSItem&amp;amp;'"</definedName>
    <definedName name="_AMO_ContentDefinition_316789590.2172" hidden="1">"'gt;&amp;amp;lt;RHSItem&amp;amp;gt;&amp;amp;lt;RHSType&amp;amp;gt;EXPRESSION&amp;amp;lt;/RHSType&amp;amp;gt;&amp;amp;lt;AddQuotes&amp;amp;gt;True&amp;amp;lt;/AddQuotes&amp;amp;gt;&amp;amp;lt;DateFormat&amp;amp;gt;None&amp;amp;lt;/DateFormat&amp;amp;gt;&amp;amp;lt;RightHandSideExpression xml:space=&amp;amp;quot;pres'"</definedName>
    <definedName name="_AMO_ContentDefinition_316789590.2173" hidden="1">"'erve&amp;amp;quot;&amp;amp;gt;MFPR01004290&amp;amp;lt;/RightHandSideExpression&amp;amp;gt;&amp;amp;lt;IsSubquery&amp;amp;gt;False&amp;amp;lt;/IsSubquery&amp;amp;gt;&amp;amp;lt;SubqueryTemplateName /&amp;amp;gt;&amp;amp;lt;/RHSItem&amp;amp;gt;&amp;amp;lt;RHSItem&amp;amp;gt;&amp;amp;lt;RHSType&amp;amp;gt;EXPRESSION&amp;'"</definedName>
    <definedName name="_AMO_ContentDefinition_316789590.2174" hidden="1">"'amp;lt;/RHSType&amp;amp;gt;&amp;amp;lt;AddQuotes&amp;amp;gt;True&amp;amp;lt;/AddQuotes&amp;amp;gt;&amp;amp;lt;DateFormat&amp;amp;gt;None&amp;amp;lt;/DateFormat&amp;amp;gt;&amp;amp;lt;RightHandSideExpression xml:space=&amp;amp;quot;preserve&amp;amp;quot;&amp;amp;gt;MFPR01004292&amp;amp;lt;/RightHandSideExpr'"</definedName>
    <definedName name="_AMO_ContentDefinition_316789590.2175"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2176" hidden="1">"'/AddQuotes&amp;amp;gt;&amp;amp;lt;DateFormat&amp;amp;gt;None&amp;amp;lt;/DateFormat&amp;amp;gt;&amp;amp;lt;RightHandSideExpression xml:space=&amp;amp;quot;preserve&amp;amp;quot;&amp;amp;gt;MFPR01004293&amp;amp;lt;/RightHandSideExpression&amp;amp;gt;&amp;amp;lt;IsSubquery&amp;amp;gt;False&amp;amp;lt;/IsSubq'"</definedName>
    <definedName name="_AMO_ContentDefinition_316789590.2177"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316789590.2178" hidden="1">"'eFormat&amp;amp;gt;&amp;amp;lt;RightHandSideExpression xml:space=&amp;amp;quot;preserve&amp;amp;quot;&amp;amp;gt;MFPR01004294&amp;amp;lt;/RightHandSideExpression&amp;amp;gt;&amp;amp;lt;IsSubquery&amp;amp;gt;False&amp;amp;lt;/IsSubquery&amp;amp;gt;&amp;amp;lt;SubqueryTemplateName /&amp;amp;gt;&amp;amp;lt;/R'"</definedName>
    <definedName name="_AMO_ContentDefinition_316789590.2179" hidden="1">"'HSItem&amp;amp;gt;&amp;amp;lt;RHSItem&amp;amp;gt;&amp;amp;lt;RHSType&amp;amp;gt;EXPRESSION&amp;amp;lt;/RHSType&amp;amp;gt;&amp;amp;lt;AddQuotes&amp;amp;gt;True&amp;amp;lt;/AddQuotes&amp;amp;gt;&amp;amp;lt;DateFormat&amp;amp;gt;None&amp;amp;lt;/DateFormat&amp;amp;gt;&amp;amp;lt;RightHandSideExpression xml:space=&amp;am'"</definedName>
    <definedName name="_AMO_ContentDefinition_316789590.218" hidden="1">"'1002591',&amp;amp;#xD;&amp;amp;#xA;'MFPR01002592',&amp;amp;#xD;&amp;amp;#xA;'MFPR01002593',&amp;amp;#xD;&amp;amp;#xA;'MFPR01002597',&amp;amp;#xD;&amp;amp;#xA;'MFPR01002604',&amp;amp;#xD;&amp;amp;#xA;'MFPR01002608',&amp;amp;#xD;&amp;amp;#xA;'MFPR01002609',&amp;amp;#xD;&amp;amp;#xA;'MFPR01002610',&amp;amp;#xD;&amp;a'"</definedName>
    <definedName name="_AMO_ContentDefinition_316789590.2180" hidden="1">"'p;quot;preserve&amp;amp;quot;&amp;amp;gt;MFPR01004295&amp;amp;lt;/RightHandSideExpression&amp;amp;gt;&amp;amp;lt;IsSubquery&amp;amp;gt;False&amp;amp;lt;/IsSubquery&amp;amp;gt;&amp;amp;lt;SubqueryTemplateName /&amp;amp;gt;&amp;amp;lt;/RHSItem&amp;amp;gt;&amp;amp;lt;RHSItem&amp;amp;gt;&amp;amp;lt;RHSType&amp;amp;gt;'"</definedName>
    <definedName name="_AMO_ContentDefinition_316789590.2181" hidden="1">"'EXPRESSION&amp;amp;lt;/RHSType&amp;amp;gt;&amp;amp;lt;AddQuotes&amp;amp;gt;True&amp;amp;lt;/AddQuotes&amp;amp;gt;&amp;amp;lt;DateFormat&amp;amp;gt;None&amp;amp;lt;/DateFormat&amp;amp;gt;&amp;amp;lt;RightHandSideExpression xml:space=&amp;amp;quot;preserve&amp;amp;quot;&amp;amp;gt;MFPR01004300&amp;amp;lt;/RightH'"</definedName>
    <definedName name="_AMO_ContentDefinition_316789590.2182"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316789590.2183" hidden="1">"'rue&amp;amp;lt;/AddQuotes&amp;amp;gt;&amp;amp;lt;DateFormat&amp;amp;gt;None&amp;amp;lt;/DateFormat&amp;amp;gt;&amp;amp;lt;RightHandSideExpression xml:space=&amp;amp;quot;preserve&amp;amp;quot;&amp;amp;gt;MFPR01004306&amp;amp;lt;/RightHandSideExpression&amp;amp;gt;&amp;amp;lt;IsSubquery&amp;amp;gt;False&amp;amp'"</definedName>
    <definedName name="_AMO_ContentDefinition_316789590.2184"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316789590.2185" hidden="1">"'amp;lt;/DateFormat&amp;amp;gt;&amp;amp;lt;RightHandSideExpression xml:space=&amp;amp;quot;preserve&amp;amp;quot;&amp;amp;gt;MFPR01004310&amp;amp;lt;/RightHandSideExpression&amp;amp;gt;&amp;amp;lt;IsSubquery&amp;amp;gt;False&amp;amp;lt;/IsSubquery&amp;amp;gt;&amp;amp;lt;SubqueryTemplateName /&amp;amp;gt'"</definedName>
    <definedName name="_AMO_ContentDefinition_316789590.2186" hidden="1">"';&amp;amp;lt;/RHSItem&amp;amp;gt;&amp;amp;lt;RHSItem&amp;amp;gt;&amp;amp;lt;RHSType&amp;amp;gt;EXPRESSION&amp;amp;lt;/RHSType&amp;amp;gt;&amp;amp;lt;AddQuotes&amp;amp;gt;True&amp;amp;lt;/AddQuotes&amp;amp;gt;&amp;amp;lt;DateFormat&amp;amp;gt;None&amp;amp;lt;/DateFormat&amp;amp;gt;&amp;amp;lt;RightHandSideExpression xm'"</definedName>
    <definedName name="_AMO_ContentDefinition_316789590.2187" hidden="1">"'l:space=&amp;amp;quot;preserve&amp;amp;quot;&amp;amp;gt;MFPR01004311&amp;amp;lt;/RightHandSideExpression&amp;amp;gt;&amp;amp;lt;IsSubquery&amp;amp;gt;False&amp;amp;lt;/IsSubquery&amp;amp;gt;&amp;amp;lt;SubqueryTemplateName /&amp;amp;gt;&amp;amp;lt;/RHSItem&amp;amp;gt;&amp;amp;lt;RHSItem&amp;amp;gt;&amp;amp;lt;RHST'"</definedName>
    <definedName name="_AMO_ContentDefinition_316789590.2188" hidden="1">"'ype&amp;amp;gt;EXPRESSION&amp;amp;lt;/RHSType&amp;amp;gt;&amp;amp;lt;AddQuotes&amp;amp;gt;True&amp;amp;lt;/AddQuotes&amp;amp;gt;&amp;amp;lt;DateFormat&amp;amp;gt;None&amp;amp;lt;/DateFormat&amp;amp;gt;&amp;amp;lt;RightHandSideExpression xml:space=&amp;amp;quot;preserve&amp;amp;quot;&amp;amp;gt;MFPR01004315&amp;amp'"</definedName>
    <definedName name="_AMO_ContentDefinition_316789590.2189"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316789590.219" hidden="1">"'mp;#xA;'MFPR01002618',&amp;amp;#xD;&amp;amp;#xA;'MFPR01002629',&amp;amp;#xD;&amp;amp;#xA;'MFPR01002630',&amp;amp;#xD;&amp;amp;#xA;'MFPR01002631',&amp;amp;#xD;&amp;amp;#xA;'MFPR01002633',&amp;amp;#xD;&amp;amp;#xA;'MFPR01002634',&amp;amp;#xD;&amp;amp;#xA;'MFPR01002635',&amp;amp;#xD;&amp;amp;#xA;'MFPR01002636'"</definedName>
    <definedName name="_AMO_ContentDefinition_316789590.2190" hidden="1">"'es&amp;amp;gt;True&amp;amp;lt;/AddQuotes&amp;amp;gt;&amp;amp;lt;DateFormat&amp;amp;gt;None&amp;amp;lt;/DateFormat&amp;amp;gt;&amp;amp;lt;RightHandSideExpression xml:space=&amp;amp;quot;preserve&amp;amp;quot;&amp;amp;gt;MFPR01004316&amp;amp;lt;/RightHandSideExpression&amp;amp;gt;&amp;amp;lt;IsSubquery&amp;amp;g'"</definedName>
    <definedName name="_AMO_ContentDefinition_316789590.2191"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316789590.2192" hidden="1">"'mp;gt;None&amp;amp;lt;/DateFormat&amp;amp;gt;&amp;amp;lt;RightHandSideExpression xml:space=&amp;amp;quot;preserve&amp;amp;quot;&amp;amp;gt;MFPR01004317&amp;amp;lt;/RightHandSideExpression&amp;amp;gt;&amp;amp;lt;IsSubquery&amp;amp;gt;False&amp;amp;lt;/IsSubquery&amp;amp;gt;&amp;amp;lt;SubqueryTemplateNa'"</definedName>
    <definedName name="_AMO_ContentDefinition_316789590.2193"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316789590.2194" hidden="1">"'pression xml:space=&amp;amp;quot;preserve&amp;amp;quot;&amp;amp;gt;MFPR01004319&amp;amp;lt;/RightHandSideExpression&amp;amp;gt;&amp;amp;lt;IsSubquery&amp;amp;gt;False&amp;amp;lt;/IsSubquery&amp;amp;gt;&amp;amp;lt;SubqueryTemplateName /&amp;amp;gt;&amp;amp;lt;/RHSItem&amp;amp;gt;&amp;amp;lt;RHSItem&amp;amp;gt;&amp;'"</definedName>
    <definedName name="_AMO_ContentDefinition_316789590.2195" hidden="1">"'amp;lt;RHSType&amp;amp;gt;EXPRESSION&amp;amp;lt;/RHSType&amp;amp;gt;&amp;amp;lt;AddQuotes&amp;amp;gt;True&amp;amp;lt;/AddQuotes&amp;amp;gt;&amp;amp;lt;DateFormat&amp;amp;gt;None&amp;amp;lt;/DateFormat&amp;amp;gt;&amp;amp;lt;RightHandSideExpression xml:space=&amp;amp;quot;preserve&amp;amp;quot;&amp;amp;gt;MFPR0'"</definedName>
    <definedName name="_AMO_ContentDefinition_316789590.2196" hidden="1">"'1004320&amp;amp;lt;/RightHandSideExpression&amp;amp;gt;&amp;amp;lt;IsSubquery&amp;amp;gt;False&amp;amp;lt;/IsSubquery&amp;amp;gt;&amp;amp;lt;SubqueryTemplateName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2197" hidden="1">"';lt;AddQuotes&amp;amp;gt;True&amp;amp;lt;/AddQuotes&amp;amp;gt;&amp;amp;lt;DateFormat&amp;amp;gt;None&amp;amp;lt;/DateFormat&amp;amp;gt;&amp;amp;lt;RightHandSideExpression xml:space=&amp;amp;quot;preserve&amp;amp;quot;&amp;amp;gt;MFPR01004321&amp;amp;lt;/RightHandSideExpression&amp;amp;gt;&amp;amp;lt;IsSub'"</definedName>
    <definedName name="_AMO_ContentDefinition_316789590.2198"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316789590.2199" hidden="1">"'ateFormat&amp;amp;gt;None&amp;amp;lt;/DateFormat&amp;amp;gt;&amp;amp;lt;RightHandSideExpression xml:space=&amp;amp;quot;preserve&amp;amp;quot;&amp;amp;gt;MFPR01004322&amp;amp;lt;/RightHandSideExpression&amp;amp;gt;&amp;amp;lt;IsSubquery&amp;amp;gt;False&amp;amp;lt;/IsSubquery&amp;amp;gt;&amp;amp;lt;Subquer'"</definedName>
    <definedName name="_AMO_ContentDefinition_316789590.22" hidden="1">"'xD;&amp;#xA;'MFPR01000748',&amp;#xD;&amp;#xA;'MFPR01000800',&amp;#xD;&amp;#xA;'MFPR01000801',&amp;#xD;&amp;#xA;'MFPR01000806',&amp;#xD;&amp;#xA;'MFPR01000812',&amp;#xD;&amp;#xA;'MFPR01000816',&amp;#xD;&amp;#xA;'MFPR01000817',&amp;#xD;&amp;#xA;'MFPR01000869',&amp;#xD;&amp;#xA;'MFPR01000870',&amp;#xD;&amp;#xA;'MFPR01000875',&amp;#x'"</definedName>
    <definedName name="_AMO_ContentDefinition_316789590.220" hidden="1">"'',&amp;amp;#xD;&amp;amp;#xA;'MFPR01002640',&amp;amp;#xD;&amp;amp;#xA;'MFPR01002646',&amp;amp;#xD;&amp;amp;#xA;'MFPR01002650',&amp;amp;#xD;&amp;amp;#xA;'MFPR01002651',&amp;amp;#xD;&amp;amp;#xA;'MFPR01002655',&amp;amp;#xD;&amp;amp;#xA;'MFPR01002656',&amp;amp;#xD;&amp;amp;#xA;'MFPR01002657',&amp;amp;#xD;&amp;amp;#xA;'"</definedName>
    <definedName name="_AMO_ContentDefinition_316789590.2200"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316789590.2201" hidden="1">"'tHandSideExpression xml:space=&amp;amp;quot;preserve&amp;amp;quot;&amp;amp;gt;MFPR01004327&amp;amp;lt;/RightHandSideExpression&amp;amp;gt;&amp;amp;lt;IsSubquery&amp;amp;gt;False&amp;amp;lt;/IsSubquery&amp;amp;gt;&amp;amp;lt;SubqueryTemplateName /&amp;amp;gt;&amp;amp;lt;/RHSItem&amp;amp;gt;&amp;amp;lt;RHSIt'"</definedName>
    <definedName name="_AMO_ContentDefinition_316789590.2202" hidden="1">"'em&amp;amp;gt;&amp;amp;lt;RHSType&amp;amp;gt;EXPRESSION&amp;amp;lt;/RHSType&amp;amp;gt;&amp;amp;lt;AddQuotes&amp;amp;gt;True&amp;amp;lt;/AddQuotes&amp;amp;gt;&amp;amp;lt;DateFormat&amp;amp;gt;None&amp;amp;lt;/DateFormat&amp;amp;gt;&amp;amp;lt;RightHandSideExpression xml:space=&amp;amp;quot;preserve&amp;amp;quot;&amp;a'"</definedName>
    <definedName name="_AMO_ContentDefinition_316789590.2203" hidden="1">"'mp;gt;MFPR01004333&amp;amp;lt;/RightHandSideExpression&amp;amp;gt;&amp;amp;lt;IsSubquery&amp;amp;gt;False&amp;amp;lt;/IsSubquery&amp;amp;gt;&amp;amp;lt;SubqueryTemplateName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316789590.2204" hidden="1">"'amp;gt;&amp;amp;lt;AddQuotes&amp;amp;gt;True&amp;amp;lt;/AddQuotes&amp;amp;gt;&amp;amp;lt;DateFormat&amp;amp;gt;None&amp;amp;lt;/DateFormat&amp;amp;gt;&amp;amp;lt;RightHandSideExpression xml:space=&amp;amp;quot;preserve&amp;amp;quot;&amp;amp;gt;MFPR01004337&amp;amp;lt;/RightHandSideExpression&amp;amp;gt;&amp;a'"</definedName>
    <definedName name="_AMO_ContentDefinition_316789590.2205"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316789590.2206" hidden="1">"'t;&amp;amp;lt;DateFormat&amp;amp;gt;None&amp;amp;lt;/DateFormat&amp;amp;gt;&amp;amp;lt;RightHandSideExpression xml:space=&amp;amp;quot;preserve&amp;amp;quot;&amp;amp;gt;MFPR01004338&amp;amp;lt;/RightHandSideExpression&amp;amp;gt;&amp;amp;lt;IsSubquery&amp;amp;gt;False&amp;amp;lt;/IsSubquery&amp;amp;gt;&amp;amp'"</definedName>
    <definedName name="_AMO_ContentDefinition_316789590.2207"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316789590.2208" hidden="1">"'amp;lt;RightHandSideExpression xml:space=&amp;amp;quot;preserve&amp;amp;quot;&amp;amp;gt;MFPR01004339&amp;amp;lt;/RightHandSideExpression&amp;amp;gt;&amp;amp;lt;IsSubquery&amp;amp;gt;False&amp;amp;lt;/IsSubquery&amp;amp;gt;&amp;amp;lt;SubqueryTemplateName /&amp;amp;gt;&amp;amp;lt;/RHSItem&amp;amp;gt;&amp;a'"</definedName>
    <definedName name="_AMO_ContentDefinition_316789590.2209" hidden="1">"'mp;lt;RHSItem&amp;amp;gt;&amp;amp;lt;RHSType&amp;amp;gt;EXPRESSION&amp;amp;lt;/RHSType&amp;amp;gt;&amp;amp;lt;AddQuotes&amp;amp;gt;True&amp;amp;lt;/AddQuotes&amp;amp;gt;&amp;amp;lt;DateFormat&amp;amp;gt;None&amp;amp;lt;/DateFormat&amp;amp;gt;&amp;amp;lt;RightHandSideExpression xml:space=&amp;amp;quot;preserve&amp;'"</definedName>
    <definedName name="_AMO_ContentDefinition_316789590.221" hidden="1">"''MFPR01002659',&amp;amp;#xD;&amp;amp;#xA;'MFPR01002660',&amp;amp;#xD;&amp;amp;#xA;'MFPR01002661',&amp;amp;#xD;&amp;amp;#xA;'MFPR01002662',&amp;amp;#xD;&amp;amp;#xA;'MFPR01002666',&amp;amp;#xD;&amp;amp;#xA;'MFPR01002673',&amp;amp;#xD;&amp;amp;#xA;'MFPR01002677',&amp;amp;#xD;&amp;amp;#xA;'MFPR01002678',&amp;amp;'"</definedName>
    <definedName name="_AMO_ContentDefinition_316789590.2210" hidden="1">"'amp;quot;&amp;amp;gt;MFPR01004347&amp;amp;lt;/RightHandSideExpression&amp;amp;gt;&amp;amp;lt;IsSubquery&amp;amp;gt;False&amp;amp;lt;/IsSubquery&amp;amp;gt;&amp;amp;lt;SubqueryTemplateName /&amp;amp;gt;&amp;amp;lt;/RHSItem&amp;amp;gt;&amp;amp;lt;RHSItem&amp;amp;gt;&amp;amp;lt;RHSType&amp;amp;gt;EXPRESSION&amp;amp;l'"</definedName>
    <definedName name="_AMO_ContentDefinition_316789590.2211" hidden="1">"'t;/RHSType&amp;amp;gt;&amp;amp;lt;AddQuotes&amp;amp;gt;True&amp;amp;lt;/AddQuotes&amp;amp;gt;&amp;amp;lt;DateFormat&amp;amp;gt;None&amp;amp;lt;/DateFormat&amp;amp;gt;&amp;amp;lt;RightHandSideExpression xml:space=&amp;amp;quot;preserve&amp;amp;quot;&amp;amp;gt;MFPR01004358&amp;amp;lt;/RightHandSideExpressio'"</definedName>
    <definedName name="_AMO_ContentDefinition_316789590.2212"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316789590.2213" hidden="1">"'uotes&amp;amp;gt;&amp;amp;lt;DateFormat&amp;amp;gt;None&amp;amp;lt;/DateFormat&amp;amp;gt;&amp;amp;lt;RightHandSideExpression xml:space=&amp;amp;quot;preserve&amp;amp;quot;&amp;amp;gt;MFPR01004359&amp;amp;lt;/RightHandSideExpression&amp;amp;gt;&amp;amp;lt;IsSubquery&amp;amp;gt;False&amp;amp;lt;/IsSubquery&amp;'"</definedName>
    <definedName name="_AMO_ContentDefinition_316789590.2214"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316789590.2215" hidden="1">"'at&amp;amp;gt;&amp;amp;lt;RightHandSideExpression xml:space=&amp;amp;quot;preserve&amp;amp;quot;&amp;amp;gt;MFPR01004360&amp;amp;lt;/RightHandSideExpression&amp;amp;gt;&amp;amp;lt;IsSubquery&amp;amp;gt;False&amp;amp;lt;/IsSubquery&amp;amp;gt;&amp;amp;lt;SubqueryTemplateName /&amp;amp;gt;&amp;amp;lt;/RHSIte'"</definedName>
    <definedName name="_AMO_ContentDefinition_316789590.2216" hidden="1">"'m&amp;amp;gt;&amp;amp;lt;RHSItem&amp;amp;gt;&amp;amp;lt;RHSType&amp;amp;gt;EXPRESSION&amp;amp;lt;/RHSType&amp;amp;gt;&amp;amp;lt;AddQuotes&amp;amp;gt;True&amp;amp;lt;/AddQuotes&amp;amp;gt;&amp;amp;lt;DateFormat&amp;amp;gt;None&amp;amp;lt;/DateFormat&amp;amp;gt;&amp;amp;lt;RightHandSideExpression xml:space=&amp;amp;quo'"</definedName>
    <definedName name="_AMO_ContentDefinition_316789590.2217" hidden="1">"'t;preserve&amp;amp;quot;&amp;amp;gt;MFPR01004362&amp;amp;lt;/RightHandSideExpression&amp;amp;gt;&amp;amp;lt;IsSubquery&amp;amp;gt;False&amp;amp;lt;/IsSubquery&amp;amp;gt;&amp;amp;lt;SubqueryTemplateName /&amp;amp;gt;&amp;amp;lt;/RHSItem&amp;amp;gt;&amp;amp;lt;RHSItem&amp;amp;gt;&amp;amp;lt;RHSType&amp;amp;gt;EXPRE'"</definedName>
    <definedName name="_AMO_ContentDefinition_316789590.2218" hidden="1">"'SSION&amp;amp;lt;/RHSType&amp;amp;gt;&amp;amp;lt;AddQuotes&amp;amp;gt;True&amp;amp;lt;/AddQuotes&amp;amp;gt;&amp;amp;lt;DateFormat&amp;amp;gt;None&amp;amp;lt;/DateFormat&amp;amp;gt;&amp;amp;lt;RightHandSideExpression xml:space=&amp;amp;quot;preserve&amp;amp;quot;&amp;amp;gt;MFPR01004363&amp;amp;lt;/RightHandSi'"</definedName>
    <definedName name="_AMO_ContentDefinition_316789590.2219"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316789590.222" hidden="1">"'#xD;&amp;amp;#xA;'MFPR01002679',&amp;amp;#xD;&amp;amp;#xA;'MFPR01002687',&amp;amp;#xD;&amp;amp;#xA;'MFPR01002698',&amp;amp;#xD;&amp;amp;#xA;'MFPR01002699',&amp;amp;#xD;&amp;amp;#xA;'MFPR01002700',&amp;amp;#xD;&amp;amp;#xA;'MFPR01002702',&amp;amp;#xD;&amp;amp;#xA;'MFPR01002703',&amp;amp;#xD;&amp;amp;#xA;'MFPR01'"</definedName>
    <definedName name="_AMO_ContentDefinition_316789590.2220" hidden="1">"'mp;lt;/AddQuotes&amp;amp;gt;&amp;amp;lt;DateFormat&amp;amp;gt;None&amp;amp;lt;/DateFormat&amp;amp;gt;&amp;amp;lt;RightHandSideExpression xml:space=&amp;amp;quot;preserve&amp;amp;quot;&amp;amp;gt;MFPR01004364&amp;amp;lt;/RightHandSideExpression&amp;amp;gt;&amp;amp;lt;IsSubquery&amp;amp;gt;False&amp;amp;lt;/'"</definedName>
    <definedName name="_AMO_ContentDefinition_316789590.2221"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316789590.2222" hidden="1">"'t;/DateFormat&amp;amp;gt;&amp;amp;lt;RightHandSideExpression xml:space=&amp;amp;quot;preserve&amp;amp;quot;&amp;amp;gt;MFPR01004365&amp;amp;lt;/RightHandSideExpression&amp;amp;gt;&amp;amp;lt;IsSubquery&amp;amp;gt;False&amp;amp;lt;/IsSubquery&amp;amp;gt;&amp;amp;lt;SubqueryTemplateName /&amp;amp;gt;&amp;amp'"</definedName>
    <definedName name="_AMO_ContentDefinition_316789590.2223" hidden="1">"';lt;/RHSItem&amp;amp;gt;&amp;amp;lt;RHSItem&amp;amp;gt;&amp;amp;lt;RHSType&amp;amp;gt;EXPRESSION&amp;amp;lt;/RHSType&amp;amp;gt;&amp;amp;lt;AddQuotes&amp;amp;gt;True&amp;amp;lt;/AddQuotes&amp;amp;gt;&amp;amp;lt;DateFormat&amp;amp;gt;None&amp;amp;lt;/DateFormat&amp;amp;gt;&amp;amp;lt;RightHandSideExpression xml:spa'"</definedName>
    <definedName name="_AMO_ContentDefinition_316789590.2224" hidden="1">"'ce=&amp;amp;quot;preserve&amp;amp;quot;&amp;amp;gt;MFPR01004370&amp;amp;lt;/RightHandSideExpression&amp;amp;gt;&amp;amp;lt;IsSubquery&amp;amp;gt;False&amp;amp;lt;/IsSubquery&amp;amp;gt;&amp;amp;lt;SubqueryTemplateName /&amp;amp;gt;&amp;amp;lt;/RHSItem&amp;amp;gt;&amp;amp;lt;RHSItem&amp;amp;gt;&amp;amp;lt;RHSType&amp;a'"</definedName>
    <definedName name="_AMO_ContentDefinition_316789590.2225" hidden="1">"'mp;gt;EXPRESSION&amp;amp;lt;/RHSType&amp;amp;gt;&amp;amp;lt;AddQuotes&amp;amp;gt;True&amp;amp;lt;/AddQuotes&amp;amp;gt;&amp;amp;lt;DateFormat&amp;amp;gt;None&amp;amp;lt;/DateFormat&amp;amp;gt;&amp;amp;lt;RightHandSideExpression xml:space=&amp;amp;quot;preserve&amp;amp;quot;&amp;amp;gt;MFPR01004376&amp;amp;lt;/'"</definedName>
    <definedName name="_AMO_ContentDefinition_316789590.2226"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316789590.2227" hidden="1">"'p;gt;True&amp;amp;lt;/AddQuotes&amp;amp;gt;&amp;amp;lt;DateFormat&amp;amp;gt;None&amp;amp;lt;/DateFormat&amp;amp;gt;&amp;amp;lt;RightHandSideExpression xml:space=&amp;amp;quot;preserve&amp;amp;quot;&amp;amp;gt;MFPR01004380&amp;amp;lt;/RightHandSideExpression&amp;amp;gt;&amp;amp;lt;IsSubquery&amp;amp;gt;Fal'"</definedName>
    <definedName name="_AMO_ContentDefinition_316789590.2228"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2229" hidden="1">"';None&amp;amp;lt;/DateFormat&amp;amp;gt;&amp;amp;lt;RightHandSideExpression xml:space=&amp;amp;quot;preserve&amp;amp;quot;&amp;amp;gt;MFPR01004381&amp;amp;lt;/RightHandSideExpression&amp;amp;gt;&amp;amp;lt;IsSubquery&amp;amp;gt;False&amp;amp;lt;/IsSubquery&amp;amp;gt;&amp;amp;lt;SubqueryTemplateName /&amp;'"</definedName>
    <definedName name="_AMO_ContentDefinition_316789590.223" hidden="1">"'002704',&amp;amp;#xD;&amp;amp;#xA;'MFPR01002705',&amp;amp;#xD;&amp;amp;#xA;'MFPR01002709',&amp;amp;#xD;&amp;amp;#xA;'MFPR01002715',&amp;amp;#xD;&amp;amp;#xA;'MFPR01002719',&amp;amp;#xD;&amp;amp;#xA;'MFPR01002720',&amp;amp;#xD;&amp;amp;#xA;'MFPR01002724',&amp;amp;#xD;&amp;amp;#xA;'MFPR01002725',&amp;amp;#xD;&amp;am'"</definedName>
    <definedName name="_AMO_ContentDefinition_316789590.2230"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316789590.2231" hidden="1">"'ion xml:space=&amp;amp;quot;preserve&amp;amp;quot;&amp;amp;gt;MFPR01004385&amp;amp;lt;/RightHandSideExpression&amp;amp;gt;&amp;amp;lt;IsSubquery&amp;amp;gt;False&amp;amp;lt;/IsSubquery&amp;amp;gt;&amp;amp;lt;SubqueryTemplateName /&amp;amp;gt;&amp;amp;lt;/RHSItem&amp;amp;gt;&amp;amp;lt;RHSItem&amp;amp;gt;&amp;amp;l'"</definedName>
    <definedName name="_AMO_ContentDefinition_316789590.2232" hidden="1">"'t;RHSType&amp;amp;gt;EXPRESSION&amp;amp;lt;/RHSType&amp;amp;gt;&amp;amp;lt;AddQuotes&amp;amp;gt;True&amp;amp;lt;/AddQuotes&amp;amp;gt;&amp;amp;lt;DateFormat&amp;amp;gt;None&amp;amp;lt;/DateFormat&amp;amp;gt;&amp;amp;lt;RightHandSideExpression xml:space=&amp;amp;quot;preserve&amp;amp;quot;&amp;amp;gt;MFPR010043'"</definedName>
    <definedName name="_AMO_ContentDefinition_316789590.2233" hidden="1">"'86&amp;amp;lt;/RightHandSideExpression&amp;amp;gt;&amp;amp;lt;IsSubquery&amp;amp;gt;False&amp;amp;lt;/IsSubquery&amp;amp;gt;&amp;amp;lt;SubqueryTemplateName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316789590.2234" hidden="1">"'ddQuotes&amp;amp;gt;True&amp;amp;lt;/AddQuotes&amp;amp;gt;&amp;amp;lt;DateFormat&amp;amp;gt;None&amp;amp;lt;/DateFormat&amp;amp;gt;&amp;amp;lt;RightHandSideExpression xml:space=&amp;amp;quot;preserve&amp;amp;quot;&amp;amp;gt;MFPR01004387&amp;amp;lt;/RightHandSideExpression&amp;amp;gt;&amp;amp;lt;IsSubquery'"</definedName>
    <definedName name="_AMO_ContentDefinition_316789590.2235"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316789590.2236" hidden="1">"'rmat&amp;amp;gt;None&amp;amp;lt;/DateFormat&amp;amp;gt;&amp;amp;lt;RightHandSideExpression xml:space=&amp;amp;quot;preserve&amp;amp;quot;&amp;amp;gt;MFPR01004389&amp;amp;lt;/RightHandSideExpression&amp;amp;gt;&amp;amp;lt;IsSubquery&amp;amp;gt;False&amp;amp;lt;/IsSubquery&amp;amp;gt;&amp;amp;lt;SubqueryTemp'"</definedName>
    <definedName name="_AMO_ContentDefinition_316789590.2237"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316789590.2238" hidden="1">"'SideExpression xml:space=&amp;amp;quot;preserve&amp;amp;quot;&amp;amp;gt;MFPR01004390&amp;amp;lt;/RightHandSideExpression&amp;amp;gt;&amp;amp;lt;IsSubquery&amp;amp;gt;False&amp;amp;lt;/IsSubquery&amp;amp;gt;&amp;amp;lt;SubqueryTemplateName /&amp;amp;gt;&amp;amp;lt;/RHSItem&amp;amp;gt;&amp;amp;lt;RHSItem&amp;am'"</definedName>
    <definedName name="_AMO_ContentDefinition_316789590.2239"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224" hidden="1">"'p;#xA;'MFPR01002726',&amp;amp;#xD;&amp;amp;#xA;'MFPR01002728',&amp;amp;#xD;&amp;amp;#xA;'MFPR01002729',&amp;amp;#xD;&amp;amp;#xA;'MFPR01002730',&amp;amp;#xD;&amp;amp;#xA;'MFPR01002731',&amp;amp;#xD;&amp;amp;#xA;'MFPR01002735',&amp;amp;#xD;&amp;amp;#xA;'MFPR01002742',&amp;amp;#xD;&amp;amp;#xA;'MFPR01002746''"</definedName>
    <definedName name="_AMO_ContentDefinition_316789590.2240" hidden="1">"';MFPR01004391&amp;amp;lt;/RightHandSideExpression&amp;amp;gt;&amp;amp;lt;IsSubquery&amp;amp;gt;False&amp;amp;lt;/IsSubquery&amp;amp;gt;&amp;amp;lt;SubqueryTemplateName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316789590.2241" hidden="1">"'t;&amp;amp;lt;AddQuotes&amp;amp;gt;True&amp;amp;lt;/AddQuotes&amp;amp;gt;&amp;amp;lt;DateFormat&amp;amp;gt;None&amp;amp;lt;/DateFormat&amp;amp;gt;&amp;amp;lt;RightHandSideExpression xml:space=&amp;amp;quot;preserve&amp;amp;quot;&amp;amp;gt;MFPR01004392&amp;amp;lt;/RightHandSideExpression&amp;amp;gt;&amp;amp;lt'"</definedName>
    <definedName name="_AMO_ContentDefinition_316789590.2242"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316789590.2243" hidden="1">"'p;lt;DateFormat&amp;amp;gt;None&amp;amp;lt;/DateFormat&amp;amp;gt;&amp;amp;lt;RightHandSideExpression xml:space=&amp;amp;quot;preserve&amp;amp;quot;&amp;amp;gt;MFPR01004397&amp;amp;lt;/RightHandSideExpression&amp;amp;gt;&amp;amp;lt;IsSubquery&amp;amp;gt;False&amp;amp;lt;/IsSubquery&amp;amp;gt;&amp;amp;lt;S'"</definedName>
    <definedName name="_AMO_ContentDefinition_316789590.2244"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316789590.2245" hidden="1">"'t;RightHandSideExpression xml:space=&amp;amp;quot;preserve&amp;amp;quot;&amp;amp;gt;MFPR01004403&amp;amp;lt;/RightHandSideExpression&amp;amp;gt;&amp;amp;lt;IsSubquery&amp;amp;gt;False&amp;amp;lt;/IsSubquery&amp;amp;gt;&amp;amp;lt;SubqueryTemplateName /&amp;amp;gt;&amp;amp;lt;/RHSItem&amp;amp;gt;&amp;amp;lt'"</definedName>
    <definedName name="_AMO_ContentDefinition_316789590.2246" hidden="1">"';RHSItem&amp;amp;gt;&amp;amp;lt;RHSType&amp;amp;gt;EXPRESSION&amp;amp;lt;/RHSType&amp;amp;gt;&amp;amp;lt;AddQuotes&amp;amp;gt;True&amp;amp;lt;/AddQuotes&amp;amp;gt;&amp;amp;lt;DateFormat&amp;amp;gt;None&amp;amp;lt;/DateFormat&amp;amp;gt;&amp;amp;lt;RightHandSideExpression xml:space=&amp;amp;quot;preserve&amp;amp;q'"</definedName>
    <definedName name="_AMO_ContentDefinition_316789590.2247" hidden="1">"'uot;&amp;amp;gt;MFPR01004407&amp;amp;lt;/RightHandSideExpression&amp;amp;gt;&amp;amp;lt;IsSubquery&amp;amp;gt;False&amp;amp;lt;/IsSubquery&amp;amp;gt;&amp;amp;lt;SubqueryTemplateName /&amp;amp;gt;&amp;amp;lt;/RHSItem&amp;amp;gt;&amp;amp;lt;RHSItem&amp;amp;gt;&amp;amp;lt;RHSType&amp;amp;gt;EXPRESSION&amp;amp;lt;/RH'"</definedName>
    <definedName name="_AMO_ContentDefinition_316789590.2248" hidden="1">"'SType&amp;amp;gt;&amp;amp;lt;AddQuotes&amp;amp;gt;True&amp;amp;lt;/AddQuotes&amp;amp;gt;&amp;amp;lt;DateFormat&amp;amp;gt;None&amp;amp;lt;/DateFormat&amp;amp;gt;&amp;amp;lt;RightHandSideExpression xml:space=&amp;amp;quot;preserve&amp;amp;quot;&amp;amp;gt;MFPR01004408&amp;amp;lt;/RightHandSideExpression&amp;amp'"</definedName>
    <definedName name="_AMO_ContentDefinition_316789590.2249"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316789590.225" hidden="1">"',&amp;amp;#xD;&amp;amp;#xA;'MFPR01002747',&amp;amp;#xD;&amp;amp;#xA;'MFPR01002748',&amp;amp;#xD;&amp;amp;#xA;'MFPR01002756',&amp;amp;#xD;&amp;amp;#xA;'MFPR01002767',&amp;amp;#xD;&amp;amp;#xA;'MFPR01002768',&amp;amp;#xD;&amp;amp;#xA;'MFPR01002769',&amp;amp;#xD;&amp;amp;#xA;'MFPR01002771',&amp;amp;#xD;&amp;amp;#xA;''"</definedName>
    <definedName name="_AMO_ContentDefinition_316789590.2250" hidden="1">"'&amp;amp;gt;&amp;amp;lt;DateFormat&amp;amp;gt;None&amp;amp;lt;/DateFormat&amp;amp;gt;&amp;amp;lt;RightHandSideExpression xml:space=&amp;amp;quot;preserve&amp;amp;quot;&amp;amp;gt;MFPR01004409&amp;amp;lt;/RightHandSideExpression&amp;amp;gt;&amp;amp;lt;IsSubquery&amp;amp;gt;False&amp;amp;lt;/IsSubquery&amp;amp;g'"</definedName>
    <definedName name="_AMO_ContentDefinition_316789590.2251"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316789590.2252" hidden="1">"'p;gt;&amp;amp;lt;RightHandSideExpression xml:space=&amp;amp;quot;preserve&amp;amp;quot;&amp;amp;gt;MFPR01004417&amp;amp;lt;/RightHandSideExpression&amp;amp;gt;&amp;amp;lt;IsSubquery&amp;amp;gt;False&amp;amp;lt;/IsSubquery&amp;amp;gt;&amp;amp;lt;SubqueryTemplateName /&amp;amp;gt;&amp;amp;lt;/RHSItem&amp;amp'"</definedName>
    <definedName name="_AMO_ContentDefinition_316789590.2253" hidden="1">"';gt;&amp;amp;lt;RHSItem&amp;amp;gt;&amp;amp;lt;RHSType&amp;amp;gt;EXPRESSION&amp;amp;lt;/RHSType&amp;amp;gt;&amp;amp;lt;AddQuotes&amp;amp;gt;True&amp;amp;lt;/AddQuotes&amp;amp;gt;&amp;amp;lt;DateFormat&amp;amp;gt;None&amp;amp;lt;/DateFormat&amp;amp;gt;&amp;amp;lt;RightHandSideExpression xml:space=&amp;amp;quot;pre'"</definedName>
    <definedName name="_AMO_ContentDefinition_316789590.2254" hidden="1">"'serve&amp;amp;quot;&amp;amp;gt;MFPR01004426&amp;amp;lt;/RightHandSideExpression&amp;amp;gt;&amp;amp;lt;IsSubquery&amp;amp;gt;False&amp;amp;lt;/IsSubquery&amp;amp;gt;&amp;amp;lt;SubqueryTemplateName /&amp;amp;gt;&amp;amp;lt;/RHSItem&amp;amp;gt;&amp;amp;lt;RHSItem&amp;amp;gt;&amp;amp;lt;RHSType&amp;amp;gt;EXPRESSION'"</definedName>
    <definedName name="_AMO_ContentDefinition_316789590.2255" hidden="1">"'&amp;amp;lt;/RHSType&amp;amp;gt;&amp;amp;lt;AddQuotes&amp;amp;gt;True&amp;amp;lt;/AddQuotes&amp;amp;gt;&amp;amp;lt;DateFormat&amp;amp;gt;None&amp;amp;lt;/DateFormat&amp;amp;gt;&amp;amp;lt;RightHandSideExpression xml:space=&amp;amp;quot;preserve&amp;amp;quot;&amp;amp;gt;MFPR01004428&amp;amp;lt;/RightHandSideExp'"</definedName>
    <definedName name="_AMO_ContentDefinition_316789590.2256"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2257" hidden="1">"';/AddQuotes&amp;amp;gt;&amp;amp;lt;DateFormat&amp;amp;gt;None&amp;amp;lt;/DateFormat&amp;amp;gt;&amp;amp;lt;RightHandSideExpression xml:space=&amp;amp;quot;preserve&amp;amp;quot;&amp;amp;gt;MFPR01004429&amp;amp;lt;/RightHandSideExpression&amp;amp;gt;&amp;amp;lt;IsSubquery&amp;amp;gt;False&amp;amp;lt;/IsSub'"</definedName>
    <definedName name="_AMO_ContentDefinition_316789590.2258"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316789590.2259" hidden="1">"'teFormat&amp;amp;gt;&amp;amp;lt;RightHandSideExpression xml:space=&amp;amp;quot;preserve&amp;amp;quot;&amp;amp;gt;MFPR01004430&amp;amp;lt;/RightHandSideExpression&amp;amp;gt;&amp;amp;lt;IsSubquery&amp;amp;gt;False&amp;amp;lt;/IsSubquery&amp;amp;gt;&amp;amp;lt;SubqueryTemplateName /&amp;amp;gt;&amp;amp;lt;/'"</definedName>
    <definedName name="_AMO_ContentDefinition_316789590.226" hidden="1">"'MFPR01002772',&amp;amp;#xD;&amp;amp;#xA;'MFPR01002773',&amp;amp;#xD;&amp;amp;#xA;'MFPR01002774',&amp;amp;#xD;&amp;amp;#xA;'MFPR01002778',&amp;amp;#xD;&amp;amp;#xA;'MFPR01002784',&amp;amp;#xD;&amp;amp;#xA;'MFPR01002788',&amp;amp;#xD;&amp;amp;#xA;'MFPR01002789',&amp;amp;#xD;&amp;amp;#xA;'MFPR01002793',&amp;amp;#'"</definedName>
    <definedName name="_AMO_ContentDefinition_316789590.2260" hidden="1">"'RHSItem&amp;amp;gt;&amp;amp;lt;RHSItem&amp;amp;gt;&amp;amp;lt;RHSType&amp;amp;gt;EXPRESSION&amp;amp;lt;/RHSType&amp;amp;gt;&amp;amp;lt;AddQuotes&amp;amp;gt;True&amp;amp;lt;/AddQuotes&amp;amp;gt;&amp;amp;lt;DateFormat&amp;amp;gt;None&amp;amp;lt;/DateFormat&amp;amp;gt;&amp;amp;lt;RightHandSideExpression xml:space=&amp;a'"</definedName>
    <definedName name="_AMO_ContentDefinition_316789590.2261" hidden="1">"'mp;quot;preserve&amp;amp;quot;&amp;amp;gt;MFPR01004431&amp;amp;lt;/RightHandSideExpression&amp;amp;gt;&amp;amp;lt;IsSubquery&amp;amp;gt;False&amp;amp;lt;/IsSubquery&amp;amp;gt;&amp;amp;lt;SubqueryTemplateName /&amp;amp;gt;&amp;amp;lt;/RHSItem&amp;amp;gt;&amp;amp;lt;RHSItem&amp;amp;gt;&amp;amp;lt;RHSType&amp;amp;gt'"</definedName>
    <definedName name="_AMO_ContentDefinition_316789590.2262" hidden="1">"';EXPRESSION&amp;amp;lt;/RHSType&amp;amp;gt;&amp;amp;lt;AddQuotes&amp;amp;gt;True&amp;amp;lt;/AddQuotes&amp;amp;gt;&amp;amp;lt;DateFormat&amp;amp;gt;None&amp;amp;lt;/DateFormat&amp;amp;gt;&amp;amp;lt;RightHandSideExpression xml:space=&amp;amp;quot;preserve&amp;amp;quot;&amp;amp;gt;MFPR01004432&amp;amp;lt;/Right'"</definedName>
    <definedName name="_AMO_ContentDefinition_316789590.2263"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316789590.2264" hidden="1">"'True&amp;amp;lt;/AddQuotes&amp;amp;gt;&amp;amp;lt;DateFormat&amp;amp;gt;None&amp;amp;lt;/DateFormat&amp;amp;gt;&amp;amp;lt;RightHandSideExpression xml:space=&amp;amp;quot;preserve&amp;amp;quot;&amp;amp;gt;MFPR01004433&amp;amp;lt;/RightHandSideExpression&amp;amp;gt;&amp;amp;lt;IsSubquery&amp;amp;gt;False&amp;am'"</definedName>
    <definedName name="_AMO_ContentDefinition_316789590.2265"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316789590.2266" hidden="1">"'&amp;amp;lt;/DateFormat&amp;amp;gt;&amp;amp;lt;RightHandSideExpression xml:space=&amp;amp;quot;preserve&amp;amp;quot;&amp;amp;gt;MFPR01004434&amp;amp;lt;/RightHandSideExpression&amp;amp;gt;&amp;amp;lt;IsSubquery&amp;amp;gt;False&amp;amp;lt;/IsSubquery&amp;amp;gt;&amp;amp;lt;SubqueryTemplateName /&amp;amp;g'"</definedName>
    <definedName name="_AMO_ContentDefinition_316789590.2267" hidden="1">"'t;&amp;amp;lt;/RHSItem&amp;amp;gt;&amp;amp;lt;RHSItem&amp;amp;gt;&amp;amp;lt;RHSType&amp;amp;gt;EXPRESSION&amp;amp;lt;/RHSType&amp;amp;gt;&amp;amp;lt;AddQuotes&amp;amp;gt;True&amp;amp;lt;/AddQuotes&amp;amp;gt;&amp;amp;lt;DateFormat&amp;amp;gt;None&amp;amp;lt;/DateFormat&amp;amp;gt;&amp;amp;lt;RightHandSideExpression x'"</definedName>
    <definedName name="_AMO_ContentDefinition_316789590.2268" hidden="1">"'ml:space=&amp;amp;quot;preserve&amp;amp;quot;&amp;amp;gt;MFPR01004436&amp;amp;lt;/RightHandSideExpression&amp;amp;gt;&amp;amp;lt;IsSubquery&amp;amp;gt;False&amp;amp;lt;/IsSubquery&amp;amp;gt;&amp;amp;lt;SubqueryTemplateName /&amp;amp;gt;&amp;amp;lt;/RHSItem&amp;amp;gt;&amp;amp;lt;RHSItem&amp;amp;gt;&amp;amp;lt;RHS'"</definedName>
    <definedName name="_AMO_ContentDefinition_316789590.2269" hidden="1">"'Type&amp;amp;gt;EXPRESSION&amp;amp;lt;/RHSType&amp;amp;gt;&amp;amp;lt;AddQuotes&amp;amp;gt;True&amp;amp;lt;/AddQuotes&amp;amp;gt;&amp;amp;lt;DateFormat&amp;amp;gt;None&amp;amp;lt;/DateFormat&amp;amp;gt;&amp;amp;lt;RightHandSideExpression xml:space=&amp;amp;quot;preserve&amp;amp;quot;&amp;amp;gt;MFPR01004437&amp;am'"</definedName>
    <definedName name="_AMO_ContentDefinition_316789590.227" hidden="1">"'xD;&amp;amp;#xA;'MFPR01002794',&amp;amp;#xD;&amp;amp;#xA;'MFPR01002795',&amp;amp;#xD;&amp;amp;#xA;'MFPR01002797',&amp;amp;#xD;&amp;amp;#xA;'MFPR01002798',&amp;amp;#xD;&amp;amp;#xA;'MFPR01002799',&amp;amp;#xD;&amp;amp;#xA;'MFPR01002800',&amp;amp;#xD;&amp;amp;#xA;'MFPR01002804',&amp;amp;#xD;&amp;amp;#xA;'MFPR010'"</definedName>
    <definedName name="_AMO_ContentDefinition_316789590.2270"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316789590.2271" hidden="1">"'tes&amp;amp;gt;True&amp;amp;lt;/AddQuotes&amp;amp;gt;&amp;amp;lt;DateFormat&amp;amp;gt;None&amp;amp;lt;/DateFormat&amp;amp;gt;&amp;amp;lt;RightHandSideExpression xml:space=&amp;amp;quot;preserve&amp;amp;quot;&amp;amp;gt;MFPR01004438&amp;amp;lt;/RightHandSideExpression&amp;amp;gt;&amp;amp;lt;IsSubquery&amp;amp;'"</definedName>
    <definedName name="_AMO_ContentDefinition_316789590.2272"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316789590.2273" hidden="1">"'amp;gt;None&amp;amp;lt;/DateFormat&amp;amp;gt;&amp;amp;lt;RightHandSideExpression xml:space=&amp;amp;quot;preserve&amp;amp;quot;&amp;amp;gt;MFPR01004439&amp;amp;lt;/RightHandSideExpression&amp;amp;gt;&amp;amp;lt;IsSubquery&amp;amp;gt;False&amp;amp;lt;/IsSubquery&amp;amp;gt;&amp;amp;lt;SubqueryTemplateN'"</definedName>
    <definedName name="_AMO_ContentDefinition_316789590.2274"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316789590.2275" hidden="1">"'xpression xml:space=&amp;amp;quot;preserve&amp;amp;quot;&amp;amp;gt;MFPR01004440&amp;amp;lt;/RightHandSideExpression&amp;amp;gt;&amp;amp;lt;IsSubquery&amp;amp;gt;False&amp;amp;lt;/IsSubquery&amp;amp;gt;&amp;amp;lt;SubqueryTemplateName /&amp;amp;gt;&amp;amp;lt;/RHSItem&amp;amp;gt;&amp;amp;lt;RHSItem&amp;amp;gt;'"</definedName>
    <definedName name="_AMO_ContentDefinition_316789590.2276" hidden="1">"'&amp;amp;lt;RHSType&amp;amp;gt;EXPRESSION&amp;amp;lt;/RHSType&amp;amp;gt;&amp;amp;lt;AddQuotes&amp;amp;gt;True&amp;amp;lt;/AddQuotes&amp;amp;gt;&amp;amp;lt;DateFormat&amp;amp;gt;None&amp;amp;lt;/DateFormat&amp;amp;gt;&amp;amp;lt;RightHandSideExpression xml:space=&amp;amp;quot;preserve&amp;amp;quot;&amp;amp;gt;MFPR'"</definedName>
    <definedName name="_AMO_ContentDefinition_316789590.2277" hidden="1">"'01004441&amp;amp;lt;/RightHandSideExpression&amp;amp;gt;&amp;amp;lt;IsSubquery&amp;amp;gt;False&amp;amp;lt;/IsSubquery&amp;amp;gt;&amp;amp;lt;SubqueryTemplateName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316789590.2278" hidden="1">"'p;lt;AddQuotes&amp;amp;gt;True&amp;amp;lt;/AddQuotes&amp;amp;gt;&amp;amp;lt;DateFormat&amp;amp;gt;None&amp;amp;lt;/DateFormat&amp;amp;gt;&amp;amp;lt;RightHandSideExpression xml:space=&amp;amp;quot;preserve&amp;amp;quot;&amp;amp;gt;MFPR01004442&amp;amp;lt;/RightHandSideExpression&amp;amp;gt;&amp;amp;lt;IsSu'"</definedName>
    <definedName name="_AMO_ContentDefinition_316789590.2279"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316789590.228" hidden="1">"'02811',&amp;amp;#xD;&amp;amp;#xA;'MFPR01002815',&amp;amp;#xD;&amp;amp;#xA;'MFPR01002816',&amp;amp;#xD;&amp;amp;#xA;'MFPR01002817',&amp;amp;#xD;&amp;amp;#xA;'MFPR01002825',&amp;amp;#xD;&amp;amp;#xA;'MFPR01002835',&amp;amp;#xD;&amp;amp;#xA;'MFPR01002836',&amp;amp;#xD;&amp;amp;#xA;'MFPR01002840',&amp;amp;#xD;&amp;amp'"</definedName>
    <definedName name="_AMO_ContentDefinition_316789590.2280" hidden="1">"'DateFormat&amp;amp;gt;None&amp;amp;lt;/DateFormat&amp;amp;gt;&amp;amp;lt;RightHandSideExpression xml:space=&amp;amp;quot;preserve&amp;amp;quot;&amp;amp;gt;MFPR01004443&amp;amp;lt;/RightHandSideExpression&amp;amp;gt;&amp;amp;lt;IsSubquery&amp;amp;gt;False&amp;amp;lt;/IsSubquery&amp;amp;gt;&amp;amp;lt;Subque'"</definedName>
    <definedName name="_AMO_ContentDefinition_316789590.2281"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316789590.2282" hidden="1">"'htHandSideExpression xml:space=&amp;amp;quot;preserve&amp;amp;quot;&amp;amp;gt;MFPR01004446&amp;amp;lt;/RightHandSideExpression&amp;amp;gt;&amp;amp;lt;IsSubquery&amp;amp;gt;False&amp;amp;lt;/IsSubquery&amp;amp;gt;&amp;amp;lt;SubqueryTemplateName /&amp;amp;gt;&amp;amp;lt;/RHSItem&amp;amp;gt;&amp;amp;lt;RHSI'"</definedName>
    <definedName name="_AMO_ContentDefinition_316789590.2283" hidden="1">"'tem&amp;amp;gt;&amp;amp;lt;RHSType&amp;amp;gt;EXPRESSION&amp;amp;lt;/RHSType&amp;amp;gt;&amp;amp;lt;AddQuotes&amp;amp;gt;True&amp;amp;lt;/AddQuotes&amp;amp;gt;&amp;amp;lt;DateFormat&amp;amp;gt;None&amp;amp;lt;/DateFormat&amp;amp;gt;&amp;amp;lt;RightHandSideExpression xml:space=&amp;amp;quot;preserve&amp;amp;quot;&amp;'"</definedName>
    <definedName name="_AMO_ContentDefinition_316789590.2284" hidden="1">"'amp;gt;MFPR01004447&amp;amp;lt;/RightHandSideExpression&amp;amp;gt;&amp;amp;lt;IsSubquery&amp;amp;gt;False&amp;amp;lt;/IsSubquery&amp;amp;gt;&amp;amp;lt;SubqueryTemplateName /&amp;amp;gt;&amp;amp;lt;/RHSItem&amp;amp;gt;&amp;amp;lt;RHSItem&amp;amp;gt;&amp;amp;lt;RHSType&amp;amp;gt;EXPRESSION&amp;amp;lt;/RHSType'"</definedName>
    <definedName name="_AMO_ContentDefinition_316789590.2285" hidden="1">"'&amp;amp;gt;&amp;amp;lt;AddQuotes&amp;amp;gt;True&amp;amp;lt;/AddQuotes&amp;amp;gt;&amp;amp;lt;DateFormat&amp;amp;gt;None&amp;amp;lt;/DateFormat&amp;amp;gt;&amp;amp;lt;RightHandSideExpression xml:space=&amp;amp;quot;preserve&amp;amp;quot;&amp;amp;gt;MFPR01004448&amp;amp;lt;/RightHandSideExpression&amp;amp;gt;&amp;'"</definedName>
    <definedName name="_AMO_ContentDefinition_316789590.2286"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316789590.2287" hidden="1">"'gt;&amp;amp;lt;DateFormat&amp;amp;gt;None&amp;amp;lt;/DateFormat&amp;amp;gt;&amp;amp;lt;RightHandSideExpression xml:space=&amp;amp;quot;preserve&amp;amp;quot;&amp;amp;gt;MFPR01004449&amp;amp;lt;/RightHandSideExpression&amp;amp;gt;&amp;amp;lt;IsSubquery&amp;amp;gt;False&amp;amp;lt;/IsSubquery&amp;amp;gt;&amp;am'"</definedName>
    <definedName name="_AMO_ContentDefinition_316789590.2288"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316789590.2289" hidden="1">"'&amp;amp;lt;RightHandSideExpression xml:space=&amp;amp;quot;preserve&amp;amp;quot;&amp;amp;gt;MFPR01004450&amp;amp;lt;/RightHandSideExpression&amp;amp;gt;&amp;amp;lt;IsSubquery&amp;amp;gt;False&amp;amp;lt;/IsSubquery&amp;amp;gt;&amp;amp;lt;SubqueryTemplateName /&amp;amp;gt;&amp;amp;lt;/RHSItem&amp;amp;gt;&amp;'"</definedName>
    <definedName name="_AMO_ContentDefinition_316789590.229" hidden="1">"';#xA;'MFPR01002848',&amp;amp;#xD;&amp;amp;#xA;'MFPR01002849',&amp;amp;#xD;&amp;amp;#xA;'MFPR01002853',&amp;amp;#xD;&amp;amp;#xA;'MFPR01002860',&amp;amp;#xD;&amp;amp;#xA;'MFPR01002863',&amp;amp;#xD;&amp;amp;#xA;'MFPR01002869',&amp;amp;#xD;&amp;amp;#xA;'MFPR01002870',&amp;amp;#xD;&amp;amp;#xA;'MFPR01002871','"</definedName>
    <definedName name="_AMO_ContentDefinition_316789590.2290"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316789590.2291" hidden="1">"'&amp;amp;quot;&amp;amp;gt;MFPR01004451&amp;amp;lt;/RightHandSideExpression&amp;amp;gt;&amp;amp;lt;IsSubquery&amp;amp;gt;False&amp;amp;lt;/IsSubquery&amp;amp;gt;&amp;amp;lt;SubqueryTemplateName /&amp;amp;gt;&amp;amp;lt;/RHSItem&amp;amp;gt;&amp;amp;lt;RHSItem&amp;amp;gt;&amp;amp;lt;RHSType&amp;amp;gt;EXPRESSION&amp;amp;'"</definedName>
    <definedName name="_AMO_ContentDefinition_316789590.2292" hidden="1">"'lt;/RHSType&amp;amp;gt;&amp;amp;lt;AddQuotes&amp;amp;gt;True&amp;amp;lt;/AddQuotes&amp;amp;gt;&amp;amp;lt;DateFormat&amp;amp;gt;None&amp;amp;lt;/DateFormat&amp;amp;gt;&amp;amp;lt;RightHandSideExpression xml:space=&amp;amp;quot;preserve&amp;amp;quot;&amp;amp;gt;MFPR01004454&amp;amp;lt;/RightHandSideExpressi'"</definedName>
    <definedName name="_AMO_ContentDefinition_316789590.2293"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316789590.2294" hidden="1">"'Quotes&amp;amp;gt;&amp;amp;lt;DateFormat&amp;amp;gt;None&amp;amp;lt;/DateFormat&amp;amp;gt;&amp;amp;lt;RightHandSideExpression xml:space=&amp;amp;quot;preserve&amp;amp;quot;&amp;amp;gt;MFPR01004455&amp;amp;lt;/RightHandSideExpression&amp;amp;gt;&amp;amp;lt;IsSubquery&amp;amp;gt;False&amp;amp;lt;/IsSubquery'"</definedName>
    <definedName name="_AMO_ContentDefinition_316789590.2295"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316789590.2296" hidden="1">"'mat&amp;amp;gt;&amp;amp;lt;RightHandSideExpression xml:space=&amp;amp;quot;preserve&amp;amp;quot;&amp;amp;gt;MFPR01004456&amp;amp;lt;/RightHandSideExpression&amp;amp;gt;&amp;amp;lt;IsSubquery&amp;amp;gt;False&amp;amp;lt;/IsSubquery&amp;amp;gt;&amp;amp;lt;SubqueryTemplateName /&amp;amp;gt;&amp;amp;lt;/RHSIt'"</definedName>
    <definedName name="_AMO_ContentDefinition_316789590.2297" hidden="1">"'em&amp;amp;gt;&amp;amp;lt;RHSItem&amp;amp;gt;&amp;amp;lt;RHSType&amp;amp;gt;EXPRESSION&amp;amp;lt;/RHSType&amp;amp;gt;&amp;amp;lt;AddQuotes&amp;amp;gt;True&amp;amp;lt;/AddQuotes&amp;amp;gt;&amp;amp;lt;DateFormat&amp;amp;gt;None&amp;amp;lt;/DateFormat&amp;amp;gt;&amp;amp;lt;RightHandSideExpression xml:space=&amp;amp;qu'"</definedName>
    <definedName name="_AMO_ContentDefinition_316789590.2298" hidden="1">"'ot;preserve&amp;amp;quot;&amp;amp;gt;MFPR01004457&amp;amp;lt;/RightHandSideExpression&amp;amp;gt;&amp;amp;lt;IsSubquery&amp;amp;gt;False&amp;amp;lt;/IsSubquery&amp;amp;gt;&amp;amp;lt;SubqueryTemplateName /&amp;amp;gt;&amp;amp;lt;/RHSItem&amp;amp;gt;&amp;amp;lt;RHSItem&amp;amp;gt;&amp;amp;lt;RHSType&amp;amp;gt;EXPR'"</definedName>
    <definedName name="_AMO_ContentDefinition_316789590.2299" hidden="1">"'ESSION&amp;amp;lt;/RHSType&amp;amp;gt;&amp;amp;lt;AddQuotes&amp;amp;gt;True&amp;amp;lt;/AddQuotes&amp;amp;gt;&amp;amp;lt;DateFormat&amp;amp;gt;None&amp;amp;lt;/DateFormat&amp;amp;gt;&amp;amp;lt;RightHandSideExpression xml:space=&amp;amp;quot;preserve&amp;amp;quot;&amp;amp;gt;MFPR01004458&amp;amp;lt;/RightHandS'"</definedName>
    <definedName name="_AMO_ContentDefinition_316789590.23" hidden="1">"'D;&amp;#xA;'MFPR01000881',&amp;#xD;&amp;#xA;'MFPR01000885',&amp;#xD;&amp;#xA;'MFPR01000886',&amp;#xD;&amp;#xA;'MFPR01001002',&amp;#xD;&amp;#xA;'MFPR01001003',&amp;#xD;&amp;#xA;'MFPR01001004',&amp;#xD;&amp;#xA;'MFPR01001006',&amp;#xD;&amp;#xA;'MFPR01001007',&amp;#xD;&amp;#xA;'MFPR01001008',&amp;#xD;&amp;#xA;'MFPR01001009',&amp;#xD'"</definedName>
    <definedName name="_AMO_ContentDefinition_316789590.230" hidden="1">"'&amp;amp;#xD;&amp;amp;#xA;'MFPR01002873',&amp;amp;#xD;&amp;amp;#xA;'MFPR01002874',&amp;amp;#xD;&amp;amp;#xA;'MFPR01002875',&amp;amp;#xD;&amp;amp;#xA;'MFPR01002876',&amp;amp;#xD;&amp;amp;#xA;'MFPR01002880',&amp;amp;#xD;&amp;amp;#xA;'MFPR01002886',&amp;amp;#xD;&amp;amp;#xA;'MFPR01002890',&amp;amp;#xD;&amp;amp;#xA;'M'"</definedName>
    <definedName name="_AMO_ContentDefinition_316789590.2300"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316789590.2301" hidden="1">"'amp;lt;/AddQuotes&amp;amp;gt;&amp;amp;lt;DateFormat&amp;amp;gt;None&amp;amp;lt;/DateFormat&amp;amp;gt;&amp;amp;lt;RightHandSideExpression xml:space=&amp;amp;quot;preserve&amp;amp;quot;&amp;amp;gt;MFPR01004460&amp;amp;lt;/RightHandSideExpression&amp;amp;gt;&amp;amp;lt;IsSubquery&amp;amp;gt;False&amp;amp;lt;'"</definedName>
    <definedName name="_AMO_ContentDefinition_316789590.2302"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316789590.2303" hidden="1">"'lt;/DateFormat&amp;amp;gt;&amp;amp;lt;RightHandSideExpression xml:space=&amp;amp;quot;preserve&amp;amp;quot;&amp;amp;gt;MFPR01004461&amp;amp;lt;/RightHandSideExpression&amp;amp;gt;&amp;amp;lt;IsSubquery&amp;amp;gt;False&amp;amp;lt;/IsSubquery&amp;amp;gt;&amp;amp;lt;SubqueryTemplateName /&amp;amp;gt;&amp;am'"</definedName>
    <definedName name="_AMO_ContentDefinition_316789590.2304" hidden="1">"'p;lt;/RHSItem&amp;amp;gt;&amp;amp;lt;RHSItem&amp;amp;gt;&amp;amp;lt;RHSType&amp;amp;gt;EXPRESSION&amp;amp;lt;/RHSType&amp;amp;gt;&amp;amp;lt;AddQuotes&amp;amp;gt;True&amp;amp;lt;/AddQuotes&amp;amp;gt;&amp;amp;lt;DateFormat&amp;amp;gt;None&amp;amp;lt;/DateFormat&amp;amp;gt;&amp;amp;lt;RightHandSideExpression xml:sp'"</definedName>
    <definedName name="_AMO_ContentDefinition_316789590.2305" hidden="1">"'ace=&amp;amp;quot;preserve&amp;amp;quot;&amp;amp;gt;MFPR01004462&amp;amp;lt;/RightHandSideExpression&amp;amp;gt;&amp;amp;lt;IsSubquery&amp;amp;gt;False&amp;amp;lt;/IsSubquery&amp;amp;gt;&amp;amp;lt;SubqueryTemplateName /&amp;amp;gt;&amp;amp;lt;/RHSItem&amp;amp;gt;&amp;amp;lt;RHSItem&amp;amp;gt;&amp;amp;lt;RHSType&amp;'"</definedName>
    <definedName name="_AMO_ContentDefinition_316789590.2306" hidden="1">"'amp;gt;EXPRESSION&amp;amp;lt;/RHSType&amp;amp;gt;&amp;amp;lt;AddQuotes&amp;amp;gt;True&amp;amp;lt;/AddQuotes&amp;amp;gt;&amp;amp;lt;DateFormat&amp;amp;gt;None&amp;amp;lt;/DateFormat&amp;amp;gt;&amp;amp;lt;RightHandSideExpression xml:space=&amp;amp;quot;preserve&amp;amp;quot;&amp;amp;gt;MFPR01004463&amp;amp;lt;'"</definedName>
    <definedName name="_AMO_ContentDefinition_316789590.2307"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316789590.2308" hidden="1">"'mp;gt;True&amp;amp;lt;/AddQuotes&amp;amp;gt;&amp;amp;lt;DateFormat&amp;amp;gt;None&amp;amp;lt;/DateFormat&amp;amp;gt;&amp;amp;lt;RightHandSideExpression xml:space=&amp;amp;quot;preserve&amp;amp;quot;&amp;amp;gt;MFPR01004464&amp;amp;lt;/RightHandSideExpression&amp;amp;gt;&amp;amp;lt;IsSubquery&amp;amp;gt;Fa'"</definedName>
    <definedName name="_AMO_ContentDefinition_316789590.2309"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316789590.231" hidden="1">"'FPR01002891',&amp;amp;#xD;&amp;amp;#xA;'MFPR01002895',&amp;amp;#xD;&amp;amp;#xA;'MFPR01002896',&amp;amp;#xD;&amp;amp;#xA;'MFPR01002897',&amp;amp;#xD;&amp;amp;#xA;'MFPR01002899',&amp;amp;#xD;&amp;amp;#xA;'MFPR01002900',&amp;amp;#xD;&amp;amp;#xA;'MFPR01002901',&amp;amp;#xD;&amp;amp;#xA;'MFPR01002902',&amp;amp;#x'"</definedName>
    <definedName name="_AMO_ContentDefinition_316789590.2310" hidden="1">"'t;None&amp;amp;lt;/DateFormat&amp;amp;gt;&amp;amp;lt;RightHandSideExpression xml:space=&amp;amp;quot;preserve&amp;amp;quot;&amp;amp;gt;MFPR01004465&amp;amp;lt;/RightHandSideExpression&amp;amp;gt;&amp;amp;lt;IsSubquery&amp;amp;gt;False&amp;amp;lt;/IsSubquery&amp;amp;gt;&amp;amp;lt;SubqueryTemplateName /'"</definedName>
    <definedName name="_AMO_ContentDefinition_316789590.2311"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316789590.2312" hidden="1">"'sion xml:space=&amp;amp;quot;preserve&amp;amp;quot;&amp;amp;gt;MFPR01004466&amp;amp;lt;/RightHandSideExpression&amp;amp;gt;&amp;amp;lt;IsSubquery&amp;amp;gt;False&amp;amp;lt;/IsSubquery&amp;amp;gt;&amp;amp;lt;SubqueryTemplateName /&amp;amp;gt;&amp;amp;lt;/RHSItem&amp;amp;gt;&amp;amp;lt;RHSItem&amp;amp;gt;&amp;amp;'"</definedName>
    <definedName name="_AMO_ContentDefinition_316789590.2313" hidden="1">"'lt;RHSType&amp;amp;gt;EXPRESSION&amp;amp;lt;/RHSType&amp;amp;gt;&amp;amp;lt;AddQuotes&amp;amp;gt;True&amp;amp;lt;/AddQuotes&amp;amp;gt;&amp;amp;lt;DateFormat&amp;amp;gt;None&amp;amp;lt;/DateFormat&amp;amp;gt;&amp;amp;lt;RightHandSideExpression xml:space=&amp;amp;quot;preserve&amp;amp;quot;&amp;amp;gt;MFPR01004'"</definedName>
    <definedName name="_AMO_ContentDefinition_316789590.2314" hidden="1">"'468&amp;amp;lt;/RightHandSideExpression&amp;amp;gt;&amp;amp;lt;IsSubquery&amp;amp;gt;False&amp;amp;lt;/IsSubquery&amp;amp;gt;&amp;amp;lt;SubqueryTemplateName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316789590.2315" hidden="1">"'AddQuotes&amp;amp;gt;True&amp;amp;lt;/AddQuotes&amp;amp;gt;&amp;amp;lt;DateFormat&amp;amp;gt;None&amp;amp;lt;/DateFormat&amp;amp;gt;&amp;amp;lt;RightHandSideExpression xml:space=&amp;amp;quot;preserve&amp;amp;quot;&amp;amp;gt;MFPR01004469&amp;amp;lt;/RightHandSideExpression&amp;amp;gt;&amp;amp;lt;IsSubquer'"</definedName>
    <definedName name="_AMO_ContentDefinition_316789590.2316"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316789590.2317" hidden="1">"'ormat&amp;amp;gt;None&amp;amp;lt;/DateFormat&amp;amp;gt;&amp;amp;lt;RightHandSideExpression xml:space=&amp;amp;quot;preserve&amp;amp;quot;&amp;amp;gt;MFPR01004470&amp;amp;lt;/RightHandSideExpression&amp;amp;gt;&amp;amp;lt;IsSubquery&amp;amp;gt;False&amp;amp;lt;/IsSubquery&amp;amp;gt;&amp;amp;lt;SubqueryTem'"</definedName>
    <definedName name="_AMO_ContentDefinition_316789590.2318"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316789590.2319" hidden="1">"'dSideExpression xml:space=&amp;amp;quot;preserve&amp;amp;quot;&amp;amp;gt;MFPR01004471&amp;amp;lt;/RightHandSideExpression&amp;amp;gt;&amp;amp;lt;IsSubquery&amp;amp;gt;False&amp;amp;lt;/IsSubquery&amp;amp;gt;&amp;amp;lt;SubqueryTemplateName /&amp;amp;gt;&amp;amp;lt;/RHSItem&amp;amp;gt;&amp;amp;lt;RHSItem&amp;a'"</definedName>
    <definedName name="_AMO_ContentDefinition_316789590.232" hidden="1">"'D;&amp;amp;#xA;'MFPR01002906',&amp;amp;#xD;&amp;amp;#xA;'MFPR01002913',&amp;amp;#xD;&amp;amp;#xA;'MFPR01002917',&amp;amp;#xD;&amp;amp;#xA;'MFPR01002918',&amp;amp;#xD;&amp;amp;#xA;'MFPR01002919',&amp;amp;#xD;&amp;amp;#xA;'MFPR01002927',&amp;amp;#xD;&amp;amp;#xA;'MFPR01002938',&amp;amp;#xD;&amp;amp;#xA;'MFPR0100'"</definedName>
    <definedName name="_AMO_ContentDefinition_316789590.2320"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316789590.2321" hidden="1">"'t;MFPR01004472&amp;amp;lt;/RightHandSideExpression&amp;amp;gt;&amp;amp;lt;IsSubquery&amp;amp;gt;False&amp;amp;lt;/IsSubquery&amp;amp;gt;&amp;amp;lt;SubqueryTemplateName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316789590.2322" hidden="1">"'gt;&amp;amp;lt;AddQuotes&amp;amp;gt;True&amp;amp;lt;/AddQuotes&amp;amp;gt;&amp;amp;lt;DateFormat&amp;amp;gt;None&amp;amp;lt;/DateFormat&amp;amp;gt;&amp;amp;lt;RightHandSideExpression xml:space=&amp;amp;quot;preserve&amp;amp;quot;&amp;amp;gt;MFPR01004473&amp;amp;lt;/RightHandSideExpression&amp;amp;gt;&amp;amp;l'"</definedName>
    <definedName name="_AMO_ContentDefinition_316789590.2323"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316789590.2324" hidden="1">"'mp;lt;DateFormat&amp;amp;gt;None&amp;amp;lt;/DateFormat&amp;amp;gt;&amp;amp;lt;RightHandSideExpression xml:space=&amp;amp;quot;preserve&amp;amp;quot;&amp;amp;gt;MFPR01004474&amp;amp;lt;/RightHandSideExpression&amp;amp;gt;&amp;amp;lt;IsSubquery&amp;amp;gt;False&amp;amp;lt;/IsSubquery&amp;amp;gt;&amp;amp;lt;'"</definedName>
    <definedName name="_AMO_ContentDefinition_316789590.2325"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316789590.2326" hidden="1">"'lt;RightHandSideExpression xml:space=&amp;amp;quot;preserve&amp;amp;quot;&amp;amp;gt;MFPR01004475&amp;amp;lt;/RightHandSideExpression&amp;amp;gt;&amp;amp;lt;IsSubquery&amp;amp;gt;False&amp;amp;lt;/IsSubquery&amp;amp;gt;&amp;amp;lt;SubqueryTemplateName /&amp;amp;gt;&amp;amp;lt;/RHSItem&amp;amp;gt;&amp;amp;l'"</definedName>
    <definedName name="_AMO_ContentDefinition_316789590.2327" hidden="1">"'t;RHSItem&amp;amp;gt;&amp;amp;lt;RHSType&amp;amp;gt;EXPRESSION&amp;amp;lt;/RHSType&amp;amp;gt;&amp;amp;lt;AddQuotes&amp;amp;gt;True&amp;amp;lt;/AddQuotes&amp;amp;gt;&amp;amp;lt;DateFormat&amp;amp;gt;None&amp;amp;lt;/DateFormat&amp;amp;gt;&amp;amp;lt;RightHandSideExpression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316789590.2328" hidden="1">"'quot;&amp;amp;gt;MFPR01004478&amp;amp;lt;/RightHandSideExpression&amp;amp;gt;&amp;amp;lt;IsSubquery&amp;amp;gt;False&amp;amp;lt;/IsSubquery&amp;amp;gt;&amp;amp;lt;SubqueryTemplateName /&amp;amp;gt;&amp;amp;lt;/RHSItem&amp;amp;gt;&amp;amp;lt;RHSItem&amp;amp;gt;&amp;amp;lt;RHSType&amp;amp;gt;EXPRESSION&amp;amp;lt;/R'"</definedName>
    <definedName name="_AMO_ContentDefinition_316789590.2329" hidden="1">"'HSType&amp;amp;gt;&amp;amp;lt;AddQuotes&amp;amp;gt;True&amp;amp;lt;/AddQuotes&amp;amp;gt;&amp;amp;lt;DateFormat&amp;amp;gt;None&amp;amp;lt;/DateFormat&amp;amp;gt;&amp;amp;lt;RightHandSideExpression xml:space=&amp;amp;quot;preserve&amp;amp;quot;&amp;amp;gt;MFPR01004479&amp;amp;lt;/RightHandSideExpression&amp;am'"</definedName>
    <definedName name="_AMO_ContentDefinition_316789590.233" hidden="1">"'2939',&amp;amp;#xD;&amp;amp;#xA;'MFPR01002940',&amp;amp;#xD;&amp;amp;#xA;'MFPR01002942',&amp;amp;#xD;&amp;amp;#xA;'MFPR01002943',&amp;amp;#xD;&amp;amp;#xA;'MFPR01002944',&amp;amp;#xD;&amp;amp;#xA;'MFPR01002945',&amp;amp;#xD;&amp;amp;#xA;'MFPR01002950',&amp;amp;#xD;&amp;amp;#xA;'MFPR01002956',&amp;amp;#xD;&amp;amp;'"</definedName>
    <definedName name="_AMO_ContentDefinition_316789590.2330"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316789590.2331" hidden="1">"'s&amp;amp;gt;&amp;amp;lt;DateFormat&amp;amp;gt;None&amp;amp;lt;/DateFormat&amp;amp;gt;&amp;amp;lt;RightHandSideExpression xml:space=&amp;amp;quot;preserve&amp;amp;quot;&amp;amp;gt;MFPR01004480&amp;amp;lt;/RightHandSideExpression&amp;amp;gt;&amp;amp;lt;IsSubquery&amp;amp;gt;False&amp;amp;lt;/IsSubquery&amp;amp;'"</definedName>
    <definedName name="_AMO_ContentDefinition_316789590.2332"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316789590.2333" hidden="1">"'mp;gt;&amp;amp;lt;RightHandSideExpression xml:space=&amp;amp;quot;preserve&amp;amp;quot;&amp;amp;gt;MFPR01004481&amp;amp;lt;/RightHandSideExpression&amp;amp;gt;&amp;amp;lt;IsSubquery&amp;amp;gt;False&amp;amp;lt;/IsSubquery&amp;amp;gt;&amp;amp;lt;SubqueryTemplateName /&amp;amp;gt;&amp;amp;lt;/RHSItem&amp;am'"</definedName>
    <definedName name="_AMO_ContentDefinition_316789590.2334" hidden="1">"'p;gt;&amp;amp;lt;RHSItem&amp;amp;gt;&amp;amp;lt;RHSType&amp;amp;gt;EXPRESSION&amp;amp;lt;/RHSType&amp;amp;gt;&amp;amp;lt;AddQuotes&amp;amp;gt;True&amp;amp;lt;/AddQuotes&amp;amp;gt;&amp;amp;lt;DateFormat&amp;amp;gt;None&amp;amp;lt;/DateFormat&amp;amp;gt;&amp;amp;lt;RightHandSideExpression xml:space=&amp;amp;quot;pr'"</definedName>
    <definedName name="_AMO_ContentDefinition_316789590.2335" hidden="1">"'eserve&amp;amp;quot;&amp;amp;gt;MFPR01004482&amp;amp;lt;/RightHandSideExpression&amp;amp;gt;&amp;amp;lt;IsSubquery&amp;amp;gt;False&amp;amp;lt;/IsSubquery&amp;amp;gt;&amp;amp;lt;SubqueryTemplateName /&amp;amp;gt;&amp;amp;lt;/RHSItem&amp;amp;gt;&amp;amp;lt;RHSItem&amp;amp;gt;&amp;amp;lt;RHSType&amp;amp;gt;EXPRESSIO'"</definedName>
    <definedName name="_AMO_ContentDefinition_316789590.2336" hidden="1">"'N&amp;amp;lt;/RHSType&amp;amp;gt;&amp;amp;lt;AddQuotes&amp;amp;gt;True&amp;amp;lt;/AddQuotes&amp;amp;gt;&amp;amp;lt;DateFormat&amp;amp;gt;None&amp;amp;lt;/DateFormat&amp;amp;gt;&amp;amp;lt;RightHandSideExpression xml:space=&amp;amp;quot;preserve&amp;amp;quot;&amp;amp;gt;MFPR01004483&amp;amp;lt;/RightHandSideEx'"</definedName>
    <definedName name="_AMO_ContentDefinition_316789590.2337"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316789590.2338" hidden="1">"'t;/AddQuotes&amp;amp;gt;&amp;amp;lt;DateFormat&amp;amp;gt;None&amp;amp;lt;/DateFormat&amp;amp;gt;&amp;amp;lt;RightHandSideExpression xml:space=&amp;amp;quot;preserve&amp;amp;quot;&amp;amp;gt;MFPR01004486&amp;amp;lt;/RightHandSideExpression&amp;amp;gt;&amp;amp;lt;IsSubquery&amp;amp;gt;False&amp;amp;lt;/IsSu'"</definedName>
    <definedName name="_AMO_ContentDefinition_316789590.2339"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316789590.234" hidden="1">"'#xA;'MFPR01002960',&amp;amp;#xD;&amp;amp;#xA;'MFPR01002961',&amp;amp;#xD;&amp;amp;#xA;'MFPR01002965',&amp;amp;#xD;&amp;amp;#xA;'MFPR01002966',&amp;amp;#xD;&amp;amp;#xA;'MFPR01002967',&amp;amp;#xD;&amp;amp;#xA;'MFPR01002969',&amp;amp;#xD;&amp;amp;#xA;'MFPR01002970',&amp;amp;#xD;&amp;amp;#xA;'MFPR01002971',&amp;'"</definedName>
    <definedName name="_AMO_ContentDefinition_316789590.2340" hidden="1">"'ateFormat&amp;amp;gt;&amp;amp;lt;RightHandSideExpression xml:space=&amp;amp;quot;preserve&amp;amp;quot;&amp;amp;gt;MFPR01004487&amp;amp;lt;/RightHandSideExpression&amp;amp;gt;&amp;amp;lt;IsSubquery&amp;amp;gt;False&amp;amp;lt;/IsSubquery&amp;amp;gt;&amp;amp;lt;SubqueryTemplateName /&amp;amp;gt;&amp;amp;lt;'"</definedName>
    <definedName name="_AMO_ContentDefinition_316789590.2341" hidden="1">"'/RHSItem&amp;amp;gt;&amp;amp;lt;RHSItem&amp;amp;gt;&amp;amp;lt;RHSType&amp;amp;gt;EXPRESSION&amp;amp;lt;/RHSType&amp;amp;gt;&amp;amp;lt;AddQuotes&amp;amp;gt;True&amp;amp;lt;/AddQuotes&amp;amp;gt;&amp;amp;lt;DateFormat&amp;amp;gt;None&amp;amp;lt;/DateFormat&amp;amp;gt;&amp;amp;lt;RightHandSideExpression xml:space=&amp;'"</definedName>
    <definedName name="_AMO_ContentDefinition_316789590.2342" hidden="1">"'amp;quot;preserve&amp;amp;quot;&amp;amp;gt;MFPR01004488&amp;amp;lt;/RightHandSideExpression&amp;amp;gt;&amp;amp;lt;IsSubquery&amp;amp;gt;False&amp;amp;lt;/IsSubquery&amp;amp;gt;&amp;amp;lt;SubqueryTemplateName /&amp;amp;gt;&amp;amp;lt;/RHSItem&amp;amp;gt;&amp;amp;lt;RHSItem&amp;amp;gt;&amp;amp;lt;RHSType&amp;amp;g'"</definedName>
    <definedName name="_AMO_ContentDefinition_316789590.2343" hidden="1">"'t;EXPRESSION&amp;amp;lt;/RHSType&amp;amp;gt;&amp;amp;lt;AddQuotes&amp;amp;gt;True&amp;amp;lt;/AddQuotes&amp;amp;gt;&amp;amp;lt;DateFormat&amp;amp;gt;None&amp;amp;lt;/DateFormat&amp;amp;gt;&amp;amp;lt;RightHandSideExpression xml:space=&amp;amp;quot;preserve&amp;amp;quot;&amp;amp;gt;MFPR01004489&amp;amp;lt;/Righ'"</definedName>
    <definedName name="_AMO_ContentDefinition_316789590.2344" hidden="1">"'tHandSideExpression&amp;amp;gt;&amp;amp;lt;IsSubquery&amp;amp;gt;False&amp;amp;lt;/IsSubquery&amp;amp;gt;&amp;amp;lt;SubqueryTemplateName /&amp;amp;gt;&amp;amp;lt;/RHSItem&amp;amp;gt;&amp;amp;lt;/RightHandSideItems&amp;amp;gt;&amp;amp;lt;/RightHandSide&amp;amp;gt;&amp;amp;lt;IsCaseSensitive&amp;amp;gt;True&amp;amp'"</definedName>
    <definedName name="_AMO_ContentDefinition_316789590.2345" hidden="1">"';lt;/IsCaseSensitive&amp;amp;gt;&amp;amp;lt;/Node&amp;amp;gt;&amp;amp;lt;/SiblingLink&amp;amp;gt;&amp;amp;lt;Operator&amp;amp;gt;IN&amp;amp;lt;/Operator&amp;amp;gt;&amp;amp;lt;UseMacroFunction&amp;amp;gt;False&amp;amp;lt;/UseMacroFunction&amp;amp;gt;&amp;amp;lt;Not&amp;amp;gt;False&amp;amp;lt;/Not&amp;amp;gt;&amp;amp;lt;L'"</definedName>
    <definedName name="_AMO_ContentDefinition_316789590.2346" hidden="1">"'abel /&amp;amp;gt;&amp;amp;lt;RightHandSide&amp;amp;gt;&amp;amp;lt;RightHandSideNumType&amp;amp;gt;LIST&amp;amp;lt;/RightHandSideNumType&amp;amp;gt;&amp;amp;lt;RightHandSideItems&amp;amp;gt;&amp;amp;lt;RHSItem&amp;amp;gt;&amp;amp;lt;RHSType&amp;amp;gt;EXPRESSION&amp;amp;lt;/RHSType&amp;amp;gt;&amp;amp;lt;AddQuotes'"</definedName>
    <definedName name="_AMO_ContentDefinition_316789590.2347" hidden="1">"'&amp;amp;gt;True&amp;amp;lt;/AddQuotes&amp;amp;gt;&amp;amp;lt;DateFormat&amp;amp;gt;None&amp;amp;lt;/DateFormat&amp;amp;gt;&amp;amp;lt;RightHandSideExpression xml:space=&amp;amp;quot;preserve&amp;amp;quot;&amp;amp;gt;M&amp;amp;lt;/RightHandSideExpression&amp;amp;gt;&amp;amp;lt;IsSubquery&amp;amp;gt;False&amp;amp;l'"</definedName>
    <definedName name="_AMO_ContentDefinition_316789590.2348" hidden="1">"'t;/IsSubquery&amp;amp;gt;&amp;amp;lt;SubqueryTemplateName /&amp;amp;gt;&amp;amp;lt;/RHSItem&amp;amp;gt;&amp;amp;lt;/RightHandSideItems&amp;amp;gt;&amp;amp;lt;/RightHandSide&amp;amp;gt;&amp;amp;lt;IsCaseSensitive&amp;amp;gt;True&amp;amp;lt;/IsCaseSensitive&amp;amp;gt;&amp;amp;lt;/Node&amp;amp;gt;&amp;amp;lt;/Siblin'"</definedName>
    <definedName name="_AMO_ContentDefinition_316789590.2349" hidden="1">"'gLink&amp;amp;gt;&amp;amp;lt;Operator&amp;amp;gt;&amp;amp;amp;gt;=&amp;amp;lt;/Operator&amp;amp;gt;&amp;amp;lt;UseMacroFunction&amp;amp;gt;False&amp;amp;lt;/UseMacroFunction&amp;amp;gt;&amp;amp;lt;Not&amp;amp;gt;False&amp;amp;lt;/Not&amp;amp;gt;&amp;amp;lt;Label /&amp;amp;gt;&amp;amp;lt;RightHandSide&amp;amp;gt;&amp;amp;lt;Ri'"</definedName>
    <definedName name="_AMO_ContentDefinition_316789590.235" hidden="1">"'amp;#xD;&amp;amp;#xA;'MFPR01002972',&amp;amp;#xD;&amp;amp;#xA;'MFPR01002977',&amp;amp;#xD;&amp;amp;#xA;'MFPR01002984',&amp;amp;#xD;&amp;amp;#xA;'MFPR01002988',&amp;amp;#xD;&amp;amp;#xA;'MFPR01002989',&amp;amp;#xD;&amp;amp;#xA;'MFPR01002990',&amp;amp;#xD;&amp;amp;#xA;'MFPR01002998',&amp;amp;#xD;&amp;amp;#xA;'MF'"</definedName>
    <definedName name="_AMO_ContentDefinition_316789590.2350" hidden="1">"'ghtHandSideNumType&amp;amp;gt;SINGLE&amp;amp;lt;/RightHandSideNumType&amp;amp;gt;&amp;amp;lt;RightHandSideItems&amp;amp;gt;&amp;amp;lt;RHSItem&amp;amp;gt;&amp;amp;lt;RHSType&amp;amp;gt;EXPRESSION&amp;amp;lt;/RHSType&amp;amp;gt;&amp;amp;lt;AddQuotes&amp;amp;gt;False&amp;amp;lt;/AddQuotes&amp;amp;gt;&amp;amp;lt;Date'"</definedName>
    <definedName name="_AMO_ContentDefinition_316789590.2351" hidden="1">"'Format&amp;amp;gt;Literal&amp;amp;lt;/DateFormat&amp;amp;gt;&amp;amp;lt;RightHandSideExpression xml:space=&amp;amp;quot;preserve&amp;amp;quot;&amp;amp;gt;12/31/2019&amp;amp;lt;/RightHandSideExpression&amp;amp;gt;&amp;amp;lt;IsSubquery&amp;amp;gt;False&amp;amp;lt;/IsSubquery&amp;amp;gt;&amp;amp;lt;SubqueryT'"</definedName>
    <definedName name="_AMO_ContentDefinition_316789590.2352" hidden="1">"'emplateName /&amp;amp;gt;&amp;amp;lt;/RHSItem&amp;amp;gt;&amp;amp;lt;/RightHandSideItems&amp;amp;gt;&amp;amp;lt;/RightHandSide&amp;amp;gt;&amp;amp;lt;IsCaseSensitive&amp;amp;gt;True&amp;amp;lt;/IsCaseSensitive&amp;amp;gt;&amp;amp;lt;/Node&amp;amp;gt;&amp;amp;lt;/SiblingLink&amp;amp;gt;&amp;amp;lt;Operator&amp;amp;gt;I'"</definedName>
    <definedName name="_AMO_ContentDefinition_316789590.2353" hidden="1">"'N&amp;amp;lt;/Operator&amp;amp;gt;&amp;amp;lt;UseMacroFunction&amp;amp;gt;False&amp;amp;lt;/UseMacroFunction&amp;amp;gt;&amp;amp;lt;Not&amp;amp;gt;False&amp;amp;lt;/Not&amp;amp;gt;&amp;amp;lt;Label /&amp;amp;gt;&amp;amp;lt;RightHandSide&amp;amp;gt;&amp;amp;lt;RightHandSideNumType&amp;amp;gt;LIST&amp;amp;lt;/RightHandS'"</definedName>
    <definedName name="_AMO_ContentDefinition_316789590.2354" hidden="1">"'ideNumType&amp;amp;gt;&amp;amp;lt;RightHandSideItems&amp;amp;gt;&amp;amp;lt;RHSItem&amp;amp;gt;&amp;amp;lt;RHSType&amp;amp;gt;EXPRESSION&amp;amp;lt;/RHSType&amp;amp;gt;&amp;amp;lt;AddQuotes&amp;amp;gt;True&amp;amp;lt;/AddQuotes&amp;amp;gt;&amp;amp;lt;DateFormat&amp;amp;gt;None&amp;amp;lt;/DateFormat&amp;amp;gt;&amp;amp;lt'"</definedName>
    <definedName name="_AMO_ContentDefinition_316789590.2355" hidden="1">"';RightHandSideExpression xml:space=&amp;amp;quot;preserve&amp;amp;quot;&amp;amp;gt;Country&amp;amp;lt;/RightHandSideExpression&amp;amp;gt;&amp;amp;lt;IsSubquery&amp;amp;gt;False&amp;amp;lt;/IsSubquery&amp;amp;gt;&amp;amp;lt;SubqueryTemplateName /&amp;amp;gt;&amp;amp;lt;/RHSItem&amp;amp;gt;&amp;amp;lt;/Righ'"</definedName>
    <definedName name="_AMO_ContentDefinition_316789590.2356" hidden="1">"'tHandSideItems&amp;amp;gt;&amp;amp;lt;/RightHandSide&amp;amp;gt;&amp;amp;lt;IsCaseSensitive&amp;amp;gt;True&amp;amp;lt;/IsCaseSensitive&amp;amp;gt;&amp;amp;lt;/TreeRoot&amp;amp;gt;&amp;amp;lt;/FilterTree&amp;amp;gt;&amp;quot; Sort=&amp;quot;country_cd DESC,  entity_id ASC,  indicator_id ASC,  submitted'"</definedName>
    <definedName name="_AMO_ContentDefinition_316789590.2357" hidden="1">"'_dttm DESC&amp;quot; ColSelFlg=&amp;quot;0&amp;quot; DNA=&amp;quot;&amp;amp;lt;DNA&amp;amp;gt;&amp;amp;#xD;&amp;amp;#xA;  &amp;amp;lt;Type&amp;amp;gt;Dataset&amp;amp;lt;/Type&amp;amp;gt;&amp;amp;#xD;&amp;amp;#xA;  &amp;amp;lt;Name&amp;amp;gt;validation_metrics_prior10_view&amp;amp;lt;/Name&amp;amp;gt;&amp;amp;#xD;&amp;amp;#xA;  &amp;'"</definedName>
    <definedName name="_AMO_ContentDefinition_316789590.2358" hidden="1">"'amp;lt;Version&amp;amp;gt;1&amp;amp;lt;/Version&amp;amp;gt;&amp;amp;#xD;&amp;amp;#xA;  &amp;amp;lt;Assembly&amp;amp;gt;SAS.EG.SDS.Model&amp;amp;lt;/Assembly&amp;amp;gt;&amp;amp;#xD;&amp;amp;#xA;  &amp;amp;lt;Factory&amp;amp;gt;SAS.EG.SDS.Model.Creator&amp;amp;lt;/Factory&amp;amp;gt;&amp;amp;#xD;&amp;amp;#xA;  &amp;amp;lt;'"</definedName>
    <definedName name="_AMO_ContentDefinition_316789590.2359" hidden="1">"'ParentName&amp;amp;gt;Metrics Data&amp;amp;lt;/ParentName&amp;amp;gt;&amp;amp;#xD;&amp;amp;#xA;  &amp;amp;lt;Server&amp;amp;gt;SASApp&amp;amp;lt;/Server&amp;amp;gt;&amp;amp;#xD;&amp;amp;#xA;  &amp;amp;lt;Library&amp;amp;gt;Metrics Data&amp;amp;lt;/Library&amp;amp;gt;&amp;amp;#xD;&amp;amp;#xA;  &amp;amp;lt;ParentDNA&amp;amp;gt'"</definedName>
    <definedName name="_AMO_ContentDefinition_316789590.236" hidden="1">"'PR01003009',&amp;amp;#xD;&amp;amp;#xA;'MFPR01003010',&amp;amp;#xD;&amp;amp;#xA;'MFPR01003011',&amp;amp;#xD;&amp;amp;#xA;'MFPR01003013',&amp;amp;#xD;&amp;amp;#xA;'MFPR01003014',&amp;amp;#xD;&amp;amp;#xA;'MFPR01003015',&amp;amp;#xD;&amp;amp;#xA;'MFPR01003016',&amp;amp;#xD;&amp;amp;#xA;'MFPR01003021',&amp;amp;#xD'"</definedName>
    <definedName name="_AMO_ContentDefinition_316789590.2360" hidden="1">"';&amp;amp;amp;lt;DNA&amp;amp;amp;gt;&amp;amp;#xD;&amp;amp;#xA;  &amp;amp;amp;lt;Type&amp;amp;amp;gt;Library&amp;amp;amp;lt;/Type&amp;amp;amp;gt;&amp;amp;#xD;&amp;amp;#xA;  &amp;amp;amp;lt;Name&amp;amp;amp;gt;Metrics Data&amp;amp;amp;lt;/Name&amp;amp;amp;gt;&amp;amp;#xD;&amp;amp;#xA;  &amp;amp;amp;lt;Version&amp;amp;amp;gt'"</definedName>
    <definedName name="_AMO_ContentDefinition_316789590.2361" hidden="1">"';1&amp;amp;amp;lt;/Version&amp;amp;amp;gt;&amp;amp;#xD;&amp;amp;#xA;  &amp;amp;amp;lt;Assembly&amp;amp;amp;gt;SAS.EG.SDS.Model&amp;amp;amp;lt;/Assembly&amp;amp;amp;gt;&amp;amp;#xD;&amp;amp;#xA;  &amp;amp;amp;lt;Factory&amp;amp;amp;gt;SAS.EG.SDS.Model.Creator&amp;amp;amp;lt;/Factory&amp;amp;amp;gt;&amp;amp;#xD;'"</definedName>
    <definedName name="_AMO_ContentDefinition_316789590.2362" hidden="1">"'&amp;amp;#xA;  &amp;amp;amp;lt;ParentName&amp;amp;amp;gt;SASApp&amp;amp;amp;lt;/ParentName&amp;amp;amp;gt;&amp;amp;#xD;&amp;amp;#xA;  &amp;amp;amp;lt;DisplayName&amp;amp;amp;gt;Metrics Data&amp;amp;amp;lt;/DisplayName&amp;amp;amp;gt;&amp;amp;#xD;&amp;amp;#xA;  &amp;amp;amp;lt;Server&amp;amp;amp;gt;SASApp&amp;amp;a'"</definedName>
    <definedName name="_AMO_ContentDefinition_316789590.2363" hidden="1">"'mp;lt;/Server&amp;amp;amp;gt;&amp;amp;#xD;&amp;amp;#xA;&amp;amp;amp;lt;/DNA&amp;amp;amp;gt;&amp;amp;lt;/ParentDNA&amp;amp;gt;&amp;amp;#xD;&amp;amp;#xA;&amp;amp;lt;/DNA&amp;amp;gt;&amp;quot; Name=&amp;quot;validation_metrics_prior10_view&amp;quot;&amp;gt;&amp;#xD;&amp;#xA;&amp;lt;Cols&amp;gt;&amp;#xD;&amp;#xA;&amp;lt;cn&amp;gt;entity_id&amp;lt;/c'"</definedName>
    <definedName name="_AMO_ContentDefinition_316789590.2364" hidden="1">"'n&amp;gt;&amp;#xD;&amp;#xA;&amp;lt;cn&amp;gt;entity_short_nm&amp;lt;/cn&amp;gt;&amp;#xD;&amp;#xA;&amp;lt;cn&amp;gt;indicator_id&amp;lt;/cn&amp;gt;&amp;#xD;&amp;#xA;&amp;lt;cn&amp;gt;output_label&amp;lt;/cn&amp;gt;&amp;#xD;&amp;#xA;&amp;lt;cn&amp;gt;date_dt&amp;lt;/cn&amp;gt;&amp;#xD;&amp;#xA;&amp;lt;cn&amp;gt;reporting_amount&amp;lt;/cn&amp;gt;&amp;#xD;&amp;#xA;&amp;lt;/Cols&amp;gt;&amp;#xD;&amp;'"</definedName>
    <definedName name="_AMO_ContentDefinition_316789590.2365" hidden="1">"'#xA;&amp;lt;ColOrd&amp;gt;&amp;#xD;&amp;#xA;&amp;lt;cn&amp;gt;entity_id&amp;lt;/cn&amp;gt;&amp;#xD;&amp;#xA;&amp;lt;cn&amp;gt;entity_short_nm&amp;lt;/cn&amp;gt;&amp;#xD;&amp;#xA;&amp;lt;cn&amp;gt;indicator_id&amp;lt;/cn&amp;gt;&amp;#xD;&amp;#xA;&amp;lt;cn&amp;gt;output_label&amp;lt;/cn&amp;gt;&amp;#xD;&amp;#xA;&amp;lt;cn&amp;gt;date_dt&amp;lt;/cn&amp;gt;&amp;#xD;&amp;#xA;&amp;lt;cn&amp;gt;rep'"</definedName>
    <definedName name="_AMO_ContentDefinition_316789590.2366" hidden="1">"'orting_amount&amp;lt;/cn&amp;gt;&amp;#xD;&amp;#xA;&amp;lt;cn&amp;gt;frequency_nm&amp;lt;/cn&amp;gt;&amp;#xD;&amp;#xA;&amp;lt;cn&amp;gt;frequency_cd&amp;lt;/cn&amp;gt;&amp;#xD;&amp;#xA;&amp;lt;cn&amp;gt;status_cd&amp;lt;/cn&amp;gt;&amp;#xD;&amp;#xA;&amp;lt;cn&amp;gt;submitted_dttm&amp;lt;/cn&amp;gt;&amp;#xD;&amp;#xA;&amp;lt;cn&amp;gt;macro_data_cd&amp;lt;/cn&amp;gt;&amp;#xD;&amp;#xA;&amp;l'"</definedName>
    <definedName name="_AMO_ContentDefinition_316789590.2367" hidden="1">"'t;cn&amp;gt;unit&amp;lt;/cn&amp;gt;&amp;#xD;&amp;#xA;&amp;lt;cn&amp;gt;type&amp;lt;/cn&amp;gt;&amp;#xD;&amp;#xA;&amp;lt;cn&amp;gt;year_quarter_nm&amp;lt;/cn&amp;gt;&amp;#xD;&amp;#xA;&amp;lt;cn&amp;gt;year_month_nm&amp;lt;/cn&amp;gt;&amp;#xD;&amp;#xA;&amp;lt;cn&amp;gt;calendar_date_sas&amp;lt;/cn&amp;gt;&amp;#xD;&amp;#xA;&amp;lt;cn&amp;gt;country_cd&amp;lt;/cn&amp;gt;&amp;#xD;&amp;#xA;&amp;lt;'"</definedName>
    <definedName name="_AMO_ContentDefinition_316789590.2368" hidden="1">"'cn&amp;gt;entity_submitter_type&amp;lt;/cn&amp;gt;&amp;#xD;&amp;#xA;&amp;lt;cn&amp;gt;vgroup_fl&amp;lt;/cn&amp;gt;&amp;#xD;&amp;#xA;&amp;lt;cn&amp;gt;fiscal_year_end_mo&amp;lt;/cn&amp;gt;&amp;#xD;&amp;#xA;&amp;lt;cn&amp;gt;country_nm&amp;lt;/cn&amp;gt;&amp;#xD;&amp;#xA;&amp;lt;cn&amp;gt;form_id&amp;lt;/cn&amp;gt;&amp;#xD;&amp;#xA;&amp;lt;cn&amp;gt;form_nm&amp;lt;/cn&amp;gt;&amp;#xD;&amp;#'"</definedName>
    <definedName name="_AMO_ContentDefinition_316789590.2369" hidden="1">"'xA;&amp;lt;/ColOrd&amp;gt;&amp;#xD;&amp;#xA;&amp;lt;/SasDataSource&amp;gt;"" /&gt;_x000D_
  &lt;param n=""ExcelTableColumnCount"" v=""6"" /&gt;_x000D_
  &lt;param n=""ExcelTableRowCount"" v=""103000"" /&gt;_x000D_
  &lt;param n=""DataRowCount"" v=""103000"" /&gt;_x000D_
  &lt;param n=""DataColCount"" v=""6"" /&gt;_x000D_
  &lt;par'"</definedName>
    <definedName name="_AMO_ContentDefinition_316789590.237" hidden="1">"';&amp;amp;#xA;'MFPR01003027',&amp;amp;#xD;&amp;amp;#xA;'MFPR01003031',&amp;amp;#xD;&amp;amp;#xA;'MFPR01003032',&amp;amp;#xD;&amp;amp;#xA;'MFPR01003036',&amp;amp;#xD;&amp;amp;#xA;'MFPR01003037',&amp;amp;#xD;&amp;amp;#xA;'MFPR01003038',&amp;amp;#xD;&amp;amp;#xA;'MFPR01003040',&amp;amp;#xD;&amp;amp;#xA;'MFPR01003'"</definedName>
    <definedName name="_AMO_ContentDefinition_316789590.2370" hidden="1">"'am n=""ObsColumn"" v=""false"" /&gt;_x000D_
  &lt;param n=""ExcelFormattingHash"" v=""-150476382"" /&gt;_x000D_
  &lt;param n=""ExcelFormatting"" v=""Automatic"" /&gt;_x000D_
  &lt;ExcelXMLOptions AdjColWidths=""True"" RowOpt=""InsertCells"" ColOpt=""InsertCells"" /&gt;_x000D_
&lt;/'"</definedName>
    <definedName name="_AMO_ContentDefinition_316789590.2371" hidden="1">"'ContentDefinition&gt;'"</definedName>
    <definedName name="_AMO_ContentDefinition_316789590.238" hidden="1">"'041',&amp;amp;#xD;&amp;amp;#xA;'MFPR01003042',&amp;amp;#xD;&amp;amp;#xA;'MFPR01003043',&amp;amp;#xD;&amp;amp;#xA;'MFPR01003048',&amp;amp;#xD;&amp;amp;#xA;'MFPR01003055',&amp;amp;#xD;&amp;amp;#xA;'MFPR01003059',&amp;amp;#xD;&amp;amp;#xA;'MFPR01003060',&amp;amp;#xD;&amp;amp;#xA;'MFPR01003061',&amp;amp;#xD;&amp;amp;#'"</definedName>
    <definedName name="_AMO_ContentDefinition_316789590.239" hidden="1">"'xA;'MFPR01003069',&amp;amp;#xD;&amp;amp;#xA;'MFPR01003080',&amp;amp;#xD;&amp;amp;#xA;'MFPR01003083',&amp;amp;#xD;&amp;amp;#xA;'MFPR01003086',&amp;amp;#xD;&amp;amp;#xA;'MFPR01003088',&amp;amp;#xD;&amp;amp;#xA;'MFPR01003089',&amp;amp;#xD;&amp;amp;#xA;'MFPR01003090',&amp;amp;#xD;&amp;amp;#xA;'MFPR01003091',&amp;a'"</definedName>
    <definedName name="_AMO_ContentDefinition_316789590.24" hidden="1">"';&amp;#xA;'MFPR01001013',&amp;#xD;&amp;#xA;'MFPR01001019',&amp;#xD;&amp;#xA;'MFPR01001023',&amp;#xD;&amp;#xA;'MFPR01001024',&amp;#xD;&amp;#xA;'MFPR01001028',&amp;#xD;&amp;#xA;'MFPR01001029',&amp;#xD;&amp;#xA;'MFPR01001030',&amp;#xD;&amp;#xA;'MFPR01001032',&amp;#xD;&amp;#xA;'MFPR01001033',&amp;#xD;&amp;#xA;'MFPR01001034',&amp;#xD;'"</definedName>
    <definedName name="_AMO_ContentDefinition_316789590.240" hidden="1">"'mp;#xD;&amp;amp;#xA;'MFPR01003096',&amp;amp;#xD;&amp;amp;#xA;'MFPR01003102',&amp;amp;#xD;&amp;amp;#xA;'MFPR01003106',&amp;amp;#xD;&amp;amp;#xA;'MFPR01003110',&amp;amp;#xD;&amp;amp;#xA;'MFPR01003113',&amp;amp;#xD;&amp;amp;#xA;'MFPR01003116',&amp;amp;#xD;&amp;amp;#xA;'MFPR01003118',&amp;amp;#xD;&amp;amp;#xA;'MFP'"</definedName>
    <definedName name="_AMO_ContentDefinition_316789590.241" hidden="1">"'R01003119',&amp;amp;#xD;&amp;amp;#xA;'MFPR01003120',&amp;amp;#xD;&amp;amp;#xA;'MFPR01003121',&amp;amp;#xD;&amp;amp;#xA;'MFPR01003126',&amp;amp;#xD;&amp;amp;#xA;'MFPR01003133',&amp;amp;#xD;&amp;amp;#xA;'MFPR01003137',&amp;amp;#xD;&amp;amp;#xA;'MFPR01003138',&amp;amp;#xD;&amp;amp;#xA;'MFPR01003145',&amp;amp;#xD;'"</definedName>
    <definedName name="_AMO_ContentDefinition_316789590.242" hidden="1">"'&amp;amp;#xA;'MFPR01003158',&amp;amp;#xD;&amp;amp;#xA;'MFPR01003159',&amp;amp;#xD;&amp;amp;#xA;'MFPR01003163',&amp;amp;#xD;&amp;amp;#xA;'MFPR01003169',&amp;amp;#xD;&amp;amp;#xA;'MFPR01003176',&amp;amp;#xD;&amp;amp;#xA;'MFPR01003178',&amp;amp;#xD;&amp;amp;#xA;'MFPR01003179',&amp;amp;#xD;&amp;amp;#xA;'MFPR010031'"</definedName>
    <definedName name="_AMO_ContentDefinition_316789590.243" hidden="1">"'80',&amp;amp;#xD;&amp;amp;#xA;'MFPR01003181',&amp;amp;#xD;&amp;amp;#xA;'MFPR01003185',&amp;amp;#xD;&amp;amp;#xA;'MFPR01003192',&amp;amp;#xD;&amp;amp;#xA;'MFPR01003196',&amp;amp;#xD;&amp;amp;#xA;'MFPR01003197',&amp;amp;#xD;&amp;amp;#xA;'MFPR01003204',&amp;amp;#xD;&amp;amp;#xA;'MFPR01003213',&amp;amp;#xD;&amp;amp;#x'"</definedName>
    <definedName name="_AMO_ContentDefinition_316789590.244" hidden="1">"'A;'MFPR01003215',&amp;amp;#xD;&amp;amp;#xA;'MFPR01003216',&amp;amp;#xD;&amp;amp;#xA;'MFPR01003217',&amp;amp;#xD;&amp;amp;#xA;'MFPR01003218',&amp;amp;#xD;&amp;amp;#xA;'MFPR01003223',&amp;amp;#xD;&amp;amp;#xA;'MFPR01003229',&amp;amp;#xD;&amp;amp;#xA;'MFPR01003233',&amp;amp;#xD;&amp;amp;#xA;'MFPR01003236',&amp;am'"</definedName>
    <definedName name="_AMO_ContentDefinition_316789590.245" hidden="1">"'p;#xD;&amp;amp;#xA;'MFPR01003238',&amp;amp;#xD;&amp;amp;#xA;'MFPR01003239',&amp;amp;#xD;&amp;amp;#xA;'MFPR01003240',&amp;amp;#xD;&amp;amp;#xA;'MFPR01003241',&amp;amp;#xD;&amp;amp;#xA;'MFPR01003246',&amp;amp;#xD;&amp;amp;#xA;'MFPR01003253',&amp;amp;#xD;&amp;amp;#xA;'MFPR01003257',&amp;amp;#xD;&amp;amp;#xA;'MFPR'"</definedName>
    <definedName name="_AMO_ContentDefinition_316789590.246" hidden="1">"'01003258',&amp;amp;#xD;&amp;amp;#xA;'MFPR01003265',&amp;amp;#xD;&amp;amp;#xA;'MFPR01003274',&amp;amp;#xD;&amp;amp;#xA;'MFPR01003281',&amp;amp;#xD;&amp;amp;#xA;'MFPR01003283',&amp;amp;#xD;&amp;amp;#xA;'MFPR01003284',&amp;amp;#xD;&amp;amp;#xA;'MFPR01003285',&amp;amp;#xD;&amp;amp;#xA;'MFPR01003286',&amp;amp;#xD;&amp;'"</definedName>
    <definedName name="_AMO_ContentDefinition_316789590.247" hidden="1">"'amp;#xA;'MFPR01003291',&amp;amp;#xD;&amp;amp;#xA;'MFPR01003297',&amp;amp;#xD;&amp;amp;#xA;'MFPR01003301',&amp;amp;#xD;&amp;amp;#xA;'MFPR01003305',&amp;amp;#xD;&amp;amp;#xA;'MFPR01003308',&amp;amp;#xD;&amp;amp;#xA;'MFPR01003311',&amp;amp;#xD;&amp;amp;#xA;'MFPR01003313',&amp;amp;#xD;&amp;amp;#xA;'MFPR0100331'"</definedName>
    <definedName name="_AMO_ContentDefinition_316789590.248" hidden="1">"'4',&amp;amp;#xD;&amp;amp;#xA;'MFPR01003315',&amp;amp;#xD;&amp;amp;#xA;'MFPR01003316',&amp;amp;#xD;&amp;amp;#xA;'MFPR01003321',&amp;amp;#xD;&amp;amp;#xA;'MFPR01003328',&amp;amp;#xD;&amp;amp;#xA;'MFPR01003332',&amp;amp;#xD;&amp;amp;#xA;'MFPR01003333',&amp;amp;#xD;&amp;amp;#xA;'MFPR01003340',&amp;amp;#xD;&amp;amp;#xA'"</definedName>
    <definedName name="_AMO_ContentDefinition_316789590.249" hidden="1">"';'MFPR01003350',&amp;amp;#xD;&amp;amp;#xA;'MFPR01003353',&amp;amp;#xD;&amp;amp;#xA;'MFPR01003356',&amp;amp;#xD;&amp;amp;#xA;'MFPR01003358',&amp;amp;#xD;&amp;amp;#xA;'MFPR01003359',&amp;amp;#xD;&amp;amp;#xA;'MFPR01003360',&amp;amp;#xD;&amp;amp;#xA;'MFPR01003361',&amp;amp;#xD;&amp;amp;#xA;'MFPR01003366',&amp;amp'"</definedName>
    <definedName name="_AMO_ContentDefinition_316789590.25" hidden="1">"'&amp;#xA;'MFPR01001035',&amp;#xD;&amp;#xA;'MFPR01001039',&amp;#xD;&amp;#xA;'MFPR01001046',&amp;#xD;&amp;#xA;'MFPR01001050',&amp;#xD;&amp;#xA;'MFPR01001051',&amp;#xD;&amp;#xA;'MFPR01001052',&amp;#xD;&amp;#xA;'MFPR01001060',&amp;#xD;&amp;#xA;'MFPR01001071',&amp;#xD;&amp;#xA;'MFPR01001072',&amp;#xD;&amp;#xA;'MFPR01001073',&amp;#xD;&amp;'"</definedName>
    <definedName name="_AMO_ContentDefinition_316789590.250" hidden="1">"';#xD;&amp;amp;#xA;'MFPR01003372',&amp;amp;#xD;&amp;amp;#xA;'MFPR01003380',&amp;amp;#xD;&amp;amp;#xA;'MFPR01003383',&amp;amp;#xD;&amp;amp;#xA;'MFPR01003386',&amp;amp;#xD;&amp;amp;#xA;'MFPR01003388',&amp;amp;#xD;&amp;amp;#xA;'MFPR01003389',&amp;amp;#xD;&amp;amp;#xA;'MFPR01003390',&amp;amp;#xD;&amp;amp;#xA;'MFPR0'"</definedName>
    <definedName name="_AMO_ContentDefinition_316789590.251" hidden="1">"'1003391',&amp;amp;#xD;&amp;amp;#xA;'MFPR01003396',&amp;amp;#xD;&amp;amp;#xA;'MFPR01003403',&amp;amp;#xD;&amp;amp;#xA;'MFPR01003407',&amp;amp;#xD;&amp;amp;#xA;'MFPR01003408',&amp;amp;#xD;&amp;amp;#xA;'MFPR01003415',&amp;amp;#xD;&amp;amp;#xA;'MFPR01003428',&amp;amp;#xD;&amp;amp;#xA;'MFPR01003429',&amp;amp;#xD;&amp;a'"</definedName>
    <definedName name="_AMO_ContentDefinition_316789590.252" hidden="1">"'mp;#xA;'MFPR01003433',&amp;amp;#xD;&amp;amp;#xA;'MFPR01003446',&amp;amp;#xD;&amp;amp;#xA;'MFPR01003448',&amp;amp;#xD;&amp;amp;#xA;'MFPR01003449',&amp;amp;#xD;&amp;amp;#xA;'MFPR01003450',&amp;amp;#xD;&amp;amp;#xA;'MFPR01003451',&amp;amp;#xD;&amp;amp;#xA;'MFPR01003455',&amp;amp;#xD;&amp;amp;#xA;'MFPR01003462'"</definedName>
    <definedName name="_AMO_ContentDefinition_316789590.253" hidden="1">"'',&amp;amp;#xD;&amp;amp;#xA;'MFPR01003466',&amp;amp;#xD;&amp;amp;#xA;'MFPR01003467',&amp;amp;#xD;&amp;amp;#xA;'MFPR01003473',&amp;amp;#xD;&amp;amp;#xA;'MFPR01003481',&amp;amp;#xD;&amp;amp;#xA;'MFPR01003483',&amp;amp;#xD;&amp;amp;#xA;'MFPR01003484',&amp;amp;#xD;&amp;amp;#xA;'MFPR01003485',&amp;amp;#xD;&amp;amp;#xA;'"</definedName>
    <definedName name="_AMO_ContentDefinition_316789590.254" hidden="1">"''MFPR01003486',&amp;amp;#xD;&amp;amp;#xA;'MFPR01003491',&amp;amp;#xD;&amp;amp;#xA;'MFPR01003497',&amp;amp;#xD;&amp;amp;#xA;'MFPR01003504',&amp;amp;#xD;&amp;amp;#xA;'MFPR01003506',&amp;amp;#xD;&amp;amp;#xA;'MFPR01003507',&amp;amp;#xD;&amp;amp;#xA;'MFPR01003508',&amp;amp;#xD;&amp;amp;#xA;'MFPR01003509',&amp;amp;'"</definedName>
    <definedName name="_AMO_ContentDefinition_316789590.255" hidden="1">"'#xD;&amp;amp;#xA;'MFPR01003514',&amp;amp;#xD;&amp;amp;#xA;'MFPR01003521',&amp;amp;#xD;&amp;amp;#xA;'MFPR01003525',&amp;amp;#xD;&amp;amp;#xA;'MFPR01003526',&amp;amp;#xD;&amp;amp;#xA;'MFPR01003532',&amp;amp;#xD;&amp;amp;#xA;'MFPR01003540',&amp;amp;#xD;&amp;amp;#xA;'MFPR01003547',&amp;amp;#xD;&amp;amp;#xA;'MFPR01'"</definedName>
    <definedName name="_AMO_ContentDefinition_316789590.256" hidden="1">"'003549',&amp;amp;#xD;&amp;amp;#xA;'MFPR01003550',&amp;amp;#xD;&amp;amp;#xA;'MFPR01003551',&amp;amp;#xD;&amp;amp;#xA;'MFPR01003552',&amp;amp;#xD;&amp;amp;#xA;'MFPR01003557',&amp;amp;#xD;&amp;amp;#xA;'MFPR01003563',&amp;amp;#xD;&amp;amp;#xA;'MFPR01003567',&amp;amp;#xD;&amp;amp;#xA;'MFPR01003571',&amp;amp;#xD;&amp;am'"</definedName>
    <definedName name="_AMO_ContentDefinition_316789590.257" hidden="1">"'p;#xA;'MFPR01003574',&amp;amp;#xD;&amp;amp;#xA;'MFPR01003577',&amp;amp;#xD;&amp;amp;#xA;'MFPR01003579',&amp;amp;#xD;&amp;amp;#xA;'MFPR01003580',&amp;amp;#xD;&amp;amp;#xA;'MFPR01003581',&amp;amp;#xD;&amp;amp;#xA;'MFPR01003582',&amp;amp;#xD;&amp;amp;#xA;'MFPR01003587',&amp;amp;#xD;&amp;amp;#xA;'MFPR01003594''"</definedName>
    <definedName name="_AMO_ContentDefinition_316789590.258" hidden="1">"',&amp;amp;#xD;&amp;amp;#xA;'MFPR01003598',&amp;amp;#xD;&amp;amp;#xA;'MFPR01003599',&amp;amp;#xD;&amp;amp;#xA;'MFPR01003606',&amp;amp;#xD;&amp;amp;#xA;'MFPR01004148',&amp;amp;#xD;&amp;amp;#xA;'MFPR01004149',&amp;amp;#xD;&amp;amp;#xA;'MFPR01004150',&amp;amp;#xD;&amp;amp;#xA;'MFPR01004152',&amp;amp;#xD;&amp;amp;#xA;''"</definedName>
    <definedName name="_AMO_ContentDefinition_316789590.259" hidden="1">"'MFPR01004153',&amp;amp;#xD;&amp;amp;#xA;'MFPR01004154',&amp;amp;#xD;&amp;amp;#xA;'MFPR01004155',&amp;amp;#xD;&amp;amp;#xA;'MFPR01004160',&amp;amp;#xD;&amp;amp;#xA;'MFPR01004166',&amp;amp;#xD;&amp;amp;#xA;'MFPR01004170',&amp;amp;#xD;&amp;amp;#xA;'MFPR01004171',&amp;amp;#xD;&amp;amp;#xA;'MFPR01004175',&amp;amp;#'"</definedName>
    <definedName name="_AMO_ContentDefinition_316789590.26" hidden="1">"'#xA;'MFPR01001075',&amp;#xD;&amp;#xA;'MFPR01001076',&amp;#xD;&amp;#xA;'MFPR01001077',&amp;#xD;&amp;#xA;'MFPR01001078',&amp;#xD;&amp;#xA;'MFPR01001082',&amp;#xD;&amp;#xA;'MFPR01001088',&amp;#xD;&amp;#xA;'MFPR01001092',&amp;#xD;&amp;#xA;'MFPR01001093',&amp;#xD;&amp;#xA;'MFPR01001097',&amp;#xD;&amp;#xA;'MFPR01001098',&amp;#xD;&amp;#'"</definedName>
    <definedName name="_AMO_ContentDefinition_316789590.260" hidden="1">"'xD;&amp;amp;#xA;'MFPR01004176',&amp;amp;#xD;&amp;amp;#xA;'MFPR01004177',&amp;amp;#xD;&amp;amp;#xA;'MFPR01004179',&amp;amp;#xD;&amp;amp;#xA;'MFPR01004180',&amp;amp;#xD;&amp;amp;#xA;'MFPR01004181',&amp;amp;#xD;&amp;amp;#xA;'MFPR01004182',&amp;amp;#xD;&amp;amp;#xA;'MFPR01004187',&amp;amp;#xD;&amp;amp;#xA;'MFPR010'"</definedName>
    <definedName name="_AMO_ContentDefinition_316789590.261" hidden="1">"'04193',&amp;amp;#xD;&amp;amp;#xA;'MFPR01004197',&amp;amp;#xD;&amp;amp;#xA;'MFPR01004198',&amp;amp;#xD;&amp;amp;#xA;'MFPR01004199',&amp;amp;#xD;&amp;amp;#xA;'MFPR01004207',&amp;amp;#xD;&amp;amp;#xA;'MFPR01004218',&amp;amp;#xD;&amp;amp;#xA;'MFPR01004219',&amp;amp;#xD;&amp;amp;#xA;'MFPR01004220',&amp;amp;#xD;&amp;amp'"</definedName>
    <definedName name="_AMO_ContentDefinition_316789590.262" hidden="1">"';#xA;'MFPR01004222',&amp;amp;#xD;&amp;amp;#xA;'MFPR01004223',&amp;amp;#xD;&amp;amp;#xA;'MFPR01004224',&amp;amp;#xD;&amp;amp;#xA;'MFPR01004225',&amp;amp;#xD;&amp;amp;#xA;'MFPR01004230',&amp;amp;#xD;&amp;amp;#xA;'MFPR01004236',&amp;amp;#xD;&amp;amp;#xA;'MFPR01004240',&amp;amp;#xD;&amp;amp;#xA;'MFPR01004241','"</definedName>
    <definedName name="_AMO_ContentDefinition_316789590.263" hidden="1">"'&amp;amp;#xD;&amp;amp;#xA;'MFPR01004245',&amp;amp;#xD;&amp;amp;#xA;'MFPR01004246',&amp;amp;#xD;&amp;amp;#xA;'MFPR01004247',&amp;amp;#xD;&amp;amp;#xA;'MFPR01004249',&amp;amp;#xD;&amp;amp;#xA;'MFPR01004250',&amp;amp;#xD;&amp;amp;#xA;'MFPR01004251',&amp;amp;#xD;&amp;amp;#xA;'MFPR01004252',&amp;amp;#xD;&amp;amp;#xA;'M'"</definedName>
    <definedName name="_AMO_ContentDefinition_316789590.264" hidden="1">"'FPR01004257',&amp;amp;#xD;&amp;amp;#xA;'MFPR01004263',&amp;amp;#xD;&amp;amp;#xA;'MFPR01004267',&amp;amp;#xD;&amp;amp;#xA;'MFPR01004268',&amp;amp;#xD;&amp;amp;#xA;'MFPR01004269',&amp;amp;#xD;&amp;amp;#xA;'MFPR01004277',&amp;amp;#xD;&amp;amp;#xA;'MFPR01004288',&amp;amp;#xD;&amp;amp;#xA;'MFPR01004289',&amp;amp;#x'"</definedName>
    <definedName name="_AMO_ContentDefinition_316789590.265" hidden="1">"'D;&amp;amp;#xA;'MFPR01004290',&amp;amp;#xD;&amp;amp;#xA;'MFPR01004292',&amp;amp;#xD;&amp;amp;#xA;'MFPR01004293',&amp;amp;#xD;&amp;amp;#xA;'MFPR01004294',&amp;amp;#xD;&amp;amp;#xA;'MFPR01004295',&amp;amp;#xD;&amp;amp;#xA;'MFPR01004300',&amp;amp;#xD;&amp;amp;#xA;'MFPR01004306',&amp;amp;#xD;&amp;amp;#xA;'MFPR0100'"</definedName>
    <definedName name="_AMO_ContentDefinition_316789590.266" hidden="1">"'4310',&amp;amp;#xD;&amp;amp;#xA;'MFPR01004311',&amp;amp;#xD;&amp;amp;#xA;'MFPR01004315',&amp;amp;#xD;&amp;amp;#xA;'MFPR01004316',&amp;amp;#xD;&amp;amp;#xA;'MFPR01004317',&amp;amp;#xD;&amp;amp;#xA;'MFPR01004319',&amp;amp;#xD;&amp;amp;#xA;'MFPR01004320',&amp;amp;#xD;&amp;amp;#xA;'MFPR01004321',&amp;amp;#xD;&amp;amp;'"</definedName>
    <definedName name="_AMO_ContentDefinition_316789590.267" hidden="1">"'#xA;'MFPR01004322',&amp;amp;#xD;&amp;amp;#xA;'MFPR01004327',&amp;amp;#xD;&amp;amp;#xA;'MFPR01004333',&amp;amp;#xD;&amp;amp;#xA;'MFPR01004337',&amp;amp;#xD;&amp;amp;#xA;'MFPR01004338',&amp;amp;#xD;&amp;amp;#xA;'MFPR01004339',&amp;amp;#xD;&amp;amp;#xA;'MFPR01004347',&amp;amp;#xD;&amp;amp;#xA;'MFPR01004358',&amp;'"</definedName>
    <definedName name="_AMO_ContentDefinition_316789590.268" hidden="1">"'amp;#xD;&amp;amp;#xA;'MFPR01004359',&amp;amp;#xD;&amp;amp;#xA;'MFPR01004360',&amp;amp;#xD;&amp;amp;#xA;'MFPR01004362',&amp;amp;#xD;&amp;amp;#xA;'MFPR01004363',&amp;amp;#xD;&amp;amp;#xA;'MFPR01004364',&amp;amp;#xD;&amp;amp;#xA;'MFPR01004365',&amp;amp;#xD;&amp;amp;#xA;'MFPR01004370',&amp;amp;#xD;&amp;amp;#xA;'MF'"</definedName>
    <definedName name="_AMO_ContentDefinition_316789590.269" hidden="1">"'PR01004376',&amp;amp;#xD;&amp;amp;#xA;'MFPR01004380',&amp;amp;#xD;&amp;amp;#xA;'MFPR01004381',&amp;amp;#xD;&amp;amp;#xA;'MFPR01004385',&amp;amp;#xD;&amp;amp;#xA;'MFPR01004386',&amp;amp;#xD;&amp;amp;#xA;'MFPR01004387',&amp;amp;#xD;&amp;amp;#xA;'MFPR01004389',&amp;amp;#xD;&amp;amp;#xA;'MFPR01004390',&amp;amp;#xD'"</definedName>
    <definedName name="_AMO_ContentDefinition_316789590.27" hidden="1">"'xA;'MFPR01001099',&amp;#xD;&amp;#xA;'MFPR01001101',&amp;#xD;&amp;#xA;'MFPR01001102',&amp;#xD;&amp;#xA;'MFPR01001103',&amp;#xD;&amp;#xA;'MFPR01001104',&amp;#xD;&amp;#xA;'MFPR01001108',&amp;#xD;&amp;#xA;'MFPR01001115',&amp;#xD;&amp;#xA;'MFPR01001119',&amp;#xD;&amp;#xA;'MFPR01001120',&amp;#xD;&amp;#xA;'MFPR01001121',&amp;#xD;&amp;#x'"</definedName>
    <definedName name="_AMO_ContentDefinition_316789590.270" hidden="1">"';&amp;amp;#xA;'MFPR01004391',&amp;amp;#xD;&amp;amp;#xA;'MFPR01004392',&amp;amp;#xD;&amp;amp;#xA;'MFPR01004397',&amp;amp;#xD;&amp;amp;#xA;'MFPR01004403',&amp;amp;#xD;&amp;amp;#xA;'MFPR01004407',&amp;amp;#xD;&amp;amp;#xA;'MFPR01004408',&amp;amp;#xD;&amp;amp;#xA;'MFPR01004409',&amp;amp;#xD;&amp;amp;#xA;'MFPR01004'"</definedName>
    <definedName name="_AMO_ContentDefinition_316789590.271" hidden="1">"'417',&amp;amp;#xD;&amp;amp;#xA;'MFPR01004426',&amp;amp;#xD;&amp;amp;#xA;'MFPR01004428',&amp;amp;#xD;&amp;amp;#xA;'MFPR01004429',&amp;amp;#xD;&amp;amp;#xA;'MFPR01004430',&amp;amp;#xD;&amp;amp;#xA;'MFPR01004431',&amp;amp;#xD;&amp;amp;#xA;'MFPR01004432',&amp;amp;#xD;&amp;amp;#xA;'MFPR01004433',&amp;amp;#xD;&amp;amp;#'"</definedName>
    <definedName name="_AMO_ContentDefinition_316789590.272" hidden="1">"'xA;'MFPR01004434',&amp;amp;#xD;&amp;amp;#xA;'MFPR01004436',&amp;amp;#xD;&amp;amp;#xA;'MFPR01004437',&amp;amp;#xD;&amp;amp;#xA;'MFPR01004438',&amp;amp;#xD;&amp;amp;#xA;'MFPR01004439',&amp;amp;#xD;&amp;amp;#xA;'MFPR01004440',&amp;amp;#xD;&amp;amp;#xA;'MFPR01004441',&amp;amp;#xD;&amp;amp;#xA;'MFPR01004442',&amp;a'"</definedName>
    <definedName name="_AMO_ContentDefinition_316789590.273" hidden="1">"'mp;#xD;&amp;amp;#xA;'MFPR01004443',&amp;amp;#xD;&amp;amp;#xA;'MFPR01004446',&amp;amp;#xD;&amp;amp;#xA;'MFPR01004447',&amp;amp;#xD;&amp;amp;#xA;'MFPR01004448',&amp;amp;#xD;&amp;amp;#xA;'MFPR01004449',&amp;amp;#xD;&amp;amp;#xA;'MFPR01004450',&amp;amp;#xD;&amp;amp;#xA;'MFPR01004451',&amp;amp;#xD;&amp;amp;#xA;'MFP'"</definedName>
    <definedName name="_AMO_ContentDefinition_316789590.274" hidden="1">"'R01004454',&amp;amp;#xD;&amp;amp;#xA;'MFPR01004455',&amp;amp;#xD;&amp;amp;#xA;'MFPR01004456',&amp;amp;#xD;&amp;amp;#xA;'MFPR01004457',&amp;amp;#xD;&amp;amp;#xA;'MFPR01004458',&amp;amp;#xD;&amp;amp;#xA;'MFPR01004460',&amp;amp;#xD;&amp;amp;#xA;'MFPR01004461',&amp;amp;#xD;&amp;amp;#xA;'MFPR01004462',&amp;amp;#xD;'"</definedName>
    <definedName name="_AMO_ContentDefinition_316789590.275" hidden="1">"'&amp;amp;#xA;'MFPR01004463',&amp;amp;#xD;&amp;amp;#xA;'MFPR01004464',&amp;amp;#xD;&amp;amp;#xA;'MFPR01004465',&amp;amp;#xD;&amp;amp;#xA;'MFPR01004466',&amp;amp;#xD;&amp;amp;#xA;'MFPR01004468',&amp;amp;#xD;&amp;amp;#xA;'MFPR01004469',&amp;amp;#xD;&amp;amp;#xA;'MFPR01004470',&amp;amp;#xD;&amp;amp;#xA;'MFPR010044'"</definedName>
    <definedName name="_AMO_ContentDefinition_316789590.276" hidden="1">"'71',&amp;amp;#xD;&amp;amp;#xA;'MFPR01004472',&amp;amp;#xD;&amp;amp;#xA;'MFPR01004473',&amp;amp;#xD;&amp;amp;#xA;'MFPR01004474',&amp;amp;#xD;&amp;amp;#xA;'MFPR01004475',&amp;amp;#xD;&amp;amp;#xA;'MFPR01004478',&amp;amp;#xD;&amp;amp;#xA;'MFPR01004479',&amp;amp;#xD;&amp;amp;#xA;'MFPR01004480',&amp;amp;#xD;&amp;amp;#x'"</definedName>
    <definedName name="_AMO_ContentDefinition_316789590.277" hidden="1">"'A;'MFPR01004481',&amp;amp;#xD;&amp;amp;#xA;'MFPR01004482',&amp;amp;#xD;&amp;amp;#xA;'MFPR01004483',&amp;amp;#xD;&amp;amp;#xA;'MFPR01004486',&amp;amp;#xD;&amp;amp;#xA;'MFPR01004487',&amp;amp;#xD;&amp;amp;#xA;'MFPR01004488',&amp;amp;#xD;&amp;amp;#xA;'MFPR01004489'&amp;amp;#xD;&amp;amp;#xA;)&amp;quot; FilterDS=&amp;q'"</definedName>
    <definedName name="_AMO_ContentDefinition_316789590.278" hidden="1">"'uot;&amp;amp;lt;?xml version=&amp;amp;quot;1.0&amp;amp;quot; encoding=&amp;amp;quot;utf-16&amp;amp;quot;?&amp;amp;gt;&amp;amp;lt;FilterTree&amp;amp;gt;&amp;amp;lt;TreeRoot&amp;amp;gt;&amp;amp;lt;ID&amp;amp;gt;1f11d58f-5169-4bca-802d-8463f880d7ff&amp;amp;lt;/ID&amp;amp;gt;&amp;amp;lt;FilterType&amp;amp;gt;COLUMN&amp;am'"</definedName>
    <definedName name="_AMO_ContentDefinition_316789590.279" hidden="1">"'p;lt;/FilterType&amp;amp;gt;&amp;amp;lt;TableID /&amp;amp;gt;&amp;amp;lt;ColumnName&amp;amp;gt;entity_submitter_type&amp;amp;lt;/ColumnName&amp;amp;gt;&amp;amp;lt;ColumnType&amp;amp;gt;Character&amp;amp;lt;/ColumnType&amp;amp;gt;&amp;amp;lt;GroupLevel /&amp;amp;gt;&amp;amp;lt;SiblingLink&amp;amp;gt;&amp;amp;lt;Lin'"</definedName>
    <definedName name="_AMO_ContentDefinition_316789590.28" hidden="1">"'A;'MFPR01001129',&amp;#xD;&amp;#xA;'MFPR01001140',&amp;#xD;&amp;#xA;'MFPR01001141',&amp;#xD;&amp;#xA;'MFPR01001142',&amp;#xD;&amp;#xA;'MFPR01001144',&amp;#xD;&amp;#xA;'MFPR01001145',&amp;#xD;&amp;#xA;'MFPR01001146',&amp;#xD;&amp;#xA;'MFPR01001147',&amp;#xD;&amp;#xA;'MFPR01001151',&amp;#xD;&amp;#xA;'MFPR01001157',&amp;#xD;&amp;#xA'"</definedName>
    <definedName name="_AMO_ContentDefinition_316789590.280" hidden="1">"'kType&amp;amp;gt;AND&amp;amp;lt;/LinkType&amp;amp;gt;&amp;amp;lt;Node&amp;amp;gt;&amp;amp;lt;ID&amp;amp;gt;cd6ba56b-a89e-4113-b5f3-8c1f780cb6b9&amp;amp;lt;/ID&amp;amp;gt;&amp;amp;lt;FilterType&amp;amp;gt;COLUMN&amp;amp;lt;/FilterType&amp;amp;gt;&amp;amp;lt;TableID /&amp;amp;gt;&amp;amp;lt;ColumnName&amp;amp;gt;date_dt'"</definedName>
    <definedName name="_AMO_ContentDefinition_316789590.281" hidden="1">"'&amp;amp;lt;/ColumnName&amp;amp;gt;&amp;amp;lt;ColumnType&amp;amp;gt;Date&amp;amp;lt;/ColumnType&amp;amp;gt;&amp;amp;lt;GroupLevel /&amp;amp;gt;&amp;amp;lt;SiblingLink&amp;amp;gt;&amp;amp;lt;LinkType&amp;amp;gt;AND&amp;amp;lt;/LinkType&amp;amp;gt;&amp;amp;lt;Node&amp;amp;gt;&amp;amp;lt;ID&amp;amp;gt;77e3699f-5c7f-4e89-b8b'"</definedName>
    <definedName name="_AMO_ContentDefinition_316789590.282" hidden="1">"'9-00d816caa120&amp;amp;lt;/ID&amp;amp;gt;&amp;amp;lt;FilterType&amp;amp;gt;COLUMN&amp;amp;lt;/FilterType&amp;amp;gt;&amp;amp;lt;TableID /&amp;amp;gt;&amp;amp;lt;ColumnName&amp;amp;gt;frequency_cd&amp;amp;lt;/ColumnName&amp;amp;gt;&amp;amp;lt;ColumnType&amp;amp;gt;Character&amp;amp;lt;/ColumnType&amp;amp;gt;&amp;amp;lt'"</definedName>
    <definedName name="_AMO_ContentDefinition_316789590.283" hidden="1">"';GroupLevel /&amp;amp;gt;&amp;amp;lt;SiblingLink&amp;amp;gt;&amp;amp;lt;LinkType&amp;amp;gt;AND&amp;amp;lt;/LinkType&amp;amp;gt;&amp;amp;lt;Node&amp;amp;gt;&amp;amp;lt;ID&amp;amp;gt;a83355a7-be29-4a5c-83d9-de5b35da3aa7&amp;amp;lt;/ID&amp;amp;gt;&amp;amp;lt;FilterType&amp;amp;gt;COLUMN&amp;amp;lt;/FilterType&amp;amp;gt'"</definedName>
    <definedName name="_AMO_ContentDefinition_316789590.284" hidden="1">"';&amp;amp;lt;TableID /&amp;amp;gt;&amp;amp;lt;ColumnName&amp;amp;gt;indicator_id&amp;amp;lt;/ColumnName&amp;amp;gt;&amp;amp;lt;ColumnType&amp;amp;gt;Character&amp;amp;lt;/ColumnType&amp;amp;gt;&amp;amp;lt;GroupLevel /&amp;amp;gt;&amp;amp;lt;Operator&amp;amp;gt;IN&amp;amp;lt;/Operator&amp;amp;gt;&amp;amp;lt;UseMacroFun'"</definedName>
    <definedName name="_AMO_ContentDefinition_316789590.285" hidden="1">"'ction&amp;amp;gt;False&amp;amp;lt;/UseMacroFunction&amp;amp;gt;&amp;amp;lt;Not&amp;amp;gt;False&amp;amp;lt;/Not&amp;amp;gt;&amp;amp;lt;Label /&amp;amp;gt;&amp;amp;lt;RightHandSide&amp;amp;gt;&amp;amp;lt;RightHandSideNumType&amp;amp;gt;LIST&amp;amp;lt;/RightHandSideNumType&amp;amp;gt;&amp;amp;lt;RightHandSideItems&amp;'"</definedName>
    <definedName name="_AMO_ContentDefinition_316789590.286" hidden="1">"'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287" hidden="1">"'preserve&amp;amp;quot;&amp;amp;gt;MFPR01000001&amp;amp;lt;/RightHandSideExpression&amp;amp;gt;&amp;amp;lt;IsSubquery&amp;amp;gt;False&amp;amp;lt;/IsSubquery&amp;amp;gt;&amp;amp;lt;SubqueryTemplateName /&amp;amp;gt;&amp;amp;lt;/RHSItem&amp;amp;gt;&amp;amp;lt;RHSItem&amp;amp;gt;&amp;amp;lt;RHSType&amp;amp;gt;EXPRESS'"</definedName>
    <definedName name="_AMO_ContentDefinition_316789590.288" hidden="1">"'ION&amp;amp;lt;/RHSType&amp;amp;gt;&amp;amp;lt;AddQuotes&amp;amp;gt;True&amp;amp;lt;/AddQuotes&amp;amp;gt;&amp;amp;lt;DateFormat&amp;amp;gt;None&amp;amp;lt;/DateFormat&amp;amp;gt;&amp;amp;lt;RightHandSideExpression xml:space=&amp;amp;quot;preserve&amp;amp;quot;&amp;amp;gt;MFPR01000013&amp;amp;lt;/RightHandSide'"</definedName>
    <definedName name="_AMO_ContentDefinition_316789590.289"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316789590.29" hidden="1">"';'MFPR01001161',&amp;#xD;&amp;#xA;'MFPR01001162',&amp;#xD;&amp;#xA;'MFPR01001166',&amp;#xD;&amp;#xA;'MFPR01001167',&amp;#xD;&amp;#xA;'MFPR01001168',&amp;#xD;&amp;#xA;'MFPR01001170',&amp;#xD;&amp;#xA;'MFPR01001171',&amp;#xD;&amp;#xA;'MFPR01001172',&amp;#xD;&amp;#xA;'MFPR01001173',&amp;#xD;&amp;#xA;'MFPR01001177',&amp;#xD;&amp;#xA;'"</definedName>
    <definedName name="_AMO_ContentDefinition_316789590.290" hidden="1">"';lt;/AddQuotes&amp;amp;gt;&amp;amp;lt;DateFormat&amp;amp;gt;None&amp;amp;lt;/DateFormat&amp;amp;gt;&amp;amp;lt;RightHandSideExpression xml:space=&amp;amp;quot;preserve&amp;amp;quot;&amp;amp;gt;MFPR01000016&amp;amp;lt;/RightHandSideExpression&amp;amp;gt;&amp;amp;lt;IsSubquery&amp;amp;gt;False&amp;amp;lt;/Is'"</definedName>
    <definedName name="_AMO_ContentDefinition_316789590.291"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292" hidden="1">"'/DateFormat&amp;amp;gt;&amp;amp;lt;RightHandSideExpression xml:space=&amp;amp;quot;preserve&amp;amp;quot;&amp;amp;gt;MFPR01000018&amp;amp;lt;/RightHandSideExpression&amp;amp;gt;&amp;amp;lt;IsSubquery&amp;amp;gt;False&amp;amp;lt;/IsSubquery&amp;amp;gt;&amp;amp;lt;SubqueryTemplateName /&amp;amp;gt;&amp;amp;l'"</definedName>
    <definedName name="_AMO_ContentDefinition_316789590.293" hidden="1">"'t;/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316789590.294" hidden="1">"'=&amp;amp;quot;preserve&amp;amp;quot;&amp;amp;gt;MFPR01000019&amp;amp;lt;/RightHandSideExpression&amp;amp;gt;&amp;amp;lt;IsSubquery&amp;amp;gt;False&amp;amp;lt;/IsSubquery&amp;amp;gt;&amp;amp;lt;SubqueryTemplateName /&amp;amp;gt;&amp;amp;lt;/RHSItem&amp;amp;gt;&amp;amp;lt;RHSItem&amp;amp;gt;&amp;amp;lt;RHSType&amp;amp'"</definedName>
    <definedName name="_AMO_ContentDefinition_316789590.295" hidden="1">"';gt;EXPRESSION&amp;amp;lt;/RHSType&amp;amp;gt;&amp;amp;lt;AddQuotes&amp;amp;gt;True&amp;amp;lt;/AddQuotes&amp;amp;gt;&amp;amp;lt;DateFormat&amp;amp;gt;None&amp;amp;lt;/DateFormat&amp;amp;gt;&amp;amp;lt;RightHandSideExpression xml:space=&amp;amp;quot;preserve&amp;amp;quot;&amp;amp;gt;MFPR01000020&amp;amp;lt;/Ri'"</definedName>
    <definedName name="_AMO_ContentDefinition_316789590.296"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297" hidden="1">"'gt;True&amp;amp;lt;/AddQuotes&amp;amp;gt;&amp;amp;lt;DateFormat&amp;amp;gt;None&amp;amp;lt;/DateFormat&amp;amp;gt;&amp;amp;lt;RightHandSideExpression xml:space=&amp;amp;quot;preserve&amp;amp;quot;&amp;amp;gt;MFPR01000021&amp;amp;lt;/RightHandSideExpression&amp;amp;gt;&amp;amp;lt;IsSubquery&amp;amp;gt;False'"</definedName>
    <definedName name="_AMO_ContentDefinition_316789590.298"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316789590.299" hidden="1">"'one&amp;amp;lt;/DateFormat&amp;amp;gt;&amp;amp;lt;RightHandSideExpression xml:space=&amp;amp;quot;preserve&amp;amp;quot;&amp;amp;gt;MFPR01000022&amp;amp;lt;/RightHandSideExpression&amp;amp;gt;&amp;amp;lt;IsSubquery&amp;amp;gt;False&amp;amp;lt;/IsSubquery&amp;amp;gt;&amp;amp;lt;SubqueryTemplateName /&amp;am'"</definedName>
    <definedName name="_AMO_ContentDefinition_316789590.3" hidden="1">"'  &lt;param n=""ServerHostName"" v=""sasprdmetadata.eccb-centralbank.org"" /&gt;_x000D_
  &lt;param n=""DataSourceType"" v=""SAS DATASET"" /&gt;_x000D_
  &lt;param n=""SASFilter"" v=""entity_submitter_type IN &amp;#xD;&amp;#xA;(&amp;#xD;&amp;#xA;'Country'&amp;#xD;&amp;#xA;) AND date_dt &amp;gt;= '31Dec201'"</definedName>
    <definedName name="_AMO_ContentDefinition_316789590.30" hidden="1">"''MFPR01001184',&amp;#xD;&amp;#xA;'MFPR01001188',&amp;#xD;&amp;#xA;'MFPR01001189',&amp;#xD;&amp;#xA;'MFPR01001190',&amp;#xD;&amp;#xA;'MFPR01001198',&amp;#xD;&amp;#xA;'MFPR01001209',&amp;#xD;&amp;#xA;'MFPR01001210',&amp;#xD;&amp;#xA;'MFPR01001211',&amp;#xD;&amp;#xA;'MFPR01001213',&amp;#xD;&amp;#xA;'MFPR01001214',&amp;#xD;&amp;#xA;''"</definedName>
    <definedName name="_AMO_ContentDefinition_316789590.300"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316789590.301" hidden="1">"'n xml:space=&amp;amp;quot;preserve&amp;amp;quot;&amp;amp;gt;MFPR01000023&amp;amp;lt;/RightHandSideExpression&amp;amp;gt;&amp;amp;lt;IsSubquery&amp;amp;gt;False&amp;amp;lt;/IsSubquery&amp;amp;gt;&amp;amp;lt;SubqueryTemplateName /&amp;amp;gt;&amp;amp;lt;/RHSItem&amp;amp;gt;&amp;amp;lt;RHSItem&amp;amp;gt;&amp;amp;lt;'"</definedName>
    <definedName name="_AMO_ContentDefinition_316789590.302" hidden="1">"'RHSType&amp;amp;gt;EXPRESSION&amp;amp;lt;/RHSType&amp;amp;gt;&amp;amp;lt;AddQuotes&amp;amp;gt;True&amp;amp;lt;/AddQuotes&amp;amp;gt;&amp;amp;lt;DateFormat&amp;amp;gt;None&amp;amp;lt;/DateFormat&amp;amp;gt;&amp;amp;lt;RightHandSideExpression xml:space=&amp;amp;quot;preserve&amp;amp;quot;&amp;amp;gt;MFPR01000024'"</definedName>
    <definedName name="_AMO_ContentDefinition_316789590.303"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316789590.304" hidden="1">"'Quotes&amp;amp;gt;True&amp;amp;lt;/AddQuotes&amp;amp;gt;&amp;amp;lt;DateFormat&amp;amp;gt;None&amp;amp;lt;/DateFormat&amp;amp;gt;&amp;amp;lt;RightHandSideExpression xml:space=&amp;amp;quot;preserve&amp;amp;quot;&amp;amp;gt;MFPR01000032&amp;amp;lt;/RightHandSideExpression&amp;amp;gt;&amp;amp;lt;IsSubquery&amp;a'"</definedName>
    <definedName name="_AMO_ContentDefinition_316789590.305"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316789590.306" hidden="1">"'at&amp;amp;gt;None&amp;amp;lt;/DateFormat&amp;amp;gt;&amp;amp;lt;RightHandSideExpression xml:space=&amp;amp;quot;preserve&amp;amp;quot;&amp;amp;gt;MFPR01000049&amp;amp;lt;/RightHandSideExpression&amp;amp;gt;&amp;amp;lt;IsSubquery&amp;amp;gt;False&amp;amp;lt;/IsSubquery&amp;amp;gt;&amp;amp;lt;SubqueryTempla'"</definedName>
    <definedName name="_AMO_ContentDefinition_316789590.307"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316789590.308" hidden="1">"'deExpression xml:space=&amp;amp;quot;preserve&amp;amp;quot;&amp;amp;gt;MFPR01000066&amp;amp;lt;/RightHandSideExpression&amp;amp;gt;&amp;amp;lt;IsSubquery&amp;amp;gt;False&amp;amp;lt;/IsSubquery&amp;amp;gt;&amp;amp;lt;SubqueryTemplateName /&amp;amp;gt;&amp;amp;lt;/RHSItem&amp;amp;gt;&amp;amp;lt;RHSItem&amp;amp;'"</definedName>
    <definedName name="_AMO_ContentDefinition_316789590.309" hidden="1">"'gt;&amp;amp;lt;RHSType&amp;amp;gt;EXPRESSION&amp;amp;lt;/RHSType&amp;amp;gt;&amp;amp;lt;AddQuotes&amp;amp;gt;True&amp;amp;lt;/AddQuotes&amp;amp;gt;&amp;amp;lt;DateFormat&amp;amp;gt;None&amp;amp;lt;/DateFormat&amp;amp;gt;&amp;amp;lt;RightHandSideExpression xml:space=&amp;amp;quot;preserve&amp;amp;quot;&amp;amp;gt;M'"</definedName>
    <definedName name="_AMO_ContentDefinition_316789590.31" hidden="1">"'MFPR01001215',&amp;#xD;&amp;#xA;'MFPR01001216',&amp;#xD;&amp;#xA;'MFPR01001220',&amp;#xD;&amp;#xA;'MFPR01001226',&amp;#xD;&amp;#xA;'MFPR01001230',&amp;#xD;&amp;#xA;'MFPR01001231',&amp;#xD;&amp;#xA;'MFPR01001235',&amp;#xD;&amp;#xA;'MFPR01001236',&amp;#xD;&amp;#xA;'MFPR01001237',&amp;#xD;&amp;#xA;'MFPR01001239',&amp;#xD;&amp;#xA;'M'"</definedName>
    <definedName name="_AMO_ContentDefinition_316789590.310" hidden="1">"'FPR01000083&amp;amp;lt;/RightHandSideExpression&amp;amp;gt;&amp;amp;lt;IsSubquery&amp;amp;gt;False&amp;amp;lt;/IsSubquery&amp;amp;gt;&amp;amp;lt;SubqueryTemplateName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311" hidden="1">"'&amp;amp;lt;AddQuotes&amp;amp;gt;True&amp;amp;lt;/AddQuotes&amp;amp;gt;&amp;amp;lt;DateFormat&amp;amp;gt;None&amp;amp;lt;/DateFormat&amp;amp;gt;&amp;amp;lt;RightHandSideExpression xml:space=&amp;amp;quot;preserve&amp;amp;quot;&amp;amp;gt;MFPR01000089&amp;amp;lt;/RightHandSideExpression&amp;amp;gt;&amp;amp;lt;I'"</definedName>
    <definedName name="_AMO_ContentDefinition_316789590.312"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313" hidden="1">"'lt;DateFormat&amp;amp;gt;None&amp;amp;lt;/DateFormat&amp;amp;gt;&amp;amp;lt;RightHandSideExpression xml:space=&amp;amp;quot;preserve&amp;amp;quot;&amp;amp;gt;MFPR01000095&amp;amp;lt;/RightHandSideExpression&amp;amp;gt;&amp;amp;lt;IsSubquery&amp;amp;gt;False&amp;amp;lt;/IsSubquery&amp;amp;gt;&amp;amp;lt;Sub'"</definedName>
    <definedName name="_AMO_ContentDefinition_316789590.314"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315" hidden="1">"'RightHandSideExpression xml:space=&amp;amp;quot;preserve&amp;amp;quot;&amp;amp;gt;MFPR01000101&amp;amp;lt;/RightHandSideExpression&amp;amp;gt;&amp;amp;lt;IsSubquery&amp;amp;gt;False&amp;amp;lt;/IsSubquery&amp;amp;gt;&amp;amp;lt;SubqueryTemplateName /&amp;amp;gt;&amp;amp;lt;/RHSItem&amp;amp;gt;&amp;amp;lt;R'"</definedName>
    <definedName name="_AMO_ContentDefinition_316789590.316" hidden="1">"'HSItem&amp;amp;gt;&amp;amp;lt;RHSType&amp;amp;gt;EXPRESSION&amp;amp;lt;/RHSType&amp;amp;gt;&amp;amp;lt;AddQuotes&amp;amp;gt;True&amp;amp;lt;/AddQuotes&amp;amp;gt;&amp;amp;lt;DateFormat&amp;amp;gt;None&amp;amp;lt;/DateFormat&amp;amp;gt;&amp;amp;lt;RightHandSideExpression xml:space=&amp;amp;quot;preserve&amp;amp;quo'"</definedName>
    <definedName name="_AMO_ContentDefinition_316789590.317" hidden="1">"'t;&amp;amp;gt;MFPR01000107&amp;amp;lt;/RightHandSideExpression&amp;amp;gt;&amp;amp;lt;IsSubquery&amp;amp;gt;False&amp;amp;lt;/IsSubquery&amp;amp;gt;&amp;amp;lt;SubqueryTemplateName /&amp;amp;gt;&amp;amp;lt;/RHSItem&amp;amp;gt;&amp;amp;lt;RHSItem&amp;amp;gt;&amp;amp;lt;RHSType&amp;amp;gt;EXPRESSION&amp;amp;lt;/RHST'"</definedName>
    <definedName name="_AMO_ContentDefinition_316789590.318" hidden="1">"'ype&amp;amp;gt;&amp;amp;lt;AddQuotes&amp;amp;gt;True&amp;amp;lt;/AddQuotes&amp;amp;gt;&amp;amp;lt;DateFormat&amp;amp;gt;None&amp;amp;lt;/DateFormat&amp;amp;gt;&amp;amp;lt;RightHandSideExpression xml:space=&amp;amp;quot;preserve&amp;amp;quot;&amp;amp;gt;MFPR01000110&amp;amp;lt;/RightHandSideExpression&amp;amp;g'"</definedName>
    <definedName name="_AMO_ContentDefinition_316789590.319"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316789590.32" hidden="1">"'FPR01001240',&amp;#xD;&amp;#xA;'MFPR01001241',&amp;#xD;&amp;#xA;'MFPR01001242',&amp;#xD;&amp;#xA;'MFPR01001246',&amp;#xD;&amp;#xA;'MFPR01001253',&amp;#xD;&amp;#xA;'MFPR01001257',&amp;#xD;&amp;#xA;'MFPR01001258',&amp;#xD;&amp;#xA;'MFPR01001259',&amp;#xD;&amp;#xA;'MFPR01001267',&amp;#xD;&amp;#xA;'MFPR01001283',&amp;#xD;&amp;#xA;'MF'"</definedName>
    <definedName name="_AMO_ContentDefinition_316789590.320" hidden="1">"'mp;gt;&amp;amp;lt;DateFormat&amp;amp;gt;None&amp;amp;lt;/DateFormat&amp;amp;gt;&amp;amp;lt;RightHandSideExpression xml:space=&amp;amp;quot;preserve&amp;amp;quot;&amp;amp;gt;MFPR01000111&amp;amp;lt;/RightHandSideExpression&amp;amp;gt;&amp;amp;lt;IsSubquery&amp;amp;gt;False&amp;amp;lt;/IsSubquery&amp;amp;gt;'"</definedName>
    <definedName name="_AMO_ContentDefinition_316789590.321"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322" hidden="1">"'gt;&amp;amp;lt;RightHandSideExpression xml:space=&amp;amp;quot;preserve&amp;amp;quot;&amp;amp;gt;MFPR01000112&amp;amp;lt;/RightHandSideExpression&amp;amp;gt;&amp;amp;lt;IsSubquery&amp;amp;gt;False&amp;amp;lt;/IsSubquery&amp;amp;gt;&amp;amp;lt;SubqueryTemplateName /&amp;amp;gt;&amp;amp;lt;/RHSItem&amp;amp;g'"</definedName>
    <definedName name="_AMO_ContentDefinition_316789590.323" hidden="1">"'t;&amp;amp;lt;RHSItem&amp;amp;gt;&amp;amp;lt;RHSType&amp;amp;gt;EXPRESSION&amp;amp;lt;/RHSType&amp;amp;gt;&amp;amp;lt;AddQuotes&amp;amp;gt;True&amp;amp;lt;/AddQuotes&amp;amp;gt;&amp;amp;lt;DateFormat&amp;amp;gt;None&amp;amp;lt;/DateFormat&amp;amp;gt;&amp;amp;lt;RightHandSideExpression xml:space=&amp;amp;quot;prese'"</definedName>
    <definedName name="_AMO_ContentDefinition_316789590.324" hidden="1">"'rve&amp;amp;quot;&amp;amp;gt;MFPR01000113&amp;amp;lt;/RightHandSideExpression&amp;amp;gt;&amp;amp;lt;IsSubquery&amp;amp;gt;False&amp;amp;lt;/IsSubquery&amp;amp;gt;&amp;amp;lt;SubqueryTemplateName /&amp;amp;gt;&amp;amp;lt;/RHSItem&amp;amp;gt;&amp;amp;lt;RHSItem&amp;amp;gt;&amp;amp;lt;RHSType&amp;amp;gt;EXPRESSION&amp;a'"</definedName>
    <definedName name="_AMO_ContentDefinition_316789590.325" hidden="1">"'mp;lt;/RHSType&amp;amp;gt;&amp;amp;lt;AddQuotes&amp;amp;gt;True&amp;amp;lt;/AddQuotes&amp;amp;gt;&amp;amp;lt;DateFormat&amp;amp;gt;None&amp;amp;lt;/DateFormat&amp;amp;gt;&amp;amp;lt;RightHandSideExpression xml:space=&amp;amp;quot;preserve&amp;amp;quot;&amp;amp;gt;MFPR01000128&amp;amp;lt;/RightHandSideExpre'"</definedName>
    <definedName name="_AMO_ContentDefinition_316789590.326"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327" hidden="1">"'AddQuotes&amp;amp;gt;&amp;amp;lt;DateFormat&amp;amp;gt;None&amp;amp;lt;/DateFormat&amp;amp;gt;&amp;amp;lt;RightHandSideExpression xml:space=&amp;amp;quot;preserve&amp;amp;quot;&amp;amp;gt;MFPR01000129&amp;amp;lt;/RightHandSideExpression&amp;amp;gt;&amp;amp;lt;IsSubquery&amp;amp;gt;False&amp;amp;lt;/IsSubqu'"</definedName>
    <definedName name="_AMO_ContentDefinition_316789590.328"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316789590.329" hidden="1">"'Format&amp;amp;gt;&amp;amp;lt;RightHandSideExpression xml:space=&amp;amp;quot;preserve&amp;amp;quot;&amp;amp;gt;MFPR01000130&amp;amp;lt;/RightHandSideExpression&amp;amp;gt;&amp;amp;lt;IsSubquery&amp;amp;gt;False&amp;amp;lt;/IsSubquery&amp;amp;gt;&amp;amp;lt;SubqueryTemplateName /&amp;amp;gt;&amp;amp;lt;/RH'"</definedName>
    <definedName name="_AMO_ContentDefinition_316789590.33" hidden="1">"'PR01001284',&amp;#xD;&amp;#xA;'MFPR01001289',&amp;#xD;&amp;#xA;'MFPR01001295',&amp;#xD;&amp;#xA;'MFPR01001299',&amp;#xD;&amp;#xA;'MFPR01001300',&amp;#xD;&amp;#xA;'MFPR01001352',&amp;#xD;&amp;#xA;'MFPR01001353',&amp;#xD;&amp;#xA;'MFPR01001358',&amp;#xD;&amp;#xA;'MFPR01001364',&amp;#xD;&amp;#xA;'MFPR01001368',&amp;#xD;&amp;#xA;'MFP'"</definedName>
    <definedName name="_AMO_ContentDefinition_316789590.330" hidden="1">"'S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316789590.331" hidden="1">"';quot;preserve&amp;amp;quot;&amp;amp;gt;MFPR01000131&amp;amp;lt;/RightHandSideExpression&amp;amp;gt;&amp;amp;lt;IsSubquery&amp;amp;gt;False&amp;amp;lt;/IsSubquery&amp;amp;gt;&amp;amp;lt;SubqueryTemplateName /&amp;amp;gt;&amp;amp;lt;/RHSItem&amp;amp;gt;&amp;amp;lt;RHSItem&amp;amp;gt;&amp;amp;lt;RHSType&amp;amp;gt;E'"</definedName>
    <definedName name="_AMO_ContentDefinition_316789590.332" hidden="1">"'XPRESSION&amp;amp;lt;/RHSType&amp;amp;gt;&amp;amp;lt;AddQuotes&amp;amp;gt;True&amp;amp;lt;/AddQuotes&amp;amp;gt;&amp;amp;lt;DateFormat&amp;amp;gt;None&amp;amp;lt;/DateFormat&amp;amp;gt;&amp;amp;lt;RightHandSideExpression xml:space=&amp;amp;quot;preserve&amp;amp;quot;&amp;amp;gt;MFPR01000135&amp;amp;lt;/RightHa'"</definedName>
    <definedName name="_AMO_ContentDefinition_316789590.333"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316789590.334" hidden="1">"'ue&amp;amp;lt;/AddQuotes&amp;amp;gt;&amp;amp;lt;DateFormat&amp;amp;gt;None&amp;amp;lt;/DateFormat&amp;amp;gt;&amp;amp;lt;RightHandSideExpression xml:space=&amp;amp;quot;preserve&amp;amp;quot;&amp;amp;gt;MFPR01000136&amp;amp;lt;/RightHandSideExpression&amp;amp;gt;&amp;amp;lt;IsSubquery&amp;amp;gt;False&amp;amp;'"</definedName>
    <definedName name="_AMO_ContentDefinition_316789590.335"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316789590.336" hidden="1">"'mp;lt;/DateFormat&amp;amp;gt;&amp;amp;lt;RightHandSideExpression xml:space=&amp;amp;quot;preserve&amp;amp;quot;&amp;amp;gt;MFPR01000137&amp;amp;lt;/RightHandSideExpression&amp;amp;gt;&amp;amp;lt;IsSubquery&amp;amp;gt;False&amp;amp;lt;/IsSubquery&amp;amp;gt;&amp;amp;lt;SubqueryTemplateName /&amp;amp;gt;'"</definedName>
    <definedName name="_AMO_ContentDefinition_316789590.337" hidden="1">"'&amp;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316789590.338" hidden="1">"':space=&amp;amp;quot;preserve&amp;amp;quot;&amp;amp;gt;MFPR01000138&amp;amp;lt;/RightHandSideExpression&amp;amp;gt;&amp;amp;lt;IsSubquery&amp;amp;gt;False&amp;amp;lt;/IsSubquery&amp;amp;gt;&amp;amp;lt;SubqueryTemplateName /&amp;amp;gt;&amp;amp;lt;/RHSItem&amp;amp;gt;&amp;amp;lt;RHSItem&amp;amp;gt;&amp;amp;lt;RHSTy'"</definedName>
    <definedName name="_AMO_ContentDefinition_316789590.339" hidden="1">"'pe&amp;amp;gt;EXPRESSION&amp;amp;lt;/RHSType&amp;amp;gt;&amp;amp;lt;AddQuotes&amp;amp;gt;True&amp;amp;lt;/AddQuotes&amp;amp;gt;&amp;amp;lt;DateFormat&amp;amp;gt;None&amp;amp;lt;/DateFormat&amp;amp;gt;&amp;amp;lt;RightHandSideExpression xml:space=&amp;amp;quot;preserve&amp;amp;quot;&amp;amp;gt;MFPR01000139&amp;amp;'"</definedName>
    <definedName name="_AMO_ContentDefinition_316789590.34" hidden="1">"'R01001369',&amp;#xD;&amp;#xA;'MFPR01001421',&amp;#xD;&amp;#xA;'MFPR01001422',&amp;#xD;&amp;#xA;'MFPR01001427',&amp;#xD;&amp;#xA;'MFPR01001433',&amp;#xD;&amp;#xA;'MFPR01001437',&amp;#xD;&amp;#xA;'MFPR01001438',&amp;#xD;&amp;#xA;'MFPR01001554',&amp;#xD;&amp;#xA;'MFPR01001555',&amp;#xD;&amp;#xA;'MFPR01001556',&amp;#xD;&amp;#xA;'MFPR'"</definedName>
    <definedName name="_AMO_ContentDefinition_316789590.340"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316789590.341" hidden="1">"'s&amp;amp;gt;True&amp;amp;lt;/AddQuotes&amp;amp;gt;&amp;amp;lt;DateFormat&amp;amp;gt;None&amp;amp;lt;/DateFormat&amp;amp;gt;&amp;amp;lt;RightHandSideExpression xml:space=&amp;amp;quot;preserve&amp;amp;quot;&amp;amp;gt;MFPR01000140&amp;amp;lt;/RightHandSideExpression&amp;amp;gt;&amp;amp;lt;IsSubquery&amp;amp;gt'"</definedName>
    <definedName name="_AMO_ContentDefinition_316789590.342"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316789590.343" hidden="1">"'p;gt;None&amp;amp;lt;/DateFormat&amp;amp;gt;&amp;amp;lt;RightHandSideExpression xml:space=&amp;amp;quot;preserve&amp;amp;quot;&amp;amp;gt;MFPR01000141&amp;amp;lt;/RightHandSideExpression&amp;amp;gt;&amp;amp;lt;IsSubquery&amp;amp;gt;False&amp;amp;lt;/IsSubquery&amp;amp;gt;&amp;amp;lt;SubqueryTemplateNam'"</definedName>
    <definedName name="_AMO_ContentDefinition_316789590.344"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316789590.345" hidden="1">"'ression xml:space=&amp;amp;quot;preserve&amp;amp;quot;&amp;amp;gt;MFPR01000143&amp;amp;lt;/RightHandSideExpression&amp;amp;gt;&amp;amp;lt;IsSubquery&amp;amp;gt;False&amp;amp;lt;/IsSubquery&amp;amp;gt;&amp;amp;lt;SubqueryTemplateName /&amp;amp;gt;&amp;amp;lt;/RHSItem&amp;amp;gt;&amp;amp;lt;RHSItem&amp;amp;gt;&amp;a'"</definedName>
    <definedName name="_AMO_ContentDefinition_316789590.346" hidden="1">"'mp;lt;RHSType&amp;amp;gt;EXPRESSION&amp;amp;lt;/RHSType&amp;amp;gt;&amp;amp;lt;AddQuotes&amp;amp;gt;True&amp;amp;lt;/AddQuotes&amp;amp;gt;&amp;amp;lt;DateFormat&amp;amp;gt;None&amp;amp;lt;/DateFormat&amp;amp;gt;&amp;amp;lt;RightHandSideExpression xml:space=&amp;amp;quot;preserve&amp;amp;quot;&amp;amp;gt;MFPR01'"</definedName>
    <definedName name="_AMO_ContentDefinition_316789590.347" hidden="1">"'000144&amp;amp;lt;/RightHandSideExpression&amp;amp;gt;&amp;amp;lt;IsSubquery&amp;amp;gt;False&amp;amp;lt;/IsSubquery&amp;amp;gt;&amp;amp;lt;SubqueryTemplateName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348" hidden="1">"'lt;AddQuotes&amp;amp;gt;True&amp;amp;lt;/AddQuotes&amp;amp;gt;&amp;amp;lt;DateFormat&amp;amp;gt;None&amp;amp;lt;/DateFormat&amp;amp;gt;&amp;amp;lt;RightHandSideExpression xml:space=&amp;amp;quot;preserve&amp;amp;quot;&amp;amp;gt;MFPR01000145&amp;amp;lt;/RightHandSideExpression&amp;amp;gt;&amp;amp;lt;IsSubq'"</definedName>
    <definedName name="_AMO_ContentDefinition_316789590.349"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316789590.35" hidden="1">"'01001558',&amp;#xD;&amp;#xA;'MFPR01001559',&amp;#xD;&amp;#xA;'MFPR01001560',&amp;#xD;&amp;#xA;'MFPR01001561',&amp;#xD;&amp;#xA;'MFPR01001565',&amp;#xD;&amp;#xA;'MFPR01001571',&amp;#xD;&amp;#xA;'MFPR01001575',&amp;#xD;&amp;#xA;'MFPR01001576',&amp;#xD;&amp;#xA;'MFPR01001580',&amp;#xD;&amp;#xA;'MFPR01001581',&amp;#xD;&amp;#xA;'MFPR0'"</definedName>
    <definedName name="_AMO_ContentDefinition_316789590.350" hidden="1">"'teFormat&amp;amp;gt;None&amp;amp;lt;/DateFormat&amp;amp;gt;&amp;amp;lt;RightHandSideExpression xml:space=&amp;amp;quot;preserve&amp;amp;quot;&amp;amp;gt;MFPR01000148&amp;amp;lt;/RightHandSideExpression&amp;amp;gt;&amp;amp;lt;IsSubquery&amp;amp;gt;False&amp;amp;lt;/IsSubquery&amp;amp;gt;&amp;amp;lt;Subquery'"</definedName>
    <definedName name="_AMO_ContentDefinition_316789590.351"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316789590.352" hidden="1">"'HandSideExpression xml:space=&amp;amp;quot;preserve&amp;amp;quot;&amp;amp;gt;MFPR01000160&amp;amp;lt;/RightHandSideExpression&amp;amp;gt;&amp;amp;lt;IsSubquery&amp;amp;gt;False&amp;amp;lt;/IsSubquery&amp;amp;gt;&amp;amp;lt;SubqueryTemplateName /&amp;amp;gt;&amp;amp;lt;/RHSItem&amp;amp;gt;&amp;amp;lt;RHSIte'"</definedName>
    <definedName name="_AMO_ContentDefinition_316789590.353" hidden="1">"'m&amp;amp;gt;&amp;amp;lt;RHSType&amp;amp;gt;EXPRESSION&amp;amp;lt;/RHSType&amp;amp;gt;&amp;amp;lt;AddQuotes&amp;amp;gt;True&amp;amp;lt;/AddQuotes&amp;amp;gt;&amp;amp;lt;DateFormat&amp;amp;gt;None&amp;amp;lt;/DateFormat&amp;amp;gt;&amp;amp;lt;RightHandSideExpression xml:space=&amp;amp;quot;preserve&amp;amp;quot;&amp;am'"</definedName>
    <definedName name="_AMO_ContentDefinition_316789590.354" hidden="1">"'p;gt;MFPR01000161&amp;amp;lt;/RightHandSideExpression&amp;amp;gt;&amp;amp;lt;IsSubquery&amp;amp;gt;False&amp;amp;lt;/IsSubquery&amp;amp;gt;&amp;amp;lt;SubqueryTemplateName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316789590.355" hidden="1">"'mp;gt;&amp;amp;lt;AddQuotes&amp;amp;gt;True&amp;amp;lt;/AddQuotes&amp;amp;gt;&amp;amp;lt;DateFormat&amp;amp;gt;None&amp;amp;lt;/DateFormat&amp;amp;gt;&amp;amp;lt;RightHandSideExpression xml:space=&amp;amp;quot;preserve&amp;amp;quot;&amp;amp;gt;MFPR01000162&amp;amp;lt;/RightHandSideExpression&amp;amp;gt;&amp;am'"</definedName>
    <definedName name="_AMO_ContentDefinition_316789590.356"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316789590.357" hidden="1">"';&amp;amp;lt;DateFormat&amp;amp;gt;None&amp;amp;lt;/DateFormat&amp;amp;gt;&amp;amp;lt;RightHandSideExpression xml:space=&amp;amp;quot;preserve&amp;amp;quot;&amp;amp;gt;MFPR01000163&amp;amp;lt;/RightHandSideExpression&amp;amp;gt;&amp;amp;lt;IsSubquery&amp;amp;gt;False&amp;amp;lt;/IsSubquery&amp;amp;gt;&amp;amp;'"</definedName>
    <definedName name="_AMO_ContentDefinition_316789590.358"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316789590.359" hidden="1">"'mp;lt;RightHandSideExpression xml:space=&amp;amp;quot;preserve&amp;amp;quot;&amp;amp;gt;MFPR01000165&amp;amp;lt;/RightHandSideExpression&amp;amp;gt;&amp;amp;lt;IsSubquery&amp;amp;gt;False&amp;amp;lt;/IsSubquery&amp;amp;gt;&amp;amp;lt;SubqueryTemplateName /&amp;amp;gt;&amp;amp;lt;/RHSItem&amp;amp;gt;&amp;am'"</definedName>
    <definedName name="_AMO_ContentDefinition_316789590.36" hidden="1">"'1001582',&amp;#xD;&amp;#xA;'MFPR01001584',&amp;#xD;&amp;#xA;'MFPR01001585',&amp;#xD;&amp;#xA;'MFPR01001586',&amp;#xD;&amp;#xA;'MFPR01001587',&amp;#xD;&amp;#xA;'MFPR01001591',&amp;#xD;&amp;#xA;'MFPR01001598',&amp;#xD;&amp;#xA;'MFPR01001602',&amp;#xD;&amp;#xA;'MFPR01001603',&amp;#xD;&amp;#xA;'MFPR01001604',&amp;#xD;&amp;#xA;'MFPR01'"</definedName>
    <definedName name="_AMO_ContentDefinition_316789590.360" hidden="1">"'p;lt;RHSItem&amp;amp;gt;&amp;amp;lt;RHSType&amp;amp;gt;EXPRESSION&amp;amp;lt;/RHSType&amp;amp;gt;&amp;amp;lt;AddQuotes&amp;amp;gt;True&amp;amp;lt;/AddQuotes&amp;amp;gt;&amp;amp;lt;DateFormat&amp;amp;gt;None&amp;amp;lt;/DateFormat&amp;amp;gt;&amp;amp;lt;RightHandSideExpression xml:space=&amp;amp;quot;preserve&amp;a'"</definedName>
    <definedName name="_AMO_ContentDefinition_316789590.361" hidden="1">"'mp;quot;&amp;amp;gt;MFPR01000168&amp;amp;lt;/RightHandSideExpression&amp;amp;gt;&amp;amp;lt;IsSubquery&amp;amp;gt;False&amp;amp;lt;/IsSubquery&amp;amp;gt;&amp;amp;lt;SubqueryTemplateName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362" hidden="1">"';/RHSType&amp;amp;gt;&amp;amp;lt;AddQuotes&amp;amp;gt;True&amp;amp;lt;/AddQuotes&amp;amp;gt;&amp;amp;lt;DateFormat&amp;amp;gt;None&amp;amp;lt;/DateFormat&amp;amp;gt;&amp;amp;lt;RightHandSideExpression xml:space=&amp;amp;quot;preserve&amp;amp;quot;&amp;amp;gt;MFPR01000169&amp;amp;lt;/RightHandSideExpression'"</definedName>
    <definedName name="_AMO_ContentDefinition_316789590.363"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316789590.364" hidden="1">"'otes&amp;amp;gt;&amp;amp;lt;DateFormat&amp;amp;gt;None&amp;amp;lt;/DateFormat&amp;amp;gt;&amp;amp;lt;RightHandSideExpression xml:space=&amp;amp;quot;preserve&amp;amp;quot;&amp;amp;gt;MFPR01000170&amp;amp;lt;/RightHandSideExpression&amp;amp;gt;&amp;amp;lt;IsSubquery&amp;amp;gt;False&amp;amp;lt;/IsSubquery&amp;a'"</definedName>
    <definedName name="_AMO_ContentDefinition_316789590.365"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316789590.366" hidden="1">"'t&amp;amp;gt;&amp;amp;lt;RightHandSideExpression xml:space=&amp;amp;quot;preserve&amp;amp;quot;&amp;amp;gt;MFPR01000171&amp;amp;lt;/RightHandSideExpression&amp;amp;gt;&amp;amp;lt;IsSubquery&amp;amp;gt;False&amp;amp;lt;/IsSubquery&amp;amp;gt;&amp;amp;lt;SubqueryTemplateName /&amp;amp;gt;&amp;amp;lt;/RHSItem'"</definedName>
    <definedName name="_AMO_ContentDefinition_316789590.367" hidden="1">"'&amp;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368" hidden="1">"';preserve&amp;amp;quot;&amp;amp;gt;MFPR01000172&amp;amp;lt;/RightHandSideExpression&amp;amp;gt;&amp;amp;lt;IsSubquery&amp;amp;gt;False&amp;amp;lt;/IsSubquery&amp;amp;gt;&amp;amp;lt;SubqueryTemplateName /&amp;amp;gt;&amp;amp;lt;/RHSItem&amp;amp;gt;&amp;amp;lt;RHSItem&amp;amp;gt;&amp;amp;lt;RHSType&amp;amp;gt;EXPRES'"</definedName>
    <definedName name="_AMO_ContentDefinition_316789590.369" hidden="1">"'SION&amp;amp;lt;/RHSType&amp;amp;gt;&amp;amp;lt;AddQuotes&amp;amp;gt;True&amp;amp;lt;/AddQuotes&amp;amp;gt;&amp;amp;lt;DateFormat&amp;amp;gt;None&amp;amp;lt;/DateFormat&amp;amp;gt;&amp;amp;lt;RightHandSideExpression xml:space=&amp;amp;quot;preserve&amp;amp;quot;&amp;amp;gt;MFPR01000173&amp;amp;lt;/RightHandSid'"</definedName>
    <definedName name="_AMO_ContentDefinition_316789590.37" hidden="1">"'001612',&amp;#xD;&amp;#xA;'MFPR01001623',&amp;#xD;&amp;#xA;'MFPR01001624',&amp;#xD;&amp;#xA;'MFPR01001625',&amp;#xD;&amp;#xA;'MFPR01001627',&amp;#xD;&amp;#xA;'MFPR01001628',&amp;#xD;&amp;#xA;'MFPR01001629',&amp;#xD;&amp;#xA;'MFPR01001630',&amp;#xD;&amp;#xA;'MFPR01001634',&amp;#xD;&amp;#xA;'MFPR01001640',&amp;#xD;&amp;#xA;'MFPR010'"</definedName>
    <definedName name="_AMO_ContentDefinition_316789590.370"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316789590.371" hidden="1">"'p;lt;/AddQuotes&amp;amp;gt;&amp;amp;lt;DateFormat&amp;amp;gt;None&amp;amp;lt;/DateFormat&amp;amp;gt;&amp;amp;lt;RightHandSideExpression xml:space=&amp;amp;quot;preserve&amp;amp;quot;&amp;amp;gt;MFPR01000176&amp;amp;lt;/RightHandSideExpression&amp;amp;gt;&amp;amp;lt;IsSubquery&amp;amp;gt;False&amp;amp;lt;/I'"</definedName>
    <definedName name="_AMO_ContentDefinition_316789590.372"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373" hidden="1">"';/DateFormat&amp;amp;gt;&amp;amp;lt;RightHandSideExpression xml:space=&amp;amp;quot;preserve&amp;amp;quot;&amp;amp;gt;MFPR01000184&amp;amp;lt;/RightHandSideExpression&amp;amp;gt;&amp;amp;lt;IsSubquery&amp;amp;gt;False&amp;amp;lt;/IsSubquery&amp;amp;gt;&amp;amp;lt;SubqueryTemplateName /&amp;amp;gt;&amp;amp;'"</definedName>
    <definedName name="_AMO_ContentDefinition_316789590.374" hidden="1">"'lt;/RHSItem&amp;amp;gt;&amp;amp;lt;RHSItem&amp;amp;gt;&amp;amp;lt;RHSType&amp;amp;gt;EXPRESSION&amp;amp;lt;/RHSType&amp;amp;gt;&amp;amp;lt;AddQuotes&amp;amp;gt;True&amp;amp;lt;/AddQuotes&amp;amp;gt;&amp;amp;lt;DateFormat&amp;amp;gt;None&amp;amp;lt;/DateFormat&amp;amp;gt;&amp;amp;lt;RightHandSideExpression xml:spac'"</definedName>
    <definedName name="_AMO_ContentDefinition_316789590.375" hidden="1">"'e=&amp;amp;quot;preserve&amp;amp;quot;&amp;amp;gt;MFPR01000200&amp;amp;lt;/RightHandSideExpression&amp;amp;gt;&amp;amp;lt;IsSubquery&amp;amp;gt;False&amp;amp;lt;/IsSubquery&amp;amp;gt;&amp;amp;lt;SubqueryTemplateName /&amp;amp;gt;&amp;amp;lt;/RHSItem&amp;amp;gt;&amp;amp;lt;RHSItem&amp;amp;gt;&amp;amp;lt;RHSType&amp;am'"</definedName>
    <definedName name="_AMO_ContentDefinition_316789590.376" hidden="1">"'p;gt;EXPRESSION&amp;amp;lt;/RHSType&amp;amp;gt;&amp;amp;lt;AddQuotes&amp;amp;gt;True&amp;amp;lt;/AddQuotes&amp;amp;gt;&amp;amp;lt;DateFormat&amp;amp;gt;None&amp;amp;lt;/DateFormat&amp;amp;gt;&amp;amp;lt;RightHandSideExpression xml:space=&amp;amp;quot;preserve&amp;amp;quot;&amp;amp;gt;MFPR01000216&amp;amp;lt;/R'"</definedName>
    <definedName name="_AMO_ContentDefinition_316789590.377"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378" hidden="1">"';gt;True&amp;amp;lt;/AddQuotes&amp;amp;gt;&amp;amp;lt;DateFormat&amp;amp;gt;None&amp;amp;lt;/DateFormat&amp;amp;gt;&amp;amp;lt;RightHandSideExpression xml:space=&amp;amp;quot;preserve&amp;amp;quot;&amp;amp;gt;MFPR01000232&amp;amp;lt;/RightHandSideExpression&amp;amp;gt;&amp;amp;lt;IsSubquery&amp;amp;gt;Fals'"</definedName>
    <definedName name="_AMO_ContentDefinition_316789590.379"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38" hidden="1">"'01644',&amp;#xD;&amp;#xA;'MFPR01001645',&amp;#xD;&amp;#xA;'MFPR01001649',&amp;#xD;&amp;#xA;'MFPR01001650',&amp;#xD;&amp;#xA;'MFPR01001651',&amp;#xD;&amp;#xA;'MFPR01001653',&amp;#xD;&amp;#xA;'MFPR01001654',&amp;#xD;&amp;#xA;'MFPR01001655',&amp;#xD;&amp;#xA;'MFPR01001656',&amp;#xD;&amp;#xA;'MFPR01001660',&amp;#xD;&amp;#xA;'MFPR0100'"</definedName>
    <definedName name="_AMO_ContentDefinition_316789590.380" hidden="1">"'None&amp;amp;lt;/DateFormat&amp;amp;gt;&amp;amp;lt;RightHandSideExpression xml:space=&amp;amp;quot;preserve&amp;amp;quot;&amp;amp;gt;MFPR01000254&amp;amp;lt;/RightHandSideExpression&amp;amp;gt;&amp;amp;lt;IsSubquery&amp;amp;gt;False&amp;amp;lt;/IsSubquery&amp;amp;gt;&amp;amp;lt;SubqueryTemplateName /&amp;a'"</definedName>
    <definedName name="_AMO_ContentDefinition_316789590.381"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316789590.382" hidden="1">"'on xml:space=&amp;amp;quot;preserve&amp;amp;quot;&amp;amp;gt;MFPR01000255&amp;amp;lt;/RightHandSideExpression&amp;amp;gt;&amp;amp;lt;IsSubquery&amp;amp;gt;False&amp;amp;lt;/IsSubquery&amp;amp;gt;&amp;amp;lt;SubqueryTemplateName /&amp;amp;gt;&amp;amp;lt;/RHSItem&amp;amp;gt;&amp;amp;lt;RHSItem&amp;amp;gt;&amp;amp;lt'"</definedName>
    <definedName name="_AMO_ContentDefinition_316789590.383" hidden="1">"';RHSType&amp;amp;gt;EXPRESSION&amp;amp;lt;/RHSType&amp;amp;gt;&amp;amp;lt;AddQuotes&amp;amp;gt;True&amp;amp;lt;/AddQuotes&amp;amp;gt;&amp;amp;lt;DateFormat&amp;amp;gt;None&amp;amp;lt;/DateFormat&amp;amp;gt;&amp;amp;lt;RightHandSideExpression xml:space=&amp;amp;quot;preserve&amp;amp;quot;&amp;amp;gt;MFPR0100025'"</definedName>
    <definedName name="_AMO_ContentDefinition_316789590.384" hidden="1">"'6&amp;amp;lt;/RightHandSideExpression&amp;amp;gt;&amp;amp;lt;IsSubquery&amp;amp;gt;False&amp;amp;lt;/IsSubquery&amp;amp;gt;&amp;amp;lt;SubqueryTemplateName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316789590.385" hidden="1">"'dQuotes&amp;amp;gt;True&amp;amp;lt;/AddQuotes&amp;amp;gt;&amp;amp;lt;DateFormat&amp;amp;gt;None&amp;amp;lt;/DateFormat&amp;amp;gt;&amp;amp;lt;RightHandSideExpression xml:space=&amp;amp;quot;preserve&amp;amp;quot;&amp;amp;gt;MFPR01000257&amp;amp;lt;/RightHandSideExpression&amp;amp;gt;&amp;amp;lt;IsSubquery&amp;'"</definedName>
    <definedName name="_AMO_ContentDefinition_316789590.386"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316789590.387" hidden="1">"'mat&amp;amp;gt;None&amp;amp;lt;/DateFormat&amp;amp;gt;&amp;amp;lt;RightHandSideExpression xml:space=&amp;amp;quot;preserve&amp;amp;quot;&amp;amp;gt;MFPR01000258&amp;amp;lt;/RightHandSideExpression&amp;amp;gt;&amp;amp;lt;IsSubquery&amp;amp;gt;False&amp;amp;lt;/IsSubquery&amp;amp;gt;&amp;amp;lt;SubqueryTempl'"</definedName>
    <definedName name="_AMO_ContentDefinition_316789590.388"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316789590.389" hidden="1">"'ideExpression xml:space=&amp;amp;quot;preserve&amp;amp;quot;&amp;amp;gt;MFPR01000279&amp;amp;lt;/RightHandSideExpression&amp;amp;gt;&amp;amp;lt;IsSubquery&amp;amp;gt;False&amp;amp;lt;/IsSubquery&amp;amp;gt;&amp;amp;lt;SubqueryTemplateName /&amp;amp;gt;&amp;amp;lt;/RHSItem&amp;amp;gt;&amp;amp;lt;RHSItem&amp;amp'"</definedName>
    <definedName name="_AMO_ContentDefinition_316789590.39" hidden="1">"'1667',&amp;#xD;&amp;#xA;'MFPR01001671',&amp;#xD;&amp;#xA;'MFPR01001672',&amp;#xD;&amp;#xA;'MFPR01001673',&amp;#xD;&amp;#xA;'MFPR01001681',&amp;#xD;&amp;#xA;'MFPR01001691',&amp;#xD;&amp;#xA;'MFPR01001692',&amp;#xD;&amp;#xA;'MFPR01001693',&amp;#xD;&amp;#xA;'MFPR01001694',&amp;#xD;&amp;#xA;'MFPR01001695',&amp;#xD;&amp;#xA;'MFPR01001'"</definedName>
    <definedName name="_AMO_ContentDefinition_316789590.390" hidden="1">"';gt;&amp;amp;lt;RHSType&amp;amp;gt;EXPRESSION&amp;amp;lt;/RHSType&amp;amp;gt;&amp;amp;lt;AddQuotes&amp;amp;gt;True&amp;amp;lt;/AddQuotes&amp;amp;gt;&amp;amp;lt;DateFormat&amp;amp;gt;None&amp;amp;lt;/DateFormat&amp;amp;gt;&amp;amp;lt;RightHandSideExpression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391" hidden="1">"'MFPR01000285&amp;amp;lt;/RightHandSideExpression&amp;amp;gt;&amp;amp;lt;IsSubquery&amp;amp;gt;False&amp;amp;lt;/IsSubquery&amp;amp;gt;&amp;amp;lt;SubqueryTemplateName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392" hidden="1">"';&amp;amp;lt;AddQuotes&amp;amp;gt;True&amp;amp;lt;/AddQuotes&amp;amp;gt;&amp;amp;lt;DateFormat&amp;amp;gt;None&amp;amp;lt;/DateFormat&amp;amp;gt;&amp;amp;lt;RightHandSideExpression xml:space=&amp;amp;quot;preserve&amp;amp;quot;&amp;amp;gt;MFPR01000286&amp;amp;lt;/RightHandSideExpression&amp;amp;gt;&amp;amp;lt;'"</definedName>
    <definedName name="_AMO_ContentDefinition_316789590.393"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394" hidden="1">"';lt;DateFormat&amp;amp;gt;None&amp;amp;lt;/DateFormat&amp;amp;gt;&amp;amp;lt;RightHandSideExpression xml:space=&amp;amp;quot;preserve&amp;amp;quot;&amp;amp;gt;MFPR01000287&amp;amp;lt;/RightHandSideExpression&amp;amp;gt;&amp;amp;lt;IsSubquery&amp;amp;gt;False&amp;amp;lt;/IsSubquery&amp;amp;gt;&amp;amp;lt;Su'"</definedName>
    <definedName name="_AMO_ContentDefinition_316789590.395"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396" hidden="1">"';RightHandSideExpression xml:space=&amp;amp;quot;preserve&amp;amp;quot;&amp;amp;gt;MFPR01000290&amp;amp;lt;/RightHandSideExpression&amp;amp;gt;&amp;amp;lt;IsSubquery&amp;amp;gt;False&amp;amp;lt;/IsSubquery&amp;amp;gt;&amp;amp;lt;SubqueryTemplateName /&amp;amp;gt;&amp;amp;lt;/RHSItem&amp;amp;gt;&amp;amp;lt;'"</definedName>
    <definedName name="_AMO_ContentDefinition_316789590.397" hidden="1">"'RHSItem&amp;amp;gt;&amp;amp;lt;RHSType&amp;amp;gt;EXPRESSION&amp;amp;lt;/RHSType&amp;amp;gt;&amp;amp;lt;AddQuotes&amp;amp;gt;True&amp;amp;lt;/AddQuotes&amp;amp;gt;&amp;amp;lt;DateFormat&amp;amp;gt;None&amp;amp;lt;/DateFormat&amp;amp;gt;&amp;amp;lt;RightHandSideExpression xml:space=&amp;amp;quot;preserve&amp;amp;qu'"</definedName>
    <definedName name="_AMO_ContentDefinition_316789590.398" hidden="1">"'ot;&amp;amp;gt;MFPR01000294&amp;amp;lt;/RightHandSideExpression&amp;amp;gt;&amp;amp;lt;IsSubquery&amp;amp;gt;False&amp;amp;lt;/IsSubquery&amp;amp;gt;&amp;amp;lt;SubqueryTemplateName /&amp;amp;gt;&amp;amp;lt;/RHSItem&amp;amp;gt;&amp;amp;lt;RHSItem&amp;amp;gt;&amp;amp;lt;RHSType&amp;amp;gt;EXPRESSION&amp;amp;lt;/RHS'"</definedName>
    <definedName name="_AMO_ContentDefinition_316789590.399" hidden="1">"'Type&amp;amp;gt;&amp;amp;lt;AddQuotes&amp;amp;gt;True&amp;amp;lt;/AddQuotes&amp;amp;gt;&amp;amp;lt;DateFormat&amp;amp;gt;None&amp;amp;lt;/DateFormat&amp;amp;gt;&amp;amp;lt;RightHandSideExpression xml:space=&amp;amp;quot;preserve&amp;amp;quot;&amp;amp;gt;MFPR01000295&amp;amp;lt;/RightHandSideExpression&amp;amp;'"</definedName>
    <definedName name="_AMO_ContentDefinition_316789590.4" hidden="1">"'9'd AND frequency_cd IN &amp;#xD;&amp;#xA;(&amp;#xD;&amp;#xA;'M'&amp;#xD;&amp;#xA;) AND indicator_id IN &amp;#xD;&amp;#xA;(&amp;#xD;&amp;#xA;'MFPR01000001',&amp;#xD;&amp;#xA;'MFPR01000013',&amp;#xD;&amp;#xA;'MFPR01000016',&amp;#xD;&amp;#xA;'MFPR01000018',&amp;#xD;&amp;#xA;'MFPR01000019',&amp;#xD;&amp;#xA;'MFPR01000020',&amp;#xD;&amp;#xA;'"</definedName>
    <definedName name="_AMO_ContentDefinition_316789590.40" hidden="1">"'696',&amp;#xD;&amp;#xA;'MFPR01001698',&amp;#xD;&amp;#xA;'MFPR01001699',&amp;#xD;&amp;#xA;'MFPR01001700',&amp;#xD;&amp;#xA;'MFPR01001701',&amp;#xD;&amp;#xA;'MFPR01001702',&amp;#xD;&amp;#xA;'MFPR01001703',&amp;#xD;&amp;#xA;'MFPR01001705',&amp;#xD;&amp;#xA;'MFPR01001706',&amp;#xD;&amp;#xA;'MFPR01001707',&amp;#xD;&amp;#xA;'MFPR010017'"</definedName>
    <definedName name="_AMO_ContentDefinition_316789590.400"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316789590.401" hidden="1">"'amp;gt;&amp;amp;lt;DateFormat&amp;amp;gt;None&amp;amp;lt;/DateFormat&amp;amp;gt;&amp;amp;lt;RightHandSideExpression xml:space=&amp;amp;quot;preserve&amp;amp;quot;&amp;amp;gt;MFPR01000296&amp;amp;lt;/RightHandSideExpression&amp;amp;gt;&amp;amp;lt;IsSubquery&amp;amp;gt;False&amp;amp;lt;/IsSubquery&amp;amp;gt'"</definedName>
    <definedName name="_AMO_ContentDefinition_316789590.402"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403" hidden="1">"';gt;&amp;amp;lt;RightHandSideExpression xml:space=&amp;amp;quot;preserve&amp;amp;quot;&amp;amp;gt;MFPR01000297&amp;amp;lt;/RightHandSideExpression&amp;amp;gt;&amp;amp;lt;IsSubquery&amp;amp;gt;False&amp;amp;lt;/IsSubquery&amp;amp;gt;&amp;amp;lt;SubqueryTemplateName /&amp;amp;gt;&amp;amp;lt;/RHSItem&amp;amp;'"</definedName>
    <definedName name="_AMO_ContentDefinition_316789590.404" hidden="1">"'gt;&amp;amp;lt;RHSItem&amp;amp;gt;&amp;amp;lt;RHSType&amp;amp;gt;EXPRESSION&amp;amp;lt;/RHSType&amp;amp;gt;&amp;amp;lt;AddQuotes&amp;amp;gt;True&amp;amp;lt;/AddQuotes&amp;amp;gt;&amp;amp;lt;DateFormat&amp;amp;gt;None&amp;amp;lt;/DateFormat&amp;amp;gt;&amp;amp;lt;RightHandSideExpression xml:space=&amp;amp;quot;pres'"</definedName>
    <definedName name="_AMO_ContentDefinition_316789590.405" hidden="1">"'erve&amp;amp;quot;&amp;amp;gt;MFPR01000298&amp;amp;lt;/RightHandSideExpression&amp;amp;gt;&amp;amp;lt;IsSubquery&amp;amp;gt;False&amp;amp;lt;/IsSubquery&amp;amp;gt;&amp;amp;lt;SubqueryTemplateName /&amp;amp;gt;&amp;amp;lt;/RHSItem&amp;amp;gt;&amp;amp;lt;RHSItem&amp;amp;gt;&amp;amp;lt;RHSType&amp;amp;gt;EXPRESSION&amp;'"</definedName>
    <definedName name="_AMO_ContentDefinition_316789590.406" hidden="1">"'amp;lt;/RHSType&amp;amp;gt;&amp;amp;lt;AddQuotes&amp;amp;gt;True&amp;amp;lt;/AddQuotes&amp;amp;gt;&amp;amp;lt;DateFormat&amp;amp;gt;None&amp;amp;lt;/DateFormat&amp;amp;gt;&amp;amp;lt;RightHandSideExpression xml:space=&amp;amp;quot;preserve&amp;amp;quot;&amp;amp;gt;MFPR01000299&amp;amp;lt;/RightHandSideExpr'"</definedName>
    <definedName name="_AMO_ContentDefinition_316789590.407"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408" hidden="1">"'/AddQuotes&amp;amp;gt;&amp;amp;lt;DateFormat&amp;amp;gt;None&amp;amp;lt;/DateFormat&amp;amp;gt;&amp;amp;lt;RightHandSideExpression xml:space=&amp;amp;quot;preserve&amp;amp;quot;&amp;amp;gt;MFPR01000300&amp;amp;lt;/RightHandSideExpression&amp;amp;gt;&amp;amp;lt;IsSubquery&amp;amp;gt;False&amp;amp;lt;/IsSubq'"</definedName>
    <definedName name="_AMO_ContentDefinition_316789590.409"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316789590.41" hidden="1">"'08',&amp;#xD;&amp;#xA;'MFPR01001709',&amp;#xD;&amp;#xA;'MFPR01001710',&amp;#xD;&amp;#xA;'MFPR01001712',&amp;#xD;&amp;#xA;'MFPR01001713',&amp;#xD;&amp;#xA;'MFPR01001714',&amp;#xD;&amp;#xA;'MFPR01001715',&amp;#xD;&amp;#xA;'MFPR01001716',&amp;#xD;&amp;#xA;'MFPR01001717',&amp;#xD;&amp;#xA;'MFPR01001719',&amp;#xD;&amp;#xA;'MFPR0100172'"</definedName>
    <definedName name="_AMO_ContentDefinition_316789590.410" hidden="1">"'eFormat&amp;amp;gt;&amp;amp;lt;RightHandSideExpression xml:space=&amp;amp;quot;preserve&amp;amp;quot;&amp;amp;gt;MFPR01000301&amp;amp;lt;/RightHandSideExpression&amp;amp;gt;&amp;amp;lt;IsSubquery&amp;amp;gt;False&amp;amp;lt;/IsSubquery&amp;amp;gt;&amp;amp;lt;SubqueryTemplateName /&amp;amp;gt;&amp;amp;lt;/R'"</definedName>
    <definedName name="_AMO_ContentDefinition_316789590.411" hidden="1">"'HSItem&amp;amp;gt;&amp;amp;lt;RHSItem&amp;amp;gt;&amp;amp;lt;RHSType&amp;amp;gt;EXPRESSION&amp;amp;lt;/RHSType&amp;amp;gt;&amp;amp;lt;AddQuotes&amp;amp;gt;True&amp;amp;lt;/AddQuotes&amp;amp;gt;&amp;amp;lt;DateFormat&amp;amp;gt;None&amp;amp;lt;/DateFormat&amp;amp;gt;&amp;amp;lt;RightHandSideExpression xml:space=&amp;am'"</definedName>
    <definedName name="_AMO_ContentDefinition_316789590.412" hidden="1">"'p;quot;preserve&amp;amp;quot;&amp;amp;gt;MFPR01000302&amp;amp;lt;/RightHandSideExpression&amp;amp;gt;&amp;amp;lt;IsSubquery&amp;amp;gt;False&amp;amp;lt;/IsSubquery&amp;amp;gt;&amp;amp;lt;SubqueryTemplateName /&amp;amp;gt;&amp;amp;lt;/RHSItem&amp;amp;gt;&amp;amp;lt;RHSItem&amp;amp;gt;&amp;amp;lt;RHSType&amp;amp;gt;'"</definedName>
    <definedName name="_AMO_ContentDefinition_316789590.413" hidden="1">"'EXPRESSION&amp;amp;lt;/RHSType&amp;amp;gt;&amp;amp;lt;AddQuotes&amp;amp;gt;True&amp;amp;lt;/AddQuotes&amp;amp;gt;&amp;amp;lt;DateFormat&amp;amp;gt;None&amp;amp;lt;/DateFormat&amp;amp;gt;&amp;amp;lt;RightHandSideExpression xml:space=&amp;amp;quot;preserve&amp;amp;quot;&amp;amp;gt;MFPR01000304&amp;amp;lt;/RightH'"</definedName>
    <definedName name="_AMO_ContentDefinition_316789590.414"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316789590.415" hidden="1">"'rue&amp;amp;lt;/AddQuotes&amp;amp;gt;&amp;amp;lt;DateFormat&amp;amp;gt;None&amp;amp;lt;/DateFormat&amp;amp;gt;&amp;amp;lt;RightHandSideExpression xml:space=&amp;amp;quot;preserve&amp;amp;quot;&amp;amp;gt;MFPR01000305&amp;amp;lt;/RightHandSideExpression&amp;amp;gt;&amp;amp;lt;IsSubquery&amp;amp;gt;False&amp;amp'"</definedName>
    <definedName name="_AMO_ContentDefinition_316789590.416"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316789590.417" hidden="1">"'amp;lt;/DateFormat&amp;amp;gt;&amp;amp;lt;RightHandSideExpression xml:space=&amp;amp;quot;preserve&amp;amp;quot;&amp;amp;gt;MFPR01000306&amp;amp;lt;/RightHandSideExpression&amp;amp;gt;&amp;amp;lt;IsSubquery&amp;amp;gt;False&amp;amp;lt;/IsSubquery&amp;amp;gt;&amp;amp;lt;SubqueryTemplateName /&amp;amp;gt'"</definedName>
    <definedName name="_AMO_ContentDefinition_316789590.418" hidden="1">"';&amp;amp;lt;/RHSItem&amp;amp;gt;&amp;amp;lt;RHSItem&amp;amp;gt;&amp;amp;lt;RHSType&amp;amp;gt;EXPRESSION&amp;amp;lt;/RHSType&amp;amp;gt;&amp;amp;lt;AddQuotes&amp;amp;gt;True&amp;amp;lt;/AddQuotes&amp;amp;gt;&amp;amp;lt;DateFormat&amp;amp;gt;None&amp;amp;lt;/DateFormat&amp;amp;gt;&amp;amp;lt;RightHandSideExpression xm'"</definedName>
    <definedName name="_AMO_ContentDefinition_316789590.419" hidden="1">"'l:space=&amp;amp;quot;preserve&amp;amp;quot;&amp;amp;gt;MFPR01000307&amp;amp;lt;/RightHandSideExpression&amp;amp;gt;&amp;amp;lt;IsSubquery&amp;amp;gt;False&amp;amp;lt;/IsSubquery&amp;amp;gt;&amp;amp;lt;SubqueryTemplateName /&amp;amp;gt;&amp;amp;lt;/RHSItem&amp;amp;gt;&amp;amp;lt;RHSItem&amp;amp;gt;&amp;amp;lt;RHST'"</definedName>
    <definedName name="_AMO_ContentDefinition_316789590.42" hidden="1">"'0',&amp;#xD;&amp;#xA;'MFPR01001721',&amp;#xD;&amp;#xA;'MFPR01001722',&amp;#xD;&amp;#xA;'MFPR01001723',&amp;#xD;&amp;#xA;'MFPR01001724',&amp;#xD;&amp;#xA;'MFPR01001726',&amp;#xD;&amp;#xA;'MFPR01001727',&amp;#xD;&amp;#xA;'MFPR01001728',&amp;#xD;&amp;#xA;'MFPR01001729',&amp;#xD;&amp;#xA;'MFPR01001730',&amp;#xD;&amp;#xA;'MFPR01001731'"</definedName>
    <definedName name="_AMO_ContentDefinition_316789590.420" hidden="1">"'ype&amp;amp;gt;EXPRESSION&amp;amp;lt;/RHSType&amp;amp;gt;&amp;amp;lt;AddQuotes&amp;amp;gt;True&amp;amp;lt;/AddQuotes&amp;amp;gt;&amp;amp;lt;DateFormat&amp;amp;gt;None&amp;amp;lt;/DateFormat&amp;amp;gt;&amp;amp;lt;RightHandSideExpression xml:space=&amp;amp;quot;preserve&amp;amp;quot;&amp;amp;gt;MFPR01000450&amp;amp'"</definedName>
    <definedName name="_AMO_ContentDefinition_316789590.421"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316789590.422" hidden="1">"'es&amp;amp;gt;True&amp;amp;lt;/AddQuotes&amp;amp;gt;&amp;amp;lt;DateFormat&amp;amp;gt;None&amp;amp;lt;/DateFormat&amp;amp;gt;&amp;amp;lt;RightHandSideExpression xml:space=&amp;amp;quot;preserve&amp;amp;quot;&amp;amp;gt;MFPR01000451&amp;amp;lt;/RightHandSideExpression&amp;amp;gt;&amp;amp;lt;IsSubquery&amp;amp;g'"</definedName>
    <definedName name="_AMO_ContentDefinition_316789590.423"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316789590.424" hidden="1">"'mp;gt;None&amp;amp;lt;/DateFormat&amp;amp;gt;&amp;amp;lt;RightHandSideExpression xml:space=&amp;amp;quot;preserve&amp;amp;quot;&amp;amp;gt;MFPR01000452&amp;amp;lt;/RightHandSideExpression&amp;amp;gt;&amp;amp;lt;IsSubquery&amp;amp;gt;False&amp;amp;lt;/IsSubquery&amp;amp;gt;&amp;amp;lt;SubqueryTemplateNa'"</definedName>
    <definedName name="_AMO_ContentDefinition_316789590.425"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316789590.426" hidden="1">"'pression xml:space=&amp;amp;quot;preserve&amp;amp;quot;&amp;amp;gt;MFPR01000454&amp;amp;lt;/RightHandSideExpression&amp;amp;gt;&amp;amp;lt;IsSubquery&amp;amp;gt;False&amp;amp;lt;/IsSubquery&amp;amp;gt;&amp;amp;lt;SubqueryTemplateName /&amp;amp;gt;&amp;amp;lt;/RHSItem&amp;amp;gt;&amp;amp;lt;RHSItem&amp;amp;gt;&amp;'"</definedName>
    <definedName name="_AMO_ContentDefinition_316789590.427" hidden="1">"'amp;lt;RHSType&amp;amp;gt;EXPRESSION&amp;amp;lt;/RHSType&amp;amp;gt;&amp;amp;lt;AddQuotes&amp;amp;gt;True&amp;amp;lt;/AddQuotes&amp;amp;gt;&amp;amp;lt;DateFormat&amp;amp;gt;None&amp;amp;lt;/DateFormat&amp;amp;gt;&amp;amp;lt;RightHandSideExpression xml:space=&amp;amp;quot;preserve&amp;amp;quot;&amp;amp;gt;MFPR0'"</definedName>
    <definedName name="_AMO_ContentDefinition_316789590.428" hidden="1">"'1000455&amp;amp;lt;/RightHandSideExpression&amp;amp;gt;&amp;amp;lt;IsSubquery&amp;amp;gt;False&amp;amp;lt;/IsSubquery&amp;amp;gt;&amp;amp;lt;SubqueryTemplateName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429" hidden="1">"';lt;AddQuotes&amp;amp;gt;True&amp;amp;lt;/AddQuotes&amp;amp;gt;&amp;amp;lt;DateFormat&amp;amp;gt;None&amp;amp;lt;/DateFormat&amp;amp;gt;&amp;amp;lt;RightHandSideExpression xml:space=&amp;amp;quot;preserve&amp;amp;quot;&amp;amp;gt;MFPR01000456&amp;amp;lt;/RightHandSideExpression&amp;amp;gt;&amp;amp;lt;IsSub'"</definedName>
    <definedName name="_AMO_ContentDefinition_316789590.43" hidden="1">"'',&amp;#xD;&amp;#xA;'MFPR01001733',&amp;#xD;&amp;#xA;'MFPR01001734',&amp;#xD;&amp;#xA;'MFPR01001735',&amp;#xD;&amp;#xA;'MFPR01001736',&amp;#xD;&amp;#xA;'MFPR01001737',&amp;#xD;&amp;#xA;'MFPR01001738',&amp;#xD;&amp;#xA;'MFPR01001740',&amp;#xD;&amp;#xA;'MFPR01001741',&amp;#xD;&amp;#xA;'MFPR01001742',&amp;#xD;&amp;#xA;'MFPR01001743''"</definedName>
    <definedName name="_AMO_ContentDefinition_316789590.430"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316789590.431" hidden="1">"'ateFormat&amp;amp;gt;None&amp;amp;lt;/DateFormat&amp;amp;gt;&amp;amp;lt;RightHandSideExpression xml:space=&amp;amp;quot;preserve&amp;amp;quot;&amp;amp;gt;MFPR01000457&amp;amp;lt;/RightHandSideExpression&amp;amp;gt;&amp;amp;lt;IsSubquery&amp;amp;gt;False&amp;amp;lt;/IsSubquery&amp;amp;gt;&amp;amp;lt;Subquer'"</definedName>
    <definedName name="_AMO_ContentDefinition_316789590.432"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316789590.433" hidden="1">"'tHandSideExpression xml:space=&amp;amp;quot;preserve&amp;amp;quot;&amp;amp;gt;MFPR01000461&amp;amp;lt;/RightHandSideExpression&amp;amp;gt;&amp;amp;lt;IsSubquery&amp;amp;gt;False&amp;amp;lt;/IsSubquery&amp;amp;gt;&amp;amp;lt;SubqueryTemplateName /&amp;amp;gt;&amp;amp;lt;/RHSItem&amp;amp;gt;&amp;amp;lt;RHSIt'"</definedName>
    <definedName name="_AMO_ContentDefinition_316789590.434" hidden="1">"'em&amp;amp;gt;&amp;amp;lt;RHSType&amp;amp;gt;EXPRESSION&amp;amp;lt;/RHSType&amp;amp;gt;&amp;amp;lt;AddQuotes&amp;amp;gt;True&amp;amp;lt;/AddQuotes&amp;amp;gt;&amp;amp;lt;DateFormat&amp;amp;gt;None&amp;amp;lt;/DateFormat&amp;amp;gt;&amp;amp;lt;RightHandSideExpression xml:space=&amp;amp;quot;preserve&amp;amp;quot;&amp;a'"</definedName>
    <definedName name="_AMO_ContentDefinition_316789590.435" hidden="1">"'mp;gt;MFPR01000467&amp;amp;lt;/RightHandSideExpression&amp;amp;gt;&amp;amp;lt;IsSubquery&amp;amp;gt;False&amp;amp;lt;/IsSubquery&amp;amp;gt;&amp;amp;lt;SubqueryTemplateName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316789590.436" hidden="1">"'amp;gt;&amp;amp;lt;AddQuotes&amp;amp;gt;True&amp;amp;lt;/AddQuotes&amp;amp;gt;&amp;amp;lt;DateFormat&amp;amp;gt;None&amp;amp;lt;/DateFormat&amp;amp;gt;&amp;amp;lt;RightHandSideExpression xml:space=&amp;amp;quot;preserve&amp;amp;quot;&amp;amp;gt;MFPR01000471&amp;amp;lt;/RightHandSideExpression&amp;amp;gt;&amp;a'"</definedName>
    <definedName name="_AMO_ContentDefinition_316789590.437"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316789590.438" hidden="1">"'t;&amp;amp;lt;DateFormat&amp;amp;gt;None&amp;amp;lt;/DateFormat&amp;amp;gt;&amp;amp;lt;RightHandSideExpression xml:space=&amp;amp;quot;preserve&amp;amp;quot;&amp;amp;gt;MFPR01000472&amp;amp;lt;/RightHandSideExpression&amp;amp;gt;&amp;amp;lt;IsSubquery&amp;amp;gt;False&amp;amp;lt;/IsSubquery&amp;amp;gt;&amp;amp'"</definedName>
    <definedName name="_AMO_ContentDefinition_316789590.439"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316789590.44" hidden="1">"',&amp;#xD;&amp;#xA;'MFPR01001744',&amp;#xD;&amp;#xA;'MFPR01001745',&amp;#xD;&amp;#xA;'MFPR01001747',&amp;#xD;&amp;#xA;'MFPR01001748',&amp;#xD;&amp;#xA;'MFPR01001749',&amp;#xD;&amp;#xA;'MFPR01001750',&amp;#xD;&amp;#xA;'MFPR01001751',&amp;#xD;&amp;#xA;'MFPR01001752',&amp;#xD;&amp;#xA;'MFPR01001754',&amp;#xD;&amp;#xA;'MFPR01001755','"</definedName>
    <definedName name="_AMO_ContentDefinition_316789590.440" hidden="1">"'amp;lt;RightHandSideExpression xml:space=&amp;amp;quot;preserve&amp;amp;quot;&amp;amp;gt;MFPR01000476&amp;amp;lt;/RightHandSideExpression&amp;amp;gt;&amp;amp;lt;IsSubquery&amp;amp;gt;False&amp;amp;lt;/IsSubquery&amp;amp;gt;&amp;amp;lt;SubqueryTemplateName /&amp;amp;gt;&amp;amp;lt;/RHSItem&amp;amp;gt;&amp;a'"</definedName>
    <definedName name="_AMO_ContentDefinition_316789590.441" hidden="1">"'mp;lt;RHSItem&amp;amp;gt;&amp;amp;lt;RHSType&amp;amp;gt;EXPRESSION&amp;amp;lt;/RHSType&amp;amp;gt;&amp;amp;lt;AddQuotes&amp;amp;gt;True&amp;amp;lt;/AddQuotes&amp;amp;gt;&amp;amp;lt;DateFormat&amp;amp;gt;None&amp;amp;lt;/DateFormat&amp;amp;gt;&amp;amp;lt;RightHandSideExpression xml:space=&amp;amp;quot;preserve&amp;'"</definedName>
    <definedName name="_AMO_ContentDefinition_316789590.442" hidden="1">"'amp;quot;&amp;amp;gt;MFPR01000477&amp;amp;lt;/RightHandSideExpression&amp;amp;gt;&amp;amp;lt;IsSubquery&amp;amp;gt;False&amp;amp;lt;/IsSubquery&amp;amp;gt;&amp;amp;lt;SubqueryTemplateName /&amp;amp;gt;&amp;amp;lt;/RHSItem&amp;amp;gt;&amp;amp;lt;RHSItem&amp;amp;gt;&amp;amp;lt;RHSType&amp;amp;gt;EXPRESSION&amp;amp;l'"</definedName>
    <definedName name="_AMO_ContentDefinition_316789590.443" hidden="1">"'t;/RHSType&amp;amp;gt;&amp;amp;lt;AddQuotes&amp;amp;gt;True&amp;amp;lt;/AddQuotes&amp;amp;gt;&amp;amp;lt;DateFormat&amp;amp;gt;None&amp;amp;lt;/DateFormat&amp;amp;gt;&amp;amp;lt;RightHandSideExpression xml:space=&amp;amp;quot;preserve&amp;amp;quot;&amp;amp;gt;MFPR01000478&amp;amp;lt;/RightHandSideExpressio'"</definedName>
    <definedName name="_AMO_ContentDefinition_316789590.444"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316789590.445" hidden="1">"'uotes&amp;amp;gt;&amp;amp;lt;DateFormat&amp;amp;gt;None&amp;amp;lt;/DateFormat&amp;amp;gt;&amp;amp;lt;RightHandSideExpression xml:space=&amp;amp;quot;preserve&amp;amp;quot;&amp;amp;gt;MFPR01000480&amp;amp;lt;/RightHandSideExpression&amp;amp;gt;&amp;amp;lt;IsSubquery&amp;amp;gt;False&amp;amp;lt;/IsSubquery&amp;'"</definedName>
    <definedName name="_AMO_ContentDefinition_316789590.446"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316789590.447" hidden="1">"'at&amp;amp;gt;&amp;amp;lt;RightHandSideExpression xml:space=&amp;amp;quot;preserve&amp;amp;quot;&amp;amp;gt;MFPR01000481&amp;amp;lt;/RightHandSideExpression&amp;amp;gt;&amp;amp;lt;IsSubquery&amp;amp;gt;False&amp;amp;lt;/IsSubquery&amp;amp;gt;&amp;amp;lt;SubqueryTemplateName /&amp;amp;gt;&amp;amp;lt;/RHSIte'"</definedName>
    <definedName name="_AMO_ContentDefinition_316789590.448" hidden="1">"'m&amp;amp;gt;&amp;amp;lt;RHSItem&amp;amp;gt;&amp;amp;lt;RHSType&amp;amp;gt;EXPRESSION&amp;amp;lt;/RHSType&amp;amp;gt;&amp;amp;lt;AddQuotes&amp;amp;gt;True&amp;amp;lt;/AddQuotes&amp;amp;gt;&amp;amp;lt;DateFormat&amp;amp;gt;None&amp;amp;lt;/DateFormat&amp;amp;gt;&amp;amp;lt;RightHandSideExpression xml:space=&amp;amp;quo'"</definedName>
    <definedName name="_AMO_ContentDefinition_316789590.449" hidden="1">"'t;preserve&amp;amp;quot;&amp;amp;gt;MFPR01000482&amp;amp;lt;/RightHandSideExpression&amp;amp;gt;&amp;amp;lt;IsSubquery&amp;amp;gt;False&amp;amp;lt;/IsSubquery&amp;amp;gt;&amp;amp;lt;SubqueryTemplateName /&amp;amp;gt;&amp;amp;lt;/RHSItem&amp;amp;gt;&amp;amp;lt;RHSItem&amp;amp;gt;&amp;amp;lt;RHSType&amp;amp;gt;EXPRE'"</definedName>
    <definedName name="_AMO_ContentDefinition_316789590.45" hidden="1">"'&amp;#xD;&amp;#xA;'MFPR01001756',&amp;#xD;&amp;#xA;'MFPR01001757',&amp;#xD;&amp;#xA;'MFPR01001758',&amp;#xD;&amp;#xA;'MFPR01001759',&amp;#xD;&amp;#xA;'MFPR01001761',&amp;#xD;&amp;#xA;'MFPR01001762',&amp;#xD;&amp;#xA;'MFPR01001763',&amp;#xD;&amp;#xA;'MFPR01001764',&amp;#xD;&amp;#xA;'MFPR01001765',&amp;#xD;&amp;#xA;'MFPR01001766',&amp;'"</definedName>
    <definedName name="_AMO_ContentDefinition_316789590.450" hidden="1">"'SSION&amp;amp;lt;/RHSType&amp;amp;gt;&amp;amp;lt;AddQuotes&amp;amp;gt;True&amp;amp;lt;/AddQuotes&amp;amp;gt;&amp;amp;lt;DateFormat&amp;amp;gt;None&amp;amp;lt;/DateFormat&amp;amp;gt;&amp;amp;lt;RightHandSideExpression xml:space=&amp;amp;quot;preserve&amp;amp;quot;&amp;amp;gt;MFPR01000483&amp;amp;lt;/RightHandSi'"</definedName>
    <definedName name="_AMO_ContentDefinition_316789590.451"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316789590.452" hidden="1">"'mp;lt;/AddQuotes&amp;amp;gt;&amp;amp;lt;DateFormat&amp;amp;gt;None&amp;amp;lt;/DateFormat&amp;amp;gt;&amp;amp;lt;RightHandSideExpression xml:space=&amp;amp;quot;preserve&amp;amp;quot;&amp;amp;gt;MFPR01000487&amp;amp;lt;/RightHandSideExpression&amp;amp;gt;&amp;amp;lt;IsSubquery&amp;amp;gt;False&amp;amp;lt;/'"</definedName>
    <definedName name="_AMO_ContentDefinition_316789590.453"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316789590.454" hidden="1">"'t;/DateFormat&amp;amp;gt;&amp;amp;lt;RightHandSideExpression xml:space=&amp;amp;quot;preserve&amp;amp;quot;&amp;amp;gt;MFPR01000494&amp;amp;lt;/RightHandSideExpression&amp;amp;gt;&amp;amp;lt;IsSubquery&amp;amp;gt;False&amp;amp;lt;/IsSubquery&amp;amp;gt;&amp;amp;lt;SubqueryTemplateName /&amp;amp;gt;&amp;amp'"</definedName>
    <definedName name="_AMO_ContentDefinition_316789590.455" hidden="1">"';lt;/RHSItem&amp;amp;gt;&amp;amp;lt;RHSItem&amp;amp;gt;&amp;amp;lt;RHSType&amp;amp;gt;EXPRESSION&amp;amp;lt;/RHSType&amp;amp;gt;&amp;amp;lt;AddQuotes&amp;amp;gt;True&amp;amp;lt;/AddQuotes&amp;amp;gt;&amp;amp;lt;DateFormat&amp;amp;gt;None&amp;amp;lt;/DateFormat&amp;amp;gt;&amp;amp;lt;RightHandSideExpression xml:spa'"</definedName>
    <definedName name="_AMO_ContentDefinition_316789590.456" hidden="1">"'ce=&amp;amp;quot;preserve&amp;amp;quot;&amp;amp;gt;MFPR01000498&amp;amp;lt;/RightHandSideExpression&amp;amp;gt;&amp;amp;lt;IsSubquery&amp;amp;gt;False&amp;amp;lt;/IsSubquery&amp;amp;gt;&amp;amp;lt;SubqueryTemplateName /&amp;amp;gt;&amp;amp;lt;/RHSItem&amp;amp;gt;&amp;amp;lt;RHSItem&amp;amp;gt;&amp;amp;lt;RHSType&amp;a'"</definedName>
    <definedName name="_AMO_ContentDefinition_316789590.457" hidden="1">"'mp;gt;EXPRESSION&amp;amp;lt;/RHSType&amp;amp;gt;&amp;amp;lt;AddQuotes&amp;amp;gt;True&amp;amp;lt;/AddQuotes&amp;amp;gt;&amp;amp;lt;DateFormat&amp;amp;gt;None&amp;amp;lt;/DateFormat&amp;amp;gt;&amp;amp;lt;RightHandSideExpression xml:space=&amp;amp;quot;preserve&amp;amp;quot;&amp;amp;gt;MFPR01000499&amp;amp;lt;/'"</definedName>
    <definedName name="_AMO_ContentDefinition_316789590.458"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316789590.459" hidden="1">"'p;gt;True&amp;amp;lt;/AddQuotes&amp;amp;gt;&amp;amp;lt;DateFormat&amp;amp;gt;None&amp;amp;lt;/DateFormat&amp;amp;gt;&amp;amp;lt;RightHandSideExpression xml:space=&amp;amp;quot;preserve&amp;amp;quot;&amp;amp;gt;MFPR01000500&amp;amp;lt;/RightHandSideExpression&amp;amp;gt;&amp;amp;lt;IsSubquery&amp;amp;gt;Fal'"</definedName>
    <definedName name="_AMO_ContentDefinition_316789590.46" hidden="1">"'#xD;&amp;#xA;'MFPR01001768',&amp;#xD;&amp;#xA;'MFPR01001769',&amp;#xD;&amp;#xA;'MFPR01001770',&amp;#xD;&amp;#xA;'MFPR01001771',&amp;#xD;&amp;#xA;'MFPR01001772',&amp;#xD;&amp;#xA;'MFPR01001773',&amp;#xD;&amp;#xA;'MFPR01001775',&amp;#xD;&amp;#xA;'MFPR01001776',&amp;#xD;&amp;#xA;'MFPR01001777',&amp;#xD;&amp;#xA;'MFPR01001778',&amp;#'"</definedName>
    <definedName name="_AMO_ContentDefinition_316789590.460"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461" hidden="1">"';None&amp;amp;lt;/DateFormat&amp;amp;gt;&amp;amp;lt;RightHandSideExpression xml:space=&amp;amp;quot;preserve&amp;amp;quot;&amp;amp;gt;MFPR01000508&amp;amp;lt;/RightHandSideExpression&amp;amp;gt;&amp;amp;lt;IsSubquery&amp;amp;gt;False&amp;amp;lt;/IsSubquery&amp;amp;gt;&amp;amp;lt;SubqueryTemplateName /&amp;'"</definedName>
    <definedName name="_AMO_ContentDefinition_316789590.462"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316789590.463" hidden="1">"'ion xml:space=&amp;amp;quot;preserve&amp;amp;quot;&amp;amp;gt;MFPR01000519&amp;amp;lt;/RightHandSideExpression&amp;amp;gt;&amp;amp;lt;IsSubquery&amp;amp;gt;False&amp;amp;lt;/IsSubquery&amp;amp;gt;&amp;amp;lt;SubqueryTemplateName /&amp;amp;gt;&amp;amp;lt;/RHSItem&amp;amp;gt;&amp;amp;lt;RHSItem&amp;amp;gt;&amp;amp;l'"</definedName>
    <definedName name="_AMO_ContentDefinition_316789590.464" hidden="1">"'t;RHSType&amp;amp;gt;EXPRESSION&amp;amp;lt;/RHSType&amp;amp;gt;&amp;amp;lt;AddQuotes&amp;amp;gt;True&amp;amp;lt;/AddQuotes&amp;amp;gt;&amp;amp;lt;DateFormat&amp;amp;gt;None&amp;amp;lt;/DateFormat&amp;amp;gt;&amp;amp;lt;RightHandSideExpression xml:space=&amp;amp;quot;preserve&amp;amp;quot;&amp;amp;gt;MFPR010005'"</definedName>
    <definedName name="_AMO_ContentDefinition_316789590.465" hidden="1">"'20&amp;amp;lt;/RightHandSideExpression&amp;amp;gt;&amp;amp;lt;IsSubquery&amp;amp;gt;False&amp;amp;lt;/IsSubquery&amp;amp;gt;&amp;amp;lt;SubqueryTemplateName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316789590.466" hidden="1">"'ddQuotes&amp;amp;gt;True&amp;amp;lt;/AddQuotes&amp;amp;gt;&amp;amp;lt;DateFormat&amp;amp;gt;None&amp;amp;lt;/DateFormat&amp;amp;gt;&amp;amp;lt;RightHandSideExpression xml:space=&amp;amp;quot;preserve&amp;amp;quot;&amp;amp;gt;MFPR01000521&amp;amp;lt;/RightHandSideExpression&amp;amp;gt;&amp;amp;lt;IsSubquery'"</definedName>
    <definedName name="_AMO_ContentDefinition_316789590.467"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316789590.468" hidden="1">"'rmat&amp;amp;gt;None&amp;amp;lt;/DateFormat&amp;amp;gt;&amp;amp;lt;RightHandSideExpression xml:space=&amp;amp;quot;preserve&amp;amp;quot;&amp;amp;gt;MFPR01000523&amp;amp;lt;/RightHandSideExpression&amp;amp;gt;&amp;amp;lt;IsSubquery&amp;amp;gt;False&amp;amp;lt;/IsSubquery&amp;amp;gt;&amp;amp;lt;SubqueryTemp'"</definedName>
    <definedName name="_AMO_ContentDefinition_316789590.469"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316789590.47" hidden="1">"'xD;&amp;#xA;'MFPR01001779',&amp;#xD;&amp;#xA;'MFPR01001780',&amp;#xD;&amp;#xA;'MFPR01001782',&amp;#xD;&amp;#xA;'MFPR01001783',&amp;#xD;&amp;#xA;'MFPR01001784',&amp;#xD;&amp;#xA;'MFPR01001785',&amp;#xD;&amp;#xA;'MFPR01001786',&amp;#xD;&amp;#xA;'MFPR01001787',&amp;#xD;&amp;#xA;'MFPR01001789',&amp;#xD;&amp;#xA;'MFPR01001790',&amp;#x'"</definedName>
    <definedName name="_AMO_ContentDefinition_316789590.470" hidden="1">"'SideExpression xml:space=&amp;amp;quot;preserve&amp;amp;quot;&amp;amp;gt;MFPR01000524&amp;amp;lt;/RightHandSideExpression&amp;amp;gt;&amp;amp;lt;IsSubquery&amp;amp;gt;False&amp;amp;lt;/IsSubquery&amp;amp;gt;&amp;amp;lt;SubqueryTemplateName /&amp;amp;gt;&amp;amp;lt;/RHSItem&amp;amp;gt;&amp;amp;lt;RHSItem&amp;am'"</definedName>
    <definedName name="_AMO_ContentDefinition_316789590.471"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472" hidden="1">"';MFPR01000525&amp;amp;lt;/RightHandSideExpression&amp;amp;gt;&amp;amp;lt;IsSubquery&amp;amp;gt;False&amp;amp;lt;/IsSubquery&amp;amp;gt;&amp;amp;lt;SubqueryTemplateName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316789590.473" hidden="1">"'t;&amp;amp;lt;AddQuotes&amp;amp;gt;True&amp;amp;lt;/AddQuotes&amp;amp;gt;&amp;amp;lt;DateFormat&amp;amp;gt;None&amp;amp;lt;/DateFormat&amp;amp;gt;&amp;amp;lt;RightHandSideExpression xml:space=&amp;amp;quot;preserve&amp;amp;quot;&amp;amp;gt;MFPR01000526&amp;amp;lt;/RightHandSideExpression&amp;amp;gt;&amp;amp;lt'"</definedName>
    <definedName name="_AMO_ContentDefinition_316789590.474"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316789590.475" hidden="1">"'p;lt;DateFormat&amp;amp;gt;None&amp;amp;lt;/DateFormat&amp;amp;gt;&amp;amp;lt;RightHandSideExpression xml:space=&amp;amp;quot;preserve&amp;amp;quot;&amp;amp;gt;MFPR01000530&amp;amp;lt;/RightHandSideExpression&amp;amp;gt;&amp;amp;lt;IsSubquery&amp;amp;gt;False&amp;amp;lt;/IsSubquery&amp;amp;gt;&amp;amp;lt;S'"</definedName>
    <definedName name="_AMO_ContentDefinition_316789590.476"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316789590.477" hidden="1">"'t;RightHandSideExpression xml:space=&amp;amp;quot;preserve&amp;amp;quot;&amp;amp;gt;MFPR01000536&amp;amp;lt;/RightHandSideExpression&amp;amp;gt;&amp;amp;lt;IsSubquery&amp;amp;gt;False&amp;amp;lt;/IsSubquery&amp;amp;gt;&amp;amp;lt;SubqueryTemplateName /&amp;amp;gt;&amp;amp;lt;/RHSItem&amp;amp;gt;&amp;amp;lt'"</definedName>
    <definedName name="_AMO_ContentDefinition_316789590.478" hidden="1">"';RHSItem&amp;amp;gt;&amp;amp;lt;RHSType&amp;amp;gt;EXPRESSION&amp;amp;lt;/RHSType&amp;amp;gt;&amp;amp;lt;AddQuotes&amp;amp;gt;True&amp;amp;lt;/AddQuotes&amp;amp;gt;&amp;amp;lt;DateFormat&amp;amp;gt;None&amp;amp;lt;/DateFormat&amp;amp;gt;&amp;amp;lt;RightHandSideExpression xml:space=&amp;amp;quot;preserve&amp;amp;q'"</definedName>
    <definedName name="_AMO_ContentDefinition_316789590.479" hidden="1">"'uot;&amp;amp;gt;MFPR01000540&amp;amp;lt;/RightHandSideExpression&amp;amp;gt;&amp;amp;lt;IsSubquery&amp;amp;gt;False&amp;amp;lt;/IsSubquery&amp;amp;gt;&amp;amp;lt;SubqueryTemplateName /&amp;amp;gt;&amp;amp;lt;/RHSItem&amp;amp;gt;&amp;amp;lt;RHSItem&amp;amp;gt;&amp;amp;lt;RHSType&amp;amp;gt;EXPRESSION&amp;amp;lt;/RH'"</definedName>
    <definedName name="_AMO_ContentDefinition_316789590.48" hidden="1">"'D;&amp;#xA;'MFPR01001791',&amp;#xD;&amp;#xA;'MFPR01001792',&amp;#xD;&amp;#xA;'MFPR01001793',&amp;#xD;&amp;#xA;'MFPR01001794',&amp;#xD;&amp;#xA;'MFPR01001796',&amp;#xD;&amp;#xA;'MFPR01001797',&amp;#xD;&amp;#xA;'MFPR01001798',&amp;#xD;&amp;#xA;'MFPR01001799',&amp;#xD;&amp;#xA;'MFPR01001800',&amp;#xD;&amp;#xA;'MFPR01001801',&amp;#xD'"</definedName>
    <definedName name="_AMO_ContentDefinition_316789590.480" hidden="1">"'SType&amp;amp;gt;&amp;amp;lt;AddQuotes&amp;amp;gt;True&amp;amp;lt;/AddQuotes&amp;amp;gt;&amp;amp;lt;DateFormat&amp;amp;gt;None&amp;amp;lt;/DateFormat&amp;amp;gt;&amp;amp;lt;RightHandSideExpression xml:space=&amp;amp;quot;preserve&amp;amp;quot;&amp;amp;gt;MFPR01000541&amp;amp;lt;/RightHandSideExpression&amp;amp'"</definedName>
    <definedName name="_AMO_ContentDefinition_316789590.481"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316789590.482" hidden="1">"'&amp;amp;gt;&amp;amp;lt;DateFormat&amp;amp;gt;None&amp;amp;lt;/DateFormat&amp;amp;gt;&amp;amp;lt;RightHandSideExpression xml:space=&amp;amp;quot;preserve&amp;amp;quot;&amp;amp;gt;MFPR01000545&amp;amp;lt;/RightHandSideExpression&amp;amp;gt;&amp;amp;lt;IsSubquery&amp;amp;gt;False&amp;amp;lt;/IsSubquery&amp;amp;g'"</definedName>
    <definedName name="_AMO_ContentDefinition_316789590.483"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316789590.484" hidden="1">"'p;gt;&amp;amp;lt;RightHandSideExpression xml:space=&amp;amp;quot;preserve&amp;amp;quot;&amp;amp;gt;MFPR01000546&amp;amp;lt;/RightHandSideExpression&amp;amp;gt;&amp;amp;lt;IsSubquery&amp;amp;gt;False&amp;amp;lt;/IsSubquery&amp;amp;gt;&amp;amp;lt;SubqueryTemplateName /&amp;amp;gt;&amp;amp;lt;/RHSItem&amp;amp'"</definedName>
    <definedName name="_AMO_ContentDefinition_316789590.485" hidden="1">"';gt;&amp;amp;lt;RHSItem&amp;amp;gt;&amp;amp;lt;RHSType&amp;amp;gt;EXPRESSION&amp;amp;lt;/RHSType&amp;amp;gt;&amp;amp;lt;AddQuotes&amp;amp;gt;True&amp;amp;lt;/AddQuotes&amp;amp;gt;&amp;amp;lt;DateFormat&amp;amp;gt;None&amp;amp;lt;/DateFormat&amp;amp;gt;&amp;amp;lt;RightHandSideExpression xml:space=&amp;amp;quot;pre'"</definedName>
    <definedName name="_AMO_ContentDefinition_316789590.486" hidden="1">"'serve&amp;amp;quot;&amp;amp;gt;MFPR01000547&amp;amp;lt;/RightHandSideExpression&amp;amp;gt;&amp;amp;lt;IsSubquery&amp;amp;gt;False&amp;amp;lt;/IsSubquery&amp;amp;gt;&amp;amp;lt;SubqueryTemplateName /&amp;amp;gt;&amp;amp;lt;/RHSItem&amp;amp;gt;&amp;amp;lt;RHSItem&amp;amp;gt;&amp;amp;lt;RHSType&amp;amp;gt;EXPRESSION'"</definedName>
    <definedName name="_AMO_ContentDefinition_316789590.487" hidden="1">"'&amp;amp;lt;/RHSType&amp;amp;gt;&amp;amp;lt;AddQuotes&amp;amp;gt;True&amp;amp;lt;/AddQuotes&amp;amp;gt;&amp;amp;lt;DateFormat&amp;amp;gt;None&amp;amp;lt;/DateFormat&amp;amp;gt;&amp;amp;lt;RightHandSideExpression xml:space=&amp;amp;quot;preserve&amp;amp;quot;&amp;amp;gt;MFPR01000549&amp;amp;lt;/RightHandSideExp'"</definedName>
    <definedName name="_AMO_ContentDefinition_316789590.488"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489" hidden="1">"';/AddQuotes&amp;amp;gt;&amp;amp;lt;DateFormat&amp;amp;gt;None&amp;amp;lt;/DateFormat&amp;amp;gt;&amp;amp;lt;RightHandSideExpression xml:space=&amp;amp;quot;preserve&amp;amp;quot;&amp;amp;gt;MFPR01000550&amp;amp;lt;/RightHandSideExpression&amp;amp;gt;&amp;amp;lt;IsSubquery&amp;amp;gt;False&amp;amp;lt;/IsSub'"</definedName>
    <definedName name="_AMO_ContentDefinition_316789590.49" hidden="1">"';&amp;#xA;'MFPR01001803',&amp;#xD;&amp;#xA;'MFPR01001804',&amp;#xD;&amp;#xA;'MFPR01001808',&amp;#xD;&amp;#xA;'MFPR01001816',&amp;#xD;&amp;#xA;'MFPR01001817',&amp;#xD;&amp;#xA;'MFPR01001818',&amp;#xD;&amp;#xA;'MFPR01001822',&amp;#xD;&amp;#xA;'MFPR01001830',&amp;#xD;&amp;#xA;'MFPR01001833',&amp;#xD;&amp;#xA;'MFPR01001839',&amp;#xD;'"</definedName>
    <definedName name="_AMO_ContentDefinition_316789590.490"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316789590.491" hidden="1">"'teFormat&amp;amp;gt;&amp;amp;lt;RightHandSideExpression xml:space=&amp;amp;quot;preserve&amp;amp;quot;&amp;amp;gt;MFPR01000551&amp;amp;lt;/RightHandSideExpression&amp;amp;gt;&amp;amp;lt;IsSubquery&amp;amp;gt;False&amp;amp;lt;/IsSubquery&amp;amp;gt;&amp;amp;lt;SubqueryTemplateName /&amp;amp;gt;&amp;amp;lt;/'"</definedName>
    <definedName name="_AMO_ContentDefinition_316789590.492" hidden="1">"'RHSItem&amp;amp;gt;&amp;amp;lt;RHSItem&amp;amp;gt;&amp;amp;lt;RHSType&amp;amp;gt;EXPRESSION&amp;amp;lt;/RHSType&amp;amp;gt;&amp;amp;lt;AddQuotes&amp;amp;gt;True&amp;amp;lt;/AddQuotes&amp;amp;gt;&amp;amp;lt;DateFormat&amp;amp;gt;None&amp;amp;lt;/DateFormat&amp;amp;gt;&amp;amp;lt;RightHandSideExpression xml:space=&amp;a'"</definedName>
    <definedName name="_AMO_ContentDefinition_316789590.493" hidden="1">"'mp;quot;preserve&amp;amp;quot;&amp;amp;gt;MFPR01000552&amp;amp;lt;/RightHandSideExpression&amp;amp;gt;&amp;amp;lt;IsSubquery&amp;amp;gt;False&amp;amp;lt;/IsSubquery&amp;amp;gt;&amp;amp;lt;SubqueryTemplateName /&amp;amp;gt;&amp;amp;lt;/RHSItem&amp;amp;gt;&amp;amp;lt;RHSItem&amp;amp;gt;&amp;amp;lt;RHSType&amp;amp;gt'"</definedName>
    <definedName name="_AMO_ContentDefinition_316789590.494" hidden="1">"';EXPRESSION&amp;amp;lt;/RHSType&amp;amp;gt;&amp;amp;lt;AddQuotes&amp;amp;gt;True&amp;amp;lt;/AddQuotes&amp;amp;gt;&amp;amp;lt;DateFormat&amp;amp;gt;None&amp;amp;lt;/DateFormat&amp;amp;gt;&amp;amp;lt;RightHandSideExpression xml:space=&amp;amp;quot;preserve&amp;amp;quot;&amp;amp;gt;MFPR01000556&amp;amp;lt;/Right'"</definedName>
    <definedName name="_AMO_ContentDefinition_316789590.495"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316789590.496" hidden="1">"'True&amp;amp;lt;/AddQuotes&amp;amp;gt;&amp;amp;lt;DateFormat&amp;amp;gt;None&amp;amp;lt;/DateFormat&amp;amp;gt;&amp;amp;lt;RightHandSideExpression xml:space=&amp;amp;quot;preserve&amp;amp;quot;&amp;amp;gt;MFPR01000563&amp;amp;lt;/RightHandSideExpression&amp;amp;gt;&amp;amp;lt;IsSubquery&amp;amp;gt;False&amp;am'"</definedName>
    <definedName name="_AMO_ContentDefinition_316789590.497"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316789590.498" hidden="1">"'&amp;amp;lt;/DateFormat&amp;amp;gt;&amp;amp;lt;RightHandSideExpression xml:space=&amp;amp;quot;preserve&amp;amp;quot;&amp;amp;gt;MFPR01000567&amp;amp;lt;/RightHandSideExpression&amp;amp;gt;&amp;amp;lt;IsSubquery&amp;amp;gt;False&amp;amp;lt;/IsSubquery&amp;amp;gt;&amp;amp;lt;SubqueryTemplateName /&amp;amp;g'"</definedName>
    <definedName name="_AMO_ContentDefinition_316789590.499" hidden="1">"'t;&amp;amp;lt;/RHSItem&amp;amp;gt;&amp;amp;lt;RHSItem&amp;amp;gt;&amp;amp;lt;RHSType&amp;amp;gt;EXPRESSION&amp;amp;lt;/RHSType&amp;amp;gt;&amp;amp;lt;AddQuotes&amp;amp;gt;True&amp;amp;lt;/AddQuotes&amp;amp;gt;&amp;amp;lt;DateFormat&amp;amp;gt;None&amp;amp;lt;/DateFormat&amp;amp;gt;&amp;amp;lt;RightHandSideExpression x'"</definedName>
    <definedName name="_AMO_ContentDefinition_316789590.5" hidden="1">"''MFPR01000021',&amp;#xD;&amp;#xA;'MFPR01000022',&amp;#xD;&amp;#xA;'MFPR01000023',&amp;#xD;&amp;#xA;'MFPR01000024',&amp;#xD;&amp;#xA;'MFPR01000032',&amp;#xD;&amp;#xA;'MFPR01000049',&amp;#xD;&amp;#xA;'MFPR01000066',&amp;#xD;&amp;#xA;'MFPR01000083',&amp;#xD;&amp;#xA;'MFPR01000089',&amp;#xD;&amp;#xA;'MFPR01000095',&amp;#xD;&amp;#xA;''"</definedName>
    <definedName name="_AMO_ContentDefinition_316789590.50" hidden="1">"'&amp;#xA;'MFPR01001840',&amp;#xD;&amp;#xA;'MFPR01001841',&amp;#xD;&amp;#xA;'MFPR01001843',&amp;#xD;&amp;#xA;'MFPR01001844',&amp;#xD;&amp;#xA;'MFPR01001845',&amp;#xD;&amp;#xA;'MFPR01001846',&amp;#xD;&amp;#xA;'MFPR01001850',&amp;#xD;&amp;#xA;'MFPR01001857',&amp;#xD;&amp;#xA;'MFPR01001862',&amp;#xD;&amp;#xA;'MFPR01001864',&amp;#xD;&amp;'"</definedName>
    <definedName name="_AMO_ContentDefinition_316789590.500" hidden="1">"'ml:space=&amp;amp;quot;preserve&amp;amp;quot;&amp;amp;gt;MFPR01000568&amp;amp;lt;/RightHandSideExpression&amp;amp;gt;&amp;amp;lt;IsSubquery&amp;amp;gt;False&amp;amp;lt;/IsSubquery&amp;amp;gt;&amp;amp;lt;SubqueryTemplateName /&amp;amp;gt;&amp;amp;lt;/RHSItem&amp;amp;gt;&amp;amp;lt;RHSItem&amp;amp;gt;&amp;amp;lt;RHS'"</definedName>
    <definedName name="_AMO_ContentDefinition_316789590.501" hidden="1">"'Type&amp;amp;gt;EXPRESSION&amp;amp;lt;/RHSType&amp;amp;gt;&amp;amp;lt;AddQuotes&amp;amp;gt;True&amp;amp;lt;/AddQuotes&amp;amp;gt;&amp;amp;lt;DateFormat&amp;amp;gt;None&amp;amp;lt;/DateFormat&amp;amp;gt;&amp;amp;lt;RightHandSideExpression xml:space=&amp;amp;quot;preserve&amp;amp;quot;&amp;amp;gt;MFPR01000569&amp;am'"</definedName>
    <definedName name="_AMO_ContentDefinition_316789590.502"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316789590.503" hidden="1">"'tes&amp;amp;gt;True&amp;amp;lt;/AddQuotes&amp;amp;gt;&amp;amp;lt;DateFormat&amp;amp;gt;None&amp;amp;lt;/DateFormat&amp;amp;gt;&amp;amp;lt;RightHandSideExpression xml:space=&amp;amp;quot;preserve&amp;amp;quot;&amp;amp;gt;MFPR01000577&amp;amp;lt;/RightHandSideExpression&amp;amp;gt;&amp;amp;lt;IsSubquery&amp;amp;'"</definedName>
    <definedName name="_AMO_ContentDefinition_316789590.504"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316789590.505" hidden="1">"'amp;gt;None&amp;amp;lt;/DateFormat&amp;amp;gt;&amp;amp;lt;RightHandSideExpression xml:space=&amp;amp;quot;preserve&amp;amp;quot;&amp;amp;gt;MFPR01000588&amp;amp;lt;/RightHandSideExpression&amp;amp;gt;&amp;amp;lt;IsSubquery&amp;amp;gt;False&amp;amp;lt;/IsSubquery&amp;amp;gt;&amp;amp;lt;SubqueryTemplateN'"</definedName>
    <definedName name="_AMO_ContentDefinition_316789590.506"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316789590.507" hidden="1">"'xpression xml:space=&amp;amp;quot;preserve&amp;amp;quot;&amp;amp;gt;MFPR01000589&amp;amp;lt;/RightHandSideExpression&amp;amp;gt;&amp;amp;lt;IsSubquery&amp;amp;gt;False&amp;amp;lt;/IsSubquery&amp;amp;gt;&amp;amp;lt;SubqueryTemplateName /&amp;amp;gt;&amp;amp;lt;/RHSItem&amp;amp;gt;&amp;amp;lt;RHSItem&amp;amp;gt;'"</definedName>
    <definedName name="_AMO_ContentDefinition_316789590.508" hidden="1">"'&amp;amp;lt;RHSType&amp;amp;gt;EXPRESSION&amp;amp;lt;/RHSType&amp;amp;gt;&amp;amp;lt;AddQuotes&amp;amp;gt;True&amp;amp;lt;/AddQuotes&amp;amp;gt;&amp;amp;lt;DateFormat&amp;amp;gt;None&amp;amp;lt;/DateFormat&amp;amp;gt;&amp;amp;lt;RightHandSideExpression xml:space=&amp;amp;quot;preserve&amp;amp;quot;&amp;amp;gt;MFPR'"</definedName>
    <definedName name="_AMO_ContentDefinition_316789590.509" hidden="1">"'01000590&amp;amp;lt;/RightHandSideExpression&amp;amp;gt;&amp;amp;lt;IsSubquery&amp;amp;gt;False&amp;amp;lt;/IsSubquery&amp;amp;gt;&amp;amp;lt;SubqueryTemplateName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316789590.51" hidden="1">"'#xA;'MFPR01001865',&amp;#xD;&amp;#xA;'MFPR01001866',&amp;#xD;&amp;#xA;'MFPR01001868',&amp;#xD;&amp;#xA;'MFPR01001869',&amp;#xD;&amp;#xA;'MFPR01001870',&amp;#xD;&amp;#xA;'MFPR01001871',&amp;#xD;&amp;#xA;'MFPR01001875',&amp;#xD;&amp;#xA;'MFPR01001883',&amp;#xD;&amp;#xA;'MFPR01001887',&amp;#xD;&amp;#xA;'MFPR01001893',&amp;#xD;&amp;#'"</definedName>
    <definedName name="_AMO_ContentDefinition_316789590.510" hidden="1">"'p;lt;AddQuotes&amp;amp;gt;True&amp;amp;lt;/AddQuotes&amp;amp;gt;&amp;amp;lt;DateFormat&amp;amp;gt;None&amp;amp;lt;/DateFormat&amp;amp;gt;&amp;amp;lt;RightHandSideExpression xml:space=&amp;amp;quot;preserve&amp;amp;quot;&amp;amp;gt;MFPR01000592&amp;amp;lt;/RightHandSideExpression&amp;amp;gt;&amp;amp;lt;IsSu'"</definedName>
    <definedName name="_AMO_ContentDefinition_316789590.511"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316789590.512" hidden="1">"'DateFormat&amp;amp;gt;None&amp;amp;lt;/DateFormat&amp;amp;gt;&amp;amp;lt;RightHandSideExpression xml:space=&amp;amp;quot;preserve&amp;amp;quot;&amp;amp;gt;MFPR01000593&amp;amp;lt;/RightHandSideExpression&amp;amp;gt;&amp;amp;lt;IsSubquery&amp;amp;gt;False&amp;amp;lt;/IsSubquery&amp;amp;gt;&amp;amp;lt;Subque'"</definedName>
    <definedName name="_AMO_ContentDefinition_316789590.513"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316789590.514" hidden="1">"'htHandSideExpression xml:space=&amp;amp;quot;preserve&amp;amp;quot;&amp;amp;gt;MFPR01000594&amp;amp;lt;/RightHandSideExpression&amp;amp;gt;&amp;amp;lt;IsSubquery&amp;amp;gt;False&amp;amp;lt;/IsSubquery&amp;amp;gt;&amp;amp;lt;SubqueryTemplateName /&amp;amp;gt;&amp;amp;lt;/RHSItem&amp;amp;gt;&amp;amp;lt;RHSI'"</definedName>
    <definedName name="_AMO_ContentDefinition_316789590.515" hidden="1">"'tem&amp;amp;gt;&amp;amp;lt;RHSType&amp;amp;gt;EXPRESSION&amp;amp;lt;/RHSType&amp;amp;gt;&amp;amp;lt;AddQuotes&amp;amp;gt;True&amp;amp;lt;/AddQuotes&amp;amp;gt;&amp;amp;lt;DateFormat&amp;amp;gt;None&amp;amp;lt;/DateFormat&amp;amp;gt;&amp;amp;lt;RightHandSideExpression xml:space=&amp;amp;quot;preserve&amp;amp;quot;&amp;'"</definedName>
    <definedName name="_AMO_ContentDefinition_316789590.516" hidden="1">"'amp;gt;MFPR01000595&amp;amp;lt;/RightHandSideExpression&amp;amp;gt;&amp;amp;lt;IsSubquery&amp;amp;gt;False&amp;amp;lt;/IsSubquery&amp;amp;gt;&amp;amp;lt;SubqueryTemplateName /&amp;amp;gt;&amp;amp;lt;/RHSItem&amp;amp;gt;&amp;amp;lt;RHSItem&amp;amp;gt;&amp;amp;lt;RHSType&amp;amp;gt;EXPRESSION&amp;amp;lt;/RHSType'"</definedName>
    <definedName name="_AMO_ContentDefinition_316789590.517" hidden="1">"'&amp;amp;gt;&amp;amp;lt;AddQuotes&amp;amp;gt;True&amp;amp;lt;/AddQuotes&amp;amp;gt;&amp;amp;lt;DateFormat&amp;amp;gt;None&amp;amp;lt;/DateFormat&amp;amp;gt;&amp;amp;lt;RightHandSideExpression xml:space=&amp;amp;quot;preserve&amp;amp;quot;&amp;amp;gt;MFPR01000599&amp;amp;lt;/RightHandSideExpression&amp;amp;gt;&amp;'"</definedName>
    <definedName name="_AMO_ContentDefinition_316789590.518"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316789590.519" hidden="1">"'gt;&amp;amp;lt;DateFormat&amp;amp;gt;None&amp;amp;lt;/DateFormat&amp;amp;gt;&amp;amp;lt;RightHandSideExpression xml:space=&amp;amp;quot;preserve&amp;amp;quot;&amp;amp;gt;MFPR01000605&amp;amp;lt;/RightHandSideExpression&amp;amp;gt;&amp;amp;lt;IsSubquery&amp;amp;gt;False&amp;amp;lt;/IsSubquery&amp;amp;gt;&amp;am'"</definedName>
    <definedName name="_AMO_ContentDefinition_316789590.52" hidden="1">"'xA;'MFPR01001901',&amp;#xD;&amp;#xA;'MFPR01001902',&amp;#xD;&amp;#xA;'MFPR01001906',&amp;#xD;&amp;#xA;'MFPR01001915',&amp;#xD;&amp;#xA;'MFPR01001916',&amp;#xD;&amp;#xA;'MFPR01001920',&amp;#xD;&amp;#xA;'MFPR01001928',&amp;#xD;&amp;#xA;'MFPR01001931',&amp;#xD;&amp;#xA;'MFPR01001937',&amp;#xD;&amp;#xA;'MFPR01001938',&amp;#xD;&amp;#x'"</definedName>
    <definedName name="_AMO_ContentDefinition_316789590.520"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316789590.521" hidden="1">"'&amp;amp;lt;RightHandSideExpression xml:space=&amp;amp;quot;preserve&amp;amp;quot;&amp;amp;gt;MFPR01000609&amp;amp;lt;/RightHandSideExpression&amp;amp;gt;&amp;amp;lt;IsSubquery&amp;amp;gt;False&amp;amp;lt;/IsSubquery&amp;amp;gt;&amp;amp;lt;SubqueryTemplateName /&amp;amp;gt;&amp;amp;lt;/RHSItem&amp;amp;gt;&amp;'"</definedName>
    <definedName name="_AMO_ContentDefinition_316789590.522"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316789590.523" hidden="1">"'&amp;amp;quot;&amp;amp;gt;MFPR01000610&amp;amp;lt;/RightHandSideExpression&amp;amp;gt;&amp;amp;lt;IsSubquery&amp;amp;gt;False&amp;amp;lt;/IsSubquery&amp;amp;gt;&amp;amp;lt;SubqueryTemplateName /&amp;amp;gt;&amp;amp;lt;/RHSItem&amp;amp;gt;&amp;amp;lt;RHSItem&amp;amp;gt;&amp;amp;lt;RHSType&amp;amp;gt;EXPRESSION&amp;amp;'"</definedName>
    <definedName name="_AMO_ContentDefinition_316789590.524" hidden="1">"'lt;/RHSType&amp;amp;gt;&amp;amp;lt;AddQuotes&amp;amp;gt;True&amp;amp;lt;/AddQuotes&amp;amp;gt;&amp;amp;lt;DateFormat&amp;amp;gt;None&amp;amp;lt;/DateFormat&amp;amp;gt;&amp;amp;lt;RightHandSideExpression xml:space=&amp;amp;quot;preserve&amp;amp;quot;&amp;amp;gt;MFPR01000614&amp;amp;lt;/RightHandSideExpressi'"</definedName>
    <definedName name="_AMO_ContentDefinition_316789590.525"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316789590.526" hidden="1">"'Quotes&amp;amp;gt;&amp;amp;lt;DateFormat&amp;amp;gt;None&amp;amp;lt;/DateFormat&amp;amp;gt;&amp;amp;lt;RightHandSideExpression xml:space=&amp;amp;quot;preserve&amp;amp;quot;&amp;amp;gt;MFPR01000615&amp;amp;lt;/RightHandSideExpression&amp;amp;gt;&amp;amp;lt;IsSubquery&amp;amp;gt;False&amp;amp;lt;/IsSubquery'"</definedName>
    <definedName name="_AMO_ContentDefinition_316789590.527"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316789590.528" hidden="1">"'mat&amp;amp;gt;&amp;amp;lt;RightHandSideExpression xml:space=&amp;amp;quot;preserve&amp;amp;quot;&amp;amp;gt;MFPR01000616&amp;amp;lt;/RightHandSideExpression&amp;amp;gt;&amp;amp;lt;IsSubquery&amp;amp;gt;False&amp;amp;lt;/IsSubquery&amp;amp;gt;&amp;amp;lt;SubqueryTemplateName /&amp;amp;gt;&amp;amp;lt;/RHSIt'"</definedName>
    <definedName name="_AMO_ContentDefinition_316789590.529" hidden="1">"'em&amp;amp;gt;&amp;amp;lt;RHSItem&amp;amp;gt;&amp;amp;lt;RHSType&amp;amp;gt;EXPRESSION&amp;amp;lt;/RHSType&amp;amp;gt;&amp;amp;lt;AddQuotes&amp;amp;gt;True&amp;amp;lt;/AddQuotes&amp;amp;gt;&amp;amp;lt;DateFormat&amp;amp;gt;None&amp;amp;lt;/DateFormat&amp;amp;gt;&amp;amp;lt;RightHandSideExpression xml:space=&amp;amp;qu'"</definedName>
    <definedName name="_AMO_ContentDefinition_316789590.53" hidden="1">"'A;'MFPR01001939',&amp;#xD;&amp;#xA;'MFPR01001941',&amp;#xD;&amp;#xA;'MFPR01001942',&amp;#xD;&amp;#xA;'MFPR01001943',&amp;#xD;&amp;#xA;'MFPR01001944',&amp;#xD;&amp;#xA;'MFPR01001948',&amp;#xD;&amp;#xA;'MFPR01001955',&amp;#xD;&amp;#xA;'MFPR01001962',&amp;#xD;&amp;#xA;'MFPR01001963',&amp;#xD;&amp;#xA;'MFPR01001964',&amp;#xD;&amp;#xA'"</definedName>
    <definedName name="_AMO_ContentDefinition_316789590.530" hidden="1">"'ot;preserve&amp;amp;quot;&amp;amp;gt;MFPR01000618&amp;amp;lt;/RightHandSideExpression&amp;amp;gt;&amp;amp;lt;IsSubquery&amp;amp;gt;False&amp;amp;lt;/IsSubquery&amp;amp;gt;&amp;amp;lt;SubqueryTemplateName /&amp;amp;gt;&amp;amp;lt;/RHSItem&amp;amp;gt;&amp;amp;lt;RHSItem&amp;amp;gt;&amp;amp;lt;RHSType&amp;amp;gt;EXPR'"</definedName>
    <definedName name="_AMO_ContentDefinition_316789590.531" hidden="1">"'ESSION&amp;amp;lt;/RHSType&amp;amp;gt;&amp;amp;lt;AddQuotes&amp;amp;gt;True&amp;amp;lt;/AddQuotes&amp;amp;gt;&amp;amp;lt;DateFormat&amp;amp;gt;None&amp;amp;lt;/DateFormat&amp;amp;gt;&amp;amp;lt;RightHandSideExpression xml:space=&amp;amp;quot;preserve&amp;amp;quot;&amp;amp;gt;MFPR01000619&amp;amp;lt;/RightHandS'"</definedName>
    <definedName name="_AMO_ContentDefinition_316789590.532"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316789590.533" hidden="1">"'amp;lt;/AddQuotes&amp;amp;gt;&amp;amp;lt;DateFormat&amp;amp;gt;None&amp;amp;lt;/DateFormat&amp;amp;gt;&amp;amp;lt;RightHandSideExpression xml:space=&amp;amp;quot;preserve&amp;amp;quot;&amp;amp;gt;MFPR01000620&amp;amp;lt;/RightHandSideExpression&amp;amp;gt;&amp;amp;lt;IsSubquery&amp;amp;gt;False&amp;amp;lt;'"</definedName>
    <definedName name="_AMO_ContentDefinition_316789590.534"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316789590.535" hidden="1">"'lt;/DateFormat&amp;amp;gt;&amp;amp;lt;RightHandSideExpression xml:space=&amp;amp;quot;preserve&amp;amp;quot;&amp;amp;gt;MFPR01000621&amp;amp;lt;/RightHandSideExpression&amp;amp;gt;&amp;amp;lt;IsSubquery&amp;amp;gt;False&amp;amp;lt;/IsSubquery&amp;amp;gt;&amp;amp;lt;SubqueryTemplateName /&amp;amp;gt;&amp;am'"</definedName>
    <definedName name="_AMO_ContentDefinition_316789590.536" hidden="1">"'p;lt;/RHSItem&amp;amp;gt;&amp;amp;lt;RHSItem&amp;amp;gt;&amp;amp;lt;RHSType&amp;amp;gt;EXPRESSION&amp;amp;lt;/RHSType&amp;amp;gt;&amp;amp;lt;AddQuotes&amp;amp;gt;True&amp;amp;lt;/AddQuotes&amp;amp;gt;&amp;amp;lt;DateFormat&amp;amp;gt;None&amp;amp;lt;/DateFormat&amp;amp;gt;&amp;amp;lt;RightHandSideExpression xml:sp'"</definedName>
    <definedName name="_AMO_ContentDefinition_316789590.537" hidden="1">"'ace=&amp;amp;quot;preserve&amp;amp;quot;&amp;amp;gt;MFPR01000625&amp;amp;lt;/RightHandSideExpression&amp;amp;gt;&amp;amp;lt;IsSubquery&amp;amp;gt;False&amp;amp;lt;/IsSubquery&amp;amp;gt;&amp;amp;lt;SubqueryTemplateName /&amp;amp;gt;&amp;amp;lt;/RHSItem&amp;amp;gt;&amp;amp;lt;RHSItem&amp;amp;gt;&amp;amp;lt;RHSType&amp;'"</definedName>
    <definedName name="_AMO_ContentDefinition_316789590.538" hidden="1">"'amp;gt;EXPRESSION&amp;amp;lt;/RHSType&amp;amp;gt;&amp;amp;lt;AddQuotes&amp;amp;gt;True&amp;amp;lt;/AddQuotes&amp;amp;gt;&amp;amp;lt;DateFormat&amp;amp;gt;None&amp;amp;lt;/DateFormat&amp;amp;gt;&amp;amp;lt;RightHandSideExpression xml:space=&amp;amp;quot;preserve&amp;amp;quot;&amp;amp;gt;MFPR01000632&amp;amp;lt;'"</definedName>
    <definedName name="_AMO_ContentDefinition_316789590.539"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316789590.54" hidden="1">"';'MFPR01001966',&amp;#xD;&amp;#xA;'MFPR01001967',&amp;#xD;&amp;#xA;'MFPR01001968',&amp;#xD;&amp;#xA;'MFPR01001969',&amp;#xD;&amp;#xA;'MFPR01001973',&amp;#xD;&amp;#xA;'MFPR01001981',&amp;#xD;&amp;#xA;'MFPR01001985',&amp;#xD;&amp;#xA;'MFPR01001991',&amp;#xD;&amp;#xA;'MFPR01002000',&amp;#xD;&amp;#xA;'MFPR01002001',&amp;#xD;&amp;#xA;'"</definedName>
    <definedName name="_AMO_ContentDefinition_316789590.540" hidden="1">"'mp;gt;True&amp;amp;lt;/AddQuotes&amp;amp;gt;&amp;amp;lt;DateFormat&amp;amp;gt;None&amp;amp;lt;/DateFormat&amp;amp;gt;&amp;amp;lt;RightHandSideExpression xml:space=&amp;amp;quot;preserve&amp;amp;quot;&amp;amp;gt;MFPR01000636&amp;amp;lt;/RightHandSideExpression&amp;amp;gt;&amp;amp;lt;IsSubquery&amp;amp;gt;Fa'"</definedName>
    <definedName name="_AMO_ContentDefinition_316789590.541"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316789590.542" hidden="1">"'t;None&amp;amp;lt;/DateFormat&amp;amp;gt;&amp;amp;lt;RightHandSideExpression xml:space=&amp;amp;quot;preserve&amp;amp;quot;&amp;amp;gt;MFPR01000637&amp;amp;lt;/RightHandSideExpression&amp;amp;gt;&amp;amp;lt;IsSubquery&amp;amp;gt;False&amp;amp;lt;/IsSubquery&amp;amp;gt;&amp;amp;lt;SubqueryTemplateName /'"</definedName>
    <definedName name="_AMO_ContentDefinition_316789590.543"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316789590.544" hidden="1">"'sion xml:space=&amp;amp;quot;preserve&amp;amp;quot;&amp;amp;gt;MFPR01000638&amp;amp;lt;/RightHandSideExpression&amp;amp;gt;&amp;amp;lt;IsSubquery&amp;amp;gt;False&amp;amp;lt;/IsSubquery&amp;amp;gt;&amp;amp;lt;SubqueryTemplateName /&amp;amp;gt;&amp;amp;lt;/RHSItem&amp;amp;gt;&amp;amp;lt;RHSItem&amp;amp;gt;&amp;amp;'"</definedName>
    <definedName name="_AMO_ContentDefinition_316789590.545" hidden="1">"'lt;RHSType&amp;amp;gt;EXPRESSION&amp;amp;lt;/RHSType&amp;amp;gt;&amp;amp;lt;AddQuotes&amp;amp;gt;True&amp;amp;lt;/AddQuotes&amp;amp;gt;&amp;amp;lt;DateFormat&amp;amp;gt;None&amp;amp;lt;/DateFormat&amp;amp;gt;&amp;amp;lt;RightHandSideExpression xml:space=&amp;amp;quot;preserve&amp;amp;quot;&amp;amp;gt;MFPR01000'"</definedName>
    <definedName name="_AMO_ContentDefinition_316789590.546" hidden="1">"'646&amp;amp;lt;/RightHandSideExpression&amp;amp;gt;&amp;amp;lt;IsSubquery&amp;amp;gt;False&amp;amp;lt;/IsSubquery&amp;amp;gt;&amp;amp;lt;SubqueryTemplateName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316789590.547" hidden="1">"'AddQuotes&amp;amp;gt;True&amp;amp;lt;/AddQuotes&amp;amp;gt;&amp;amp;lt;DateFormat&amp;amp;gt;None&amp;amp;lt;/DateFormat&amp;amp;gt;&amp;amp;lt;RightHandSideExpression xml:space=&amp;amp;quot;preserve&amp;amp;quot;&amp;amp;gt;MFPR01000657&amp;amp;lt;/RightHandSideExpression&amp;amp;gt;&amp;amp;lt;IsSubquer'"</definedName>
    <definedName name="_AMO_ContentDefinition_316789590.548"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316789590.549" hidden="1">"'ormat&amp;amp;gt;None&amp;amp;lt;/DateFormat&amp;amp;gt;&amp;amp;lt;RightHandSideExpression xml:space=&amp;amp;quot;preserve&amp;amp;quot;&amp;amp;gt;MFPR01000658&amp;amp;lt;/RightHandSideExpression&amp;amp;gt;&amp;amp;lt;IsSubquery&amp;amp;gt;False&amp;amp;lt;/IsSubquery&amp;amp;gt;&amp;amp;lt;SubqueryTem'"</definedName>
    <definedName name="_AMO_ContentDefinition_316789590.55" hidden="1">"''MFPR01002002',&amp;#xD;&amp;#xA;'MFPR01002004',&amp;#xD;&amp;#xA;'MFPR01002005',&amp;#xD;&amp;#xA;'MFPR01002006',&amp;#xD;&amp;#xA;'MFPR01002007',&amp;#xD;&amp;#xA;'MFPR01002012',&amp;#xD;&amp;#xA;'MFPR01002018',&amp;#xD;&amp;#xA;'MFPR01002022',&amp;#xD;&amp;#xA;'MFPR01002023',&amp;#xD;&amp;#xA;'MFPR01002027',&amp;#xD;&amp;#xA;''"</definedName>
    <definedName name="_AMO_ContentDefinition_316789590.550"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316789590.551" hidden="1">"'dSideExpression xml:space=&amp;amp;quot;preserve&amp;amp;quot;&amp;amp;gt;MFPR01000659&amp;amp;lt;/RightHandSideExpression&amp;amp;gt;&amp;amp;lt;IsSubquery&amp;amp;gt;False&amp;amp;lt;/IsSubquery&amp;amp;gt;&amp;amp;lt;SubqueryTemplateName /&amp;amp;gt;&amp;amp;lt;/RHSItem&amp;amp;gt;&amp;amp;lt;RHSItem&amp;a'"</definedName>
    <definedName name="_AMO_ContentDefinition_316789590.552"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316789590.553" hidden="1">"'t;MFPR01000661&amp;amp;lt;/RightHandSideExpression&amp;amp;gt;&amp;amp;lt;IsSubquery&amp;amp;gt;False&amp;amp;lt;/IsSubquery&amp;amp;gt;&amp;amp;lt;SubqueryTemplateName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316789590.554" hidden="1">"'gt;&amp;amp;lt;AddQuotes&amp;amp;gt;True&amp;amp;lt;/AddQuotes&amp;amp;gt;&amp;amp;lt;DateFormat&amp;amp;gt;None&amp;amp;lt;/DateFormat&amp;amp;gt;&amp;amp;lt;RightHandSideExpression xml:space=&amp;amp;quot;preserve&amp;amp;quot;&amp;amp;gt;MFPR01000662&amp;amp;lt;/RightHandSideExpression&amp;amp;gt;&amp;amp;l'"</definedName>
    <definedName name="_AMO_ContentDefinition_316789590.555"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316789590.556" hidden="1">"'mp;lt;DateFormat&amp;amp;gt;None&amp;amp;lt;/DateFormat&amp;amp;gt;&amp;amp;lt;RightHandSideExpression xml:space=&amp;amp;quot;preserve&amp;amp;quot;&amp;amp;gt;MFPR01000663&amp;amp;lt;/RightHandSideExpression&amp;amp;gt;&amp;amp;lt;IsSubquery&amp;amp;gt;False&amp;amp;lt;/IsSubquery&amp;amp;gt;&amp;amp;lt;'"</definedName>
    <definedName name="_AMO_ContentDefinition_316789590.557"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316789590.558" hidden="1">"'lt;RightHandSideExpression xml:space=&amp;amp;quot;preserve&amp;amp;quot;&amp;amp;gt;MFPR01000664&amp;amp;lt;/RightHandSideExpression&amp;amp;gt;&amp;amp;lt;IsSubquery&amp;amp;gt;False&amp;amp;lt;/IsSubquery&amp;amp;gt;&amp;amp;lt;SubqueryTemplateName /&amp;amp;gt;&amp;amp;lt;/RHSItem&amp;amp;gt;&amp;amp;l'"</definedName>
    <definedName name="_AMO_ContentDefinition_316789590.559" hidden="1">"'t;RHSItem&amp;amp;gt;&amp;amp;lt;RHSType&amp;amp;gt;EXPRESSION&amp;amp;lt;/RHSType&amp;amp;gt;&amp;amp;lt;AddQuotes&amp;amp;gt;True&amp;amp;lt;/AddQuotes&amp;amp;gt;&amp;amp;lt;DateFormat&amp;amp;gt;None&amp;amp;lt;/DateFormat&amp;amp;gt;&amp;amp;lt;RightHandSideExpression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316789590.56" hidden="1">"'MFPR01002028',&amp;#xD;&amp;#xA;'MFPR01002029',&amp;#xD;&amp;#xA;'MFPR01002031',&amp;#xD;&amp;#xA;'MFPR01002032',&amp;#xD;&amp;#xA;'MFPR01002033',&amp;#xD;&amp;#xA;'MFPR01002034',&amp;#xD;&amp;#xA;'MFPR01002039',&amp;#xD;&amp;#xA;'MFPR01002045',&amp;#xD;&amp;#xA;'MFPR01002049',&amp;#xD;&amp;#xA;'MFPR01002050',&amp;#xD;&amp;#xA;'M'"</definedName>
    <definedName name="_AMO_ContentDefinition_316789590.560" hidden="1">"'quot;&amp;amp;gt;MFPR01000668&amp;amp;lt;/RightHandSideExpression&amp;amp;gt;&amp;amp;lt;IsSubquery&amp;amp;gt;False&amp;amp;lt;/IsSubquery&amp;amp;gt;&amp;amp;lt;SubqueryTemplateName /&amp;amp;gt;&amp;amp;lt;/RHSItem&amp;amp;gt;&amp;amp;lt;RHSItem&amp;amp;gt;&amp;amp;lt;RHSType&amp;amp;gt;EXPRESSION&amp;amp;lt;/R'"</definedName>
    <definedName name="_AMO_ContentDefinition_316789590.561" hidden="1">"'HSType&amp;amp;gt;&amp;amp;lt;AddQuotes&amp;amp;gt;True&amp;amp;lt;/AddQuotes&amp;amp;gt;&amp;amp;lt;DateFormat&amp;amp;gt;None&amp;amp;lt;/DateFormat&amp;amp;gt;&amp;amp;lt;RightHandSideExpression xml:space=&amp;amp;quot;preserve&amp;amp;quot;&amp;amp;gt;MFPR01000674&amp;amp;lt;/RightHandSideExpression&amp;am'"</definedName>
    <definedName name="_AMO_ContentDefinition_316789590.562"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316789590.563" hidden="1">"'s&amp;amp;gt;&amp;amp;lt;DateFormat&amp;amp;gt;None&amp;amp;lt;/DateFormat&amp;amp;gt;&amp;amp;lt;RightHandSideExpression xml:space=&amp;amp;quot;preserve&amp;amp;quot;&amp;amp;gt;MFPR01000678&amp;amp;lt;/RightHandSideExpression&amp;amp;gt;&amp;amp;lt;IsSubquery&amp;amp;gt;False&amp;amp;lt;/IsSubquery&amp;amp;'"</definedName>
    <definedName name="_AMO_ContentDefinition_316789590.564"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316789590.565" hidden="1">"'mp;gt;&amp;amp;lt;RightHandSideExpression xml:space=&amp;amp;quot;preserve&amp;amp;quot;&amp;amp;gt;MFPR01000679&amp;amp;lt;/RightHandSideExpression&amp;amp;gt;&amp;amp;lt;IsSubquery&amp;amp;gt;False&amp;amp;lt;/IsSubquery&amp;amp;gt;&amp;amp;lt;SubqueryTemplateName /&amp;amp;gt;&amp;amp;lt;/RHSItem&amp;am'"</definedName>
    <definedName name="_AMO_ContentDefinition_316789590.566" hidden="1">"'p;gt;&amp;amp;lt;RHSItem&amp;amp;gt;&amp;amp;lt;RHSType&amp;amp;gt;EXPRESSION&amp;amp;lt;/RHSType&amp;amp;gt;&amp;amp;lt;AddQuotes&amp;amp;gt;True&amp;amp;lt;/AddQuotes&amp;amp;gt;&amp;amp;lt;DateFormat&amp;amp;gt;None&amp;amp;lt;/DateFormat&amp;amp;gt;&amp;amp;lt;RightHandSideExpression xml:space=&amp;amp;quot;pr'"</definedName>
    <definedName name="_AMO_ContentDefinition_316789590.567" hidden="1">"'eserve&amp;amp;quot;&amp;amp;gt;MFPR01000683&amp;amp;lt;/RightHandSideExpression&amp;amp;gt;&amp;amp;lt;IsSubquery&amp;amp;gt;False&amp;amp;lt;/IsSubquery&amp;amp;gt;&amp;amp;lt;SubqueryTemplateName /&amp;amp;gt;&amp;amp;lt;/RHSItem&amp;amp;gt;&amp;amp;lt;RHSItem&amp;amp;gt;&amp;amp;lt;RHSType&amp;amp;gt;EXPRESSIO'"</definedName>
    <definedName name="_AMO_ContentDefinition_316789590.568" hidden="1">"'N&amp;amp;lt;/RHSType&amp;amp;gt;&amp;amp;lt;AddQuotes&amp;amp;gt;True&amp;amp;lt;/AddQuotes&amp;amp;gt;&amp;amp;lt;DateFormat&amp;amp;gt;None&amp;amp;lt;/DateFormat&amp;amp;gt;&amp;amp;lt;RightHandSideExpression xml:space=&amp;amp;quot;preserve&amp;amp;quot;&amp;amp;gt;MFPR01000684&amp;amp;lt;/RightHandSideEx'"</definedName>
    <definedName name="_AMO_ContentDefinition_316789590.569"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316789590.57" hidden="1">"'FPR01002051',&amp;#xD;&amp;#xA;'MFPR01002059',&amp;#xD;&amp;#xA;'MFPR01002070',&amp;#xD;&amp;#xA;'MFPR01002071',&amp;#xD;&amp;#xA;'MFPR01002072',&amp;#xD;&amp;#xA;'MFPR01002074',&amp;#xD;&amp;#xA;'MFPR01002075',&amp;#xD;&amp;#xA;'MFPR01002076',&amp;#xD;&amp;#xA;'MFPR01002077',&amp;#xD;&amp;#xA;'MFPR01002082',&amp;#xD;&amp;#xA;'MF'"</definedName>
    <definedName name="_AMO_ContentDefinition_316789590.570" hidden="1">"'t;/AddQuotes&amp;amp;gt;&amp;amp;lt;DateFormat&amp;amp;gt;None&amp;amp;lt;/DateFormat&amp;amp;gt;&amp;amp;lt;RightHandSideExpression xml:space=&amp;amp;quot;preserve&amp;amp;quot;&amp;amp;gt;MFPR01000685&amp;amp;lt;/RightHandSideExpression&amp;amp;gt;&amp;amp;lt;IsSubquery&amp;amp;gt;False&amp;amp;lt;/IsSu'"</definedName>
    <definedName name="_AMO_ContentDefinition_316789590.571"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316789590.572" hidden="1">"'ateFormat&amp;amp;gt;&amp;amp;lt;RightHandSideExpression xml:space=&amp;amp;quot;preserve&amp;amp;quot;&amp;amp;gt;MFPR01000687&amp;amp;lt;/RightHandSideExpression&amp;amp;gt;&amp;amp;lt;IsSubquery&amp;amp;gt;False&amp;amp;lt;/IsSubquery&amp;amp;gt;&amp;amp;lt;SubqueryTemplateName /&amp;amp;gt;&amp;amp;lt;'"</definedName>
    <definedName name="_AMO_ContentDefinition_316789590.573" hidden="1">"'/RHSItem&amp;amp;gt;&amp;amp;lt;RHSItem&amp;amp;gt;&amp;amp;lt;RHSType&amp;amp;gt;EXPRESSION&amp;amp;lt;/RHSType&amp;amp;gt;&amp;amp;lt;AddQuotes&amp;amp;gt;True&amp;amp;lt;/AddQuotes&amp;amp;gt;&amp;amp;lt;DateFormat&amp;amp;gt;None&amp;amp;lt;/DateFormat&amp;amp;gt;&amp;amp;lt;RightHandSideExpression xml:space=&amp;'"</definedName>
    <definedName name="_AMO_ContentDefinition_316789590.574" hidden="1">"'amp;quot;preserve&amp;amp;quot;&amp;amp;gt;MFPR01000688&amp;amp;lt;/RightHandSideExpression&amp;amp;gt;&amp;amp;lt;IsSubquery&amp;amp;gt;False&amp;amp;lt;/IsSubquery&amp;amp;gt;&amp;amp;lt;SubqueryTemplateName /&amp;amp;gt;&amp;amp;lt;/RHSItem&amp;amp;gt;&amp;amp;lt;RHSItem&amp;amp;gt;&amp;amp;lt;RHSType&amp;amp;g'"</definedName>
    <definedName name="_AMO_ContentDefinition_316789590.575" hidden="1">"'t;EXPRESSION&amp;amp;lt;/RHSType&amp;amp;gt;&amp;amp;lt;AddQuotes&amp;amp;gt;True&amp;amp;lt;/AddQuotes&amp;amp;gt;&amp;amp;lt;DateFormat&amp;amp;gt;None&amp;amp;lt;/DateFormat&amp;amp;gt;&amp;amp;lt;RightHandSideExpression xml:space=&amp;amp;quot;preserve&amp;amp;quot;&amp;amp;gt;MFPR01000689&amp;amp;lt;/Righ'"</definedName>
    <definedName name="_AMO_ContentDefinition_316789590.576"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316789590.577" hidden="1">"';True&amp;amp;lt;/AddQuotes&amp;amp;gt;&amp;amp;lt;DateFormat&amp;amp;gt;None&amp;amp;lt;/DateFormat&amp;amp;gt;&amp;amp;lt;RightHandSideExpression xml:space=&amp;amp;quot;preserve&amp;amp;quot;&amp;amp;gt;MFPR01000690&amp;amp;lt;/RightHandSideExpression&amp;amp;gt;&amp;amp;lt;IsSubquery&amp;amp;gt;False&amp;a'"</definedName>
    <definedName name="_AMO_ContentDefinition_316789590.578"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316789590.579" hidden="1">"'e&amp;amp;lt;/DateFormat&amp;amp;gt;&amp;amp;lt;RightHandSideExpression xml:space=&amp;amp;quot;preserve&amp;amp;quot;&amp;amp;gt;MFPR01000694&amp;amp;lt;/RightHandSideExpression&amp;amp;gt;&amp;amp;lt;IsSubquery&amp;amp;gt;False&amp;amp;lt;/IsSubquery&amp;amp;gt;&amp;amp;lt;SubqueryTemplateName /&amp;amp;'"</definedName>
    <definedName name="_AMO_ContentDefinition_316789590.58" hidden="1">"'PR01002088',&amp;#xD;&amp;#xA;'MFPR01002092',&amp;#xD;&amp;#xA;'MFPR01002093',&amp;#xD;&amp;#xA;'MFPR01002097',&amp;#xD;&amp;#xA;'MFPR01002098',&amp;#xD;&amp;#xA;'MFPR01002099',&amp;#xD;&amp;#xA;'MFPR01002101',&amp;#xD;&amp;#xA;'MFPR01002102',&amp;#xD;&amp;#xA;'MFPR01002103',&amp;#xD;&amp;#xA;'MFPR01002104',&amp;#xD;&amp;#xA;'MFP'"</definedName>
    <definedName name="_AMO_ContentDefinition_316789590.580" hidden="1">"'gt;&amp;amp;lt;/RHSItem&amp;amp;gt;&amp;amp;lt;RHSItem&amp;amp;gt;&amp;amp;lt;RHSType&amp;amp;gt;EXPRESSION&amp;amp;lt;/RHSType&amp;amp;gt;&amp;amp;lt;AddQuotes&amp;amp;gt;True&amp;amp;lt;/AddQuotes&amp;amp;gt;&amp;amp;lt;DateFormat&amp;amp;gt;None&amp;amp;lt;/DateFormat&amp;amp;gt;&amp;amp;lt;RightHandSideExpression '"</definedName>
    <definedName name="_AMO_ContentDefinition_316789590.581" hidden="1">"'xml:space=&amp;amp;quot;preserve&amp;amp;quot;&amp;amp;gt;MFPR01000701&amp;amp;lt;/RightHandSideExpression&amp;amp;gt;&amp;amp;lt;IsSubquery&amp;amp;gt;False&amp;amp;lt;/IsSubquery&amp;amp;gt;&amp;amp;lt;SubqueryTemplateName /&amp;amp;gt;&amp;amp;lt;/RHSItem&amp;amp;gt;&amp;amp;lt;RHSItem&amp;amp;gt;&amp;amp;lt;RH'"</definedName>
    <definedName name="_AMO_ContentDefinition_316789590.582" hidden="1">"'SType&amp;amp;gt;EXPRESSION&amp;amp;lt;/RHSType&amp;amp;gt;&amp;amp;lt;AddQuotes&amp;amp;gt;True&amp;amp;lt;/AddQuotes&amp;amp;gt;&amp;amp;lt;DateFormat&amp;amp;gt;None&amp;amp;lt;/DateFormat&amp;amp;gt;&amp;amp;lt;RightHandSideExpression xml:space=&amp;amp;quot;preserve&amp;amp;quot;&amp;amp;gt;MFPR01000705&amp;a'"</definedName>
    <definedName name="_AMO_ContentDefinition_316789590.583"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316789590.584" hidden="1">"'otes&amp;amp;gt;True&amp;amp;lt;/AddQuotes&amp;amp;gt;&amp;amp;lt;DateFormat&amp;amp;gt;None&amp;amp;lt;/DateFormat&amp;amp;gt;&amp;amp;lt;RightHandSideExpression xml:space=&amp;amp;quot;preserve&amp;amp;quot;&amp;amp;gt;MFPR01000706&amp;amp;lt;/RightHandSideExpression&amp;amp;gt;&amp;amp;lt;IsSubquery&amp;amp'"</definedName>
    <definedName name="_AMO_ContentDefinition_316789590.585"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316789590.586" hidden="1">"'&amp;amp;gt;None&amp;amp;lt;/DateFormat&amp;amp;gt;&amp;amp;lt;RightHandSideExpression xml:space=&amp;amp;quot;preserve&amp;amp;quot;&amp;amp;gt;MFPR01000707&amp;amp;lt;/RightHandSideExpression&amp;amp;gt;&amp;amp;lt;IsSubquery&amp;amp;gt;False&amp;amp;lt;/IsSubquery&amp;amp;gt;&amp;amp;lt;SubqueryTemplate'"</definedName>
    <definedName name="_AMO_ContentDefinition_316789590.587"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316789590.588" hidden="1">"'Expression xml:space=&amp;amp;quot;preserve&amp;amp;quot;&amp;amp;gt;MFPR01000715&amp;amp;lt;/RightHandSideExpression&amp;amp;gt;&amp;amp;lt;IsSubquery&amp;amp;gt;False&amp;amp;lt;/IsSubquery&amp;amp;gt;&amp;amp;lt;SubqueryTemplateName /&amp;amp;gt;&amp;amp;lt;/RHSItem&amp;amp;gt;&amp;amp;lt;RHSItem&amp;amp;gt'"</definedName>
    <definedName name="_AMO_ContentDefinition_316789590.589" hidden="1">"';&amp;amp;lt;RHSType&amp;amp;gt;EXPRESSION&amp;amp;lt;/RHSType&amp;amp;gt;&amp;amp;lt;AddQuotes&amp;amp;gt;True&amp;amp;lt;/AddQuotes&amp;amp;gt;&amp;amp;lt;DateFormat&amp;amp;gt;None&amp;amp;lt;/DateFormat&amp;amp;gt;&amp;amp;lt;RightHandSideExpression xml:space=&amp;amp;quot;preserve&amp;amp;quot;&amp;amp;gt;MFP'"</definedName>
    <definedName name="_AMO_ContentDefinition_316789590.59" hidden="1">"'R01002109',&amp;#xD;&amp;#xA;'MFPR01002115',&amp;#xD;&amp;#xA;'MFPR01002119',&amp;#xD;&amp;#xA;'MFPR01002120',&amp;#xD;&amp;#xA;'MFPR01002121',&amp;#xD;&amp;#xA;'MFPR01002129',&amp;#xD;&amp;#xA;'MFPR01002140',&amp;#xD;&amp;#xA;'MFPR01002141',&amp;#xD;&amp;#xA;'MFPR01002142',&amp;#xD;&amp;#xA;'MFPR01002144',&amp;#xD;&amp;#xA;'MFPR'"</definedName>
    <definedName name="_AMO_ContentDefinition_316789590.590" hidden="1">"'R01000731&amp;amp;lt;/RightHandSideExpression&amp;amp;gt;&amp;amp;lt;IsSubquery&amp;amp;gt;False&amp;amp;lt;/IsSubquery&amp;amp;gt;&amp;amp;lt;SubqueryTemplateName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316789590.591" hidden="1">"'mp;lt;AddQuotes&amp;amp;gt;True&amp;amp;lt;/AddQuotes&amp;amp;gt;&amp;amp;lt;DateFormat&amp;amp;gt;None&amp;amp;lt;/DateFormat&amp;amp;gt;&amp;amp;lt;RightHandSideExpression xml:space=&amp;amp;quot;preserve&amp;amp;quot;&amp;amp;gt;MFPR01000732&amp;amp;lt;/RightHandSideExpression&amp;amp;gt;&amp;amp;lt;IsS'"</definedName>
    <definedName name="_AMO_ContentDefinition_316789590.592"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316789590.593" hidden="1">"';DateFormat&amp;amp;gt;None&amp;amp;lt;/DateFormat&amp;amp;gt;&amp;amp;lt;RightHandSideExpression xml:space=&amp;amp;quot;preserve&amp;amp;quot;&amp;amp;gt;MFPR01000737&amp;amp;lt;/RightHandSideExpression&amp;amp;gt;&amp;amp;lt;IsSubquery&amp;amp;gt;False&amp;amp;lt;/IsSubquery&amp;amp;gt;&amp;amp;lt;Subqu'"</definedName>
    <definedName name="_AMO_ContentDefinition_316789590.594"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316789590.595" hidden="1">"'ghtHandSideExpression xml:space=&amp;amp;quot;preserve&amp;amp;quot;&amp;amp;gt;MFPR01000743&amp;amp;lt;/RightHandSideExpression&amp;amp;gt;&amp;amp;lt;IsSubquery&amp;amp;gt;False&amp;amp;lt;/IsSubquery&amp;amp;gt;&amp;amp;lt;SubqueryTemplateName /&amp;amp;gt;&amp;amp;lt;/RHSItem&amp;amp;gt;&amp;amp;lt;RHS'"</definedName>
    <definedName name="_AMO_ContentDefinition_316789590.596" hidden="1">"'Item&amp;amp;gt;&amp;amp;lt;RHSType&amp;amp;gt;EXPRESSION&amp;amp;lt;/RHSType&amp;amp;gt;&amp;amp;lt;AddQuotes&amp;amp;gt;True&amp;amp;lt;/AddQuotes&amp;amp;gt;&amp;amp;lt;DateFormat&amp;amp;gt;None&amp;amp;lt;/DateFormat&amp;amp;gt;&amp;amp;lt;RightHandSideExpression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316789590.597" hidden="1">"'&amp;amp;gt;MFPR01000747&amp;amp;lt;/RightHandSideExpression&amp;amp;gt;&amp;amp;lt;IsSubquery&amp;amp;gt;False&amp;amp;lt;/IsSubquery&amp;amp;gt;&amp;amp;lt;SubqueryTemplateName /&amp;amp;gt;&amp;amp;lt;/RHSItem&amp;amp;gt;&amp;amp;lt;RHSItem&amp;amp;gt;&amp;amp;lt;RHSType&amp;amp;gt;EXPRESSION&amp;amp;lt;/RHSTyp'"</definedName>
    <definedName name="_AMO_ContentDefinition_316789590.598" hidden="1">"'e&amp;amp;gt;&amp;amp;lt;AddQuotes&amp;amp;gt;True&amp;amp;lt;/AddQuotes&amp;amp;gt;&amp;amp;lt;DateFormat&amp;amp;gt;None&amp;amp;lt;/DateFormat&amp;amp;gt;&amp;amp;lt;RightHandSideExpression xml:space=&amp;amp;quot;preserve&amp;amp;quot;&amp;amp;gt;MFPR01000748&amp;amp;lt;/RightHandSideExpression&amp;amp;gt;'"</definedName>
    <definedName name="_AMO_ContentDefinition_316789590.599"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316789590.6" hidden="1">"'MFPR01000101',&amp;#xD;&amp;#xA;'MFPR01000107',&amp;#xD;&amp;#xA;'MFPR01000110',&amp;#xD;&amp;#xA;'MFPR01000111',&amp;#xD;&amp;#xA;'MFPR01000112',&amp;#xD;&amp;#xA;'MFPR01000113',&amp;#xD;&amp;#xA;'MFPR01000128',&amp;#xD;&amp;#xA;'MFPR01000129',&amp;#xD;&amp;#xA;'MFPR01000130',&amp;#xD;&amp;#xA;'MFPR01000131',&amp;#xD;&amp;#xA;'M'"</definedName>
    <definedName name="_AMO_ContentDefinition_316789590.60" hidden="1">"'01002145',&amp;#xD;&amp;#xA;'MFPR01002146',&amp;#xD;&amp;#xA;'MFPR01002147',&amp;#xD;&amp;#xA;'MFPR01002152',&amp;#xD;&amp;#xA;'MFPR01002158',&amp;#xD;&amp;#xA;'MFPR01002162',&amp;#xD;&amp;#xA;'MFPR01002163',&amp;#xD;&amp;#xA;'MFPR01002167',&amp;#xD;&amp;#xA;'MFPR01002168',&amp;#xD;&amp;#xA;'MFPR01002169',&amp;#xD;&amp;#xA;'MFPR0'"</definedName>
    <definedName name="_AMO_ContentDefinition_316789590.600" hidden="1">"';gt;&amp;amp;lt;DateFormat&amp;amp;gt;None&amp;amp;lt;/DateFormat&amp;amp;gt;&amp;amp;lt;RightHandSideExpression xml:space=&amp;amp;quot;preserve&amp;amp;quot;&amp;amp;gt;MFPR01000800&amp;amp;lt;/RightHandSideExpression&amp;amp;gt;&amp;amp;lt;IsSubquery&amp;amp;gt;False&amp;amp;lt;/IsSubquery&amp;amp;gt;&amp;a'"</definedName>
    <definedName name="_AMO_ContentDefinition_316789590.601"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316789590.602" hidden="1">"';&amp;amp;lt;RightHandSideExpression xml:space=&amp;amp;quot;preserve&amp;amp;quot;&amp;amp;gt;MFPR01000801&amp;amp;lt;/RightHandSideExpression&amp;amp;gt;&amp;amp;lt;IsSubquery&amp;amp;gt;False&amp;amp;lt;/IsSubquery&amp;amp;gt;&amp;amp;lt;SubqueryTemplateName /&amp;amp;gt;&amp;amp;lt;/RHSItem&amp;amp;gt;'"</definedName>
    <definedName name="_AMO_ContentDefinition_316789590.603" hidden="1">"'&amp;amp;lt;RHSItem&amp;amp;gt;&amp;amp;lt;RHSType&amp;amp;gt;EXPRESSION&amp;amp;lt;/RHSType&amp;amp;gt;&amp;amp;lt;AddQuotes&amp;amp;gt;True&amp;amp;lt;/AddQuotes&amp;amp;gt;&amp;amp;lt;DateFormat&amp;amp;gt;None&amp;amp;lt;/DateFormat&amp;amp;gt;&amp;amp;lt;RightHandSideExpression xml:space=&amp;amp;quot;preserv'"</definedName>
    <definedName name="_AMO_ContentDefinition_316789590.604" hidden="1">"'e&amp;amp;quot;&amp;amp;gt;MFPR01000806&amp;amp;lt;/RightHandSideExpression&amp;amp;gt;&amp;amp;lt;IsSubquery&amp;amp;gt;False&amp;amp;lt;/IsSubquery&amp;amp;gt;&amp;amp;lt;SubqueryTemplateName /&amp;amp;gt;&amp;amp;lt;/RHSItem&amp;amp;gt;&amp;amp;lt;RHSItem&amp;amp;gt;&amp;amp;lt;RHSType&amp;amp;gt;EXPRESSION&amp;amp'"</definedName>
    <definedName name="_AMO_ContentDefinition_316789590.605" hidden="1">"';lt;/RHSType&amp;amp;gt;&amp;amp;lt;AddQuotes&amp;amp;gt;True&amp;amp;lt;/AddQuotes&amp;amp;gt;&amp;amp;lt;DateFormat&amp;amp;gt;None&amp;amp;lt;/DateFormat&amp;amp;gt;&amp;amp;lt;RightHandSideExpression xml:space=&amp;amp;quot;preserve&amp;amp;quot;&amp;amp;gt;MFPR01000812&amp;amp;lt;/RightHandSideExpress'"</definedName>
    <definedName name="_AMO_ContentDefinition_316789590.606"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316789590.607" hidden="1">"'dQuotes&amp;amp;gt;&amp;amp;lt;DateFormat&amp;amp;gt;None&amp;amp;lt;/DateFormat&amp;amp;gt;&amp;amp;lt;RightHandSideExpression xml:space=&amp;amp;quot;preserve&amp;amp;quot;&amp;amp;gt;MFPR01000816&amp;amp;lt;/RightHandSideExpression&amp;amp;gt;&amp;amp;lt;IsSubquery&amp;amp;gt;False&amp;amp;lt;/IsSubquer'"</definedName>
    <definedName name="_AMO_ContentDefinition_316789590.608"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316789590.609" hidden="1">"'rmat&amp;amp;gt;&amp;amp;lt;RightHandSideExpression xml:space=&amp;amp;quot;preserve&amp;amp;quot;&amp;amp;gt;MFPR01000817&amp;amp;lt;/RightHandSideExpression&amp;amp;gt;&amp;amp;lt;IsSubquery&amp;amp;gt;False&amp;amp;lt;/IsSubquery&amp;amp;gt;&amp;amp;lt;SubqueryTemplateName /&amp;amp;gt;&amp;amp;lt;/RHSI'"</definedName>
    <definedName name="_AMO_ContentDefinition_316789590.61" hidden="1">"'1002171',&amp;#xD;&amp;#xA;'MFPR01002172',&amp;#xD;&amp;#xA;'MFPR01002173',&amp;#xD;&amp;#xA;'MFPR01002174',&amp;#xD;&amp;#xA;'MFPR01002179',&amp;#xD;&amp;#xA;'MFPR01002185',&amp;#xD;&amp;#xA;'MFPR01002189',&amp;#xD;&amp;#xA;'MFPR01002190',&amp;#xD;&amp;#xA;'MFPR01002191',&amp;#xD;&amp;#xA;'MFPR01002199',&amp;#xD;&amp;#xA;'MFPR01'"</definedName>
    <definedName name="_AMO_ContentDefinition_316789590.610" hidden="1">"'tem&amp;amp;gt;&amp;amp;lt;RHSItem&amp;amp;gt;&amp;amp;lt;RHSType&amp;amp;gt;EXPRESSION&amp;amp;lt;/RHSType&amp;amp;gt;&amp;amp;lt;AddQuotes&amp;amp;gt;True&amp;amp;lt;/AddQuotes&amp;amp;gt;&amp;amp;lt;DateFormat&amp;amp;gt;None&amp;amp;lt;/DateFormat&amp;amp;gt;&amp;amp;lt;RightHandSideExpression xml:space=&amp;amp;q'"</definedName>
    <definedName name="_AMO_ContentDefinition_316789590.611" hidden="1">"'uot;preserve&amp;amp;quot;&amp;amp;gt;MFPR01000869&amp;amp;lt;/RightHandSideExpression&amp;amp;gt;&amp;amp;lt;IsSubquery&amp;amp;gt;False&amp;amp;lt;/IsSubquery&amp;amp;gt;&amp;amp;lt;SubqueryTemplateName /&amp;amp;gt;&amp;amp;lt;/RHSItem&amp;amp;gt;&amp;amp;lt;RHSItem&amp;amp;gt;&amp;amp;lt;RHSType&amp;amp;gt;EXP'"</definedName>
    <definedName name="_AMO_ContentDefinition_316789590.612" hidden="1">"'RESSION&amp;amp;lt;/RHSType&amp;amp;gt;&amp;amp;lt;AddQuotes&amp;amp;gt;True&amp;amp;lt;/AddQuotes&amp;amp;gt;&amp;amp;lt;DateFormat&amp;amp;gt;None&amp;amp;lt;/DateFormat&amp;amp;gt;&amp;amp;lt;RightHandSideExpression xml:space=&amp;amp;quot;preserve&amp;amp;quot;&amp;amp;gt;MFPR01000870&amp;amp;lt;/RightHand'"</definedName>
    <definedName name="_AMO_ContentDefinition_316789590.613"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316789590.614" hidden="1">"'&amp;amp;lt;/AddQuotes&amp;amp;gt;&amp;amp;lt;DateFormat&amp;amp;gt;None&amp;amp;lt;/DateFormat&amp;amp;gt;&amp;amp;lt;RightHandSideExpression xml:space=&amp;amp;quot;preserve&amp;amp;quot;&amp;amp;gt;MFPR01000875&amp;amp;lt;/RightHandSideExpression&amp;amp;gt;&amp;amp;lt;IsSubquery&amp;amp;gt;False&amp;amp;lt'"</definedName>
    <definedName name="_AMO_ContentDefinition_316789590.615"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316789590.616" hidden="1">"';lt;/DateFormat&amp;amp;gt;&amp;amp;lt;RightHandSideExpression xml:space=&amp;amp;quot;preserve&amp;amp;quot;&amp;amp;gt;MFPR01000881&amp;amp;lt;/RightHandSideExpression&amp;amp;gt;&amp;amp;lt;IsSubquery&amp;amp;gt;False&amp;amp;lt;/IsSubquery&amp;amp;gt;&amp;amp;lt;SubqueryTemplateName /&amp;amp;gt;&amp;a'"</definedName>
    <definedName name="_AMO_ContentDefinition_316789590.617" hidden="1">"'mp;lt;/RHSItem&amp;amp;gt;&amp;amp;lt;RHSItem&amp;amp;gt;&amp;amp;lt;RHSType&amp;amp;gt;EXPRESSION&amp;amp;lt;/RHSType&amp;amp;gt;&amp;amp;lt;AddQuotes&amp;amp;gt;True&amp;amp;lt;/AddQuotes&amp;amp;gt;&amp;amp;lt;DateFormat&amp;amp;gt;None&amp;amp;lt;/DateFormat&amp;amp;gt;&amp;amp;lt;RightHandSideExpression xml:s'"</definedName>
    <definedName name="_AMO_ContentDefinition_316789590.618" hidden="1">"'pace=&amp;amp;quot;preserve&amp;amp;quot;&amp;amp;gt;MFPR01000885&amp;amp;lt;/RightHandSideExpression&amp;amp;gt;&amp;amp;lt;IsSubquery&amp;amp;gt;False&amp;amp;lt;/IsSubquery&amp;amp;gt;&amp;amp;lt;SubqueryTemplateName /&amp;amp;gt;&amp;amp;lt;/RHSItem&amp;amp;gt;&amp;amp;lt;RHSItem&amp;amp;gt;&amp;amp;lt;RHSType'"</definedName>
    <definedName name="_AMO_ContentDefinition_316789590.619" hidden="1">"'&amp;amp;gt;EXPRESSION&amp;amp;lt;/RHSType&amp;amp;gt;&amp;amp;lt;AddQuotes&amp;amp;gt;True&amp;amp;lt;/AddQuotes&amp;amp;gt;&amp;amp;lt;DateFormat&amp;amp;gt;None&amp;amp;lt;/DateFormat&amp;amp;gt;&amp;amp;lt;RightHandSideExpression xml:space=&amp;amp;quot;preserve&amp;amp;quot;&amp;amp;gt;MFPR01000886&amp;amp;lt'"</definedName>
    <definedName name="_AMO_ContentDefinition_316789590.62" hidden="1">"'002210',&amp;#xD;&amp;#xA;'MFPR01002211',&amp;#xD;&amp;#xA;'MFPR01002212',&amp;#xD;&amp;#xA;'MFPR01002214',&amp;#xD;&amp;#xA;'MFPR01002215',&amp;#xD;&amp;#xA;'MFPR01002216',&amp;#xD;&amp;#xA;'MFPR01002217',&amp;#xD;&amp;#xA;'MFPR01002222',&amp;#xD;&amp;#xA;'MFPR01002228',&amp;#xD;&amp;#xA;'MFPR01002232',&amp;#xD;&amp;#xA;'MFPR010'"</definedName>
    <definedName name="_AMO_ContentDefinition_316789590.620"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316789590.621" hidden="1">"'amp;gt;True&amp;amp;lt;/AddQuotes&amp;amp;gt;&amp;amp;lt;DateFormat&amp;amp;gt;None&amp;amp;lt;/DateFormat&amp;amp;gt;&amp;amp;lt;RightHandSideExpression xml:space=&amp;amp;quot;preserve&amp;amp;quot;&amp;amp;gt;MFPR01001002&amp;amp;lt;/RightHandSideExpression&amp;amp;gt;&amp;amp;lt;IsSubquery&amp;amp;gt;F'"</definedName>
    <definedName name="_AMO_ContentDefinition_316789590.622"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316789590.623" hidden="1">"'gt;None&amp;amp;lt;/DateFormat&amp;amp;gt;&amp;amp;lt;RightHandSideExpression xml:space=&amp;amp;quot;preserve&amp;amp;quot;&amp;amp;gt;MFPR01001003&amp;amp;lt;/RightHandSideExpression&amp;amp;gt;&amp;amp;lt;IsSubquery&amp;amp;gt;False&amp;amp;lt;/IsSubquery&amp;amp;gt;&amp;amp;lt;SubqueryTemplateName '"</definedName>
    <definedName name="_AMO_ContentDefinition_316789590.624"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316789590.625" hidden="1">"'ssion xml:space=&amp;amp;quot;preserve&amp;amp;quot;&amp;amp;gt;MFPR01001004&amp;amp;lt;/RightHandSideExpression&amp;amp;gt;&amp;amp;lt;IsSubquery&amp;amp;gt;False&amp;amp;lt;/IsSubquery&amp;amp;gt;&amp;amp;lt;SubqueryTemplateName /&amp;amp;gt;&amp;amp;lt;/RHSItem&amp;amp;gt;&amp;amp;lt;RHSItem&amp;amp;gt;&amp;amp'"</definedName>
    <definedName name="_AMO_ContentDefinition_316789590.626" hidden="1">"';lt;RHSType&amp;amp;gt;EXPRESSION&amp;amp;lt;/RHSType&amp;amp;gt;&amp;amp;lt;AddQuotes&amp;amp;gt;True&amp;amp;lt;/AddQuotes&amp;amp;gt;&amp;amp;lt;DateFormat&amp;amp;gt;None&amp;amp;lt;/DateFormat&amp;amp;gt;&amp;amp;lt;RightHandSideExpression xml:space=&amp;amp;quot;preserve&amp;amp;quot;&amp;amp;gt;MFPR0100'"</definedName>
    <definedName name="_AMO_ContentDefinition_316789590.627" hidden="1">"'1006&amp;amp;lt;/RightHandSideExpression&amp;amp;gt;&amp;amp;lt;IsSubquery&amp;amp;gt;False&amp;amp;lt;/IsSubquery&amp;amp;gt;&amp;amp;lt;SubqueryTemplateName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316789590.628" hidden="1">"';AddQuotes&amp;amp;gt;True&amp;amp;lt;/AddQuotes&amp;amp;gt;&amp;amp;lt;DateFormat&amp;amp;gt;None&amp;amp;lt;/DateFormat&amp;amp;gt;&amp;amp;lt;RightHandSideExpression xml:space=&amp;amp;quot;preserve&amp;amp;quot;&amp;amp;gt;MFPR01001007&amp;amp;lt;/RightHandSideExpression&amp;amp;gt;&amp;amp;lt;IsSubque'"</definedName>
    <definedName name="_AMO_ContentDefinition_316789590.629"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316789590.63" hidden="1">"'02233',&amp;#xD;&amp;#xA;'MFPR01002237',&amp;#xD;&amp;#xA;'MFPR01002238',&amp;#xD;&amp;#xA;'MFPR01002239',&amp;#xD;&amp;#xA;'MFPR01002241',&amp;#xD;&amp;#xA;'MFPR01002242',&amp;#xD;&amp;#xA;'MFPR01002243',&amp;#xD;&amp;#xA;'MFPR01002244',&amp;#xD;&amp;#xA;'MFPR01002249',&amp;#xD;&amp;#xA;'MFPR01002255',&amp;#xD;&amp;#xA;'MFPR0100'"</definedName>
    <definedName name="_AMO_ContentDefinition_316789590.630" hidden="1">"'Format&amp;amp;gt;None&amp;amp;lt;/DateFormat&amp;amp;gt;&amp;amp;lt;RightHandSideExpression xml:space=&amp;amp;quot;preserve&amp;amp;quot;&amp;amp;gt;MFPR01001008&amp;amp;lt;/RightHandSideExpression&amp;amp;gt;&amp;amp;lt;IsSubquery&amp;amp;gt;False&amp;amp;lt;/IsSubquery&amp;amp;gt;&amp;amp;lt;SubqueryTe'"</definedName>
    <definedName name="_AMO_ContentDefinition_316789590.631"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316789590.632" hidden="1">"'ndSideExpression xml:space=&amp;amp;quot;preserve&amp;amp;quot;&amp;amp;gt;MFPR01001009&amp;amp;lt;/RightHandSideExpression&amp;amp;gt;&amp;amp;lt;IsSubquery&amp;amp;gt;False&amp;amp;lt;/IsSubquery&amp;amp;gt;&amp;amp;lt;SubqueryTemplateName /&amp;amp;gt;&amp;amp;lt;/RHSItem&amp;amp;gt;&amp;amp;lt;RHSItem&amp;'"</definedName>
    <definedName name="_AMO_ContentDefinition_316789590.633" hidden="1">"'amp;gt;&amp;amp;lt;RHSType&amp;amp;gt;EXPRESSION&amp;amp;lt;/RHSType&amp;amp;gt;&amp;amp;lt;AddQuotes&amp;amp;gt;True&amp;amp;lt;/AddQuotes&amp;amp;gt;&amp;amp;lt;DateFormat&amp;amp;gt;None&amp;amp;lt;/DateFormat&amp;amp;gt;&amp;amp;lt;RightHandSideExpression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316789590.634" hidden="1">"'gt;MFPR01001013&amp;amp;lt;/RightHandSideExpression&amp;amp;gt;&amp;amp;lt;IsSubquery&amp;amp;gt;False&amp;amp;lt;/IsSubquery&amp;amp;gt;&amp;amp;lt;SubqueryTemplateName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316789590.635" hidden="1">"';gt;&amp;amp;lt;AddQuotes&amp;amp;gt;True&amp;amp;lt;/AddQuotes&amp;amp;gt;&amp;amp;lt;DateFormat&amp;amp;gt;None&amp;amp;lt;/DateFormat&amp;amp;gt;&amp;amp;lt;RightHandSideExpression xml:space=&amp;amp;quot;preserve&amp;amp;quot;&amp;amp;gt;MFPR01001019&amp;amp;lt;/RightHandSideExpression&amp;amp;gt;&amp;amp;'"</definedName>
    <definedName name="_AMO_ContentDefinition_316789590.636"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316789590.637" hidden="1">"'amp;lt;DateFormat&amp;amp;gt;None&amp;amp;lt;/DateFormat&amp;amp;gt;&amp;amp;lt;RightHandSideExpression xml:space=&amp;amp;quot;preserve&amp;amp;quot;&amp;amp;gt;MFPR01001023&amp;amp;lt;/RightHandSideExpression&amp;amp;gt;&amp;amp;lt;IsSubquery&amp;amp;gt;False&amp;amp;lt;/IsSubquery&amp;amp;gt;&amp;amp;lt'"</definedName>
    <definedName name="_AMO_ContentDefinition_316789590.638"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316789590.639" hidden="1">"';lt;RightHandSideExpression xml:space=&amp;amp;quot;preserve&amp;amp;quot;&amp;amp;gt;MFPR01001024&amp;amp;lt;/RightHandSideExpression&amp;amp;gt;&amp;amp;lt;IsSubquery&amp;amp;gt;False&amp;amp;lt;/IsSubquery&amp;amp;gt;&amp;amp;lt;SubqueryTemplateName /&amp;amp;gt;&amp;amp;lt;/RHSItem&amp;amp;gt;&amp;amp;'"</definedName>
    <definedName name="_AMO_ContentDefinition_316789590.64" hidden="1">"'2259',&amp;#xD;&amp;#xA;'MFPR01002260',&amp;#xD;&amp;#xA;'MFPR01002261',&amp;#xD;&amp;#xA;'MFPR01002269',&amp;#xD;&amp;#xA;'MFPR01002280',&amp;#xD;&amp;#xA;'MFPR01002281',&amp;#xD;&amp;#xA;'MFPR01002282',&amp;#xD;&amp;#xA;'MFPR01002284',&amp;#xD;&amp;#xA;'MFPR01002285',&amp;#xD;&amp;#xA;'MFPR01002286',&amp;#xD;&amp;#xA;'MFPR01002'"</definedName>
    <definedName name="_AMO_ContentDefinition_316789590.640" hidden="1">"'lt;RHSItem&amp;amp;gt;&amp;amp;lt;RHSType&amp;amp;gt;EXPRESSION&amp;amp;lt;/RHSType&amp;amp;gt;&amp;amp;lt;AddQuotes&amp;amp;gt;True&amp;amp;lt;/AddQuotes&amp;amp;gt;&amp;amp;lt;DateFormat&amp;amp;gt;None&amp;amp;lt;/DateFormat&amp;amp;gt;&amp;amp;lt;RightHandSideExpression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316789590.641" hidden="1">"';quot;&amp;amp;gt;MFPR01001028&amp;amp;lt;/RightHandSideExpression&amp;amp;gt;&amp;amp;lt;IsSubquery&amp;amp;gt;False&amp;amp;lt;/IsSubquery&amp;amp;gt;&amp;amp;lt;SubqueryTemplateName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642" hidden="1">"'RHSType&amp;amp;gt;&amp;amp;lt;AddQuotes&amp;amp;gt;True&amp;amp;lt;/AddQuotes&amp;amp;gt;&amp;amp;lt;DateFormat&amp;amp;gt;None&amp;amp;lt;/DateFormat&amp;amp;gt;&amp;amp;lt;RightHandSideExpression xml:space=&amp;amp;quot;preserve&amp;amp;quot;&amp;amp;gt;MFPR01001029&amp;amp;lt;/RightHandSideExpression&amp;a'"</definedName>
    <definedName name="_AMO_ContentDefinition_316789590.643"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316789590.644" hidden="1">"'es&amp;amp;gt;&amp;amp;lt;DateFormat&amp;amp;gt;None&amp;amp;lt;/DateFormat&amp;amp;gt;&amp;amp;lt;RightHandSideExpression xml:space=&amp;amp;quot;preserve&amp;amp;quot;&amp;amp;gt;MFPR01001030&amp;amp;lt;/RightHandSideExpression&amp;amp;gt;&amp;amp;lt;IsSubquery&amp;amp;gt;False&amp;amp;lt;/IsSubquery&amp;amp'"</definedName>
    <definedName name="_AMO_ContentDefinition_316789590.645"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316789590.646" hidden="1">"'amp;gt;&amp;amp;lt;RightHandSideExpression xml:space=&amp;amp;quot;preserve&amp;amp;quot;&amp;amp;gt;MFPR01001032&amp;amp;lt;/RightHandSideExpression&amp;amp;gt;&amp;amp;lt;IsSubquery&amp;amp;gt;False&amp;amp;lt;/IsSubquery&amp;amp;gt;&amp;amp;lt;SubqueryTemplateName /&amp;amp;gt;&amp;amp;lt;/RHSItem&amp;a'"</definedName>
    <definedName name="_AMO_ContentDefinition_316789590.647" hidden="1">"'mp;gt;&amp;amp;lt;RHSItem&amp;amp;gt;&amp;amp;lt;RHSType&amp;amp;gt;EXPRESSION&amp;amp;lt;/RHSType&amp;amp;gt;&amp;amp;lt;AddQuotes&amp;amp;gt;True&amp;amp;lt;/AddQuotes&amp;amp;gt;&amp;amp;lt;DateFormat&amp;amp;gt;None&amp;amp;lt;/DateFormat&amp;amp;gt;&amp;amp;lt;RightHandSideExpression xml:space=&amp;amp;quot;p'"</definedName>
    <definedName name="_AMO_ContentDefinition_316789590.648" hidden="1">"'reserve&amp;amp;quot;&amp;amp;gt;MFPR01001033&amp;amp;lt;/RightHandSideExpression&amp;amp;gt;&amp;amp;lt;IsSubquery&amp;amp;gt;False&amp;amp;lt;/IsSubquery&amp;amp;gt;&amp;amp;lt;SubqueryTemplateName /&amp;amp;gt;&amp;amp;lt;/RHSItem&amp;amp;gt;&amp;amp;lt;RHSItem&amp;amp;gt;&amp;amp;lt;RHSType&amp;amp;gt;EXPRESSI'"</definedName>
    <definedName name="_AMO_ContentDefinition_316789590.649" hidden="1">"'ON&amp;amp;lt;/RHSType&amp;amp;gt;&amp;amp;lt;AddQuotes&amp;amp;gt;True&amp;amp;lt;/AddQuotes&amp;amp;gt;&amp;amp;lt;DateFormat&amp;amp;gt;None&amp;amp;lt;/DateFormat&amp;amp;gt;&amp;amp;lt;RightHandSideExpression xml:space=&amp;amp;quot;preserve&amp;amp;quot;&amp;amp;gt;MFPR01001034&amp;amp;lt;/RightHandSideE'"</definedName>
    <definedName name="_AMO_ContentDefinition_316789590.65" hidden="1">"'287',&amp;#xD;&amp;#xA;'MFPR01002292',&amp;#xD;&amp;#xA;'MFPR01002298',&amp;#xD;&amp;#xA;'MFPR01002302',&amp;#xD;&amp;#xA;'MFPR01002303',&amp;#xD;&amp;#xA;'MFPR01002307',&amp;#xD;&amp;#xA;'MFPR01002308',&amp;#xD;&amp;#xA;'MFPR01002309',&amp;#xD;&amp;#xA;'MFPR01002311',&amp;#xD;&amp;#xA;'MFPR01002312',&amp;#xD;&amp;#xA;'MFPR010023'"</definedName>
    <definedName name="_AMO_ContentDefinition_316789590.650"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316789590.651" hidden="1">"'lt;/AddQuotes&amp;amp;gt;&amp;amp;lt;DateFormat&amp;amp;gt;None&amp;amp;lt;/DateFormat&amp;amp;gt;&amp;amp;lt;RightHandSideExpression xml:space=&amp;amp;quot;preserve&amp;amp;quot;&amp;amp;gt;MFPR01001035&amp;amp;lt;/RightHandSideExpression&amp;amp;gt;&amp;amp;lt;IsSubquery&amp;amp;gt;False&amp;amp;lt;/IsS'"</definedName>
    <definedName name="_AMO_ContentDefinition_316789590.652"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653" hidden="1">"'DateFormat&amp;amp;gt;&amp;amp;lt;RightHandSideExpression xml:space=&amp;amp;quot;preserve&amp;amp;quot;&amp;amp;gt;MFPR01001039&amp;amp;lt;/RightHandSideExpression&amp;amp;gt;&amp;amp;lt;IsSubquery&amp;amp;gt;False&amp;amp;lt;/IsSubquery&amp;amp;gt;&amp;amp;lt;SubqueryTemplateName /&amp;amp;gt;&amp;amp;lt'"</definedName>
    <definedName name="_AMO_ContentDefinition_316789590.654" hidden="1">"';/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316789590.655" hidden="1">"'&amp;amp;quot;preserve&amp;amp;quot;&amp;amp;gt;MFPR01001046&amp;amp;lt;/RightHandSideExpression&amp;amp;gt;&amp;amp;lt;IsSubquery&amp;amp;gt;False&amp;amp;lt;/IsSubquery&amp;amp;gt;&amp;amp;lt;SubqueryTemplateName /&amp;amp;gt;&amp;amp;lt;/RHSItem&amp;amp;gt;&amp;amp;lt;RHSItem&amp;amp;gt;&amp;amp;lt;RHSType&amp;amp;'"</definedName>
    <definedName name="_AMO_ContentDefinition_316789590.656" hidden="1">"'gt;EXPRESSION&amp;amp;lt;/RHSType&amp;amp;gt;&amp;amp;lt;AddQuotes&amp;amp;gt;True&amp;amp;lt;/AddQuotes&amp;amp;gt;&amp;amp;lt;DateFormat&amp;amp;gt;None&amp;amp;lt;/DateFormat&amp;amp;gt;&amp;amp;lt;RightHandSideExpression xml:space=&amp;amp;quot;preserve&amp;amp;quot;&amp;amp;gt;MFPR01001050&amp;amp;lt;/Rig'"</definedName>
    <definedName name="_AMO_ContentDefinition_316789590.657"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316789590.658" hidden="1">"'t;True&amp;amp;lt;/AddQuotes&amp;amp;gt;&amp;amp;lt;DateFormat&amp;amp;gt;None&amp;amp;lt;/DateFormat&amp;amp;gt;&amp;amp;lt;RightHandSideExpression xml:space=&amp;amp;quot;preserve&amp;amp;quot;&amp;amp;gt;MFPR01001051&amp;amp;lt;/RightHandSideExpression&amp;amp;gt;&amp;amp;lt;IsSubquery&amp;amp;gt;False&amp;'"</definedName>
    <definedName name="_AMO_ContentDefinition_316789590.659"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316789590.66" hidden="1">"'13',&amp;#xD;&amp;#xA;'MFPR01002314',&amp;#xD;&amp;#xA;'MFPR01002319',&amp;#xD;&amp;#xA;'MFPR01002325',&amp;#xD;&amp;#xA;'MFPR01002329',&amp;#xD;&amp;#xA;'MFPR01002330',&amp;#xD;&amp;#xA;'MFPR01002331',&amp;#xD;&amp;#xA;'MFPR01002339',&amp;#xD;&amp;#xA;'MFPR01002350',&amp;#xD;&amp;#xA;'MFPR01002351',&amp;#xD;&amp;#xA;'MFPR0100235'"</definedName>
    <definedName name="_AMO_ContentDefinition_316789590.660" hidden="1">"'ne&amp;amp;lt;/DateFormat&amp;amp;gt;&amp;amp;lt;RightHandSideExpression xml:space=&amp;amp;quot;preserve&amp;amp;quot;&amp;amp;gt;MFPR01001052&amp;amp;lt;/RightHandSideExpression&amp;amp;gt;&amp;amp;lt;IsSubquery&amp;amp;gt;False&amp;amp;lt;/IsSubquery&amp;amp;gt;&amp;amp;lt;SubqueryTemplateName /&amp;amp'"</definedName>
    <definedName name="_AMO_ContentDefinition_316789590.661"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316789590.662" hidden="1">"' xml:space=&amp;amp;quot;preserve&amp;amp;quot;&amp;amp;gt;MFPR01001060&amp;amp;lt;/RightHandSideExpression&amp;amp;gt;&amp;amp;lt;IsSubquery&amp;amp;gt;False&amp;amp;lt;/IsSubquery&amp;amp;gt;&amp;amp;lt;SubqueryTemplateName /&amp;amp;gt;&amp;amp;lt;/RHSItem&amp;amp;gt;&amp;amp;lt;RHSItem&amp;amp;gt;&amp;amp;lt;R'"</definedName>
    <definedName name="_AMO_ContentDefinition_316789590.663" hidden="1">"'HSType&amp;amp;gt;EXPRESSION&amp;amp;lt;/RHSType&amp;amp;gt;&amp;amp;lt;AddQuotes&amp;amp;gt;True&amp;amp;lt;/AddQuotes&amp;amp;gt;&amp;amp;lt;DateFormat&amp;amp;gt;None&amp;amp;lt;/DateFormat&amp;amp;gt;&amp;amp;lt;RightHandSideExpression xml:space=&amp;amp;quot;preserve&amp;amp;quot;&amp;amp;gt;MFPR01001071&amp;'"</definedName>
    <definedName name="_AMO_ContentDefinition_316789590.664"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316789590.665" hidden="1">"'uotes&amp;amp;gt;True&amp;amp;lt;/AddQuotes&amp;amp;gt;&amp;amp;lt;DateFormat&amp;amp;gt;None&amp;amp;lt;/DateFormat&amp;amp;gt;&amp;amp;lt;RightHandSideExpression xml:space=&amp;amp;quot;preserve&amp;amp;quot;&amp;amp;gt;MFPR01001072&amp;amp;lt;/RightHandSideExpression&amp;amp;gt;&amp;amp;lt;IsSubquery&amp;am'"</definedName>
    <definedName name="_AMO_ContentDefinition_316789590.666"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316789590.667" hidden="1">"'t&amp;amp;gt;None&amp;amp;lt;/DateFormat&amp;amp;gt;&amp;amp;lt;RightHandSideExpression xml:space=&amp;amp;quot;preserve&amp;amp;quot;&amp;amp;gt;MFPR01001073&amp;amp;lt;/RightHandSideExpression&amp;amp;gt;&amp;amp;lt;IsSubquery&amp;amp;gt;False&amp;amp;lt;/IsSubquery&amp;amp;gt;&amp;amp;lt;SubqueryTemplat'"</definedName>
    <definedName name="_AMO_ContentDefinition_316789590.668"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316789590.669" hidden="1">"'eExpression xml:space=&amp;amp;quot;preserve&amp;amp;quot;&amp;amp;gt;MFPR01001075&amp;amp;lt;/RightHandSideExpression&amp;amp;gt;&amp;amp;lt;IsSubquery&amp;amp;gt;False&amp;amp;lt;/IsSubquery&amp;amp;gt;&amp;amp;lt;SubqueryTemplateName /&amp;amp;gt;&amp;amp;lt;/RHSItem&amp;amp;gt;&amp;amp;lt;RHSItem&amp;amp;g'"</definedName>
    <definedName name="_AMO_ContentDefinition_316789590.67" hidden="1">"'2',&amp;#xD;&amp;#xA;'MFPR01002354',&amp;#xD;&amp;#xA;'MFPR01002355',&amp;#xD;&amp;#xA;'MFPR01002356',&amp;#xD;&amp;#xA;'MFPR01002357',&amp;#xD;&amp;#xA;'MFPR01002362',&amp;#xD;&amp;#xA;'MFPR01002368',&amp;#xD;&amp;#xA;'MFPR01002372',&amp;#xD;&amp;#xA;'MFPR01002373',&amp;#xD;&amp;#xA;'MFPR01002377',&amp;#xD;&amp;#xA;'MFPR01002378'"</definedName>
    <definedName name="_AMO_ContentDefinition_316789590.670" hidden="1">"'t;&amp;amp;lt;RHSType&amp;amp;gt;EXPRESSION&amp;amp;lt;/RHSType&amp;amp;gt;&amp;amp;lt;AddQuotes&amp;amp;gt;True&amp;amp;lt;/AddQuotes&amp;amp;gt;&amp;amp;lt;DateFormat&amp;amp;gt;None&amp;amp;lt;/DateFormat&amp;amp;gt;&amp;amp;lt;RightHandSideExpression xml:space=&amp;amp;quot;preserve&amp;amp;quot;&amp;amp;gt;MF'"</definedName>
    <definedName name="_AMO_ContentDefinition_316789590.671" hidden="1">"'PR01001076&amp;amp;lt;/RightHandSideExpression&amp;amp;gt;&amp;amp;lt;IsSubquery&amp;amp;gt;False&amp;amp;lt;/IsSubquery&amp;amp;gt;&amp;amp;lt;SubqueryTemplateName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316789590.672" hidden="1">"'amp;lt;AddQuotes&amp;amp;gt;True&amp;amp;lt;/AddQuotes&amp;amp;gt;&amp;amp;lt;DateFormat&amp;amp;gt;None&amp;amp;lt;/DateFormat&amp;amp;gt;&amp;amp;lt;RightHandSideExpression xml:space=&amp;amp;quot;preserve&amp;amp;quot;&amp;amp;gt;MFPR01001077&amp;amp;lt;/RightHandSideExpression&amp;amp;gt;&amp;amp;lt;Is'"</definedName>
    <definedName name="_AMO_ContentDefinition_316789590.673"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316789590.674" hidden="1">"'t;DateFormat&amp;amp;gt;None&amp;amp;lt;/DateFormat&amp;amp;gt;&amp;amp;lt;RightHandSideExpression xml:space=&amp;amp;quot;preserve&amp;amp;quot;&amp;amp;gt;MFPR01001078&amp;amp;lt;/RightHandSideExpression&amp;amp;gt;&amp;amp;lt;IsSubquery&amp;amp;gt;False&amp;amp;lt;/IsSubquery&amp;amp;gt;&amp;amp;lt;Subq'"</definedName>
    <definedName name="_AMO_ContentDefinition_316789590.675"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316789590.676" hidden="1">"'ightHandSideExpression xml:space=&amp;amp;quot;preserve&amp;amp;quot;&amp;amp;gt;MFPR01001082&amp;amp;lt;/RightHandSideExpression&amp;amp;gt;&amp;amp;lt;IsSubquery&amp;amp;gt;False&amp;amp;lt;/IsSubquery&amp;amp;gt;&amp;amp;lt;SubqueryTemplateName /&amp;amp;gt;&amp;amp;lt;/RHSItem&amp;amp;gt;&amp;amp;lt;RH'"</definedName>
    <definedName name="_AMO_ContentDefinition_316789590.677" hidden="1">"'SItem&amp;amp;gt;&amp;amp;lt;RHSType&amp;amp;gt;EXPRESSION&amp;amp;lt;/RHSType&amp;amp;gt;&amp;amp;lt;AddQuotes&amp;amp;gt;True&amp;amp;lt;/AddQuotes&amp;amp;gt;&amp;amp;lt;DateFormat&amp;amp;gt;None&amp;amp;lt;/DateFormat&amp;amp;gt;&amp;amp;lt;RightHandSideExpression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316789590.678" hidden="1">"';&amp;amp;gt;MFPR01001088&amp;amp;lt;/RightHandSideExpression&amp;amp;gt;&amp;amp;lt;IsSubquery&amp;amp;gt;False&amp;amp;lt;/IsSubquery&amp;amp;gt;&amp;amp;lt;SubqueryTemplateName /&amp;amp;gt;&amp;amp;lt;/RHSItem&amp;amp;gt;&amp;amp;lt;RHSItem&amp;amp;gt;&amp;amp;lt;RHSType&amp;amp;gt;EXPRESSION&amp;amp;lt;/RHSTy'"</definedName>
    <definedName name="_AMO_ContentDefinition_316789590.679" hidden="1">"'pe&amp;amp;gt;&amp;amp;lt;AddQuotes&amp;amp;gt;True&amp;amp;lt;/AddQuotes&amp;amp;gt;&amp;amp;lt;DateFormat&amp;amp;gt;None&amp;amp;lt;/DateFormat&amp;amp;gt;&amp;amp;lt;RightHandSideExpression xml:space=&amp;amp;quot;preserve&amp;amp;quot;&amp;amp;gt;MFPR01001092&amp;amp;lt;/RightHandSideExpression&amp;amp;gt'"</definedName>
    <definedName name="_AMO_ContentDefinition_316789590.68" hidden="1">"'',&amp;#xD;&amp;#xA;'MFPR01002379',&amp;#xD;&amp;#xA;'MFPR01002381',&amp;#xD;&amp;#xA;'MFPR01002382',&amp;#xD;&amp;#xA;'MFPR01002383',&amp;#xD;&amp;#xA;'MFPR01002384',&amp;#xD;&amp;#xA;'MFPR01002389',&amp;#xD;&amp;#xA;'MFPR01002395',&amp;#xD;&amp;#xA;'MFPR01002399',&amp;#xD;&amp;#xA;'MFPR01002400',&amp;#xD;&amp;#xA;'MFPR01002401''"</definedName>
    <definedName name="_AMO_ContentDefinition_316789590.680"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316789590.681" hidden="1">"'p;gt;&amp;amp;lt;DateFormat&amp;amp;gt;None&amp;amp;lt;/DateFormat&amp;amp;gt;&amp;amp;lt;RightHandSideExpression xml:space=&amp;amp;quot;preserve&amp;amp;quot;&amp;amp;gt;MFPR01001093&amp;amp;lt;/RightHandSideExpression&amp;amp;gt;&amp;amp;lt;IsSubquery&amp;amp;gt;False&amp;amp;lt;/IsSubquery&amp;amp;gt;&amp;'"</definedName>
    <definedName name="_AMO_ContentDefinition_316789590.682"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316789590.683" hidden="1">"'t;&amp;amp;lt;RightHandSideExpression xml:space=&amp;amp;quot;preserve&amp;amp;quot;&amp;amp;gt;MFPR01001097&amp;amp;lt;/RightHandSideExpression&amp;amp;gt;&amp;amp;lt;IsSubquery&amp;amp;gt;False&amp;amp;lt;/IsSubquery&amp;amp;gt;&amp;amp;lt;SubqueryTemplateName /&amp;amp;gt;&amp;amp;lt;/RHSItem&amp;amp;gt'"</definedName>
    <definedName name="_AMO_ContentDefinition_316789590.684" hidden="1">"';&amp;amp;lt;RHSItem&amp;amp;gt;&amp;amp;lt;RHSType&amp;amp;gt;EXPRESSION&amp;amp;lt;/RHSType&amp;amp;gt;&amp;amp;lt;AddQuotes&amp;amp;gt;True&amp;amp;lt;/AddQuotes&amp;amp;gt;&amp;amp;lt;DateFormat&amp;amp;gt;None&amp;amp;lt;/DateFormat&amp;amp;gt;&amp;amp;lt;RightHandSideExpression xml:space=&amp;amp;quot;preser'"</definedName>
    <definedName name="_AMO_ContentDefinition_316789590.685" hidden="1">"'ve&amp;amp;quot;&amp;amp;gt;MFPR01001098&amp;amp;lt;/RightHandSideExpression&amp;amp;gt;&amp;amp;lt;IsSubquery&amp;amp;gt;False&amp;amp;lt;/IsSubquery&amp;amp;gt;&amp;amp;lt;SubqueryTemplateName /&amp;amp;gt;&amp;amp;lt;/RHSItem&amp;amp;gt;&amp;amp;lt;RHSItem&amp;amp;gt;&amp;amp;lt;RHSType&amp;amp;gt;EXPRESSION&amp;am'"</definedName>
    <definedName name="_AMO_ContentDefinition_316789590.686" hidden="1">"'p;lt;/RHSType&amp;amp;gt;&amp;amp;lt;AddQuotes&amp;amp;gt;True&amp;amp;lt;/AddQuotes&amp;amp;gt;&amp;amp;lt;DateFormat&amp;amp;gt;None&amp;amp;lt;/DateFormat&amp;amp;gt;&amp;amp;lt;RightHandSideExpression xml:space=&amp;amp;quot;preserve&amp;amp;quot;&amp;amp;gt;MFPR01001099&amp;amp;lt;/RightHandSideExpres'"</definedName>
    <definedName name="_AMO_ContentDefinition_316789590.687"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316789590.688" hidden="1">"'ddQuotes&amp;amp;gt;&amp;amp;lt;DateFormat&amp;amp;gt;None&amp;amp;lt;/DateFormat&amp;amp;gt;&amp;amp;lt;RightHandSideExpression xml:space=&amp;amp;quot;preserve&amp;amp;quot;&amp;amp;gt;MFPR01001101&amp;amp;lt;/RightHandSideExpression&amp;amp;gt;&amp;amp;lt;IsSubquery&amp;amp;gt;False&amp;amp;lt;/IsSubque'"</definedName>
    <definedName name="_AMO_ContentDefinition_316789590.689"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316789590.69" hidden="1">"',&amp;#xD;&amp;#xA;'MFPR01002409',&amp;#xD;&amp;#xA;'MFPR01002420',&amp;#xD;&amp;#xA;'MFPR01002421',&amp;#xD;&amp;#xA;'MFPR01002422',&amp;#xD;&amp;#xA;'MFPR01002424',&amp;#xD;&amp;#xA;'MFPR01002425',&amp;#xD;&amp;#xA;'MFPR01002426',&amp;#xD;&amp;#xA;'MFPR01002427',&amp;#xD;&amp;#xA;'MFPR01002432',&amp;#xD;&amp;#xA;'MFPR01002438','"</definedName>
    <definedName name="_AMO_ContentDefinition_316789590.690" hidden="1">"'ormat&amp;amp;gt;&amp;amp;lt;RightHandSideExpression xml:space=&amp;amp;quot;preserve&amp;amp;quot;&amp;amp;gt;MFPR01001102&amp;amp;lt;/RightHandSideExpression&amp;amp;gt;&amp;amp;lt;IsSubquery&amp;amp;gt;False&amp;amp;lt;/IsSubquery&amp;amp;gt;&amp;amp;lt;SubqueryTemplateName /&amp;amp;gt;&amp;amp;lt;/RHS'"</definedName>
    <definedName name="_AMO_ContentDefinition_316789590.691" hidden="1">"'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316789590.692" hidden="1">"'quot;preserve&amp;amp;quot;&amp;amp;gt;MFPR01001103&amp;amp;lt;/RightHandSideExpression&amp;amp;gt;&amp;amp;lt;IsSubquery&amp;amp;gt;False&amp;amp;lt;/IsSubquery&amp;amp;gt;&amp;amp;lt;SubqueryTemplateName /&amp;amp;gt;&amp;amp;lt;/RHSItem&amp;amp;gt;&amp;amp;lt;RHSItem&amp;amp;gt;&amp;amp;lt;RHSType&amp;amp;gt;EX'"</definedName>
    <definedName name="_AMO_ContentDefinition_316789590.693" hidden="1">"'PRESSION&amp;amp;lt;/RHSType&amp;amp;gt;&amp;amp;lt;AddQuotes&amp;amp;gt;True&amp;amp;lt;/AddQuotes&amp;amp;gt;&amp;amp;lt;DateFormat&amp;amp;gt;None&amp;amp;lt;/DateFormat&amp;amp;gt;&amp;amp;lt;RightHandSideExpression xml:space=&amp;amp;quot;preserve&amp;amp;quot;&amp;amp;gt;MFPR01001104&amp;amp;lt;/RightHan'"</definedName>
    <definedName name="_AMO_ContentDefinition_316789590.694"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316789590.695" hidden="1">"'e&amp;amp;lt;/AddQuotes&amp;amp;gt;&amp;amp;lt;DateFormat&amp;amp;gt;None&amp;amp;lt;/DateFormat&amp;amp;gt;&amp;amp;lt;RightHandSideExpression xml:space=&amp;amp;quot;preserve&amp;amp;quot;&amp;amp;gt;MFPR01001108&amp;amp;lt;/RightHandSideExpression&amp;amp;gt;&amp;amp;lt;IsSubquery&amp;amp;gt;False&amp;amp;l'"</definedName>
    <definedName name="_AMO_ContentDefinition_316789590.696"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316789590.697" hidden="1">"'p;lt;/DateFormat&amp;amp;gt;&amp;amp;lt;RightHandSideExpression xml:space=&amp;amp;quot;preserve&amp;amp;quot;&amp;amp;gt;MFPR01001115&amp;amp;lt;/RightHandSideExpression&amp;amp;gt;&amp;amp;lt;IsSubquery&amp;amp;gt;False&amp;amp;lt;/IsSubquery&amp;amp;gt;&amp;amp;lt;SubqueryTemplateName /&amp;amp;gt;&amp;'"</definedName>
    <definedName name="_AMO_ContentDefinition_316789590.698" hidden="1">"'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316789590.699" hidden="1">"'space=&amp;amp;quot;preserve&amp;amp;quot;&amp;amp;gt;MFPR01001119&amp;amp;lt;/RightHandSideExpression&amp;amp;gt;&amp;amp;lt;IsSubquery&amp;amp;gt;False&amp;amp;lt;/IsSubquery&amp;amp;gt;&amp;amp;lt;SubqueryTemplateName /&amp;amp;gt;&amp;amp;lt;/RHSItem&amp;amp;gt;&amp;amp;lt;RHSItem&amp;amp;gt;&amp;amp;lt;RHSTyp'"</definedName>
    <definedName name="_AMO_ContentDefinition_316789590.7" hidden="1">"'FPR01000135',&amp;#xD;&amp;#xA;'MFPR01000136',&amp;#xD;&amp;#xA;'MFPR01000137',&amp;#xD;&amp;#xA;'MFPR01000138',&amp;#xD;&amp;#xA;'MFPR01000139',&amp;#xD;&amp;#xA;'MFPR01000140',&amp;#xD;&amp;#xA;'MFPR01000141',&amp;#xD;&amp;#xA;'MFPR01000143',&amp;#xD;&amp;#xA;'MFPR01000144',&amp;#xD;&amp;#xA;'MFPR01000145',&amp;#xD;&amp;#xA;'MF'"</definedName>
    <definedName name="_AMO_ContentDefinition_316789590.70" hidden="1">"'&amp;#xD;&amp;#xA;'MFPR01002442',&amp;#xD;&amp;#xA;'MFPR01002443',&amp;#xD;&amp;#xA;'MFPR01002447',&amp;#xD;&amp;#xA;'MFPR01002448',&amp;#xD;&amp;#xA;'MFPR01002449',&amp;#xD;&amp;#xA;'MFPR01002451',&amp;#xD;&amp;#xA;'MFPR01002452',&amp;#xD;&amp;#xA;'MFPR01002453',&amp;#xD;&amp;#xA;'MFPR01002454',&amp;#xD;&amp;#xA;'MFPR01002459',&amp;'"</definedName>
    <definedName name="_AMO_ContentDefinition_316789590.700" hidden="1">"'e&amp;amp;gt;EXPRESSION&amp;amp;lt;/RHSType&amp;amp;gt;&amp;amp;lt;AddQuotes&amp;amp;gt;True&amp;amp;lt;/AddQuotes&amp;amp;gt;&amp;amp;lt;DateFormat&amp;amp;gt;None&amp;amp;lt;/DateFormat&amp;amp;gt;&amp;amp;lt;RightHandSideExpression xml:space=&amp;amp;quot;preserve&amp;amp;quot;&amp;amp;gt;MFPR01001120&amp;amp;l'"</definedName>
    <definedName name="_AMO_ContentDefinition_316789590.701"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316789590.702" hidden="1">"'&amp;amp;gt;True&amp;amp;lt;/AddQuotes&amp;amp;gt;&amp;amp;lt;DateFormat&amp;amp;gt;None&amp;amp;lt;/DateFormat&amp;amp;gt;&amp;amp;lt;RightHandSideExpression xml:space=&amp;amp;quot;preserve&amp;amp;quot;&amp;amp;gt;MFPR01001121&amp;amp;lt;/RightHandSideExpression&amp;amp;gt;&amp;amp;lt;IsSubquery&amp;amp;gt;'"</definedName>
    <definedName name="_AMO_ContentDefinition_316789590.703"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316789590.704" hidden="1">"';gt;None&amp;amp;lt;/DateFormat&amp;amp;gt;&amp;amp;lt;RightHandSideExpression xml:space=&amp;amp;quot;preserve&amp;amp;quot;&amp;amp;gt;MFPR01001129&amp;amp;lt;/RightHandSideExpression&amp;amp;gt;&amp;amp;lt;IsSubquery&amp;amp;gt;False&amp;amp;lt;/IsSubquery&amp;amp;gt;&amp;amp;lt;SubqueryTemplateName'"</definedName>
    <definedName name="_AMO_ContentDefinition_316789590.705"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316789590.706" hidden="1">"'ession xml:space=&amp;amp;quot;preserve&amp;amp;quot;&amp;amp;gt;MFPR01001140&amp;amp;lt;/RightHandSideExpression&amp;amp;gt;&amp;amp;lt;IsSubquery&amp;amp;gt;False&amp;amp;lt;/IsSubquery&amp;amp;gt;&amp;amp;lt;SubqueryTemplateName /&amp;amp;gt;&amp;amp;lt;/RHSItem&amp;amp;gt;&amp;amp;lt;RHSItem&amp;amp;gt;&amp;am'"</definedName>
    <definedName name="_AMO_ContentDefinition_316789590.707" hidden="1">"'p;lt;RHSType&amp;amp;gt;EXPRESSION&amp;amp;lt;/RHSType&amp;amp;gt;&amp;amp;lt;AddQuotes&amp;amp;gt;True&amp;amp;lt;/AddQuotes&amp;amp;gt;&amp;amp;lt;DateFormat&amp;amp;gt;None&amp;amp;lt;/DateFormat&amp;amp;gt;&amp;amp;lt;RightHandSideExpression xml:space=&amp;amp;quot;preserve&amp;amp;quot;&amp;amp;gt;MFPR010'"</definedName>
    <definedName name="_AMO_ContentDefinition_316789590.708" hidden="1">"'01141&amp;amp;lt;/RightHandSideExpression&amp;amp;gt;&amp;amp;lt;IsSubquery&amp;amp;gt;False&amp;amp;lt;/IsSubquery&amp;amp;gt;&amp;amp;lt;SubqueryTemplateName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316789590.709" hidden="1">"'t;AddQuotes&amp;amp;gt;True&amp;amp;lt;/AddQuotes&amp;amp;gt;&amp;amp;lt;DateFormat&amp;amp;gt;None&amp;amp;lt;/DateFormat&amp;amp;gt;&amp;amp;lt;RightHandSideExpression xml:space=&amp;amp;quot;preserve&amp;amp;quot;&amp;amp;gt;MFPR01001142&amp;amp;lt;/RightHandSideExpression&amp;amp;gt;&amp;amp;lt;IsSubqu'"</definedName>
    <definedName name="_AMO_ContentDefinition_316789590.71" hidden="1">"'#xD;&amp;#xA;'MFPR01002465',&amp;#xD;&amp;#xA;'MFPR01002469',&amp;#xD;&amp;#xA;'MFPR01002470',&amp;#xD;&amp;#xA;'MFPR01002471',&amp;#xD;&amp;#xA;'MFPR01002479',&amp;#xD;&amp;#xA;'MFPR01002490',&amp;#xD;&amp;#xA;'MFPR01002491',&amp;#xD;&amp;#xA;'MFPR01002492',&amp;#xD;&amp;#xA;'MFPR01002494',&amp;#xD;&amp;#xA;'MFPR01002495',&amp;#'"</definedName>
    <definedName name="_AMO_ContentDefinition_316789590.710"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316789590.711" hidden="1">"'eFormat&amp;amp;gt;None&amp;amp;lt;/DateFormat&amp;amp;gt;&amp;amp;lt;RightHandSideExpression xml:space=&amp;amp;quot;preserve&amp;amp;quot;&amp;amp;gt;MFPR01001144&amp;amp;lt;/RightHandSideExpression&amp;amp;gt;&amp;amp;lt;IsSubquery&amp;amp;gt;False&amp;amp;lt;/IsSubquery&amp;amp;gt;&amp;amp;lt;SubqueryT'"</definedName>
    <definedName name="_AMO_ContentDefinition_316789590.712"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316789590.713" hidden="1">"'andSideExpression xml:space=&amp;amp;quot;preserve&amp;amp;quot;&amp;amp;gt;MFPR01001145&amp;amp;lt;/RightHandSideExpression&amp;amp;gt;&amp;amp;lt;IsSubquery&amp;amp;gt;False&amp;amp;lt;/IsSubquery&amp;amp;gt;&amp;amp;lt;SubqueryTemplateName /&amp;amp;gt;&amp;amp;lt;/RHSItem&amp;amp;gt;&amp;amp;lt;RHSItem'"</definedName>
    <definedName name="_AMO_ContentDefinition_316789590.714" hidden="1">"'&amp;amp;gt;&amp;amp;lt;RHSType&amp;amp;gt;EXPRESSION&amp;amp;lt;/RHSType&amp;amp;gt;&amp;amp;lt;AddQuotes&amp;amp;gt;True&amp;amp;lt;/AddQuotes&amp;amp;gt;&amp;amp;lt;DateFormat&amp;amp;gt;None&amp;amp;lt;/DateFormat&amp;amp;gt;&amp;amp;lt;RightHandSideExpression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316789590.715" hidden="1">"';gt;MFPR01001146&amp;amp;lt;/RightHandSideExpression&amp;amp;gt;&amp;amp;lt;IsSubquery&amp;amp;gt;False&amp;amp;lt;/IsSubquery&amp;amp;gt;&amp;amp;lt;SubqueryTemplateName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316789590.716" hidden="1">"'p;gt;&amp;amp;lt;AddQuotes&amp;amp;gt;True&amp;amp;lt;/AddQuotes&amp;amp;gt;&amp;amp;lt;DateFormat&amp;amp;gt;None&amp;amp;lt;/DateFormat&amp;amp;gt;&amp;amp;lt;RightHandSideExpression xml:space=&amp;amp;quot;preserve&amp;amp;quot;&amp;amp;gt;MFPR01001147&amp;amp;lt;/RightHandSideExpression&amp;amp;gt;&amp;amp'"</definedName>
    <definedName name="_AMO_ContentDefinition_316789590.717"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316789590.718" hidden="1">"'&amp;amp;lt;DateFormat&amp;amp;gt;None&amp;amp;lt;/DateFormat&amp;amp;gt;&amp;amp;lt;RightHandSideExpression xml:space=&amp;amp;quot;preserve&amp;amp;quot;&amp;amp;gt;MFPR01001151&amp;amp;lt;/RightHandSideExpression&amp;amp;gt;&amp;amp;lt;IsSubquery&amp;amp;gt;False&amp;amp;lt;/IsSubquery&amp;amp;gt;&amp;amp;l'"</definedName>
    <definedName name="_AMO_ContentDefinition_316789590.719"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316789590.72" hidden="1">"'xD;&amp;#xA;'MFPR01002496',&amp;#xD;&amp;#xA;'MFPR01002497',&amp;#xD;&amp;#xA;'MFPR01002502',&amp;#xD;&amp;#xA;'MFPR01002508',&amp;#xD;&amp;#xA;'MFPR01002512',&amp;#xD;&amp;#xA;'MFPR01002513',&amp;#xD;&amp;#xA;'MFPR01002517',&amp;#xD;&amp;#xA;'MFPR01002518',&amp;#xD;&amp;#xA;'MFPR01002519',&amp;#xD;&amp;#xA;'MFPR01002521',&amp;#x'"</definedName>
    <definedName name="_AMO_ContentDefinition_316789590.720" hidden="1">"'p;lt;RightHandSideExpression xml:space=&amp;amp;quot;preserve&amp;amp;quot;&amp;amp;gt;MFPR01001157&amp;amp;lt;/RightHandSideExpression&amp;amp;gt;&amp;amp;lt;IsSubquery&amp;amp;gt;False&amp;amp;lt;/IsSubquery&amp;amp;gt;&amp;amp;lt;SubqueryTemplateName /&amp;amp;gt;&amp;amp;lt;/RHSItem&amp;amp;gt;&amp;amp'"</definedName>
    <definedName name="_AMO_ContentDefinition_316789590.721" hidden="1">"';lt;RHSItem&amp;amp;gt;&amp;amp;lt;RHSType&amp;amp;gt;EXPRESSION&amp;amp;lt;/RHSType&amp;amp;gt;&amp;amp;lt;AddQuotes&amp;amp;gt;True&amp;amp;lt;/AddQuotes&amp;amp;gt;&amp;amp;lt;DateFormat&amp;amp;gt;None&amp;amp;lt;/DateFormat&amp;amp;gt;&amp;amp;lt;RightHandSideExpression xml:space=&amp;amp;quot;preserve&amp;am'"</definedName>
    <definedName name="_AMO_ContentDefinition_316789590.722" hidden="1">"'p;quot;&amp;amp;gt;MFPR01001161&amp;amp;lt;/RightHandSideExpression&amp;amp;gt;&amp;amp;lt;IsSubquery&amp;amp;gt;False&amp;amp;lt;/IsSubquery&amp;amp;gt;&amp;amp;lt;SubqueryTemplateName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723" hidden="1">"'/RHSType&amp;amp;gt;&amp;amp;lt;AddQuotes&amp;amp;gt;True&amp;amp;lt;/AddQuotes&amp;amp;gt;&amp;amp;lt;DateFormat&amp;amp;gt;None&amp;amp;lt;/DateFormat&amp;amp;gt;&amp;amp;lt;RightHandSideExpression xml:space=&amp;amp;quot;preserve&amp;amp;quot;&amp;amp;gt;MFPR01001162&amp;amp;lt;/RightHandSideExpression&amp;'"</definedName>
    <definedName name="_AMO_ContentDefinition_316789590.724"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316789590.725" hidden="1">"'tes&amp;amp;gt;&amp;amp;lt;DateFormat&amp;amp;gt;None&amp;amp;lt;/DateFormat&amp;amp;gt;&amp;amp;lt;RightHandSideExpression xml:space=&amp;amp;quot;preserve&amp;amp;quot;&amp;amp;gt;MFPR01001166&amp;amp;lt;/RightHandSideExpression&amp;amp;gt;&amp;amp;lt;IsSubquery&amp;amp;gt;False&amp;amp;lt;/IsSubquery&amp;am'"</definedName>
    <definedName name="_AMO_ContentDefinition_316789590.726"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316789590.727" hidden="1">"'&amp;amp;gt;&amp;amp;lt;RightHandSideExpression xml:space=&amp;amp;quot;preserve&amp;amp;quot;&amp;amp;gt;MFPR01001167&amp;amp;lt;/RightHandSideExpression&amp;amp;gt;&amp;amp;lt;IsSubquery&amp;amp;gt;False&amp;amp;lt;/IsSubquery&amp;amp;gt;&amp;amp;lt;SubqueryTemplateName /&amp;amp;gt;&amp;amp;lt;/RHSItem&amp;'"</definedName>
    <definedName name="_AMO_ContentDefinition_316789590.728" hidden="1">"'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729" hidden="1">"'preserve&amp;amp;quot;&amp;amp;gt;MFPR01001168&amp;amp;lt;/RightHandSideExpression&amp;amp;gt;&amp;amp;lt;IsSubquery&amp;amp;gt;False&amp;amp;lt;/IsSubquery&amp;amp;gt;&amp;amp;lt;SubqueryTemplateName /&amp;amp;gt;&amp;amp;lt;/RHSItem&amp;amp;gt;&amp;amp;lt;RHSItem&amp;amp;gt;&amp;amp;lt;RHSType&amp;amp;gt;EXPRESS'"</definedName>
    <definedName name="_AMO_ContentDefinition_316789590.73" hidden="1">"'D;&amp;#xA;'MFPR01002522',&amp;#xD;&amp;#xA;'MFPR01002523',&amp;#xD;&amp;#xA;'MFPR01002524',&amp;#xD;&amp;#xA;'MFPR01002529',&amp;#xD;&amp;#xA;'MFPR01002535',&amp;#xD;&amp;#xA;'MFPR01002539',&amp;#xD;&amp;#xA;'MFPR01002540',&amp;#xD;&amp;#xA;'MFPR01002541',&amp;#xD;&amp;#xA;'MFPR01002549',&amp;#xD;&amp;#xA;'MFPR01002560',&amp;#xD'"</definedName>
    <definedName name="_AMO_ContentDefinition_316789590.730" hidden="1">"'ION&amp;amp;lt;/RHSType&amp;amp;gt;&amp;amp;lt;AddQuotes&amp;amp;gt;True&amp;amp;lt;/AddQuotes&amp;amp;gt;&amp;amp;lt;DateFormat&amp;amp;gt;None&amp;amp;lt;/DateFormat&amp;amp;gt;&amp;amp;lt;RightHandSideExpression xml:space=&amp;amp;quot;preserve&amp;amp;quot;&amp;amp;gt;MFPR01001170&amp;amp;lt;/RightHandSide'"</definedName>
    <definedName name="_AMO_ContentDefinition_316789590.731"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316789590.732" hidden="1">"';lt;/AddQuotes&amp;amp;gt;&amp;amp;lt;DateFormat&amp;amp;gt;None&amp;amp;lt;/DateFormat&amp;amp;gt;&amp;amp;lt;RightHandSideExpression xml:space=&amp;amp;quot;preserve&amp;amp;quot;&amp;amp;gt;MFPR01001171&amp;amp;lt;/RightHandSideExpression&amp;amp;gt;&amp;amp;lt;IsSubquery&amp;amp;gt;False&amp;amp;lt;/Is'"</definedName>
    <definedName name="_AMO_ContentDefinition_316789590.733"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734" hidden="1">"'/DateFormat&amp;amp;gt;&amp;amp;lt;RightHandSideExpression xml:space=&amp;amp;quot;preserve&amp;amp;quot;&amp;amp;gt;MFPR01001172&amp;amp;lt;/RightHandSideExpression&amp;amp;gt;&amp;amp;lt;IsSubquery&amp;amp;gt;False&amp;amp;lt;/IsSubquery&amp;amp;gt;&amp;amp;lt;SubqueryTemplateName /&amp;amp;gt;&amp;amp;l'"</definedName>
    <definedName name="_AMO_ContentDefinition_316789590.735" hidden="1">"'t;/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316789590.736" hidden="1">"'=&amp;amp;quot;preserve&amp;amp;quot;&amp;amp;gt;MFPR01001173&amp;amp;lt;/RightHandSideExpression&amp;amp;gt;&amp;amp;lt;IsSubquery&amp;amp;gt;False&amp;amp;lt;/IsSubquery&amp;amp;gt;&amp;amp;lt;SubqueryTemplateName /&amp;amp;gt;&amp;amp;lt;/RHSItem&amp;amp;gt;&amp;amp;lt;RHSItem&amp;amp;gt;&amp;amp;lt;RHSType&amp;amp'"</definedName>
    <definedName name="_AMO_ContentDefinition_316789590.737" hidden="1">"';gt;EXPRESSION&amp;amp;lt;/RHSType&amp;amp;gt;&amp;amp;lt;AddQuotes&amp;amp;gt;True&amp;amp;lt;/AddQuotes&amp;amp;gt;&amp;amp;lt;DateFormat&amp;amp;gt;None&amp;amp;lt;/DateFormat&amp;amp;gt;&amp;amp;lt;RightHandSideExpression xml:space=&amp;amp;quot;preserve&amp;amp;quot;&amp;amp;gt;MFPR01001177&amp;amp;lt;/Ri'"</definedName>
    <definedName name="_AMO_ContentDefinition_316789590.738"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739" hidden="1">"'gt;True&amp;amp;lt;/AddQuotes&amp;amp;gt;&amp;amp;lt;DateFormat&amp;amp;gt;None&amp;amp;lt;/DateFormat&amp;amp;gt;&amp;amp;lt;RightHandSideExpression xml:space=&amp;amp;quot;preserve&amp;amp;quot;&amp;amp;gt;MFPR01001184&amp;amp;lt;/RightHandSideExpression&amp;amp;gt;&amp;amp;lt;IsSubquery&amp;amp;gt;False'"</definedName>
    <definedName name="_AMO_ContentDefinition_316789590.74" hidden="1">"';&amp;#xA;'MFPR01002561',&amp;#xD;&amp;#xA;'MFPR01002562',&amp;#xD;&amp;#xA;'MFPR01002564',&amp;#xD;&amp;#xA;'MFPR01002565',&amp;#xD;&amp;#xA;'MFPR01002566',&amp;#xD;&amp;#xA;'MFPR01002567',&amp;#xD;&amp;#xA;'MFPR01002571',&amp;#xD;&amp;#xA;'MFPR01002577',&amp;#xD;&amp;#xA;'MFPR01002581',&amp;#xD;&amp;#xA;'MFPR01002582',&amp;#xD;'"</definedName>
    <definedName name="_AMO_ContentDefinition_316789590.740"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316789590.741" hidden="1">"'one&amp;amp;lt;/DateFormat&amp;amp;gt;&amp;amp;lt;RightHandSideExpression xml:space=&amp;amp;quot;preserve&amp;amp;quot;&amp;amp;gt;MFPR01001188&amp;amp;lt;/RightHandSideExpression&amp;amp;gt;&amp;amp;lt;IsSubquery&amp;amp;gt;False&amp;amp;lt;/IsSubquery&amp;amp;gt;&amp;amp;lt;SubqueryTemplateName /&amp;am'"</definedName>
    <definedName name="_AMO_ContentDefinition_316789590.742"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316789590.743" hidden="1">"'n xml:space=&amp;amp;quot;preserve&amp;amp;quot;&amp;amp;gt;MFPR01001189&amp;amp;lt;/RightHandSideExpression&amp;amp;gt;&amp;amp;lt;IsSubquery&amp;amp;gt;False&amp;amp;lt;/IsSubquery&amp;amp;gt;&amp;amp;lt;SubqueryTemplateName /&amp;amp;gt;&amp;amp;lt;/RHSItem&amp;amp;gt;&amp;amp;lt;RHSItem&amp;amp;gt;&amp;amp;lt;'"</definedName>
    <definedName name="_AMO_ContentDefinition_316789590.744" hidden="1">"'RHSType&amp;amp;gt;EXPRESSION&amp;amp;lt;/RHSType&amp;amp;gt;&amp;amp;lt;AddQuotes&amp;amp;gt;True&amp;amp;lt;/AddQuotes&amp;amp;gt;&amp;amp;lt;DateFormat&amp;amp;gt;None&amp;amp;lt;/DateFormat&amp;amp;gt;&amp;amp;lt;RightHandSideExpression xml:space=&amp;amp;quot;preserve&amp;amp;quot;&amp;amp;gt;MFPR01001190'"</definedName>
    <definedName name="_AMO_ContentDefinition_316789590.745"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316789590.746" hidden="1">"'Quotes&amp;amp;gt;True&amp;amp;lt;/AddQuotes&amp;amp;gt;&amp;amp;lt;DateFormat&amp;amp;gt;None&amp;amp;lt;/DateFormat&amp;amp;gt;&amp;amp;lt;RightHandSideExpression xml:space=&amp;amp;quot;preserve&amp;amp;quot;&amp;amp;gt;MFPR01001198&amp;amp;lt;/RightHandSideExpression&amp;amp;gt;&amp;amp;lt;IsSubquery&amp;a'"</definedName>
    <definedName name="_AMO_ContentDefinition_316789590.747"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316789590.748" hidden="1">"'at&amp;amp;gt;None&amp;amp;lt;/DateFormat&amp;amp;gt;&amp;amp;lt;RightHandSideExpression xml:space=&amp;amp;quot;preserve&amp;amp;quot;&amp;amp;gt;MFPR01001209&amp;amp;lt;/RightHandSideExpression&amp;amp;gt;&amp;amp;lt;IsSubquery&amp;amp;gt;False&amp;amp;lt;/IsSubquery&amp;amp;gt;&amp;amp;lt;SubqueryTempla'"</definedName>
    <definedName name="_AMO_ContentDefinition_316789590.749"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316789590.75" hidden="1">"'&amp;#xA;'MFPR01002586',&amp;#xD;&amp;#xA;'MFPR01002587',&amp;#xD;&amp;#xA;'MFPR01002588',&amp;#xD;&amp;#xA;'MFPR01002590',&amp;#xD;&amp;#xA;'MFPR01002591',&amp;#xD;&amp;#xA;'MFPR01002592',&amp;#xD;&amp;#xA;'MFPR01002593',&amp;#xD;&amp;#xA;'MFPR01002597',&amp;#xD;&amp;#xA;'MFPR01002604',&amp;#xD;&amp;#xA;'MFPR01002608',&amp;#xD;&amp;'"</definedName>
    <definedName name="_AMO_ContentDefinition_316789590.750" hidden="1">"'deExpression xml:space=&amp;amp;quot;preserve&amp;amp;quot;&amp;amp;gt;MFPR01001210&amp;amp;lt;/RightHandSideExpression&amp;amp;gt;&amp;amp;lt;IsSubquery&amp;amp;gt;False&amp;amp;lt;/IsSubquery&amp;amp;gt;&amp;amp;lt;SubqueryTemplateName /&amp;amp;gt;&amp;amp;lt;/RHSItem&amp;amp;gt;&amp;amp;lt;RHSItem&amp;amp;'"</definedName>
    <definedName name="_AMO_ContentDefinition_316789590.751" hidden="1">"'gt;&amp;amp;lt;RHSType&amp;amp;gt;EXPRESSION&amp;amp;lt;/RHSType&amp;amp;gt;&amp;amp;lt;AddQuotes&amp;amp;gt;True&amp;amp;lt;/AddQuotes&amp;amp;gt;&amp;amp;lt;DateFormat&amp;amp;gt;None&amp;amp;lt;/DateFormat&amp;amp;gt;&amp;amp;lt;RightHandSideExpression xml:space=&amp;amp;quot;preserve&amp;amp;quot;&amp;amp;gt;M'"</definedName>
    <definedName name="_AMO_ContentDefinition_316789590.752" hidden="1">"'FPR01001211&amp;amp;lt;/RightHandSideExpression&amp;amp;gt;&amp;amp;lt;IsSubquery&amp;amp;gt;False&amp;amp;lt;/IsSubquery&amp;amp;gt;&amp;amp;lt;SubqueryTemplateName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753" hidden="1">"'&amp;amp;lt;AddQuotes&amp;amp;gt;True&amp;amp;lt;/AddQuotes&amp;amp;gt;&amp;amp;lt;DateFormat&amp;amp;gt;None&amp;amp;lt;/DateFormat&amp;amp;gt;&amp;amp;lt;RightHandSideExpression xml:space=&amp;amp;quot;preserve&amp;amp;quot;&amp;amp;gt;MFPR01001213&amp;amp;lt;/RightHandSideExpression&amp;amp;gt;&amp;amp;lt;I'"</definedName>
    <definedName name="_AMO_ContentDefinition_316789590.754"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755" hidden="1">"'lt;DateFormat&amp;amp;gt;None&amp;amp;lt;/DateFormat&amp;amp;gt;&amp;amp;lt;RightHandSideExpression xml:space=&amp;amp;quot;preserve&amp;amp;quot;&amp;amp;gt;MFPR01001214&amp;amp;lt;/RightHandSideExpression&amp;amp;gt;&amp;amp;lt;IsSubquery&amp;amp;gt;False&amp;amp;lt;/IsSubquery&amp;amp;gt;&amp;amp;lt;Sub'"</definedName>
    <definedName name="_AMO_ContentDefinition_316789590.756"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757" hidden="1">"'RightHandSideExpression xml:space=&amp;amp;quot;preserve&amp;amp;quot;&amp;amp;gt;MFPR01001215&amp;amp;lt;/RightHandSideExpression&amp;amp;gt;&amp;amp;lt;IsSubquery&amp;amp;gt;False&amp;amp;lt;/IsSubquery&amp;amp;gt;&amp;amp;lt;SubqueryTemplateName /&amp;amp;gt;&amp;amp;lt;/RHSItem&amp;amp;gt;&amp;amp;lt;R'"</definedName>
    <definedName name="_AMO_ContentDefinition_316789590.758" hidden="1">"'HSItem&amp;amp;gt;&amp;amp;lt;RHSType&amp;amp;gt;EXPRESSION&amp;amp;lt;/RHSType&amp;amp;gt;&amp;amp;lt;AddQuotes&amp;amp;gt;True&amp;amp;lt;/AddQuotes&amp;amp;gt;&amp;amp;lt;DateFormat&amp;amp;gt;None&amp;amp;lt;/DateFormat&amp;amp;gt;&amp;amp;lt;RightHandSideExpression xml:space=&amp;amp;quot;preserve&amp;amp;quo'"</definedName>
    <definedName name="_AMO_ContentDefinition_316789590.759" hidden="1">"'t;&amp;amp;gt;MFPR01001216&amp;amp;lt;/RightHandSideExpression&amp;amp;gt;&amp;amp;lt;IsSubquery&amp;amp;gt;False&amp;amp;lt;/IsSubquery&amp;amp;gt;&amp;amp;lt;SubqueryTemplateName /&amp;amp;gt;&amp;amp;lt;/RHSItem&amp;amp;gt;&amp;amp;lt;RHSItem&amp;amp;gt;&amp;amp;lt;RHSType&amp;amp;gt;EXPRESSION&amp;amp;lt;/RHST'"</definedName>
    <definedName name="_AMO_ContentDefinition_316789590.76" hidden="1">"'#xA;'MFPR01002609',&amp;#xD;&amp;#xA;'MFPR01002610',&amp;#xD;&amp;#xA;'MFPR01002618',&amp;#xD;&amp;#xA;'MFPR01002629',&amp;#xD;&amp;#xA;'MFPR01002630',&amp;#xD;&amp;#xA;'MFPR01002631',&amp;#xD;&amp;#xA;'MFPR01002633',&amp;#xD;&amp;#xA;'MFPR01002634',&amp;#xD;&amp;#xA;'MFPR01002635',&amp;#xD;&amp;#xA;'MFPR01002636',&amp;#xD;&amp;#'"</definedName>
    <definedName name="_AMO_ContentDefinition_316789590.760" hidden="1">"'ype&amp;amp;gt;&amp;amp;lt;AddQuotes&amp;amp;gt;True&amp;amp;lt;/AddQuotes&amp;amp;gt;&amp;amp;lt;DateFormat&amp;amp;gt;None&amp;amp;lt;/DateFormat&amp;amp;gt;&amp;amp;lt;RightHandSideExpression xml:space=&amp;amp;quot;preserve&amp;amp;quot;&amp;amp;gt;MFPR01001220&amp;amp;lt;/RightHandSideExpression&amp;amp;g'"</definedName>
    <definedName name="_AMO_ContentDefinition_316789590.761"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316789590.762" hidden="1">"'mp;gt;&amp;amp;lt;DateFormat&amp;amp;gt;None&amp;amp;lt;/DateFormat&amp;amp;gt;&amp;amp;lt;RightHandSideExpression xml:space=&amp;amp;quot;preserve&amp;amp;quot;&amp;amp;gt;MFPR01001226&amp;amp;lt;/RightHandSideExpression&amp;amp;gt;&amp;amp;lt;IsSubquery&amp;amp;gt;False&amp;amp;lt;/IsSubquery&amp;amp;gt;'"</definedName>
    <definedName name="_AMO_ContentDefinition_316789590.763"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764" hidden="1">"'gt;&amp;amp;lt;RightHandSideExpression xml:space=&amp;amp;quot;preserve&amp;amp;quot;&amp;amp;gt;MFPR01001230&amp;amp;lt;/RightHandSideExpression&amp;amp;gt;&amp;amp;lt;IsSubquery&amp;amp;gt;False&amp;amp;lt;/IsSubquery&amp;amp;gt;&amp;amp;lt;SubqueryTemplateName /&amp;amp;gt;&amp;amp;lt;/RHSItem&amp;amp;g'"</definedName>
    <definedName name="_AMO_ContentDefinition_316789590.765" hidden="1">"'t;&amp;amp;lt;RHSItem&amp;amp;gt;&amp;amp;lt;RHSType&amp;amp;gt;EXPRESSION&amp;amp;lt;/RHSType&amp;amp;gt;&amp;amp;lt;AddQuotes&amp;amp;gt;True&amp;amp;lt;/AddQuotes&amp;amp;gt;&amp;amp;lt;DateFormat&amp;amp;gt;None&amp;amp;lt;/DateFormat&amp;amp;gt;&amp;amp;lt;RightHandSideExpression xml:space=&amp;amp;quot;prese'"</definedName>
    <definedName name="_AMO_ContentDefinition_316789590.766" hidden="1">"'rve&amp;amp;quot;&amp;amp;gt;MFPR01001231&amp;amp;lt;/RightHandSideExpression&amp;amp;gt;&amp;amp;lt;IsSubquery&amp;amp;gt;False&amp;amp;lt;/IsSubquery&amp;amp;gt;&amp;amp;lt;SubqueryTemplateName /&amp;amp;gt;&amp;amp;lt;/RHSItem&amp;amp;gt;&amp;amp;lt;RHSItem&amp;amp;gt;&amp;amp;lt;RHSType&amp;amp;gt;EXPRESSION&amp;a'"</definedName>
    <definedName name="_AMO_ContentDefinition_316789590.767" hidden="1">"'mp;lt;/RHSType&amp;amp;gt;&amp;amp;lt;AddQuotes&amp;amp;gt;True&amp;amp;lt;/AddQuotes&amp;amp;gt;&amp;amp;lt;DateFormat&amp;amp;gt;None&amp;amp;lt;/DateFormat&amp;amp;gt;&amp;amp;lt;RightHandSideExpression xml:space=&amp;amp;quot;preserve&amp;amp;quot;&amp;amp;gt;MFPR01001235&amp;amp;lt;/RightHandSideExpre'"</definedName>
    <definedName name="_AMO_ContentDefinition_316789590.768"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769" hidden="1">"'AddQuotes&amp;amp;gt;&amp;amp;lt;DateFormat&amp;amp;gt;None&amp;amp;lt;/DateFormat&amp;amp;gt;&amp;amp;lt;RightHandSideExpression xml:space=&amp;amp;quot;preserve&amp;amp;quot;&amp;amp;gt;MFPR01001236&amp;amp;lt;/RightHandSideExpression&amp;amp;gt;&amp;amp;lt;IsSubquery&amp;amp;gt;False&amp;amp;lt;/IsSubqu'"</definedName>
    <definedName name="_AMO_ContentDefinition_316789590.77" hidden="1">"'xA;'MFPR01002640',&amp;#xD;&amp;#xA;'MFPR01002646',&amp;#xD;&amp;#xA;'MFPR01002650',&amp;#xD;&amp;#xA;'MFPR01002651',&amp;#xD;&amp;#xA;'MFPR01002655',&amp;#xD;&amp;#xA;'MFPR01002656',&amp;#xD;&amp;#xA;'MFPR01002657',&amp;#xD;&amp;#xA;'MFPR01002659',&amp;#xD;&amp;#xA;'MFPR01002660',&amp;#xD;&amp;#xA;'MFPR01002661',&amp;#xD;&amp;#x'"</definedName>
    <definedName name="_AMO_ContentDefinition_316789590.770"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316789590.771" hidden="1">"'Format&amp;amp;gt;&amp;amp;lt;RightHandSideExpression xml:space=&amp;amp;quot;preserve&amp;amp;quot;&amp;amp;gt;MFPR01001237&amp;amp;lt;/RightHandSideExpression&amp;amp;gt;&amp;amp;lt;IsSubquery&amp;amp;gt;False&amp;amp;lt;/IsSubquery&amp;amp;gt;&amp;amp;lt;SubqueryTemplateName /&amp;amp;gt;&amp;amp;lt;/RH'"</definedName>
    <definedName name="_AMO_ContentDefinition_316789590.772" hidden="1">"'S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316789590.773" hidden="1">"';quot;preserve&amp;amp;quot;&amp;amp;gt;MFPR01001239&amp;amp;lt;/RightHandSideExpression&amp;amp;gt;&amp;amp;lt;IsSubquery&amp;amp;gt;False&amp;amp;lt;/IsSubquery&amp;amp;gt;&amp;amp;lt;SubqueryTemplateName /&amp;amp;gt;&amp;amp;lt;/RHSItem&amp;amp;gt;&amp;amp;lt;RHSItem&amp;amp;gt;&amp;amp;lt;RHSType&amp;amp;gt;E'"</definedName>
    <definedName name="_AMO_ContentDefinition_316789590.774" hidden="1">"'XPRESSION&amp;amp;lt;/RHSType&amp;amp;gt;&amp;amp;lt;AddQuotes&amp;amp;gt;True&amp;amp;lt;/AddQuotes&amp;amp;gt;&amp;amp;lt;DateFormat&amp;amp;gt;None&amp;amp;lt;/DateFormat&amp;amp;gt;&amp;amp;lt;RightHandSideExpression xml:space=&amp;amp;quot;preserve&amp;amp;quot;&amp;amp;gt;MFPR01001240&amp;amp;lt;/RightHa'"</definedName>
    <definedName name="_AMO_ContentDefinition_316789590.775"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316789590.776" hidden="1">"'ue&amp;amp;lt;/AddQuotes&amp;amp;gt;&amp;amp;lt;DateFormat&amp;amp;gt;None&amp;amp;lt;/DateFormat&amp;amp;gt;&amp;amp;lt;RightHandSideExpression xml:space=&amp;amp;quot;preserve&amp;amp;quot;&amp;amp;gt;MFPR01001241&amp;amp;lt;/RightHandSideExpression&amp;amp;gt;&amp;amp;lt;IsSubquery&amp;amp;gt;False&amp;amp;'"</definedName>
    <definedName name="_AMO_ContentDefinition_316789590.777"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316789590.778" hidden="1">"'mp;lt;/DateFormat&amp;amp;gt;&amp;amp;lt;RightHandSideExpression xml:space=&amp;amp;quot;preserve&amp;amp;quot;&amp;amp;gt;MFPR01001242&amp;amp;lt;/RightHandSideExpression&amp;amp;gt;&amp;amp;lt;IsSubquery&amp;amp;gt;False&amp;amp;lt;/IsSubquery&amp;amp;gt;&amp;amp;lt;SubqueryTemplateName /&amp;amp;gt;'"</definedName>
    <definedName name="_AMO_ContentDefinition_316789590.779" hidden="1">"'&amp;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316789590.78" hidden="1">"'A;'MFPR01002662',&amp;#xD;&amp;#xA;'MFPR01002666',&amp;#xD;&amp;#xA;'MFPR01002673',&amp;#xD;&amp;#xA;'MFPR01002677',&amp;#xD;&amp;#xA;'MFPR01002678',&amp;#xD;&amp;#xA;'MFPR01002679',&amp;#xD;&amp;#xA;'MFPR01002687',&amp;#xD;&amp;#xA;'MFPR01002698',&amp;#xD;&amp;#xA;'MFPR01002699',&amp;#xD;&amp;#xA;'MFPR01002700',&amp;#xD;&amp;#xA'"</definedName>
    <definedName name="_AMO_ContentDefinition_316789590.780" hidden="1">"':space=&amp;amp;quot;preserve&amp;amp;quot;&amp;amp;gt;MFPR01001246&amp;amp;lt;/RightHandSideExpression&amp;amp;gt;&amp;amp;lt;IsSubquery&amp;amp;gt;False&amp;amp;lt;/IsSubquery&amp;amp;gt;&amp;amp;lt;SubqueryTemplateName /&amp;amp;gt;&amp;amp;lt;/RHSItem&amp;amp;gt;&amp;amp;lt;RHSItem&amp;amp;gt;&amp;amp;lt;RHSTy'"</definedName>
    <definedName name="_AMO_ContentDefinition_316789590.781" hidden="1">"'pe&amp;amp;gt;EXPRESSION&amp;amp;lt;/RHSType&amp;amp;gt;&amp;amp;lt;AddQuotes&amp;amp;gt;True&amp;amp;lt;/AddQuotes&amp;amp;gt;&amp;amp;lt;DateFormat&amp;amp;gt;None&amp;amp;lt;/DateFormat&amp;amp;gt;&amp;amp;lt;RightHandSideExpression xml:space=&amp;amp;quot;preserve&amp;amp;quot;&amp;amp;gt;MFPR01001253&amp;amp;'"</definedName>
    <definedName name="_AMO_ContentDefinition_316789590.782"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316789590.783" hidden="1">"'s&amp;amp;gt;True&amp;amp;lt;/AddQuotes&amp;amp;gt;&amp;amp;lt;DateFormat&amp;amp;gt;None&amp;amp;lt;/DateFormat&amp;amp;gt;&amp;amp;lt;RightHandSideExpression xml:space=&amp;amp;quot;preserve&amp;amp;quot;&amp;amp;gt;MFPR01001257&amp;amp;lt;/RightHandSideExpression&amp;amp;gt;&amp;amp;lt;IsSubquery&amp;amp;gt'"</definedName>
    <definedName name="_AMO_ContentDefinition_316789590.784"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316789590.785" hidden="1">"'p;gt;None&amp;amp;lt;/DateFormat&amp;amp;gt;&amp;amp;lt;RightHandSideExpression xml:space=&amp;amp;quot;preserve&amp;amp;quot;&amp;amp;gt;MFPR01001258&amp;amp;lt;/RightHandSideExpression&amp;amp;gt;&amp;amp;lt;IsSubquery&amp;amp;gt;False&amp;amp;lt;/IsSubquery&amp;amp;gt;&amp;amp;lt;SubqueryTemplateNam'"</definedName>
    <definedName name="_AMO_ContentDefinition_316789590.786"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316789590.787" hidden="1">"'ression xml:space=&amp;amp;quot;preserve&amp;amp;quot;&amp;amp;gt;MFPR01001259&amp;amp;lt;/RightHandSideExpression&amp;amp;gt;&amp;amp;lt;IsSubquery&amp;amp;gt;False&amp;amp;lt;/IsSubquery&amp;amp;gt;&amp;amp;lt;SubqueryTemplateName /&amp;amp;gt;&amp;amp;lt;/RHSItem&amp;amp;gt;&amp;amp;lt;RHSItem&amp;amp;gt;&amp;a'"</definedName>
    <definedName name="_AMO_ContentDefinition_316789590.788" hidden="1">"'mp;lt;RHSType&amp;amp;gt;EXPRESSION&amp;amp;lt;/RHSType&amp;amp;gt;&amp;amp;lt;AddQuotes&amp;amp;gt;True&amp;amp;lt;/AddQuotes&amp;amp;gt;&amp;amp;lt;DateFormat&amp;amp;gt;None&amp;amp;lt;/DateFormat&amp;amp;gt;&amp;amp;lt;RightHandSideExpression xml:space=&amp;amp;quot;preserve&amp;amp;quot;&amp;amp;gt;MFPR01'"</definedName>
    <definedName name="_AMO_ContentDefinition_316789590.789" hidden="1">"'001267&amp;amp;lt;/RightHandSideExpression&amp;amp;gt;&amp;amp;lt;IsSubquery&amp;amp;gt;False&amp;amp;lt;/IsSubquery&amp;amp;gt;&amp;amp;lt;SubqueryTemplateName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79" hidden="1">"';'MFPR01002702',&amp;#xD;&amp;#xA;'MFPR01002703',&amp;#xD;&amp;#xA;'MFPR01002704',&amp;#xD;&amp;#xA;'MFPR01002705',&amp;#xD;&amp;#xA;'MFPR01002709',&amp;#xD;&amp;#xA;'MFPR01002715',&amp;#xD;&amp;#xA;'MFPR01002719',&amp;#xD;&amp;#xA;'MFPR01002720',&amp;#xD;&amp;#xA;'MFPR01002724',&amp;#xD;&amp;#xA;'MFPR01002725',&amp;#xD;&amp;#xA;'"</definedName>
    <definedName name="_AMO_ContentDefinition_316789590.790" hidden="1">"'lt;AddQuotes&amp;amp;gt;True&amp;amp;lt;/AddQuotes&amp;amp;gt;&amp;amp;lt;DateFormat&amp;amp;gt;None&amp;amp;lt;/DateFormat&amp;amp;gt;&amp;amp;lt;RightHandSideExpression xml:space=&amp;amp;quot;preserve&amp;amp;quot;&amp;amp;gt;MFPR01001283&amp;amp;lt;/RightHandSideExpression&amp;amp;gt;&amp;amp;lt;IsSubq'"</definedName>
    <definedName name="_AMO_ContentDefinition_316789590.791"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316789590.792" hidden="1">"'teFormat&amp;amp;gt;None&amp;amp;lt;/DateFormat&amp;amp;gt;&amp;amp;lt;RightHandSideExpression xml:space=&amp;amp;quot;preserve&amp;amp;quot;&amp;amp;gt;MFPR01001284&amp;amp;lt;/RightHandSideExpression&amp;amp;gt;&amp;amp;lt;IsSubquery&amp;amp;gt;False&amp;amp;lt;/IsSubquery&amp;amp;gt;&amp;amp;lt;Subquery'"</definedName>
    <definedName name="_AMO_ContentDefinition_316789590.793"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316789590.794" hidden="1">"'HandSideExpression xml:space=&amp;amp;quot;preserve&amp;amp;quot;&amp;amp;gt;MFPR01001289&amp;amp;lt;/RightHandSideExpression&amp;amp;gt;&amp;amp;lt;IsSubquery&amp;amp;gt;False&amp;amp;lt;/IsSubquery&amp;amp;gt;&amp;amp;lt;SubqueryTemplateName /&amp;amp;gt;&amp;amp;lt;/RHSItem&amp;amp;gt;&amp;amp;lt;RHSIte'"</definedName>
    <definedName name="_AMO_ContentDefinition_316789590.795" hidden="1">"'m&amp;amp;gt;&amp;amp;lt;RHSType&amp;amp;gt;EXPRESSION&amp;amp;lt;/RHSType&amp;amp;gt;&amp;amp;lt;AddQuotes&amp;amp;gt;True&amp;amp;lt;/AddQuotes&amp;amp;gt;&amp;amp;lt;DateFormat&amp;amp;gt;None&amp;amp;lt;/DateFormat&amp;amp;gt;&amp;amp;lt;RightHandSideExpression xml:space=&amp;amp;quot;preserve&amp;amp;quot;&amp;am'"</definedName>
    <definedName name="_AMO_ContentDefinition_316789590.796" hidden="1">"'p;gt;MFPR01001295&amp;amp;lt;/RightHandSideExpression&amp;amp;gt;&amp;amp;lt;IsSubquery&amp;amp;gt;False&amp;amp;lt;/IsSubquery&amp;amp;gt;&amp;amp;lt;SubqueryTemplateName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316789590.797" hidden="1">"'mp;gt;&amp;amp;lt;AddQuotes&amp;amp;gt;True&amp;amp;lt;/AddQuotes&amp;amp;gt;&amp;amp;lt;DateFormat&amp;amp;gt;None&amp;amp;lt;/DateFormat&amp;amp;gt;&amp;amp;lt;RightHandSideExpression xml:space=&amp;amp;quot;preserve&amp;amp;quot;&amp;amp;gt;MFPR01001299&amp;amp;lt;/RightHandSideExpression&amp;amp;gt;&amp;am'"</definedName>
    <definedName name="_AMO_ContentDefinition_316789590.798"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316789590.799" hidden="1">"';&amp;amp;lt;DateFormat&amp;amp;gt;None&amp;amp;lt;/DateFormat&amp;amp;gt;&amp;amp;lt;RightHandSideExpression xml:space=&amp;amp;quot;preserve&amp;amp;quot;&amp;amp;gt;MFPR01001300&amp;amp;lt;/RightHandSideExpression&amp;amp;gt;&amp;amp;lt;IsSubquery&amp;amp;gt;False&amp;amp;lt;/IsSubquery&amp;amp;gt;&amp;amp;'"</definedName>
    <definedName name="_AMO_ContentDefinition_316789590.8" hidden="1">"'PR01000148',&amp;#xD;&amp;#xA;'MFPR01000160',&amp;#xD;&amp;#xA;'MFPR01000161',&amp;#xD;&amp;#xA;'MFPR01000162',&amp;#xD;&amp;#xA;'MFPR01000163',&amp;#xD;&amp;#xA;'MFPR01000165',&amp;#xD;&amp;#xA;'MFPR01000168',&amp;#xD;&amp;#xA;'MFPR01000169',&amp;#xD;&amp;#xA;'MFPR01000170',&amp;#xD;&amp;#xA;'MFPR01000171',&amp;#xD;&amp;#xA;'MFP'"</definedName>
    <definedName name="_AMO_ContentDefinition_316789590.80" hidden="1">"''MFPR01002726',&amp;#xD;&amp;#xA;'MFPR01002728',&amp;#xD;&amp;#xA;'MFPR01002729',&amp;#xD;&amp;#xA;'MFPR01002730',&amp;#xD;&amp;#xA;'MFPR01002731',&amp;#xD;&amp;#xA;'MFPR01002735',&amp;#xD;&amp;#xA;'MFPR01002742',&amp;#xD;&amp;#xA;'MFPR01002746',&amp;#xD;&amp;#xA;'MFPR01002747',&amp;#xD;&amp;#xA;'MFPR01002748',&amp;#xD;&amp;#xA;''"</definedName>
    <definedName name="_AMO_ContentDefinition_316789590.800"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316789590.801" hidden="1">"'mp;lt;RightHandSideExpression xml:space=&amp;amp;quot;preserve&amp;amp;quot;&amp;amp;gt;MFPR01001352&amp;amp;lt;/RightHandSideExpression&amp;amp;gt;&amp;amp;lt;IsSubquery&amp;amp;gt;False&amp;amp;lt;/IsSubquery&amp;amp;gt;&amp;amp;lt;SubqueryTemplateName /&amp;amp;gt;&amp;amp;lt;/RHSItem&amp;amp;gt;&amp;am'"</definedName>
    <definedName name="_AMO_ContentDefinition_316789590.802" hidden="1">"'p;lt;RHSItem&amp;amp;gt;&amp;amp;lt;RHSType&amp;amp;gt;EXPRESSION&amp;amp;lt;/RHSType&amp;amp;gt;&amp;amp;lt;AddQuotes&amp;amp;gt;True&amp;amp;lt;/AddQuotes&amp;amp;gt;&amp;amp;lt;DateFormat&amp;amp;gt;None&amp;amp;lt;/DateFormat&amp;amp;gt;&amp;amp;lt;RightHandSideExpression xml:space=&amp;amp;quot;preserve&amp;a'"</definedName>
    <definedName name="_AMO_ContentDefinition_316789590.803" hidden="1">"'mp;quot;&amp;amp;gt;MFPR01001353&amp;amp;lt;/RightHandSideExpression&amp;amp;gt;&amp;amp;lt;IsSubquery&amp;amp;gt;False&amp;amp;lt;/IsSubquery&amp;amp;gt;&amp;amp;lt;SubqueryTemplateName /&amp;amp;gt;&amp;amp;lt;/RHSItem&amp;amp;gt;&amp;amp;lt;RHSItem&amp;amp;gt;&amp;amp;lt;RHSType&amp;amp;gt;EXPRESSION&amp;amp;lt'"</definedName>
    <definedName name="_AMO_ContentDefinition_316789590.804" hidden="1">"';/RHSType&amp;amp;gt;&amp;amp;lt;AddQuotes&amp;amp;gt;True&amp;amp;lt;/AddQuotes&amp;amp;gt;&amp;amp;lt;DateFormat&amp;amp;gt;None&amp;amp;lt;/DateFormat&amp;amp;gt;&amp;amp;lt;RightHandSideExpression xml:space=&amp;amp;quot;preserve&amp;amp;quot;&amp;amp;gt;MFPR01001358&amp;amp;lt;/RightHandSideExpression'"</definedName>
    <definedName name="_AMO_ContentDefinition_316789590.805"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316789590.806" hidden="1">"'otes&amp;amp;gt;&amp;amp;lt;DateFormat&amp;amp;gt;None&amp;amp;lt;/DateFormat&amp;amp;gt;&amp;amp;lt;RightHandSideExpression xml:space=&amp;amp;quot;preserve&amp;amp;quot;&amp;amp;gt;MFPR01001364&amp;amp;lt;/RightHandSideExpression&amp;amp;gt;&amp;amp;lt;IsSubquery&amp;amp;gt;False&amp;amp;lt;/IsSubquery&amp;a'"</definedName>
    <definedName name="_AMO_ContentDefinition_316789590.807"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316789590.808" hidden="1">"'t&amp;amp;gt;&amp;amp;lt;RightHandSideExpression xml:space=&amp;amp;quot;preserve&amp;amp;quot;&amp;amp;gt;MFPR01001368&amp;amp;lt;/RightHandSideExpression&amp;amp;gt;&amp;amp;lt;IsSubquery&amp;amp;gt;False&amp;amp;lt;/IsSubquery&amp;amp;gt;&amp;amp;lt;SubqueryTemplateName /&amp;amp;gt;&amp;amp;lt;/RHSItem'"</definedName>
    <definedName name="_AMO_ContentDefinition_316789590.809" hidden="1">"'&amp;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316789590.81" hidden="1">"'MFPR01002756',&amp;#xD;&amp;#xA;'MFPR01002767',&amp;#xD;&amp;#xA;'MFPR01002768',&amp;#xD;&amp;#xA;'MFPR01002769',&amp;#xD;&amp;#xA;'MFPR01002771',&amp;#xD;&amp;#xA;'MFPR01002772',&amp;#xD;&amp;#xA;'MFPR01002773',&amp;#xD;&amp;#xA;'MFPR01002774',&amp;#xD;&amp;#xA;'MFPR01002778',&amp;#xD;&amp;#xA;'MFPR01002784',&amp;#xD;&amp;#xA;'M'"</definedName>
    <definedName name="_AMO_ContentDefinition_316789590.810" hidden="1">"';preserve&amp;amp;quot;&amp;amp;gt;MFPR01001369&amp;amp;lt;/RightHandSideExpression&amp;amp;gt;&amp;amp;lt;IsSubquery&amp;amp;gt;False&amp;amp;lt;/IsSubquery&amp;amp;gt;&amp;amp;lt;SubqueryTemplateName /&amp;amp;gt;&amp;amp;lt;/RHSItem&amp;amp;gt;&amp;amp;lt;RHSItem&amp;amp;gt;&amp;amp;lt;RHSType&amp;amp;gt;EXPRES'"</definedName>
    <definedName name="_AMO_ContentDefinition_316789590.811" hidden="1">"'SION&amp;amp;lt;/RHSType&amp;amp;gt;&amp;amp;lt;AddQuotes&amp;amp;gt;True&amp;amp;lt;/AddQuotes&amp;amp;gt;&amp;amp;lt;DateFormat&amp;amp;gt;None&amp;amp;lt;/DateFormat&amp;amp;gt;&amp;amp;lt;RightHandSideExpression xml:space=&amp;amp;quot;preserve&amp;amp;quot;&amp;amp;gt;MFPR01001421&amp;amp;lt;/RightHandSid'"</definedName>
    <definedName name="_AMO_ContentDefinition_316789590.812"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316789590.813" hidden="1">"'p;lt;/AddQuotes&amp;amp;gt;&amp;amp;lt;DateFormat&amp;amp;gt;None&amp;amp;lt;/DateFormat&amp;amp;gt;&amp;amp;lt;RightHandSideExpression xml:space=&amp;amp;quot;preserve&amp;amp;quot;&amp;amp;gt;MFPR01001422&amp;amp;lt;/RightHandSideExpression&amp;amp;gt;&amp;amp;lt;IsSubquery&amp;amp;gt;False&amp;amp;lt;/I'"</definedName>
    <definedName name="_AMO_ContentDefinition_316789590.814"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316789590.815" hidden="1">"';/DateFormat&amp;amp;gt;&amp;amp;lt;RightHandSideExpression xml:space=&amp;amp;quot;preserve&amp;amp;quot;&amp;amp;gt;MFPR01001427&amp;amp;lt;/RightHandSideExpression&amp;amp;gt;&amp;amp;lt;IsSubquery&amp;amp;gt;False&amp;amp;lt;/IsSubquery&amp;amp;gt;&amp;amp;lt;SubqueryTemplateName /&amp;amp;gt;&amp;amp;'"</definedName>
    <definedName name="_AMO_ContentDefinition_316789590.816" hidden="1">"'lt;/RHSItem&amp;amp;gt;&amp;amp;lt;RHSItem&amp;amp;gt;&amp;amp;lt;RHSType&amp;amp;gt;EXPRESSION&amp;amp;lt;/RHSType&amp;amp;gt;&amp;amp;lt;AddQuotes&amp;amp;gt;True&amp;amp;lt;/AddQuotes&amp;amp;gt;&amp;amp;lt;DateFormat&amp;amp;gt;None&amp;amp;lt;/DateFormat&amp;amp;gt;&amp;amp;lt;RightHandSideExpression xml:spac'"</definedName>
    <definedName name="_AMO_ContentDefinition_316789590.817" hidden="1">"'e=&amp;amp;quot;preserve&amp;amp;quot;&amp;amp;gt;MFPR01001433&amp;amp;lt;/RightHandSideExpression&amp;amp;gt;&amp;amp;lt;IsSubquery&amp;amp;gt;False&amp;amp;lt;/IsSubquery&amp;amp;gt;&amp;amp;lt;SubqueryTemplateName /&amp;amp;gt;&amp;amp;lt;/RHSItem&amp;amp;gt;&amp;amp;lt;RHSItem&amp;amp;gt;&amp;amp;lt;RHSType&amp;am'"</definedName>
    <definedName name="_AMO_ContentDefinition_316789590.818" hidden="1">"'p;gt;EXPRESSION&amp;amp;lt;/RHSType&amp;amp;gt;&amp;amp;lt;AddQuotes&amp;amp;gt;True&amp;amp;lt;/AddQuotes&amp;amp;gt;&amp;amp;lt;DateFormat&amp;amp;gt;None&amp;amp;lt;/DateFormat&amp;amp;gt;&amp;amp;lt;RightHandSideExpression xml:space=&amp;amp;quot;preserve&amp;amp;quot;&amp;amp;gt;MFPR01001437&amp;amp;lt;/R'"</definedName>
    <definedName name="_AMO_ContentDefinition_316789590.819"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316789590.82" hidden="1">"'FPR01002788',&amp;#xD;&amp;#xA;'MFPR01002789',&amp;#xD;&amp;#xA;'MFPR01002793',&amp;#xD;&amp;#xA;'MFPR01002794',&amp;#xD;&amp;#xA;'MFPR01002795',&amp;#xD;&amp;#xA;'MFPR01002797',&amp;#xD;&amp;#xA;'MFPR01002798',&amp;#xD;&amp;#xA;'MFPR01002799',&amp;#xD;&amp;#xA;'MFPR01002800',&amp;#xD;&amp;#xA;'MFPR01002804',&amp;#xD;&amp;#xA;'MF'"</definedName>
    <definedName name="_AMO_ContentDefinition_316789590.820" hidden="1">"';gt;True&amp;amp;lt;/AddQuotes&amp;amp;gt;&amp;amp;lt;DateFormat&amp;amp;gt;None&amp;amp;lt;/DateFormat&amp;amp;gt;&amp;amp;lt;RightHandSideExpression xml:space=&amp;amp;quot;preserve&amp;amp;quot;&amp;amp;gt;MFPR01001438&amp;amp;lt;/RightHandSideExpression&amp;amp;gt;&amp;amp;lt;IsSubquery&amp;amp;gt;Fals'"</definedName>
    <definedName name="_AMO_ContentDefinition_316789590.821"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822" hidden="1">"'None&amp;amp;lt;/DateFormat&amp;amp;gt;&amp;amp;lt;RightHandSideExpression xml:space=&amp;amp;quot;preserve&amp;amp;quot;&amp;amp;gt;MFPR01001554&amp;amp;lt;/RightHandSideExpression&amp;amp;gt;&amp;amp;lt;IsSubquery&amp;amp;gt;False&amp;amp;lt;/IsSubquery&amp;amp;gt;&amp;amp;lt;SubqueryTemplateName /&amp;a'"</definedName>
    <definedName name="_AMO_ContentDefinition_316789590.823"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316789590.824" hidden="1">"'on xml:space=&amp;amp;quot;preserve&amp;amp;quot;&amp;amp;gt;MFPR01001555&amp;amp;lt;/RightHandSideExpression&amp;amp;gt;&amp;amp;lt;IsSubquery&amp;amp;gt;False&amp;amp;lt;/IsSubquery&amp;amp;gt;&amp;amp;lt;SubqueryTemplateName /&amp;amp;gt;&amp;amp;lt;/RHSItem&amp;amp;gt;&amp;amp;lt;RHSItem&amp;amp;gt;&amp;amp;lt'"</definedName>
    <definedName name="_AMO_ContentDefinition_316789590.825" hidden="1">"';RHSType&amp;amp;gt;EXPRESSION&amp;amp;lt;/RHSType&amp;amp;gt;&amp;amp;lt;AddQuotes&amp;amp;gt;True&amp;amp;lt;/AddQuotes&amp;amp;gt;&amp;amp;lt;DateFormat&amp;amp;gt;None&amp;amp;lt;/DateFormat&amp;amp;gt;&amp;amp;lt;RightHandSideExpression xml:space=&amp;amp;quot;preserve&amp;amp;quot;&amp;amp;gt;MFPR0100155'"</definedName>
    <definedName name="_AMO_ContentDefinition_316789590.826" hidden="1">"'6&amp;amp;lt;/RightHandSideExpression&amp;amp;gt;&amp;amp;lt;IsSubquery&amp;amp;gt;False&amp;amp;lt;/IsSubquery&amp;amp;gt;&amp;amp;lt;SubqueryTemplateName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316789590.827" hidden="1">"'dQuotes&amp;amp;gt;True&amp;amp;lt;/AddQuotes&amp;amp;gt;&amp;amp;lt;DateFormat&amp;amp;gt;None&amp;amp;lt;/DateFormat&amp;amp;gt;&amp;amp;lt;RightHandSideExpression xml:space=&amp;amp;quot;preserve&amp;amp;quot;&amp;amp;gt;MFPR01001558&amp;amp;lt;/RightHandSideExpression&amp;amp;gt;&amp;amp;lt;IsSubquery&amp;'"</definedName>
    <definedName name="_AMO_ContentDefinition_316789590.828"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316789590.829" hidden="1">"'mat&amp;amp;gt;None&amp;amp;lt;/DateFormat&amp;amp;gt;&amp;amp;lt;RightHandSideExpression xml:space=&amp;amp;quot;preserve&amp;amp;quot;&amp;amp;gt;MFPR01001559&amp;amp;lt;/RightHandSideExpression&amp;amp;gt;&amp;amp;lt;IsSubquery&amp;amp;gt;False&amp;amp;lt;/IsSubquery&amp;amp;gt;&amp;amp;lt;SubqueryTempl'"</definedName>
    <definedName name="_AMO_ContentDefinition_316789590.83" hidden="1">"'PR01002811',&amp;#xD;&amp;#xA;'MFPR01002815',&amp;#xD;&amp;#xA;'MFPR01002816',&amp;#xD;&amp;#xA;'MFPR01002817',&amp;#xD;&amp;#xA;'MFPR01002825',&amp;#xD;&amp;#xA;'MFPR01002835',&amp;#xD;&amp;#xA;'MFPR01002836',&amp;#xD;&amp;#xA;'MFPR01002840',&amp;#xD;&amp;#xA;'MFPR01002848',&amp;#xD;&amp;#xA;'MFPR01002849',&amp;#xD;&amp;#xA;'MFP'"</definedName>
    <definedName name="_AMO_ContentDefinition_316789590.830"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316789590.831" hidden="1">"'ideExpression xml:space=&amp;amp;quot;preserve&amp;amp;quot;&amp;amp;gt;MFPR01001560&amp;amp;lt;/RightHandSideExpression&amp;amp;gt;&amp;amp;lt;IsSubquery&amp;amp;gt;False&amp;amp;lt;/IsSubquery&amp;amp;gt;&amp;amp;lt;SubqueryTemplateName /&amp;amp;gt;&amp;amp;lt;/RHSItem&amp;amp;gt;&amp;amp;lt;RHSItem&amp;amp'"</definedName>
    <definedName name="_AMO_ContentDefinition_316789590.832" hidden="1">"';gt;&amp;amp;lt;RHSType&amp;amp;gt;EXPRESSION&amp;amp;lt;/RHSType&amp;amp;gt;&amp;amp;lt;AddQuotes&amp;amp;gt;True&amp;amp;lt;/AddQuotes&amp;amp;gt;&amp;amp;lt;DateFormat&amp;amp;gt;None&amp;amp;lt;/DateFormat&amp;amp;gt;&amp;amp;lt;RightHandSideExpression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833" hidden="1">"'MFPR01001561&amp;amp;lt;/RightHandSideExpression&amp;amp;gt;&amp;amp;lt;IsSubquery&amp;amp;gt;False&amp;amp;lt;/IsSubquery&amp;amp;gt;&amp;amp;lt;SubqueryTemplateName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316789590.834" hidden="1">"';&amp;amp;lt;AddQuotes&amp;amp;gt;True&amp;amp;lt;/AddQuotes&amp;amp;gt;&amp;amp;lt;DateFormat&amp;amp;gt;None&amp;amp;lt;/DateFormat&amp;amp;gt;&amp;amp;lt;RightHandSideExpression xml:space=&amp;amp;quot;preserve&amp;amp;quot;&amp;amp;gt;MFPR01001565&amp;amp;lt;/RightHandSideExpression&amp;amp;gt;&amp;amp;lt;'"</definedName>
    <definedName name="_AMO_ContentDefinition_316789590.835"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316789590.836" hidden="1">"';lt;DateFormat&amp;amp;gt;None&amp;amp;lt;/DateFormat&amp;amp;gt;&amp;amp;lt;RightHandSideExpression xml:space=&amp;amp;quot;preserve&amp;amp;quot;&amp;amp;gt;MFPR01001571&amp;amp;lt;/RightHandSideExpression&amp;amp;gt;&amp;amp;lt;IsSubquery&amp;amp;gt;False&amp;amp;lt;/IsSubquery&amp;amp;gt;&amp;amp;lt;Su'"</definedName>
    <definedName name="_AMO_ContentDefinition_316789590.837"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316789590.838" hidden="1">"';RightHandSideExpression xml:space=&amp;amp;quot;preserve&amp;amp;quot;&amp;amp;gt;MFPR01001575&amp;amp;lt;/RightHandSideExpression&amp;amp;gt;&amp;amp;lt;IsSubquery&amp;amp;gt;False&amp;amp;lt;/IsSubquery&amp;amp;gt;&amp;amp;lt;SubqueryTemplateName /&amp;amp;gt;&amp;amp;lt;/RHSItem&amp;amp;gt;&amp;amp;lt;'"</definedName>
    <definedName name="_AMO_ContentDefinition_316789590.839" hidden="1">"'RHSItem&amp;amp;gt;&amp;amp;lt;RHSType&amp;amp;gt;EXPRESSION&amp;amp;lt;/RHSType&amp;amp;gt;&amp;amp;lt;AddQuotes&amp;amp;gt;True&amp;amp;lt;/AddQuotes&amp;amp;gt;&amp;amp;lt;DateFormat&amp;amp;gt;None&amp;amp;lt;/DateFormat&amp;amp;gt;&amp;amp;lt;RightHandSideExpression xml:space=&amp;amp;quot;preserve&amp;amp;qu'"</definedName>
    <definedName name="_AMO_ContentDefinition_316789590.84" hidden="1">"'R01002853',&amp;#xD;&amp;#xA;'MFPR01002860',&amp;#xD;&amp;#xA;'MFPR01002863',&amp;#xD;&amp;#xA;'MFPR01002869',&amp;#xD;&amp;#xA;'MFPR01002870',&amp;#xD;&amp;#xA;'MFPR01002871',&amp;#xD;&amp;#xA;'MFPR01002873',&amp;#xD;&amp;#xA;'MFPR01002874',&amp;#xD;&amp;#xA;'MFPR01002875',&amp;#xD;&amp;#xA;'MFPR01002876',&amp;#xD;&amp;#xA;'MFPR'"</definedName>
    <definedName name="_AMO_ContentDefinition_316789590.840" hidden="1">"'ot;&amp;amp;gt;MFPR01001576&amp;amp;lt;/RightHandSideExpression&amp;amp;gt;&amp;amp;lt;IsSubquery&amp;amp;gt;False&amp;amp;lt;/IsSubquery&amp;amp;gt;&amp;amp;lt;SubqueryTemplateName /&amp;amp;gt;&amp;amp;lt;/RHSItem&amp;amp;gt;&amp;amp;lt;RHSItem&amp;amp;gt;&amp;amp;lt;RHSType&amp;amp;gt;EXPRESSION&amp;amp;lt;/RHS'"</definedName>
    <definedName name="_AMO_ContentDefinition_316789590.841" hidden="1">"'Type&amp;amp;gt;&amp;amp;lt;AddQuotes&amp;amp;gt;True&amp;amp;lt;/AddQuotes&amp;amp;gt;&amp;amp;lt;DateFormat&amp;amp;gt;None&amp;amp;lt;/DateFormat&amp;amp;gt;&amp;amp;lt;RightHandSideExpression xml:space=&amp;amp;quot;preserve&amp;amp;quot;&amp;amp;gt;MFPR01001580&amp;amp;lt;/RightHandSideExpression&amp;amp;'"</definedName>
    <definedName name="_AMO_ContentDefinition_316789590.842"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316789590.843" hidden="1">"'amp;gt;&amp;amp;lt;DateFormat&amp;amp;gt;None&amp;amp;lt;/DateFormat&amp;amp;gt;&amp;amp;lt;RightHandSideExpression xml:space=&amp;amp;quot;preserve&amp;amp;quot;&amp;amp;gt;MFPR01001581&amp;amp;lt;/RightHandSideExpression&amp;amp;gt;&amp;amp;lt;IsSubquery&amp;amp;gt;False&amp;amp;lt;/IsSubquery&amp;amp;gt'"</definedName>
    <definedName name="_AMO_ContentDefinition_316789590.844"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316789590.845" hidden="1">"';gt;&amp;amp;lt;RightHandSideExpression xml:space=&amp;amp;quot;preserve&amp;amp;quot;&amp;amp;gt;MFPR01001582&amp;amp;lt;/RightHandSideExpression&amp;amp;gt;&amp;amp;lt;IsSubquery&amp;amp;gt;False&amp;amp;lt;/IsSubquery&amp;amp;gt;&amp;amp;lt;SubqueryTemplateName /&amp;amp;gt;&amp;amp;lt;/RHSItem&amp;amp;'"</definedName>
    <definedName name="_AMO_ContentDefinition_316789590.846" hidden="1">"'gt;&amp;amp;lt;RHSItem&amp;amp;gt;&amp;amp;lt;RHSType&amp;amp;gt;EXPRESSION&amp;amp;lt;/RHSType&amp;amp;gt;&amp;amp;lt;AddQuotes&amp;amp;gt;True&amp;amp;lt;/AddQuotes&amp;amp;gt;&amp;amp;lt;DateFormat&amp;amp;gt;None&amp;amp;lt;/DateFormat&amp;amp;gt;&amp;amp;lt;RightHandSideExpression xml:space=&amp;amp;quot;pres'"</definedName>
    <definedName name="_AMO_ContentDefinition_316789590.847" hidden="1">"'erve&amp;amp;quot;&amp;amp;gt;MFPR01001584&amp;amp;lt;/RightHandSideExpression&amp;amp;gt;&amp;amp;lt;IsSubquery&amp;amp;gt;False&amp;amp;lt;/IsSubquery&amp;amp;gt;&amp;amp;lt;SubqueryTemplateName /&amp;amp;gt;&amp;amp;lt;/RHSItem&amp;amp;gt;&amp;amp;lt;RHSItem&amp;amp;gt;&amp;amp;lt;RHSType&amp;amp;gt;EXPRESSION&amp;'"</definedName>
    <definedName name="_AMO_ContentDefinition_316789590.848" hidden="1">"'amp;lt;/RHSType&amp;amp;gt;&amp;amp;lt;AddQuotes&amp;amp;gt;True&amp;amp;lt;/AddQuotes&amp;amp;gt;&amp;amp;lt;DateFormat&amp;amp;gt;None&amp;amp;lt;/DateFormat&amp;amp;gt;&amp;amp;lt;RightHandSideExpression xml:space=&amp;amp;quot;preserve&amp;amp;quot;&amp;amp;gt;MFPR01001585&amp;amp;lt;/RightHandSideExpr'"</definedName>
    <definedName name="_AMO_ContentDefinition_316789590.849"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85" hidden="1">"'01002880',&amp;#xD;&amp;#xA;'MFPR01002886',&amp;#xD;&amp;#xA;'MFPR01002890',&amp;#xD;&amp;#xA;'MFPR01002891',&amp;#xD;&amp;#xA;'MFPR01002895',&amp;#xD;&amp;#xA;'MFPR01002896',&amp;#xD;&amp;#xA;'MFPR01002897',&amp;#xD;&amp;#xA;'MFPR01002899',&amp;#xD;&amp;#xA;'MFPR01002900',&amp;#xD;&amp;#xA;'MFPR01002901',&amp;#xD;&amp;#xA;'MFPR0'"</definedName>
    <definedName name="_AMO_ContentDefinition_316789590.850" hidden="1">"'/AddQuotes&amp;amp;gt;&amp;amp;lt;DateFormat&amp;amp;gt;None&amp;amp;lt;/DateFormat&amp;amp;gt;&amp;amp;lt;RightHandSideExpression xml:space=&amp;amp;quot;preserve&amp;amp;quot;&amp;amp;gt;MFPR01001586&amp;amp;lt;/RightHandSideExpression&amp;amp;gt;&amp;amp;lt;IsSubquery&amp;amp;gt;False&amp;amp;lt;/IsSubq'"</definedName>
    <definedName name="_AMO_ContentDefinition_316789590.851"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316789590.852" hidden="1">"'eFormat&amp;amp;gt;&amp;amp;lt;RightHandSideExpression xml:space=&amp;amp;quot;preserve&amp;amp;quot;&amp;amp;gt;MFPR01001587&amp;amp;lt;/RightHandSideExpression&amp;amp;gt;&amp;amp;lt;IsSubquery&amp;amp;gt;False&amp;amp;lt;/IsSubquery&amp;amp;gt;&amp;amp;lt;SubqueryTemplateName /&amp;amp;gt;&amp;amp;lt;/R'"</definedName>
    <definedName name="_AMO_ContentDefinition_316789590.853" hidden="1">"'HSItem&amp;amp;gt;&amp;amp;lt;RHSItem&amp;amp;gt;&amp;amp;lt;RHSType&amp;amp;gt;EXPRESSION&amp;amp;lt;/RHSType&amp;amp;gt;&amp;amp;lt;AddQuotes&amp;amp;gt;True&amp;amp;lt;/AddQuotes&amp;amp;gt;&amp;amp;lt;DateFormat&amp;amp;gt;None&amp;amp;lt;/DateFormat&amp;amp;gt;&amp;amp;lt;RightHandSideExpression xml:space=&amp;am'"</definedName>
    <definedName name="_AMO_ContentDefinition_316789590.854" hidden="1">"'p;quot;preserve&amp;amp;quot;&amp;amp;gt;MFPR01001591&amp;amp;lt;/RightHandSideExpression&amp;amp;gt;&amp;amp;lt;IsSubquery&amp;amp;gt;False&amp;amp;lt;/IsSubquery&amp;amp;gt;&amp;amp;lt;SubqueryTemplateName /&amp;amp;gt;&amp;amp;lt;/RHSItem&amp;amp;gt;&amp;amp;lt;RHSItem&amp;amp;gt;&amp;amp;lt;RHSType&amp;amp;gt;'"</definedName>
    <definedName name="_AMO_ContentDefinition_316789590.855" hidden="1">"'EXPRESSION&amp;amp;lt;/RHSType&amp;amp;gt;&amp;amp;lt;AddQuotes&amp;amp;gt;True&amp;amp;lt;/AddQuotes&amp;amp;gt;&amp;amp;lt;DateFormat&amp;amp;gt;None&amp;amp;lt;/DateFormat&amp;amp;gt;&amp;amp;lt;RightHandSideExpression xml:space=&amp;amp;quot;preserve&amp;amp;quot;&amp;amp;gt;MFPR01001598&amp;amp;lt;/RightH'"</definedName>
    <definedName name="_AMO_ContentDefinition_316789590.856"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316789590.857" hidden="1">"'rue&amp;amp;lt;/AddQuotes&amp;amp;gt;&amp;amp;lt;DateFormat&amp;amp;gt;None&amp;amp;lt;/DateFormat&amp;amp;gt;&amp;amp;lt;RightHandSideExpression xml:space=&amp;amp;quot;preserve&amp;amp;quot;&amp;amp;gt;MFPR01001602&amp;amp;lt;/RightHandSideExpression&amp;amp;gt;&amp;amp;lt;IsSubquery&amp;amp;gt;False&amp;amp'"</definedName>
    <definedName name="_AMO_ContentDefinition_316789590.858"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316789590.859" hidden="1">"'amp;lt;/DateFormat&amp;amp;gt;&amp;amp;lt;RightHandSideExpression xml:space=&amp;amp;quot;preserve&amp;amp;quot;&amp;amp;gt;MFPR01001603&amp;amp;lt;/RightHandSideExpression&amp;amp;gt;&amp;amp;lt;IsSubquery&amp;amp;gt;False&amp;amp;lt;/IsSubquery&amp;amp;gt;&amp;amp;lt;SubqueryTemplateName /&amp;amp;gt'"</definedName>
    <definedName name="_AMO_ContentDefinition_316789590.86" hidden="1">"'1002902',&amp;#xD;&amp;#xA;'MFPR01002906',&amp;#xD;&amp;#xA;'MFPR01002913',&amp;#xD;&amp;#xA;'MFPR01002917',&amp;#xD;&amp;#xA;'MFPR01002918',&amp;#xD;&amp;#xA;'MFPR01002919',&amp;#xD;&amp;#xA;'MFPR01002927',&amp;#xD;&amp;#xA;'MFPR01002938',&amp;#xD;&amp;#xA;'MFPR01002939',&amp;#xD;&amp;#xA;'MFPR01002940',&amp;#xD;&amp;#xA;'MFPR01'"</definedName>
    <definedName name="_AMO_ContentDefinition_316789590.860" hidden="1">"';&amp;amp;lt;/RHSItem&amp;amp;gt;&amp;amp;lt;RHSItem&amp;amp;gt;&amp;amp;lt;RHSType&amp;amp;gt;EXPRESSION&amp;amp;lt;/RHSType&amp;amp;gt;&amp;amp;lt;AddQuotes&amp;amp;gt;True&amp;amp;lt;/AddQuotes&amp;amp;gt;&amp;amp;lt;DateFormat&amp;amp;gt;None&amp;amp;lt;/DateFormat&amp;amp;gt;&amp;amp;lt;RightHandSideExpression xm'"</definedName>
    <definedName name="_AMO_ContentDefinition_316789590.861" hidden="1">"'l:space=&amp;amp;quot;preserve&amp;amp;quot;&amp;amp;gt;MFPR01001604&amp;amp;lt;/RightHandSideExpression&amp;amp;gt;&amp;amp;lt;IsSubquery&amp;amp;gt;False&amp;amp;lt;/IsSubquery&amp;amp;gt;&amp;amp;lt;SubqueryTemplateName /&amp;amp;gt;&amp;amp;lt;/RHSItem&amp;amp;gt;&amp;amp;lt;RHSItem&amp;amp;gt;&amp;amp;lt;RHST'"</definedName>
    <definedName name="_AMO_ContentDefinition_316789590.862" hidden="1">"'ype&amp;amp;gt;EXPRESSION&amp;amp;lt;/RHSType&amp;amp;gt;&amp;amp;lt;AddQuotes&amp;amp;gt;True&amp;amp;lt;/AddQuotes&amp;amp;gt;&amp;amp;lt;DateFormat&amp;amp;gt;None&amp;amp;lt;/DateFormat&amp;amp;gt;&amp;amp;lt;RightHandSideExpression xml:space=&amp;amp;quot;preserve&amp;amp;quot;&amp;amp;gt;MFPR01001612&amp;amp'"</definedName>
    <definedName name="_AMO_ContentDefinition_316789590.863"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316789590.864" hidden="1">"'es&amp;amp;gt;True&amp;amp;lt;/AddQuotes&amp;amp;gt;&amp;amp;lt;DateFormat&amp;amp;gt;None&amp;amp;lt;/DateFormat&amp;amp;gt;&amp;amp;lt;RightHandSideExpression xml:space=&amp;amp;quot;preserve&amp;amp;quot;&amp;amp;gt;MFPR01001623&amp;amp;lt;/RightHandSideExpression&amp;amp;gt;&amp;amp;lt;IsSubquery&amp;amp;g'"</definedName>
    <definedName name="_AMO_ContentDefinition_316789590.865"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316789590.866" hidden="1">"'mp;gt;None&amp;amp;lt;/DateFormat&amp;amp;gt;&amp;amp;lt;RightHandSideExpression xml:space=&amp;amp;quot;preserve&amp;amp;quot;&amp;amp;gt;MFPR01001624&amp;amp;lt;/RightHandSideExpression&amp;amp;gt;&amp;amp;lt;IsSubquery&amp;amp;gt;False&amp;amp;lt;/IsSubquery&amp;amp;gt;&amp;amp;lt;SubqueryTemplateNa'"</definedName>
    <definedName name="_AMO_ContentDefinition_316789590.867"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316789590.868" hidden="1">"'pression xml:space=&amp;amp;quot;preserve&amp;amp;quot;&amp;amp;gt;MFPR01001625&amp;amp;lt;/RightHandSideExpression&amp;amp;gt;&amp;amp;lt;IsSubquery&amp;amp;gt;False&amp;amp;lt;/IsSubquery&amp;amp;gt;&amp;amp;lt;SubqueryTemplateName /&amp;amp;gt;&amp;amp;lt;/RHSItem&amp;amp;gt;&amp;amp;lt;RHSItem&amp;amp;gt;&amp;'"</definedName>
    <definedName name="_AMO_ContentDefinition_316789590.869" hidden="1">"'amp;lt;RHSType&amp;amp;gt;EXPRESSION&amp;amp;lt;/RHSType&amp;amp;gt;&amp;amp;lt;AddQuotes&amp;amp;gt;True&amp;amp;lt;/AddQuotes&amp;amp;gt;&amp;amp;lt;DateFormat&amp;amp;gt;None&amp;amp;lt;/DateFormat&amp;amp;gt;&amp;amp;lt;RightHandSideExpression xml:space=&amp;amp;quot;preserve&amp;amp;quot;&amp;amp;gt;MFPR0'"</definedName>
    <definedName name="_AMO_ContentDefinition_316789590.87" hidden="1">"'002942',&amp;#xD;&amp;#xA;'MFPR01002943',&amp;#xD;&amp;#xA;'MFPR01002944',&amp;#xD;&amp;#xA;'MFPR01002945',&amp;#xD;&amp;#xA;'MFPR01002950',&amp;#xD;&amp;#xA;'MFPR01002956',&amp;#xD;&amp;#xA;'MFPR01002960',&amp;#xD;&amp;#xA;'MFPR01002961',&amp;#xD;&amp;#xA;'MFPR01002965',&amp;#xD;&amp;#xA;'MFPR01002966',&amp;#xD;&amp;#xA;'MFPR010'"</definedName>
    <definedName name="_AMO_ContentDefinition_316789590.870" hidden="1">"'1001627&amp;amp;lt;/RightHandSideExpression&amp;amp;gt;&amp;amp;lt;IsSubquery&amp;amp;gt;False&amp;amp;lt;/IsSubquery&amp;amp;gt;&amp;amp;lt;SubqueryTemplateName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316789590.871" hidden="1">"';lt;AddQuotes&amp;amp;gt;True&amp;amp;lt;/AddQuotes&amp;amp;gt;&amp;amp;lt;DateFormat&amp;amp;gt;None&amp;amp;lt;/DateFormat&amp;amp;gt;&amp;amp;lt;RightHandSideExpression xml:space=&amp;amp;quot;preserve&amp;amp;quot;&amp;amp;gt;MFPR01001628&amp;amp;lt;/RightHandSideExpression&amp;amp;gt;&amp;amp;lt;IsSub'"</definedName>
    <definedName name="_AMO_ContentDefinition_316789590.872"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316789590.873" hidden="1">"'ateFormat&amp;amp;gt;None&amp;amp;lt;/DateFormat&amp;amp;gt;&amp;amp;lt;RightHandSideExpression xml:space=&amp;amp;quot;preserve&amp;amp;quot;&amp;amp;gt;MFPR01001629&amp;amp;lt;/RightHandSideExpression&amp;amp;gt;&amp;amp;lt;IsSubquery&amp;amp;gt;False&amp;amp;lt;/IsSubquery&amp;amp;gt;&amp;amp;lt;Subquer'"</definedName>
    <definedName name="_AMO_ContentDefinition_316789590.874"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316789590.875" hidden="1">"'tHandSideExpression xml:space=&amp;amp;quot;preserve&amp;amp;quot;&amp;amp;gt;MFPR01001630&amp;amp;lt;/RightHandSideExpression&amp;amp;gt;&amp;amp;lt;IsSubquery&amp;amp;gt;False&amp;amp;lt;/IsSubquery&amp;amp;gt;&amp;amp;lt;SubqueryTemplateName /&amp;amp;gt;&amp;amp;lt;/RHSItem&amp;amp;gt;&amp;amp;lt;RHSIt'"</definedName>
    <definedName name="_AMO_ContentDefinition_316789590.876" hidden="1">"'em&amp;amp;gt;&amp;amp;lt;RHSType&amp;amp;gt;EXPRESSION&amp;amp;lt;/RHSType&amp;amp;gt;&amp;amp;lt;AddQuotes&amp;amp;gt;True&amp;amp;lt;/AddQuotes&amp;amp;gt;&amp;amp;lt;DateFormat&amp;amp;gt;None&amp;amp;lt;/DateFormat&amp;amp;gt;&amp;amp;lt;RightHandSideExpression xml:space=&amp;amp;quot;preserve&amp;amp;quot;&amp;a'"</definedName>
    <definedName name="_AMO_ContentDefinition_316789590.877" hidden="1">"'mp;gt;MFPR01001634&amp;amp;lt;/RightHandSideExpression&amp;amp;gt;&amp;amp;lt;IsSubquery&amp;amp;gt;False&amp;amp;lt;/IsSubquery&amp;amp;gt;&amp;amp;lt;SubqueryTemplateName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316789590.878" hidden="1">"'amp;gt;&amp;amp;lt;AddQuotes&amp;amp;gt;True&amp;amp;lt;/AddQuotes&amp;amp;gt;&amp;amp;lt;DateFormat&amp;amp;gt;None&amp;amp;lt;/DateFormat&amp;amp;gt;&amp;amp;lt;RightHandSideExpression xml:space=&amp;amp;quot;preserve&amp;amp;quot;&amp;amp;gt;MFPR01001640&amp;amp;lt;/RightHandSideExpression&amp;amp;gt;&amp;a'"</definedName>
    <definedName name="_AMO_ContentDefinition_316789590.879"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316789590.88" hidden="1">"'02967',&amp;#xD;&amp;#xA;'MFPR01002969',&amp;#xD;&amp;#xA;'MFPR01002970',&amp;#xD;&amp;#xA;'MFPR01002971',&amp;#xD;&amp;#xA;'MFPR01002972',&amp;#xD;&amp;#xA;'MFPR01002977',&amp;#xD;&amp;#xA;'MFPR01002984',&amp;#xD;&amp;#xA;'MFPR01002988',&amp;#xD;&amp;#xA;'MFPR01002989',&amp;#xD;&amp;#xA;'MFPR01002990',&amp;#xD;&amp;#xA;'MFPR0100'"</definedName>
    <definedName name="_AMO_ContentDefinition_316789590.880" hidden="1">"'t;&amp;amp;lt;DateFormat&amp;amp;gt;None&amp;amp;lt;/DateFormat&amp;amp;gt;&amp;amp;lt;RightHandSideExpression xml:space=&amp;amp;quot;preserve&amp;amp;quot;&amp;amp;gt;MFPR01001644&amp;amp;lt;/RightHandSideExpression&amp;amp;gt;&amp;amp;lt;IsSubquery&amp;amp;gt;False&amp;amp;lt;/IsSubquery&amp;amp;gt;&amp;amp'"</definedName>
    <definedName name="_AMO_ContentDefinition_316789590.881"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316789590.882" hidden="1">"'amp;lt;RightHandSideExpression xml:space=&amp;amp;quot;preserve&amp;amp;quot;&amp;amp;gt;MFPR01001645&amp;amp;lt;/RightHandSideExpression&amp;amp;gt;&amp;amp;lt;IsSubquery&amp;amp;gt;False&amp;amp;lt;/IsSubquery&amp;amp;gt;&amp;amp;lt;SubqueryTemplateName /&amp;amp;gt;&amp;amp;lt;/RHSItem&amp;amp;gt;&amp;a'"</definedName>
    <definedName name="_AMO_ContentDefinition_316789590.883" hidden="1">"'mp;lt;RHSItem&amp;amp;gt;&amp;amp;lt;RHSType&amp;amp;gt;EXPRESSION&amp;amp;lt;/RHSType&amp;amp;gt;&amp;amp;lt;AddQuotes&amp;amp;gt;True&amp;amp;lt;/AddQuotes&amp;amp;gt;&amp;amp;lt;DateFormat&amp;amp;gt;None&amp;amp;lt;/DateFormat&amp;amp;gt;&amp;amp;lt;RightHandSideExpression xml:space=&amp;amp;quot;preserve&amp;'"</definedName>
    <definedName name="_AMO_ContentDefinition_316789590.884" hidden="1">"'amp;quot;&amp;amp;gt;MFPR01001649&amp;amp;lt;/RightHandSideExpression&amp;amp;gt;&amp;amp;lt;IsSubquery&amp;amp;gt;False&amp;amp;lt;/IsSubquery&amp;amp;gt;&amp;amp;lt;SubqueryTemplateName /&amp;amp;gt;&amp;amp;lt;/RHSItem&amp;amp;gt;&amp;amp;lt;RHSItem&amp;amp;gt;&amp;amp;lt;RHSType&amp;amp;gt;EXPRESSION&amp;amp;l'"</definedName>
    <definedName name="_AMO_ContentDefinition_316789590.885" hidden="1">"'t;/RHSType&amp;amp;gt;&amp;amp;lt;AddQuotes&amp;amp;gt;True&amp;amp;lt;/AddQuotes&amp;amp;gt;&amp;amp;lt;DateFormat&amp;amp;gt;None&amp;amp;lt;/DateFormat&amp;amp;gt;&amp;amp;lt;RightHandSideExpression xml:space=&amp;amp;quot;preserve&amp;amp;quot;&amp;amp;gt;MFPR01001650&amp;amp;lt;/RightHandSideExpressio'"</definedName>
    <definedName name="_AMO_ContentDefinition_316789590.886"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316789590.887" hidden="1">"'uotes&amp;amp;gt;&amp;amp;lt;DateFormat&amp;amp;gt;None&amp;amp;lt;/DateFormat&amp;amp;gt;&amp;amp;lt;RightHandSideExpression xml:space=&amp;amp;quot;preserve&amp;amp;quot;&amp;amp;gt;MFPR01001651&amp;amp;lt;/RightHandSideExpression&amp;amp;gt;&amp;amp;lt;IsSubquery&amp;amp;gt;False&amp;amp;lt;/IsSubquery&amp;'"</definedName>
    <definedName name="_AMO_ContentDefinition_316789590.888"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316789590.889" hidden="1">"'at&amp;amp;gt;&amp;amp;lt;RightHandSideExpression xml:space=&amp;amp;quot;preserve&amp;amp;quot;&amp;amp;gt;MFPR01001653&amp;amp;lt;/RightHandSideExpression&amp;amp;gt;&amp;amp;lt;IsSubquery&amp;amp;gt;False&amp;amp;lt;/IsSubquery&amp;amp;gt;&amp;amp;lt;SubqueryTemplateName /&amp;amp;gt;&amp;amp;lt;/RHSIte'"</definedName>
    <definedName name="_AMO_ContentDefinition_316789590.89" hidden="1">"'2998',&amp;#xD;&amp;#xA;'MFPR01003009',&amp;#xD;&amp;#xA;'MFPR01003010',&amp;#xD;&amp;#xA;'MFPR01003011',&amp;#xD;&amp;#xA;'MFPR01003013',&amp;#xD;&amp;#xA;'MFPR01003014',&amp;#xD;&amp;#xA;'MFPR01003015',&amp;#xD;&amp;#xA;'MFPR01003016',&amp;#xD;&amp;#xA;'MFPR01003021',&amp;#xD;&amp;#xA;'MFPR01003027',&amp;#xD;&amp;#xA;'MFPR01003'"</definedName>
    <definedName name="_AMO_ContentDefinition_316789590.890" hidden="1">"'m&amp;amp;gt;&amp;amp;lt;RHSItem&amp;amp;gt;&amp;amp;lt;RHSType&amp;amp;gt;EXPRESSION&amp;amp;lt;/RHSType&amp;amp;gt;&amp;amp;lt;AddQuotes&amp;amp;gt;True&amp;amp;lt;/AddQuotes&amp;amp;gt;&amp;amp;lt;DateFormat&amp;amp;gt;None&amp;amp;lt;/DateFormat&amp;amp;gt;&amp;amp;lt;RightHandSideExpression xml:space=&amp;amp;quo'"</definedName>
    <definedName name="_AMO_ContentDefinition_316789590.891" hidden="1">"'t;preserve&amp;amp;quot;&amp;amp;gt;MFPR01001654&amp;amp;lt;/RightHandSideExpression&amp;amp;gt;&amp;amp;lt;IsSubquery&amp;amp;gt;False&amp;amp;lt;/IsSubquery&amp;amp;gt;&amp;amp;lt;SubqueryTemplateName /&amp;amp;gt;&amp;amp;lt;/RHSItem&amp;amp;gt;&amp;amp;lt;RHSItem&amp;amp;gt;&amp;amp;lt;RHSType&amp;amp;gt;EXPRE'"</definedName>
    <definedName name="_AMO_ContentDefinition_316789590.892" hidden="1">"'SSION&amp;amp;lt;/RHSType&amp;amp;gt;&amp;amp;lt;AddQuotes&amp;amp;gt;True&amp;amp;lt;/AddQuotes&amp;amp;gt;&amp;amp;lt;DateFormat&amp;amp;gt;None&amp;amp;lt;/DateFormat&amp;amp;gt;&amp;amp;lt;RightHandSideExpression xml:space=&amp;amp;quot;preserve&amp;amp;quot;&amp;amp;gt;MFPR01001655&amp;amp;lt;/RightHandSi'"</definedName>
    <definedName name="_AMO_ContentDefinition_316789590.893"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316789590.894" hidden="1">"'mp;lt;/AddQuotes&amp;amp;gt;&amp;amp;lt;DateFormat&amp;amp;gt;None&amp;amp;lt;/DateFormat&amp;amp;gt;&amp;amp;lt;RightHandSideExpression xml:space=&amp;amp;quot;preserve&amp;amp;quot;&amp;amp;gt;MFPR01001656&amp;amp;lt;/RightHandSideExpression&amp;amp;gt;&amp;amp;lt;IsSubquery&amp;amp;gt;False&amp;amp;lt;/'"</definedName>
    <definedName name="_AMO_ContentDefinition_316789590.895"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316789590.896" hidden="1">"'t;/DateFormat&amp;amp;gt;&amp;amp;lt;RightHandSideExpression xml:space=&amp;amp;quot;preserve&amp;amp;quot;&amp;amp;gt;MFPR01001660&amp;amp;lt;/RightHandSideExpression&amp;amp;gt;&amp;amp;lt;IsSubquery&amp;amp;gt;False&amp;amp;lt;/IsSubquery&amp;amp;gt;&amp;amp;lt;SubqueryTemplateName /&amp;amp;gt;&amp;amp'"</definedName>
    <definedName name="_AMO_ContentDefinition_316789590.897" hidden="1">"';lt;/RHSItem&amp;amp;gt;&amp;amp;lt;RHSItem&amp;amp;gt;&amp;amp;lt;RHSType&amp;amp;gt;EXPRESSION&amp;amp;lt;/RHSType&amp;amp;gt;&amp;amp;lt;AddQuotes&amp;amp;gt;True&amp;amp;lt;/AddQuotes&amp;amp;gt;&amp;amp;lt;DateFormat&amp;amp;gt;None&amp;amp;lt;/DateFormat&amp;amp;gt;&amp;amp;lt;RightHandSideExpression xml:spa'"</definedName>
    <definedName name="_AMO_ContentDefinition_316789590.898" hidden="1">"'ce=&amp;amp;quot;preserve&amp;amp;quot;&amp;amp;gt;MFPR01001667&amp;amp;lt;/RightHandSideExpression&amp;amp;gt;&amp;amp;lt;IsSubquery&amp;amp;gt;False&amp;amp;lt;/IsSubquery&amp;amp;gt;&amp;amp;lt;SubqueryTemplateName /&amp;amp;gt;&amp;amp;lt;/RHSItem&amp;amp;gt;&amp;amp;lt;RHSItem&amp;amp;gt;&amp;amp;lt;RHSType&amp;a'"</definedName>
    <definedName name="_AMO_ContentDefinition_316789590.899" hidden="1">"'mp;gt;EXPRESSION&amp;amp;lt;/RHSType&amp;amp;gt;&amp;amp;lt;AddQuotes&amp;amp;gt;True&amp;amp;lt;/AddQuotes&amp;amp;gt;&amp;amp;lt;DateFormat&amp;amp;gt;None&amp;amp;lt;/DateFormat&amp;amp;gt;&amp;amp;lt;RightHandSideExpression xml:space=&amp;amp;quot;preserve&amp;amp;quot;&amp;amp;gt;MFPR01001671&amp;amp;lt;/'"</definedName>
    <definedName name="_AMO_ContentDefinition_316789590.9" hidden="1">"'R01000172',&amp;#xD;&amp;#xA;'MFPR01000173',&amp;#xD;&amp;#xA;'MFPR01000176',&amp;#xD;&amp;#xA;'MFPR01000184',&amp;#xD;&amp;#xA;'MFPR01000200',&amp;#xD;&amp;#xA;'MFPR01000216',&amp;#xD;&amp;#xA;'MFPR01000232',&amp;#xD;&amp;#xA;'MFPR01000254',&amp;#xD;&amp;#xA;'MFPR01000255',&amp;#xD;&amp;#xA;'MFPR01000256',&amp;#xD;&amp;#xA;'MFPR'"</definedName>
    <definedName name="_AMO_ContentDefinition_316789590.90" hidden="1">"'031',&amp;#xD;&amp;#xA;'MFPR01003032',&amp;#xD;&amp;#xA;'MFPR01003036',&amp;#xD;&amp;#xA;'MFPR01003037',&amp;#xD;&amp;#xA;'MFPR01003038',&amp;#xD;&amp;#xA;'MFPR01003040',&amp;#xD;&amp;#xA;'MFPR01003041',&amp;#xD;&amp;#xA;'MFPR01003042',&amp;#xD;&amp;#xA;'MFPR01003043',&amp;#xD;&amp;#xA;'MFPR01003048',&amp;#xD;&amp;#xA;'MFPR010030'"</definedName>
    <definedName name="_AMO_ContentDefinition_316789590.900"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316789590.901" hidden="1">"'p;gt;True&amp;amp;lt;/AddQuotes&amp;amp;gt;&amp;amp;lt;DateFormat&amp;amp;gt;None&amp;amp;lt;/DateFormat&amp;amp;gt;&amp;amp;lt;RightHandSideExpression xml:space=&amp;amp;quot;preserve&amp;amp;quot;&amp;amp;gt;MFPR01001672&amp;amp;lt;/RightHandSideExpression&amp;amp;gt;&amp;amp;lt;IsSubquery&amp;amp;gt;Fal'"</definedName>
    <definedName name="_AMO_ContentDefinition_316789590.902"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316789590.903" hidden="1">"';None&amp;amp;lt;/DateFormat&amp;amp;gt;&amp;amp;lt;RightHandSideExpression xml:space=&amp;amp;quot;preserve&amp;amp;quot;&amp;amp;gt;MFPR01001673&amp;amp;lt;/RightHandSideExpression&amp;amp;gt;&amp;amp;lt;IsSubquery&amp;amp;gt;False&amp;amp;lt;/IsSubquery&amp;amp;gt;&amp;amp;lt;SubqueryTemplateName /&amp;'"</definedName>
    <definedName name="_AMO_ContentDefinition_316789590.904"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316789590.905" hidden="1">"'ion xml:space=&amp;amp;quot;preserve&amp;amp;quot;&amp;amp;gt;MFPR01001681&amp;amp;lt;/RightHandSideExpression&amp;amp;gt;&amp;amp;lt;IsSubquery&amp;amp;gt;False&amp;amp;lt;/IsSubquery&amp;amp;gt;&amp;amp;lt;SubqueryTemplateName /&amp;amp;gt;&amp;amp;lt;/RHSItem&amp;amp;gt;&amp;amp;lt;RHSItem&amp;amp;gt;&amp;amp;l'"</definedName>
    <definedName name="_AMO_ContentDefinition_316789590.906" hidden="1">"'t;RHSType&amp;amp;gt;EXPRESSION&amp;amp;lt;/RHSType&amp;amp;gt;&amp;amp;lt;AddQuotes&amp;amp;gt;True&amp;amp;lt;/AddQuotes&amp;amp;gt;&amp;amp;lt;DateFormat&amp;amp;gt;None&amp;amp;lt;/DateFormat&amp;amp;gt;&amp;amp;lt;RightHandSideExpression xml:space=&amp;amp;quot;preserve&amp;amp;quot;&amp;amp;gt;MFPR010016'"</definedName>
    <definedName name="_AMO_ContentDefinition_316789590.907" hidden="1">"'91&amp;amp;lt;/RightHandSideExpression&amp;amp;gt;&amp;amp;lt;IsSubquery&amp;amp;gt;False&amp;amp;lt;/IsSubquery&amp;amp;gt;&amp;amp;lt;SubqueryTemplateName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316789590.908" hidden="1">"'ddQuotes&amp;amp;gt;True&amp;amp;lt;/AddQuotes&amp;amp;gt;&amp;amp;lt;DateFormat&amp;amp;gt;None&amp;amp;lt;/DateFormat&amp;amp;gt;&amp;amp;lt;RightHandSideExpression xml:space=&amp;amp;quot;preserve&amp;amp;quot;&amp;amp;gt;MFPR01001692&amp;amp;lt;/RightHandSideExpression&amp;amp;gt;&amp;amp;lt;IsSubquery'"</definedName>
    <definedName name="_AMO_ContentDefinition_316789590.909"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316789590.91" hidden="1">"'55',&amp;#xD;&amp;#xA;'MFPR01003059',&amp;#xD;&amp;#xA;'MFPR01003060',&amp;#xD;&amp;#xA;'MFPR01003061',&amp;#xD;&amp;#xA;'MFPR01003069',&amp;#xD;&amp;#xA;'MFPR01003080',&amp;#xD;&amp;#xA;'MFPR01003083',&amp;#xD;&amp;#xA;'MFPR01003086',&amp;#xD;&amp;#xA;'MFPR01003088',&amp;#xD;&amp;#xA;'MFPR01003089',&amp;#xD;&amp;#xA;'MFPR0100309'"</definedName>
    <definedName name="_AMO_ContentDefinition_316789590.910" hidden="1">"'rmat&amp;amp;gt;None&amp;amp;lt;/DateFormat&amp;amp;gt;&amp;amp;lt;RightHandSideExpression xml:space=&amp;amp;quot;preserve&amp;amp;quot;&amp;amp;gt;MFPR01001693&amp;amp;lt;/RightHandSideExpression&amp;amp;gt;&amp;amp;lt;IsSubquery&amp;amp;gt;False&amp;amp;lt;/IsSubquery&amp;amp;gt;&amp;amp;lt;SubqueryTemp'"</definedName>
    <definedName name="_AMO_ContentDefinition_316789590.911"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316789590.912" hidden="1">"'SideExpression xml:space=&amp;amp;quot;preserve&amp;amp;quot;&amp;amp;gt;MFPR01001694&amp;amp;lt;/RightHandSideExpression&amp;amp;gt;&amp;amp;lt;IsSubquery&amp;amp;gt;False&amp;amp;lt;/IsSubquery&amp;amp;gt;&amp;amp;lt;SubqueryTemplateName /&amp;amp;gt;&amp;amp;lt;/RHSItem&amp;amp;gt;&amp;amp;lt;RHSItem&amp;am'"</definedName>
    <definedName name="_AMO_ContentDefinition_316789590.913"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316789590.914" hidden="1">"';MFPR01001695&amp;amp;lt;/RightHandSideExpression&amp;amp;gt;&amp;amp;lt;IsSubquery&amp;amp;gt;False&amp;amp;lt;/IsSubquery&amp;amp;gt;&amp;amp;lt;SubqueryTemplateName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316789590.915" hidden="1">"'t;&amp;amp;lt;AddQuotes&amp;amp;gt;True&amp;amp;lt;/AddQuotes&amp;amp;gt;&amp;amp;lt;DateFormat&amp;amp;gt;None&amp;amp;lt;/DateFormat&amp;amp;gt;&amp;amp;lt;RightHandSideExpression xml:space=&amp;amp;quot;preserve&amp;amp;quot;&amp;amp;gt;MFPR01001696&amp;amp;lt;/RightHandSideExpression&amp;amp;gt;&amp;amp;lt'"</definedName>
    <definedName name="_AMO_ContentDefinition_316789590.916"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316789590.917" hidden="1">"'p;lt;DateFormat&amp;amp;gt;None&amp;amp;lt;/DateFormat&amp;amp;gt;&amp;amp;lt;RightHandSideExpression xml:space=&amp;amp;quot;preserve&amp;amp;quot;&amp;amp;gt;MFPR01001698&amp;amp;lt;/RightHandSideExpression&amp;amp;gt;&amp;amp;lt;IsSubquery&amp;amp;gt;False&amp;amp;lt;/IsSubquery&amp;amp;gt;&amp;amp;lt;S'"</definedName>
    <definedName name="_AMO_ContentDefinition_316789590.918"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316789590.919" hidden="1">"'t;RightHandSideExpression xml:space=&amp;amp;quot;preserve&amp;amp;quot;&amp;amp;gt;MFPR01001699&amp;amp;lt;/RightHandSideExpression&amp;amp;gt;&amp;amp;lt;IsSubquery&amp;amp;gt;False&amp;amp;lt;/IsSubquery&amp;amp;gt;&amp;amp;lt;SubqueryTemplateName /&amp;amp;gt;&amp;amp;lt;/RHSItem&amp;amp;gt;&amp;amp;lt'"</definedName>
    <definedName name="_AMO_ContentDefinition_316789590.92" hidden="1">"'0',&amp;#xD;&amp;#xA;'MFPR01003091',&amp;#xD;&amp;#xA;'MFPR01003096',&amp;#xD;&amp;#xA;'MFPR01003102',&amp;#xD;&amp;#xA;'MFPR01003106',&amp;#xD;&amp;#xA;'MFPR01003110',&amp;#xD;&amp;#xA;'MFPR01003113',&amp;#xD;&amp;#xA;'MFPR01003116',&amp;#xD;&amp;#xA;'MFPR01003118',&amp;#xD;&amp;#xA;'MFPR01003119',&amp;#xD;&amp;#xA;'MFPR01003120'"</definedName>
    <definedName name="_AMO_ContentDefinition_316789590.920" hidden="1">"';RHSItem&amp;amp;gt;&amp;amp;lt;RHSType&amp;amp;gt;EXPRESSION&amp;amp;lt;/RHSType&amp;amp;gt;&amp;amp;lt;AddQuotes&amp;amp;gt;True&amp;amp;lt;/AddQuotes&amp;amp;gt;&amp;amp;lt;DateFormat&amp;amp;gt;None&amp;amp;lt;/DateFormat&amp;amp;gt;&amp;amp;lt;RightHandSideExpression xml:space=&amp;amp;quot;preserve&amp;amp;q'"</definedName>
    <definedName name="_AMO_ContentDefinition_316789590.921" hidden="1">"'uot;&amp;amp;gt;MFPR01001700&amp;amp;lt;/RightHandSideExpression&amp;amp;gt;&amp;amp;lt;IsSubquery&amp;amp;gt;False&amp;amp;lt;/IsSubquery&amp;amp;gt;&amp;amp;lt;SubqueryTemplateName /&amp;amp;gt;&amp;amp;lt;/RHSItem&amp;amp;gt;&amp;amp;lt;RHSItem&amp;amp;gt;&amp;amp;lt;RHSType&amp;amp;gt;EXPRESSION&amp;amp;lt;/RH'"</definedName>
    <definedName name="_AMO_ContentDefinition_316789590.922" hidden="1">"'SType&amp;amp;gt;&amp;amp;lt;AddQuotes&amp;amp;gt;True&amp;amp;lt;/AddQuotes&amp;amp;gt;&amp;amp;lt;DateFormat&amp;amp;gt;None&amp;amp;lt;/DateFormat&amp;amp;gt;&amp;amp;lt;RightHandSideExpression xml:space=&amp;amp;quot;preserve&amp;amp;quot;&amp;amp;gt;MFPR01001701&amp;amp;lt;/RightHandSideExpression&amp;amp'"</definedName>
    <definedName name="_AMO_ContentDefinition_316789590.923"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316789590.924" hidden="1">"'&amp;amp;gt;&amp;amp;lt;DateFormat&amp;amp;gt;None&amp;amp;lt;/DateFormat&amp;amp;gt;&amp;amp;lt;RightHandSideExpression xml:space=&amp;amp;quot;preserve&amp;amp;quot;&amp;amp;gt;MFPR01001702&amp;amp;lt;/RightHandSideExpression&amp;amp;gt;&amp;amp;lt;IsSubquery&amp;amp;gt;False&amp;amp;lt;/IsSubquery&amp;amp;g'"</definedName>
    <definedName name="_AMO_ContentDefinition_316789590.925"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316789590.926" hidden="1">"'p;gt;&amp;amp;lt;RightHandSideExpression xml:space=&amp;amp;quot;preserve&amp;amp;quot;&amp;amp;gt;MFPR01001703&amp;amp;lt;/RightHandSideExpression&amp;amp;gt;&amp;amp;lt;IsSubquery&amp;amp;gt;False&amp;amp;lt;/IsSubquery&amp;amp;gt;&amp;amp;lt;SubqueryTemplateName /&amp;amp;gt;&amp;amp;lt;/RHSItem&amp;amp'"</definedName>
    <definedName name="_AMO_ContentDefinition_316789590.927" hidden="1">"';gt;&amp;amp;lt;RHSItem&amp;amp;gt;&amp;amp;lt;RHSType&amp;amp;gt;EXPRESSION&amp;amp;lt;/RHSType&amp;amp;gt;&amp;amp;lt;AddQuotes&amp;amp;gt;True&amp;amp;lt;/AddQuotes&amp;amp;gt;&amp;amp;lt;DateFormat&amp;amp;gt;None&amp;amp;lt;/DateFormat&amp;amp;gt;&amp;amp;lt;RightHandSideExpression xml:space=&amp;amp;quot;pre'"</definedName>
    <definedName name="_AMO_ContentDefinition_316789590.928" hidden="1">"'serve&amp;amp;quot;&amp;amp;gt;MFPR01001705&amp;amp;lt;/RightHandSideExpression&amp;amp;gt;&amp;amp;lt;IsSubquery&amp;amp;gt;False&amp;amp;lt;/IsSubquery&amp;amp;gt;&amp;amp;lt;SubqueryTemplateName /&amp;amp;gt;&amp;amp;lt;/RHSItem&amp;amp;gt;&amp;amp;lt;RHSItem&amp;amp;gt;&amp;amp;lt;RHSType&amp;amp;gt;EXPRESSION'"</definedName>
    <definedName name="_AMO_ContentDefinition_316789590.929" hidden="1">"'&amp;amp;lt;/RHSType&amp;amp;gt;&amp;amp;lt;AddQuotes&amp;amp;gt;True&amp;amp;lt;/AddQuotes&amp;amp;gt;&amp;amp;lt;DateFormat&amp;amp;gt;None&amp;amp;lt;/DateFormat&amp;amp;gt;&amp;amp;lt;RightHandSideExpression xml:space=&amp;amp;quot;preserve&amp;amp;quot;&amp;amp;gt;MFPR01001706&amp;amp;lt;/RightHandSideExp'"</definedName>
    <definedName name="_AMO_ContentDefinition_316789590.93" hidden="1">"'',&amp;#xD;&amp;#xA;'MFPR01003121',&amp;#xD;&amp;#xA;'MFPR01003126',&amp;#xD;&amp;#xA;'MFPR01003133',&amp;#xD;&amp;#xA;'MFPR01003137',&amp;#xD;&amp;#xA;'MFPR01003138',&amp;#xD;&amp;#xA;'MFPR01003145',&amp;#xD;&amp;#xA;'MFPR01003158',&amp;#xD;&amp;#xA;'MFPR01003159',&amp;#xD;&amp;#xA;'MFPR01003163',&amp;#xD;&amp;#xA;'MFPR01003169''"</definedName>
    <definedName name="_AMO_ContentDefinition_316789590.930"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316789590.931" hidden="1">"';/AddQuotes&amp;amp;gt;&amp;amp;lt;DateFormat&amp;amp;gt;None&amp;amp;lt;/DateFormat&amp;amp;gt;&amp;amp;lt;RightHandSideExpression xml:space=&amp;amp;quot;preserve&amp;amp;quot;&amp;amp;gt;MFPR01001707&amp;amp;lt;/RightHandSideExpression&amp;amp;gt;&amp;amp;lt;IsSubquery&amp;amp;gt;False&amp;amp;lt;/IsSub'"</definedName>
    <definedName name="_AMO_ContentDefinition_316789590.932"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316789590.933" hidden="1">"'teFormat&amp;amp;gt;&amp;amp;lt;RightHandSideExpression xml:space=&amp;amp;quot;preserve&amp;amp;quot;&amp;amp;gt;MFPR01001708&amp;amp;lt;/RightHandSideExpression&amp;amp;gt;&amp;amp;lt;IsSubquery&amp;amp;gt;False&amp;amp;lt;/IsSubquery&amp;amp;gt;&amp;amp;lt;SubqueryTemplateName /&amp;amp;gt;&amp;amp;lt;/'"</definedName>
    <definedName name="_AMO_ContentDefinition_316789590.934" hidden="1">"'RHSItem&amp;amp;gt;&amp;amp;lt;RHSItem&amp;amp;gt;&amp;amp;lt;RHSType&amp;amp;gt;EXPRESSION&amp;amp;lt;/RHSType&amp;amp;gt;&amp;amp;lt;AddQuotes&amp;amp;gt;True&amp;amp;lt;/AddQuotes&amp;amp;gt;&amp;amp;lt;DateFormat&amp;amp;gt;None&amp;amp;lt;/DateFormat&amp;amp;gt;&amp;amp;lt;RightHandSideExpression xml:space=&amp;a'"</definedName>
    <definedName name="_AMO_ContentDefinition_316789590.935" hidden="1">"'mp;quot;preserve&amp;amp;quot;&amp;amp;gt;MFPR01001709&amp;amp;lt;/RightHandSideExpression&amp;amp;gt;&amp;amp;lt;IsSubquery&amp;amp;gt;False&amp;amp;lt;/IsSubquery&amp;amp;gt;&amp;amp;lt;SubqueryTemplateName /&amp;amp;gt;&amp;amp;lt;/RHSItem&amp;amp;gt;&amp;amp;lt;RHSItem&amp;amp;gt;&amp;amp;lt;RHSType&amp;amp;gt'"</definedName>
    <definedName name="_AMO_ContentDefinition_316789590.936" hidden="1">"';EXPRESSION&amp;amp;lt;/RHSType&amp;amp;gt;&amp;amp;lt;AddQuotes&amp;amp;gt;True&amp;amp;lt;/AddQuotes&amp;amp;gt;&amp;amp;lt;DateFormat&amp;amp;gt;None&amp;amp;lt;/DateFormat&amp;amp;gt;&amp;amp;lt;RightHandSideExpression xml:space=&amp;amp;quot;preserve&amp;amp;quot;&amp;amp;gt;MFPR01001710&amp;amp;lt;/Right'"</definedName>
    <definedName name="_AMO_ContentDefinition_316789590.937"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316789590.938" hidden="1">"'True&amp;amp;lt;/AddQuotes&amp;amp;gt;&amp;amp;lt;DateFormat&amp;amp;gt;None&amp;amp;lt;/DateFormat&amp;amp;gt;&amp;amp;lt;RightHandSideExpression xml:space=&amp;amp;quot;preserve&amp;amp;quot;&amp;amp;gt;MFPR01001712&amp;amp;lt;/RightHandSideExpression&amp;amp;gt;&amp;amp;lt;IsSubquery&amp;amp;gt;False&amp;am'"</definedName>
    <definedName name="_AMO_ContentDefinition_316789590.939"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316789590.94" hidden="1">"',&amp;#xD;&amp;#xA;'MFPR01003176',&amp;#xD;&amp;#xA;'MFPR01003178',&amp;#xD;&amp;#xA;'MFPR01003179',&amp;#xD;&amp;#xA;'MFPR01003180',&amp;#xD;&amp;#xA;'MFPR01003181',&amp;#xD;&amp;#xA;'MFPR01003185',&amp;#xD;&amp;#xA;'MFPR01003192',&amp;#xD;&amp;#xA;'MFPR01003196',&amp;#xD;&amp;#xA;'MFPR01003197',&amp;#xD;&amp;#xA;'MFPR01003204','"</definedName>
    <definedName name="_AMO_ContentDefinition_316789590.940" hidden="1">"'&amp;amp;lt;/DateFormat&amp;amp;gt;&amp;amp;lt;RightHandSideExpression xml:space=&amp;amp;quot;preserve&amp;amp;quot;&amp;amp;gt;MFPR01001713&amp;amp;lt;/RightHandSideExpression&amp;amp;gt;&amp;amp;lt;IsSubquery&amp;amp;gt;False&amp;amp;lt;/IsSubquery&amp;amp;gt;&amp;amp;lt;SubqueryTemplateName /&amp;amp;g'"</definedName>
    <definedName name="_AMO_ContentDefinition_316789590.941" hidden="1">"'t;&amp;amp;lt;/RHSItem&amp;amp;gt;&amp;amp;lt;RHSItem&amp;amp;gt;&amp;amp;lt;RHSType&amp;amp;gt;EXPRESSION&amp;amp;lt;/RHSType&amp;amp;gt;&amp;amp;lt;AddQuotes&amp;amp;gt;True&amp;amp;lt;/AddQuotes&amp;amp;gt;&amp;amp;lt;DateFormat&amp;amp;gt;None&amp;amp;lt;/DateFormat&amp;amp;gt;&amp;amp;lt;RightHandSideExpression x'"</definedName>
    <definedName name="_AMO_ContentDefinition_316789590.942" hidden="1">"'ml:space=&amp;amp;quot;preserve&amp;amp;quot;&amp;amp;gt;MFPR01001714&amp;amp;lt;/RightHandSideExpression&amp;amp;gt;&amp;amp;lt;IsSubquery&amp;amp;gt;False&amp;amp;lt;/IsSubquery&amp;amp;gt;&amp;amp;lt;SubqueryTemplateName /&amp;amp;gt;&amp;amp;lt;/RHSItem&amp;amp;gt;&amp;amp;lt;RHSItem&amp;amp;gt;&amp;amp;lt;RHS'"</definedName>
    <definedName name="_AMO_ContentDefinition_316789590.943" hidden="1">"'Type&amp;amp;gt;EXPRESSION&amp;amp;lt;/RHSType&amp;amp;gt;&amp;amp;lt;AddQuotes&amp;amp;gt;True&amp;amp;lt;/AddQuotes&amp;amp;gt;&amp;amp;lt;DateFormat&amp;amp;gt;None&amp;amp;lt;/DateFormat&amp;amp;gt;&amp;amp;lt;RightHandSideExpression xml:space=&amp;amp;quot;preserve&amp;amp;quot;&amp;amp;gt;MFPR01001715&amp;am'"</definedName>
    <definedName name="_AMO_ContentDefinition_316789590.944"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316789590.945" hidden="1">"'tes&amp;amp;gt;True&amp;amp;lt;/AddQuotes&amp;amp;gt;&amp;amp;lt;DateFormat&amp;amp;gt;None&amp;amp;lt;/DateFormat&amp;amp;gt;&amp;amp;lt;RightHandSideExpression xml:space=&amp;amp;quot;preserve&amp;amp;quot;&amp;amp;gt;MFPR01001716&amp;amp;lt;/RightHandSideExpression&amp;amp;gt;&amp;amp;lt;IsSubquery&amp;amp;'"</definedName>
    <definedName name="_AMO_ContentDefinition_316789590.946"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316789590.947" hidden="1">"'amp;gt;None&amp;amp;lt;/DateFormat&amp;amp;gt;&amp;amp;lt;RightHandSideExpression xml:space=&amp;amp;quot;preserve&amp;amp;quot;&amp;amp;gt;MFPR01001717&amp;amp;lt;/RightHandSideExpression&amp;amp;gt;&amp;amp;lt;IsSubquery&amp;amp;gt;False&amp;amp;lt;/IsSubquery&amp;amp;gt;&amp;amp;lt;SubqueryTemplateN'"</definedName>
    <definedName name="_AMO_ContentDefinition_316789590.948"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316789590.949" hidden="1">"'xpression xml:space=&amp;amp;quot;preserve&amp;amp;quot;&amp;amp;gt;MFPR01001719&amp;amp;lt;/RightHandSideExpression&amp;amp;gt;&amp;amp;lt;IsSubquery&amp;amp;gt;False&amp;amp;lt;/IsSubquery&amp;amp;gt;&amp;amp;lt;SubqueryTemplateName /&amp;amp;gt;&amp;amp;lt;/RHSItem&amp;amp;gt;&amp;amp;lt;RHSItem&amp;amp;gt;'"</definedName>
    <definedName name="_AMO_ContentDefinition_316789590.95" hidden="1">"'&amp;#xD;&amp;#xA;'MFPR01003213',&amp;#xD;&amp;#xA;'MFPR01003215',&amp;#xD;&amp;#xA;'MFPR01003216',&amp;#xD;&amp;#xA;'MFPR01003217',&amp;#xD;&amp;#xA;'MFPR01003218',&amp;#xD;&amp;#xA;'MFPR01003223',&amp;#xD;&amp;#xA;'MFPR01003229',&amp;#xD;&amp;#xA;'MFPR01003233',&amp;#xD;&amp;#xA;'MFPR01003236',&amp;#xD;&amp;#xA;'MFPR01003238',&amp;'"</definedName>
    <definedName name="_AMO_ContentDefinition_316789590.950" hidden="1">"'&amp;amp;lt;RHSType&amp;amp;gt;EXPRESSION&amp;amp;lt;/RHSType&amp;amp;gt;&amp;amp;lt;AddQuotes&amp;amp;gt;True&amp;amp;lt;/AddQuotes&amp;amp;gt;&amp;amp;lt;DateFormat&amp;amp;gt;None&amp;amp;lt;/DateFormat&amp;amp;gt;&amp;amp;lt;RightHandSideExpression xml:space=&amp;amp;quot;preserve&amp;amp;quot;&amp;amp;gt;MFPR'"</definedName>
    <definedName name="_AMO_ContentDefinition_316789590.951" hidden="1">"'01001720&amp;amp;lt;/RightHandSideExpression&amp;amp;gt;&amp;amp;lt;IsSubquery&amp;amp;gt;False&amp;amp;lt;/IsSubquery&amp;amp;gt;&amp;amp;lt;SubqueryTemplateName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316789590.952" hidden="1">"'p;lt;AddQuotes&amp;amp;gt;True&amp;amp;lt;/AddQuotes&amp;amp;gt;&amp;amp;lt;DateFormat&amp;amp;gt;None&amp;amp;lt;/DateFormat&amp;amp;gt;&amp;amp;lt;RightHandSideExpression xml:space=&amp;amp;quot;preserve&amp;amp;quot;&amp;amp;gt;MFPR01001721&amp;amp;lt;/RightHandSideExpression&amp;amp;gt;&amp;amp;lt;IsSu'"</definedName>
    <definedName name="_AMO_ContentDefinition_316789590.953"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316789590.954" hidden="1">"'DateFormat&amp;amp;gt;None&amp;amp;lt;/DateFormat&amp;amp;gt;&amp;amp;lt;RightHandSideExpression xml:space=&amp;amp;quot;preserve&amp;amp;quot;&amp;amp;gt;MFPR01001722&amp;amp;lt;/RightHandSideExpression&amp;amp;gt;&amp;amp;lt;IsSubquery&amp;amp;gt;False&amp;amp;lt;/IsSubquery&amp;amp;gt;&amp;amp;lt;Subque'"</definedName>
    <definedName name="_AMO_ContentDefinition_316789590.955"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316789590.956" hidden="1">"'htHandSideExpression xml:space=&amp;amp;quot;preserve&amp;amp;quot;&amp;amp;gt;MFPR01001723&amp;amp;lt;/RightHandSideExpression&amp;amp;gt;&amp;amp;lt;IsSubquery&amp;amp;gt;False&amp;amp;lt;/IsSubquery&amp;amp;gt;&amp;amp;lt;SubqueryTemplateName /&amp;amp;gt;&amp;amp;lt;/RHSItem&amp;amp;gt;&amp;amp;lt;RHSI'"</definedName>
    <definedName name="_AMO_ContentDefinition_316789590.957" hidden="1">"'tem&amp;amp;gt;&amp;amp;lt;RHSType&amp;amp;gt;EXPRESSION&amp;amp;lt;/RHSType&amp;amp;gt;&amp;amp;lt;AddQuotes&amp;amp;gt;True&amp;amp;lt;/AddQuotes&amp;amp;gt;&amp;amp;lt;DateFormat&amp;amp;gt;None&amp;amp;lt;/DateFormat&amp;amp;gt;&amp;amp;lt;RightHandSideExpression xml:space=&amp;amp;quot;preserve&amp;amp;quot;&amp;'"</definedName>
    <definedName name="_AMO_ContentDefinition_316789590.958" hidden="1">"'amp;gt;MFPR01001724&amp;amp;lt;/RightHandSideExpression&amp;amp;gt;&amp;amp;lt;IsSubquery&amp;amp;gt;False&amp;amp;lt;/IsSubquery&amp;amp;gt;&amp;amp;lt;SubqueryTemplateName /&amp;amp;gt;&amp;amp;lt;/RHSItem&amp;amp;gt;&amp;amp;lt;RHSItem&amp;amp;gt;&amp;amp;lt;RHSType&amp;amp;gt;EXPRESSION&amp;amp;lt;/RHSType'"</definedName>
    <definedName name="_AMO_ContentDefinition_316789590.959" hidden="1">"'&amp;amp;gt;&amp;amp;lt;AddQuotes&amp;amp;gt;True&amp;amp;lt;/AddQuotes&amp;amp;gt;&amp;amp;lt;DateFormat&amp;amp;gt;None&amp;amp;lt;/DateFormat&amp;amp;gt;&amp;amp;lt;RightHandSideExpression xml:space=&amp;amp;quot;preserve&amp;amp;quot;&amp;amp;gt;MFPR01001726&amp;amp;lt;/RightHandSideExpression&amp;amp;gt;&amp;'"</definedName>
    <definedName name="_AMO_ContentDefinition_316789590.96" hidden="1">"'#xD;&amp;#xA;'MFPR01003239',&amp;#xD;&amp;#xA;'MFPR01003240',&amp;#xD;&amp;#xA;'MFPR01003241',&amp;#xD;&amp;#xA;'MFPR01003246',&amp;#xD;&amp;#xA;'MFPR01003253',&amp;#xD;&amp;#xA;'MFPR01003257',&amp;#xD;&amp;#xA;'MFPR01003258',&amp;#xD;&amp;#xA;'MFPR01003265',&amp;#xD;&amp;#xA;'MFPR01003274',&amp;#xD;&amp;#xA;'MFPR01003281',&amp;#'"</definedName>
    <definedName name="_AMO_ContentDefinition_316789590.960"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316789590.961" hidden="1">"'gt;&amp;amp;lt;DateFormat&amp;amp;gt;None&amp;amp;lt;/DateFormat&amp;amp;gt;&amp;amp;lt;RightHandSideExpression xml:space=&amp;amp;quot;preserve&amp;amp;quot;&amp;amp;gt;MFPR01001727&amp;amp;lt;/RightHandSideExpression&amp;amp;gt;&amp;amp;lt;IsSubquery&amp;amp;gt;False&amp;amp;lt;/IsSubquery&amp;amp;gt;&amp;am'"</definedName>
    <definedName name="_AMO_ContentDefinition_316789590.962"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316789590.963" hidden="1">"'&amp;amp;lt;RightHandSideExpression xml:space=&amp;amp;quot;preserve&amp;amp;quot;&amp;amp;gt;MFPR01001728&amp;amp;lt;/RightHandSideExpression&amp;amp;gt;&amp;amp;lt;IsSubquery&amp;amp;gt;False&amp;amp;lt;/IsSubquery&amp;amp;gt;&amp;amp;lt;SubqueryTemplateName /&amp;amp;gt;&amp;amp;lt;/RHSItem&amp;amp;gt;&amp;'"</definedName>
    <definedName name="_AMO_ContentDefinition_316789590.964"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316789590.965" hidden="1">"'&amp;amp;quot;&amp;amp;gt;MFPR01001729&amp;amp;lt;/RightHandSideExpression&amp;amp;gt;&amp;amp;lt;IsSubquery&amp;amp;gt;False&amp;amp;lt;/IsSubquery&amp;amp;gt;&amp;amp;lt;SubqueryTemplateName /&amp;amp;gt;&amp;amp;lt;/RHSItem&amp;amp;gt;&amp;amp;lt;RHSItem&amp;amp;gt;&amp;amp;lt;RHSType&amp;amp;gt;EXPRESSION&amp;amp;'"</definedName>
    <definedName name="_AMO_ContentDefinition_316789590.966" hidden="1">"'lt;/RHSType&amp;amp;gt;&amp;amp;lt;AddQuotes&amp;amp;gt;True&amp;amp;lt;/AddQuotes&amp;amp;gt;&amp;amp;lt;DateFormat&amp;amp;gt;None&amp;amp;lt;/DateFormat&amp;amp;gt;&amp;amp;lt;RightHandSideExpression xml:space=&amp;amp;quot;preserve&amp;amp;quot;&amp;amp;gt;MFPR01001730&amp;amp;lt;/RightHandSideExpressi'"</definedName>
    <definedName name="_AMO_ContentDefinition_316789590.967"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316789590.968" hidden="1">"'Quotes&amp;amp;gt;&amp;amp;lt;DateFormat&amp;amp;gt;None&amp;amp;lt;/DateFormat&amp;amp;gt;&amp;amp;lt;RightHandSideExpression xml:space=&amp;amp;quot;preserve&amp;amp;quot;&amp;amp;gt;MFPR01001731&amp;amp;lt;/RightHandSideExpression&amp;amp;gt;&amp;amp;lt;IsSubquery&amp;amp;gt;False&amp;amp;lt;/IsSubquery'"</definedName>
    <definedName name="_AMO_ContentDefinition_316789590.969"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316789590.97" hidden="1">"'xD;&amp;#xA;'MFPR01003283',&amp;#xD;&amp;#xA;'MFPR01003284',&amp;#xD;&amp;#xA;'MFPR01003285',&amp;#xD;&amp;#xA;'MFPR01003286',&amp;#xD;&amp;#xA;'MFPR01003291',&amp;#xD;&amp;#xA;'MFPR01003297',&amp;#xD;&amp;#xA;'MFPR01003301',&amp;#xD;&amp;#xA;'MFPR01003305',&amp;#xD;&amp;#xA;'MFPR01003308',&amp;#xD;&amp;#xA;'MFPR01003311',&amp;#x'"</definedName>
    <definedName name="_AMO_ContentDefinition_316789590.970" hidden="1">"'mat&amp;amp;gt;&amp;amp;lt;RightHandSideExpression xml:space=&amp;amp;quot;preserve&amp;amp;quot;&amp;amp;gt;MFPR01001733&amp;amp;lt;/RightHandSideExpression&amp;amp;gt;&amp;amp;lt;IsSubquery&amp;amp;gt;False&amp;amp;lt;/IsSubquery&amp;amp;gt;&amp;amp;lt;SubqueryTemplateName /&amp;amp;gt;&amp;amp;lt;/RHSIt'"</definedName>
    <definedName name="_AMO_ContentDefinition_316789590.971" hidden="1">"'em&amp;amp;gt;&amp;amp;lt;RHSItem&amp;amp;gt;&amp;amp;lt;RHSType&amp;amp;gt;EXPRESSION&amp;amp;lt;/RHSType&amp;amp;gt;&amp;amp;lt;AddQuotes&amp;amp;gt;True&amp;amp;lt;/AddQuotes&amp;amp;gt;&amp;amp;lt;DateFormat&amp;amp;gt;None&amp;amp;lt;/DateFormat&amp;amp;gt;&amp;amp;lt;RightHandSideExpression xml:space=&amp;amp;qu'"</definedName>
    <definedName name="_AMO_ContentDefinition_316789590.972" hidden="1">"'ot;preserve&amp;amp;quot;&amp;amp;gt;MFPR01001734&amp;amp;lt;/RightHandSideExpression&amp;amp;gt;&amp;amp;lt;IsSubquery&amp;amp;gt;False&amp;amp;lt;/IsSubquery&amp;amp;gt;&amp;amp;lt;SubqueryTemplateName /&amp;amp;gt;&amp;amp;lt;/RHSItem&amp;amp;gt;&amp;amp;lt;RHSItem&amp;amp;gt;&amp;amp;lt;RHSType&amp;amp;gt;EXPR'"</definedName>
    <definedName name="_AMO_ContentDefinition_316789590.973" hidden="1">"'ESSION&amp;amp;lt;/RHSType&amp;amp;gt;&amp;amp;lt;AddQuotes&amp;amp;gt;True&amp;amp;lt;/AddQuotes&amp;amp;gt;&amp;amp;lt;DateFormat&amp;amp;gt;None&amp;amp;lt;/DateFormat&amp;amp;gt;&amp;amp;lt;RightHandSideExpression xml:space=&amp;amp;quot;preserve&amp;amp;quot;&amp;amp;gt;MFPR01001735&amp;amp;lt;/RightHandS'"</definedName>
    <definedName name="_AMO_ContentDefinition_316789590.974"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316789590.975" hidden="1">"'amp;lt;/AddQuotes&amp;amp;gt;&amp;amp;lt;DateFormat&amp;amp;gt;None&amp;amp;lt;/DateFormat&amp;amp;gt;&amp;amp;lt;RightHandSideExpression xml:space=&amp;amp;quot;preserve&amp;amp;quot;&amp;amp;gt;MFPR01001736&amp;amp;lt;/RightHandSideExpression&amp;amp;gt;&amp;amp;lt;IsSubquery&amp;amp;gt;False&amp;amp;lt;'"</definedName>
    <definedName name="_AMO_ContentDefinition_316789590.976"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316789590.977" hidden="1">"'lt;/DateFormat&amp;amp;gt;&amp;amp;lt;RightHandSideExpression xml:space=&amp;amp;quot;preserve&amp;amp;quot;&amp;amp;gt;MFPR01001737&amp;amp;lt;/RightHandSideExpression&amp;amp;gt;&amp;amp;lt;IsSubquery&amp;amp;gt;False&amp;amp;lt;/IsSubquery&amp;amp;gt;&amp;amp;lt;SubqueryTemplateName /&amp;amp;gt;&amp;am'"</definedName>
    <definedName name="_AMO_ContentDefinition_316789590.978" hidden="1">"'p;lt;/RHSItem&amp;amp;gt;&amp;amp;lt;RHSItem&amp;amp;gt;&amp;amp;lt;RHSType&amp;amp;gt;EXPRESSION&amp;amp;lt;/RHSType&amp;amp;gt;&amp;amp;lt;AddQuotes&amp;amp;gt;True&amp;amp;lt;/AddQuotes&amp;amp;gt;&amp;amp;lt;DateFormat&amp;amp;gt;None&amp;amp;lt;/DateFormat&amp;amp;gt;&amp;amp;lt;RightHandSideExpression xml:sp'"</definedName>
    <definedName name="_AMO_ContentDefinition_316789590.979" hidden="1">"'ace=&amp;amp;quot;preserve&amp;amp;quot;&amp;amp;gt;MFPR01001738&amp;amp;lt;/RightHandSideExpression&amp;amp;gt;&amp;amp;lt;IsSubquery&amp;amp;gt;False&amp;amp;lt;/IsSubquery&amp;amp;gt;&amp;amp;lt;SubqueryTemplateName /&amp;amp;gt;&amp;amp;lt;/RHSItem&amp;amp;gt;&amp;amp;lt;RHSItem&amp;amp;gt;&amp;amp;lt;RHSType&amp;'"</definedName>
    <definedName name="_AMO_ContentDefinition_316789590.98" hidden="1">"'D;&amp;#xA;'MFPR01003313',&amp;#xD;&amp;#xA;'MFPR01003314',&amp;#xD;&amp;#xA;'MFPR01003315',&amp;#xD;&amp;#xA;'MFPR01003316',&amp;#xD;&amp;#xA;'MFPR01003321',&amp;#xD;&amp;#xA;'MFPR01003328',&amp;#xD;&amp;#xA;'MFPR01003332',&amp;#xD;&amp;#xA;'MFPR01003333',&amp;#xD;&amp;#xA;'MFPR01003340',&amp;#xD;&amp;#xA;'MFPR01003350',&amp;#xD'"</definedName>
    <definedName name="_AMO_ContentDefinition_316789590.980" hidden="1">"'amp;gt;EXPRESSION&amp;amp;lt;/RHSType&amp;amp;gt;&amp;amp;lt;AddQuotes&amp;amp;gt;True&amp;amp;lt;/AddQuotes&amp;amp;gt;&amp;amp;lt;DateFormat&amp;amp;gt;None&amp;amp;lt;/DateFormat&amp;amp;gt;&amp;amp;lt;RightHandSideExpression xml:space=&amp;amp;quot;preserve&amp;amp;quot;&amp;amp;gt;MFPR01001740&amp;amp;lt;'"</definedName>
    <definedName name="_AMO_ContentDefinition_316789590.981"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316789590.982" hidden="1">"'mp;gt;True&amp;amp;lt;/AddQuotes&amp;amp;gt;&amp;amp;lt;DateFormat&amp;amp;gt;None&amp;amp;lt;/DateFormat&amp;amp;gt;&amp;amp;lt;RightHandSideExpression xml:space=&amp;amp;quot;preserve&amp;amp;quot;&amp;amp;gt;MFPR01001741&amp;amp;lt;/RightHandSideExpression&amp;amp;gt;&amp;amp;lt;IsSubquery&amp;amp;gt;Fa'"</definedName>
    <definedName name="_AMO_ContentDefinition_316789590.983"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316789590.984" hidden="1">"'t;None&amp;amp;lt;/DateFormat&amp;amp;gt;&amp;amp;lt;RightHandSideExpression xml:space=&amp;amp;quot;preserve&amp;amp;quot;&amp;amp;gt;MFPR01001742&amp;amp;lt;/RightHandSideExpression&amp;amp;gt;&amp;amp;lt;IsSubquery&amp;amp;gt;False&amp;amp;lt;/IsSubquery&amp;amp;gt;&amp;amp;lt;SubqueryTemplateName /'"</definedName>
    <definedName name="_AMO_ContentDefinition_316789590.985"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316789590.986" hidden="1">"'sion xml:space=&amp;amp;quot;preserve&amp;amp;quot;&amp;amp;gt;MFPR01001743&amp;amp;lt;/RightHandSideExpression&amp;amp;gt;&amp;amp;lt;IsSubquery&amp;amp;gt;False&amp;amp;lt;/IsSubquery&amp;amp;gt;&amp;amp;lt;SubqueryTemplateName /&amp;amp;gt;&amp;amp;lt;/RHSItem&amp;amp;gt;&amp;amp;lt;RHSItem&amp;amp;gt;&amp;amp;'"</definedName>
    <definedName name="_AMO_ContentDefinition_316789590.987" hidden="1">"'lt;RHSType&amp;amp;gt;EXPRESSION&amp;amp;lt;/RHSType&amp;amp;gt;&amp;amp;lt;AddQuotes&amp;amp;gt;True&amp;amp;lt;/AddQuotes&amp;amp;gt;&amp;amp;lt;DateFormat&amp;amp;gt;None&amp;amp;lt;/DateFormat&amp;amp;gt;&amp;amp;lt;RightHandSideExpression xml:space=&amp;amp;quot;preserve&amp;amp;quot;&amp;amp;gt;MFPR01001'"</definedName>
    <definedName name="_AMO_ContentDefinition_316789590.988" hidden="1">"'744&amp;amp;lt;/RightHandSideExpression&amp;amp;gt;&amp;amp;lt;IsSubquery&amp;amp;gt;False&amp;amp;lt;/IsSubquery&amp;amp;gt;&amp;amp;lt;SubqueryTemplateName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316789590.989" hidden="1">"'AddQuotes&amp;amp;gt;True&amp;amp;lt;/AddQuotes&amp;amp;gt;&amp;amp;lt;DateFormat&amp;amp;gt;None&amp;amp;lt;/DateFormat&amp;amp;gt;&amp;amp;lt;RightHandSideExpression xml:space=&amp;amp;quot;preserve&amp;amp;quot;&amp;amp;gt;MFPR01001745&amp;amp;lt;/RightHandSideExpression&amp;amp;gt;&amp;amp;lt;IsSubquer'"</definedName>
    <definedName name="_AMO_ContentDefinition_316789590.99" hidden="1">"';&amp;#xA;'MFPR01003353',&amp;#xD;&amp;#xA;'MFPR01003356',&amp;#xD;&amp;#xA;'MFPR01003358',&amp;#xD;&amp;#xA;'MFPR01003359',&amp;#xD;&amp;#xA;'MFPR01003360',&amp;#xD;&amp;#xA;'MFPR01003361',&amp;#xD;&amp;#xA;'MFPR01003366',&amp;#xD;&amp;#xA;'MFPR01003372',&amp;#xD;&amp;#xA;'MFPR01003380',&amp;#xD;&amp;#xA;'MFPR01003383',&amp;#xD;'"</definedName>
    <definedName name="_AMO_ContentDefinition_316789590.990"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316789590.991" hidden="1">"'ormat&amp;amp;gt;None&amp;amp;lt;/DateFormat&amp;amp;gt;&amp;amp;lt;RightHandSideExpression xml:space=&amp;amp;quot;preserve&amp;amp;quot;&amp;amp;gt;MFPR01001747&amp;amp;lt;/RightHandSideExpression&amp;amp;gt;&amp;amp;lt;IsSubquery&amp;amp;gt;False&amp;amp;lt;/IsSubquery&amp;amp;gt;&amp;amp;lt;SubqueryTem'"</definedName>
    <definedName name="_AMO_ContentDefinition_316789590.992"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316789590.993" hidden="1">"'dSideExpression xml:space=&amp;amp;quot;preserve&amp;amp;quot;&amp;amp;gt;MFPR01001748&amp;amp;lt;/RightHandSideExpression&amp;amp;gt;&amp;amp;lt;IsSubquery&amp;amp;gt;False&amp;amp;lt;/IsSubquery&amp;amp;gt;&amp;amp;lt;SubqueryTemplateName /&amp;amp;gt;&amp;amp;lt;/RHSItem&amp;amp;gt;&amp;amp;lt;RHSItem&amp;a'"</definedName>
    <definedName name="_AMO_ContentDefinition_316789590.994"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316789590.995" hidden="1">"'t;MFPR01001749&amp;amp;lt;/RightHandSideExpression&amp;amp;gt;&amp;amp;lt;IsSubquery&amp;amp;gt;False&amp;amp;lt;/IsSubquery&amp;amp;gt;&amp;amp;lt;SubqueryTemplateName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316789590.996" hidden="1">"'gt;&amp;amp;lt;AddQuotes&amp;amp;gt;True&amp;amp;lt;/AddQuotes&amp;amp;gt;&amp;amp;lt;DateFormat&amp;amp;gt;None&amp;amp;lt;/DateFormat&amp;amp;gt;&amp;amp;lt;RightHandSideExpression xml:space=&amp;amp;quot;preserve&amp;amp;quot;&amp;amp;gt;MFPR01001750&amp;amp;lt;/RightHandSideExpression&amp;amp;gt;&amp;amp;l'"</definedName>
    <definedName name="_AMO_ContentDefinition_316789590.997"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316789590.998" hidden="1">"'mp;lt;DateFormat&amp;amp;gt;None&amp;amp;lt;/DateFormat&amp;amp;gt;&amp;amp;lt;RightHandSideExpression xml:space=&amp;amp;quot;preserve&amp;amp;quot;&amp;amp;gt;MFPR01001751&amp;amp;lt;/RightHandSideExpression&amp;amp;gt;&amp;amp;lt;IsSubquery&amp;amp;gt;False&amp;amp;lt;/IsSubquery&amp;amp;gt;&amp;amp;lt;'"</definedName>
    <definedName name="_AMO_ContentDefinition_316789590.999"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335589001" hidden="1">"'Partitions:17'"</definedName>
    <definedName name="_AMO_ContentDefinition_335589001.0" hidden="1">"'&lt;ContentDefinition name=""Reports"" rsid=""335589001"" type=""StoredProcess"" format=""ReportXml"" imgfmt=""ActiveX"" created=""02/11/2016 16:45:11"" modifed=""02/10/2017 15:19:19"" user=""Prunela Charles-Williams"" apply=""False"" css=""C:\SASHOME94\'"</definedName>
    <definedName name="_AMO_ContentDefinition_335589001.1" hidden="1">"'x86\SASAddinforMicrosoftOffice\6.1\Styles\AMODefault.css"" range=""Reports"" auto=""False"" xTime=""00:00:25.0803172"" rTime=""00:00:00.8750759"" bgnew=""False"" nFmt=""False"" grphSet=""True"" imgY=""0"" imgX=""0"" redirect=""False""&gt;_x000D_
  &lt;files&gt;C:\Us'"</definedName>
    <definedName name="_AMO_ContentDefinition_335589001.10" hidden="1">"'quot;p11&amp;quot; value=&amp;quot;ECFR_WR&amp;quot; /&amp;gt;&amp;lt;/Value&amp;gt;&amp;lt;/PromptDefinitionReference&amp;gt;&amp;lt;PromptDefinitionReference obj=&amp;quot;p12&amp;quot; promptId=&amp;quot;PromptDef_1404319188301_915893&amp;quot; name=&amp;quot;bank_id&amp;quot; definitionType=&amp;quot;TextDefin'"</definedName>
    <definedName name="_AMO_ContentDefinition_335589001.11" hidden="1">"'ition&amp;quot; selectionType=&amp;quot;Single&amp;quot;&amp;gt;&amp;lt;Value&amp;gt;&amp;lt;NullValue obj=&amp;quot;p13&amp;quot; /&amp;gt;&amp;lt;/Value&amp;gt;&amp;lt;/PromptDefinitionReference&amp;gt;&amp;lt;/DefinitionReferencesAndValues&amp;gt;&amp;lt;/PromptValues&amp;gt;"" /&gt;_x000D_
  &lt;param n=""HasPrompts"" v=""True"" '"</definedName>
    <definedName name="_AMO_ContentDefinition_335589001.12" hidden="1">"'/&gt;_x000D_
  &lt;param n=""DNA"" v=""&amp;lt;DNA&amp;gt;&amp;#xD;&amp;#xA;  &amp;lt;Type&amp;gt;StoredProcess&amp;lt;/Type&amp;gt;&amp;#xD;&amp;#xA;  &amp;lt;Name&amp;gt;Reports&amp;lt;/Name&amp;gt;&amp;#xD;&amp;#xA;  &amp;lt;Version&amp;gt;1&amp;lt;/Version&amp;gt;&amp;#xD;&amp;#xA;  &amp;lt;Assembly&amp;gt;SAS.EG.SDS.Model&amp;lt;/Assembly&amp;gt;&amp;#xD;&amp;#xA;  &amp;l'"</definedName>
    <definedName name="_AMO_ContentDefinition_335589001.13" hidden="1">"'t;Factory&amp;gt;SAS.EG.SDS.Model.Creator&amp;lt;/Factory&amp;gt;&amp;#xD;&amp;#xA;  &amp;lt;ParentName&amp;gt;Excel Reports&amp;lt;/ParentName&amp;gt;&amp;#xD;&amp;#xA;  &amp;lt;DisplayName&amp;gt;Reports&amp;lt;/DisplayName&amp;gt;&amp;#xD;&amp;#xA;  &amp;lt;SBIP&amp;gt;/ECCB/EBI/StoredProcesses/Excel Reports/Reports&amp;lt;/SB'"</definedName>
    <definedName name="_AMO_ContentDefinition_335589001.14" hidden="1">"'IP&amp;gt;&amp;#xD;&amp;#xA;  &amp;lt;SBIPFull&amp;gt;/ECCB/EBI/StoredProcesses/Excel Reports/Reports(StoredProcess)&amp;lt;/SBIPFull&amp;gt;&amp;#xD;&amp;#xA;  &amp;lt;Path&amp;gt;/ECCB/EBI/StoredProcesses/Excel Reports/Reports&amp;lt;/Path&amp;gt;&amp;#xD;&amp;#xA;&amp;lt;/DNA&amp;gt;"" /&gt;_x000D_
  &lt;param n=""ServerName""'"</definedName>
    <definedName name="_AMO_ContentDefinition_335589001.15" hidden="1">"' v=""SASApp"" /&gt;_x000D_
  &lt;param n=""ClassName"" v=""SAS.OfficeAddin.StoredProcess"" /&gt;_x000D_
  &lt;param n=""XlNative"" v=""False"" /&gt;_x000D_
  &lt;param n=""UnselectedIds"" v="""" /&gt;_x000D_
  &lt;param n=""_ROM_Version_"" v=""1.3"" /&gt;_x000D_
  &lt;param n=""_ROM_Application_"" v=""ODS"" /'"</definedName>
    <definedName name="_AMO_ContentDefinition_335589001.16" hidden="1">"'&gt;_x000D_
  &lt;param n=""_ROM_AppVersion_"" v=""9.4"" /&gt;_x000D_
  &lt;param n=""maxReportCols"" v=""13"" /&gt;_x000D_
  &lt;fids n=""main.srx"" v=""0"" /&gt;_x000D_
  &lt;ExcelXMLOptions AdjColWidths=""True"" RowOpt=""InsertEntire"" ColOpt=""InsertCells"" /&gt;_x000D_
&lt;/ContentDefinition&gt;'"</definedName>
    <definedName name="_AMO_ContentDefinition_335589001.2" hidden="1">"'ers\pwilliam\Documents\My SAS Files\Add-In for Microsoft Office\_SOA_A5MZAGEV.BH0004N2_467983281\main.srx&lt;/files&gt;_x000D_
  &lt;parents /&gt;_x000D_
  &lt;children /&gt;_x000D_
  &lt;param n=""DisplayName"" v=""Reports"" /&gt;_x000D_
  &lt;param n=""DisplayType"" v=""Stored Process"" /&gt;_x000D_
  &lt;para'"</definedName>
    <definedName name="_AMO_ContentDefinition_335589001.3" hidden="1">"'m n=""RawValues"" v=""True"" /&gt;_x000D_
  &lt;param n=""AMO_Version"" v=""7.1"" /&gt;_x000D_
  &lt;param n=""Prompts"" v=""&amp;lt;PromptValues obj=&amp;quot;p1&amp;quot; version=&amp;quot;1.0&amp;quot;&amp;gt;&amp;lt;DefinitionReferencesAndValues&amp;gt;&amp;lt;PromptDefinitionReference obj=&amp;quot;p2&amp;quot; p'"</definedName>
    <definedName name="_AMO_ContentDefinition_335589001.4" hidden="1">"'romptId=&amp;quot;PromptDef_1396631155476_538837&amp;quot; name=&amp;quot;report_frequency_desc&amp;quot; definitionType=&amp;quot;TextDefinition&amp;quot; selectionType=&amp;quot;Single&amp;quot;&amp;gt;&amp;lt;Value&amp;gt;&amp;lt;String obj=&amp;quot;p3&amp;quot; value=&amp;quot;Annual&amp;quot; /&amp;gt;&amp;lt;/Value'"</definedName>
    <definedName name="_AMO_ContentDefinition_335589001.5" hidden="1">"'&amp;gt;&amp;lt;/PromptDefinitionReference&amp;gt;&amp;lt;PromptDefinitionReference obj=&amp;quot;p4&amp;quot; promptId=&amp;quot;PromptDef_1391180368912_96654&amp;quot; name=&amp;quot;country_cd&amp;quot; definitionType=&amp;quot;TextDefinition&amp;quot; selectionType=&amp;quot;Single&amp;quot;&amp;gt;&amp;lt;Val'"</definedName>
    <definedName name="_AMO_ContentDefinition_335589001.6" hidden="1">"'ue&amp;gt;&amp;lt;String obj=&amp;quot;p5&amp;quot; value=&amp;quot;362&amp;quot; /&amp;gt;&amp;lt;/Value&amp;gt;&amp;lt;/PromptDefinitionReference&amp;gt;&amp;lt;PromptDefinitionReference obj=&amp;quot;p6&amp;quot; promptId=&amp;quot;PromptDef_1391180368913_306480&amp;quot; name=&amp;quot;date&amp;quot; definitionType=&amp;q'"</definedName>
    <definedName name="_AMO_ContentDefinition_335589001.7" hidden="1">"'uot;TextDefinition&amp;quot; selectionType=&amp;quot;Single&amp;quot;&amp;gt;&amp;lt;Value&amp;gt;&amp;lt;String obj=&amp;quot;p7&amp;quot; value=&amp;quot;Dec16&amp;quot; /&amp;gt;&amp;lt;/Value&amp;gt;&amp;lt;/PromptDefinitionReference&amp;gt;&amp;lt;PromptDefinitionReference obj=&amp;quot;p8&amp;quot; promptId=&amp;quot;Prompt'"</definedName>
    <definedName name="_AMO_ContentDefinition_335589001.8" hidden="1">"'Def_1396896333577_379099&amp;quot; name=&amp;quot;report_cons_group&amp;quot; definitionType=&amp;quot;TextDefinition&amp;quot; selectionType=&amp;quot;Single&amp;quot;&amp;gt;&amp;lt;Value&amp;gt;&amp;lt;String obj=&amp;quot;p9&amp;quot; value=&amp;quot;Country&amp;quot; /&amp;gt;&amp;lt;/Value&amp;gt;&amp;lt;/PromptDefiniti'"</definedName>
    <definedName name="_AMO_ContentDefinition_335589001.9" hidden="1">"'onReference&amp;gt;&amp;lt;PromptDefinitionReference obj=&amp;quot;p10&amp;quot; promptId=&amp;quot;PromptDef_1394727130779_470040&amp;quot; name=&amp;quot;report_id&amp;quot; definitionType=&amp;quot;TextDefinition&amp;quot; selectionType=&amp;quot;Single&amp;quot;&amp;gt;&amp;lt;Value&amp;gt;&amp;lt;String obj=&amp;'"</definedName>
    <definedName name="_AMO_ContentDefinition_349290777" hidden="1">"'Partitions:17'"</definedName>
    <definedName name="_AMO_ContentDefinition_349290777.0" hidden="1">"'&lt;ContentDefinition name=""Reports"" rsid=""349290777"" type=""StoredProcess"" format=""ReportXml"" imgfmt=""ActiveX"" created=""02/11/2016 15:06:06"" modifed=""02/10/2017 11:22:39"" user=""Prunela Charles-Williams"" apply=""False"" css=""C:\SASHOME94\'"</definedName>
    <definedName name="_AMO_ContentDefinition_349290777.1" hidden="1">"'x86\SASAddinforMicrosoftOffice\6.1\Styles\AMODefault.css"" range=""Reports"" auto=""False"" xTime=""00:00:21.8307993"" rTime=""00:00:01.2187960"" bgnew=""False"" nFmt=""False"" grphSet=""True"" imgY=""0"" imgX=""0"" redirect=""False""&gt;_x000D_
  &lt;files&gt;C:\Us'"</definedName>
    <definedName name="_AMO_ContentDefinition_349290777.10" hidden="1">"'uot;Dec16&amp;quot; /&amp;gt;&amp;lt;/Value&amp;gt;&amp;lt;/PromptDefinitionReference&amp;gt;&amp;lt;PromptDefinitionReference obj=&amp;quot;p12&amp;quot; promptId=&amp;quot;PromptDef_1394727130779_470040&amp;quot; name=&amp;quot;report_id&amp;quot; definitionType=&amp;quot;TextDefinition&amp;quot; selectionTy'"</definedName>
    <definedName name="_AMO_ContentDefinition_349290777.11" hidden="1">"'pe=&amp;quot;Single&amp;quot;&amp;gt;&amp;lt;Value&amp;gt;&amp;lt;String obj=&amp;quot;p13&amp;quot; value=&amp;quot;ECFR_WR&amp;quot; /&amp;gt;&amp;lt;/Value&amp;gt;&amp;lt;/PromptDefinitionReference&amp;gt;&amp;lt;/DefinitionReferencesAndValues&amp;gt;&amp;lt;/PromptValues&amp;gt;"" /&gt;_x000D_
  &lt;param n=""HasPrompts"" v=""True"" '"</definedName>
    <definedName name="_AMO_ContentDefinition_349290777.12" hidden="1">"'/&gt;_x000D_
  &lt;param n=""DNA"" v=""&amp;lt;DNA&amp;gt;&amp;#xD;&amp;#xA;  &amp;lt;Type&amp;gt;StoredProcess&amp;lt;/Type&amp;gt;&amp;#xD;&amp;#xA;  &amp;lt;Name&amp;gt;Reports&amp;lt;/Name&amp;gt;&amp;#xD;&amp;#xA;  &amp;lt;Version&amp;gt;1&amp;lt;/Version&amp;gt;&amp;#xD;&amp;#xA;  &amp;lt;Assembly&amp;gt;SAS.EG.SDS.Model&amp;lt;/Assembly&amp;gt;&amp;#xD;&amp;#xA;  &amp;l'"</definedName>
    <definedName name="_AMO_ContentDefinition_349290777.13" hidden="1">"'t;Factory&amp;gt;SAS.EG.SDS.Model.Creator&amp;lt;/Factory&amp;gt;&amp;#xD;&amp;#xA;  &amp;lt;ParentName&amp;gt;Excel Reports&amp;lt;/ParentName&amp;gt;&amp;#xD;&amp;#xA;  &amp;lt;DisplayName&amp;gt;Reports&amp;lt;/DisplayName&amp;gt;&amp;#xD;&amp;#xA;  &amp;lt;SBIP&amp;gt;/ECCB/EBI/StoredProcesses/Excel Reports/Reports&amp;lt;/SB'"</definedName>
    <definedName name="_AMO_ContentDefinition_349290777.14" hidden="1">"'IP&amp;gt;&amp;#xD;&amp;#xA;  &amp;lt;SBIPFull&amp;gt;/ECCB/EBI/StoredProcesses/Excel Reports/Reports(StoredProcess)&amp;lt;/SBIPFull&amp;gt;&amp;#xD;&amp;#xA;  &amp;lt;Path&amp;gt;/ECCB/EBI/StoredProcesses/Excel Reports/Reports&amp;lt;/Path&amp;gt;&amp;#xD;&amp;#xA;&amp;lt;/DNA&amp;gt;"" /&gt;_x000D_
  &lt;param n=""ServerName""'"</definedName>
    <definedName name="_AMO_ContentDefinition_349290777.15" hidden="1">"' v=""SASApp"" /&gt;_x000D_
  &lt;param n=""ClassName"" v=""SAS.OfficeAddin.StoredProcess"" /&gt;_x000D_
  &lt;param n=""XlNative"" v=""False"" /&gt;_x000D_
  &lt;param n=""UnselectedIds"" v="""" /&gt;_x000D_
  &lt;param n=""_ROM_Version_"" v=""1.3"" /&gt;_x000D_
  &lt;param n=""_ROM_Application_"" v=""ODS"" /'"</definedName>
    <definedName name="_AMO_ContentDefinition_349290777.16" hidden="1">"'&gt;_x000D_
  &lt;param n=""_ROM_AppVersion_"" v=""9.4"" /&gt;_x000D_
  &lt;param n=""maxReportCols"" v=""13"" /&gt;_x000D_
  &lt;fids n=""main.srx"" v=""0"" /&gt;_x000D_
  &lt;ExcelXMLOptions AdjColWidths=""True"" RowOpt=""InsertEntire"" ColOpt=""InsertCells"" /&gt;_x000D_
&lt;/ContentDefinition&gt;'"</definedName>
    <definedName name="_AMO_ContentDefinition_349290777.2" hidden="1">"'ers\pwilliam\Documents\My SAS Files\Add-In for Microsoft Office\_SOA_A5MZAGEV.BH0004N2_406490848\main.srx&lt;/files&gt;_x000D_
  &lt;parents /&gt;_x000D_
  &lt;children /&gt;_x000D_
  &lt;param n=""DisplayName"" v=""Reports"" /&gt;_x000D_
  &lt;param n=""DisplayType"" v=""Stored Process"" /&gt;_x000D_
  &lt;para'"</definedName>
    <definedName name="_AMO_ContentDefinition_349290777.3" hidden="1">"'m n=""RawValues"" v=""True"" /&gt;_x000D_
  &lt;param n=""AMO_Version"" v=""7.1"" /&gt;_x000D_
  &lt;param n=""Prompts"" v=""&amp;lt;PromptValues obj=&amp;quot;p1&amp;quot; version=&amp;quot;1.0&amp;quot;&amp;gt;&amp;lt;DefinitionReferencesAndValues&amp;gt;&amp;lt;PromptDefinitionReference obj=&amp;quot;p2&amp;quot; p'"</definedName>
    <definedName name="_AMO_ContentDefinition_349290777.4" hidden="1">"'romptId=&amp;quot;PromptDef_1404319188301_915893&amp;quot; name=&amp;quot;bank_id&amp;quot; definitionType=&amp;quot;TextDefinition&amp;quot; selectionType=&amp;quot;Single&amp;quot;&amp;gt;&amp;lt;Value&amp;gt;&amp;lt;NullValue obj=&amp;quot;p3&amp;quot; /&amp;gt;&amp;lt;/Value&amp;gt;&amp;lt;/PromptDefinitionReference&amp;g'"</definedName>
    <definedName name="_AMO_ContentDefinition_349290777.5" hidden="1">"'t;&amp;lt;PromptDefinitionReference obj=&amp;quot;p4&amp;quot; promptId=&amp;quot;PromptDef_1391180368912_96654&amp;quot; name=&amp;quot;country_cd&amp;quot; definitionType=&amp;quot;TextDefinition&amp;quot; selectionType=&amp;quot;Single&amp;quot;&amp;gt;&amp;lt;Value&amp;gt;&amp;lt;String obj=&amp;quot;p5&amp;quot; '"</definedName>
    <definedName name="_AMO_ContentDefinition_349290777.6" hidden="1">"'value=&amp;quot;328&amp;quot; /&amp;gt;&amp;lt;/Value&amp;gt;&amp;lt;/PromptDefinitionReference&amp;gt;&amp;lt;PromptDefinitionReference obj=&amp;quot;p6&amp;quot; promptId=&amp;quot;PromptDef_1396896333577_379099&amp;quot; name=&amp;quot;report_cons_group&amp;quot; definitionType=&amp;quot;TextDefinition&amp;quot'"</definedName>
    <definedName name="_AMO_ContentDefinition_349290777.7" hidden="1">"'; selectionType=&amp;quot;Single&amp;quot;&amp;gt;&amp;lt;Value&amp;gt;&amp;lt;String obj=&amp;quot;p7&amp;quot; value=&amp;quot;Country&amp;quot; /&amp;gt;&amp;lt;/Value&amp;gt;&amp;lt;/PromptDefinitionReference&amp;gt;&amp;lt;PromptDefinitionReference obj=&amp;quot;p8&amp;quot; promptId=&amp;quot;PromptDef_1396631155476_538'"</definedName>
    <definedName name="_AMO_ContentDefinition_349290777.8" hidden="1">"'837&amp;quot; name=&amp;quot;report_frequency_desc&amp;quot; definitionType=&amp;quot;TextDefinition&amp;quot; selectionType=&amp;quot;Single&amp;quot;&amp;gt;&amp;lt;Value&amp;gt;&amp;lt;String obj=&amp;quot;p9&amp;quot; value=&amp;quot;Annual&amp;quot; /&amp;gt;&amp;lt;/Value&amp;gt;&amp;lt;/PromptDefinitionReference&amp;gt;&amp;lt'"</definedName>
    <definedName name="_AMO_ContentDefinition_349290777.9" hidden="1">"';PromptDefinitionReference obj=&amp;quot;p10&amp;quot; promptId=&amp;quot;PromptDef_1391180368913_306480&amp;quot; name=&amp;quot;date&amp;quot; definitionType=&amp;quot;TextDefinition&amp;quot; selectionType=&amp;quot;Single&amp;quot;&amp;gt;&amp;lt;Value&amp;gt;&amp;lt;String obj=&amp;quot;p11&amp;quot; value=&amp;q'"</definedName>
    <definedName name="_AMO_ContentDefinition_485496469" hidden="1">"'Partitions:2856'"</definedName>
    <definedName name="_AMO_ContentDefinition_485496469.0" hidden="1">"'&lt;ContentDefinition name=""SASApp:METRICS.validation_metrics_prior10_view"" rsid=""485496469"" type=""DataSet"" format=""ReportXml"" imgfmt=""ActiveX"" created=""11/29/2020 17:45:38"" modifed=""12/24/2020 08:34:53"" user=""Samora Cherebin"" apply=""F'"</definedName>
    <definedName name="_AMO_ContentDefinition_485496469.1" hidden="1">"'alse"" css=""C:\Program Files (x86)\SASHome\x86\SASAddInforMicrosoftOffice\8\Styles\AMODefault.css"" range=""SASApp_METRICS_validation_metric_4"" auto=""False"" xTime=""00:00:00"" rTime=""00:01:15.9073779"" bgnew=""False"" nFmt=""False"" grphSet=""'"</definedName>
    <definedName name="_AMO_ContentDefinition_485496469.10" hidden="1">"'#xD;&amp;#xA;'MFMSUP000048',&amp;#xD;&amp;#xA;'MFMSUP000049',&amp;#xD;&amp;#xA;'MFMSUP000050',&amp;#xD;&amp;#xA;'MFMSUP000051',&amp;#xD;&amp;#xA;'MFMSUP000052',&amp;#xD;&amp;#xA;'MFMSUP000053',&amp;#xD;&amp;#xA;'MFMSUP000054',&amp;#xD;&amp;#xA;'MFMSUP000055',&amp;#xD;&amp;#xA;'MFMSUP000056',&amp;#xD;&amp;#xA;'MFMSUP000057',&amp;#'"</definedName>
    <definedName name="_AMO_ContentDefinition_485496469.100" hidden="1">"'1007265',&amp;#xD;&amp;#xA;'MFPR01007266',&amp;#xD;&amp;#xA;'MFPR01007267',&amp;#xD;&amp;#xA;'MFPR01007268',&amp;#xD;&amp;#xA;'MFPR01007269',&amp;#xD;&amp;#xA;'MFPR01007270',&amp;#xD;&amp;#xA;'MFPR01007271',&amp;#xD;&amp;#xA;'MFPR01007272',&amp;#xD;&amp;#xA;'MFPR01007273',&amp;#xD;&amp;#xA;'MFPR01007274',&amp;#xD;&amp;#xA;'MFPR01'"</definedName>
    <definedName name="_AMO_ContentDefinition_485496469.1000"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485496469.1001" hidden="1">"'tes&amp;amp;gt;True&amp;amp;lt;/AddQuotes&amp;amp;gt;&amp;amp;lt;DateFormat&amp;amp;gt;None&amp;amp;lt;/DateFormat&amp;amp;gt;&amp;amp;lt;RightHandSideExpression&amp;amp;gt;MFPR01006698&amp;amp;lt;/RightHandSideExpression&amp;amp;gt;&amp;amp;lt;IsSubquery&amp;amp;gt;False&amp;amp;lt;/IsSubquery&amp;amp;gt;&amp;amp'"</definedName>
    <definedName name="_AMO_ContentDefinition_485496469.1002"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485496469.1003" hidden="1">"'amp;lt;RightHandSideExpression&amp;amp;gt;MFPR01006699&amp;amp;lt;/RightHandSideExpression&amp;amp;gt;&amp;amp;lt;IsSubquery&amp;amp;gt;False&amp;amp;lt;/IsSubquery&amp;amp;gt;&amp;amp;lt;SubqueryTemplateName /&amp;amp;gt;&amp;amp;lt;/RHSItem&amp;amp;gt;&amp;amp;lt;RHSItem&amp;amp;gt;&amp;amp;lt;RHSType&amp;am'"</definedName>
    <definedName name="_AMO_ContentDefinition_485496469.1004" hidden="1">"'p;gt;EXPRESSION&amp;amp;lt;/RHSType&amp;amp;gt;&amp;amp;lt;AddQuotes&amp;amp;gt;True&amp;amp;lt;/AddQuotes&amp;amp;gt;&amp;amp;lt;DateFormat&amp;amp;gt;None&amp;amp;lt;/DateFormat&amp;amp;gt;&amp;amp;lt;RightHandSideExpression&amp;amp;gt;MFPR01006700&amp;amp;lt;/RightHandSideExpression&amp;amp;gt;&amp;amp;lt;I'"</definedName>
    <definedName name="_AMO_ContentDefinition_485496469.1005"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1006" hidden="1">"'lt;DateFormat&amp;amp;gt;None&amp;amp;lt;/DateFormat&amp;amp;gt;&amp;amp;lt;RightHandSideExpression&amp;amp;gt;MFPR01006701&amp;amp;lt;/RightHandSideExpression&amp;amp;gt;&amp;amp;lt;IsSubquery&amp;amp;gt;False&amp;amp;lt;/IsSubquery&amp;amp;gt;&amp;amp;lt;SubqueryTemplateName /&amp;amp;gt;&amp;amp;lt;/RHS'"</definedName>
    <definedName name="_AMO_ContentDefinition_485496469.1007" hidden="1">"'Item&amp;amp;gt;&amp;amp;lt;RHSItem&amp;amp;gt;&amp;amp;lt;RHSType&amp;amp;gt;EXPRESSION&amp;amp;lt;/RHSType&amp;amp;gt;&amp;amp;lt;AddQuotes&amp;amp;gt;True&amp;amp;lt;/AddQuotes&amp;amp;gt;&amp;amp;lt;DateFormat&amp;amp;gt;None&amp;amp;lt;/DateFormat&amp;amp;gt;&amp;amp;lt;RightHandSideExpression&amp;amp;gt;MFPR0100'"</definedName>
    <definedName name="_AMO_ContentDefinition_485496469.1008" hidden="1">"'6702&amp;amp;lt;/RightHandSideExpression&amp;amp;gt;&amp;amp;lt;IsSubquery&amp;amp;gt;False&amp;amp;lt;/IsSubquery&amp;amp;gt;&amp;amp;lt;SubqueryTemplateName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1009" hidden="1">"';AddQuotes&amp;amp;gt;True&amp;amp;lt;/AddQuotes&amp;amp;gt;&amp;amp;lt;DateFormat&amp;amp;gt;None&amp;amp;lt;/DateFormat&amp;amp;gt;&amp;amp;lt;RightHandSideExpression&amp;amp;gt;MFPR01006703&amp;amp;lt;/RightHandSideExpression&amp;amp;gt;&amp;amp;lt;IsSubquery&amp;amp;gt;False&amp;amp;lt;/IsSubquery&amp;amp;'"</definedName>
    <definedName name="_AMO_ContentDefinition_485496469.101" hidden="1">"'007275',&amp;#xD;&amp;#xA;'MFPR01007276',&amp;#xD;&amp;#xA;'MFPR01007277',&amp;#xD;&amp;#xA;'MFPR01007278',&amp;#xD;&amp;#xA;'MFPR01007279',&amp;#xD;&amp;#xA;'MFPR01007280',&amp;#xD;&amp;#xA;'MFPR01007281',&amp;#xD;&amp;#xA;'MFPR01007282',&amp;#xD;&amp;#xA;'MFPR01007283',&amp;#xD;&amp;#xA;'MFPR01007284',&amp;#xD;&amp;#xA;'MFPR010'"</definedName>
    <definedName name="_AMO_ContentDefinition_485496469.1010"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485496469.1011" hidden="1">"'mp;gt;&amp;amp;lt;RightHandSideExpression&amp;amp;gt;MFPR01006704&amp;amp;lt;/RightHandSideExpression&amp;amp;gt;&amp;amp;lt;IsSubquery&amp;amp;gt;False&amp;amp;lt;/IsSubquery&amp;amp;gt;&amp;amp;lt;SubqueryTemplateName /&amp;amp;gt;&amp;amp;lt;/RHSItem&amp;amp;gt;&amp;amp;lt;RHSItem&amp;amp;gt;&amp;amp;lt;RHS'"</definedName>
    <definedName name="_AMO_ContentDefinition_485496469.1012" hidden="1">"'Type&amp;amp;gt;EXPRESSION&amp;amp;lt;/RHSType&amp;amp;gt;&amp;amp;lt;AddQuotes&amp;amp;gt;True&amp;amp;lt;/AddQuotes&amp;amp;gt;&amp;amp;lt;DateFormat&amp;amp;gt;None&amp;amp;lt;/DateFormat&amp;amp;gt;&amp;amp;lt;RightHandSideExpression&amp;amp;gt;MFPR01006705&amp;amp;lt;/RightHandSideExpression&amp;amp;gt;&amp;a'"</definedName>
    <definedName name="_AMO_ContentDefinition_485496469.1013"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485496469.1014" hidden="1">"'t;&amp;amp;lt;DateFormat&amp;amp;gt;None&amp;amp;lt;/DateFormat&amp;amp;gt;&amp;amp;lt;RightHandSideExpression&amp;amp;gt;MFPR01006706&amp;amp;lt;/RightHandSideExpression&amp;amp;gt;&amp;amp;lt;IsSubquery&amp;amp;gt;False&amp;amp;lt;/IsSubquery&amp;amp;gt;&amp;amp;lt;SubqueryTemplateName /&amp;amp;gt;&amp;amp;'"</definedName>
    <definedName name="_AMO_ContentDefinition_485496469.1015" hidden="1">"'lt;/RHSItem&amp;amp;gt;&amp;amp;lt;RHSItem&amp;amp;gt;&amp;amp;lt;RHSType&amp;amp;gt;EXPRESSION&amp;amp;lt;/RHSType&amp;amp;gt;&amp;amp;lt;AddQuotes&amp;amp;gt;True&amp;amp;lt;/AddQuotes&amp;amp;gt;&amp;amp;lt;DateFormat&amp;amp;gt;None&amp;amp;lt;/DateFormat&amp;amp;gt;&amp;amp;lt;RightHandSideExpression&amp;amp;gt;M'"</definedName>
    <definedName name="_AMO_ContentDefinition_485496469.1016" hidden="1">"'FPR01006707&amp;amp;lt;/RightHandSideExpression&amp;amp;gt;&amp;amp;lt;IsSubquery&amp;amp;gt;False&amp;amp;lt;/IsSubquery&amp;amp;gt;&amp;amp;lt;SubqueryTemplateName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1017" hidden="1">"'&amp;amp;lt;AddQuotes&amp;amp;gt;True&amp;amp;lt;/AddQuotes&amp;amp;gt;&amp;amp;lt;DateFormat&amp;amp;gt;None&amp;amp;lt;/DateFormat&amp;amp;gt;&amp;amp;lt;RightHandSideExpression&amp;amp;gt;MFPR01006708&amp;amp;lt;/RightHandSideExpression&amp;amp;gt;&amp;amp;lt;IsSubquery&amp;amp;gt;False&amp;amp;lt;/IsSubque'"</definedName>
    <definedName name="_AMO_ContentDefinition_485496469.1018"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485496469.1019" hidden="1">"'ormat&amp;amp;gt;&amp;amp;lt;RightHandSideExpression&amp;amp;gt;MFPR01006709&amp;amp;lt;/RightHandSideExpression&amp;amp;gt;&amp;amp;lt;IsSubquery&amp;amp;gt;False&amp;amp;lt;/IsSubquery&amp;amp;gt;&amp;amp;lt;SubqueryTemplateName /&amp;amp;gt;&amp;amp;lt;/RHSItem&amp;amp;gt;&amp;amp;lt;RHSItem&amp;amp;gt;&amp;amp'"</definedName>
    <definedName name="_AMO_ContentDefinition_485496469.102" hidden="1">"'07285',&amp;#xD;&amp;#xA;'MFPR01007286',&amp;#xD;&amp;#xA;'MFPR01007287',&amp;#xD;&amp;#xA;'MFPR01007288',&amp;#xD;&amp;#xA;'MFPR01007289',&amp;#xD;&amp;#xA;'MFPR01007290',&amp;#xD;&amp;#xA;'MFPR01007291',&amp;#xD;&amp;#xA;'MFPR01007292',&amp;#xD;&amp;#xA;'MFPR01007293',&amp;#xD;&amp;#xA;'MFPR01007294',&amp;#xD;&amp;#xA;'MFPR0100'"</definedName>
    <definedName name="_AMO_ContentDefinition_485496469.1020" hidden="1">"';lt;RHSType&amp;amp;gt;EXPRESSION&amp;amp;lt;/RHSType&amp;amp;gt;&amp;amp;lt;AddQuotes&amp;amp;gt;True&amp;amp;lt;/AddQuotes&amp;amp;gt;&amp;amp;lt;DateFormat&amp;amp;gt;None&amp;amp;lt;/DateFormat&amp;amp;gt;&amp;amp;lt;RightHandSideExpression&amp;amp;gt;MFPR01006710&amp;amp;lt;/RightHandSideExpression&amp;am'"</definedName>
    <definedName name="_AMO_ContentDefinition_485496469.1021"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485496469.1022" hidden="1">"'s&amp;amp;gt;&amp;amp;lt;DateFormat&amp;amp;gt;None&amp;amp;lt;/DateFormat&amp;amp;gt;&amp;amp;lt;RightHandSideExpression&amp;amp;gt;MFPR01006711&amp;amp;lt;/RightHandSideExpression&amp;amp;gt;&amp;amp;lt;IsSubquery&amp;amp;gt;False&amp;amp;lt;/IsSubquery&amp;amp;gt;&amp;amp;lt;SubqueryTemplateName /&amp;amp;g'"</definedName>
    <definedName name="_AMO_ContentDefinition_485496469.1023" hidden="1">"'t;&amp;amp;lt;/RHSItem&amp;amp;gt;&amp;amp;lt;RHSItem&amp;amp;gt;&amp;amp;lt;RHSType&amp;amp;gt;EXPRESSION&amp;amp;lt;/RHSType&amp;amp;gt;&amp;amp;lt;AddQuotes&amp;amp;gt;True&amp;amp;lt;/AddQuotes&amp;amp;gt;&amp;amp;lt;DateFormat&amp;amp;gt;None&amp;amp;lt;/DateFormat&amp;amp;gt;&amp;amp;lt;RightHandSideExpression&amp;a'"</definedName>
    <definedName name="_AMO_ContentDefinition_485496469.1024" hidden="1">"'mp;gt;MFPR01006712&amp;amp;lt;/RightHandSideExpression&amp;amp;gt;&amp;amp;lt;IsSubquery&amp;amp;gt;False&amp;amp;lt;/IsSubquery&amp;amp;gt;&amp;amp;lt;SubqueryTemplateName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485496469.1025" hidden="1">"'amp;gt;&amp;amp;lt;AddQuotes&amp;amp;gt;True&amp;amp;lt;/AddQuotes&amp;amp;gt;&amp;amp;lt;DateFormat&amp;amp;gt;None&amp;amp;lt;/DateFormat&amp;amp;gt;&amp;amp;lt;RightHandSideExpression&amp;amp;gt;MFPR01006713&amp;amp;lt;/RightHandSideExpression&amp;amp;gt;&amp;amp;lt;IsSubquery&amp;amp;gt;False&amp;amp;lt;/I'"</definedName>
    <definedName name="_AMO_ContentDefinition_485496469.1026"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1027" hidden="1">"';/DateFormat&amp;amp;gt;&amp;amp;lt;RightHandSideExpression&amp;amp;gt;MFPR01006714&amp;amp;lt;/RightHandSideExpression&amp;amp;gt;&amp;amp;lt;IsSubquery&amp;amp;gt;False&amp;amp;lt;/IsSubquery&amp;amp;gt;&amp;amp;lt;SubqueryTemplateName /&amp;amp;gt;&amp;amp;lt;/RHSItem&amp;amp;gt;&amp;amp;lt;RHSItem&amp;amp;'"</definedName>
    <definedName name="_AMO_ContentDefinition_485496469.1028" hidden="1">"'gt;&amp;amp;lt;RHSType&amp;amp;gt;EXPRESSION&amp;amp;lt;/RHSType&amp;amp;gt;&amp;amp;lt;AddQuotes&amp;amp;gt;True&amp;amp;lt;/AddQuotes&amp;amp;gt;&amp;amp;lt;DateFormat&amp;amp;gt;None&amp;amp;lt;/DateFormat&amp;amp;gt;&amp;amp;lt;RightHandSideExpression&amp;amp;gt;MFPR01006715&amp;amp;lt;/RightHandSideExpres'"</definedName>
    <definedName name="_AMO_ContentDefinition_485496469.1029"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485496469.103" hidden="1">"'7295',&amp;#xD;&amp;#xA;'MFPR01007296',&amp;#xD;&amp;#xA;'MFPR01007297',&amp;#xD;&amp;#xA;'MFPR01007298',&amp;#xD;&amp;#xA;'MFPR01007299',&amp;#xD;&amp;#xA;'MFPR01007300',&amp;#xD;&amp;#xA;'MFPR01007301',&amp;#xD;&amp;#xA;'MFPR01007302',&amp;#xD;&amp;#xA;'MFPR01007303',&amp;#xD;&amp;#xA;'MFPR01007304',&amp;#xD;&amp;#xA;'MFPR01007'"</definedName>
    <definedName name="_AMO_ContentDefinition_485496469.1030" hidden="1">"'ddQuotes&amp;amp;gt;&amp;amp;lt;DateFormat&amp;amp;gt;None&amp;amp;lt;/DateFormat&amp;amp;gt;&amp;amp;lt;RightHandSideExpression&amp;amp;gt;MFPR01006716&amp;amp;lt;/RightHandSideExpression&amp;amp;gt;&amp;amp;lt;IsSubquery&amp;amp;gt;False&amp;amp;lt;/IsSubquery&amp;amp;gt;&amp;amp;lt;SubqueryTemplateName '"</definedName>
    <definedName name="_AMO_ContentDefinition_485496469.1031"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485496469.1032" hidden="1">"'ssion&amp;amp;gt;MFPR01006717&amp;amp;lt;/RightHandSideExpression&amp;amp;gt;&amp;amp;lt;IsSubquery&amp;amp;gt;False&amp;amp;lt;/IsSubquery&amp;amp;gt;&amp;amp;lt;SubqueryTemplateName /&amp;amp;gt;&amp;amp;lt;/RHSItem&amp;amp;gt;&amp;amp;lt;RHSItem&amp;amp;gt;&amp;amp;lt;RHSType&amp;amp;gt;EXPRESSION&amp;amp;lt;/R'"</definedName>
    <definedName name="_AMO_ContentDefinition_485496469.1033" hidden="1">"'HSType&amp;amp;gt;&amp;amp;lt;AddQuotes&amp;amp;gt;True&amp;amp;lt;/AddQuotes&amp;amp;gt;&amp;amp;lt;DateFormat&amp;amp;gt;None&amp;amp;lt;/DateFormat&amp;amp;gt;&amp;amp;lt;RightHandSideExpression&amp;amp;gt;MFPR01006718&amp;amp;lt;/RightHandSideExpression&amp;amp;gt;&amp;amp;lt;IsSubquery&amp;amp;gt;False&amp;am'"</definedName>
    <definedName name="_AMO_ContentDefinition_485496469.1034"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485496469.1035" hidden="1">"'&amp;amp;lt;/DateFormat&amp;amp;gt;&amp;amp;lt;RightHandSideExpression&amp;amp;gt;MFPR01006719&amp;amp;lt;/RightHandSideExpression&amp;amp;gt;&amp;amp;lt;IsSubquery&amp;amp;gt;False&amp;amp;lt;/IsSubquery&amp;amp;gt;&amp;amp;lt;SubqueryTemplateName /&amp;amp;gt;&amp;amp;lt;/RHSItem&amp;amp;gt;&amp;amp;lt;RHSIt'"</definedName>
    <definedName name="_AMO_ContentDefinition_485496469.1036" hidden="1">"'em&amp;amp;gt;&amp;amp;lt;RHSType&amp;amp;gt;EXPRESSION&amp;amp;lt;/RHSType&amp;amp;gt;&amp;amp;lt;AddQuotes&amp;amp;gt;True&amp;amp;lt;/AddQuotes&amp;amp;gt;&amp;amp;lt;DateFormat&amp;amp;gt;None&amp;amp;lt;/DateFormat&amp;amp;gt;&amp;amp;lt;RightHandSideExpression&amp;amp;gt;MFPR01006720&amp;amp;lt;/RightHandSid'"</definedName>
    <definedName name="_AMO_ContentDefinition_485496469.1037"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485496469.1038" hidden="1">"'p;lt;/AddQuotes&amp;amp;gt;&amp;amp;lt;DateFormat&amp;amp;gt;None&amp;amp;lt;/DateFormat&amp;amp;gt;&amp;amp;lt;RightHandSideExpression&amp;amp;gt;MFPR01006721&amp;amp;lt;/RightHandSideExpression&amp;amp;gt;&amp;amp;lt;IsSubquery&amp;amp;gt;False&amp;amp;lt;/IsSubquery&amp;amp;gt;&amp;amp;lt;SubqueryTempla'"</definedName>
    <definedName name="_AMO_ContentDefinition_485496469.1039"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485496469.104" hidden="1">"'305',&amp;#xD;&amp;#xA;'MFPR01007306',&amp;#xD;&amp;#xA;'MFPR01007307',&amp;#xD;&amp;#xA;'MFPR01007308',&amp;#xD;&amp;#xA;'MFPR01007309',&amp;#xD;&amp;#xA;'MFPR01007310',&amp;#xD;&amp;#xA;'MFPR01007311',&amp;#xD;&amp;#xA;'MFPR01007312',&amp;#xD;&amp;#xA;'MFPR01007313',&amp;#xD;&amp;#xA;'MFPR01007314',&amp;#xD;&amp;#xA;'MFPR010073'"</definedName>
    <definedName name="_AMO_ContentDefinition_485496469.1040" hidden="1">"'deExpression&amp;amp;gt;MFPR01006722&amp;amp;lt;/RightHandSideExpression&amp;amp;gt;&amp;amp;lt;IsSubquery&amp;amp;gt;False&amp;amp;lt;/IsSubquery&amp;amp;gt;&amp;amp;lt;SubqueryTemplateName /&amp;amp;gt;&amp;amp;lt;/RHSItem&amp;amp;gt;&amp;amp;lt;RHSItem&amp;amp;gt;&amp;amp;lt;RHSType&amp;amp;gt;EXPRESSION&amp;am'"</definedName>
    <definedName name="_AMO_ContentDefinition_485496469.1041" hidden="1">"'p;lt;/RHSType&amp;amp;gt;&amp;amp;lt;AddQuotes&amp;amp;gt;True&amp;amp;lt;/AddQuotes&amp;amp;gt;&amp;amp;lt;DateFormat&amp;amp;gt;None&amp;amp;lt;/DateFormat&amp;amp;gt;&amp;amp;lt;RightHandSideExpression&amp;amp;gt;MFPR01006723&amp;amp;lt;/RightHandSideExpression&amp;amp;gt;&amp;amp;lt;IsSubquery&amp;amp;gt;F'"</definedName>
    <definedName name="_AMO_ContentDefinition_485496469.1042"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1043" hidden="1">"'gt;None&amp;amp;lt;/DateFormat&amp;amp;gt;&amp;amp;lt;RightHandSideExpression&amp;amp;gt;MFPR01006724&amp;amp;lt;/RightHandSideExpression&amp;amp;gt;&amp;amp;lt;IsSubquery&amp;amp;gt;False&amp;amp;lt;/IsSubquery&amp;amp;gt;&amp;amp;lt;SubqueryTemplateName /&amp;amp;gt;&amp;amp;lt;/RHSItem&amp;amp;gt;&amp;amp;l'"</definedName>
    <definedName name="_AMO_ContentDefinition_485496469.1044" hidden="1">"'t;RHSItem&amp;amp;gt;&amp;amp;lt;RHSType&amp;amp;gt;EXPRESSION&amp;amp;lt;/RHSType&amp;amp;gt;&amp;amp;lt;AddQuotes&amp;amp;gt;True&amp;amp;lt;/AddQuotes&amp;amp;gt;&amp;amp;lt;DateFormat&amp;amp;gt;None&amp;amp;lt;/DateFormat&amp;amp;gt;&amp;amp;lt;RightHandSideExpression&amp;amp;gt;MFPR01006725&amp;amp;lt;/Right'"</definedName>
    <definedName name="_AMO_ContentDefinition_485496469.1045"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1046" hidden="1">"'True&amp;amp;lt;/AddQuotes&amp;amp;gt;&amp;amp;lt;DateFormat&amp;amp;gt;None&amp;amp;lt;/DateFormat&amp;amp;gt;&amp;amp;lt;RightHandSideExpression&amp;amp;gt;MFPR01006726&amp;amp;lt;/RightHandSideExpression&amp;amp;gt;&amp;amp;lt;IsSubquery&amp;amp;gt;False&amp;amp;lt;/IsSubquery&amp;amp;gt;&amp;amp;lt;Subquer'"</definedName>
    <definedName name="_AMO_ContentDefinition_485496469.1047"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485496469.1048" hidden="1">"'tHandSideExpression&amp;amp;gt;MFPR01006727&amp;amp;lt;/RightHandSideExpression&amp;amp;gt;&amp;amp;lt;IsSubquery&amp;amp;gt;False&amp;amp;lt;/IsSubquery&amp;amp;gt;&amp;amp;lt;SubqueryTemplateName /&amp;amp;gt;&amp;amp;lt;/RHSItem&amp;amp;gt;&amp;amp;lt;RHSItem&amp;amp;gt;&amp;amp;lt;RHSType&amp;amp;gt;EXPRES'"</definedName>
    <definedName name="_AMO_ContentDefinition_485496469.1049" hidden="1">"'SION&amp;amp;lt;/RHSType&amp;amp;gt;&amp;amp;lt;AddQuotes&amp;amp;gt;True&amp;amp;lt;/AddQuotes&amp;amp;gt;&amp;amp;lt;DateFormat&amp;amp;gt;None&amp;amp;lt;/DateFormat&amp;amp;gt;&amp;amp;lt;RightHandSideExpression&amp;amp;gt;MFPR01006728&amp;amp;lt;/RightHandSideExpression&amp;amp;gt;&amp;amp;lt;IsSubquery&amp;a'"</definedName>
    <definedName name="_AMO_ContentDefinition_485496469.105" hidden="1">"'15',&amp;#xD;&amp;#xA;'MFPR01007316',&amp;#xD;&amp;#xA;'MFPR01007317',&amp;#xD;&amp;#xA;'MFPR01007318',&amp;#xD;&amp;#xA;'MFPR01007319',&amp;#xD;&amp;#xA;'MFPR01007320',&amp;#xD;&amp;#xA;'MFPR01007321',&amp;#xD;&amp;#xA;'MFPR01007322',&amp;#xD;&amp;#xA;'MFPR01007323',&amp;#xD;&amp;#xA;'MFPR01007324',&amp;#xD;&amp;#xA;'MFPR0100732'"</definedName>
    <definedName name="_AMO_ContentDefinition_485496469.1050"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485496469.1051" hidden="1">"'at&amp;amp;gt;None&amp;amp;lt;/DateFormat&amp;amp;gt;&amp;amp;lt;RightHandSideExpression&amp;amp;gt;MFPR01006729&amp;amp;lt;/RightHandSideExpression&amp;amp;gt;&amp;amp;lt;IsSubquery&amp;amp;gt;False&amp;amp;lt;/IsSubquery&amp;amp;gt;&amp;amp;lt;SubqueryTemplateName /&amp;amp;gt;&amp;amp;lt;/RHSItem&amp;amp;gt'"</definedName>
    <definedName name="_AMO_ContentDefinition_485496469.1052" hidden="1">"';&amp;amp;lt;RHSItem&amp;amp;gt;&amp;amp;lt;RHSType&amp;amp;gt;EXPRESSION&amp;amp;lt;/RHSType&amp;amp;gt;&amp;amp;lt;AddQuotes&amp;amp;gt;True&amp;amp;lt;/AddQuotes&amp;amp;gt;&amp;amp;lt;DateFormat&amp;amp;gt;None&amp;amp;lt;/DateFormat&amp;amp;gt;&amp;amp;lt;RightHandSideExpression&amp;amp;gt;MFPR01006730&amp;amp;lt'"</definedName>
    <definedName name="_AMO_ContentDefinition_485496469.1053"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485496469.1054" hidden="1">"'amp;gt;True&amp;amp;lt;/AddQuotes&amp;amp;gt;&amp;amp;lt;DateFormat&amp;amp;gt;None&amp;amp;lt;/DateFormat&amp;amp;gt;&amp;amp;lt;RightHandSideExpression&amp;amp;gt;MFPR01006731&amp;amp;lt;/RightHandSideExpression&amp;amp;gt;&amp;amp;lt;IsSubquery&amp;amp;gt;False&amp;amp;lt;/IsSubquery&amp;amp;gt;&amp;amp;lt;'"</definedName>
    <definedName name="_AMO_ContentDefinition_485496469.1055"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1056" hidden="1">"'lt;RightHandSideExpression&amp;amp;gt;MFPR01006732&amp;amp;lt;/RightHandSideExpression&amp;amp;gt;&amp;amp;lt;IsSubquery&amp;amp;gt;False&amp;amp;lt;/IsSubquery&amp;amp;gt;&amp;amp;lt;SubqueryTemplateName /&amp;amp;gt;&amp;amp;lt;/RHSItem&amp;amp;gt;&amp;amp;lt;RHSItem&amp;amp;gt;&amp;amp;lt;RHSType&amp;amp;gt'"</definedName>
    <definedName name="_AMO_ContentDefinition_485496469.1057" hidden="1">"';EXPRESSION&amp;amp;lt;/RHSType&amp;amp;gt;&amp;amp;lt;AddQuotes&amp;amp;gt;True&amp;amp;lt;/AddQuotes&amp;amp;gt;&amp;amp;lt;DateFormat&amp;amp;gt;None&amp;amp;lt;/DateFormat&amp;amp;gt;&amp;amp;lt;RightHandSideExpression&amp;amp;gt;MFPR01006733&amp;amp;lt;/RightHandSideExpression&amp;amp;gt;&amp;amp;lt;IsSub'"</definedName>
    <definedName name="_AMO_ContentDefinition_485496469.1058"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485496469.1059" hidden="1">"'ateFormat&amp;amp;gt;None&amp;amp;lt;/DateFormat&amp;amp;gt;&amp;amp;lt;RightHandSideExpression&amp;amp;gt;MFPR01006734&amp;amp;lt;/RightHandSideExpression&amp;amp;gt;&amp;amp;lt;IsSubquery&amp;amp;gt;False&amp;amp;lt;/IsSubquery&amp;amp;gt;&amp;amp;lt;SubqueryTemplateName /&amp;amp;gt;&amp;amp;lt;/RHSItem'"</definedName>
    <definedName name="_AMO_ContentDefinition_485496469.106" hidden="1">"'5',&amp;#xD;&amp;#xA;'MFPR01007326',&amp;#xD;&amp;#xA;'MFPR01007327',&amp;#xD;&amp;#xA;'MFPR01007328',&amp;#xD;&amp;#xA;'MFPR01007329',&amp;#xD;&amp;#xA;'MFPR01007330',&amp;#xD;&amp;#xA;'MFPR01007331',&amp;#xD;&amp;#xA;'MFPR01007332',&amp;#xD;&amp;#xA;'MFPR01007333',&amp;#xD;&amp;#xA;'MFPR01007334',&amp;#xD;&amp;#xA;'MFPR01007335'"</definedName>
    <definedName name="_AMO_ContentDefinition_485496469.1060" hidden="1">"'&amp;amp;gt;&amp;amp;lt;RHSItem&amp;amp;gt;&amp;amp;lt;RHSType&amp;amp;gt;EXPRESSION&amp;amp;lt;/RHSType&amp;amp;gt;&amp;amp;lt;AddQuotes&amp;amp;gt;True&amp;amp;lt;/AddQuotes&amp;amp;gt;&amp;amp;lt;DateFormat&amp;amp;gt;None&amp;amp;lt;/DateFormat&amp;amp;gt;&amp;amp;lt;RightHandSideExpression&amp;amp;gt;MFPR01006735'"</definedName>
    <definedName name="_AMO_ContentDefinition_485496469.1061"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485496469.1062" hidden="1">"'Quotes&amp;amp;gt;True&amp;amp;lt;/AddQuotes&amp;amp;gt;&amp;amp;lt;DateFormat&amp;amp;gt;None&amp;amp;lt;/DateFormat&amp;amp;gt;&amp;amp;lt;RightHandSideExpression&amp;amp;gt;MFPR01006736&amp;amp;lt;/RightHandSideExpression&amp;amp;gt;&amp;amp;lt;IsSubquery&amp;amp;gt;False&amp;amp;lt;/IsSubquery&amp;amp;gt;&amp;'"</definedName>
    <definedName name="_AMO_ContentDefinition_485496469.1063"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485496469.1064" hidden="1">"'t;&amp;amp;lt;RightHandSideExpression&amp;amp;gt;MFPR01006737&amp;amp;lt;/RightHandSideExpression&amp;amp;gt;&amp;amp;lt;IsSubquery&amp;amp;gt;False&amp;amp;lt;/IsSubquery&amp;amp;gt;&amp;amp;lt;SubqueryTemplateName /&amp;amp;gt;&amp;amp;lt;/RHSItem&amp;amp;gt;&amp;amp;lt;RHSItem&amp;amp;gt;&amp;amp;lt;RHSType'"</definedName>
    <definedName name="_AMO_ContentDefinition_485496469.1065" hidden="1">"'&amp;amp;gt;EXPRESSION&amp;amp;lt;/RHSType&amp;amp;gt;&amp;amp;lt;AddQuotes&amp;amp;gt;True&amp;amp;lt;/AddQuotes&amp;amp;gt;&amp;amp;lt;DateFormat&amp;amp;gt;None&amp;amp;lt;/DateFormat&amp;amp;gt;&amp;amp;lt;RightHandSideExpression&amp;amp;gt;MFPR01006738&amp;amp;lt;/RightHandSideExpression&amp;amp;gt;&amp;amp;l'"</definedName>
    <definedName name="_AMO_ContentDefinition_485496469.1066"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485496469.1067" hidden="1">"'mp;lt;DateFormat&amp;amp;gt;None&amp;amp;lt;/DateFormat&amp;amp;gt;&amp;amp;lt;RightHandSideExpression&amp;amp;gt;MFPR01006739&amp;amp;lt;/RightHandSideExpression&amp;amp;gt;&amp;amp;lt;IsSubquery&amp;amp;gt;False&amp;amp;lt;/IsSubquery&amp;amp;gt;&amp;amp;lt;SubqueryTemplateName /&amp;amp;gt;&amp;amp;lt;/'"</definedName>
    <definedName name="_AMO_ContentDefinition_485496469.1068" hidden="1">"'RHSItem&amp;amp;gt;&amp;amp;lt;RHSItem&amp;amp;gt;&amp;amp;lt;RHSType&amp;amp;gt;EXPRESSION&amp;amp;lt;/RHSType&amp;amp;gt;&amp;amp;lt;AddQuotes&amp;amp;gt;True&amp;amp;lt;/AddQuotes&amp;amp;gt;&amp;amp;lt;DateFormat&amp;amp;gt;None&amp;amp;lt;/DateFormat&amp;amp;gt;&amp;amp;lt;RightHandSideExpression&amp;amp;gt;MFPR0'"</definedName>
    <definedName name="_AMO_ContentDefinition_485496469.1069" hidden="1">"'1006740&amp;amp;lt;/RightHandSideExpression&amp;amp;gt;&amp;amp;lt;IsSubquery&amp;amp;gt;False&amp;amp;lt;/IsSubquery&amp;amp;gt;&amp;amp;lt;SubqueryTemplateName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107" hidden="1">"'',&amp;#xD;&amp;#xA;'MFPR01007336',&amp;#xD;&amp;#xA;'MFPR01007337',&amp;#xD;&amp;#xA;'MFPR01007338',&amp;#xD;&amp;#xA;'MFPR01007339',&amp;#xD;&amp;#xA;'MFPR01007340',&amp;#xD;&amp;#xA;'MFPR01007341',&amp;#xD;&amp;#xA;'MFPR01007342',&amp;#xD;&amp;#xA;'MFPR01007343',&amp;#xD;&amp;#xA;'MFPR01007344',&amp;#xD;&amp;#xA;'MFPR01007345''"</definedName>
    <definedName name="_AMO_ContentDefinition_485496469.1070" hidden="1">"';lt;AddQuotes&amp;amp;gt;True&amp;amp;lt;/AddQuotes&amp;amp;gt;&amp;amp;lt;DateFormat&amp;amp;gt;None&amp;amp;lt;/DateFormat&amp;amp;gt;&amp;amp;lt;RightHandSideExpression&amp;amp;gt;MFPR01006741&amp;amp;lt;/RightHandSideExpression&amp;amp;gt;&amp;amp;lt;IsSubquery&amp;amp;gt;False&amp;amp;lt;/IsSubquery&amp;a'"</definedName>
    <definedName name="_AMO_ContentDefinition_485496469.1071"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485496469.1072" hidden="1">"'t&amp;amp;gt;&amp;amp;lt;RightHandSideExpression&amp;amp;gt;MFPR01006742&amp;amp;lt;/RightHandSideExpression&amp;amp;gt;&amp;amp;lt;IsSubquery&amp;amp;gt;False&amp;amp;lt;/IsSubquery&amp;amp;gt;&amp;amp;lt;SubqueryTemplateName /&amp;amp;gt;&amp;amp;lt;/RHSItem&amp;amp;gt;&amp;amp;lt;RHSItem&amp;amp;gt;&amp;amp;lt;'"</definedName>
    <definedName name="_AMO_ContentDefinition_485496469.1073" hidden="1">"'RHSType&amp;amp;gt;EXPRESSION&amp;amp;lt;/RHSType&amp;amp;gt;&amp;amp;lt;AddQuotes&amp;amp;gt;True&amp;amp;lt;/AddQuotes&amp;amp;gt;&amp;amp;lt;DateFormat&amp;amp;gt;None&amp;amp;lt;/DateFormat&amp;amp;gt;&amp;amp;lt;RightHandSideExpression&amp;amp;gt;MFPR01006743&amp;amp;lt;/RightHandSideExpression&amp;amp;gt'"</definedName>
    <definedName name="_AMO_ContentDefinition_485496469.1074"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485496469.1075" hidden="1">"'p;gt;&amp;amp;lt;DateFormat&amp;amp;gt;None&amp;amp;lt;/DateFormat&amp;amp;gt;&amp;amp;lt;RightHandSideExpression&amp;amp;gt;MFPR01006744&amp;amp;lt;/RightHandSideExpression&amp;amp;gt;&amp;amp;lt;IsSubquery&amp;amp;gt;False&amp;amp;lt;/IsSubquery&amp;amp;gt;&amp;amp;lt;SubqueryTemplateName /&amp;amp;gt;&amp;a'"</definedName>
    <definedName name="_AMO_ContentDefinition_485496469.1076" hidden="1">"'mp;lt;/RHSItem&amp;amp;gt;&amp;amp;lt;RHSItem&amp;amp;gt;&amp;amp;lt;RHSType&amp;amp;gt;EXPRESSION&amp;amp;lt;/RHSType&amp;amp;gt;&amp;amp;lt;AddQuotes&amp;amp;gt;True&amp;amp;lt;/AddQuotes&amp;amp;gt;&amp;amp;lt;DateFormat&amp;amp;gt;None&amp;amp;lt;/DateFormat&amp;amp;gt;&amp;amp;lt;RightHandSideExpression&amp;amp;g'"</definedName>
    <definedName name="_AMO_ContentDefinition_485496469.1077" hidden="1">"'t;MFPR01006745&amp;amp;lt;/RightHandSideExpression&amp;amp;gt;&amp;amp;lt;IsSubquery&amp;amp;gt;False&amp;amp;lt;/IsSubquery&amp;amp;gt;&amp;amp;lt;SubqueryTemplateName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1078" hidden="1">"'gt;&amp;amp;lt;AddQuotes&amp;amp;gt;True&amp;amp;lt;/AddQuotes&amp;amp;gt;&amp;amp;lt;DateFormat&amp;amp;gt;None&amp;amp;lt;/DateFormat&amp;amp;gt;&amp;amp;lt;RightHandSideExpression&amp;amp;gt;MFPR01006746&amp;amp;lt;/RightHandSideExpression&amp;amp;gt;&amp;amp;lt;IsSubquery&amp;amp;gt;False&amp;amp;lt;/IsSub'"</definedName>
    <definedName name="_AMO_ContentDefinition_485496469.1079"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485496469.108" hidden="1">"',&amp;#xD;&amp;#xA;'MFPR01007346',&amp;#xD;&amp;#xA;'MFPR01007347',&amp;#xD;&amp;#xA;'MFPR01007348',&amp;#xD;&amp;#xA;'MFPR01007349',&amp;#xD;&amp;#xA;'MFPR01007350',&amp;#xD;&amp;#xA;'MFPR01007351',&amp;#xD;&amp;#xA;'MFPR01007352',&amp;#xD;&amp;#xA;'MFPR01007353',&amp;#xD;&amp;#xA;'MFPR01007354',&amp;#xD;&amp;#xA;'MFPR01007355','"</definedName>
    <definedName name="_AMO_ContentDefinition_485496469.1080" hidden="1">"'teFormat&amp;amp;gt;&amp;amp;lt;RightHandSideExpression&amp;amp;gt;MFPR01006747&amp;amp;lt;/RightHandSideExpression&amp;amp;gt;&amp;amp;lt;IsSubquery&amp;amp;gt;False&amp;amp;lt;/IsSubquery&amp;amp;gt;&amp;amp;lt;SubqueryTemplateName /&amp;amp;gt;&amp;amp;lt;/RHSItem&amp;amp;gt;&amp;amp;lt;RHSItem&amp;amp;gt;&amp;'"</definedName>
    <definedName name="_AMO_ContentDefinition_485496469.1081" hidden="1">"'amp;lt;RHSType&amp;amp;gt;EXPRESSION&amp;amp;lt;/RHSType&amp;amp;gt;&amp;amp;lt;AddQuotes&amp;amp;gt;True&amp;amp;lt;/AddQuotes&amp;amp;gt;&amp;amp;lt;DateFormat&amp;amp;gt;None&amp;amp;lt;/DateFormat&amp;amp;gt;&amp;amp;lt;RightHandSideExpression&amp;amp;gt;MFPR01006748&amp;amp;lt;/RightHandSideExpression'"</definedName>
    <definedName name="_AMO_ContentDefinition_485496469.1082"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485496469.1083" hidden="1">"'otes&amp;amp;gt;&amp;amp;lt;DateFormat&amp;amp;gt;None&amp;amp;lt;/DateFormat&amp;amp;gt;&amp;amp;lt;RightHandSideExpression&amp;amp;gt;MFPR01006749&amp;amp;lt;/RightHandSideExpression&amp;amp;gt;&amp;amp;lt;IsSubquery&amp;amp;gt;False&amp;amp;lt;/IsSubquery&amp;amp;gt;&amp;amp;lt;SubqueryTemplateName /&amp;am'"</definedName>
    <definedName name="_AMO_ContentDefinition_485496469.1084"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485496469.1085" hidden="1">"'n&amp;amp;gt;MFPR01006750&amp;amp;lt;/RightHandSideExpression&amp;amp;gt;&amp;amp;lt;IsSubquery&amp;amp;gt;False&amp;amp;lt;/IsSubquery&amp;amp;gt;&amp;amp;lt;SubqueryTemplateName /&amp;amp;gt;&amp;amp;lt;/RHSItem&amp;amp;gt;&amp;amp;lt;RHSItem&amp;amp;gt;&amp;amp;lt;RHSType&amp;amp;gt;EXPRESSION&amp;amp;lt;/RHSTy'"</definedName>
    <definedName name="_AMO_ContentDefinition_485496469.1086" hidden="1">"'pe&amp;amp;gt;&amp;amp;lt;AddQuotes&amp;amp;gt;True&amp;amp;lt;/AddQuotes&amp;amp;gt;&amp;amp;lt;DateFormat&amp;amp;gt;None&amp;amp;lt;/DateFormat&amp;amp;gt;&amp;amp;lt;RightHandSideExpression&amp;amp;gt;MFPR01006751&amp;amp;lt;/RightHandSideExpression&amp;amp;gt;&amp;amp;lt;IsSubquery&amp;amp;gt;False&amp;amp;lt'"</definedName>
    <definedName name="_AMO_ContentDefinition_485496469.1087"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1088" hidden="1">"';lt;/DateFormat&amp;amp;gt;&amp;amp;lt;RightHandSideExpression&amp;amp;gt;MFPR01006752&amp;amp;lt;/RightHandSideExpression&amp;amp;gt;&amp;amp;lt;IsSubquery&amp;amp;gt;False&amp;amp;lt;/IsSubquery&amp;amp;gt;&amp;amp;lt;SubqueryTemplateName /&amp;amp;gt;&amp;amp;lt;/RHSItem&amp;amp;gt;&amp;amp;lt;RHSItem&amp;a'"</definedName>
    <definedName name="_AMO_ContentDefinition_485496469.1089" hidden="1">"'mp;gt;&amp;amp;lt;RHSType&amp;amp;gt;EXPRESSION&amp;amp;lt;/RHSType&amp;amp;gt;&amp;amp;lt;AddQuotes&amp;amp;gt;True&amp;amp;lt;/AddQuotes&amp;amp;gt;&amp;amp;lt;DateFormat&amp;amp;gt;None&amp;amp;lt;/DateFormat&amp;amp;gt;&amp;amp;lt;RightHandSideExpression&amp;amp;gt;MFPR01006753&amp;amp;lt;/RightHandSideExp'"</definedName>
    <definedName name="_AMO_ContentDefinition_485496469.109" hidden="1">"'&amp;#xD;&amp;#xA;'MFPR01007356',&amp;#xD;&amp;#xA;'MFPR01007357',&amp;#xD;&amp;#xA;'MFPR01007358',&amp;#xD;&amp;#xA;'MFPR01007359',&amp;#xD;&amp;#xA;'MFPR01007360',&amp;#xD;&amp;#xA;'MFPR01007361',&amp;#xD;&amp;#xA;'MFPR01007362',&amp;#xD;&amp;#xA;'MFPR01007363',&amp;#xD;&amp;#xA;'MFPR01007364',&amp;#xD;&amp;#xA;'MFPR01007365',&amp;'"</definedName>
    <definedName name="_AMO_ContentDefinition_485496469.1090"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1091" hidden="1">"';/AddQuotes&amp;amp;gt;&amp;amp;lt;DateFormat&amp;amp;gt;None&amp;amp;lt;/DateFormat&amp;amp;gt;&amp;amp;lt;RightHandSideExpression&amp;amp;gt;MFPR01006754&amp;amp;lt;/RightHandSideExpression&amp;amp;gt;&amp;amp;lt;IsSubquery&amp;amp;gt;False&amp;amp;lt;/IsSubquery&amp;amp;gt;&amp;amp;lt;SubqueryTemplateNa'"</definedName>
    <definedName name="_AMO_ContentDefinition_485496469.1092"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485496469.1093" hidden="1">"'pression&amp;amp;gt;MFPR01006755&amp;amp;lt;/RightHandSideExpression&amp;amp;gt;&amp;amp;lt;IsSubquery&amp;amp;gt;False&amp;amp;lt;/IsSubquery&amp;amp;gt;&amp;amp;lt;SubqueryTemplateName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1094" hidden="1">"';/RHSType&amp;amp;gt;&amp;amp;lt;AddQuotes&amp;amp;gt;True&amp;amp;lt;/AddQuotes&amp;amp;gt;&amp;amp;lt;DateFormat&amp;amp;gt;None&amp;amp;lt;/DateFormat&amp;amp;gt;&amp;amp;lt;RightHandSideExpression&amp;amp;gt;MFPR01006756&amp;amp;lt;/RightHandSideExpression&amp;amp;gt;&amp;amp;lt;IsSubquery&amp;amp;gt;False'"</definedName>
    <definedName name="_AMO_ContentDefinition_485496469.1095"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485496469.1096" hidden="1">"'one&amp;amp;lt;/DateFormat&amp;amp;gt;&amp;amp;lt;RightHandSideExpression&amp;amp;gt;MFPR01006757&amp;amp;lt;/RightHandSideExpression&amp;amp;gt;&amp;amp;lt;IsSubquery&amp;amp;gt;False&amp;amp;lt;/IsSubquery&amp;amp;gt;&amp;amp;lt;SubqueryTemplateName /&amp;amp;gt;&amp;amp;lt;/RHSItem&amp;amp;gt;&amp;amp;lt;RH'"</definedName>
    <definedName name="_AMO_ContentDefinition_485496469.1097" hidden="1">"'SItem&amp;amp;gt;&amp;amp;lt;RHSType&amp;amp;gt;EXPRESSION&amp;amp;lt;/RHSType&amp;amp;gt;&amp;amp;lt;AddQuotes&amp;amp;gt;True&amp;amp;lt;/AddQuotes&amp;amp;gt;&amp;amp;lt;DateFormat&amp;amp;gt;None&amp;amp;lt;/DateFormat&amp;amp;gt;&amp;amp;lt;RightHandSideExpression&amp;amp;gt;MFPR01006758&amp;amp;lt;/RightHand'"</definedName>
    <definedName name="_AMO_ContentDefinition_485496469.1098"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485496469.1099" hidden="1">"'&amp;amp;lt;/AddQuotes&amp;amp;gt;&amp;amp;lt;DateFormat&amp;amp;gt;None&amp;amp;lt;/DateFormat&amp;amp;gt;&amp;amp;lt;RightHandSideExpression&amp;amp;gt;MFPR01006759&amp;amp;lt;/RightHandSideExpression&amp;amp;gt;&amp;amp;lt;IsSubquery&amp;amp;gt;False&amp;amp;lt;/IsSubquery&amp;amp;gt;&amp;amp;lt;SubqueryTem'"</definedName>
    <definedName name="_AMO_ContentDefinition_485496469.11" hidden="1">"'xD;&amp;#xA;'MFMSUP000058',&amp;#xD;&amp;#xA;'MFMSUP000059',&amp;#xD;&amp;#xA;'MFMSUP000060',&amp;#xD;&amp;#xA;'MFMSUP000062',&amp;#xD;&amp;#xA;'MFMSUP000063',&amp;#xD;&amp;#xA;'MFMSUP000064',&amp;#xD;&amp;#xA;'MFMSUP000065',&amp;#xD;&amp;#xA;'MFMSUP000066',&amp;#xD;&amp;#xA;'MFMSUP000067',&amp;#xD;&amp;#xA;'MFMSUP000068',&amp;#x'"</definedName>
    <definedName name="_AMO_ContentDefinition_485496469.110" hidden="1">"'#xD;&amp;#xA;'MFPR01007366',&amp;#xD;&amp;#xA;'MFPR01007367',&amp;#xD;&amp;#xA;'MFPR01007368',&amp;#xD;&amp;#xA;'MFPR01007369',&amp;#xD;&amp;#xA;'MFPR01007370',&amp;#xD;&amp;#xA;'MFPR01007371',&amp;#xD;&amp;#xA;'MFPR01007372',&amp;#xD;&amp;#xA;'MFPR01007373',&amp;#xD;&amp;#xA;'MFPR01007374',&amp;#xD;&amp;#xA;'MFPR01007375',&amp;#'"</definedName>
    <definedName name="_AMO_ContentDefinition_485496469.1100"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485496469.1101" hidden="1">"'dSideExpression&amp;amp;gt;MFPR01006760&amp;amp;lt;/RightHandSideExpression&amp;amp;gt;&amp;amp;lt;IsSubquery&amp;amp;gt;False&amp;amp;lt;/IsSubquery&amp;amp;gt;&amp;amp;lt;SubqueryTemplateName /&amp;amp;gt;&amp;amp;lt;/RHSItem&amp;amp;gt;&amp;amp;lt;RHSItem&amp;amp;gt;&amp;amp;lt;RHSType&amp;amp;gt;EXPRESSION'"</definedName>
    <definedName name="_AMO_ContentDefinition_485496469.1102" hidden="1">"'&amp;amp;lt;/RHSType&amp;amp;gt;&amp;amp;lt;AddQuotes&amp;amp;gt;True&amp;amp;lt;/AddQuotes&amp;amp;gt;&amp;amp;lt;DateFormat&amp;amp;gt;None&amp;amp;lt;/DateFormat&amp;amp;gt;&amp;amp;lt;RightHandSideExpression&amp;amp;gt;MFPR01006761&amp;amp;lt;/RightHandSideExpression&amp;amp;gt;&amp;amp;lt;IsSubquery&amp;amp;g'"</definedName>
    <definedName name="_AMO_ContentDefinition_485496469.1103"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485496469.1104" hidden="1">"'mp;gt;None&amp;amp;lt;/DateFormat&amp;amp;gt;&amp;amp;lt;RightHandSideExpression&amp;amp;gt;MFPR01006762&amp;amp;lt;/RightHandSideExpression&amp;amp;gt;&amp;amp;lt;IsSubquery&amp;amp;gt;False&amp;amp;lt;/IsSubquery&amp;amp;gt;&amp;amp;lt;SubqueryTemplateName /&amp;amp;gt;&amp;amp;lt;/RHSItem&amp;amp;gt;&amp;am'"</definedName>
    <definedName name="_AMO_ContentDefinition_485496469.1105" hidden="1">"'p;lt;RHSItem&amp;amp;gt;&amp;amp;lt;RHSType&amp;amp;gt;EXPRESSION&amp;amp;lt;/RHSType&amp;amp;gt;&amp;amp;lt;AddQuotes&amp;amp;gt;True&amp;amp;lt;/AddQuotes&amp;amp;gt;&amp;amp;lt;DateFormat&amp;amp;gt;None&amp;amp;lt;/DateFormat&amp;amp;gt;&amp;amp;lt;RightHandSideExpression&amp;amp;gt;MFPR01006763&amp;amp;lt;/Ri'"</definedName>
    <definedName name="_AMO_ContentDefinition_485496469.1106"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1107" hidden="1">"'gt;True&amp;amp;lt;/AddQuotes&amp;amp;gt;&amp;amp;lt;DateFormat&amp;amp;gt;None&amp;amp;lt;/DateFormat&amp;amp;gt;&amp;amp;lt;RightHandSideExpression&amp;amp;gt;MFPR01006764&amp;amp;lt;/RightHandSideExpression&amp;amp;gt;&amp;amp;lt;IsSubquery&amp;amp;gt;False&amp;amp;lt;/IsSubquery&amp;amp;gt;&amp;amp;lt;Subq'"</definedName>
    <definedName name="_AMO_ContentDefinition_485496469.1108"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485496469.1109" hidden="1">"'ightHandSideExpression&amp;amp;gt;MFPR01006765&amp;amp;lt;/RightHandSideExpression&amp;amp;gt;&amp;amp;lt;IsSubquery&amp;amp;gt;False&amp;amp;lt;/IsSubquery&amp;amp;gt;&amp;amp;lt;SubqueryTemplateName /&amp;amp;gt;&amp;amp;lt;/RHSItem&amp;amp;gt;&amp;amp;lt;RHSItem&amp;amp;gt;&amp;amp;lt;RHSType&amp;amp;gt;EXP'"</definedName>
    <definedName name="_AMO_ContentDefinition_485496469.111" hidden="1">"'xD;&amp;#xA;'MFPR01007376',&amp;#xD;&amp;#xA;'MFPR01007377',&amp;#xD;&amp;#xA;'MFPR01007378',&amp;#xD;&amp;#xA;'MFPR01007379',&amp;#xD;&amp;#xA;'MFPR01007380',&amp;#xD;&amp;#xA;'MFPR01007381',&amp;#xD;&amp;#xA;'MFPR01007382',&amp;#xD;&amp;#xA;'MFPR01007383',&amp;#xD;&amp;#xA;'MFPR01007384',&amp;#xD;&amp;#xA;'MFPR01007385',&amp;#x'"</definedName>
    <definedName name="_AMO_ContentDefinition_485496469.1110" hidden="1">"'RESSION&amp;amp;lt;/RHSType&amp;amp;gt;&amp;amp;lt;AddQuotes&amp;amp;gt;True&amp;amp;lt;/AddQuotes&amp;amp;gt;&amp;amp;lt;DateFormat&amp;amp;gt;None&amp;amp;lt;/DateFormat&amp;amp;gt;&amp;amp;lt;RightHandSideExpression&amp;amp;gt;MFPR01006766&amp;amp;lt;/RightHandSideExpression&amp;amp;gt;&amp;amp;lt;IsSubquer'"</definedName>
    <definedName name="_AMO_ContentDefinition_485496469.1111"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485496469.1112" hidden="1">"'ormat&amp;amp;gt;None&amp;amp;lt;/DateFormat&amp;amp;gt;&amp;amp;lt;RightHandSideExpression&amp;amp;gt;MFPR01006767&amp;amp;lt;/RightHandSideExpression&amp;amp;gt;&amp;amp;lt;IsSubquery&amp;amp;gt;False&amp;amp;lt;/IsSubquery&amp;amp;gt;&amp;amp;lt;SubqueryTemplateName /&amp;amp;gt;&amp;amp;lt;/RHSItem&amp;amp'"</definedName>
    <definedName name="_AMO_ContentDefinition_485496469.1113" hidden="1">"';gt;&amp;amp;lt;RHSItem&amp;amp;gt;&amp;amp;lt;RHSType&amp;amp;gt;EXPRESSION&amp;amp;lt;/RHSType&amp;amp;gt;&amp;amp;lt;AddQuotes&amp;amp;gt;True&amp;amp;lt;/AddQuotes&amp;amp;gt;&amp;amp;lt;DateFormat&amp;amp;gt;None&amp;amp;lt;/DateFormat&amp;amp;gt;&amp;amp;lt;RightHandSideExpression&amp;amp;gt;MFPR01006768&amp;amp'"</definedName>
    <definedName name="_AMO_ContentDefinition_485496469.1114"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485496469.1115" hidden="1">"'es&amp;amp;gt;True&amp;amp;lt;/AddQuotes&amp;amp;gt;&amp;amp;lt;DateFormat&amp;amp;gt;None&amp;amp;lt;/DateFormat&amp;amp;gt;&amp;amp;lt;RightHandSideExpression&amp;amp;gt;MFPR01006769&amp;amp;lt;/RightHandSideExpression&amp;amp;gt;&amp;amp;lt;IsSubquery&amp;amp;gt;False&amp;amp;lt;/IsSubquery&amp;amp;gt;&amp;amp;'"</definedName>
    <definedName name="_AMO_ContentDefinition_485496469.1116"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485496469.1117" hidden="1">"'mp;lt;RightHandSideExpression&amp;amp;gt;MFPR01006770&amp;amp;lt;/RightHandSideExpression&amp;amp;gt;&amp;amp;lt;IsSubquery&amp;amp;gt;False&amp;amp;lt;/IsSubquery&amp;amp;gt;&amp;amp;lt;SubqueryTemplateName /&amp;amp;gt;&amp;amp;lt;/RHSItem&amp;amp;gt;&amp;amp;lt;RHSItem&amp;amp;gt;&amp;amp;lt;RHSType&amp;amp'"</definedName>
    <definedName name="_AMO_ContentDefinition_485496469.1118" hidden="1">"';gt;EXPRESSION&amp;amp;lt;/RHSType&amp;amp;gt;&amp;amp;lt;AddQuotes&amp;amp;gt;True&amp;amp;lt;/AddQuotes&amp;amp;gt;&amp;amp;lt;DateFormat&amp;amp;gt;None&amp;amp;lt;/DateFormat&amp;amp;gt;&amp;amp;lt;RightHandSideExpression&amp;amp;gt;MFPR01006771&amp;amp;lt;/RightHandSideExpression&amp;amp;gt;&amp;amp;lt;Is'"</definedName>
    <definedName name="_AMO_ContentDefinition_485496469.1119"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485496469.112" hidden="1">"'D;&amp;#xA;'MFPR01007386',&amp;#xD;&amp;#xA;'MFPR01007387',&amp;#xD;&amp;#xA;'MFPR01007388',&amp;#xD;&amp;#xA;'MFPR01007389',&amp;#xD;&amp;#xA;'MFPR01007390',&amp;#xD;&amp;#xA;'MFPR01007391',&amp;#xD;&amp;#xA;'MFPR01007392',&amp;#xD;&amp;#xA;'MFPR01007393',&amp;#xD;&amp;#xA;'MFPR01007394',&amp;#xD;&amp;#xA;'MFPR01007395',&amp;#xD'"</definedName>
    <definedName name="_AMO_ContentDefinition_485496469.1120" hidden="1">"'t;DateFormat&amp;amp;gt;None&amp;amp;lt;/DateFormat&amp;amp;gt;&amp;amp;lt;RightHandSideExpression&amp;amp;gt;MFPR01006772&amp;amp;lt;/RightHandSideExpression&amp;amp;gt;&amp;amp;lt;IsSubquery&amp;amp;gt;False&amp;amp;lt;/IsSubquery&amp;amp;gt;&amp;amp;lt;SubqueryTemplateName /&amp;amp;gt;&amp;amp;lt;/RHSI'"</definedName>
    <definedName name="_AMO_ContentDefinition_485496469.1121" hidden="1">"'tem&amp;amp;gt;&amp;amp;lt;RHSItem&amp;amp;gt;&amp;amp;lt;RHSType&amp;amp;gt;EXPRESSION&amp;amp;lt;/RHSType&amp;amp;gt;&amp;amp;lt;AddQuotes&amp;amp;gt;True&amp;amp;lt;/AddQuotes&amp;amp;gt;&amp;amp;lt;DateFormat&amp;amp;gt;None&amp;amp;lt;/DateFormat&amp;amp;gt;&amp;amp;lt;RightHandSideExpression&amp;amp;gt;MFPR01006'"</definedName>
    <definedName name="_AMO_ContentDefinition_485496469.1122" hidden="1">"'773&amp;amp;lt;/RightHandSideExpression&amp;amp;gt;&amp;amp;lt;IsSubquery&amp;amp;gt;False&amp;amp;lt;/IsSubquery&amp;amp;gt;&amp;amp;lt;SubqueryTemplateName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1123" hidden="1">"'AddQuotes&amp;amp;gt;True&amp;amp;lt;/AddQuotes&amp;amp;gt;&amp;amp;lt;DateFormat&amp;amp;gt;None&amp;amp;lt;/DateFormat&amp;amp;gt;&amp;amp;lt;RightHandSideExpression&amp;amp;gt;MFPR01006774&amp;amp;lt;/RightHandSideExpression&amp;amp;gt;&amp;amp;lt;IsSubquery&amp;amp;gt;False&amp;amp;lt;/IsSubquery&amp;amp;g'"</definedName>
    <definedName name="_AMO_ContentDefinition_485496469.1124"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485496469.1125" hidden="1">"'p;gt;&amp;amp;lt;RightHandSideExpression&amp;amp;gt;MFPR01006775&amp;amp;lt;/RightHandSideExpression&amp;amp;gt;&amp;amp;lt;IsSubquery&amp;amp;gt;False&amp;amp;lt;/IsSubquery&amp;amp;gt;&amp;amp;lt;SubqueryTemplateName /&amp;amp;gt;&amp;amp;lt;/RHSItem&amp;amp;gt;&amp;amp;lt;RHSItem&amp;amp;gt;&amp;amp;lt;RHST'"</definedName>
    <definedName name="_AMO_ContentDefinition_485496469.1126" hidden="1">"'ype&amp;amp;gt;EXPRESSION&amp;amp;lt;/RHSType&amp;amp;gt;&amp;amp;lt;AddQuotes&amp;amp;gt;True&amp;amp;lt;/AddQuotes&amp;amp;gt;&amp;amp;lt;DateFormat&amp;amp;gt;None&amp;amp;lt;/DateFormat&amp;amp;gt;&amp;amp;lt;RightHandSideExpression&amp;amp;gt;MFPR01006776&amp;amp;lt;/RightHandSideExpression&amp;amp;gt;&amp;am'"</definedName>
    <definedName name="_AMO_ContentDefinition_485496469.1127"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1128" hidden="1">"';&amp;amp;lt;DateFormat&amp;amp;gt;None&amp;amp;lt;/DateFormat&amp;amp;gt;&amp;amp;lt;RightHandSideExpression&amp;amp;gt;MFPR01006777&amp;amp;lt;/RightHandSideExpression&amp;amp;gt;&amp;amp;lt;IsSubquery&amp;amp;gt;False&amp;amp;lt;/IsSubquery&amp;amp;gt;&amp;amp;lt;SubqueryTemplateName /&amp;amp;gt;&amp;amp;l'"</definedName>
    <definedName name="_AMO_ContentDefinition_485496469.1129" hidden="1">"'t;/RHSItem&amp;amp;gt;&amp;amp;lt;RHSItem&amp;amp;gt;&amp;amp;lt;RHSType&amp;amp;gt;EXPRESSION&amp;amp;lt;/RHSType&amp;amp;gt;&amp;amp;lt;AddQuotes&amp;amp;gt;True&amp;amp;lt;/AddQuotes&amp;amp;gt;&amp;amp;lt;DateFormat&amp;amp;gt;None&amp;amp;lt;/DateFormat&amp;amp;gt;&amp;amp;lt;RightHandSideExpression&amp;amp;gt;MF'"</definedName>
    <definedName name="_AMO_ContentDefinition_485496469.113" hidden="1">"';&amp;#xA;'MFPR01007396',&amp;#xD;&amp;#xA;'MFPR01007397',&amp;#xD;&amp;#xA;'MFPR01007398',&amp;#xD;&amp;#xA;'MFPR01007399',&amp;#xD;&amp;#xA;'MFPR01007400',&amp;#xD;&amp;#xA;'MFPR01007401',&amp;#xD;&amp;#xA;'MFPR01007402',&amp;#xD;&amp;#xA;'MFPR01007403',&amp;#xD;&amp;#xA;'MFPR01007404',&amp;#xD;&amp;#xA;'MFPR01007405',&amp;#xD;'"</definedName>
    <definedName name="_AMO_ContentDefinition_485496469.1130" hidden="1">"'PR01006778&amp;amp;lt;/RightHandSideExpression&amp;amp;gt;&amp;amp;lt;IsSubquery&amp;amp;gt;False&amp;amp;lt;/IsSubquery&amp;amp;gt;&amp;amp;lt;SubqueryTemplateName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485496469.1131" hidden="1">"'amp;lt;AddQuotes&amp;amp;gt;True&amp;amp;lt;/AddQuotes&amp;amp;gt;&amp;amp;lt;DateFormat&amp;amp;gt;None&amp;amp;lt;/DateFormat&amp;amp;gt;&amp;amp;lt;RightHandSideExpression&amp;amp;gt;MFPR01006779&amp;amp;lt;/RightHandSideExpression&amp;amp;gt;&amp;amp;lt;IsSubquery&amp;amp;gt;False&amp;amp;lt;/IsSubquer'"</definedName>
    <definedName name="_AMO_ContentDefinition_485496469.1132"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485496469.1133" hidden="1">"'rmat&amp;amp;gt;&amp;amp;lt;RightHandSideExpression&amp;amp;gt;MFPR01006780&amp;amp;lt;/RightHandSideExpression&amp;amp;gt;&amp;amp;lt;IsSubquery&amp;amp;gt;False&amp;amp;lt;/IsSubquery&amp;amp;gt;&amp;amp;lt;SubqueryTemplateName /&amp;amp;gt;&amp;amp;lt;/RHSItem&amp;amp;gt;&amp;amp;lt;RHSItem&amp;amp;gt;&amp;amp;'"</definedName>
    <definedName name="_AMO_ContentDefinition_485496469.1134" hidden="1">"'lt;RHSType&amp;amp;gt;EXPRESSION&amp;amp;lt;/RHSType&amp;amp;gt;&amp;amp;lt;AddQuotes&amp;amp;gt;True&amp;amp;lt;/AddQuotes&amp;amp;gt;&amp;amp;lt;DateFormat&amp;amp;gt;None&amp;amp;lt;/DateFormat&amp;amp;gt;&amp;amp;lt;RightHandSideExpression&amp;amp;gt;MFPR01006781&amp;amp;lt;/RightHandSideExpression&amp;amp'"</definedName>
    <definedName name="_AMO_ContentDefinition_485496469.1135"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485496469.1136" hidden="1">"'&amp;amp;gt;&amp;amp;lt;DateFormat&amp;amp;gt;None&amp;amp;lt;/DateFormat&amp;amp;gt;&amp;amp;lt;RightHandSideExpression&amp;amp;gt;MFPR01006782&amp;amp;lt;/RightHandSideExpression&amp;amp;gt;&amp;amp;lt;IsSubquery&amp;amp;gt;False&amp;amp;lt;/IsSubquery&amp;amp;gt;&amp;amp;lt;SubqueryTemplateName /&amp;amp;gt'"</definedName>
    <definedName name="_AMO_ContentDefinition_485496469.1137" hidden="1">"';&amp;amp;lt;/RHSItem&amp;amp;gt;&amp;amp;lt;RHSItem&amp;amp;gt;&amp;amp;lt;RHSType&amp;amp;gt;EXPRESSION&amp;amp;lt;/RHSType&amp;amp;gt;&amp;amp;lt;AddQuotes&amp;amp;gt;True&amp;amp;lt;/AddQuotes&amp;amp;gt;&amp;amp;lt;DateFormat&amp;amp;gt;None&amp;amp;lt;/DateFormat&amp;amp;gt;&amp;amp;lt;RightHandSideExpression&amp;am'"</definedName>
    <definedName name="_AMO_ContentDefinition_485496469.1138" hidden="1">"'p;gt;MFPR01006783&amp;amp;lt;/RightHandSideExpression&amp;amp;gt;&amp;amp;lt;IsSubquery&amp;amp;gt;False&amp;amp;lt;/IsSubquery&amp;amp;gt;&amp;amp;lt;SubqueryTemplateName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485496469.1139" hidden="1">"'mp;gt;&amp;amp;lt;AddQuotes&amp;amp;gt;True&amp;amp;lt;/AddQuotes&amp;amp;gt;&amp;amp;lt;DateFormat&amp;amp;gt;None&amp;amp;lt;/DateFormat&amp;amp;gt;&amp;amp;lt;RightHandSideExpression&amp;amp;gt;MFPR01006784&amp;amp;lt;/RightHandSideExpression&amp;amp;gt;&amp;amp;lt;IsSubquery&amp;amp;gt;False&amp;amp;lt;/Is'"</definedName>
    <definedName name="_AMO_ContentDefinition_485496469.114" hidden="1">"'&amp;#xA;'MFPR01007406',&amp;#xD;&amp;#xA;'MFPR01007407',&amp;#xD;&amp;#xA;'MFPR01007408',&amp;#xD;&amp;#xA;'MFPR01007409',&amp;#xD;&amp;#xA;'MFPR01007410',&amp;#xD;&amp;#xA;'MFPR01007411',&amp;#xD;&amp;#xA;'MFPR01007412',&amp;#xD;&amp;#xA;'MFPR01007413',&amp;#xD;&amp;#xA;'MFPR01007414',&amp;#xD;&amp;#xA;'MFPR01007415',&amp;#xD;&amp;'"</definedName>
    <definedName name="_AMO_ContentDefinition_485496469.1140"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1141" hidden="1">"'/DateFormat&amp;amp;gt;&amp;amp;lt;RightHandSideExpression&amp;amp;gt;MFPR01006785&amp;amp;lt;/RightHandSideExpression&amp;amp;gt;&amp;amp;lt;IsSubquery&amp;amp;gt;False&amp;amp;lt;/IsSubquery&amp;amp;gt;&amp;amp;lt;SubqueryTemplateName /&amp;amp;gt;&amp;amp;lt;/RHSItem&amp;amp;gt;&amp;amp;lt;RHSItem&amp;amp;g'"</definedName>
    <definedName name="_AMO_ContentDefinition_485496469.1142" hidden="1">"'t;&amp;amp;lt;RHSType&amp;amp;gt;EXPRESSION&amp;amp;lt;/RHSType&amp;amp;gt;&amp;amp;lt;AddQuotes&amp;amp;gt;True&amp;amp;lt;/AddQuotes&amp;amp;gt;&amp;amp;lt;DateFormat&amp;amp;gt;None&amp;amp;lt;/DateFormat&amp;amp;gt;&amp;amp;lt;RightHandSideExpression&amp;amp;gt;MFPR01006786&amp;amp;lt;/RightHandSideExpress'"</definedName>
    <definedName name="_AMO_ContentDefinition_485496469.1143"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485496469.1144" hidden="1">"'dQuotes&amp;amp;gt;&amp;amp;lt;DateFormat&amp;amp;gt;None&amp;amp;lt;/DateFormat&amp;amp;gt;&amp;amp;lt;RightHandSideExpression&amp;amp;gt;MFPR01006787&amp;amp;lt;/RightHandSideExpression&amp;amp;gt;&amp;amp;lt;IsSubquery&amp;amp;gt;False&amp;amp;lt;/IsSubquery&amp;amp;gt;&amp;amp;lt;SubqueryTemplateName /'"</definedName>
    <definedName name="_AMO_ContentDefinition_485496469.1145"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485496469.1146" hidden="1">"'sion&amp;amp;gt;MFPR01006788&amp;amp;lt;/RightHandSideExpression&amp;amp;gt;&amp;amp;lt;IsSubquery&amp;amp;gt;False&amp;amp;lt;/IsSubquery&amp;amp;gt;&amp;amp;lt;SubqueryTemplateName /&amp;amp;gt;&amp;amp;lt;/RHSItem&amp;amp;gt;&amp;amp;lt;RHSItem&amp;amp;gt;&amp;amp;lt;RHSType&amp;amp;gt;EXPRESSION&amp;amp;lt;/RH'"</definedName>
    <definedName name="_AMO_ContentDefinition_485496469.1147" hidden="1">"'SType&amp;amp;gt;&amp;amp;lt;AddQuotes&amp;amp;gt;True&amp;amp;lt;/AddQuotes&amp;amp;gt;&amp;amp;lt;DateFormat&amp;amp;gt;None&amp;amp;lt;/DateFormat&amp;amp;gt;&amp;amp;lt;RightHandSideExpression&amp;amp;gt;MFPR01006789&amp;amp;lt;/RightHandSideExpression&amp;amp;gt;&amp;amp;lt;IsSubquery&amp;amp;gt;False&amp;amp'"</definedName>
    <definedName name="_AMO_ContentDefinition_485496469.1148"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485496469.1149" hidden="1">"'amp;lt;/DateFormat&amp;amp;gt;&amp;amp;lt;RightHandSideExpression&amp;amp;gt;MFPR01006790&amp;amp;lt;/RightHandSideExpression&amp;amp;gt;&amp;amp;lt;IsSubquery&amp;amp;gt;False&amp;amp;lt;/IsSubquery&amp;amp;gt;&amp;amp;lt;SubqueryTemplateName /&amp;amp;gt;&amp;amp;lt;/RHSItem&amp;amp;gt;&amp;amp;lt;RHSIte'"</definedName>
    <definedName name="_AMO_ContentDefinition_485496469.115" hidden="1">"'#xA;'MFPR01007416',&amp;#xD;&amp;#xA;'MFPR01007417',&amp;#xD;&amp;#xA;'MFPR01007418',&amp;#xD;&amp;#xA;'MFPR01007419',&amp;#xD;&amp;#xA;'MFPR01007420',&amp;#xD;&amp;#xA;'MFPR01007421',&amp;#xD;&amp;#xA;'MFPR01007422',&amp;#xD;&amp;#xA;'MFPR01007423',&amp;#xD;&amp;#xA;'MFPR01007424',&amp;#xD;&amp;#xA;'MFPR01007425',&amp;#xD;&amp;#'"</definedName>
    <definedName name="_AMO_ContentDefinition_485496469.1150" hidden="1">"'m&amp;amp;gt;&amp;amp;lt;RHSType&amp;amp;gt;EXPRESSION&amp;amp;lt;/RHSType&amp;amp;gt;&amp;amp;lt;AddQuotes&amp;amp;gt;True&amp;amp;lt;/AddQuotes&amp;amp;gt;&amp;amp;lt;DateFormat&amp;amp;gt;None&amp;amp;lt;/DateFormat&amp;amp;gt;&amp;amp;lt;RightHandSideExpression&amp;amp;gt;MFPR01006791&amp;amp;lt;/RightHandSide'"</definedName>
    <definedName name="_AMO_ContentDefinition_485496469.1151"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1152" hidden="1">"';lt;/AddQuotes&amp;amp;gt;&amp;amp;lt;DateFormat&amp;amp;gt;None&amp;amp;lt;/DateFormat&amp;amp;gt;&amp;amp;lt;RightHandSideExpression&amp;amp;gt;MFPR01006792&amp;amp;lt;/RightHandSideExpression&amp;amp;gt;&amp;amp;lt;IsSubquery&amp;amp;gt;False&amp;amp;lt;/IsSubquery&amp;amp;gt;&amp;amp;lt;SubqueryTemplat'"</definedName>
    <definedName name="_AMO_ContentDefinition_485496469.1153"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485496469.1154" hidden="1">"'eExpression&amp;amp;gt;MFPR01006793&amp;amp;lt;/RightHandSideExpression&amp;amp;gt;&amp;amp;lt;IsSubquery&amp;amp;gt;False&amp;amp;lt;/IsSubquery&amp;amp;gt;&amp;amp;lt;SubqueryTemplateName /&amp;amp;gt;&amp;amp;lt;/RHSItem&amp;amp;gt;&amp;amp;lt;RHSItem&amp;amp;gt;&amp;amp;lt;RHSType&amp;amp;gt;EXPRESSION&amp;amp'"</definedName>
    <definedName name="_AMO_ContentDefinition_485496469.1155" hidden="1">"';lt;/RHSType&amp;amp;gt;&amp;amp;lt;AddQuotes&amp;amp;gt;True&amp;amp;lt;/AddQuotes&amp;amp;gt;&amp;amp;lt;DateFormat&amp;amp;gt;None&amp;amp;lt;/DateFormat&amp;amp;gt;&amp;amp;lt;RightHandSideExpression&amp;amp;gt;MFPR01006794&amp;amp;lt;/RightHandSideExpression&amp;amp;gt;&amp;amp;lt;IsSubquery&amp;amp;gt;Fa'"</definedName>
    <definedName name="_AMO_ContentDefinition_485496469.1156"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485496469.1157" hidden="1">"'t;None&amp;amp;lt;/DateFormat&amp;amp;gt;&amp;amp;lt;RightHandSideExpression&amp;amp;gt;MFPR01006795&amp;amp;lt;/RightHandSideExpression&amp;amp;gt;&amp;amp;lt;IsSubquery&amp;amp;gt;False&amp;amp;lt;/IsSubquery&amp;amp;gt;&amp;amp;lt;SubqueryTemplateName /&amp;amp;gt;&amp;amp;lt;/RHSItem&amp;amp;gt;&amp;amp;lt'"</definedName>
    <definedName name="_AMO_ContentDefinition_485496469.1158" hidden="1">"';RHSItem&amp;amp;gt;&amp;amp;lt;RHSType&amp;amp;gt;EXPRESSION&amp;amp;lt;/RHSType&amp;amp;gt;&amp;amp;lt;AddQuotes&amp;amp;gt;True&amp;amp;lt;/AddQuotes&amp;amp;gt;&amp;amp;lt;DateFormat&amp;amp;gt;None&amp;amp;lt;/DateFormat&amp;amp;gt;&amp;amp;lt;RightHandSideExpression&amp;amp;gt;MFPR01006796&amp;amp;lt;/RightH'"</definedName>
    <definedName name="_AMO_ContentDefinition_485496469.1159"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485496469.116" hidden="1">"'xA;'MFPR01007426',&amp;#xD;&amp;#xA;'MFPR01007427',&amp;#xD;&amp;#xA;'MFPR01007428',&amp;#xD;&amp;#xA;'MFPR01007429',&amp;#xD;&amp;#xA;'MFPR01007430',&amp;#xD;&amp;#xA;'MFPR01007431',&amp;#xD;&amp;#xA;'MFPR01007432',&amp;#xD;&amp;#xA;'MFPR01007433',&amp;#xD;&amp;#xA;'MFPR01007434',&amp;#xD;&amp;#xA;'MFPR01007435',&amp;#xD;&amp;#x'"</definedName>
    <definedName name="_AMO_ContentDefinition_485496469.1160" hidden="1">"'rue&amp;amp;lt;/AddQuotes&amp;amp;gt;&amp;amp;lt;DateFormat&amp;amp;gt;None&amp;amp;lt;/DateFormat&amp;amp;gt;&amp;amp;lt;RightHandSideExpression&amp;amp;gt;MFPR01006797&amp;amp;lt;/RightHandSideExpression&amp;amp;gt;&amp;amp;lt;IsSubquery&amp;amp;gt;False&amp;amp;lt;/IsSubquery&amp;amp;gt;&amp;amp;lt;Subquery'"</definedName>
    <definedName name="_AMO_ContentDefinition_485496469.1161"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485496469.1162" hidden="1">"'HandSideExpression&amp;amp;gt;MFPR01006798&amp;amp;lt;/RightHandSideExpression&amp;amp;gt;&amp;amp;lt;IsSubquery&amp;amp;gt;False&amp;amp;lt;/IsSubquery&amp;amp;gt;&amp;amp;lt;SubqueryTemplateName /&amp;amp;gt;&amp;amp;lt;/RHSItem&amp;amp;gt;&amp;amp;lt;RHSItem&amp;amp;gt;&amp;amp;lt;RHSType&amp;amp;gt;EXPRESS'"</definedName>
    <definedName name="_AMO_ContentDefinition_485496469.1163" hidden="1">"'ION&amp;amp;lt;/RHSType&amp;amp;gt;&amp;amp;lt;AddQuotes&amp;amp;gt;True&amp;amp;lt;/AddQuotes&amp;amp;gt;&amp;amp;lt;DateFormat&amp;amp;gt;None&amp;amp;lt;/DateFormat&amp;amp;gt;&amp;amp;lt;RightHandSideExpression&amp;amp;gt;MFPR01006799&amp;amp;lt;/RightHandSideExpression&amp;amp;gt;&amp;amp;lt;IsSubquery&amp;am'"</definedName>
    <definedName name="_AMO_ContentDefinition_485496469.1164"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485496469.1165" hidden="1">"'t&amp;amp;gt;None&amp;amp;lt;/DateFormat&amp;amp;gt;&amp;amp;lt;RightHandSideExpression&amp;amp;gt;MFPR01006800&amp;amp;lt;/RightHandSideExpression&amp;amp;gt;&amp;amp;lt;IsSubquery&amp;amp;gt;False&amp;amp;lt;/IsSubquery&amp;amp;gt;&amp;amp;lt;SubqueryTemplateName /&amp;amp;gt;&amp;amp;lt;/RHSItem&amp;amp;gt;'"</definedName>
    <definedName name="_AMO_ContentDefinition_485496469.1166" hidden="1">"'&amp;amp;lt;RHSItem&amp;amp;gt;&amp;amp;lt;RHSType&amp;amp;gt;EXPRESSION&amp;amp;lt;/RHSType&amp;amp;gt;&amp;amp;lt;AddQuotes&amp;amp;gt;True&amp;amp;lt;/AddQuotes&amp;amp;gt;&amp;amp;lt;DateFormat&amp;amp;gt;None&amp;amp;lt;/DateFormat&amp;amp;gt;&amp;amp;lt;RightHandSideExpression&amp;amp;gt;MFPR01006801&amp;amp;lt;'"</definedName>
    <definedName name="_AMO_ContentDefinition_485496469.1167"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485496469.1168" hidden="1">"'mp;gt;True&amp;amp;lt;/AddQuotes&amp;amp;gt;&amp;amp;lt;DateFormat&amp;amp;gt;None&amp;amp;lt;/DateFormat&amp;amp;gt;&amp;amp;lt;RightHandSideExpression&amp;amp;gt;MFPR01006802&amp;amp;lt;/RightHandSideExpression&amp;amp;gt;&amp;amp;lt;IsSubquery&amp;amp;gt;False&amp;amp;lt;/IsSubquery&amp;amp;gt;&amp;amp;lt;S'"</definedName>
    <definedName name="_AMO_ContentDefinition_485496469.1169"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485496469.117" hidden="1">"'A;'MFPR01007436',&amp;#xD;&amp;#xA;'MFPR01007437',&amp;#xD;&amp;#xA;'MFPR01007438',&amp;#xD;&amp;#xA;'MFPR01007439',&amp;#xD;&amp;#xA;'MFPR01007440',&amp;#xD;&amp;#xA;'MFPR01007441',&amp;#xD;&amp;#xA;'MFPR01007442',&amp;#xD;&amp;#xA;'MFPR01007443',&amp;#xD;&amp;#xA;'MFPR01007444',&amp;#xD;&amp;#xA;'MFPR01007445',&amp;#xD;&amp;#xA'"</definedName>
    <definedName name="_AMO_ContentDefinition_485496469.1170" hidden="1">"'t;RightHandSideExpression&amp;amp;gt;MFPR01006803&amp;amp;lt;/RightHandSideExpression&amp;amp;gt;&amp;amp;lt;IsSubquery&amp;amp;gt;False&amp;amp;lt;/IsSubquery&amp;amp;gt;&amp;amp;lt;SubqueryTemplateName /&amp;amp;gt;&amp;amp;lt;/RHSItem&amp;amp;gt;&amp;amp;lt;RHSItem&amp;amp;gt;&amp;amp;lt;RHSType&amp;amp;gt;'"</definedName>
    <definedName name="_AMO_ContentDefinition_485496469.1171" hidden="1">"'EXPRESSION&amp;amp;lt;/RHSType&amp;amp;gt;&amp;amp;lt;AddQuotes&amp;amp;gt;True&amp;amp;lt;/AddQuotes&amp;amp;gt;&amp;amp;lt;DateFormat&amp;amp;gt;None&amp;amp;lt;/DateFormat&amp;amp;gt;&amp;amp;lt;RightHandSideExpression&amp;amp;gt;MFPR01006804&amp;amp;lt;/RightHandSideExpression&amp;amp;gt;&amp;amp;lt;IsSubq'"</definedName>
    <definedName name="_AMO_ContentDefinition_485496469.1172"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485496469.1173" hidden="1">"'teFormat&amp;amp;gt;None&amp;amp;lt;/DateFormat&amp;amp;gt;&amp;amp;lt;RightHandSideExpression&amp;amp;gt;MFPR01006805&amp;amp;lt;/RightHandSideExpression&amp;amp;gt;&amp;amp;lt;IsSubquery&amp;amp;gt;False&amp;amp;lt;/IsSubquery&amp;amp;gt;&amp;amp;lt;SubqueryTemplateName /&amp;amp;gt;&amp;amp;lt;/RHSItem&amp;'"</definedName>
    <definedName name="_AMO_ContentDefinition_485496469.1174" hidden="1">"'amp;gt;&amp;amp;lt;RHSItem&amp;amp;gt;&amp;amp;lt;RHSType&amp;amp;gt;EXPRESSION&amp;amp;lt;/RHSType&amp;amp;gt;&amp;amp;lt;AddQuotes&amp;amp;gt;True&amp;amp;lt;/AddQuotes&amp;amp;gt;&amp;amp;lt;DateFormat&amp;amp;gt;None&amp;amp;lt;/DateFormat&amp;amp;gt;&amp;amp;lt;RightHandSideExpression&amp;amp;gt;MFPR01006806&amp;'"</definedName>
    <definedName name="_AMO_ContentDefinition_485496469.1175"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485496469.1176" hidden="1">"'uotes&amp;amp;gt;True&amp;amp;lt;/AddQuotes&amp;amp;gt;&amp;amp;lt;DateFormat&amp;amp;gt;None&amp;amp;lt;/DateFormat&amp;amp;gt;&amp;amp;lt;RightHandSideExpression&amp;amp;gt;MFPR01006807&amp;amp;lt;/RightHandSideExpression&amp;amp;gt;&amp;amp;lt;IsSubquery&amp;amp;gt;False&amp;amp;lt;/IsSubquery&amp;amp;gt;&amp;a'"</definedName>
    <definedName name="_AMO_ContentDefinition_485496469.1177"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1178" hidden="1">"';&amp;amp;lt;RightHandSideExpression&amp;amp;gt;MFPR01006808&amp;amp;lt;/RightHandSideExpression&amp;amp;gt;&amp;amp;lt;IsSubquery&amp;amp;gt;False&amp;amp;lt;/IsSubquery&amp;amp;gt;&amp;amp;lt;SubqueryTemplateName /&amp;amp;gt;&amp;amp;lt;/RHSItem&amp;amp;gt;&amp;amp;lt;RHSItem&amp;amp;gt;&amp;amp;lt;RHSType&amp;'"</definedName>
    <definedName name="_AMO_ContentDefinition_485496469.1179" hidden="1">"'amp;gt;EXPRESSION&amp;amp;lt;/RHSType&amp;amp;gt;&amp;amp;lt;AddQuotes&amp;amp;gt;True&amp;amp;lt;/AddQuotes&amp;amp;gt;&amp;amp;lt;DateFormat&amp;amp;gt;None&amp;amp;lt;/DateFormat&amp;amp;gt;&amp;amp;lt;RightHandSideExpression&amp;amp;gt;MFPR01006809&amp;amp;lt;/RightHandSideExpression&amp;amp;gt;&amp;amp;lt'"</definedName>
    <definedName name="_AMO_ContentDefinition_485496469.118" hidden="1">"';'MFPR01007446',&amp;#xD;&amp;#xA;'MFPR01007447',&amp;#xD;&amp;#xA;'MFPR01007448',&amp;#xD;&amp;#xA;'MFPR01007449',&amp;#xD;&amp;#xA;'MFPR01007450',&amp;#xD;&amp;#xA;'MFPR01007451',&amp;#xD;&amp;#xA;'MFPR01007452',&amp;#xD;&amp;#xA;'MFPR01007453',&amp;#xD;&amp;#xA;'MFPR01007454',&amp;#xD;&amp;#xA;'MFPR01007455',&amp;#xD;&amp;#xA;'"</definedName>
    <definedName name="_AMO_ContentDefinition_485496469.1180"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485496469.1181" hidden="1">"'p;lt;DateFormat&amp;amp;gt;None&amp;amp;lt;/DateFormat&amp;amp;gt;&amp;amp;lt;RightHandSideExpression&amp;amp;gt;MFPR01006810&amp;amp;lt;/RightHandSideExpression&amp;amp;gt;&amp;amp;lt;IsSubquery&amp;amp;gt;False&amp;amp;lt;/IsSubquery&amp;amp;gt;&amp;amp;lt;SubqueryTemplateName /&amp;amp;gt;&amp;amp;lt;/R'"</definedName>
    <definedName name="_AMO_ContentDefinition_485496469.1182" hidden="1">"'HSItem&amp;amp;gt;&amp;amp;lt;RHSItem&amp;amp;gt;&amp;amp;lt;RHSType&amp;amp;gt;EXPRESSION&amp;amp;lt;/RHSType&amp;amp;gt;&amp;amp;lt;AddQuotes&amp;amp;gt;True&amp;amp;lt;/AddQuotes&amp;amp;gt;&amp;amp;lt;DateFormat&amp;amp;gt;None&amp;amp;lt;/DateFormat&amp;amp;gt;&amp;amp;lt;RightHandSideExpression&amp;amp;gt;MFPR01'"</definedName>
    <definedName name="_AMO_ContentDefinition_485496469.1183" hidden="1">"'006811&amp;amp;lt;/RightHandSideExpression&amp;amp;gt;&amp;amp;lt;IsSubquery&amp;amp;gt;False&amp;amp;lt;/IsSubquery&amp;amp;gt;&amp;amp;lt;SubqueryTemplateName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1184" hidden="1">"'lt;AddQuotes&amp;amp;gt;True&amp;amp;lt;/AddQuotes&amp;amp;gt;&amp;amp;lt;DateFormat&amp;amp;gt;None&amp;amp;lt;/DateFormat&amp;amp;gt;&amp;amp;lt;RightHandSideExpression&amp;amp;gt;MFPR01006812&amp;amp;lt;/RightHandSideExpression&amp;amp;gt;&amp;amp;lt;IsSubquery&amp;amp;gt;False&amp;amp;lt;/IsSubquery&amp;am'"</definedName>
    <definedName name="_AMO_ContentDefinition_485496469.1185"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485496469.1186" hidden="1">"'&amp;amp;gt;&amp;amp;lt;RightHandSideExpression&amp;amp;gt;MFPR01006813&amp;amp;lt;/RightHandSideExpression&amp;amp;gt;&amp;amp;lt;IsSubquery&amp;amp;gt;False&amp;amp;lt;/IsSubquery&amp;amp;gt;&amp;amp;lt;SubqueryTemplateName /&amp;amp;gt;&amp;amp;lt;/RHSItem&amp;amp;gt;&amp;amp;lt;RHSItem&amp;amp;gt;&amp;amp;lt;R'"</definedName>
    <definedName name="_AMO_ContentDefinition_485496469.1187" hidden="1">"'HSType&amp;amp;gt;EXPRESSION&amp;amp;lt;/RHSType&amp;amp;gt;&amp;amp;lt;AddQuotes&amp;amp;gt;True&amp;amp;lt;/AddQuotes&amp;amp;gt;&amp;amp;lt;DateFormat&amp;amp;gt;None&amp;amp;lt;/DateFormat&amp;amp;gt;&amp;amp;lt;RightHandSideExpression&amp;amp;gt;MFPR01006814&amp;amp;lt;/RightHandSideExpression&amp;amp;gt;'"</definedName>
    <definedName name="_AMO_ContentDefinition_485496469.1188"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1189" hidden="1">"';gt;&amp;amp;lt;DateFormat&amp;amp;gt;None&amp;amp;lt;/DateFormat&amp;amp;gt;&amp;amp;lt;RightHandSideExpression&amp;amp;gt;MFPR01006815&amp;amp;lt;/RightHandSideExpression&amp;amp;gt;&amp;amp;lt;IsSubquery&amp;amp;gt;False&amp;amp;lt;/IsSubquery&amp;amp;gt;&amp;amp;lt;SubqueryTemplateName /&amp;amp;gt;&amp;am'"</definedName>
    <definedName name="_AMO_ContentDefinition_485496469.119" hidden="1">"''MFPR01007456',&amp;#xD;&amp;#xA;'MFPR01007457',&amp;#xD;&amp;#xA;'MFPR01007458',&amp;#xD;&amp;#xA;'MFPR01007459',&amp;#xD;&amp;#xA;'MFPR01007460',&amp;#xD;&amp;#xA;'MFPR01007461',&amp;#xD;&amp;#xA;'MFPR01007462',&amp;#xD;&amp;#xA;'MFPR01007463',&amp;#xD;&amp;#xA;'MFPR01007464',&amp;#xD;&amp;#xA;'MFPR01007465',&amp;#xD;&amp;#xA;''"</definedName>
    <definedName name="_AMO_ContentDefinition_485496469.1190" hidden="1">"'p;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1191" hidden="1">"';MFPR01006816&amp;amp;lt;/RightHandSideExpression&amp;amp;gt;&amp;amp;lt;IsSubquery&amp;amp;gt;False&amp;amp;lt;/IsSubquery&amp;amp;gt;&amp;amp;lt;SubqueryTemplateName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485496469.1192" hidden="1">"'t;&amp;amp;lt;AddQuotes&amp;amp;gt;True&amp;amp;lt;/AddQuotes&amp;amp;gt;&amp;amp;lt;DateFormat&amp;amp;gt;None&amp;amp;lt;/DateFormat&amp;amp;gt;&amp;amp;lt;RightHandSideExpression&amp;amp;gt;MFPR01006817&amp;amp;lt;/RightHandSideExpression&amp;amp;gt;&amp;amp;lt;IsSubquery&amp;amp;gt;False&amp;amp;lt;/IsSubq'"</definedName>
    <definedName name="_AMO_ContentDefinition_485496469.1193"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485496469.1194" hidden="1">"'eFormat&amp;amp;gt;&amp;amp;lt;RightHandSideExpression&amp;amp;gt;MFPR01006818&amp;amp;lt;/RightHandSideExpression&amp;amp;gt;&amp;amp;lt;IsSubquery&amp;amp;gt;False&amp;amp;lt;/IsSubquery&amp;amp;gt;&amp;amp;lt;SubqueryTemplateName /&amp;amp;gt;&amp;amp;lt;/RHSItem&amp;amp;gt;&amp;amp;lt;RHSItem&amp;amp;gt;&amp;a'"</definedName>
    <definedName name="_AMO_ContentDefinition_485496469.1195" hidden="1">"'mp;lt;RHSType&amp;amp;gt;EXPRESSION&amp;amp;lt;/RHSType&amp;amp;gt;&amp;amp;lt;AddQuotes&amp;amp;gt;True&amp;amp;lt;/AddQuotes&amp;amp;gt;&amp;amp;lt;DateFormat&amp;amp;gt;None&amp;amp;lt;/DateFormat&amp;amp;gt;&amp;amp;lt;RightHandSideExpression&amp;amp;gt;MFPR01006819&amp;amp;lt;/RightHandSideExpression&amp;'"</definedName>
    <definedName name="_AMO_ContentDefinition_485496469.1196"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485496469.1197" hidden="1">"'tes&amp;amp;gt;&amp;amp;lt;DateFormat&amp;amp;gt;None&amp;amp;lt;/DateFormat&amp;amp;gt;&amp;amp;lt;RightHandSideExpression&amp;amp;gt;MFPR01006820&amp;amp;lt;/RightHandSideExpression&amp;amp;gt;&amp;amp;lt;IsSubquery&amp;amp;gt;False&amp;amp;lt;/IsSubquery&amp;amp;gt;&amp;amp;lt;SubqueryTemplateName /&amp;amp'"</definedName>
    <definedName name="_AMO_ContentDefinition_485496469.1198"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485496469.1199" hidden="1">"'&amp;amp;gt;MFPR01006821&amp;amp;lt;/RightHandSideExpression&amp;amp;gt;&amp;amp;lt;IsSubquery&amp;amp;gt;False&amp;amp;lt;/IsSubquery&amp;amp;gt;&amp;amp;lt;SubqueryTemplateName /&amp;amp;gt;&amp;amp;lt;/RHSItem&amp;amp;gt;&amp;amp;lt;RHSItem&amp;amp;gt;&amp;amp;lt;RHSType&amp;amp;gt;EXPRESSION&amp;amp;lt;/RHSTyp'"</definedName>
    <definedName name="_AMO_ContentDefinition_485496469.12" hidden="1">"'D;&amp;#xA;'MFMSUP000078',&amp;#xD;&amp;#xA;'MFMSUP000079',&amp;#xD;&amp;#xA;'MFMSUP000080',&amp;#xD;&amp;#xA;'MFMSUP000081',&amp;#xD;&amp;#xA;'MFMSUP000082',&amp;#xD;&amp;#xA;'MFMSUP000083',&amp;#xD;&amp;#xA;'MFMSUP000084',&amp;#xD;&amp;#xA;'MFMSUP000085',&amp;#xD;&amp;#xA;'MFMSUP000086',&amp;#xD;&amp;#xA;'MFMSUP000087',&amp;#xD'"</definedName>
    <definedName name="_AMO_ContentDefinition_485496469.120" hidden="1">"'MFPR01007466',&amp;#xD;&amp;#xA;'MFPR01007467',&amp;#xD;&amp;#xA;'MFPR01007468',&amp;#xD;&amp;#xA;'MFPR01007469',&amp;#xD;&amp;#xA;'MFPR01007470',&amp;#xD;&amp;#xA;'MFPR01007471',&amp;#xD;&amp;#xA;'MFPR01007472',&amp;#xD;&amp;#xA;'MFPR01007473',&amp;#xD;&amp;#xA;'MFPR01007474',&amp;#xD;&amp;#xA;'MFPR01007475',&amp;#xD;&amp;#xA;'M'"</definedName>
    <definedName name="_AMO_ContentDefinition_485496469.1200" hidden="1">"'e&amp;amp;gt;&amp;amp;lt;AddQuotes&amp;amp;gt;True&amp;amp;lt;/AddQuotes&amp;amp;gt;&amp;amp;lt;DateFormat&amp;amp;gt;None&amp;amp;lt;/DateFormat&amp;amp;gt;&amp;amp;lt;RightHandSideExpression&amp;amp;gt;MFPR01006822&amp;amp;lt;/RightHandSideExpression&amp;amp;gt;&amp;amp;lt;IsSubquery&amp;amp;gt;False&amp;amp;lt;'"</definedName>
    <definedName name="_AMO_ContentDefinition_485496469.1201"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1202" hidden="1">"'lt;/DateFormat&amp;amp;gt;&amp;amp;lt;RightHandSideExpression&amp;amp;gt;MFPR01006823&amp;amp;lt;/RightHandSideExpression&amp;amp;gt;&amp;amp;lt;IsSubquery&amp;amp;gt;False&amp;amp;lt;/IsSubquery&amp;amp;gt;&amp;amp;lt;SubqueryTemplateName /&amp;amp;gt;&amp;amp;lt;/RHSItem&amp;amp;gt;&amp;amp;lt;RHSItem&amp;am'"</definedName>
    <definedName name="_AMO_ContentDefinition_485496469.1203" hidden="1">"'p;gt;&amp;amp;lt;RHSType&amp;amp;gt;EXPRESSION&amp;amp;lt;/RHSType&amp;amp;gt;&amp;amp;lt;AddQuotes&amp;amp;gt;True&amp;amp;lt;/AddQuotes&amp;amp;gt;&amp;amp;lt;DateFormat&amp;amp;gt;None&amp;amp;lt;/DateFormat&amp;amp;gt;&amp;amp;lt;RightHandSideExpression&amp;amp;gt;MFPR01006824&amp;amp;lt;/RightHandSideExpr'"</definedName>
    <definedName name="_AMO_ContentDefinition_485496469.1204"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1205" hidden="1">"'/AddQuotes&amp;amp;gt;&amp;amp;lt;DateFormat&amp;amp;gt;None&amp;amp;lt;/DateFormat&amp;amp;gt;&amp;amp;lt;RightHandSideExpression&amp;amp;gt;MFPR01006825&amp;amp;lt;/RightHandSideExpression&amp;amp;gt;&amp;amp;lt;IsSubquery&amp;amp;gt;False&amp;amp;lt;/IsSubquery&amp;amp;gt;&amp;amp;lt;SubqueryTemplateNam'"</definedName>
    <definedName name="_AMO_ContentDefinition_485496469.1206"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485496469.1207" hidden="1">"'ression&amp;amp;gt;MFPR01006826&amp;amp;lt;/RightHandSideExpression&amp;amp;gt;&amp;amp;lt;IsSubquery&amp;amp;gt;False&amp;amp;lt;/IsSubquery&amp;amp;gt;&amp;amp;lt;SubqueryTemplateName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1208" hidden="1">"'/RHSType&amp;amp;gt;&amp;amp;lt;AddQuotes&amp;amp;gt;True&amp;amp;lt;/AddQuotes&amp;amp;gt;&amp;amp;lt;DateFormat&amp;amp;gt;None&amp;amp;lt;/DateFormat&amp;amp;gt;&amp;amp;lt;RightHandSideExpression&amp;amp;gt;MFPR01006827&amp;amp;lt;/RightHandSideExpression&amp;amp;gt;&amp;amp;lt;IsSubquery&amp;amp;gt;False&amp;'"</definedName>
    <definedName name="_AMO_ContentDefinition_485496469.1209"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485496469.121" hidden="1">"'FPR01007476',&amp;#xD;&amp;#xA;'MFPR01007477',&amp;#xD;&amp;#xA;'MFPR01007478',&amp;#xD;&amp;#xA;'MFPR01007479',&amp;#xD;&amp;#xA;'MFPR01007480',&amp;#xD;&amp;#xA;'MFPR01007481',&amp;#xD;&amp;#xA;'MFPR01007482',&amp;#xD;&amp;#xA;'MFPR01007483',&amp;#xD;&amp;#xA;'MFPR01007484',&amp;#xD;&amp;#xA;'MFPR01007485',&amp;#xD;&amp;#xA;'MF'"</definedName>
    <definedName name="_AMO_ContentDefinition_485496469.1210" hidden="1">"'ne&amp;amp;lt;/DateFormat&amp;amp;gt;&amp;amp;lt;RightHandSideExpression&amp;amp;gt;MFPR01006828&amp;amp;lt;/RightHandSideExpression&amp;amp;gt;&amp;amp;lt;IsSubquery&amp;amp;gt;False&amp;amp;lt;/IsSubquery&amp;amp;gt;&amp;amp;lt;SubqueryTemplateName /&amp;amp;gt;&amp;amp;lt;/RHSItem&amp;amp;gt;&amp;amp;lt;RHS'"</definedName>
    <definedName name="_AMO_ContentDefinition_485496469.1211" hidden="1">"'Item&amp;amp;gt;&amp;amp;lt;RHSType&amp;amp;gt;EXPRESSION&amp;amp;lt;/RHSType&amp;amp;gt;&amp;amp;lt;AddQuotes&amp;amp;gt;True&amp;amp;lt;/AddQuotes&amp;amp;gt;&amp;amp;lt;DateFormat&amp;amp;gt;None&amp;amp;lt;/DateFormat&amp;amp;gt;&amp;amp;lt;RightHandSideExpression&amp;amp;gt;MFPR01006829&amp;amp;lt;/RightHandS'"</definedName>
    <definedName name="_AMO_ContentDefinition_485496469.1212"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485496469.1213" hidden="1">"'amp;lt;/AddQuotes&amp;amp;gt;&amp;amp;lt;DateFormat&amp;amp;gt;None&amp;amp;lt;/DateFormat&amp;amp;gt;&amp;amp;lt;RightHandSideExpression&amp;amp;gt;MFPR01006830&amp;amp;lt;/RightHandSideExpression&amp;amp;gt;&amp;amp;lt;IsSubquery&amp;amp;gt;False&amp;amp;lt;/IsSubquery&amp;amp;gt;&amp;amp;lt;SubqueryTemp'"</definedName>
    <definedName name="_AMO_ContentDefinition_485496469.1214"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485496469.1215" hidden="1">"'SideExpression&amp;amp;gt;MFPR01006831&amp;amp;lt;/RightHandSideExpression&amp;amp;gt;&amp;amp;lt;IsSubquery&amp;amp;gt;False&amp;amp;lt;/IsSubquery&amp;amp;gt;&amp;amp;lt;SubqueryTemplateName /&amp;amp;gt;&amp;amp;lt;/RHSItem&amp;amp;gt;&amp;amp;lt;RHSItem&amp;amp;gt;&amp;amp;lt;RHSType&amp;amp;gt;EXPRESSION&amp;'"</definedName>
    <definedName name="_AMO_ContentDefinition_485496469.1216" hidden="1">"'amp;lt;/RHSType&amp;amp;gt;&amp;amp;lt;AddQuotes&amp;amp;gt;True&amp;amp;lt;/AddQuotes&amp;amp;gt;&amp;amp;lt;DateFormat&amp;amp;gt;None&amp;amp;lt;/DateFormat&amp;amp;gt;&amp;amp;lt;RightHandSideExpression&amp;amp;gt;MFPR01006832&amp;amp;lt;/RightHandSideExpression&amp;amp;gt;&amp;amp;lt;IsSubquery&amp;amp;gt'"</definedName>
    <definedName name="_AMO_ContentDefinition_485496469.1217"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485496469.1218" hidden="1">"'p;gt;None&amp;amp;lt;/DateFormat&amp;amp;gt;&amp;amp;lt;RightHandSideExpression&amp;amp;gt;MFPR01006833&amp;amp;lt;/RightHandSideExpression&amp;amp;gt;&amp;amp;lt;IsSubquery&amp;amp;gt;False&amp;amp;lt;/IsSubquery&amp;amp;gt;&amp;amp;lt;SubqueryTemplateName /&amp;amp;gt;&amp;amp;lt;/RHSItem&amp;amp;gt;&amp;amp'"</definedName>
    <definedName name="_AMO_ContentDefinition_485496469.1219" hidden="1">"';lt;RHSItem&amp;amp;gt;&amp;amp;lt;RHSType&amp;amp;gt;EXPRESSION&amp;amp;lt;/RHSType&amp;amp;gt;&amp;amp;lt;AddQuotes&amp;amp;gt;True&amp;amp;lt;/AddQuotes&amp;amp;gt;&amp;amp;lt;DateFormat&amp;amp;gt;None&amp;amp;lt;/DateFormat&amp;amp;gt;&amp;amp;lt;RightHandSideExpression&amp;amp;gt;MFPR01006834&amp;amp;lt;/Rig'"</definedName>
    <definedName name="_AMO_ContentDefinition_485496469.122" hidden="1">"'PR01007486',&amp;#xD;&amp;#xA;'MFPR01007487',&amp;#xD;&amp;#xA;'MFPR01007488',&amp;#xD;&amp;#xA;'MFPR01007489',&amp;#xD;&amp;#xA;'MFPR01007490',&amp;#xD;&amp;#xA;'MFPR01007491',&amp;#xD;&amp;#xA;'MFPR01007492',&amp;#xD;&amp;#xA;'MFPR01007493',&amp;#xD;&amp;#xA;'MFPR01007494',&amp;#xD;&amp;#xA;'MFPR01007495',&amp;#xD;&amp;#xA;'MFP'"</definedName>
    <definedName name="_AMO_ContentDefinition_485496469.1220"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485496469.1221" hidden="1">"'t;True&amp;amp;lt;/AddQuotes&amp;amp;gt;&amp;amp;lt;DateFormat&amp;amp;gt;None&amp;amp;lt;/DateFormat&amp;amp;gt;&amp;amp;lt;RightHandSideExpression&amp;amp;gt;MFPR01006835&amp;amp;lt;/RightHandSideExpression&amp;amp;gt;&amp;amp;lt;IsSubquery&amp;amp;gt;False&amp;amp;lt;/IsSubquery&amp;amp;gt;&amp;amp;lt;Subqu'"</definedName>
    <definedName name="_AMO_ContentDefinition_485496469.1222"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485496469.1223" hidden="1">"'ghtHandSideExpression&amp;amp;gt;MFPR01006836&amp;amp;lt;/RightHandSideExpression&amp;amp;gt;&amp;amp;lt;IsSubquery&amp;amp;gt;False&amp;amp;lt;/IsSubquery&amp;amp;gt;&amp;amp;lt;SubqueryTemplateName /&amp;amp;gt;&amp;amp;lt;/RHSItem&amp;amp;gt;&amp;amp;lt;RHSItem&amp;amp;gt;&amp;amp;lt;RHSType&amp;amp;gt;EXPR'"</definedName>
    <definedName name="_AMO_ContentDefinition_485496469.1224" hidden="1">"'ESSION&amp;amp;lt;/RHSType&amp;amp;gt;&amp;amp;lt;AddQuotes&amp;amp;gt;True&amp;amp;lt;/AddQuotes&amp;amp;gt;&amp;amp;lt;DateFormat&amp;amp;gt;None&amp;amp;lt;/DateFormat&amp;amp;gt;&amp;amp;lt;RightHandSideExpression&amp;amp;gt;MFPR01006837&amp;amp;lt;/RightHandSideExpression&amp;amp;gt;&amp;amp;lt;IsSubquery'"</definedName>
    <definedName name="_AMO_ContentDefinition_485496469.1225"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485496469.1226" hidden="1">"'rmat&amp;amp;gt;None&amp;amp;lt;/DateFormat&amp;amp;gt;&amp;amp;lt;RightHandSideExpression&amp;amp;gt;MFPR01006838&amp;amp;lt;/RightHandSideExpression&amp;amp;gt;&amp;amp;lt;IsSubquery&amp;amp;gt;False&amp;amp;lt;/IsSubquery&amp;amp;gt;&amp;amp;lt;SubqueryTemplateName /&amp;amp;gt;&amp;amp;lt;/RHSItem&amp;amp;'"</definedName>
    <definedName name="_AMO_ContentDefinition_485496469.1227" hidden="1">"'gt;&amp;amp;lt;RHSItem&amp;amp;gt;&amp;amp;lt;RHSType&amp;amp;gt;EXPRESSION&amp;amp;lt;/RHSType&amp;amp;gt;&amp;amp;lt;AddQuotes&amp;amp;gt;True&amp;amp;lt;/AddQuotes&amp;amp;gt;&amp;amp;lt;DateFormat&amp;amp;gt;None&amp;amp;lt;/DateFormat&amp;amp;gt;&amp;amp;lt;RightHandSideExpression&amp;amp;gt;MFPR01006839&amp;amp;'"</definedName>
    <definedName name="_AMO_ContentDefinition_485496469.1228"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485496469.1229" hidden="1">"'s&amp;amp;gt;True&amp;amp;lt;/AddQuotes&amp;amp;gt;&amp;amp;lt;DateFormat&amp;amp;gt;None&amp;amp;lt;/DateFormat&amp;amp;gt;&amp;amp;lt;RightHandSideExpression&amp;amp;gt;MFPR01006840&amp;amp;lt;/RightHandSideExpression&amp;amp;gt;&amp;amp;lt;IsSubquery&amp;amp;gt;False&amp;amp;lt;/IsSubquery&amp;amp;gt;&amp;amp;l'"</definedName>
    <definedName name="_AMO_ContentDefinition_485496469.123" hidden="1">"'R01007496',&amp;#xD;&amp;#xA;'MFPR01007497',&amp;#xD;&amp;#xA;'MFPR01007498',&amp;#xD;&amp;#xA;'MFPR01007499',&amp;#xD;&amp;#xA;'MFPR01007500',&amp;#xD;&amp;#xA;'MFPR01007501',&amp;#xD;&amp;#xA;'MFPR01007502',&amp;#xD;&amp;#xA;'MFPR01007503',&amp;#xD;&amp;#xA;'MFPR01007504',&amp;#xD;&amp;#xA;'MFPR01007505',&amp;#xD;&amp;#xA;'MFPR'"</definedName>
    <definedName name="_AMO_ContentDefinition_485496469.1230"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485496469.1231" hidden="1">"'p;lt;RightHandSideExpression&amp;amp;gt;MFPR01006841&amp;amp;lt;/RightHandSideExpression&amp;amp;gt;&amp;amp;lt;IsSubquery&amp;amp;gt;False&amp;amp;lt;/IsSubquery&amp;amp;gt;&amp;amp;lt;SubqueryTemplateName /&amp;amp;gt;&amp;amp;lt;/RHSItem&amp;amp;gt;&amp;amp;lt;RHSItem&amp;amp;gt;&amp;amp;lt;RHSType&amp;amp;'"</definedName>
    <definedName name="_AMO_ContentDefinition_485496469.1232" hidden="1">"'gt;EXPRESSION&amp;amp;lt;/RHSType&amp;amp;gt;&amp;amp;lt;AddQuotes&amp;amp;gt;True&amp;amp;lt;/AddQuotes&amp;amp;gt;&amp;amp;lt;DateFormat&amp;amp;gt;None&amp;amp;lt;/DateFormat&amp;amp;gt;&amp;amp;lt;RightHandSideExpression&amp;amp;gt;MFPR01006842&amp;amp;lt;/RightHandSideExpression&amp;amp;gt;&amp;amp;lt;IsS'"</definedName>
    <definedName name="_AMO_ContentDefinition_485496469.1233"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1234" hidden="1">"';DateFormat&amp;amp;gt;None&amp;amp;lt;/DateFormat&amp;amp;gt;&amp;amp;lt;RightHandSideExpression&amp;amp;gt;MFPR01006843&amp;amp;lt;/RightHandSideExpression&amp;amp;gt;&amp;amp;lt;IsSubquery&amp;amp;gt;False&amp;amp;lt;/IsSubquery&amp;amp;gt;&amp;amp;lt;SubqueryTemplateName /&amp;amp;gt;&amp;amp;lt;/RHSIt'"</definedName>
    <definedName name="_AMO_ContentDefinition_485496469.1235" hidden="1">"'em&amp;amp;gt;&amp;amp;lt;RHSItem&amp;amp;gt;&amp;amp;lt;RHSType&amp;amp;gt;EXPRESSION&amp;amp;lt;/RHSType&amp;amp;gt;&amp;amp;lt;AddQuotes&amp;amp;gt;True&amp;amp;lt;/AddQuotes&amp;amp;gt;&amp;amp;lt;DateFormat&amp;amp;gt;None&amp;amp;lt;/DateFormat&amp;amp;gt;&amp;amp;lt;RightHandSideExpression&amp;amp;gt;MFPR010068'"</definedName>
    <definedName name="_AMO_ContentDefinition_485496469.1236" hidden="1">"'44&amp;amp;lt;/RightHandSideExpression&amp;amp;gt;&amp;amp;lt;IsSubquery&amp;amp;gt;False&amp;amp;lt;/IsSubquery&amp;amp;gt;&amp;amp;lt;SubqueryTemplateName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485496469.1237" hidden="1">"'ddQuotes&amp;amp;gt;True&amp;amp;lt;/AddQuotes&amp;amp;gt;&amp;amp;lt;DateFormat&amp;amp;gt;None&amp;amp;lt;/DateFormat&amp;amp;gt;&amp;amp;lt;RightHandSideExpression&amp;amp;gt;MFPR01006845&amp;amp;lt;/RightHandSideExpression&amp;amp;gt;&amp;amp;lt;IsSubquery&amp;amp;gt;False&amp;amp;lt;/IsSubquery&amp;amp;gt'"</definedName>
    <definedName name="_AMO_ContentDefinition_485496469.1238"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1239" hidden="1">"';gt;&amp;amp;lt;RightHandSideExpression&amp;amp;gt;MFPR01006846&amp;amp;lt;/RightHandSideExpression&amp;amp;gt;&amp;amp;lt;IsSubquery&amp;amp;gt;False&amp;amp;lt;/IsSubquery&amp;amp;gt;&amp;amp;lt;SubqueryTemplateName /&amp;amp;gt;&amp;amp;lt;/RHSItem&amp;amp;gt;&amp;amp;lt;RHSItem&amp;amp;gt;&amp;amp;lt;RHSTy'"</definedName>
    <definedName name="_AMO_ContentDefinition_485496469.124" hidden="1">"'01007506',&amp;#xD;&amp;#xA;'MFPR01007507',&amp;#xD;&amp;#xA;'MFPR01007508',&amp;#xD;&amp;#xA;'MFPR01007509',&amp;#xD;&amp;#xA;'MFPR01007510',&amp;#xD;&amp;#xA;'MFPR01007511',&amp;#xD;&amp;#xA;'MFPR01007512',&amp;#xD;&amp;#xA;'MFPR01007513',&amp;#xD;&amp;#xA;'MFPR01007514',&amp;#xD;&amp;#xA;'MFPR01007515',&amp;#xD;&amp;#xA;'MFPR0'"</definedName>
    <definedName name="_AMO_ContentDefinition_485496469.1240" hidden="1">"'pe&amp;amp;gt;EXPRESSION&amp;amp;lt;/RHSType&amp;amp;gt;&amp;amp;lt;AddQuotes&amp;amp;gt;True&amp;amp;lt;/AddQuotes&amp;amp;gt;&amp;amp;lt;DateFormat&amp;amp;gt;None&amp;amp;lt;/DateFormat&amp;amp;gt;&amp;amp;lt;RightHandSideExpression&amp;amp;gt;MFPR01006847&amp;amp;lt;/RightHandSideExpression&amp;amp;gt;&amp;amp'"</definedName>
    <definedName name="_AMO_ContentDefinition_485496469.1241"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1242" hidden="1">"'&amp;amp;lt;DateFormat&amp;amp;gt;None&amp;amp;lt;/DateFormat&amp;amp;gt;&amp;amp;lt;RightHandSideExpression&amp;amp;gt;MFPR01006848&amp;amp;lt;/RightHandSideExpression&amp;amp;gt;&amp;amp;lt;IsSubquery&amp;amp;gt;False&amp;amp;lt;/IsSubquery&amp;amp;gt;&amp;amp;lt;SubqueryTemplateName /&amp;amp;gt;&amp;amp;lt'"</definedName>
    <definedName name="_AMO_ContentDefinition_485496469.1243" hidden="1">"';/RHSItem&amp;amp;gt;&amp;amp;lt;RHSItem&amp;amp;gt;&amp;amp;lt;RHSType&amp;amp;gt;EXPRESSION&amp;amp;lt;/RHSType&amp;amp;gt;&amp;amp;lt;AddQuotes&amp;amp;gt;True&amp;amp;lt;/AddQuotes&amp;amp;gt;&amp;amp;lt;DateFormat&amp;amp;gt;None&amp;amp;lt;/DateFormat&amp;amp;gt;&amp;amp;lt;RightHandSideExpression&amp;amp;gt;MFP'"</definedName>
    <definedName name="_AMO_ContentDefinition_485496469.1244" hidden="1">"'R01006849&amp;amp;lt;/RightHandSideExpression&amp;amp;gt;&amp;amp;lt;IsSubquery&amp;amp;gt;False&amp;amp;lt;/IsSubquery&amp;amp;gt;&amp;amp;lt;SubqueryTemplateName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485496469.1245" hidden="1">"'mp;lt;AddQuotes&amp;amp;gt;True&amp;amp;lt;/AddQuotes&amp;amp;gt;&amp;amp;lt;DateFormat&amp;amp;gt;None&amp;amp;lt;/DateFormat&amp;amp;gt;&amp;amp;lt;RightHandSideExpression&amp;amp;gt;MFPR01006850&amp;amp;lt;/RightHandSideExpression&amp;amp;gt;&amp;amp;lt;IsSubquery&amp;amp;gt;False&amp;amp;lt;/IsSubquery'"</definedName>
    <definedName name="_AMO_ContentDefinition_485496469.1246"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485496469.1247" hidden="1">"'mat&amp;amp;gt;&amp;amp;lt;RightHandSideExpression&amp;amp;gt;MFPR01006851&amp;amp;lt;/RightHandSideExpression&amp;amp;gt;&amp;amp;lt;IsSubquery&amp;amp;gt;False&amp;amp;lt;/IsSubquery&amp;amp;gt;&amp;amp;lt;SubqueryTemplateName /&amp;amp;gt;&amp;amp;lt;/RHSItem&amp;amp;gt;&amp;amp;lt;RHSItem&amp;amp;gt;&amp;amp;l'"</definedName>
    <definedName name="_AMO_ContentDefinition_485496469.1248" hidden="1">"'t;RHSType&amp;amp;gt;EXPRESSION&amp;amp;lt;/RHSType&amp;amp;gt;&amp;amp;lt;AddQuotes&amp;amp;gt;True&amp;amp;lt;/AddQuotes&amp;amp;gt;&amp;amp;lt;DateFormat&amp;amp;gt;None&amp;amp;lt;/DateFormat&amp;amp;gt;&amp;amp;lt;RightHandSideExpression&amp;amp;gt;MFPR01006852&amp;amp;lt;/RightHandSideExpression&amp;amp;'"</definedName>
    <definedName name="_AMO_ContentDefinition_485496469.1249"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485496469.125" hidden="1">"'1007516',&amp;#xD;&amp;#xA;'MFPR01007517',&amp;#xD;&amp;#xA;'MFPR01007518',&amp;#xD;&amp;#xA;'MFPR01007519',&amp;#xD;&amp;#xA;'MFPR01007520',&amp;#xD;&amp;#xA;'MFPR01007521',&amp;#xD;&amp;#xA;'MFPR01007522',&amp;#xD;&amp;#xA;'MFPR01007523',&amp;#xD;&amp;#xA;'MFPR01007524',&amp;#xD;&amp;#xA;'MFPR01007525',&amp;#xD;&amp;#xA;'MFPR01'"</definedName>
    <definedName name="_AMO_ContentDefinition_485496469.1250" hidden="1">"'amp;gt;&amp;amp;lt;DateFormat&amp;amp;gt;None&amp;amp;lt;/DateFormat&amp;amp;gt;&amp;amp;lt;RightHandSideExpression&amp;amp;gt;MFPR01006853&amp;amp;lt;/RightHandSideExpression&amp;amp;gt;&amp;amp;lt;IsSubquery&amp;amp;gt;False&amp;amp;lt;/IsSubquery&amp;amp;gt;&amp;amp;lt;SubqueryTemplateName /&amp;amp;gt;'"</definedName>
    <definedName name="_AMO_ContentDefinition_485496469.1251" hidden="1">"'&amp;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1252" hidden="1">"';gt;MFPR01006854&amp;amp;lt;/RightHandSideExpression&amp;amp;gt;&amp;amp;lt;IsSubquery&amp;amp;gt;False&amp;amp;lt;/IsSubquery&amp;amp;gt;&amp;amp;lt;SubqueryTemplateName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485496469.1253" hidden="1">"'p;gt;&amp;amp;lt;AddQuotes&amp;amp;gt;True&amp;amp;lt;/AddQuotes&amp;amp;gt;&amp;amp;lt;DateFormat&amp;amp;gt;None&amp;amp;lt;/DateFormat&amp;amp;gt;&amp;amp;lt;RightHandSideExpression&amp;amp;gt;MFPR01006855&amp;amp;lt;/RightHandSideExpression&amp;amp;gt;&amp;amp;lt;IsSubquery&amp;amp;gt;False&amp;amp;lt;/IsS'"</definedName>
    <definedName name="_AMO_ContentDefinition_485496469.1254"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1255" hidden="1">"'DateFormat&amp;amp;gt;&amp;amp;lt;RightHandSideExpression&amp;amp;gt;MFPR01006856&amp;amp;lt;/RightHandSideExpression&amp;amp;gt;&amp;amp;lt;IsSubquery&amp;amp;gt;False&amp;amp;lt;/IsSubquery&amp;amp;gt;&amp;amp;lt;SubqueryTemplateName /&amp;amp;gt;&amp;amp;lt;/RHSItem&amp;amp;gt;&amp;amp;lt;RHSItem&amp;amp;gt'"</definedName>
    <definedName name="_AMO_ContentDefinition_485496469.1256" hidden="1">"';&amp;amp;lt;RHSType&amp;amp;gt;EXPRESSION&amp;amp;lt;/RHSType&amp;amp;gt;&amp;amp;lt;AddQuotes&amp;amp;gt;True&amp;amp;lt;/AddQuotes&amp;amp;gt;&amp;amp;lt;DateFormat&amp;amp;gt;None&amp;amp;lt;/DateFormat&amp;amp;gt;&amp;amp;lt;RightHandSideExpression&amp;amp;gt;MFPR01006857&amp;amp;lt;/RightHandSideExpressi'"</definedName>
    <definedName name="_AMO_ContentDefinition_485496469.1257"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485496469.1258" hidden="1">"'Quotes&amp;amp;gt;&amp;amp;lt;DateFormat&amp;amp;gt;None&amp;amp;lt;/DateFormat&amp;amp;gt;&amp;amp;lt;RightHandSideExpression&amp;amp;gt;MFPR01006858&amp;amp;lt;/RightHandSideExpression&amp;amp;gt;&amp;amp;lt;IsSubquery&amp;amp;gt;False&amp;amp;lt;/IsSubquery&amp;amp;gt;&amp;amp;lt;SubqueryTemplateName /&amp;'"</definedName>
    <definedName name="_AMO_ContentDefinition_485496469.1259"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485496469.126" hidden="1">"'007526',&amp;#xD;&amp;#xA;'MFPR01007527',&amp;#xD;&amp;#xA;'MFPR01007528',&amp;#xD;&amp;#xA;'MFPR01007529',&amp;#xD;&amp;#xA;'MFPR01007530',&amp;#xD;&amp;#xA;'MFPR01007531',&amp;#xD;&amp;#xA;'MFPR01007532',&amp;#xD;&amp;#xA;'MFPR01007533',&amp;#xD;&amp;#xA;'MFPR01007534',&amp;#xD;&amp;#xA;'MFPR01007535',&amp;#xD;&amp;#xA;'MFPR010'"</definedName>
    <definedName name="_AMO_ContentDefinition_485496469.1260" hidden="1">"'ion&amp;amp;gt;MFPR01006859&amp;amp;lt;/RightHandSideExpression&amp;amp;gt;&amp;amp;lt;IsSubquery&amp;amp;gt;False&amp;amp;lt;/IsSubquery&amp;amp;gt;&amp;amp;lt;SubqueryTemplateName /&amp;amp;gt;&amp;amp;lt;/RHSItem&amp;amp;gt;&amp;amp;lt;RHSItem&amp;amp;gt;&amp;amp;lt;RHSType&amp;amp;gt;EXPRESSION&amp;amp;lt;/RHS'"</definedName>
    <definedName name="_AMO_ContentDefinition_485496469.1261" hidden="1">"'Type&amp;amp;gt;&amp;amp;lt;AddQuotes&amp;amp;gt;True&amp;amp;lt;/AddQuotes&amp;amp;gt;&amp;amp;lt;DateFormat&amp;amp;gt;None&amp;amp;lt;/DateFormat&amp;amp;gt;&amp;amp;lt;RightHandSideExpression&amp;amp;gt;MFPR01006860&amp;amp;lt;/RightHandSideExpression&amp;amp;gt;&amp;amp;lt;IsSubquery&amp;amp;gt;False&amp;amp;'"</definedName>
    <definedName name="_AMO_ContentDefinition_485496469.1262"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485496469.1263" hidden="1">"'mp;lt;/DateFormat&amp;amp;gt;&amp;amp;lt;RightHandSideExpression&amp;amp;gt;MFPR01006861&amp;amp;lt;/RightHandSideExpression&amp;amp;gt;&amp;amp;lt;IsSubquery&amp;amp;gt;False&amp;amp;lt;/IsSubquery&amp;amp;gt;&amp;amp;lt;SubqueryTemplateName /&amp;amp;gt;&amp;amp;lt;/RHSItem&amp;amp;gt;&amp;amp;lt;RHSItem'"</definedName>
    <definedName name="_AMO_ContentDefinition_485496469.1264" hidden="1">"'&amp;amp;gt;&amp;amp;lt;RHSType&amp;amp;gt;EXPRESSION&amp;amp;lt;/RHSType&amp;amp;gt;&amp;amp;lt;AddQuotes&amp;amp;gt;True&amp;amp;lt;/AddQuotes&amp;amp;gt;&amp;amp;lt;DateFormat&amp;amp;gt;None&amp;amp;lt;/DateFormat&amp;amp;gt;&amp;amp;lt;RightHandSideExpression&amp;amp;gt;MFPR01006862&amp;amp;lt;/RightHandSideE'"</definedName>
    <definedName name="_AMO_ContentDefinition_485496469.1265"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1266" hidden="1">"'lt;/AddQuotes&amp;amp;gt;&amp;amp;lt;DateFormat&amp;amp;gt;None&amp;amp;lt;/DateFormat&amp;amp;gt;&amp;amp;lt;RightHandSideExpression&amp;amp;gt;MFPR01006863&amp;amp;lt;/RightHandSideExpression&amp;amp;gt;&amp;amp;lt;IsSubquery&amp;amp;gt;False&amp;amp;lt;/IsSubquery&amp;amp;gt;&amp;amp;lt;SubqueryTemplate'"</definedName>
    <definedName name="_AMO_ContentDefinition_485496469.1267"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485496469.1268" hidden="1">"'Expression&amp;amp;gt;MFPR01006864&amp;amp;lt;/RightHandSideExpression&amp;amp;gt;&amp;amp;lt;IsSubquery&amp;amp;gt;False&amp;amp;lt;/IsSubquery&amp;amp;gt;&amp;amp;lt;SubqueryTemplateName /&amp;amp;gt;&amp;amp;lt;/RHSItem&amp;amp;gt;&amp;amp;lt;RHSItem&amp;amp;gt;&amp;amp;lt;RHSType&amp;amp;gt;EXPRESSION&amp;amp;'"</definedName>
    <definedName name="_AMO_ContentDefinition_485496469.1269" hidden="1">"'lt;/RHSType&amp;amp;gt;&amp;amp;lt;AddQuotes&amp;amp;gt;True&amp;amp;lt;/AddQuotes&amp;amp;gt;&amp;amp;lt;DateFormat&amp;amp;gt;None&amp;amp;lt;/DateFormat&amp;amp;gt;&amp;amp;lt;RightHandSideExpression&amp;amp;gt;MFPR01006865&amp;amp;lt;/RightHandSideExpression&amp;amp;gt;&amp;amp;lt;IsSubquery&amp;amp;gt;Fal'"</definedName>
    <definedName name="_AMO_ContentDefinition_485496469.127" hidden="1">"'07536',&amp;#xD;&amp;#xA;'MFPR01007537',&amp;#xD;&amp;#xA;'MFPR01007538',&amp;#xD;&amp;#xA;'MFPR01007539',&amp;#xD;&amp;#xA;'MFPR01007540',&amp;#xD;&amp;#xA;'MFPR01007541',&amp;#xD;&amp;#xA;'MFPR01007543',&amp;#xD;&amp;#xA;'MFPR01007544',&amp;#xD;&amp;#xA;'MFPR01007545',&amp;#xD;&amp;#xA;'MFPR01007546',&amp;#xD;&amp;#xA;'MFPR0100'"</definedName>
    <definedName name="_AMO_ContentDefinition_485496469.1270"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1271" hidden="1">"';None&amp;amp;lt;/DateFormat&amp;amp;gt;&amp;amp;lt;RightHandSideExpression&amp;amp;gt;MFPR01006866&amp;amp;lt;/RightHandSideExpression&amp;amp;gt;&amp;amp;lt;IsSubquery&amp;amp;gt;False&amp;amp;lt;/IsSubquery&amp;amp;gt;&amp;amp;lt;SubqueryTemplateName /&amp;amp;gt;&amp;amp;lt;/RHSItem&amp;amp;gt;&amp;amp;lt;'"</definedName>
    <definedName name="_AMO_ContentDefinition_485496469.1272" hidden="1">"'RHSItem&amp;amp;gt;&amp;amp;lt;RHSType&amp;amp;gt;EXPRESSION&amp;amp;lt;/RHSType&amp;amp;gt;&amp;amp;lt;AddQuotes&amp;amp;gt;True&amp;amp;lt;/AddQuotes&amp;amp;gt;&amp;amp;lt;DateFormat&amp;amp;gt;None&amp;amp;lt;/DateFormat&amp;amp;gt;&amp;amp;lt;RightHandSideExpression&amp;amp;gt;MFPR01006867&amp;amp;lt;/RightHa'"</definedName>
    <definedName name="_AMO_ContentDefinition_485496469.1273"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485496469.1274" hidden="1">"'ue&amp;amp;lt;/AddQuotes&amp;amp;gt;&amp;amp;lt;DateFormat&amp;amp;gt;None&amp;amp;lt;/DateFormat&amp;amp;gt;&amp;amp;lt;RightHandSideExpression&amp;amp;gt;MFPR01006868&amp;amp;lt;/RightHandSideExpression&amp;amp;gt;&amp;amp;lt;IsSubquery&amp;amp;gt;False&amp;amp;lt;/IsSubquery&amp;amp;gt;&amp;amp;lt;SubqueryT'"</definedName>
    <definedName name="_AMO_ContentDefinition_485496469.1275"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485496469.1276" hidden="1">"'andSideExpression&amp;amp;gt;MFPR01006869&amp;amp;lt;/RightHandSideExpression&amp;amp;gt;&amp;amp;lt;IsSubquery&amp;amp;gt;False&amp;amp;lt;/IsSubquery&amp;amp;gt;&amp;amp;lt;SubqueryTemplateName /&amp;amp;gt;&amp;amp;lt;/RHSItem&amp;amp;gt;&amp;amp;lt;RHSItem&amp;amp;gt;&amp;amp;lt;RHSType&amp;amp;gt;EXPRESSI'"</definedName>
    <definedName name="_AMO_ContentDefinition_485496469.1277" hidden="1">"'ON&amp;amp;lt;/RHSType&amp;amp;gt;&amp;amp;lt;AddQuotes&amp;amp;gt;True&amp;amp;lt;/AddQuotes&amp;amp;gt;&amp;amp;lt;DateFormat&amp;amp;gt;None&amp;amp;lt;/DateFormat&amp;amp;gt;&amp;amp;lt;RightHandSideExpression&amp;amp;gt;MFPR01006870&amp;amp;lt;/RightHandSideExpression&amp;amp;gt;&amp;amp;lt;IsSubquery&amp;amp'"</definedName>
    <definedName name="_AMO_ContentDefinition_485496469.1278"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485496469.1279" hidden="1">"'&amp;amp;gt;None&amp;amp;lt;/DateFormat&amp;amp;gt;&amp;amp;lt;RightHandSideExpression&amp;amp;gt;MFPR01006871&amp;amp;lt;/RightHandSideExpression&amp;amp;gt;&amp;amp;lt;IsSubquery&amp;amp;gt;False&amp;amp;lt;/IsSubquery&amp;amp;gt;&amp;amp;lt;SubqueryTemplateName /&amp;amp;gt;&amp;amp;lt;/RHSItem&amp;amp;gt;&amp;'"</definedName>
    <definedName name="_AMO_ContentDefinition_485496469.128" hidden="1">"'7548',&amp;#xD;&amp;#xA;'MFPR01007549',&amp;#xD;&amp;#xA;'MFPR01007550',&amp;#xD;&amp;#xA;'MFPR01007551',&amp;#xD;&amp;#xA;'MFPR01007553',&amp;#xD;&amp;#xA;'MFPR01007554',&amp;#xD;&amp;#xA;'MFPR01007555',&amp;#xD;&amp;#xA;'MFPR01007556',&amp;#xD;&amp;#xA;'MFPR01007558',&amp;#xD;&amp;#xA;'MFPR01007559',&amp;#xD;&amp;#xA;'MFPR01007'"</definedName>
    <definedName name="_AMO_ContentDefinition_485496469.1280" hidden="1">"'amp;lt;RHSItem&amp;amp;gt;&amp;amp;lt;RHSType&amp;amp;gt;EXPRESSION&amp;amp;lt;/RHSType&amp;amp;gt;&amp;amp;lt;AddQuotes&amp;amp;gt;True&amp;amp;lt;/AddQuotes&amp;amp;gt;&amp;amp;lt;DateFormat&amp;amp;gt;None&amp;amp;lt;/DateFormat&amp;amp;gt;&amp;amp;lt;RightHandSideExpression&amp;amp;gt;MFPR01006872&amp;amp;lt;/'"</definedName>
    <definedName name="_AMO_ContentDefinition_485496469.1281"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485496469.1282" hidden="1">"'p;gt;True&amp;amp;lt;/AddQuotes&amp;amp;gt;&amp;amp;lt;DateFormat&amp;amp;gt;None&amp;amp;lt;/DateFormat&amp;amp;gt;&amp;amp;lt;RightHandSideExpression&amp;amp;gt;MFPR01006873&amp;amp;lt;/RightHandSideExpression&amp;amp;gt;&amp;amp;lt;IsSubquery&amp;amp;gt;False&amp;amp;lt;/IsSubquery&amp;amp;gt;&amp;amp;lt;Su'"</definedName>
    <definedName name="_AMO_ContentDefinition_485496469.1283"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1284" hidden="1">"';RightHandSideExpression&amp;amp;gt;MFPR01006874&amp;amp;lt;/RightHandSideExpression&amp;amp;gt;&amp;amp;lt;IsSubquery&amp;amp;gt;False&amp;amp;lt;/IsSubquery&amp;amp;gt;&amp;amp;lt;SubqueryTemplateName /&amp;amp;gt;&amp;amp;lt;/RHSItem&amp;amp;gt;&amp;amp;lt;RHSItem&amp;amp;gt;&amp;amp;lt;RHSType&amp;amp;gt;E'"</definedName>
    <definedName name="_AMO_ContentDefinition_485496469.1285" hidden="1">"'XPRESSION&amp;amp;lt;/RHSType&amp;amp;gt;&amp;amp;lt;AddQuotes&amp;amp;gt;True&amp;amp;lt;/AddQuotes&amp;amp;gt;&amp;amp;lt;DateFormat&amp;amp;gt;None&amp;amp;lt;/DateFormat&amp;amp;gt;&amp;amp;lt;RightHandSideExpression&amp;amp;gt;MFPR01006875&amp;amp;lt;/RightHandSideExpression&amp;amp;gt;&amp;amp;lt;IsSubqu'"</definedName>
    <definedName name="_AMO_ContentDefinition_485496469.1286"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485496469.1287" hidden="1">"'eFormat&amp;amp;gt;None&amp;amp;lt;/DateFormat&amp;amp;gt;&amp;amp;lt;RightHandSideExpression&amp;amp;gt;MFPR01006876&amp;amp;lt;/RightHandSideExpression&amp;amp;gt;&amp;amp;lt;IsSubquery&amp;amp;gt;False&amp;amp;lt;/IsSubquery&amp;amp;gt;&amp;amp;lt;SubqueryTemplateName /&amp;amp;gt;&amp;amp;lt;/RHSItem&amp;a'"</definedName>
    <definedName name="_AMO_ContentDefinition_485496469.1288" hidden="1">"'mp;gt;&amp;amp;lt;RHSItem&amp;amp;gt;&amp;amp;lt;RHSType&amp;amp;gt;EXPRESSION&amp;amp;lt;/RHSType&amp;amp;gt;&amp;amp;lt;AddQuotes&amp;amp;gt;True&amp;amp;lt;/AddQuotes&amp;amp;gt;&amp;amp;lt;DateFormat&amp;amp;gt;None&amp;amp;lt;/DateFormat&amp;amp;gt;&amp;amp;lt;RightHandSideExpression&amp;amp;gt;MFPR01006877&amp;a'"</definedName>
    <definedName name="_AMO_ContentDefinition_485496469.1289"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485496469.129" hidden="1">"'560',&amp;#xD;&amp;#xA;'MFPR01007561',&amp;#xD;&amp;#xA;'MFPR01007563',&amp;#xD;&amp;#xA;'MFPR01007564',&amp;#xD;&amp;#xA;'MFPR01007565',&amp;#xD;&amp;#xA;'MFPR01007566',&amp;#xD;&amp;#xA;'MFPR01007568',&amp;#xD;&amp;#xA;'MFPR01007569',&amp;#xD;&amp;#xA;'MFPR01007570',&amp;#xD;&amp;#xA;'MFPR01007571',&amp;#xD;&amp;#xA;'MFPR010075'"</definedName>
    <definedName name="_AMO_ContentDefinition_485496469.1290" hidden="1">"'otes&amp;amp;gt;True&amp;amp;lt;/AddQuotes&amp;amp;gt;&amp;amp;lt;DateFormat&amp;amp;gt;None&amp;amp;lt;/DateFormat&amp;amp;gt;&amp;amp;lt;RightHandSideExpression&amp;amp;gt;MFPR01006878&amp;amp;lt;/RightHandSideExpression&amp;amp;gt;&amp;amp;lt;IsSubquery&amp;amp;gt;False&amp;amp;lt;/IsSubquery&amp;amp;gt;&amp;am'"</definedName>
    <definedName name="_AMO_ContentDefinition_485496469.1291"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1292" hidden="1">"'&amp;amp;lt;RightHandSideExpression&amp;amp;gt;MFPR01006879&amp;amp;lt;/RightHandSideExpression&amp;amp;gt;&amp;amp;lt;IsSubquery&amp;amp;gt;False&amp;amp;lt;/IsSubquery&amp;amp;gt;&amp;amp;lt;SubqueryTemplateName /&amp;amp;gt;&amp;amp;lt;/RHSItem&amp;amp;gt;&amp;amp;lt;RHSItem&amp;amp;gt;&amp;amp;lt;RHSType&amp;a'"</definedName>
    <definedName name="_AMO_ContentDefinition_485496469.1293" hidden="1">"'mp;gt;EXPRESSION&amp;amp;lt;/RHSType&amp;amp;gt;&amp;amp;lt;AddQuotes&amp;amp;gt;True&amp;amp;lt;/AddQuotes&amp;amp;gt;&amp;amp;lt;DateFormat&amp;amp;gt;None&amp;amp;lt;/DateFormat&amp;amp;gt;&amp;amp;lt;RightHandSideExpression&amp;amp;gt;MFPR01006880&amp;amp;lt;/RightHandSideExpression&amp;amp;gt;&amp;amp;lt;'"</definedName>
    <definedName name="_AMO_ContentDefinition_485496469.1294"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1295" hidden="1">"';lt;DateFormat&amp;amp;gt;None&amp;amp;lt;/DateFormat&amp;amp;gt;&amp;amp;lt;RightHandSideExpression&amp;amp;gt;MFPR01006881&amp;amp;lt;/RightHandSideExpression&amp;amp;gt;&amp;amp;lt;IsSubquery&amp;amp;gt;False&amp;amp;lt;/IsSubquery&amp;amp;gt;&amp;amp;lt;SubqueryTemplateName /&amp;amp;gt;&amp;amp;lt;/RH'"</definedName>
    <definedName name="_AMO_ContentDefinition_485496469.1296" hidden="1">"'SItem&amp;amp;gt;&amp;amp;lt;RHSItem&amp;amp;gt;&amp;amp;lt;RHSType&amp;amp;gt;EXPRESSION&amp;amp;lt;/RHSType&amp;amp;gt;&amp;amp;lt;AddQuotes&amp;amp;gt;True&amp;amp;lt;/AddQuotes&amp;amp;gt;&amp;amp;lt;DateFormat&amp;amp;gt;None&amp;amp;lt;/DateFormat&amp;amp;gt;&amp;amp;lt;RightHandSideExpression&amp;amp;gt;MFPR010'"</definedName>
    <definedName name="_AMO_ContentDefinition_485496469.1297" hidden="1">"'06882&amp;amp;lt;/RightHandSideExpression&amp;amp;gt;&amp;amp;lt;IsSubquery&amp;amp;gt;False&amp;amp;lt;/IsSubquery&amp;amp;gt;&amp;amp;lt;SubqueryTemplateName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485496469.1298" hidden="1">"'t;AddQuotes&amp;amp;gt;True&amp;amp;lt;/AddQuotes&amp;amp;gt;&amp;amp;lt;DateFormat&amp;amp;gt;None&amp;amp;lt;/DateFormat&amp;amp;gt;&amp;amp;lt;RightHandSideExpression&amp;amp;gt;MFPR01006883&amp;amp;lt;/RightHandSideExpression&amp;amp;gt;&amp;amp;lt;IsSubquery&amp;amp;gt;False&amp;amp;lt;/IsSubquery&amp;amp'"</definedName>
    <definedName name="_AMO_ContentDefinition_485496469.1299"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485496469.13" hidden="1">"';&amp;#xA;'MFMSUP000088',&amp;#xD;&amp;#xA;'MFMSUP000103',&amp;#xD;&amp;#xA;'MFMSUP000104',&amp;#xD;&amp;#xA;'MFMSUP000105',&amp;#xD;&amp;#xA;'MFMSUP000106',&amp;#xD;&amp;#xA;'MFMSUP000107',&amp;#xD;&amp;#xA;'MFMSUP000108',&amp;#xD;&amp;#xA;'MFMSUP000109',&amp;#xD;&amp;#xA;'MFMSUP000110',&amp;#xD;&amp;#xA;'MFMSUP000111',&amp;#xD;'"</definedName>
    <definedName name="_AMO_ContentDefinition_485496469.130" hidden="1">"'72',&amp;#xD;&amp;#xA;'MFPR01007573',&amp;#xD;&amp;#xA;'MFPR01007574',&amp;#xD;&amp;#xA;'MFPR01007575',&amp;#xD;&amp;#xA;'MFPR01007576',&amp;#xD;&amp;#xA;'MFPR01007577',&amp;#xD;&amp;#xA;'MFPR01007578',&amp;#xD;&amp;#xA;'MFPR01007579',&amp;#xD;&amp;#xA;'MFPR01007580',&amp;#xD;&amp;#xA;'MFPR01007581',&amp;#xD;&amp;#xA;'MFPR0100758'"</definedName>
    <definedName name="_AMO_ContentDefinition_485496469.1300" hidden="1">"'amp;gt;&amp;amp;lt;RightHandSideExpression&amp;amp;gt;MFPR01006884&amp;amp;lt;/RightHandSideExpression&amp;amp;gt;&amp;amp;lt;IsSubquery&amp;amp;gt;False&amp;amp;lt;/IsSubquery&amp;amp;gt;&amp;amp;lt;SubqueryTemplateName /&amp;amp;gt;&amp;amp;lt;/RHSItem&amp;amp;gt;&amp;amp;lt;RHSItem&amp;amp;gt;&amp;amp;lt;RH'"</definedName>
    <definedName name="_AMO_ContentDefinition_485496469.1301" hidden="1">"'SType&amp;amp;gt;EXPRESSION&amp;amp;lt;/RHSType&amp;amp;gt;&amp;amp;lt;AddQuotes&amp;amp;gt;True&amp;amp;lt;/AddQuotes&amp;amp;gt;&amp;amp;lt;DateFormat&amp;amp;gt;None&amp;amp;lt;/DateFormat&amp;amp;gt;&amp;amp;lt;RightHandSideExpression&amp;amp;gt;MFPR01006885&amp;amp;lt;/RightHandSideExpression&amp;amp;gt;&amp;'"</definedName>
    <definedName name="_AMO_ContentDefinition_485496469.1302"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1303" hidden="1">"'gt;&amp;amp;lt;DateFormat&amp;amp;gt;None&amp;amp;lt;/DateFormat&amp;amp;gt;&amp;amp;lt;RightHandSideExpression&amp;amp;gt;MFPR01006886&amp;amp;lt;/RightHandSideExpression&amp;amp;gt;&amp;amp;lt;IsSubquery&amp;amp;gt;False&amp;amp;lt;/IsSubquery&amp;amp;gt;&amp;amp;lt;SubqueryTemplateName /&amp;amp;gt;&amp;amp'"</definedName>
    <definedName name="_AMO_ContentDefinition_485496469.1304" hidden="1">"';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1305" hidden="1">"'MFPR01006887&amp;amp;lt;/RightHandSideExpression&amp;amp;gt;&amp;amp;lt;IsSubquery&amp;amp;gt;False&amp;amp;lt;/IsSubquery&amp;amp;gt;&amp;amp;lt;SubqueryTemplateName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1306" hidden="1">"';&amp;amp;lt;AddQuotes&amp;amp;gt;True&amp;amp;lt;/AddQuotes&amp;amp;gt;&amp;amp;lt;DateFormat&amp;amp;gt;None&amp;amp;lt;/DateFormat&amp;amp;gt;&amp;amp;lt;RightHandSideExpression&amp;amp;gt;MFPR01006888&amp;amp;lt;/RightHandSideExpression&amp;amp;gt;&amp;amp;lt;IsSubquery&amp;amp;gt;False&amp;amp;lt;/IsSubqu'"</definedName>
    <definedName name="_AMO_ContentDefinition_485496469.1307"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485496469.1308" hidden="1">"'Format&amp;amp;gt;&amp;amp;lt;RightHandSideExpression&amp;amp;gt;MFPR01006889&amp;amp;lt;/RightHandSideExpression&amp;amp;gt;&amp;amp;lt;IsSubquery&amp;amp;gt;False&amp;amp;lt;/IsSubquery&amp;amp;gt;&amp;amp;lt;SubqueryTemplateName /&amp;amp;gt;&amp;amp;lt;/RHSItem&amp;amp;gt;&amp;amp;lt;RHSItem&amp;amp;gt;&amp;am'"</definedName>
    <definedName name="_AMO_ContentDefinition_485496469.1309" hidden="1">"'p;lt;RHSType&amp;amp;gt;EXPRESSION&amp;amp;lt;/RHSType&amp;amp;gt;&amp;amp;lt;AddQuotes&amp;amp;gt;True&amp;amp;lt;/AddQuotes&amp;amp;gt;&amp;amp;lt;DateFormat&amp;amp;gt;None&amp;amp;lt;/DateFormat&amp;amp;gt;&amp;amp;lt;RightHandSideExpression&amp;amp;gt;MFPR01006890&amp;amp;lt;/RightHandSideExpression&amp;a'"</definedName>
    <definedName name="_AMO_ContentDefinition_485496469.131" hidden="1">"'2',&amp;#xD;&amp;#xA;'MFPR01007583',&amp;#xD;&amp;#xA;'MFPR01007584',&amp;#xD;&amp;#xA;'MFPR01007585',&amp;#xD;&amp;#xA;'MFPR01007586',&amp;#xD;&amp;#xA;'MFPR01007587',&amp;#xD;&amp;#xA;'MFPR01007588',&amp;#xD;&amp;#xA;'MFPR01007589',&amp;#xD;&amp;#xA;'MFPR01007590',&amp;#xD;&amp;#xA;'MFPR01007591',&amp;#xD;&amp;#xA;'MFPR01007592'"</definedName>
    <definedName name="_AMO_ContentDefinition_485496469.1310"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485496469.1311" hidden="1">"'es&amp;amp;gt;&amp;amp;lt;DateFormat&amp;amp;gt;None&amp;amp;lt;/DateFormat&amp;amp;gt;&amp;amp;lt;RightHandSideExpression&amp;amp;gt;MFPR01006891&amp;amp;lt;/RightHandSideExpression&amp;amp;gt;&amp;amp;lt;IsSubquery&amp;amp;gt;False&amp;amp;lt;/IsSubquery&amp;amp;gt;&amp;amp;lt;SubqueryTemplateName /&amp;amp;'"</definedName>
    <definedName name="_AMO_ContentDefinition_485496469.1312" hidden="1">"'gt;&amp;amp;lt;/RHSItem&amp;amp;gt;&amp;amp;lt;RHSItem&amp;amp;gt;&amp;amp;lt;RHSType&amp;amp;gt;EXPRESSION&amp;amp;lt;/RHSType&amp;amp;gt;&amp;amp;lt;AddQuotes&amp;amp;gt;True&amp;amp;lt;/AddQuotes&amp;amp;gt;&amp;amp;lt;DateFormat&amp;amp;gt;None&amp;amp;lt;/DateFormat&amp;amp;gt;&amp;amp;lt;RightHandSideExpression&amp;'"</definedName>
    <definedName name="_AMO_ContentDefinition_485496469.1313" hidden="1">"'amp;gt;MFPR01006892&amp;amp;lt;/RightHandSideExpression&amp;amp;gt;&amp;amp;lt;IsSubquery&amp;amp;gt;False&amp;amp;lt;/IsSubquery&amp;amp;gt;&amp;amp;lt;SubqueryTemplateName /&amp;amp;gt;&amp;amp;lt;/RHSItem&amp;amp;gt;&amp;amp;lt;RHSItem&amp;amp;gt;&amp;amp;lt;RHSType&amp;amp;gt;EXPRESSION&amp;amp;lt;/RHSType'"</definedName>
    <definedName name="_AMO_ContentDefinition_485496469.1314" hidden="1">"'&amp;amp;gt;&amp;amp;lt;AddQuotes&amp;amp;gt;True&amp;amp;lt;/AddQuotes&amp;amp;gt;&amp;amp;lt;DateFormat&amp;amp;gt;None&amp;amp;lt;/DateFormat&amp;amp;gt;&amp;amp;lt;RightHandSideExpression&amp;amp;gt;MFPR01006893&amp;amp;lt;/RightHandSideExpression&amp;amp;gt;&amp;amp;lt;IsSubquery&amp;amp;gt;False&amp;amp;lt;/'"</definedName>
    <definedName name="_AMO_ContentDefinition_485496469.1315"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485496469.1316" hidden="1">"'t;/DateFormat&amp;amp;gt;&amp;amp;lt;RightHandSideExpression&amp;amp;gt;MFPR01006894&amp;amp;lt;/RightHandSideExpression&amp;amp;gt;&amp;amp;lt;IsSubquery&amp;amp;gt;False&amp;amp;lt;/IsSubquery&amp;amp;gt;&amp;amp;lt;SubqueryTemplateName /&amp;amp;gt;&amp;amp;lt;/RHSItem&amp;amp;gt;&amp;amp;lt;RHSItem&amp;amp'"</definedName>
    <definedName name="_AMO_ContentDefinition_485496469.1317" hidden="1">"';gt;&amp;amp;lt;RHSType&amp;amp;gt;EXPRESSION&amp;amp;lt;/RHSType&amp;amp;gt;&amp;amp;lt;AddQuotes&amp;amp;gt;True&amp;amp;lt;/AddQuotes&amp;amp;gt;&amp;amp;lt;DateFormat&amp;amp;gt;None&amp;amp;lt;/DateFormat&amp;amp;gt;&amp;amp;lt;RightHandSideExpression&amp;amp;gt;MFPR01006895&amp;amp;lt;/RightHandSideExpre'"</definedName>
    <definedName name="_AMO_ContentDefinition_485496469.1318"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1319" hidden="1">"'AddQuotes&amp;amp;gt;&amp;amp;lt;DateFormat&amp;amp;gt;None&amp;amp;lt;/DateFormat&amp;amp;gt;&amp;amp;lt;RightHandSideExpression&amp;amp;gt;MFPR01006896&amp;amp;lt;/RightHandSideExpression&amp;amp;gt;&amp;amp;lt;IsSubquery&amp;amp;gt;False&amp;amp;lt;/IsSubquery&amp;amp;gt;&amp;amp;lt;SubqueryTemplateName'"</definedName>
    <definedName name="_AMO_ContentDefinition_485496469.132" hidden="1">"'',&amp;#xD;&amp;#xA;'MFPR01007593',&amp;#xD;&amp;#xA;'MFPR01007594',&amp;#xD;&amp;#xA;'MFPR01007595',&amp;#xD;&amp;#xA;'MFPR01007596',&amp;#xD;&amp;#xA;'MFPR01007597',&amp;#xD;&amp;#xA;'MFPR01007598',&amp;#xD;&amp;#xA;'MFPR01007599',&amp;#xD;&amp;#xA;'MFPR01007600',&amp;#xD;&amp;#xA;'MFPR01007601',&amp;#xD;&amp;#xA;'MFPR01007602''"</definedName>
    <definedName name="_AMO_ContentDefinition_485496469.1320"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485496469.1321" hidden="1">"'ession&amp;amp;gt;MFPR01006897&amp;amp;lt;/RightHandSideExpression&amp;amp;gt;&amp;amp;lt;IsSubquery&amp;amp;gt;False&amp;amp;lt;/IsSubquery&amp;amp;gt;&amp;amp;lt;SubqueryTemplateName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1322" hidden="1">"'RHSType&amp;amp;gt;&amp;amp;lt;AddQuotes&amp;amp;gt;True&amp;amp;lt;/AddQuotes&amp;amp;gt;&amp;amp;lt;DateFormat&amp;amp;gt;None&amp;amp;lt;/DateFormat&amp;amp;gt;&amp;amp;lt;RightHandSideExpression&amp;amp;gt;MFPR01006898&amp;amp;lt;/RightHandSideExpression&amp;amp;gt;&amp;amp;lt;IsSubquery&amp;amp;gt;False&amp;a'"</definedName>
    <definedName name="_AMO_ContentDefinition_485496469.1323"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485496469.1324" hidden="1">"'e&amp;amp;lt;/DateFormat&amp;amp;gt;&amp;amp;lt;RightHandSideExpression&amp;amp;gt;MFPR01006899&amp;amp;lt;/RightHandSideExpression&amp;amp;gt;&amp;amp;lt;IsSubquery&amp;amp;gt;False&amp;amp;lt;/IsSubquery&amp;amp;gt;&amp;amp;lt;SubqueryTemplateName /&amp;amp;gt;&amp;amp;lt;/RHSItem&amp;amp;gt;&amp;amp;lt;RHSI'"</definedName>
    <definedName name="_AMO_ContentDefinition_485496469.1325" hidden="1">"'tem&amp;amp;gt;&amp;amp;lt;RHSType&amp;amp;gt;EXPRESSION&amp;amp;lt;/RHSType&amp;amp;gt;&amp;amp;lt;AddQuotes&amp;amp;gt;True&amp;amp;lt;/AddQuotes&amp;amp;gt;&amp;amp;lt;DateFormat&amp;amp;gt;None&amp;amp;lt;/DateFormat&amp;amp;gt;&amp;amp;lt;RightHandSideExpression&amp;amp;gt;MFPR01006900&amp;amp;lt;/RightHandSi'"</definedName>
    <definedName name="_AMO_ContentDefinition_485496469.1326"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485496469.1327" hidden="1">"'mp;lt;/AddQuotes&amp;amp;gt;&amp;amp;lt;DateFormat&amp;amp;gt;None&amp;amp;lt;/DateFormat&amp;amp;gt;&amp;amp;lt;RightHandSideExpression&amp;amp;gt;MFPR01006901&amp;amp;lt;/RightHandSideExpression&amp;amp;gt;&amp;amp;lt;IsSubquery&amp;amp;gt;False&amp;amp;lt;/IsSubquery&amp;amp;gt;&amp;amp;lt;SubqueryTempl'"</definedName>
    <definedName name="_AMO_ContentDefinition_485496469.1328"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485496469.1329" hidden="1">"'ideExpression&amp;amp;gt;MFPR01006902&amp;amp;lt;/RightHandSideExpression&amp;amp;gt;&amp;amp;lt;IsSubquery&amp;amp;gt;False&amp;amp;lt;/IsSubquery&amp;amp;gt;&amp;amp;lt;SubqueryTemplateName /&amp;amp;gt;&amp;amp;lt;/RHSItem&amp;amp;gt;&amp;amp;lt;RHSItem&amp;amp;gt;&amp;amp;lt;RHSType&amp;amp;gt;EXPRESSION&amp;a'"</definedName>
    <definedName name="_AMO_ContentDefinition_485496469.133" hidden="1">"',&amp;#xD;&amp;#xA;'MFPR01007603',&amp;#xD;&amp;#xA;'MFPR01007604',&amp;#xD;&amp;#xA;'MFPR01007605',&amp;#xD;&amp;#xA;'MFPR01007606',&amp;#xD;&amp;#xA;'MFPR01007607',&amp;#xD;&amp;#xA;'MFPR01007608',&amp;#xD;&amp;#xA;'MFPR01007609',&amp;#xD;&amp;#xA;'MFPR01007610',&amp;#xD;&amp;#xA;'MFPR01007611',&amp;#xD;&amp;#xA;'MFPR01007612','"</definedName>
    <definedName name="_AMO_ContentDefinition_485496469.1330" hidden="1">"'mp;lt;/RHSType&amp;amp;gt;&amp;amp;lt;AddQuotes&amp;amp;gt;True&amp;amp;lt;/AddQuotes&amp;amp;gt;&amp;amp;lt;DateFormat&amp;amp;gt;None&amp;amp;lt;/DateFormat&amp;amp;gt;&amp;amp;lt;RightHandSideExpression&amp;amp;gt;MFPR01006903&amp;amp;lt;/RightHandSideExpression&amp;amp;gt;&amp;amp;lt;IsSubquery&amp;amp;gt;'"</definedName>
    <definedName name="_AMO_ContentDefinition_485496469.1331"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1332" hidden="1">"';gt;None&amp;amp;lt;/DateFormat&amp;amp;gt;&amp;amp;lt;RightHandSideExpression&amp;amp;gt;MFPR01006904&amp;amp;lt;/RightHandSideExpression&amp;amp;gt;&amp;amp;lt;IsSubquery&amp;amp;gt;False&amp;amp;lt;/IsSubquery&amp;amp;gt;&amp;amp;lt;SubqueryTemplateName /&amp;amp;gt;&amp;amp;lt;/RHSItem&amp;amp;gt;&amp;amp;'"</definedName>
    <definedName name="_AMO_ContentDefinition_485496469.1333" hidden="1">"'lt;RHSItem&amp;amp;gt;&amp;amp;lt;RHSType&amp;amp;gt;EXPRESSION&amp;amp;lt;/RHSType&amp;amp;gt;&amp;amp;lt;AddQuotes&amp;amp;gt;True&amp;amp;lt;/AddQuotes&amp;amp;gt;&amp;amp;lt;DateFormat&amp;amp;gt;None&amp;amp;lt;/DateFormat&amp;amp;gt;&amp;amp;lt;RightHandSideExpression&amp;amp;gt;MFPR01006905&amp;amp;lt;/Righ'"</definedName>
    <definedName name="_AMO_ContentDefinition_485496469.1334"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1335" hidden="1">"';True&amp;amp;lt;/AddQuotes&amp;amp;gt;&amp;amp;lt;DateFormat&amp;amp;gt;None&amp;amp;lt;/DateFormat&amp;amp;gt;&amp;amp;lt;RightHandSideExpression&amp;amp;gt;MFPR01006906&amp;amp;lt;/RightHandSideExpression&amp;amp;gt;&amp;amp;lt;IsSubquery&amp;amp;gt;False&amp;amp;lt;/IsSubquery&amp;amp;gt;&amp;amp;lt;Subque'"</definedName>
    <definedName name="_AMO_ContentDefinition_485496469.1336"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485496469.1337" hidden="1">"'htHandSideExpression&amp;amp;gt;MFPR01006907&amp;amp;lt;/RightHandSideExpression&amp;amp;gt;&amp;amp;lt;IsSubquery&amp;amp;gt;False&amp;amp;lt;/IsSubquery&amp;amp;gt;&amp;amp;lt;SubqueryTemplateName /&amp;amp;gt;&amp;amp;lt;/RHSItem&amp;amp;gt;&amp;amp;lt;RHSItem&amp;amp;gt;&amp;amp;lt;RHSType&amp;amp;gt;EXPRE'"</definedName>
    <definedName name="_AMO_ContentDefinition_485496469.1338" hidden="1">"'SSION&amp;amp;lt;/RHSType&amp;amp;gt;&amp;amp;lt;AddQuotes&amp;amp;gt;True&amp;amp;lt;/AddQuotes&amp;amp;gt;&amp;amp;lt;DateFormat&amp;amp;gt;None&amp;amp;lt;/DateFormat&amp;amp;gt;&amp;amp;lt;RightHandSideExpression&amp;amp;gt;MFPR01006908&amp;amp;lt;/RightHandSideExpression&amp;amp;gt;&amp;amp;lt;IsSubquery&amp;'"</definedName>
    <definedName name="_AMO_ContentDefinition_485496469.1339"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485496469.134" hidden="1">"'&amp;#xD;&amp;#xA;'MFPR01007613',&amp;#xD;&amp;#xA;'MFPR01007614',&amp;#xD;&amp;#xA;'MFPR01007615',&amp;#xD;&amp;#xA;'MFPR01007616',&amp;#xD;&amp;#xA;'MFPR01007617',&amp;#xD;&amp;#xA;'MFPR01007618',&amp;#xD;&amp;#xA;'MFPR01007619',&amp;#xD;&amp;#xA;'MFPR01007620',&amp;#xD;&amp;#xA;'MFPR01007621',&amp;#xD;&amp;#xA;'MFPR01007622',&amp;'"</definedName>
    <definedName name="_AMO_ContentDefinition_485496469.1340" hidden="1">"'mat&amp;amp;gt;None&amp;amp;lt;/DateFormat&amp;amp;gt;&amp;amp;lt;RightHandSideExpression&amp;amp;gt;MFPR01006909&amp;amp;lt;/RightHandSideExpression&amp;amp;gt;&amp;amp;lt;IsSubquery&amp;amp;gt;False&amp;amp;lt;/IsSubquery&amp;amp;gt;&amp;amp;lt;SubqueryTemplateName /&amp;amp;gt;&amp;amp;lt;/RHSItem&amp;amp;g'"</definedName>
    <definedName name="_AMO_ContentDefinition_485496469.1341" hidden="1">"'t;&amp;amp;lt;RHSItem&amp;amp;gt;&amp;amp;lt;RHSType&amp;amp;gt;EXPRESSION&amp;amp;lt;/RHSType&amp;amp;gt;&amp;amp;lt;AddQuotes&amp;amp;gt;True&amp;amp;lt;/AddQuotes&amp;amp;gt;&amp;amp;lt;DateFormat&amp;amp;gt;None&amp;amp;lt;/DateFormat&amp;amp;gt;&amp;amp;lt;RightHandSideExpression&amp;amp;gt;MFPR01006910&amp;amp;l'"</definedName>
    <definedName name="_AMO_ContentDefinition_485496469.1342"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485496469.1343" hidden="1">"'&amp;amp;gt;True&amp;amp;lt;/AddQuotes&amp;amp;gt;&amp;amp;lt;DateFormat&amp;amp;gt;None&amp;amp;lt;/DateFormat&amp;amp;gt;&amp;amp;lt;RightHandSideExpression&amp;amp;gt;MFPR01006911&amp;amp;lt;/RightHandSideExpression&amp;amp;gt;&amp;amp;lt;IsSubquery&amp;amp;gt;False&amp;amp;lt;/IsSubquery&amp;amp;gt;&amp;amp;lt'"</definedName>
    <definedName name="_AMO_ContentDefinition_485496469.1344"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1345" hidden="1">"';lt;RightHandSideExpression&amp;amp;gt;MFPR01006912&amp;amp;lt;/RightHandSideExpression&amp;amp;gt;&amp;amp;lt;IsSubquery&amp;amp;gt;False&amp;amp;lt;/IsSubquery&amp;amp;gt;&amp;amp;lt;SubqueryTemplateName /&amp;amp;gt;&amp;amp;lt;/RHSItem&amp;amp;gt;&amp;amp;lt;RHSItem&amp;amp;gt;&amp;amp;lt;RHSType&amp;amp;g'"</definedName>
    <definedName name="_AMO_ContentDefinition_485496469.1346" hidden="1">"'t;EXPRESSION&amp;amp;lt;/RHSType&amp;amp;gt;&amp;amp;lt;AddQuotes&amp;amp;gt;True&amp;amp;lt;/AddQuotes&amp;amp;gt;&amp;amp;lt;DateFormat&amp;amp;gt;None&amp;amp;lt;/DateFormat&amp;amp;gt;&amp;amp;lt;RightHandSideExpression&amp;amp;gt;MFPR01006913&amp;amp;lt;/RightHandSideExpression&amp;amp;gt;&amp;amp;lt;IsSu'"</definedName>
    <definedName name="_AMO_ContentDefinition_485496469.1347"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1348" hidden="1">"'DateFormat&amp;amp;gt;None&amp;amp;lt;/DateFormat&amp;amp;gt;&amp;amp;lt;RightHandSideExpression&amp;amp;gt;MFPR01006914&amp;amp;lt;/RightHandSideExpression&amp;amp;gt;&amp;amp;lt;IsSubquery&amp;amp;gt;False&amp;amp;lt;/IsSubquery&amp;amp;gt;&amp;amp;lt;SubqueryTemplateName /&amp;amp;gt;&amp;amp;lt;/RHSIte'"</definedName>
    <definedName name="_AMO_ContentDefinition_485496469.1349" hidden="1">"'m&amp;amp;gt;&amp;amp;lt;RHSItem&amp;amp;gt;&amp;amp;lt;RHSType&amp;amp;gt;EXPRESSION&amp;amp;lt;/RHSType&amp;amp;gt;&amp;amp;lt;AddQuotes&amp;amp;gt;True&amp;amp;lt;/AddQuotes&amp;amp;gt;&amp;amp;lt;DateFormat&amp;amp;gt;None&amp;amp;lt;/DateFormat&amp;amp;gt;&amp;amp;lt;RightHandSideExpression&amp;amp;gt;MFPR0100691'"</definedName>
    <definedName name="_AMO_ContentDefinition_485496469.135" hidden="1">"'#xD;&amp;#xA;'MFPR01007623',&amp;#xD;&amp;#xA;'MFPR01007624',&amp;#xD;&amp;#xA;'MFPR01007625',&amp;#xD;&amp;#xA;'MFPR01007626',&amp;#xD;&amp;#xA;'MFPR01007627',&amp;#xD;&amp;#xA;'MFPR01007628',&amp;#xD;&amp;#xA;'MFPR01007629',&amp;#xD;&amp;#xA;'MFPR01007630',&amp;#xD;&amp;#xA;'MFPR01007631',&amp;#xD;&amp;#xA;'MFPR01007632',&amp;#'"</definedName>
    <definedName name="_AMO_ContentDefinition_485496469.1350" hidden="1">"'5&amp;amp;lt;/RightHandSideExpression&amp;amp;gt;&amp;amp;lt;IsSubquery&amp;amp;gt;False&amp;amp;lt;/IsSubquery&amp;amp;gt;&amp;amp;lt;SubqueryTemplateName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485496469.1351" hidden="1">"'dQuotes&amp;amp;gt;True&amp;amp;lt;/AddQuotes&amp;amp;gt;&amp;amp;lt;DateFormat&amp;amp;gt;None&amp;amp;lt;/DateFormat&amp;amp;gt;&amp;amp;lt;RightHandSideExpression&amp;amp;gt;MFPR01006916&amp;amp;lt;/RightHandSideExpression&amp;amp;gt;&amp;amp;lt;IsSubquery&amp;amp;gt;False&amp;amp;lt;/IsSubquery&amp;amp;gt;'"</definedName>
    <definedName name="_AMO_ContentDefinition_485496469.1352"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1353" hidden="1">"'gt;&amp;amp;lt;RightHandSideExpression&amp;amp;gt;MFPR01006917&amp;amp;lt;/RightHandSideExpression&amp;amp;gt;&amp;amp;lt;IsSubquery&amp;amp;gt;False&amp;amp;lt;/IsSubquery&amp;amp;gt;&amp;amp;lt;SubqueryTemplateName /&amp;amp;gt;&amp;amp;lt;/RHSItem&amp;amp;gt;&amp;amp;lt;RHSItem&amp;amp;gt;&amp;amp;lt;RHSTyp'"</definedName>
    <definedName name="_AMO_ContentDefinition_485496469.1354" hidden="1">"'e&amp;amp;gt;EXPRESSION&amp;amp;lt;/RHSType&amp;amp;gt;&amp;amp;lt;AddQuotes&amp;amp;gt;True&amp;amp;lt;/AddQuotes&amp;amp;gt;&amp;amp;lt;DateFormat&amp;amp;gt;None&amp;amp;lt;/DateFormat&amp;amp;gt;&amp;amp;lt;RightHandSideExpression&amp;amp;gt;MFPR01006918&amp;amp;lt;/RightHandSideExpression&amp;amp;gt;&amp;amp;'"</definedName>
    <definedName name="_AMO_ContentDefinition_485496469.1355"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485496469.1356" hidden="1">"'amp;lt;DateFormat&amp;amp;gt;None&amp;amp;lt;/DateFormat&amp;amp;gt;&amp;amp;lt;RightHandSideExpression&amp;amp;gt;MFPR01006919&amp;amp;lt;/RightHandSideExpression&amp;amp;gt;&amp;amp;lt;IsSubquery&amp;amp;gt;False&amp;amp;lt;/IsSubquery&amp;amp;gt;&amp;amp;lt;SubqueryTemplateName /&amp;amp;gt;&amp;amp;lt;'"</definedName>
    <definedName name="_AMO_ContentDefinition_485496469.1357" hidden="1">"'/RHSItem&amp;amp;gt;&amp;amp;lt;RHSItem&amp;amp;gt;&amp;amp;lt;RHSType&amp;amp;gt;EXPRESSION&amp;amp;lt;/RHSType&amp;amp;gt;&amp;amp;lt;AddQuotes&amp;amp;gt;True&amp;amp;lt;/AddQuotes&amp;amp;gt;&amp;amp;lt;DateFormat&amp;amp;gt;None&amp;amp;lt;/DateFormat&amp;amp;gt;&amp;amp;lt;RightHandSideExpression&amp;amp;gt;MFPR'"</definedName>
    <definedName name="_AMO_ContentDefinition_485496469.1358" hidden="1">"'01006920&amp;amp;lt;/RightHandSideExpression&amp;amp;gt;&amp;amp;lt;IsSubquery&amp;amp;gt;False&amp;amp;lt;/IsSubquery&amp;amp;gt;&amp;amp;lt;SubqueryTemplateName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485496469.1359" hidden="1">"'p;lt;AddQuotes&amp;amp;gt;True&amp;amp;lt;/AddQuotes&amp;amp;gt;&amp;amp;lt;DateFormat&amp;amp;gt;None&amp;amp;lt;/DateFormat&amp;amp;gt;&amp;amp;lt;RightHandSideExpression&amp;amp;gt;MFPR01006921&amp;amp;lt;/RightHandSideExpression&amp;amp;gt;&amp;amp;lt;IsSubquery&amp;amp;gt;False&amp;amp;lt;/IsSubquery&amp;'"</definedName>
    <definedName name="_AMO_ContentDefinition_485496469.136" hidden="1">"'xD;&amp;#xA;'MFPR01007633',&amp;#xD;&amp;#xA;'MFPR01007634',&amp;#xD;&amp;#xA;'MFPR01007635',&amp;#xD;&amp;#xA;'MFPR01007636',&amp;#xD;&amp;#xA;'MFPR01007637',&amp;#xD;&amp;#xA;'MFPR01007638',&amp;#xD;&amp;#xA;'MFPR01007639',&amp;#xD;&amp;#xA;'MFPR01007640',&amp;#xD;&amp;#xA;'MFPR01007641',&amp;#xD;&amp;#xA;'MFPR01007642',&amp;#x'"</definedName>
    <definedName name="_AMO_ContentDefinition_485496469.1360"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485496469.1361" hidden="1">"'at&amp;amp;gt;&amp;amp;lt;RightHandSideExpression&amp;amp;gt;MFPR01006922&amp;amp;lt;/RightHandSideExpression&amp;amp;gt;&amp;amp;lt;IsSubquery&amp;amp;gt;False&amp;amp;lt;/IsSubquery&amp;amp;gt;&amp;amp;lt;SubqueryTemplateName /&amp;amp;gt;&amp;amp;lt;/RHSItem&amp;amp;gt;&amp;amp;lt;RHSItem&amp;amp;gt;&amp;amp;lt'"</definedName>
    <definedName name="_AMO_ContentDefinition_485496469.1362" hidden="1">"';RHSType&amp;amp;gt;EXPRESSION&amp;amp;lt;/RHSType&amp;amp;gt;&amp;amp;lt;AddQuotes&amp;amp;gt;True&amp;amp;lt;/AddQuotes&amp;amp;gt;&amp;amp;lt;DateFormat&amp;amp;gt;None&amp;amp;lt;/DateFormat&amp;amp;gt;&amp;amp;lt;RightHandSideExpression&amp;amp;gt;MFPR01006923&amp;amp;lt;/RightHandSideExpression&amp;amp;g'"</definedName>
    <definedName name="_AMO_ContentDefinition_485496469.1363"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485496469.1364" hidden="1">"'mp;gt;&amp;amp;lt;DateFormat&amp;amp;gt;None&amp;amp;lt;/DateFormat&amp;amp;gt;&amp;amp;lt;RightHandSideExpression&amp;amp;gt;MFPR01006924&amp;amp;lt;/RightHandSideExpression&amp;amp;gt;&amp;amp;lt;IsSubquery&amp;amp;gt;False&amp;amp;lt;/IsSubquery&amp;amp;gt;&amp;amp;lt;SubqueryTemplateName /&amp;amp;gt;&amp;'"</definedName>
    <definedName name="_AMO_ContentDefinition_485496469.1365" hidden="1">"'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1366" hidden="1">"'gt;MFPR01006925&amp;amp;lt;/RightHandSideExpression&amp;amp;gt;&amp;amp;lt;IsSubquery&amp;amp;gt;False&amp;amp;lt;/IsSubquery&amp;amp;gt;&amp;amp;lt;SubqueryTemplateName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1367" hidden="1">"';gt;&amp;amp;lt;AddQuotes&amp;amp;gt;True&amp;amp;lt;/AddQuotes&amp;amp;gt;&amp;amp;lt;DateFormat&amp;amp;gt;None&amp;amp;lt;/DateFormat&amp;amp;gt;&amp;amp;lt;RightHandSideExpression&amp;amp;gt;MFPR01006926&amp;amp;lt;/RightHandSideExpression&amp;amp;gt;&amp;amp;lt;IsSubquery&amp;amp;gt;False&amp;amp;lt;/IsSu'"</definedName>
    <definedName name="_AMO_ContentDefinition_485496469.1368"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485496469.1369" hidden="1">"'ateFormat&amp;amp;gt;&amp;amp;lt;RightHandSideExpression&amp;amp;gt;MFPR01006927&amp;amp;lt;/RightHandSideExpression&amp;amp;gt;&amp;amp;lt;IsSubquery&amp;amp;gt;False&amp;amp;lt;/IsSubquery&amp;amp;gt;&amp;amp;lt;SubqueryTemplateName /&amp;amp;gt;&amp;amp;lt;/RHSItem&amp;amp;gt;&amp;amp;lt;RHSItem&amp;amp;gt;'"</definedName>
    <definedName name="_AMO_ContentDefinition_485496469.137" hidden="1">"'D;&amp;#xA;'MFPR01007643',&amp;#xD;&amp;#xA;'MFPR01007644',&amp;#xD;&amp;#xA;'MFPR01007645',&amp;#xD;&amp;#xA;'MFPR01007646',&amp;#xD;&amp;#xA;'MFPR01007647',&amp;#xD;&amp;#xA;'MFPR01007648',&amp;#xD;&amp;#xA;'MFPR01007649',&amp;#xD;&amp;#xA;'MFPR01007650',&amp;#xD;&amp;#xA;'MFPR01007651',&amp;#xD;&amp;#xA;'MFPR01007652',&amp;#xD'"</definedName>
    <definedName name="_AMO_ContentDefinition_485496469.1370" hidden="1">"'&amp;amp;lt;RHSType&amp;amp;gt;EXPRESSION&amp;amp;lt;/RHSType&amp;amp;gt;&amp;amp;lt;AddQuotes&amp;amp;gt;True&amp;amp;lt;/AddQuotes&amp;amp;gt;&amp;amp;lt;DateFormat&amp;amp;gt;None&amp;amp;lt;/DateFormat&amp;amp;gt;&amp;amp;lt;RightHandSideExpression&amp;amp;gt;MFPR01006928&amp;amp;lt;/RightHandSideExpressio'"</definedName>
    <definedName name="_AMO_ContentDefinition_485496469.1371"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485496469.1372" hidden="1">"'uotes&amp;amp;gt;&amp;amp;lt;DateFormat&amp;amp;gt;None&amp;amp;lt;/DateFormat&amp;amp;gt;&amp;amp;lt;RightHandSideExpression&amp;amp;gt;MFPR01006929&amp;amp;lt;/RightHandSideExpression&amp;amp;gt;&amp;amp;lt;IsSubquery&amp;amp;gt;False&amp;amp;lt;/IsSubquery&amp;amp;gt;&amp;amp;lt;SubqueryTemplateName /&amp;a'"</definedName>
    <definedName name="_AMO_ContentDefinition_485496469.1373"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485496469.1374" hidden="1">"'on&amp;amp;gt;MFPR01006930&amp;amp;lt;/RightHandSideExpression&amp;amp;gt;&amp;amp;lt;IsSubquery&amp;amp;gt;False&amp;amp;lt;/IsSubquery&amp;amp;gt;&amp;amp;lt;SubqueryTemplateName /&amp;amp;gt;&amp;amp;lt;/RHSItem&amp;amp;gt;&amp;amp;lt;RHSItem&amp;amp;gt;&amp;amp;lt;RHSType&amp;amp;gt;EXPRESSION&amp;amp;lt;/RHST'"</definedName>
    <definedName name="_AMO_ContentDefinition_485496469.1375" hidden="1">"'ype&amp;amp;gt;&amp;amp;lt;AddQuotes&amp;amp;gt;True&amp;amp;lt;/AddQuotes&amp;amp;gt;&amp;amp;lt;DateFormat&amp;amp;gt;None&amp;amp;lt;/DateFormat&amp;amp;gt;&amp;amp;lt;RightHandSideExpression&amp;amp;gt;MFPR01006931&amp;amp;lt;/RightHandSideExpression&amp;amp;gt;&amp;amp;lt;IsSubquery&amp;amp;gt;False&amp;amp;l'"</definedName>
    <definedName name="_AMO_ContentDefinition_485496469.1376"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485496469.1377" hidden="1">"'p;lt;/DateFormat&amp;amp;gt;&amp;amp;lt;RightHandSideExpression&amp;amp;gt;MFPR01006932&amp;amp;lt;/RightHandSideExpression&amp;amp;gt;&amp;amp;lt;IsSubquery&amp;amp;gt;False&amp;amp;lt;/IsSubquery&amp;amp;gt;&amp;amp;lt;SubqueryTemplateName /&amp;amp;gt;&amp;amp;lt;/RHSItem&amp;amp;gt;&amp;amp;lt;RHSItem&amp;'"</definedName>
    <definedName name="_AMO_ContentDefinition_485496469.1378" hidden="1">"'amp;gt;&amp;amp;lt;RHSType&amp;amp;gt;EXPRESSION&amp;amp;lt;/RHSType&amp;amp;gt;&amp;amp;lt;AddQuotes&amp;amp;gt;True&amp;amp;lt;/AddQuotes&amp;amp;gt;&amp;amp;lt;DateFormat&amp;amp;gt;None&amp;amp;lt;/DateFormat&amp;amp;gt;&amp;amp;lt;RightHandSideExpression&amp;amp;gt;MFPR01006933&amp;amp;lt;/RightHandSideEx'"</definedName>
    <definedName name="_AMO_ContentDefinition_485496469.1379"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485496469.138" hidden="1">"';&amp;#xA;'MFPR01007653',&amp;#xD;&amp;#xA;'MFPR01007654',&amp;#xD;&amp;#xA;'MFPR01007655',&amp;#xD;&amp;#xA;'MFPR01007656',&amp;#xD;&amp;#xA;'MFPR01007657',&amp;#xD;&amp;#xA;'MFPR01007658',&amp;#xD;&amp;#xA;'MFPR01007659',&amp;#xD;&amp;#xA;'MFPR01007660',&amp;#xD;&amp;#xA;'MFPR01007661',&amp;#xD;&amp;#xA;'MFPR01007662',&amp;#xD;'"</definedName>
    <definedName name="_AMO_ContentDefinition_485496469.1380" hidden="1">"'t;/AddQuotes&amp;amp;gt;&amp;amp;lt;DateFormat&amp;amp;gt;None&amp;amp;lt;/DateFormat&amp;amp;gt;&amp;amp;lt;RightHandSideExpression&amp;amp;gt;MFPR01006934&amp;amp;lt;/RightHandSideExpression&amp;amp;gt;&amp;amp;lt;IsSubquery&amp;amp;gt;False&amp;amp;lt;/IsSubquery&amp;amp;gt;&amp;amp;lt;SubqueryTemplateN'"</definedName>
    <definedName name="_AMO_ContentDefinition_485496469.1381"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485496469.1382" hidden="1">"'xpression&amp;amp;gt;MFPR01006935&amp;amp;lt;/RightHandSideExpression&amp;amp;gt;&amp;amp;lt;IsSubquery&amp;amp;gt;False&amp;amp;lt;/IsSubquery&amp;amp;gt;&amp;amp;lt;SubqueryTemplateName /&amp;amp;gt;&amp;amp;lt;/RHSItem&amp;amp;gt;&amp;amp;lt;RHSItem&amp;amp;gt;&amp;amp;lt;RHSType&amp;amp;gt;EXPRESSION&amp;amp;l'"</definedName>
    <definedName name="_AMO_ContentDefinition_485496469.1383" hidden="1">"'t;/RHSType&amp;amp;gt;&amp;amp;lt;AddQuotes&amp;amp;gt;True&amp;amp;lt;/AddQuotes&amp;amp;gt;&amp;amp;lt;DateFormat&amp;amp;gt;None&amp;amp;lt;/DateFormat&amp;amp;gt;&amp;amp;lt;RightHandSideExpression&amp;amp;gt;MFPR01006936&amp;amp;lt;/RightHandSideExpression&amp;amp;gt;&amp;amp;lt;IsSubquery&amp;amp;gt;Fals'"</definedName>
    <definedName name="_AMO_ContentDefinition_485496469.1384"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1385" hidden="1">"'None&amp;amp;lt;/DateFormat&amp;amp;gt;&amp;amp;lt;RightHandSideExpression&amp;amp;gt;MFPR01006937&amp;amp;lt;/RightHandSideExpression&amp;amp;gt;&amp;amp;lt;IsSubquery&amp;amp;gt;False&amp;amp;lt;/IsSubquery&amp;amp;gt;&amp;amp;lt;SubqueryTemplateName /&amp;amp;gt;&amp;amp;lt;/RHSItem&amp;amp;gt;&amp;amp;lt;R'"</definedName>
    <definedName name="_AMO_ContentDefinition_485496469.1386" hidden="1">"'HSItem&amp;amp;gt;&amp;amp;lt;RHSType&amp;amp;gt;EXPRESSION&amp;amp;lt;/RHSType&amp;amp;gt;&amp;amp;lt;AddQuotes&amp;amp;gt;True&amp;amp;lt;/AddQuotes&amp;amp;gt;&amp;amp;lt;DateFormat&amp;amp;gt;None&amp;amp;lt;/DateFormat&amp;amp;gt;&amp;amp;lt;RightHandSideExpression&amp;amp;gt;MFPR01006938&amp;amp;lt;/RightHan'"</definedName>
    <definedName name="_AMO_ContentDefinition_485496469.1387"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485496469.1388" hidden="1">"'e&amp;amp;lt;/AddQuotes&amp;amp;gt;&amp;amp;lt;DateFormat&amp;amp;gt;None&amp;amp;lt;/DateFormat&amp;amp;gt;&amp;amp;lt;RightHandSideExpression&amp;amp;gt;MFPR01006939&amp;amp;lt;/RightHandSideExpression&amp;amp;gt;&amp;amp;lt;IsSubquery&amp;amp;gt;False&amp;amp;lt;/IsSubquery&amp;amp;gt;&amp;amp;lt;SubqueryTe'"</definedName>
    <definedName name="_AMO_ContentDefinition_485496469.1389"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485496469.139" hidden="1">"'&amp;#xA;'MFPR01007663',&amp;#xD;&amp;#xA;'MFPR01007664',&amp;#xD;&amp;#xA;'MFPR01007665',&amp;#xD;&amp;#xA;'MFPR01007666',&amp;#xD;&amp;#xA;'MFPR01007667',&amp;#xD;&amp;#xA;'MFPR01007668',&amp;#xD;&amp;#xA;'MFPR01007669',&amp;#xD;&amp;#xA;'MFPR01007670',&amp;#xD;&amp;#xA;'MFPR01007671',&amp;#xD;&amp;#xA;'MFPR01007672',&amp;#xD;&amp;'"</definedName>
    <definedName name="_AMO_ContentDefinition_485496469.1390" hidden="1">"'ndSideExpression&amp;amp;gt;MFPR01006940&amp;amp;lt;/RightHandSideExpression&amp;amp;gt;&amp;amp;lt;IsSubquery&amp;amp;gt;False&amp;amp;lt;/IsSubquery&amp;amp;gt;&amp;amp;lt;SubqueryTemplateName /&amp;amp;gt;&amp;amp;lt;/RHSItem&amp;amp;gt;&amp;amp;lt;RHSItem&amp;amp;gt;&amp;amp;lt;RHSType&amp;amp;gt;EXPRESSIO'"</definedName>
    <definedName name="_AMO_ContentDefinition_485496469.1391" hidden="1">"'N&amp;amp;lt;/RHSType&amp;amp;gt;&amp;amp;lt;AddQuotes&amp;amp;gt;True&amp;amp;lt;/AddQuotes&amp;amp;gt;&amp;amp;lt;DateFormat&amp;amp;gt;None&amp;amp;lt;/DateFormat&amp;amp;gt;&amp;amp;lt;RightHandSideExpression&amp;amp;gt;MFPR01006941&amp;amp;lt;/RightHandSideExpression&amp;amp;gt;&amp;amp;lt;IsSubquery&amp;amp;'"</definedName>
    <definedName name="_AMO_ContentDefinition_485496469.1392"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485496469.1393" hidden="1">"'amp;gt;None&amp;amp;lt;/DateFormat&amp;amp;gt;&amp;amp;lt;RightHandSideExpression&amp;amp;gt;MFPR01006942&amp;amp;lt;/RightHandSideExpression&amp;amp;gt;&amp;amp;lt;IsSubquery&amp;amp;gt;False&amp;amp;lt;/IsSubquery&amp;amp;gt;&amp;amp;lt;SubqueryTemplateName /&amp;amp;gt;&amp;amp;lt;/RHSItem&amp;amp;gt;&amp;a'"</definedName>
    <definedName name="_AMO_ContentDefinition_485496469.1394" hidden="1">"'mp;lt;RHSItem&amp;amp;gt;&amp;amp;lt;RHSType&amp;amp;gt;EXPRESSION&amp;amp;lt;/RHSType&amp;amp;gt;&amp;amp;lt;AddQuotes&amp;amp;gt;True&amp;amp;lt;/AddQuotes&amp;amp;gt;&amp;amp;lt;DateFormat&amp;amp;gt;None&amp;amp;lt;/DateFormat&amp;amp;gt;&amp;amp;lt;RightHandSideExpression&amp;amp;gt;MFPR01006943&amp;amp;lt;/R'"</definedName>
    <definedName name="_AMO_ContentDefinition_485496469.1395"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1396" hidden="1">"';gt;True&amp;amp;lt;/AddQuotes&amp;amp;gt;&amp;amp;lt;DateFormat&amp;amp;gt;None&amp;amp;lt;/DateFormat&amp;amp;gt;&amp;amp;lt;RightHandSideExpression&amp;amp;gt;MFPR01006944&amp;amp;lt;/RightHandSideExpression&amp;amp;gt;&amp;amp;lt;IsSubquery&amp;amp;gt;False&amp;amp;lt;/IsSubquery&amp;amp;gt;&amp;amp;lt;Sub'"</definedName>
    <definedName name="_AMO_ContentDefinition_485496469.1397"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1398" hidden="1">"'RightHandSideExpression&amp;amp;gt;MFPR01006945&amp;amp;lt;/RightHandSideExpression&amp;amp;gt;&amp;amp;lt;IsSubquery&amp;amp;gt;False&amp;amp;lt;/IsSubquery&amp;amp;gt;&amp;amp;lt;SubqueryTemplateName /&amp;amp;gt;&amp;amp;lt;/RHSItem&amp;amp;gt;&amp;amp;lt;RHSItem&amp;amp;gt;&amp;amp;lt;RHSType&amp;amp;gt;EX'"</definedName>
    <definedName name="_AMO_ContentDefinition_485496469.1399" hidden="1">"'PRESSION&amp;amp;lt;/RHSType&amp;amp;gt;&amp;amp;lt;AddQuotes&amp;amp;gt;True&amp;amp;lt;/AddQuotes&amp;amp;gt;&amp;amp;lt;DateFormat&amp;amp;gt;None&amp;amp;lt;/DateFormat&amp;amp;gt;&amp;amp;lt;RightHandSideExpression&amp;amp;gt;MFPR01006946&amp;amp;lt;/RightHandSideExpression&amp;amp;gt;&amp;amp;lt;IsSubque'"</definedName>
    <definedName name="_AMO_ContentDefinition_485496469.14" hidden="1">"'&amp;#xA;'MFMSUP000112',&amp;#xD;&amp;#xA;'MFMSUP000113',&amp;#xD;&amp;#xA;'MFMSUP000114',&amp;#xD;&amp;#xA;'MFMSUP000115',&amp;#xD;&amp;#xA;'MFMSUP000116',&amp;#xD;&amp;#xA;'MFMSUP000117',&amp;#xD;&amp;#xA;'MFMSUP000118',&amp;#xD;&amp;#xA;'MFMSUP000120',&amp;#xD;&amp;#xA;'MFMSUP000122',&amp;#xD;&amp;#xA;'MFPR01000161',&amp;#xD;&amp;'"</definedName>
    <definedName name="_AMO_ContentDefinition_485496469.140" hidden="1">"'#xA;'MFPR01007673',&amp;#xD;&amp;#xA;'MFPR01007674',&amp;#xD;&amp;#xA;'MFPR01007675',&amp;#xD;&amp;#xA;'MFPR01007676',&amp;#xD;&amp;#xA;'MFPR01007677',&amp;#xD;&amp;#xA;'MFPR01007678',&amp;#xD;&amp;#xA;'MFPR01007679',&amp;#xD;&amp;#xA;'MFPR01007680',&amp;#xD;&amp;#xA;'MFPR01007681',&amp;#xD;&amp;#xA;'MFPR01007682',&amp;#xD;&amp;#'"</definedName>
    <definedName name="_AMO_ContentDefinition_485496469.1400"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485496469.1401" hidden="1">"'Format&amp;amp;gt;None&amp;amp;lt;/DateFormat&amp;amp;gt;&amp;amp;lt;RightHandSideExpression&amp;amp;gt;MFPR01006947&amp;amp;lt;/RightHandSideExpression&amp;amp;gt;&amp;amp;lt;IsSubquery&amp;amp;gt;False&amp;amp;lt;/IsSubquery&amp;amp;gt;&amp;amp;lt;SubqueryTemplateName /&amp;amp;gt;&amp;amp;lt;/RHSItem&amp;am'"</definedName>
    <definedName name="_AMO_ContentDefinition_485496469.1402" hidden="1">"'p;gt;&amp;amp;lt;RHSItem&amp;amp;gt;&amp;amp;lt;RHSType&amp;amp;gt;EXPRESSION&amp;amp;lt;/RHSType&amp;amp;gt;&amp;amp;lt;AddQuotes&amp;amp;gt;True&amp;amp;lt;/AddQuotes&amp;amp;gt;&amp;amp;lt;DateFormat&amp;amp;gt;None&amp;amp;lt;/DateFormat&amp;amp;gt;&amp;amp;lt;RightHandSideExpression&amp;amp;gt;MFPR01006948&amp;am'"</definedName>
    <definedName name="_AMO_ContentDefinition_485496469.1403"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485496469.1404" hidden="1">"'tes&amp;amp;gt;True&amp;amp;lt;/AddQuotes&amp;amp;gt;&amp;amp;lt;DateFormat&amp;amp;gt;None&amp;amp;lt;/DateFormat&amp;amp;gt;&amp;amp;lt;RightHandSideExpression&amp;amp;gt;MFPR01006949&amp;amp;lt;/RightHandSideExpression&amp;amp;gt;&amp;amp;lt;IsSubquery&amp;amp;gt;False&amp;amp;lt;/IsSubquery&amp;amp;gt;&amp;amp'"</definedName>
    <definedName name="_AMO_ContentDefinition_485496469.1405"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485496469.1406" hidden="1">"'amp;lt;RightHandSideExpression&amp;amp;gt;MFPR01006950&amp;amp;lt;/RightHandSideExpression&amp;amp;gt;&amp;amp;lt;IsSubquery&amp;amp;gt;False&amp;amp;lt;/IsSubquery&amp;amp;gt;&amp;amp;lt;SubqueryTemplateName /&amp;amp;gt;&amp;amp;lt;/RHSItem&amp;amp;gt;&amp;amp;lt;RHSItem&amp;amp;gt;&amp;amp;lt;RHSType&amp;am'"</definedName>
    <definedName name="_AMO_ContentDefinition_485496469.1407" hidden="1">"'p;gt;EXPRESSION&amp;amp;lt;/RHSType&amp;amp;gt;&amp;amp;lt;AddQuotes&amp;amp;gt;True&amp;amp;lt;/AddQuotes&amp;amp;gt;&amp;amp;lt;DateFormat&amp;amp;gt;None&amp;amp;lt;/DateFormat&amp;amp;gt;&amp;amp;lt;RightHandSideExpression&amp;amp;gt;MFPR01006951&amp;amp;lt;/RightHandSideExpression&amp;amp;gt;&amp;amp;lt;I'"</definedName>
    <definedName name="_AMO_ContentDefinition_485496469.1408"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1409" hidden="1">"'lt;DateFormat&amp;amp;gt;None&amp;amp;lt;/DateFormat&amp;amp;gt;&amp;amp;lt;RightHandSideExpression&amp;amp;gt;MFPR01006952&amp;amp;lt;/RightHandSideExpression&amp;amp;gt;&amp;amp;lt;IsSubquery&amp;amp;gt;False&amp;amp;lt;/IsSubquery&amp;amp;gt;&amp;amp;lt;SubqueryTemplateName /&amp;amp;gt;&amp;amp;lt;/RHS'"</definedName>
    <definedName name="_AMO_ContentDefinition_485496469.141" hidden="1">"'xA;'MFPR01007683',&amp;#xD;&amp;#xA;'MFPR01007684',&amp;#xD;&amp;#xA;'MFPR01007685',&amp;#xD;&amp;#xA;'MFPR01007686',&amp;#xD;&amp;#xA;'MFPR01007687',&amp;#xD;&amp;#xA;'MFPR01007688',&amp;#xD;&amp;#xA;'MFPR01007689',&amp;#xD;&amp;#xA;'MFPR01007690',&amp;#xD;&amp;#xA;'MFPR01007691',&amp;#xD;&amp;#xA;'MFPR01007692',&amp;#xD;&amp;#x'"</definedName>
    <definedName name="_AMO_ContentDefinition_485496469.1410" hidden="1">"'Item&amp;amp;gt;&amp;amp;lt;RHSItem&amp;amp;gt;&amp;amp;lt;RHSType&amp;amp;gt;EXPRESSION&amp;amp;lt;/RHSType&amp;amp;gt;&amp;amp;lt;AddQuotes&amp;amp;gt;True&amp;amp;lt;/AddQuotes&amp;amp;gt;&amp;amp;lt;DateFormat&amp;amp;gt;None&amp;amp;lt;/DateFormat&amp;amp;gt;&amp;amp;lt;RightHandSideExpression&amp;amp;gt;MFPR0100'"</definedName>
    <definedName name="_AMO_ContentDefinition_485496469.1411" hidden="1">"'6953&amp;amp;lt;/RightHandSideExpression&amp;amp;gt;&amp;amp;lt;IsSubquery&amp;amp;gt;False&amp;amp;lt;/IsSubquery&amp;amp;gt;&amp;amp;lt;SubqueryTemplateName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1412" hidden="1">"';AddQuotes&amp;amp;gt;True&amp;amp;lt;/AddQuotes&amp;amp;gt;&amp;amp;lt;DateFormat&amp;amp;gt;None&amp;amp;lt;/DateFormat&amp;amp;gt;&amp;amp;lt;RightHandSideExpression&amp;amp;gt;MFPR01006954&amp;amp;lt;/RightHandSideExpression&amp;amp;gt;&amp;amp;lt;IsSubquery&amp;amp;gt;False&amp;amp;lt;/IsSubquery&amp;amp;'"</definedName>
    <definedName name="_AMO_ContentDefinition_485496469.1413"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485496469.1414" hidden="1">"'mp;gt;&amp;amp;lt;RightHandSideExpression&amp;amp;gt;MFPR01006955&amp;amp;lt;/RightHandSideExpression&amp;amp;gt;&amp;amp;lt;IsSubquery&amp;amp;gt;False&amp;amp;lt;/IsSubquery&amp;amp;gt;&amp;amp;lt;SubqueryTemplateName /&amp;amp;gt;&amp;amp;lt;/RHSItem&amp;amp;gt;&amp;amp;lt;RHSItem&amp;amp;gt;&amp;amp;lt;RHS'"</definedName>
    <definedName name="_AMO_ContentDefinition_485496469.1415" hidden="1">"'Type&amp;amp;gt;EXPRESSION&amp;amp;lt;/RHSType&amp;amp;gt;&amp;amp;lt;AddQuotes&amp;amp;gt;True&amp;amp;lt;/AddQuotes&amp;amp;gt;&amp;amp;lt;DateFormat&amp;amp;gt;None&amp;amp;lt;/DateFormat&amp;amp;gt;&amp;amp;lt;RightHandSideExpression&amp;amp;gt;MFPR01006956&amp;amp;lt;/RightHandSideExpression&amp;amp;gt;&amp;a'"</definedName>
    <definedName name="_AMO_ContentDefinition_485496469.1416"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485496469.1417" hidden="1">"'t;&amp;amp;lt;DateFormat&amp;amp;gt;None&amp;amp;lt;/DateFormat&amp;amp;gt;&amp;amp;lt;RightHandSideExpression&amp;amp;gt;MFPR01006957&amp;amp;lt;/RightHandSideExpression&amp;amp;gt;&amp;amp;lt;IsSubquery&amp;amp;gt;False&amp;amp;lt;/IsSubquery&amp;amp;gt;&amp;amp;lt;SubqueryTemplateName /&amp;amp;gt;&amp;amp;'"</definedName>
    <definedName name="_AMO_ContentDefinition_485496469.1418" hidden="1">"'lt;/RHSItem&amp;amp;gt;&amp;amp;lt;RHSItem&amp;amp;gt;&amp;amp;lt;RHSType&amp;amp;gt;EXPRESSION&amp;amp;lt;/RHSType&amp;amp;gt;&amp;amp;lt;AddQuotes&amp;amp;gt;True&amp;amp;lt;/AddQuotes&amp;amp;gt;&amp;amp;lt;DateFormat&amp;amp;gt;None&amp;amp;lt;/DateFormat&amp;amp;gt;&amp;amp;lt;RightHandSideExpression&amp;amp;gt;M'"</definedName>
    <definedName name="_AMO_ContentDefinition_485496469.1419" hidden="1">"'FPR01006958&amp;amp;lt;/RightHandSideExpression&amp;amp;gt;&amp;amp;lt;IsSubquery&amp;amp;gt;False&amp;amp;lt;/IsSubquery&amp;amp;gt;&amp;amp;lt;SubqueryTemplateName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142" hidden="1">"'A;'MFPR01007693',&amp;#xD;&amp;#xA;'MFPR01007694',&amp;#xD;&amp;#xA;'MFPR01007695',&amp;#xD;&amp;#xA;'MFPR01007696',&amp;#xD;&amp;#xA;'MFPR01007697',&amp;#xD;&amp;#xA;'MFPR01007698',&amp;#xD;&amp;#xA;'MFPR01007699',&amp;#xD;&amp;#xA;'MFPR01007700',&amp;#xD;&amp;#xA;'MFPR01007701',&amp;#xD;&amp;#xA;'MFPR01007702',&amp;#xD;&amp;#xA'"</definedName>
    <definedName name="_AMO_ContentDefinition_485496469.1420" hidden="1">"'&amp;amp;lt;AddQuotes&amp;amp;gt;True&amp;amp;lt;/AddQuotes&amp;amp;gt;&amp;amp;lt;DateFormat&amp;amp;gt;None&amp;amp;lt;/DateFormat&amp;amp;gt;&amp;amp;lt;RightHandSideExpression&amp;amp;gt;MFPR01006959&amp;amp;lt;/RightHandSideExpression&amp;amp;gt;&amp;amp;lt;IsSubquery&amp;amp;gt;False&amp;amp;lt;/IsSubque'"</definedName>
    <definedName name="_AMO_ContentDefinition_485496469.1421"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485496469.1422" hidden="1">"'ormat&amp;amp;gt;&amp;amp;lt;RightHandSideExpression&amp;amp;gt;MFPR01006960&amp;amp;lt;/RightHandSideExpression&amp;amp;gt;&amp;amp;lt;IsSubquery&amp;amp;gt;False&amp;amp;lt;/IsSubquery&amp;amp;gt;&amp;amp;lt;SubqueryTemplateName /&amp;amp;gt;&amp;amp;lt;/RHSItem&amp;amp;gt;&amp;amp;lt;RHSItem&amp;amp;gt;&amp;amp'"</definedName>
    <definedName name="_AMO_ContentDefinition_485496469.1423" hidden="1">"';lt;RHSType&amp;amp;gt;EXPRESSION&amp;amp;lt;/RHSType&amp;amp;gt;&amp;amp;lt;AddQuotes&amp;amp;gt;True&amp;amp;lt;/AddQuotes&amp;amp;gt;&amp;amp;lt;DateFormat&amp;amp;gt;None&amp;amp;lt;/DateFormat&amp;amp;gt;&amp;amp;lt;RightHandSideExpression&amp;amp;gt;MFPR01006961&amp;amp;lt;/RightHandSideExpression&amp;am'"</definedName>
    <definedName name="_AMO_ContentDefinition_485496469.1424"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485496469.1425" hidden="1">"'s&amp;amp;gt;&amp;amp;lt;DateFormat&amp;amp;gt;None&amp;amp;lt;/DateFormat&amp;amp;gt;&amp;amp;lt;RightHandSideExpression&amp;amp;gt;MFPR01006962&amp;amp;lt;/RightHandSideExpression&amp;amp;gt;&amp;amp;lt;IsSubquery&amp;amp;gt;False&amp;amp;lt;/IsSubquery&amp;amp;gt;&amp;amp;lt;SubqueryTemplateName /&amp;amp;g'"</definedName>
    <definedName name="_AMO_ContentDefinition_485496469.1426" hidden="1">"'t;&amp;amp;lt;/RHSItem&amp;amp;gt;&amp;amp;lt;RHSItem&amp;amp;gt;&amp;amp;lt;RHSType&amp;amp;gt;EXPRESSION&amp;amp;lt;/RHSType&amp;amp;gt;&amp;amp;lt;AddQuotes&amp;amp;gt;True&amp;amp;lt;/AddQuotes&amp;amp;gt;&amp;amp;lt;DateFormat&amp;amp;gt;None&amp;amp;lt;/DateFormat&amp;amp;gt;&amp;amp;lt;RightHandSideExpression&amp;a'"</definedName>
    <definedName name="_AMO_ContentDefinition_485496469.1427" hidden="1">"'mp;gt;MFPR01006963&amp;amp;lt;/RightHandSideExpression&amp;amp;gt;&amp;amp;lt;IsSubquery&amp;amp;gt;False&amp;amp;lt;/IsSubquery&amp;amp;gt;&amp;amp;lt;SubqueryTemplateName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485496469.1428" hidden="1">"'amp;gt;&amp;amp;lt;AddQuotes&amp;amp;gt;True&amp;amp;lt;/AddQuotes&amp;amp;gt;&amp;amp;lt;DateFormat&amp;amp;gt;None&amp;amp;lt;/DateFormat&amp;amp;gt;&amp;amp;lt;RightHandSideExpression&amp;amp;gt;MFPR01006964&amp;amp;lt;/RightHandSideExpression&amp;amp;gt;&amp;amp;lt;IsSubquery&amp;amp;gt;False&amp;amp;lt;/I'"</definedName>
    <definedName name="_AMO_ContentDefinition_485496469.1429"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143" hidden="1">"';'MFPR01007703',&amp;#xD;&amp;#xA;'MFPR01007704',&amp;#xD;&amp;#xA;'MFPR01007705',&amp;#xD;&amp;#xA;'MFPR01007706',&amp;#xD;&amp;#xA;'MFPR01007711',&amp;#xD;&amp;#xA;'MFPR01007712',&amp;#xD;&amp;#xA;'MFPR01007713',&amp;#xD;&amp;#xA;'MFPR01007714',&amp;#xD;&amp;#xA;'MFPR01007715',&amp;#xD;&amp;#xA;'MFPR01007716',&amp;#xD;&amp;#xA;'"</definedName>
    <definedName name="_AMO_ContentDefinition_485496469.1430" hidden="1">"';/DateFormat&amp;amp;gt;&amp;amp;lt;RightHandSideExpression&amp;amp;gt;MFPR01006965&amp;amp;lt;/RightHandSideExpression&amp;amp;gt;&amp;amp;lt;IsSubquery&amp;amp;gt;False&amp;amp;lt;/IsSubquery&amp;amp;gt;&amp;amp;lt;SubqueryTemplateName /&amp;amp;gt;&amp;amp;lt;/RHSItem&amp;amp;gt;&amp;amp;lt;RHSItem&amp;amp;'"</definedName>
    <definedName name="_AMO_ContentDefinition_485496469.1431" hidden="1">"'gt;&amp;amp;lt;RHSType&amp;amp;gt;EXPRESSION&amp;amp;lt;/RHSType&amp;amp;gt;&amp;amp;lt;AddQuotes&amp;amp;gt;True&amp;amp;lt;/AddQuotes&amp;amp;gt;&amp;amp;lt;DateFormat&amp;amp;gt;None&amp;amp;lt;/DateFormat&amp;amp;gt;&amp;amp;lt;RightHandSideExpression&amp;amp;gt;MFPR01006966&amp;amp;lt;/RightHandSideExpres'"</definedName>
    <definedName name="_AMO_ContentDefinition_485496469.1432"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485496469.1433" hidden="1">"'ddQuotes&amp;amp;gt;&amp;amp;lt;DateFormat&amp;amp;gt;None&amp;amp;lt;/DateFormat&amp;amp;gt;&amp;amp;lt;RightHandSideExpression&amp;amp;gt;MFPR01006967&amp;amp;lt;/RightHandSideExpression&amp;amp;gt;&amp;amp;lt;IsSubquery&amp;amp;gt;False&amp;amp;lt;/IsSubquery&amp;amp;gt;&amp;amp;lt;SubqueryTemplateName '"</definedName>
    <definedName name="_AMO_ContentDefinition_485496469.1434"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485496469.1435" hidden="1">"'ssion&amp;amp;gt;MFPR01006968&amp;amp;lt;/RightHandSideExpression&amp;amp;gt;&amp;amp;lt;IsSubquery&amp;amp;gt;False&amp;amp;lt;/IsSubquery&amp;amp;gt;&amp;amp;lt;SubqueryTemplateName /&amp;amp;gt;&amp;amp;lt;/RHSItem&amp;amp;gt;&amp;amp;lt;RHSItem&amp;amp;gt;&amp;amp;lt;RHSType&amp;amp;gt;EXPRESSION&amp;amp;lt;/R'"</definedName>
    <definedName name="_AMO_ContentDefinition_485496469.1436" hidden="1">"'HSType&amp;amp;gt;&amp;amp;lt;AddQuotes&amp;amp;gt;True&amp;amp;lt;/AddQuotes&amp;amp;gt;&amp;amp;lt;DateFormat&amp;amp;gt;None&amp;amp;lt;/DateFormat&amp;amp;gt;&amp;amp;lt;RightHandSideExpression&amp;amp;gt;MFPR01006969&amp;amp;lt;/RightHandSideExpression&amp;amp;gt;&amp;amp;lt;IsSubquery&amp;amp;gt;False&amp;am'"</definedName>
    <definedName name="_AMO_ContentDefinition_485496469.1437"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485496469.1438" hidden="1">"'&amp;amp;lt;/DateFormat&amp;amp;gt;&amp;amp;lt;RightHandSideExpression&amp;amp;gt;MFPR01006970&amp;amp;lt;/RightHandSideExpression&amp;amp;gt;&amp;amp;lt;IsSubquery&amp;amp;gt;False&amp;amp;lt;/IsSubquery&amp;amp;gt;&amp;amp;lt;SubqueryTemplateName /&amp;amp;gt;&amp;amp;lt;/RHSItem&amp;amp;gt;&amp;amp;lt;RHSIt'"</definedName>
    <definedName name="_AMO_ContentDefinition_485496469.1439" hidden="1">"'em&amp;amp;gt;&amp;amp;lt;RHSType&amp;amp;gt;EXPRESSION&amp;amp;lt;/RHSType&amp;amp;gt;&amp;amp;lt;AddQuotes&amp;amp;gt;True&amp;amp;lt;/AddQuotes&amp;amp;gt;&amp;amp;lt;DateFormat&amp;amp;gt;None&amp;amp;lt;/DateFormat&amp;amp;gt;&amp;amp;lt;RightHandSideExpression&amp;amp;gt;MFPR01006971&amp;amp;lt;/RightHandSid'"</definedName>
    <definedName name="_AMO_ContentDefinition_485496469.144" hidden="1">"''MFPR01007717',&amp;#xD;&amp;#xA;'MFPR01007718',&amp;#xD;&amp;#xA;'MFPR01007719',&amp;#xD;&amp;#xA;'MFPR01007720',&amp;#xD;&amp;#xA;'MFPR01007721',&amp;#xD;&amp;#xA;'MFPR01007722',&amp;#xD;&amp;#xA;'MFPR01007723',&amp;#xD;&amp;#xA;'MFPR01007724',&amp;#xD;&amp;#xA;'MFPR01007725',&amp;#xD;&amp;#xA;'MFPR01007726',&amp;#xD;&amp;#xA;''"</definedName>
    <definedName name="_AMO_ContentDefinition_485496469.1440"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485496469.1441" hidden="1">"'p;lt;/AddQuotes&amp;amp;gt;&amp;amp;lt;DateFormat&amp;amp;gt;None&amp;amp;lt;/DateFormat&amp;amp;gt;&amp;amp;lt;RightHandSideExpression&amp;amp;gt;MFPR01006972&amp;amp;lt;/RightHandSideExpression&amp;amp;gt;&amp;amp;lt;IsSubquery&amp;amp;gt;False&amp;amp;lt;/IsSubquery&amp;amp;gt;&amp;amp;lt;SubqueryTempla'"</definedName>
    <definedName name="_AMO_ContentDefinition_485496469.1442"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485496469.1443" hidden="1">"'deExpression&amp;amp;gt;MFPR01006973&amp;amp;lt;/RightHandSideExpression&amp;amp;gt;&amp;amp;lt;IsSubquery&amp;amp;gt;False&amp;amp;lt;/IsSubquery&amp;amp;gt;&amp;amp;lt;SubqueryTemplateName /&amp;amp;gt;&amp;amp;lt;/RHSItem&amp;amp;gt;&amp;amp;lt;RHSItem&amp;amp;gt;&amp;amp;lt;RHSType&amp;amp;gt;EXPRESSION&amp;am'"</definedName>
    <definedName name="_AMO_ContentDefinition_485496469.1444" hidden="1">"'p;lt;/RHSType&amp;amp;gt;&amp;amp;lt;AddQuotes&amp;amp;gt;True&amp;amp;lt;/AddQuotes&amp;amp;gt;&amp;amp;lt;DateFormat&amp;amp;gt;None&amp;amp;lt;/DateFormat&amp;amp;gt;&amp;amp;lt;RightHandSideExpression&amp;amp;gt;MFPR01006974&amp;amp;lt;/RightHandSideExpression&amp;amp;gt;&amp;amp;lt;IsSubquery&amp;amp;gt;F'"</definedName>
    <definedName name="_AMO_ContentDefinition_485496469.1445"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1446" hidden="1">"'gt;None&amp;amp;lt;/DateFormat&amp;amp;gt;&amp;amp;lt;RightHandSideExpression&amp;amp;gt;MFPR01006975&amp;amp;lt;/RightHandSideExpression&amp;amp;gt;&amp;amp;lt;IsSubquery&amp;amp;gt;False&amp;amp;lt;/IsSubquery&amp;amp;gt;&amp;amp;lt;SubqueryTemplateName /&amp;amp;gt;&amp;amp;lt;/RHSItem&amp;amp;gt;&amp;amp;l'"</definedName>
    <definedName name="_AMO_ContentDefinition_485496469.1447" hidden="1">"'t;RHSItem&amp;amp;gt;&amp;amp;lt;RHSType&amp;amp;gt;EXPRESSION&amp;amp;lt;/RHSType&amp;amp;gt;&amp;amp;lt;AddQuotes&amp;amp;gt;True&amp;amp;lt;/AddQuotes&amp;amp;gt;&amp;amp;lt;DateFormat&amp;amp;gt;None&amp;amp;lt;/DateFormat&amp;amp;gt;&amp;amp;lt;RightHandSideExpression&amp;amp;gt;MFPR01006976&amp;amp;lt;/Right'"</definedName>
    <definedName name="_AMO_ContentDefinition_485496469.1448"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1449" hidden="1">"'True&amp;amp;lt;/AddQuotes&amp;amp;gt;&amp;amp;lt;DateFormat&amp;amp;gt;None&amp;amp;lt;/DateFormat&amp;amp;gt;&amp;amp;lt;RightHandSideExpression&amp;amp;gt;MFPR01006977&amp;amp;lt;/RightHandSideExpression&amp;amp;gt;&amp;amp;lt;IsSubquery&amp;amp;gt;False&amp;amp;lt;/IsSubquery&amp;amp;gt;&amp;amp;lt;Subquer'"</definedName>
    <definedName name="_AMO_ContentDefinition_485496469.145" hidden="1">"'MFPR01007727',&amp;#xD;&amp;#xA;'MFPR01007728',&amp;#xD;&amp;#xA;'MFPR01007729',&amp;#xD;&amp;#xA;'MFPR01007730',&amp;#xD;&amp;#xA;'MFPR01007731',&amp;#xD;&amp;#xA;'MFPR01007732',&amp;#xD;&amp;#xA;'MFPR01007733',&amp;#xD;&amp;#xA;'MFPR01007734',&amp;#xD;&amp;#xA;'MFPR01007735',&amp;#xD;&amp;#xA;'MFPR01007736',&amp;#xD;&amp;#xA;'M'"</definedName>
    <definedName name="_AMO_ContentDefinition_485496469.1450"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485496469.1451" hidden="1">"'tHandSideExpression&amp;amp;gt;MFPR01006978&amp;amp;lt;/RightHandSideExpression&amp;amp;gt;&amp;amp;lt;IsSubquery&amp;amp;gt;False&amp;amp;lt;/IsSubquery&amp;amp;gt;&amp;amp;lt;SubqueryTemplateName /&amp;amp;gt;&amp;amp;lt;/RHSItem&amp;amp;gt;&amp;amp;lt;RHSItem&amp;amp;gt;&amp;amp;lt;RHSType&amp;amp;gt;EXPRES'"</definedName>
    <definedName name="_AMO_ContentDefinition_485496469.1452" hidden="1">"'SION&amp;amp;lt;/RHSType&amp;amp;gt;&amp;amp;lt;AddQuotes&amp;amp;gt;True&amp;amp;lt;/AddQuotes&amp;amp;gt;&amp;amp;lt;DateFormat&amp;amp;gt;None&amp;amp;lt;/DateFormat&amp;amp;gt;&amp;amp;lt;RightHandSideExpression&amp;amp;gt;MFPR01006979&amp;amp;lt;/RightHandSideExpression&amp;amp;gt;&amp;amp;lt;IsSubquery&amp;a'"</definedName>
    <definedName name="_AMO_ContentDefinition_485496469.1453"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485496469.1454" hidden="1">"'at&amp;amp;gt;None&amp;amp;lt;/DateFormat&amp;amp;gt;&amp;amp;lt;RightHandSideExpression&amp;amp;gt;MFPR01006980&amp;amp;lt;/RightHandSideExpression&amp;amp;gt;&amp;amp;lt;IsSubquery&amp;amp;gt;False&amp;amp;lt;/IsSubquery&amp;amp;gt;&amp;amp;lt;SubqueryTemplateName /&amp;amp;gt;&amp;amp;lt;/RHSItem&amp;amp;gt'"</definedName>
    <definedName name="_AMO_ContentDefinition_485496469.1455" hidden="1">"';&amp;amp;lt;RHSItem&amp;amp;gt;&amp;amp;lt;RHSType&amp;amp;gt;EXPRESSION&amp;amp;lt;/RHSType&amp;amp;gt;&amp;amp;lt;AddQuotes&amp;amp;gt;True&amp;amp;lt;/AddQuotes&amp;amp;gt;&amp;amp;lt;DateFormat&amp;amp;gt;None&amp;amp;lt;/DateFormat&amp;amp;gt;&amp;amp;lt;RightHandSideExpression&amp;amp;gt;MFPR01006981&amp;amp;lt'"</definedName>
    <definedName name="_AMO_ContentDefinition_485496469.1456"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485496469.1457" hidden="1">"'amp;gt;True&amp;amp;lt;/AddQuotes&amp;amp;gt;&amp;amp;lt;DateFormat&amp;amp;gt;None&amp;amp;lt;/DateFormat&amp;amp;gt;&amp;amp;lt;RightHandSideExpression&amp;amp;gt;MFPR01006982&amp;amp;lt;/RightHandSideExpression&amp;amp;gt;&amp;amp;lt;IsSubquery&amp;amp;gt;False&amp;amp;lt;/IsSubquery&amp;amp;gt;&amp;amp;lt;'"</definedName>
    <definedName name="_AMO_ContentDefinition_485496469.1458"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1459" hidden="1">"'lt;RightHandSideExpression&amp;amp;gt;MFPR01006983&amp;amp;lt;/RightHandSideExpression&amp;amp;gt;&amp;amp;lt;IsSubquery&amp;amp;gt;False&amp;amp;lt;/IsSubquery&amp;amp;gt;&amp;amp;lt;SubqueryTemplateName /&amp;amp;gt;&amp;amp;lt;/RHSItem&amp;amp;gt;&amp;amp;lt;RHSItem&amp;amp;gt;&amp;amp;lt;RHSType&amp;amp;gt'"</definedName>
    <definedName name="_AMO_ContentDefinition_485496469.146" hidden="1">"'FPR01007737',&amp;#xD;&amp;#xA;'MFPR01007738',&amp;#xD;&amp;#xA;'MFPR01007739',&amp;#xD;&amp;#xA;'MFPR01007740',&amp;#xD;&amp;#xA;'MFPR01007741',&amp;#xD;&amp;#xA;'MFPR01007742',&amp;#xD;&amp;#xA;'MFPR01007743',&amp;#xD;&amp;#xA;'MFPR01007744',&amp;#xD;&amp;#xA;'MFPR01007745',&amp;#xD;&amp;#xA;'MFPR01007746',&amp;#xD;&amp;#xA;'MF'"</definedName>
    <definedName name="_AMO_ContentDefinition_485496469.1460" hidden="1">"';EXPRESSION&amp;amp;lt;/RHSType&amp;amp;gt;&amp;amp;lt;AddQuotes&amp;amp;gt;True&amp;amp;lt;/AddQuotes&amp;amp;gt;&amp;amp;lt;DateFormat&amp;amp;gt;None&amp;amp;lt;/DateFormat&amp;amp;gt;&amp;amp;lt;RightHandSideExpression&amp;amp;gt;MFPR01006984&amp;amp;lt;/RightHandSideExpression&amp;amp;gt;&amp;amp;lt;IsSub'"</definedName>
    <definedName name="_AMO_ContentDefinition_485496469.1461"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485496469.1462" hidden="1">"'ateFormat&amp;amp;gt;None&amp;amp;lt;/DateFormat&amp;amp;gt;&amp;amp;lt;RightHandSideExpression&amp;amp;gt;MFPR01006985&amp;amp;lt;/RightHandSideExpression&amp;amp;gt;&amp;amp;lt;IsSubquery&amp;amp;gt;False&amp;amp;lt;/IsSubquery&amp;amp;gt;&amp;amp;lt;SubqueryTemplateName /&amp;amp;gt;&amp;amp;lt;/RHSItem'"</definedName>
    <definedName name="_AMO_ContentDefinition_485496469.1463" hidden="1">"'&amp;amp;gt;&amp;amp;lt;RHSItem&amp;amp;gt;&amp;amp;lt;RHSType&amp;amp;gt;EXPRESSION&amp;amp;lt;/RHSType&amp;amp;gt;&amp;amp;lt;AddQuotes&amp;amp;gt;True&amp;amp;lt;/AddQuotes&amp;amp;gt;&amp;amp;lt;DateFormat&amp;amp;gt;None&amp;amp;lt;/DateFormat&amp;amp;gt;&amp;amp;lt;RightHandSideExpression&amp;amp;gt;MFPR01006986'"</definedName>
    <definedName name="_AMO_ContentDefinition_485496469.1464"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485496469.1465" hidden="1">"'Quotes&amp;amp;gt;True&amp;amp;lt;/AddQuotes&amp;amp;gt;&amp;amp;lt;DateFormat&amp;amp;gt;None&amp;amp;lt;/DateFormat&amp;amp;gt;&amp;amp;lt;RightHandSideExpression&amp;amp;gt;MFPR01006987&amp;amp;lt;/RightHandSideExpression&amp;amp;gt;&amp;amp;lt;IsSubquery&amp;amp;gt;False&amp;amp;lt;/IsSubquery&amp;amp;gt;&amp;'"</definedName>
    <definedName name="_AMO_ContentDefinition_485496469.1466"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485496469.1467" hidden="1">"'t;&amp;amp;lt;RightHandSideExpression&amp;amp;gt;MFPR01006988&amp;amp;lt;/RightHandSideExpression&amp;amp;gt;&amp;amp;lt;IsSubquery&amp;amp;gt;False&amp;amp;lt;/IsSubquery&amp;amp;gt;&amp;amp;lt;SubqueryTemplateName /&amp;amp;gt;&amp;amp;lt;/RHSItem&amp;amp;gt;&amp;amp;lt;RHSItem&amp;amp;gt;&amp;amp;lt;RHSType'"</definedName>
    <definedName name="_AMO_ContentDefinition_485496469.1468" hidden="1">"'&amp;amp;gt;EXPRESSION&amp;amp;lt;/RHSType&amp;amp;gt;&amp;amp;lt;AddQuotes&amp;amp;gt;True&amp;amp;lt;/AddQuotes&amp;amp;gt;&amp;amp;lt;DateFormat&amp;amp;gt;None&amp;amp;lt;/DateFormat&amp;amp;gt;&amp;amp;lt;RightHandSideExpression&amp;amp;gt;MFPR01006989&amp;amp;lt;/RightHandSideExpression&amp;amp;gt;&amp;amp;l'"</definedName>
    <definedName name="_AMO_ContentDefinition_485496469.1469"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485496469.147" hidden="1">"'PR01007747',&amp;#xD;&amp;#xA;'MFPR01007748',&amp;#xD;&amp;#xA;'MFPR01007749',&amp;#xD;&amp;#xA;'MFPR01007750',&amp;#xD;&amp;#xA;'MFPR01007751',&amp;#xD;&amp;#xA;'MFPR01007752',&amp;#xD;&amp;#xA;'MFPR01007753',&amp;#xD;&amp;#xA;'MFPR01007754',&amp;#xD;&amp;#xA;'MFPR01007755',&amp;#xD;&amp;#xA;'MFPR01007756',&amp;#xD;&amp;#xA;'MFP'"</definedName>
    <definedName name="_AMO_ContentDefinition_485496469.1470" hidden="1">"'mp;lt;DateFormat&amp;amp;gt;None&amp;amp;lt;/DateFormat&amp;amp;gt;&amp;amp;lt;RightHandSideExpression&amp;amp;gt;MFPR01006990&amp;amp;lt;/RightHandSideExpression&amp;amp;gt;&amp;amp;lt;IsSubquery&amp;amp;gt;False&amp;amp;lt;/IsSubquery&amp;amp;gt;&amp;amp;lt;SubqueryTemplateName /&amp;amp;gt;&amp;amp;lt;/'"</definedName>
    <definedName name="_AMO_ContentDefinition_485496469.1471" hidden="1">"'RHSItem&amp;amp;gt;&amp;amp;lt;RHSItem&amp;amp;gt;&amp;amp;lt;RHSType&amp;amp;gt;EXPRESSION&amp;amp;lt;/RHSType&amp;amp;gt;&amp;amp;lt;AddQuotes&amp;amp;gt;True&amp;amp;lt;/AddQuotes&amp;amp;gt;&amp;amp;lt;DateFormat&amp;amp;gt;None&amp;amp;lt;/DateFormat&amp;amp;gt;&amp;amp;lt;RightHandSideExpression&amp;amp;gt;MFPR0'"</definedName>
    <definedName name="_AMO_ContentDefinition_485496469.1472" hidden="1">"'1006991&amp;amp;lt;/RightHandSideExpression&amp;amp;gt;&amp;amp;lt;IsSubquery&amp;amp;gt;False&amp;amp;lt;/IsSubquery&amp;amp;gt;&amp;amp;lt;SubqueryTemplateName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1473" hidden="1">"';lt;AddQuotes&amp;amp;gt;True&amp;amp;lt;/AddQuotes&amp;amp;gt;&amp;amp;lt;DateFormat&amp;amp;gt;None&amp;amp;lt;/DateFormat&amp;amp;gt;&amp;amp;lt;RightHandSideExpression&amp;amp;gt;MFPR01006992&amp;amp;lt;/RightHandSideExpression&amp;amp;gt;&amp;amp;lt;IsSubquery&amp;amp;gt;False&amp;amp;lt;/IsSubquery&amp;a'"</definedName>
    <definedName name="_AMO_ContentDefinition_485496469.1474"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485496469.1475" hidden="1">"'t&amp;amp;gt;&amp;amp;lt;RightHandSideExpression&amp;amp;gt;MFPR01006993&amp;amp;lt;/RightHandSideExpression&amp;amp;gt;&amp;amp;lt;IsSubquery&amp;amp;gt;False&amp;amp;lt;/IsSubquery&amp;amp;gt;&amp;amp;lt;SubqueryTemplateName /&amp;amp;gt;&amp;amp;lt;/RHSItem&amp;amp;gt;&amp;amp;lt;RHSItem&amp;amp;gt;&amp;amp;lt;'"</definedName>
    <definedName name="_AMO_ContentDefinition_485496469.1476" hidden="1">"'RHSType&amp;amp;gt;EXPRESSION&amp;amp;lt;/RHSType&amp;amp;gt;&amp;amp;lt;AddQuotes&amp;amp;gt;True&amp;amp;lt;/AddQuotes&amp;amp;gt;&amp;amp;lt;DateFormat&amp;amp;gt;None&amp;amp;lt;/DateFormat&amp;amp;gt;&amp;amp;lt;RightHandSideExpression&amp;amp;gt;MFPR01006994&amp;amp;lt;/RightHandSideExpression&amp;amp;gt'"</definedName>
    <definedName name="_AMO_ContentDefinition_485496469.1477"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485496469.1478" hidden="1">"'p;gt;&amp;amp;lt;DateFormat&amp;amp;gt;None&amp;amp;lt;/DateFormat&amp;amp;gt;&amp;amp;lt;RightHandSideExpression&amp;amp;gt;MFPR01006995&amp;amp;lt;/RightHandSideExpression&amp;amp;gt;&amp;amp;lt;IsSubquery&amp;amp;gt;False&amp;amp;lt;/IsSubquery&amp;amp;gt;&amp;amp;lt;SubqueryTemplateName /&amp;amp;gt;&amp;a'"</definedName>
    <definedName name="_AMO_ContentDefinition_485496469.1479" hidden="1">"'mp;lt;/RHSItem&amp;amp;gt;&amp;amp;lt;RHSItem&amp;amp;gt;&amp;amp;lt;RHSType&amp;amp;gt;EXPRESSION&amp;amp;lt;/RHSType&amp;amp;gt;&amp;amp;lt;AddQuotes&amp;amp;gt;True&amp;amp;lt;/AddQuotes&amp;amp;gt;&amp;amp;lt;DateFormat&amp;amp;gt;None&amp;amp;lt;/DateFormat&amp;amp;gt;&amp;amp;lt;RightHandSideExpression&amp;amp;g'"</definedName>
    <definedName name="_AMO_ContentDefinition_485496469.148" hidden="1">"'R01007757',&amp;#xD;&amp;#xA;'MFPR01007758',&amp;#xD;&amp;#xA;'MFPR01007759',&amp;#xD;&amp;#xA;'MFPR01007760',&amp;#xD;&amp;#xA;'MFPR01007761',&amp;#xD;&amp;#xA;'MFPR01007762',&amp;#xD;&amp;#xA;'MFPR01007763',&amp;#xD;&amp;#xA;'MFPR01007764',&amp;#xD;&amp;#xA;'MFPR01007765',&amp;#xD;&amp;#xA;'MFPR01007766',&amp;#xD;&amp;#xA;'MFPR'"</definedName>
    <definedName name="_AMO_ContentDefinition_485496469.1480" hidden="1">"'t;MFPR01006996&amp;amp;lt;/RightHandSideExpression&amp;amp;gt;&amp;amp;lt;IsSubquery&amp;amp;gt;False&amp;amp;lt;/IsSubquery&amp;amp;gt;&amp;amp;lt;SubqueryTemplateName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1481" hidden="1">"'gt;&amp;amp;lt;AddQuotes&amp;amp;gt;True&amp;amp;lt;/AddQuotes&amp;amp;gt;&amp;amp;lt;DateFormat&amp;amp;gt;None&amp;amp;lt;/DateFormat&amp;amp;gt;&amp;amp;lt;RightHandSideExpression&amp;amp;gt;MFPR01006997&amp;amp;lt;/RightHandSideExpression&amp;amp;gt;&amp;amp;lt;IsSubquery&amp;amp;gt;False&amp;amp;lt;/IsSub'"</definedName>
    <definedName name="_AMO_ContentDefinition_485496469.1482"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485496469.1483" hidden="1">"'teFormat&amp;amp;gt;&amp;amp;lt;RightHandSideExpression&amp;amp;gt;MFPR01006998&amp;amp;lt;/RightHandSideExpression&amp;amp;gt;&amp;amp;lt;IsSubquery&amp;amp;gt;False&amp;amp;lt;/IsSubquery&amp;amp;gt;&amp;amp;lt;SubqueryTemplateName /&amp;amp;gt;&amp;amp;lt;/RHSItem&amp;amp;gt;&amp;amp;lt;RHSItem&amp;amp;gt;&amp;'"</definedName>
    <definedName name="_AMO_ContentDefinition_485496469.1484" hidden="1">"'amp;lt;RHSType&amp;amp;gt;EXPRESSION&amp;amp;lt;/RHSType&amp;amp;gt;&amp;amp;lt;AddQuotes&amp;amp;gt;True&amp;amp;lt;/AddQuotes&amp;amp;gt;&amp;amp;lt;DateFormat&amp;amp;gt;None&amp;amp;lt;/DateFormat&amp;amp;gt;&amp;amp;lt;RightHandSideExpression&amp;amp;gt;MFPR01006999&amp;amp;lt;/RightHandSideExpression'"</definedName>
    <definedName name="_AMO_ContentDefinition_485496469.1485"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485496469.1486" hidden="1">"'otes&amp;amp;gt;&amp;amp;lt;DateFormat&amp;amp;gt;None&amp;amp;lt;/DateFormat&amp;amp;gt;&amp;amp;lt;RightHandSideExpression&amp;amp;gt;MFPR01007000&amp;amp;lt;/RightHandSideExpression&amp;amp;gt;&amp;amp;lt;IsSubquery&amp;amp;gt;False&amp;amp;lt;/IsSubquery&amp;amp;gt;&amp;amp;lt;SubqueryTemplateName /&amp;am'"</definedName>
    <definedName name="_AMO_ContentDefinition_485496469.1487"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485496469.1488" hidden="1">"'n&amp;amp;gt;MFPR01007001&amp;amp;lt;/RightHandSideExpression&amp;amp;gt;&amp;amp;lt;IsSubquery&amp;amp;gt;False&amp;amp;lt;/IsSubquery&amp;amp;gt;&amp;amp;lt;SubqueryTemplateName /&amp;amp;gt;&amp;amp;lt;/RHSItem&amp;amp;gt;&amp;amp;lt;RHSItem&amp;amp;gt;&amp;amp;lt;RHSType&amp;amp;gt;EXPRESSION&amp;amp;lt;/RHSTy'"</definedName>
    <definedName name="_AMO_ContentDefinition_485496469.1489" hidden="1">"'pe&amp;amp;gt;&amp;amp;lt;AddQuotes&amp;amp;gt;True&amp;amp;lt;/AddQuotes&amp;amp;gt;&amp;amp;lt;DateFormat&amp;amp;gt;None&amp;amp;lt;/DateFormat&amp;amp;gt;&amp;amp;lt;RightHandSideExpression&amp;amp;gt;MFPR01007002&amp;amp;lt;/RightHandSideExpression&amp;amp;gt;&amp;amp;lt;IsSubquery&amp;amp;gt;False&amp;amp;lt'"</definedName>
    <definedName name="_AMO_ContentDefinition_485496469.149" hidden="1">"'01007767',&amp;#xD;&amp;#xA;'MFPR01007768',&amp;#xD;&amp;#xA;'MFPR01007769',&amp;#xD;&amp;#xA;'MFPR01007770',&amp;#xD;&amp;#xA;'MFPR01007771',&amp;#xD;&amp;#xA;'MFPR01007772',&amp;#xD;&amp;#xA;'MFPR01007773',&amp;#xD;&amp;#xA;'MFPR01007774',&amp;#xD;&amp;#xA;'MFPR01007775',&amp;#xD;&amp;#xA;'MFPR01007776',&amp;#xD;&amp;#xA;'MFPR0'"</definedName>
    <definedName name="_AMO_ContentDefinition_485496469.1490"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1491" hidden="1">"';lt;/DateFormat&amp;amp;gt;&amp;amp;lt;RightHandSideExpression&amp;amp;gt;MFPR01007003&amp;amp;lt;/RightHandSideExpression&amp;amp;gt;&amp;amp;lt;IsSubquery&amp;amp;gt;False&amp;amp;lt;/IsSubquery&amp;amp;gt;&amp;amp;lt;SubqueryTemplateName /&amp;amp;gt;&amp;amp;lt;/RHSItem&amp;amp;gt;&amp;amp;lt;RHSItem&amp;a'"</definedName>
    <definedName name="_AMO_ContentDefinition_485496469.1492" hidden="1">"'mp;gt;&amp;amp;lt;RHSType&amp;amp;gt;EXPRESSION&amp;amp;lt;/RHSType&amp;amp;gt;&amp;amp;lt;AddQuotes&amp;amp;gt;True&amp;amp;lt;/AddQuotes&amp;amp;gt;&amp;amp;lt;DateFormat&amp;amp;gt;None&amp;amp;lt;/DateFormat&amp;amp;gt;&amp;amp;lt;RightHandSideExpression&amp;amp;gt;MFPR01007004&amp;amp;lt;/RightHandSideExp'"</definedName>
    <definedName name="_AMO_ContentDefinition_485496469.1493"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1494" hidden="1">"';/AddQuotes&amp;amp;gt;&amp;amp;lt;DateFormat&amp;amp;gt;None&amp;amp;lt;/DateFormat&amp;amp;gt;&amp;amp;lt;RightHandSideExpression&amp;amp;gt;MFPR01007005&amp;amp;lt;/RightHandSideExpression&amp;amp;gt;&amp;amp;lt;IsSubquery&amp;amp;gt;False&amp;amp;lt;/IsSubquery&amp;amp;gt;&amp;amp;lt;SubqueryTemplateNa'"</definedName>
    <definedName name="_AMO_ContentDefinition_485496469.1495"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485496469.1496" hidden="1">"'pression&amp;amp;gt;MFPR01007006&amp;amp;lt;/RightHandSideExpression&amp;amp;gt;&amp;amp;lt;IsSubquery&amp;amp;gt;False&amp;amp;lt;/IsSubquery&amp;amp;gt;&amp;amp;lt;SubqueryTemplateName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1497" hidden="1">"';/RHSType&amp;amp;gt;&amp;amp;lt;AddQuotes&amp;amp;gt;True&amp;amp;lt;/AddQuotes&amp;amp;gt;&amp;amp;lt;DateFormat&amp;amp;gt;None&amp;amp;lt;/DateFormat&amp;amp;gt;&amp;amp;lt;RightHandSideExpression&amp;amp;gt;MFPR01007007&amp;amp;lt;/RightHandSideExpression&amp;amp;gt;&amp;amp;lt;IsSubquery&amp;amp;gt;False'"</definedName>
    <definedName name="_AMO_ContentDefinition_485496469.1498"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485496469.1499" hidden="1">"'one&amp;amp;lt;/DateFormat&amp;amp;gt;&amp;amp;lt;RightHandSideExpression&amp;amp;gt;MFPR01007008&amp;amp;lt;/RightHandSideExpression&amp;amp;gt;&amp;amp;lt;IsSubquery&amp;amp;gt;False&amp;amp;lt;/IsSubquery&amp;amp;gt;&amp;amp;lt;SubqueryTemplateName /&amp;amp;gt;&amp;amp;lt;/RHSItem&amp;amp;gt;&amp;amp;lt;RH'"</definedName>
    <definedName name="_AMO_ContentDefinition_485496469.15" hidden="1">"'#xA;'MFDRVD000183',&amp;#xD;&amp;#xA;'MFDRVD000184',&amp;#xD;&amp;#xA;'MFDRVD000185',&amp;#xD;&amp;#xA;'MFDRVD000186',&amp;#xD;&amp;#xA;'MFDRVD000189',&amp;#xD;&amp;#xA;'MFDRVD000190',&amp;#xD;&amp;#xA;'MFDRVD000191',&amp;#xD;&amp;#xA;'MFDRVD000192',&amp;#xD;&amp;#xA;'MFDRVD000193',&amp;#xD;&amp;#xA;'MFDRVD000194',&amp;#xD;&amp;#'"</definedName>
    <definedName name="_AMO_ContentDefinition_485496469.150" hidden="1">"'1007777',&amp;#xD;&amp;#xA;'MFPR01007778',&amp;#xD;&amp;#xA;'MFPR01007779',&amp;#xD;&amp;#xA;'MFPR01007780',&amp;#xD;&amp;#xA;'MFPR01007781',&amp;#xD;&amp;#xA;'MFPR01007783',&amp;#xD;&amp;#xA;'MFPR01007784',&amp;#xD;&amp;#xA;'MFPR01007785',&amp;#xD;&amp;#xA;'MFPR01007786',&amp;#xD;&amp;#xA;'MFPR01007787',&amp;#xD;&amp;#xA;'MFPR01'"</definedName>
    <definedName name="_AMO_ContentDefinition_485496469.1500" hidden="1">"'SItem&amp;amp;gt;&amp;amp;lt;RHSType&amp;amp;gt;EXPRESSION&amp;amp;lt;/RHSType&amp;amp;gt;&amp;amp;lt;AddQuotes&amp;amp;gt;True&amp;amp;lt;/AddQuotes&amp;amp;gt;&amp;amp;lt;DateFormat&amp;amp;gt;None&amp;amp;lt;/DateFormat&amp;amp;gt;&amp;amp;lt;RightHandSideExpression&amp;amp;gt;MFPR01007009&amp;amp;lt;/RightHand'"</definedName>
    <definedName name="_AMO_ContentDefinition_485496469.1501"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485496469.1502" hidden="1">"'&amp;amp;lt;/AddQuotes&amp;amp;gt;&amp;amp;lt;DateFormat&amp;amp;gt;None&amp;amp;lt;/DateFormat&amp;amp;gt;&amp;amp;lt;RightHandSideExpression&amp;amp;gt;MFPR01007010&amp;amp;lt;/RightHandSideExpression&amp;amp;gt;&amp;amp;lt;IsSubquery&amp;amp;gt;False&amp;amp;lt;/IsSubquery&amp;amp;gt;&amp;amp;lt;SubqueryTem'"</definedName>
    <definedName name="_AMO_ContentDefinition_485496469.1503"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485496469.1504" hidden="1">"'dSideExpression&amp;amp;gt;MFPR01007011&amp;amp;lt;/RightHandSideExpression&amp;amp;gt;&amp;amp;lt;IsSubquery&amp;amp;gt;False&amp;amp;lt;/IsSubquery&amp;amp;gt;&amp;amp;lt;SubqueryTemplateName /&amp;amp;gt;&amp;amp;lt;/RHSItem&amp;amp;gt;&amp;amp;lt;RHSItem&amp;amp;gt;&amp;amp;lt;RHSType&amp;amp;gt;EXPRESSION'"</definedName>
    <definedName name="_AMO_ContentDefinition_485496469.1505" hidden="1">"'&amp;amp;lt;/RHSType&amp;amp;gt;&amp;amp;lt;AddQuotes&amp;amp;gt;True&amp;amp;lt;/AddQuotes&amp;amp;gt;&amp;amp;lt;DateFormat&amp;amp;gt;None&amp;amp;lt;/DateFormat&amp;amp;gt;&amp;amp;lt;RightHandSideExpression&amp;amp;gt;MFPR01007012&amp;amp;lt;/RightHandSideExpression&amp;amp;gt;&amp;amp;lt;IsSubquery&amp;amp;g'"</definedName>
    <definedName name="_AMO_ContentDefinition_485496469.1506"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485496469.1507" hidden="1">"'mp;gt;None&amp;amp;lt;/DateFormat&amp;amp;gt;&amp;amp;lt;RightHandSideExpression&amp;amp;gt;MFPR01007013&amp;amp;lt;/RightHandSideExpression&amp;amp;gt;&amp;amp;lt;IsSubquery&amp;amp;gt;False&amp;amp;lt;/IsSubquery&amp;amp;gt;&amp;amp;lt;SubqueryTemplateName /&amp;amp;gt;&amp;amp;lt;/RHSItem&amp;amp;gt;&amp;am'"</definedName>
    <definedName name="_AMO_ContentDefinition_485496469.1508" hidden="1">"'p;lt;RHSItem&amp;amp;gt;&amp;amp;lt;RHSType&amp;amp;gt;EXPRESSION&amp;amp;lt;/RHSType&amp;amp;gt;&amp;amp;lt;AddQuotes&amp;amp;gt;True&amp;amp;lt;/AddQuotes&amp;amp;gt;&amp;amp;lt;DateFormat&amp;amp;gt;None&amp;amp;lt;/DateFormat&amp;amp;gt;&amp;amp;lt;RightHandSideExpression&amp;amp;gt;MFPR01007014&amp;amp;lt;/Ri'"</definedName>
    <definedName name="_AMO_ContentDefinition_485496469.1509"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151" hidden="1">"'007789',&amp;#xD;&amp;#xA;'MFPR01007790',&amp;#xD;&amp;#xA;'MFPR01007791',&amp;#xD;&amp;#xA;'MFPR01007792',&amp;#xD;&amp;#xA;'MFPR01007793',&amp;#xD;&amp;#xA;'MFPR01007794',&amp;#xD;&amp;#xA;'MFPR01007795',&amp;#xD;&amp;#xA;'MFPR01007797',&amp;#xD;&amp;#xA;'MFPR01007798',&amp;#xD;&amp;#xA;'MFPR01007799',&amp;#xD;&amp;#xA;'MFPR010'"</definedName>
    <definedName name="_AMO_ContentDefinition_485496469.1510" hidden="1">"'gt;True&amp;amp;lt;/AddQuotes&amp;amp;gt;&amp;amp;lt;DateFormat&amp;amp;gt;None&amp;amp;lt;/DateFormat&amp;amp;gt;&amp;amp;lt;RightHandSideExpression&amp;amp;gt;MFPR01007015&amp;amp;lt;/RightHandSideExpression&amp;amp;gt;&amp;amp;lt;IsSubquery&amp;amp;gt;False&amp;amp;lt;/IsSubquery&amp;amp;gt;&amp;amp;lt;Subq'"</definedName>
    <definedName name="_AMO_ContentDefinition_485496469.1511"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485496469.1512" hidden="1">"'ightHandSideExpression&amp;amp;gt;MFPR01007016&amp;amp;lt;/RightHandSideExpression&amp;amp;gt;&amp;amp;lt;IsSubquery&amp;amp;gt;False&amp;amp;lt;/IsSubquery&amp;amp;gt;&amp;amp;lt;SubqueryTemplateName /&amp;amp;gt;&amp;amp;lt;/RHSItem&amp;amp;gt;&amp;amp;lt;RHSItem&amp;amp;gt;&amp;amp;lt;RHSType&amp;amp;gt;EXP'"</definedName>
    <definedName name="_AMO_ContentDefinition_485496469.1513" hidden="1">"'RESSION&amp;amp;lt;/RHSType&amp;amp;gt;&amp;amp;lt;AddQuotes&amp;amp;gt;True&amp;amp;lt;/AddQuotes&amp;amp;gt;&amp;amp;lt;DateFormat&amp;amp;gt;None&amp;amp;lt;/DateFormat&amp;amp;gt;&amp;amp;lt;RightHandSideExpression&amp;amp;gt;MFPR01007017&amp;amp;lt;/RightHandSideExpression&amp;amp;gt;&amp;amp;lt;IsSubquer'"</definedName>
    <definedName name="_AMO_ContentDefinition_485496469.1514"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485496469.1515" hidden="1">"'ormat&amp;amp;gt;None&amp;amp;lt;/DateFormat&amp;amp;gt;&amp;amp;lt;RightHandSideExpression&amp;amp;gt;MFPR01007018&amp;amp;lt;/RightHandSideExpression&amp;amp;gt;&amp;amp;lt;IsSubquery&amp;amp;gt;False&amp;amp;lt;/IsSubquery&amp;amp;gt;&amp;amp;lt;SubqueryTemplateName /&amp;amp;gt;&amp;amp;lt;/RHSItem&amp;amp'"</definedName>
    <definedName name="_AMO_ContentDefinition_485496469.1516" hidden="1">"';gt;&amp;amp;lt;RHSItem&amp;amp;gt;&amp;amp;lt;RHSType&amp;amp;gt;EXPRESSION&amp;amp;lt;/RHSType&amp;amp;gt;&amp;amp;lt;AddQuotes&amp;amp;gt;True&amp;amp;lt;/AddQuotes&amp;amp;gt;&amp;amp;lt;DateFormat&amp;amp;gt;None&amp;amp;lt;/DateFormat&amp;amp;gt;&amp;amp;lt;RightHandSideExpression&amp;amp;gt;MFPR01007019&amp;amp'"</definedName>
    <definedName name="_AMO_ContentDefinition_485496469.1517"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485496469.1518" hidden="1">"'es&amp;amp;gt;True&amp;amp;lt;/AddQuotes&amp;amp;gt;&amp;amp;lt;DateFormat&amp;amp;gt;None&amp;amp;lt;/DateFormat&amp;amp;gt;&amp;amp;lt;RightHandSideExpression&amp;amp;gt;MFPR01007020&amp;amp;lt;/RightHandSideExpression&amp;amp;gt;&amp;amp;lt;IsSubquery&amp;amp;gt;False&amp;amp;lt;/IsSubquery&amp;amp;gt;&amp;amp;'"</definedName>
    <definedName name="_AMO_ContentDefinition_485496469.1519"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485496469.152" hidden="1">"'07800',&amp;#xD;&amp;#xA;'MFPR01007801',&amp;#xD;&amp;#xA;'MFPR01007802',&amp;#xD;&amp;#xA;'MFPR01007803',&amp;#xD;&amp;#xA;'MFPR01007804',&amp;#xD;&amp;#xA;'MFPR01007805',&amp;#xD;&amp;#xA;'MFPR01007806',&amp;#xD;&amp;#xA;'MFPR01007807',&amp;#xD;&amp;#xA;'MFPR01007808',&amp;#xD;&amp;#xA;'MFPR01007809',&amp;#xD;&amp;#xA;'MFPR0100'"</definedName>
    <definedName name="_AMO_ContentDefinition_485496469.1520" hidden="1">"'mp;lt;RightHandSideExpression&amp;amp;gt;MFPR01007021&amp;amp;lt;/RightHandSideExpression&amp;amp;gt;&amp;amp;lt;IsSubquery&amp;amp;gt;False&amp;amp;lt;/IsSubquery&amp;amp;gt;&amp;amp;lt;SubqueryTemplateName /&amp;amp;gt;&amp;amp;lt;/RHSItem&amp;amp;gt;&amp;amp;lt;RHSItem&amp;amp;gt;&amp;amp;lt;RHSType&amp;amp'"</definedName>
    <definedName name="_AMO_ContentDefinition_485496469.1521" hidden="1">"';gt;EXPRESSION&amp;amp;lt;/RHSType&amp;amp;gt;&amp;amp;lt;AddQuotes&amp;amp;gt;True&amp;amp;lt;/AddQuotes&amp;amp;gt;&amp;amp;lt;DateFormat&amp;amp;gt;None&amp;amp;lt;/DateFormat&amp;amp;gt;&amp;amp;lt;RightHandSideExpression&amp;amp;gt;MFPR01007022&amp;amp;lt;/RightHandSideExpression&amp;amp;gt;&amp;amp;lt;Is'"</definedName>
    <definedName name="_AMO_ContentDefinition_485496469.1522"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485496469.1523" hidden="1">"'t;DateFormat&amp;amp;gt;None&amp;amp;lt;/DateFormat&amp;amp;gt;&amp;amp;lt;RightHandSideExpression&amp;amp;gt;MFPR01007023&amp;amp;lt;/RightHandSideExpression&amp;amp;gt;&amp;amp;lt;IsSubquery&amp;amp;gt;False&amp;amp;lt;/IsSubquery&amp;amp;gt;&amp;amp;lt;SubqueryTemplateName /&amp;amp;gt;&amp;amp;lt;/RHSI'"</definedName>
    <definedName name="_AMO_ContentDefinition_485496469.1524" hidden="1">"'tem&amp;amp;gt;&amp;amp;lt;RHSItem&amp;amp;gt;&amp;amp;lt;RHSType&amp;amp;gt;EXPRESSION&amp;amp;lt;/RHSType&amp;amp;gt;&amp;amp;lt;AddQuotes&amp;amp;gt;True&amp;amp;lt;/AddQuotes&amp;amp;gt;&amp;amp;lt;DateFormat&amp;amp;gt;None&amp;amp;lt;/DateFormat&amp;amp;gt;&amp;amp;lt;RightHandSideExpression&amp;amp;gt;MFPR01007'"</definedName>
    <definedName name="_AMO_ContentDefinition_485496469.1525" hidden="1">"'024&amp;amp;lt;/RightHandSideExpression&amp;amp;gt;&amp;amp;lt;IsSubquery&amp;amp;gt;False&amp;amp;lt;/IsSubquery&amp;amp;gt;&amp;amp;lt;SubqueryTemplateName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1526" hidden="1">"'AddQuotes&amp;amp;gt;True&amp;amp;lt;/AddQuotes&amp;amp;gt;&amp;amp;lt;DateFormat&amp;amp;gt;None&amp;amp;lt;/DateFormat&amp;amp;gt;&amp;amp;lt;RightHandSideExpression&amp;amp;gt;MFPR01007025&amp;amp;lt;/RightHandSideExpression&amp;amp;gt;&amp;amp;lt;IsSubquery&amp;amp;gt;False&amp;amp;lt;/IsSubquery&amp;amp;g'"</definedName>
    <definedName name="_AMO_ContentDefinition_485496469.1527"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485496469.1528" hidden="1">"'p;gt;&amp;amp;lt;RightHandSideExpression&amp;amp;gt;MFPR01007026&amp;amp;lt;/RightHandSideExpression&amp;amp;gt;&amp;amp;lt;IsSubquery&amp;amp;gt;False&amp;amp;lt;/IsSubquery&amp;amp;gt;&amp;amp;lt;SubqueryTemplateName /&amp;amp;gt;&amp;amp;lt;/RHSItem&amp;amp;gt;&amp;amp;lt;RHSItem&amp;amp;gt;&amp;amp;lt;RHST'"</definedName>
    <definedName name="_AMO_ContentDefinition_485496469.1529" hidden="1">"'ype&amp;amp;gt;EXPRESSION&amp;amp;lt;/RHSType&amp;amp;gt;&amp;amp;lt;AddQuotes&amp;amp;gt;True&amp;amp;lt;/AddQuotes&amp;amp;gt;&amp;amp;lt;DateFormat&amp;amp;gt;None&amp;amp;lt;/DateFormat&amp;amp;gt;&amp;amp;lt;RightHandSideExpression&amp;amp;gt;MFPR01007027&amp;amp;lt;/RightHandSideExpression&amp;amp;gt;&amp;am'"</definedName>
    <definedName name="_AMO_ContentDefinition_485496469.153" hidden="1">"'7810',&amp;#xD;&amp;#xA;'MFPR01007811',&amp;#xD;&amp;#xA;'MFPR01007813',&amp;#xD;&amp;#xA;'MFPR01007814',&amp;#xD;&amp;#xA;'MFPR01007815',&amp;#xD;&amp;#xA;'MFPR01007816',&amp;#xD;&amp;#xA;'MFPR01007817',&amp;#xD;&amp;#xA;'MFPR01007819',&amp;#xD;&amp;#xA;'MFPR01007820',&amp;#xD;&amp;#xA;'MFPR01007821',&amp;#xD;&amp;#xA;'MFPR01007'"</definedName>
    <definedName name="_AMO_ContentDefinition_485496469.1530"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1531" hidden="1">"';&amp;amp;lt;DateFormat&amp;amp;gt;None&amp;amp;lt;/DateFormat&amp;amp;gt;&amp;amp;lt;RightHandSideExpression&amp;amp;gt;MFPR01007028&amp;amp;lt;/RightHandSideExpression&amp;amp;gt;&amp;amp;lt;IsSubquery&amp;amp;gt;False&amp;amp;lt;/IsSubquery&amp;amp;gt;&amp;amp;lt;SubqueryTemplateName /&amp;amp;gt;&amp;amp;l'"</definedName>
    <definedName name="_AMO_ContentDefinition_485496469.1532" hidden="1">"'t;/RHSItem&amp;amp;gt;&amp;amp;lt;RHSItem&amp;amp;gt;&amp;amp;lt;RHSType&amp;amp;gt;EXPRESSION&amp;amp;lt;/RHSType&amp;amp;gt;&amp;amp;lt;AddQuotes&amp;amp;gt;True&amp;amp;lt;/AddQuotes&amp;amp;gt;&amp;amp;lt;DateFormat&amp;amp;gt;None&amp;amp;lt;/DateFormat&amp;amp;gt;&amp;amp;lt;RightHandSideExpression&amp;amp;gt;MF'"</definedName>
    <definedName name="_AMO_ContentDefinition_485496469.1533" hidden="1">"'PR01007029&amp;amp;lt;/RightHandSideExpression&amp;amp;gt;&amp;amp;lt;IsSubquery&amp;amp;gt;False&amp;amp;lt;/IsSubquery&amp;amp;gt;&amp;amp;lt;SubqueryTemplateName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485496469.1534" hidden="1">"'amp;lt;AddQuotes&amp;amp;gt;True&amp;amp;lt;/AddQuotes&amp;amp;gt;&amp;amp;lt;DateFormat&amp;amp;gt;None&amp;amp;lt;/DateFormat&amp;amp;gt;&amp;amp;lt;RightHandSideExpression&amp;amp;gt;MFPR01007030&amp;amp;lt;/RightHandSideExpression&amp;amp;gt;&amp;amp;lt;IsSubquery&amp;amp;gt;False&amp;amp;lt;/IsSubquer'"</definedName>
    <definedName name="_AMO_ContentDefinition_485496469.1535"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485496469.1536" hidden="1">"'rmat&amp;amp;gt;&amp;amp;lt;RightHandSideExpression&amp;amp;gt;MFPR01007031&amp;amp;lt;/RightHandSideExpression&amp;amp;gt;&amp;amp;lt;IsSubquery&amp;amp;gt;False&amp;amp;lt;/IsSubquery&amp;amp;gt;&amp;amp;lt;SubqueryTemplateName /&amp;amp;gt;&amp;amp;lt;/RHSItem&amp;amp;gt;&amp;amp;lt;RHSItem&amp;amp;gt;&amp;amp;'"</definedName>
    <definedName name="_AMO_ContentDefinition_485496469.1537" hidden="1">"'lt;RHSType&amp;amp;gt;EXPRESSION&amp;amp;lt;/RHSType&amp;amp;gt;&amp;amp;lt;AddQuotes&amp;amp;gt;True&amp;amp;lt;/AddQuotes&amp;amp;gt;&amp;amp;lt;DateFormat&amp;amp;gt;None&amp;amp;lt;/DateFormat&amp;amp;gt;&amp;amp;lt;RightHandSideExpression&amp;amp;gt;MFPR01007032&amp;amp;lt;/RightHandSideExpression&amp;amp'"</definedName>
    <definedName name="_AMO_ContentDefinition_485496469.1538"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485496469.1539" hidden="1">"'&amp;amp;gt;&amp;amp;lt;DateFormat&amp;amp;gt;None&amp;amp;lt;/DateFormat&amp;amp;gt;&amp;amp;lt;RightHandSideExpression&amp;amp;gt;MFPR01007033&amp;amp;lt;/RightHandSideExpression&amp;amp;gt;&amp;amp;lt;IsSubquery&amp;amp;gt;False&amp;amp;lt;/IsSubquery&amp;amp;gt;&amp;amp;lt;SubqueryTemplateName /&amp;amp;gt'"</definedName>
    <definedName name="_AMO_ContentDefinition_485496469.154" hidden="1">"'822',&amp;#xD;&amp;#xA;'MFPR01007823',&amp;#xD;&amp;#xA;'MFPR01007824',&amp;#xD;&amp;#xA;'MFPR01007825',&amp;#xD;&amp;#xA;'MFPR01007826',&amp;#xD;&amp;#xA;'MFPR01007827',&amp;#xD;&amp;#xA;'MFPR01007828',&amp;#xD;&amp;#xA;'MFPR01007829',&amp;#xD;&amp;#xA;'MFPR01007830',&amp;#xD;&amp;#xA;'MFPR01007831',&amp;#xD;&amp;#xA;'MFPR010078'"</definedName>
    <definedName name="_AMO_ContentDefinition_485496469.1540" hidden="1">"';&amp;amp;lt;/RHSItem&amp;amp;gt;&amp;amp;lt;RHSItem&amp;amp;gt;&amp;amp;lt;RHSType&amp;amp;gt;EXPRESSION&amp;amp;lt;/RHSType&amp;amp;gt;&amp;amp;lt;AddQuotes&amp;amp;gt;True&amp;amp;lt;/AddQuotes&amp;amp;gt;&amp;amp;lt;DateFormat&amp;amp;gt;None&amp;amp;lt;/DateFormat&amp;amp;gt;&amp;amp;lt;RightHandSideExpression&amp;am'"</definedName>
    <definedName name="_AMO_ContentDefinition_485496469.1541" hidden="1">"'p;gt;MFPR01007034&amp;amp;lt;/RightHandSideExpression&amp;amp;gt;&amp;amp;lt;IsSubquery&amp;amp;gt;False&amp;amp;lt;/IsSubquery&amp;amp;gt;&amp;amp;lt;SubqueryTemplateName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485496469.1542" hidden="1">"'mp;gt;&amp;amp;lt;AddQuotes&amp;amp;gt;True&amp;amp;lt;/AddQuotes&amp;amp;gt;&amp;amp;lt;DateFormat&amp;amp;gt;None&amp;amp;lt;/DateFormat&amp;amp;gt;&amp;amp;lt;RightHandSideExpression&amp;amp;gt;MFPR01007035&amp;amp;lt;/RightHandSideExpression&amp;amp;gt;&amp;amp;lt;IsSubquery&amp;amp;gt;False&amp;amp;lt;/Is'"</definedName>
    <definedName name="_AMO_ContentDefinition_485496469.1543"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1544" hidden="1">"'/DateFormat&amp;amp;gt;&amp;amp;lt;RightHandSideExpression&amp;amp;gt;MFPR01007036&amp;amp;lt;/RightHandSideExpression&amp;amp;gt;&amp;amp;lt;IsSubquery&amp;amp;gt;False&amp;amp;lt;/IsSubquery&amp;amp;gt;&amp;amp;lt;SubqueryTemplateName /&amp;amp;gt;&amp;amp;lt;/RHSItem&amp;amp;gt;&amp;amp;lt;RHSItem&amp;amp;g'"</definedName>
    <definedName name="_AMO_ContentDefinition_485496469.1545" hidden="1">"'t;&amp;amp;lt;RHSType&amp;amp;gt;EXPRESSION&amp;amp;lt;/RHSType&amp;amp;gt;&amp;amp;lt;AddQuotes&amp;amp;gt;True&amp;amp;lt;/AddQuotes&amp;amp;gt;&amp;amp;lt;DateFormat&amp;amp;gt;None&amp;amp;lt;/DateFormat&amp;amp;gt;&amp;amp;lt;RightHandSideExpression&amp;amp;gt;MFPR01007037&amp;amp;lt;/RightHandSideExpress'"</definedName>
    <definedName name="_AMO_ContentDefinition_485496469.1546"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485496469.1547" hidden="1">"'dQuotes&amp;amp;gt;&amp;amp;lt;DateFormat&amp;amp;gt;None&amp;amp;lt;/DateFormat&amp;amp;gt;&amp;amp;lt;RightHandSideExpression&amp;amp;gt;MFPR01007038&amp;amp;lt;/RightHandSideExpression&amp;amp;gt;&amp;amp;lt;IsSubquery&amp;amp;gt;False&amp;amp;lt;/IsSubquery&amp;amp;gt;&amp;amp;lt;SubqueryTemplateName /'"</definedName>
    <definedName name="_AMO_ContentDefinition_485496469.1548"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485496469.1549" hidden="1">"'sion&amp;amp;gt;MFPR01007039&amp;amp;lt;/RightHandSideExpression&amp;amp;gt;&amp;amp;lt;IsSubquery&amp;amp;gt;False&amp;amp;lt;/IsSubquery&amp;amp;gt;&amp;amp;lt;SubqueryTemplateName /&amp;amp;gt;&amp;amp;lt;/RHSItem&amp;amp;gt;&amp;amp;lt;RHSItem&amp;amp;gt;&amp;amp;lt;RHSType&amp;amp;gt;EXPRESSION&amp;amp;lt;/RH'"</definedName>
    <definedName name="_AMO_ContentDefinition_485496469.155" hidden="1">"'32',&amp;#xD;&amp;#xA;'MFPR01007833',&amp;#xD;&amp;#xA;'MFPR01007834',&amp;#xD;&amp;#xA;'MFPR01007835',&amp;#xD;&amp;#xA;'MFPR01007836',&amp;#xD;&amp;#xA;'MFPR01007837',&amp;#xD;&amp;#xA;'MFPR01007838',&amp;#xD;&amp;#xA;'MFPR01007839',&amp;#xD;&amp;#xA;'MFPR01007840',&amp;#xD;&amp;#xA;'MFPR01007841',&amp;#xD;&amp;#xA;'MFPR0100784'"</definedName>
    <definedName name="_AMO_ContentDefinition_485496469.1550" hidden="1">"'SType&amp;amp;gt;&amp;amp;lt;AddQuotes&amp;amp;gt;True&amp;amp;lt;/AddQuotes&amp;amp;gt;&amp;amp;lt;DateFormat&amp;amp;gt;None&amp;amp;lt;/DateFormat&amp;amp;gt;&amp;amp;lt;RightHandSideExpression&amp;amp;gt;MFPR01007040&amp;amp;lt;/RightHandSideExpression&amp;amp;gt;&amp;amp;lt;IsSubquery&amp;amp;gt;False&amp;amp'"</definedName>
    <definedName name="_AMO_ContentDefinition_485496469.1551"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485496469.1552" hidden="1">"'amp;lt;/DateFormat&amp;amp;gt;&amp;amp;lt;RightHandSideExpression&amp;amp;gt;MFPR01007041&amp;amp;lt;/RightHandSideExpression&amp;amp;gt;&amp;amp;lt;IsSubquery&amp;amp;gt;False&amp;amp;lt;/IsSubquery&amp;amp;gt;&amp;amp;lt;SubqueryTemplateName /&amp;amp;gt;&amp;amp;lt;/RHSItem&amp;amp;gt;&amp;amp;lt;RHSIte'"</definedName>
    <definedName name="_AMO_ContentDefinition_485496469.1553" hidden="1">"'m&amp;amp;gt;&amp;amp;lt;RHSType&amp;amp;gt;EXPRESSION&amp;amp;lt;/RHSType&amp;amp;gt;&amp;amp;lt;AddQuotes&amp;amp;gt;True&amp;amp;lt;/AddQuotes&amp;amp;gt;&amp;amp;lt;DateFormat&amp;amp;gt;None&amp;amp;lt;/DateFormat&amp;amp;gt;&amp;amp;lt;RightHandSideExpression&amp;amp;gt;MFPR01007042&amp;amp;lt;/RightHandSide'"</definedName>
    <definedName name="_AMO_ContentDefinition_485496469.1554"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1555" hidden="1">"';lt;/AddQuotes&amp;amp;gt;&amp;amp;lt;DateFormat&amp;amp;gt;None&amp;amp;lt;/DateFormat&amp;amp;gt;&amp;amp;lt;RightHandSideExpression&amp;amp;gt;MFPR01007043&amp;amp;lt;/RightHandSideExpression&amp;amp;gt;&amp;amp;lt;IsSubquery&amp;amp;gt;False&amp;amp;lt;/IsSubquery&amp;amp;gt;&amp;amp;lt;SubqueryTemplat'"</definedName>
    <definedName name="_AMO_ContentDefinition_485496469.1556"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485496469.1557" hidden="1">"'eExpression&amp;amp;gt;MFPR01007044&amp;amp;lt;/RightHandSideExpression&amp;amp;gt;&amp;amp;lt;IsSubquery&amp;amp;gt;False&amp;amp;lt;/IsSubquery&amp;amp;gt;&amp;amp;lt;SubqueryTemplateName /&amp;amp;gt;&amp;amp;lt;/RHSItem&amp;amp;gt;&amp;amp;lt;RHSItem&amp;amp;gt;&amp;amp;lt;RHSType&amp;amp;gt;EXPRESSION&amp;amp'"</definedName>
    <definedName name="_AMO_ContentDefinition_485496469.1558" hidden="1">"';lt;/RHSType&amp;amp;gt;&amp;amp;lt;AddQuotes&amp;amp;gt;True&amp;amp;lt;/AddQuotes&amp;amp;gt;&amp;amp;lt;DateFormat&amp;amp;gt;None&amp;amp;lt;/DateFormat&amp;amp;gt;&amp;amp;lt;RightHandSideExpression&amp;amp;gt;MFPR01007045&amp;amp;lt;/RightHandSideExpression&amp;amp;gt;&amp;amp;lt;IsSubquery&amp;amp;gt;Fa'"</definedName>
    <definedName name="_AMO_ContentDefinition_485496469.1559"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485496469.156" hidden="1">"'2',&amp;#xD;&amp;#xA;'MFPR01007843',&amp;#xD;&amp;#xA;'MFPR01007844',&amp;#xD;&amp;#xA;'MFPR01007845',&amp;#xD;&amp;#xA;'MFPR01007846',&amp;#xD;&amp;#xA;'MFPR01007847',&amp;#xD;&amp;#xA;'MFPR01007848',&amp;#xD;&amp;#xA;'MFPR01007849',&amp;#xD;&amp;#xA;'MFPR01007850',&amp;#xD;&amp;#xA;'MFPR01007851'&amp;#xD;&amp;#xA;)"" /&gt;_x000D_
  &lt;par'"</definedName>
    <definedName name="_AMO_ContentDefinition_485496469.1560" hidden="1">"'t;None&amp;amp;lt;/DateFormat&amp;amp;gt;&amp;amp;lt;RightHandSideExpression&amp;amp;gt;MFPR01007046&amp;amp;lt;/RightHandSideExpression&amp;amp;gt;&amp;amp;lt;IsSubquery&amp;amp;gt;False&amp;amp;lt;/IsSubquery&amp;amp;gt;&amp;amp;lt;SubqueryTemplateName /&amp;amp;gt;&amp;amp;lt;/RHSItem&amp;amp;gt;&amp;amp;lt'"</definedName>
    <definedName name="_AMO_ContentDefinition_485496469.1561" hidden="1">"';RHSItem&amp;amp;gt;&amp;amp;lt;RHSType&amp;amp;gt;EXPRESSION&amp;amp;lt;/RHSType&amp;amp;gt;&amp;amp;lt;AddQuotes&amp;amp;gt;True&amp;amp;lt;/AddQuotes&amp;amp;gt;&amp;amp;lt;DateFormat&amp;amp;gt;None&amp;amp;lt;/DateFormat&amp;amp;gt;&amp;amp;lt;RightHandSideExpression&amp;amp;gt;MFPR01007047&amp;amp;lt;/RightH'"</definedName>
    <definedName name="_AMO_ContentDefinition_485496469.1562"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485496469.1563" hidden="1">"'rue&amp;amp;lt;/AddQuotes&amp;amp;gt;&amp;amp;lt;DateFormat&amp;amp;gt;None&amp;amp;lt;/DateFormat&amp;amp;gt;&amp;amp;lt;RightHandSideExpression&amp;amp;gt;MFPR01007048&amp;amp;lt;/RightHandSideExpression&amp;amp;gt;&amp;amp;lt;IsSubquery&amp;amp;gt;False&amp;amp;lt;/IsSubquery&amp;amp;gt;&amp;amp;lt;Subquery'"</definedName>
    <definedName name="_AMO_ContentDefinition_485496469.1564"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485496469.1565" hidden="1">"'HandSideExpression&amp;amp;gt;MFPR01007049&amp;amp;lt;/RightHandSideExpression&amp;amp;gt;&amp;amp;lt;IsSubquery&amp;amp;gt;False&amp;amp;lt;/IsSubquery&amp;amp;gt;&amp;amp;lt;SubqueryTemplateName /&amp;amp;gt;&amp;amp;lt;/RHSItem&amp;amp;gt;&amp;amp;lt;RHSItem&amp;amp;gt;&amp;amp;lt;RHSType&amp;amp;gt;EXPRESS'"</definedName>
    <definedName name="_AMO_ContentDefinition_485496469.1566" hidden="1">"'ION&amp;amp;lt;/RHSType&amp;amp;gt;&amp;amp;lt;AddQuotes&amp;amp;gt;True&amp;amp;lt;/AddQuotes&amp;amp;gt;&amp;amp;lt;DateFormat&amp;amp;gt;None&amp;amp;lt;/DateFormat&amp;amp;gt;&amp;amp;lt;RightHandSideExpression&amp;amp;gt;MFPR01007050&amp;amp;lt;/RightHandSideExpression&amp;amp;gt;&amp;amp;lt;IsSubquery&amp;am'"</definedName>
    <definedName name="_AMO_ContentDefinition_485496469.1567"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485496469.1568" hidden="1">"'t&amp;amp;gt;None&amp;amp;lt;/DateFormat&amp;amp;gt;&amp;amp;lt;RightHandSideExpression&amp;amp;gt;MFPR01007051&amp;amp;lt;/RightHandSideExpression&amp;amp;gt;&amp;amp;lt;IsSubquery&amp;amp;gt;False&amp;amp;lt;/IsSubquery&amp;amp;gt;&amp;amp;lt;SubqueryTemplateName /&amp;amp;gt;&amp;amp;lt;/RHSItem&amp;amp;gt;'"</definedName>
    <definedName name="_AMO_ContentDefinition_485496469.1569" hidden="1">"'&amp;amp;lt;RHSItem&amp;amp;gt;&amp;amp;lt;RHSType&amp;amp;gt;EXPRESSION&amp;amp;lt;/RHSType&amp;amp;gt;&amp;amp;lt;AddQuotes&amp;amp;gt;True&amp;amp;lt;/AddQuotes&amp;amp;gt;&amp;amp;lt;DateFormat&amp;amp;gt;None&amp;amp;lt;/DateFormat&amp;amp;gt;&amp;amp;lt;RightHandSideExpression&amp;amp;gt;MFPR01007052&amp;amp;lt;'"</definedName>
    <definedName name="_AMO_ContentDefinition_485496469.157" hidden="1">"'am n=""MoreSheetsForRows"" v=""True"" /&gt;_x000D_
  &lt;param n=""PageSize"" v=""5"" /&gt;_x000D_
  &lt;param n=""ShowRowNumbers"" v=""False"" /&gt;_x000D_
  &lt;param n=""ShowInfoInSheet"" v=""False"" /&gt;_x000D_
  &lt;param n=""CredKey"" v=""VALIDATION_METRICS_PRIOR10_VIEW&amp;#x1;SASApp&amp;#x1;Metri'"</definedName>
    <definedName name="_AMO_ContentDefinition_485496469.1570"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485496469.1571" hidden="1">"'mp;gt;True&amp;amp;lt;/AddQuotes&amp;amp;gt;&amp;amp;lt;DateFormat&amp;amp;gt;None&amp;amp;lt;/DateFormat&amp;amp;gt;&amp;amp;lt;RightHandSideExpression&amp;amp;gt;MFPR01007053&amp;amp;lt;/RightHandSideExpression&amp;amp;gt;&amp;amp;lt;IsSubquery&amp;amp;gt;False&amp;amp;lt;/IsSubquery&amp;amp;gt;&amp;amp;lt;S'"</definedName>
    <definedName name="_AMO_ContentDefinition_485496469.1572"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485496469.1573" hidden="1">"'t;RightHandSideExpression&amp;amp;gt;MFPR01007054&amp;amp;lt;/RightHandSideExpression&amp;amp;gt;&amp;amp;lt;IsSubquery&amp;amp;gt;False&amp;amp;lt;/IsSubquery&amp;amp;gt;&amp;amp;lt;SubqueryTemplateName /&amp;amp;gt;&amp;amp;lt;/RHSItem&amp;amp;gt;&amp;amp;lt;RHSItem&amp;amp;gt;&amp;amp;lt;RHSType&amp;amp;gt;'"</definedName>
    <definedName name="_AMO_ContentDefinition_485496469.1574" hidden="1">"'EXPRESSION&amp;amp;lt;/RHSType&amp;amp;gt;&amp;amp;lt;AddQuotes&amp;amp;gt;True&amp;amp;lt;/AddQuotes&amp;amp;gt;&amp;amp;lt;DateFormat&amp;amp;gt;None&amp;amp;lt;/DateFormat&amp;amp;gt;&amp;amp;lt;RightHandSideExpression&amp;amp;gt;MFPR01007055&amp;amp;lt;/RightHandSideExpression&amp;amp;gt;&amp;amp;lt;IsSubq'"</definedName>
    <definedName name="_AMO_ContentDefinition_485496469.1575"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485496469.1576" hidden="1">"'teFormat&amp;amp;gt;None&amp;amp;lt;/DateFormat&amp;amp;gt;&amp;amp;lt;RightHandSideExpression&amp;amp;gt;MFPR01007056&amp;amp;lt;/RightHandSideExpression&amp;amp;gt;&amp;amp;lt;IsSubquery&amp;amp;gt;False&amp;amp;lt;/IsSubquery&amp;amp;gt;&amp;amp;lt;SubqueryTemplateName /&amp;amp;gt;&amp;amp;lt;/RHSItem&amp;'"</definedName>
    <definedName name="_AMO_ContentDefinition_485496469.1577" hidden="1">"'amp;gt;&amp;amp;lt;RHSItem&amp;amp;gt;&amp;amp;lt;RHSType&amp;amp;gt;EXPRESSION&amp;amp;lt;/RHSType&amp;amp;gt;&amp;amp;lt;AddQuotes&amp;amp;gt;True&amp;amp;lt;/AddQuotes&amp;amp;gt;&amp;amp;lt;DateFormat&amp;amp;gt;None&amp;amp;lt;/DateFormat&amp;amp;gt;&amp;amp;lt;RightHandSideExpression&amp;amp;gt;MFPR01007057&amp;'"</definedName>
    <definedName name="_AMO_ContentDefinition_485496469.1578"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485496469.1579" hidden="1">"'uotes&amp;amp;gt;True&amp;amp;lt;/AddQuotes&amp;amp;gt;&amp;amp;lt;DateFormat&amp;amp;gt;None&amp;amp;lt;/DateFormat&amp;amp;gt;&amp;amp;lt;RightHandSideExpression&amp;amp;gt;MFPR01007058&amp;amp;lt;/RightHandSideExpression&amp;amp;gt;&amp;amp;lt;IsSubquery&amp;amp;gt;False&amp;amp;lt;/IsSubquery&amp;amp;gt;&amp;a'"</definedName>
    <definedName name="_AMO_ContentDefinition_485496469.158" hidden="1">"'cs Data"" /&gt;_x000D_
  &lt;param n=""ClassName"" v=""SAS.OfficeAddin.DataViewItem"" /&gt;_x000D_
  &lt;param n=""ServerName"" v=""SASApp"" /&gt;_x000D_
  &lt;param n=""DataSource"" v=""&amp;lt;SasDataSource Version=&amp;quot;4.2&amp;quot; Type=&amp;quot;SAS.Servers.Dataset&amp;quot; Svr=&amp;quot;SASApp&amp;quot'"</definedName>
    <definedName name="_AMO_ContentDefinition_485496469.1580"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1581" hidden="1">"';&amp;amp;lt;RightHandSideExpression&amp;amp;gt;MFPR01007059&amp;amp;lt;/RightHandSideExpression&amp;amp;gt;&amp;amp;lt;IsSubquery&amp;amp;gt;False&amp;amp;lt;/IsSubquery&amp;amp;gt;&amp;amp;lt;SubqueryTemplateName /&amp;amp;gt;&amp;amp;lt;/RHSItem&amp;amp;gt;&amp;amp;lt;RHSItem&amp;amp;gt;&amp;amp;lt;RHSType&amp;'"</definedName>
    <definedName name="_AMO_ContentDefinition_485496469.1582" hidden="1">"'amp;gt;EXPRESSION&amp;amp;lt;/RHSType&amp;amp;gt;&amp;amp;lt;AddQuotes&amp;amp;gt;True&amp;amp;lt;/AddQuotes&amp;amp;gt;&amp;amp;lt;DateFormat&amp;amp;gt;None&amp;amp;lt;/DateFormat&amp;amp;gt;&amp;amp;lt;RightHandSideExpression&amp;amp;gt;MFPR01007060&amp;amp;lt;/RightHandSideExpression&amp;amp;gt;&amp;amp;lt'"</definedName>
    <definedName name="_AMO_ContentDefinition_485496469.1583"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485496469.1584" hidden="1">"'p;lt;DateFormat&amp;amp;gt;None&amp;amp;lt;/DateFormat&amp;amp;gt;&amp;amp;lt;RightHandSideExpression&amp;amp;gt;MFPR01007061&amp;amp;lt;/RightHandSideExpression&amp;amp;gt;&amp;amp;lt;IsSubquery&amp;amp;gt;False&amp;amp;lt;/IsSubquery&amp;amp;gt;&amp;amp;lt;SubqueryTemplateName /&amp;amp;gt;&amp;amp;lt;/R'"</definedName>
    <definedName name="_AMO_ContentDefinition_485496469.1585" hidden="1">"'HSItem&amp;amp;gt;&amp;amp;lt;RHSItem&amp;amp;gt;&amp;amp;lt;RHSType&amp;amp;gt;EXPRESSION&amp;amp;lt;/RHSType&amp;amp;gt;&amp;amp;lt;AddQuotes&amp;amp;gt;True&amp;amp;lt;/AddQuotes&amp;amp;gt;&amp;amp;lt;DateFormat&amp;amp;gt;None&amp;amp;lt;/DateFormat&amp;amp;gt;&amp;amp;lt;RightHandSideExpression&amp;amp;gt;MFPR01'"</definedName>
    <definedName name="_AMO_ContentDefinition_485496469.1586" hidden="1">"'007062&amp;amp;lt;/RightHandSideExpression&amp;amp;gt;&amp;amp;lt;IsSubquery&amp;amp;gt;False&amp;amp;lt;/IsSubquery&amp;amp;gt;&amp;amp;lt;SubqueryTemplateName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1587" hidden="1">"'lt;AddQuotes&amp;amp;gt;True&amp;amp;lt;/AddQuotes&amp;amp;gt;&amp;amp;lt;DateFormat&amp;amp;gt;None&amp;amp;lt;/DateFormat&amp;amp;gt;&amp;amp;lt;RightHandSideExpression&amp;amp;gt;MFPR01007063&amp;amp;lt;/RightHandSideExpression&amp;amp;gt;&amp;amp;lt;IsSubquery&amp;amp;gt;False&amp;amp;lt;/IsSubquery&amp;am'"</definedName>
    <definedName name="_AMO_ContentDefinition_485496469.1588"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485496469.1589" hidden="1">"'&amp;amp;gt;&amp;amp;lt;RightHandSideExpression&amp;amp;gt;MFPR01007064&amp;amp;lt;/RightHandSideExpression&amp;amp;gt;&amp;amp;lt;IsSubquery&amp;amp;gt;False&amp;amp;lt;/IsSubquery&amp;amp;gt;&amp;amp;lt;SubqueryTemplateName /&amp;amp;gt;&amp;amp;lt;/RHSItem&amp;amp;gt;&amp;amp;lt;RHSItem&amp;amp;gt;&amp;amp;lt;R'"</definedName>
    <definedName name="_AMO_ContentDefinition_485496469.159" hidden="1">"'; Lib=&amp;quot;METRICS&amp;quot; Libname=&amp;quot;Metrics Data&amp;quot; Filter=&amp;quot;entity_submitter_type IN &amp;amp;#xD;&amp;amp;#xA;(&amp;amp;#xD;&amp;amp;#xA;'Country'&amp;amp;#xD;&amp;amp;#xA;) AND date_dt &amp;amp;gt;= '31Jan2020'd AND frequency_cd = 'M' AND entity_id CONTAINS 'ECCU' '"</definedName>
    <definedName name="_AMO_ContentDefinition_485496469.1590" hidden="1">"'HSType&amp;amp;gt;EXPRESSION&amp;amp;lt;/RHSType&amp;amp;gt;&amp;amp;lt;AddQuotes&amp;amp;gt;True&amp;amp;lt;/AddQuotes&amp;amp;gt;&amp;amp;lt;DateFormat&amp;amp;gt;None&amp;amp;lt;/DateFormat&amp;amp;gt;&amp;amp;lt;RightHandSideExpression&amp;amp;gt;MFPR01007065&amp;amp;lt;/RightHandSideExpression&amp;amp;gt;'"</definedName>
    <definedName name="_AMO_ContentDefinition_485496469.1591"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1592" hidden="1">"';gt;&amp;amp;lt;DateFormat&amp;amp;gt;None&amp;amp;lt;/DateFormat&amp;amp;gt;&amp;amp;lt;RightHandSideExpression&amp;amp;gt;MFPR01007066&amp;amp;lt;/RightHandSideExpression&amp;amp;gt;&amp;amp;lt;IsSubquery&amp;amp;gt;False&amp;amp;lt;/IsSubquery&amp;amp;gt;&amp;amp;lt;SubqueryTemplateName /&amp;amp;gt;&amp;am'"</definedName>
    <definedName name="_AMO_ContentDefinition_485496469.1593" hidden="1">"'p;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1594" hidden="1">"';MFPR01007067&amp;amp;lt;/RightHandSideExpression&amp;amp;gt;&amp;amp;lt;IsSubquery&amp;amp;gt;False&amp;amp;lt;/IsSubquery&amp;amp;gt;&amp;amp;lt;SubqueryTemplateName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485496469.1595" hidden="1">"'t;&amp;amp;lt;AddQuotes&amp;amp;gt;True&amp;amp;lt;/AddQuotes&amp;amp;gt;&amp;amp;lt;DateFormat&amp;amp;gt;None&amp;amp;lt;/DateFormat&amp;amp;gt;&amp;amp;lt;RightHandSideExpression&amp;amp;gt;MFPR01007068&amp;amp;lt;/RightHandSideExpression&amp;amp;gt;&amp;amp;lt;IsSubquery&amp;amp;gt;False&amp;amp;lt;/IsSubq'"</definedName>
    <definedName name="_AMO_ContentDefinition_485496469.1596"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485496469.1597" hidden="1">"'eFormat&amp;amp;gt;&amp;amp;lt;RightHandSideExpression&amp;amp;gt;MFPR01007069&amp;amp;lt;/RightHandSideExpression&amp;amp;gt;&amp;amp;lt;IsSubquery&amp;amp;gt;False&amp;amp;lt;/IsSubquery&amp;amp;gt;&amp;amp;lt;SubqueryTemplateName /&amp;amp;gt;&amp;amp;lt;/RHSItem&amp;amp;gt;&amp;amp;lt;RHSItem&amp;amp;gt;&amp;a'"</definedName>
    <definedName name="_AMO_ContentDefinition_485496469.1598" hidden="1">"'mp;lt;RHSType&amp;amp;gt;EXPRESSION&amp;amp;lt;/RHSType&amp;amp;gt;&amp;amp;lt;AddQuotes&amp;amp;gt;True&amp;amp;lt;/AddQuotes&amp;amp;gt;&amp;amp;lt;DateFormat&amp;amp;gt;None&amp;amp;lt;/DateFormat&amp;amp;gt;&amp;amp;lt;RightHandSideExpression&amp;amp;gt;MFPR01007070&amp;amp;lt;/RightHandSideExpression&amp;'"</definedName>
    <definedName name="_AMO_ContentDefinition_485496469.1599"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485496469.16" hidden="1">"'xA;'MFDRVD000195',&amp;#xD;&amp;#xA;'MFDRVD000196',&amp;#xD;&amp;#xA;'MFDRVD000197',&amp;#xD;&amp;#xA;'MFDRVD000198',&amp;#xD;&amp;#xA;'MFDRVD000199',&amp;#xD;&amp;#xA;'MFDRVD000200',&amp;#xD;&amp;#xA;'MFDRVD000201',&amp;#xD;&amp;#xA;'MFDRVD000202',&amp;#xD;&amp;#xA;'MFDRVD000203',&amp;#xD;&amp;#xA;'MFDRVD000204',&amp;#xD;&amp;#x'"</definedName>
    <definedName name="_AMO_ContentDefinition_485496469.160" hidden="1">"'AND indicator_id IN &amp;amp;#xD;&amp;amp;#xA;(&amp;amp;#xD;&amp;amp;#xA;'MFDRVD000120',&amp;amp;#xD;&amp;amp;#xA;'MFDRVD000127',&amp;amp;#xD;&amp;amp;#xA;'MFDRVD000128',&amp;amp;#xD;&amp;amp;#xA;'MFDRVD000133',&amp;amp;#xD;&amp;amp;#xA;'MFDRVD000135',&amp;amp;#xD;&amp;amp;#xA;'MFDRVD000136',&amp;amp;#xD;&amp;amp;'"</definedName>
    <definedName name="_AMO_ContentDefinition_485496469.1600" hidden="1">"'tes&amp;amp;gt;&amp;amp;lt;DateFormat&amp;amp;gt;None&amp;amp;lt;/DateFormat&amp;amp;gt;&amp;amp;lt;RightHandSideExpression&amp;amp;gt;MFPR01007071&amp;amp;lt;/RightHandSideExpression&amp;amp;gt;&amp;amp;lt;IsSubquery&amp;amp;gt;False&amp;amp;lt;/IsSubquery&amp;amp;gt;&amp;amp;lt;SubqueryTemplateName /&amp;amp'"</definedName>
    <definedName name="_AMO_ContentDefinition_485496469.1601"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485496469.1602" hidden="1">"'&amp;amp;gt;MFPR01007072&amp;amp;lt;/RightHandSideExpression&amp;amp;gt;&amp;amp;lt;IsSubquery&amp;amp;gt;False&amp;amp;lt;/IsSubquery&amp;amp;gt;&amp;amp;lt;SubqueryTemplateName /&amp;amp;gt;&amp;amp;lt;/RHSItem&amp;amp;gt;&amp;amp;lt;RHSItem&amp;amp;gt;&amp;amp;lt;RHSType&amp;amp;gt;EXPRESSION&amp;amp;lt;/RHSTyp'"</definedName>
    <definedName name="_AMO_ContentDefinition_485496469.1603" hidden="1">"'e&amp;amp;gt;&amp;amp;lt;AddQuotes&amp;amp;gt;True&amp;amp;lt;/AddQuotes&amp;amp;gt;&amp;amp;lt;DateFormat&amp;amp;gt;None&amp;amp;lt;/DateFormat&amp;amp;gt;&amp;amp;lt;RightHandSideExpression&amp;amp;gt;MFPR01007073&amp;amp;lt;/RightHandSideExpression&amp;amp;gt;&amp;amp;lt;IsSubquery&amp;amp;gt;False&amp;amp;lt;'"</definedName>
    <definedName name="_AMO_ContentDefinition_485496469.1604"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1605" hidden="1">"'lt;/DateFormat&amp;amp;gt;&amp;amp;lt;RightHandSideExpression&amp;amp;gt;MFPR01007074&amp;amp;lt;/RightHandSideExpression&amp;amp;gt;&amp;amp;lt;IsSubquery&amp;amp;gt;False&amp;amp;lt;/IsSubquery&amp;amp;gt;&amp;amp;lt;SubqueryTemplateName /&amp;amp;gt;&amp;amp;lt;/RHSItem&amp;amp;gt;&amp;amp;lt;RHSItem&amp;am'"</definedName>
    <definedName name="_AMO_ContentDefinition_485496469.1606" hidden="1">"'p;gt;&amp;amp;lt;RHSType&amp;amp;gt;EXPRESSION&amp;amp;lt;/RHSType&amp;amp;gt;&amp;amp;lt;AddQuotes&amp;amp;gt;True&amp;amp;lt;/AddQuotes&amp;amp;gt;&amp;amp;lt;DateFormat&amp;amp;gt;None&amp;amp;lt;/DateFormat&amp;amp;gt;&amp;amp;lt;RightHandSideExpression&amp;amp;gt;MFPR01007075&amp;amp;lt;/RightHandSideExpr'"</definedName>
    <definedName name="_AMO_ContentDefinition_485496469.1607"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1608" hidden="1">"'/AddQuotes&amp;amp;gt;&amp;amp;lt;DateFormat&amp;amp;gt;None&amp;amp;lt;/DateFormat&amp;amp;gt;&amp;amp;lt;RightHandSideExpression&amp;amp;gt;MFPR01007076&amp;amp;lt;/RightHandSideExpression&amp;amp;gt;&amp;amp;lt;IsSubquery&amp;amp;gt;False&amp;amp;lt;/IsSubquery&amp;amp;gt;&amp;amp;lt;SubqueryTemplateNam'"</definedName>
    <definedName name="_AMO_ContentDefinition_485496469.1609"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485496469.161" hidden="1">"'#xA;'MFDRVD000138',&amp;amp;#xD;&amp;amp;#xA;'MFDRVD000139',&amp;amp;#xD;&amp;amp;#xA;'MFDRVD000150',&amp;amp;#xD;&amp;amp;#xA;'MFDRVD000155',&amp;amp;#xD;&amp;amp;#xA;'MFMSUP000002',&amp;amp;#xD;&amp;amp;#xA;'MFMSUP000003',&amp;amp;#xD;&amp;amp;#xA;'MFMSUP000004',&amp;amp;#xD;&amp;amp;#xA;'MFMSUP000005',&amp;'"</definedName>
    <definedName name="_AMO_ContentDefinition_485496469.1610" hidden="1">"'ression&amp;amp;gt;MFPR01007077&amp;amp;lt;/RightHandSideExpression&amp;amp;gt;&amp;amp;lt;IsSubquery&amp;amp;gt;False&amp;amp;lt;/IsSubquery&amp;amp;gt;&amp;amp;lt;SubqueryTemplateName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1611" hidden="1">"'/RHSType&amp;amp;gt;&amp;amp;lt;AddQuotes&amp;amp;gt;True&amp;amp;lt;/AddQuotes&amp;amp;gt;&amp;amp;lt;DateFormat&amp;amp;gt;None&amp;amp;lt;/DateFormat&amp;amp;gt;&amp;amp;lt;RightHandSideExpression&amp;amp;gt;MFPR01007078&amp;amp;lt;/RightHandSideExpression&amp;amp;gt;&amp;amp;lt;IsSubquery&amp;amp;gt;False&amp;'"</definedName>
    <definedName name="_AMO_ContentDefinition_485496469.1612"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485496469.1613" hidden="1">"'ne&amp;amp;lt;/DateFormat&amp;amp;gt;&amp;amp;lt;RightHandSideExpression&amp;amp;gt;MFPR01007079&amp;amp;lt;/RightHandSideExpression&amp;amp;gt;&amp;amp;lt;IsSubquery&amp;amp;gt;False&amp;amp;lt;/IsSubquery&amp;amp;gt;&amp;amp;lt;SubqueryTemplateName /&amp;amp;gt;&amp;amp;lt;/RHSItem&amp;amp;gt;&amp;amp;lt;RHS'"</definedName>
    <definedName name="_AMO_ContentDefinition_485496469.1614" hidden="1">"'Item&amp;amp;gt;&amp;amp;lt;RHSType&amp;amp;gt;EXPRESSION&amp;amp;lt;/RHSType&amp;amp;gt;&amp;amp;lt;AddQuotes&amp;amp;gt;True&amp;amp;lt;/AddQuotes&amp;amp;gt;&amp;amp;lt;DateFormat&amp;amp;gt;None&amp;amp;lt;/DateFormat&amp;amp;gt;&amp;amp;lt;RightHandSideExpression&amp;amp;gt;MFPR01007080&amp;amp;lt;/RightHandS'"</definedName>
    <definedName name="_AMO_ContentDefinition_485496469.1615"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485496469.1616" hidden="1">"'amp;lt;/AddQuotes&amp;amp;gt;&amp;amp;lt;DateFormat&amp;amp;gt;None&amp;amp;lt;/DateFormat&amp;amp;gt;&amp;amp;lt;RightHandSideExpression&amp;amp;gt;MFPR01007081&amp;amp;lt;/RightHandSideExpression&amp;amp;gt;&amp;amp;lt;IsSubquery&amp;amp;gt;False&amp;amp;lt;/IsSubquery&amp;amp;gt;&amp;amp;lt;SubqueryTemp'"</definedName>
    <definedName name="_AMO_ContentDefinition_485496469.1617"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485496469.1618" hidden="1">"'SideExpression&amp;amp;gt;MFPR01007082&amp;amp;lt;/RightHandSideExpression&amp;amp;gt;&amp;amp;lt;IsSubquery&amp;amp;gt;False&amp;amp;lt;/IsSubquery&amp;amp;gt;&amp;amp;lt;SubqueryTemplateName /&amp;amp;gt;&amp;amp;lt;/RHSItem&amp;amp;gt;&amp;amp;lt;RHSItem&amp;amp;gt;&amp;amp;lt;RHSType&amp;amp;gt;EXPRESSION&amp;'"</definedName>
    <definedName name="_AMO_ContentDefinition_485496469.1619" hidden="1">"'amp;lt;/RHSType&amp;amp;gt;&amp;amp;lt;AddQuotes&amp;amp;gt;True&amp;amp;lt;/AddQuotes&amp;amp;gt;&amp;amp;lt;DateFormat&amp;amp;gt;None&amp;amp;lt;/DateFormat&amp;amp;gt;&amp;amp;lt;RightHandSideExpression&amp;amp;gt;MFPR01007083&amp;amp;lt;/RightHandSideExpression&amp;amp;gt;&amp;amp;lt;IsSubquery&amp;amp;gt'"</definedName>
    <definedName name="_AMO_ContentDefinition_485496469.162" hidden="1">"'amp;#xD;&amp;amp;#xA;'MFMSUP000006',&amp;amp;#xD;&amp;amp;#xA;'MFMSUP000007',&amp;amp;#xD;&amp;amp;#xA;'MFMSUP000008',&amp;amp;#xD;&amp;amp;#xA;'MFMSUP000009',&amp;amp;#xD;&amp;amp;#xA;'MFMSUP000010',&amp;amp;#xD;&amp;amp;#xA;'MFMSUP000011',&amp;amp;#xD;&amp;amp;#xA;'MFMSUP000012',&amp;amp;#xD;&amp;amp;#xA;'MF'"</definedName>
    <definedName name="_AMO_ContentDefinition_485496469.1620"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485496469.1621" hidden="1">"'p;gt;None&amp;amp;lt;/DateFormat&amp;amp;gt;&amp;amp;lt;RightHandSideExpression&amp;amp;gt;MFPR01007084&amp;amp;lt;/RightHandSideExpression&amp;amp;gt;&amp;amp;lt;IsSubquery&amp;amp;gt;False&amp;amp;lt;/IsSubquery&amp;amp;gt;&amp;amp;lt;SubqueryTemplateName /&amp;amp;gt;&amp;amp;lt;/RHSItem&amp;amp;gt;&amp;amp'"</definedName>
    <definedName name="_AMO_ContentDefinition_485496469.1622" hidden="1">"';lt;RHSItem&amp;amp;gt;&amp;amp;lt;RHSType&amp;amp;gt;EXPRESSION&amp;amp;lt;/RHSType&amp;amp;gt;&amp;amp;lt;AddQuotes&amp;amp;gt;True&amp;amp;lt;/AddQuotes&amp;amp;gt;&amp;amp;lt;DateFormat&amp;amp;gt;None&amp;amp;lt;/DateFormat&amp;amp;gt;&amp;amp;lt;RightHandSideExpression&amp;amp;gt;MFPR01007085&amp;amp;lt;/Rig'"</definedName>
    <definedName name="_AMO_ContentDefinition_485496469.1623"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485496469.1624" hidden="1">"'t;True&amp;amp;lt;/AddQuotes&amp;amp;gt;&amp;amp;lt;DateFormat&amp;amp;gt;None&amp;amp;lt;/DateFormat&amp;amp;gt;&amp;amp;lt;RightHandSideExpression&amp;amp;gt;MFPR01007086&amp;amp;lt;/RightHandSideExpression&amp;amp;gt;&amp;amp;lt;IsSubquery&amp;amp;gt;False&amp;amp;lt;/IsSubquery&amp;amp;gt;&amp;amp;lt;Subqu'"</definedName>
    <definedName name="_AMO_ContentDefinition_485496469.1625"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485496469.1626" hidden="1">"'ghtHandSideExpression&amp;amp;gt;MFPR01007087&amp;amp;lt;/RightHandSideExpression&amp;amp;gt;&amp;amp;lt;IsSubquery&amp;amp;gt;False&amp;amp;lt;/IsSubquery&amp;amp;gt;&amp;amp;lt;SubqueryTemplateName /&amp;amp;gt;&amp;amp;lt;/RHSItem&amp;amp;gt;&amp;amp;lt;RHSItem&amp;amp;gt;&amp;amp;lt;RHSType&amp;amp;gt;EXPR'"</definedName>
    <definedName name="_AMO_ContentDefinition_485496469.1627" hidden="1">"'ESSION&amp;amp;lt;/RHSType&amp;amp;gt;&amp;amp;lt;AddQuotes&amp;amp;gt;True&amp;amp;lt;/AddQuotes&amp;amp;gt;&amp;amp;lt;DateFormat&amp;amp;gt;None&amp;amp;lt;/DateFormat&amp;amp;gt;&amp;amp;lt;RightHandSideExpression&amp;amp;gt;MFPR01007088&amp;amp;lt;/RightHandSideExpression&amp;amp;gt;&amp;amp;lt;IsSubquery'"</definedName>
    <definedName name="_AMO_ContentDefinition_485496469.1628"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485496469.1629" hidden="1">"'rmat&amp;amp;gt;None&amp;amp;lt;/DateFormat&amp;amp;gt;&amp;amp;lt;RightHandSideExpression&amp;amp;gt;MFPR01007089&amp;amp;lt;/RightHandSideExpression&amp;amp;gt;&amp;amp;lt;IsSubquery&amp;amp;gt;False&amp;amp;lt;/IsSubquery&amp;amp;gt;&amp;amp;lt;SubqueryTemplateName /&amp;amp;gt;&amp;amp;lt;/RHSItem&amp;amp;'"</definedName>
    <definedName name="_AMO_ContentDefinition_485496469.163" hidden="1">"'MSUP000013',&amp;amp;#xD;&amp;amp;#xA;'MFMSUP000014',&amp;amp;#xD;&amp;amp;#xA;'MFMSUP000015',&amp;amp;#xD;&amp;amp;#xA;'MFMSUP000016',&amp;amp;#xD;&amp;amp;#xA;'MFMSUP000017',&amp;amp;#xD;&amp;amp;#xA;'MFMSUP000018',&amp;amp;#xD;&amp;amp;#xA;'MFMSUP000019',&amp;amp;#xD;&amp;amp;#xA;'MFMSUP000020',&amp;amp;#xD'"</definedName>
    <definedName name="_AMO_ContentDefinition_485496469.1630" hidden="1">"'gt;&amp;amp;lt;RHSItem&amp;amp;gt;&amp;amp;lt;RHSType&amp;amp;gt;EXPRESSION&amp;amp;lt;/RHSType&amp;amp;gt;&amp;amp;lt;AddQuotes&amp;amp;gt;True&amp;amp;lt;/AddQuotes&amp;amp;gt;&amp;amp;lt;DateFormat&amp;amp;gt;None&amp;amp;lt;/DateFormat&amp;amp;gt;&amp;amp;lt;RightHandSideExpression&amp;amp;gt;MFPR01007090&amp;amp;'"</definedName>
    <definedName name="_AMO_ContentDefinition_485496469.1631"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485496469.1632" hidden="1">"'s&amp;amp;gt;True&amp;amp;lt;/AddQuotes&amp;amp;gt;&amp;amp;lt;DateFormat&amp;amp;gt;None&amp;amp;lt;/DateFormat&amp;amp;gt;&amp;amp;lt;RightHandSideExpression&amp;amp;gt;MFPR01007091&amp;amp;lt;/RightHandSideExpression&amp;amp;gt;&amp;amp;lt;IsSubquery&amp;amp;gt;False&amp;amp;lt;/IsSubquery&amp;amp;gt;&amp;amp;l'"</definedName>
    <definedName name="_AMO_ContentDefinition_485496469.1633"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485496469.1634" hidden="1">"'p;lt;RightHandSideExpression&amp;amp;gt;MFPR01007092&amp;amp;lt;/RightHandSideExpression&amp;amp;gt;&amp;amp;lt;IsSubquery&amp;amp;gt;False&amp;amp;lt;/IsSubquery&amp;amp;gt;&amp;amp;lt;SubqueryTemplateName /&amp;amp;gt;&amp;amp;lt;/RHSItem&amp;amp;gt;&amp;amp;lt;RHSItem&amp;amp;gt;&amp;amp;lt;RHSType&amp;amp;'"</definedName>
    <definedName name="_AMO_ContentDefinition_485496469.1635" hidden="1">"'gt;EXPRESSION&amp;amp;lt;/RHSType&amp;amp;gt;&amp;amp;lt;AddQuotes&amp;amp;gt;True&amp;amp;lt;/AddQuotes&amp;amp;gt;&amp;amp;lt;DateFormat&amp;amp;gt;None&amp;amp;lt;/DateFormat&amp;amp;gt;&amp;amp;lt;RightHandSideExpression&amp;amp;gt;MFPR01007093&amp;amp;lt;/RightHandSideExpression&amp;amp;gt;&amp;amp;lt;IsS'"</definedName>
    <definedName name="_AMO_ContentDefinition_485496469.1636"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1637" hidden="1">"';DateFormat&amp;amp;gt;None&amp;amp;lt;/DateFormat&amp;amp;gt;&amp;amp;lt;RightHandSideExpression&amp;amp;gt;MFPR01007094&amp;amp;lt;/RightHandSideExpression&amp;amp;gt;&amp;amp;lt;IsSubquery&amp;amp;gt;False&amp;amp;lt;/IsSubquery&amp;amp;gt;&amp;amp;lt;SubqueryTemplateName /&amp;amp;gt;&amp;amp;lt;/RHSIt'"</definedName>
    <definedName name="_AMO_ContentDefinition_485496469.1638" hidden="1">"'em&amp;amp;gt;&amp;amp;lt;RHSItem&amp;amp;gt;&amp;amp;lt;RHSType&amp;amp;gt;EXPRESSION&amp;amp;lt;/RHSType&amp;amp;gt;&amp;amp;lt;AddQuotes&amp;amp;gt;True&amp;amp;lt;/AddQuotes&amp;amp;gt;&amp;amp;lt;DateFormat&amp;amp;gt;None&amp;amp;lt;/DateFormat&amp;amp;gt;&amp;amp;lt;RightHandSideExpression&amp;amp;gt;MFPR010070'"</definedName>
    <definedName name="_AMO_ContentDefinition_485496469.1639" hidden="1">"'95&amp;amp;lt;/RightHandSideExpression&amp;amp;gt;&amp;amp;lt;IsSubquery&amp;amp;gt;False&amp;amp;lt;/IsSubquery&amp;amp;gt;&amp;amp;lt;SubqueryTemplateName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485496469.164" hidden="1">"';&amp;amp;#xA;'MFMSUP000021',&amp;amp;#xD;&amp;amp;#xA;'MFMSUP000022',&amp;amp;#xD;&amp;amp;#xA;'MFMSUP000023',&amp;amp;#xD;&amp;amp;#xA;'MFMSUP000024',&amp;amp;#xD;&amp;amp;#xA;'MFMSUP000025',&amp;amp;#xD;&amp;amp;#xA;'MFMSUP000026',&amp;amp;#xD;&amp;amp;#xA;'MFMSUP000027',&amp;amp;#xD;&amp;amp;#xA;'MFMSUP000'"</definedName>
    <definedName name="_AMO_ContentDefinition_485496469.1640" hidden="1">"'ddQuotes&amp;amp;gt;True&amp;amp;lt;/AddQuotes&amp;amp;gt;&amp;amp;lt;DateFormat&amp;amp;gt;None&amp;amp;lt;/DateFormat&amp;amp;gt;&amp;amp;lt;RightHandSideExpression&amp;amp;gt;MFPR01007096&amp;amp;lt;/RightHandSideExpression&amp;amp;gt;&amp;amp;lt;IsSubquery&amp;amp;gt;False&amp;amp;lt;/IsSubquery&amp;amp;gt'"</definedName>
    <definedName name="_AMO_ContentDefinition_485496469.1641"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1642" hidden="1">"';gt;&amp;amp;lt;RightHandSideExpression&amp;amp;gt;MFPR01007097&amp;amp;lt;/RightHandSideExpression&amp;amp;gt;&amp;amp;lt;IsSubquery&amp;amp;gt;False&amp;amp;lt;/IsSubquery&amp;amp;gt;&amp;amp;lt;SubqueryTemplateName /&amp;amp;gt;&amp;amp;lt;/RHSItem&amp;amp;gt;&amp;amp;lt;RHSItem&amp;amp;gt;&amp;amp;lt;RHSTy'"</definedName>
    <definedName name="_AMO_ContentDefinition_485496469.1643" hidden="1">"'pe&amp;amp;gt;EXPRESSION&amp;amp;lt;/RHSType&amp;amp;gt;&amp;amp;lt;AddQuotes&amp;amp;gt;True&amp;amp;lt;/AddQuotes&amp;amp;gt;&amp;amp;lt;DateFormat&amp;amp;gt;None&amp;amp;lt;/DateFormat&amp;amp;gt;&amp;amp;lt;RightHandSideExpression&amp;amp;gt;MFPR01007098&amp;amp;lt;/RightHandSideExpression&amp;amp;gt;&amp;amp'"</definedName>
    <definedName name="_AMO_ContentDefinition_485496469.1644"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1645" hidden="1">"'&amp;amp;lt;DateFormat&amp;amp;gt;None&amp;amp;lt;/DateFormat&amp;amp;gt;&amp;amp;lt;RightHandSideExpression&amp;amp;gt;MFPR01007099&amp;amp;lt;/RightHandSideExpression&amp;amp;gt;&amp;amp;lt;IsSubquery&amp;amp;gt;False&amp;amp;lt;/IsSubquery&amp;amp;gt;&amp;amp;lt;SubqueryTemplateName /&amp;amp;gt;&amp;amp;lt'"</definedName>
    <definedName name="_AMO_ContentDefinition_485496469.1646" hidden="1">"';/RHSItem&amp;amp;gt;&amp;amp;lt;RHSItem&amp;amp;gt;&amp;amp;lt;RHSType&amp;amp;gt;EXPRESSION&amp;amp;lt;/RHSType&amp;amp;gt;&amp;amp;lt;AddQuotes&amp;amp;gt;True&amp;amp;lt;/AddQuotes&amp;amp;gt;&amp;amp;lt;DateFormat&amp;amp;gt;None&amp;amp;lt;/DateFormat&amp;amp;gt;&amp;amp;lt;RightHandSideExpression&amp;amp;gt;MFP'"</definedName>
    <definedName name="_AMO_ContentDefinition_485496469.1647" hidden="1">"'R01007100&amp;amp;lt;/RightHandSideExpression&amp;amp;gt;&amp;amp;lt;IsSubquery&amp;amp;gt;False&amp;amp;lt;/IsSubquery&amp;amp;gt;&amp;amp;lt;SubqueryTemplateName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485496469.1648" hidden="1">"'mp;lt;AddQuotes&amp;amp;gt;True&amp;amp;lt;/AddQuotes&amp;amp;gt;&amp;amp;lt;DateFormat&amp;amp;gt;None&amp;amp;lt;/DateFormat&amp;amp;gt;&amp;amp;lt;RightHandSideExpression&amp;amp;gt;MFPR01007101&amp;amp;lt;/RightHandSideExpression&amp;amp;gt;&amp;amp;lt;IsSubquery&amp;amp;gt;False&amp;amp;lt;/IsSubquery'"</definedName>
    <definedName name="_AMO_ContentDefinition_485496469.1649"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485496469.165" hidden="1">"'028',&amp;amp;#xD;&amp;amp;#xA;'MFMSUP000029',&amp;amp;#xD;&amp;amp;#xA;'MFMSUP000030',&amp;amp;#xD;&amp;amp;#xA;'MFMSUP000031',&amp;amp;#xD;&amp;amp;#xA;'MFMSUP000032',&amp;amp;#xD;&amp;amp;#xA;'MFMSUP000033',&amp;amp;#xD;&amp;amp;#xA;'MFMSUP000034',&amp;amp;#xD;&amp;amp;#xA;'MFMSUP000035',&amp;amp;#xD;&amp;amp;#'"</definedName>
    <definedName name="_AMO_ContentDefinition_485496469.1650" hidden="1">"'mat&amp;amp;gt;&amp;amp;lt;RightHandSideExpression&amp;amp;gt;MFPR01007102&amp;amp;lt;/RightHandSideExpression&amp;amp;gt;&amp;amp;lt;IsSubquery&amp;amp;gt;False&amp;amp;lt;/IsSubquery&amp;amp;gt;&amp;amp;lt;SubqueryTemplateName /&amp;amp;gt;&amp;amp;lt;/RHSItem&amp;amp;gt;&amp;amp;lt;RHSItem&amp;amp;gt;&amp;amp;l'"</definedName>
    <definedName name="_AMO_ContentDefinition_485496469.1651" hidden="1">"'t;RHSType&amp;amp;gt;EXPRESSION&amp;amp;lt;/RHSType&amp;amp;gt;&amp;amp;lt;AddQuotes&amp;amp;gt;True&amp;amp;lt;/AddQuotes&amp;amp;gt;&amp;amp;lt;DateFormat&amp;amp;gt;None&amp;amp;lt;/DateFormat&amp;amp;gt;&amp;amp;lt;RightHandSideExpression&amp;amp;gt;MFPR01007103&amp;amp;lt;/RightHandSideExpression&amp;amp;'"</definedName>
    <definedName name="_AMO_ContentDefinition_485496469.1652"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485496469.1653" hidden="1">"'amp;gt;&amp;amp;lt;DateFormat&amp;amp;gt;None&amp;amp;lt;/DateFormat&amp;amp;gt;&amp;amp;lt;RightHandSideExpression&amp;amp;gt;MFPR01007104&amp;amp;lt;/RightHandSideExpression&amp;amp;gt;&amp;amp;lt;IsSubquery&amp;amp;gt;False&amp;amp;lt;/IsSubquery&amp;amp;gt;&amp;amp;lt;SubqueryTemplateName /&amp;amp;gt;'"</definedName>
    <definedName name="_AMO_ContentDefinition_485496469.1654" hidden="1">"'&amp;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1655" hidden="1">"';gt;MFPR01007105&amp;amp;lt;/RightHandSideExpression&amp;amp;gt;&amp;amp;lt;IsSubquery&amp;amp;gt;False&amp;amp;lt;/IsSubquery&amp;amp;gt;&amp;amp;lt;SubqueryTemplateName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485496469.1656" hidden="1">"'p;gt;&amp;amp;lt;AddQuotes&amp;amp;gt;True&amp;amp;lt;/AddQuotes&amp;amp;gt;&amp;amp;lt;DateFormat&amp;amp;gt;None&amp;amp;lt;/DateFormat&amp;amp;gt;&amp;amp;lt;RightHandSideExpression&amp;amp;gt;MFPR01007106&amp;amp;lt;/RightHandSideExpression&amp;amp;gt;&amp;amp;lt;IsSubquery&amp;amp;gt;False&amp;amp;lt;/IsS'"</definedName>
    <definedName name="_AMO_ContentDefinition_485496469.1657"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1658" hidden="1">"'DateFormat&amp;amp;gt;&amp;amp;lt;RightHandSideExpression&amp;amp;gt;MFPR01007107&amp;amp;lt;/RightHandSideExpression&amp;amp;gt;&amp;amp;lt;IsSubquery&amp;amp;gt;False&amp;amp;lt;/IsSubquery&amp;amp;gt;&amp;amp;lt;SubqueryTemplateName /&amp;amp;gt;&amp;amp;lt;/RHSItem&amp;amp;gt;&amp;amp;lt;RHSItem&amp;amp;gt'"</definedName>
    <definedName name="_AMO_ContentDefinition_485496469.1659" hidden="1">"';&amp;amp;lt;RHSType&amp;amp;gt;EXPRESSION&amp;amp;lt;/RHSType&amp;amp;gt;&amp;amp;lt;AddQuotes&amp;amp;gt;True&amp;amp;lt;/AddQuotes&amp;amp;gt;&amp;amp;lt;DateFormat&amp;amp;gt;None&amp;amp;lt;/DateFormat&amp;amp;gt;&amp;amp;lt;RightHandSideExpression&amp;amp;gt;MFPR01007108&amp;amp;lt;/RightHandSideExpressi'"</definedName>
    <definedName name="_AMO_ContentDefinition_485496469.166" hidden="1">"'xA;'MFMSUP000036',&amp;amp;#xD;&amp;amp;#xA;'MFMSUP000037',&amp;amp;#xD;&amp;amp;#xA;'MFMSUP000038',&amp;amp;#xD;&amp;amp;#xA;'MFMSUP000039',&amp;amp;#xD;&amp;amp;#xA;'MFMSUP000040',&amp;amp;#xD;&amp;amp;#xA;'MFMSUP000041',&amp;amp;#xD;&amp;amp;#xA;'MFMSUP000042',&amp;amp;#xD;&amp;amp;#xA;'MFMSUP000043',&amp;a'"</definedName>
    <definedName name="_AMO_ContentDefinition_485496469.1660"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485496469.1661" hidden="1">"'Quotes&amp;amp;gt;&amp;amp;lt;DateFormat&amp;amp;gt;None&amp;amp;lt;/DateFormat&amp;amp;gt;&amp;amp;lt;RightHandSideExpression&amp;amp;gt;MFPR01007109&amp;amp;lt;/RightHandSideExpression&amp;amp;gt;&amp;amp;lt;IsSubquery&amp;amp;gt;False&amp;amp;lt;/IsSubquery&amp;amp;gt;&amp;amp;lt;SubqueryTemplateName /&amp;'"</definedName>
    <definedName name="_AMO_ContentDefinition_485496469.1662"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485496469.1663" hidden="1">"'ion&amp;amp;gt;MFPR01007110&amp;amp;lt;/RightHandSideExpression&amp;amp;gt;&amp;amp;lt;IsSubquery&amp;amp;gt;False&amp;amp;lt;/IsSubquery&amp;amp;gt;&amp;amp;lt;SubqueryTemplateName /&amp;amp;gt;&amp;amp;lt;/RHSItem&amp;amp;gt;&amp;amp;lt;RHSItem&amp;amp;gt;&amp;amp;lt;RHSType&amp;amp;gt;EXPRESSION&amp;amp;lt;/RHS'"</definedName>
    <definedName name="_AMO_ContentDefinition_485496469.1664" hidden="1">"'Type&amp;amp;gt;&amp;amp;lt;AddQuotes&amp;amp;gt;True&amp;amp;lt;/AddQuotes&amp;amp;gt;&amp;amp;lt;DateFormat&amp;amp;gt;None&amp;amp;lt;/DateFormat&amp;amp;gt;&amp;amp;lt;RightHandSideExpression&amp;amp;gt;MFPR01007111&amp;amp;lt;/RightHandSideExpression&amp;amp;gt;&amp;amp;lt;IsSubquery&amp;amp;gt;False&amp;amp;'"</definedName>
    <definedName name="_AMO_ContentDefinition_485496469.1665"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485496469.1666" hidden="1">"'mp;lt;/DateFormat&amp;amp;gt;&amp;amp;lt;RightHandSideExpression&amp;amp;gt;MFPR01007112&amp;amp;lt;/RightHandSideExpression&amp;amp;gt;&amp;amp;lt;IsSubquery&amp;amp;gt;False&amp;amp;lt;/IsSubquery&amp;amp;gt;&amp;amp;lt;SubqueryTemplateName /&amp;amp;gt;&amp;amp;lt;/RHSItem&amp;amp;gt;&amp;amp;lt;RHSItem'"</definedName>
    <definedName name="_AMO_ContentDefinition_485496469.1667" hidden="1">"'&amp;amp;gt;&amp;amp;lt;RHSType&amp;amp;gt;EXPRESSION&amp;amp;lt;/RHSType&amp;amp;gt;&amp;amp;lt;AddQuotes&amp;amp;gt;True&amp;amp;lt;/AddQuotes&amp;amp;gt;&amp;amp;lt;DateFormat&amp;amp;gt;None&amp;amp;lt;/DateFormat&amp;amp;gt;&amp;amp;lt;RightHandSideExpression&amp;amp;gt;MFPR01007113&amp;amp;lt;/RightHandSideE'"</definedName>
    <definedName name="_AMO_ContentDefinition_485496469.1668"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1669" hidden="1">"'lt;/AddQuotes&amp;amp;gt;&amp;amp;lt;DateFormat&amp;amp;gt;None&amp;amp;lt;/DateFormat&amp;amp;gt;&amp;amp;lt;RightHandSideExpression&amp;amp;gt;MFPR01007114&amp;amp;lt;/RightHandSideExpression&amp;amp;gt;&amp;amp;lt;IsSubquery&amp;amp;gt;False&amp;amp;lt;/IsSubquery&amp;amp;gt;&amp;amp;lt;SubqueryTemplate'"</definedName>
    <definedName name="_AMO_ContentDefinition_485496469.167" hidden="1">"'mp;#xD;&amp;amp;#xA;'MFMSUP000044',&amp;amp;#xD;&amp;amp;#xA;'MFMSUP000045',&amp;amp;#xD;&amp;amp;#xA;'MFMSUP000046',&amp;amp;#xD;&amp;amp;#xA;'MFMSUP000047',&amp;amp;#xD;&amp;amp;#xA;'MFMSUP000048',&amp;amp;#xD;&amp;amp;#xA;'MFMSUP000049',&amp;amp;#xD;&amp;amp;#xA;'MFMSUP000050',&amp;amp;#xD;&amp;amp;#xA;'MFM'"</definedName>
    <definedName name="_AMO_ContentDefinition_485496469.1670"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485496469.1671" hidden="1">"'Expression&amp;amp;gt;MFPR01007115&amp;amp;lt;/RightHandSideExpression&amp;amp;gt;&amp;amp;lt;IsSubquery&amp;amp;gt;False&amp;amp;lt;/IsSubquery&amp;amp;gt;&amp;amp;lt;SubqueryTemplateName /&amp;amp;gt;&amp;amp;lt;/RHSItem&amp;amp;gt;&amp;amp;lt;RHSItem&amp;amp;gt;&amp;amp;lt;RHSType&amp;amp;gt;EXPRESSION&amp;amp;'"</definedName>
    <definedName name="_AMO_ContentDefinition_485496469.1672" hidden="1">"'lt;/RHSType&amp;amp;gt;&amp;amp;lt;AddQuotes&amp;amp;gt;True&amp;amp;lt;/AddQuotes&amp;amp;gt;&amp;amp;lt;DateFormat&amp;amp;gt;None&amp;amp;lt;/DateFormat&amp;amp;gt;&amp;amp;lt;RightHandSideExpression&amp;amp;gt;MFPR01007116&amp;amp;lt;/RightHandSideExpression&amp;amp;gt;&amp;amp;lt;IsSubquery&amp;amp;gt;Fal'"</definedName>
    <definedName name="_AMO_ContentDefinition_485496469.1673"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1674" hidden="1">"';None&amp;amp;lt;/DateFormat&amp;amp;gt;&amp;amp;lt;RightHandSideExpression&amp;amp;gt;MFPR01007117&amp;amp;lt;/RightHandSideExpression&amp;amp;gt;&amp;amp;lt;IsSubquery&amp;amp;gt;False&amp;amp;lt;/IsSubquery&amp;amp;gt;&amp;amp;lt;SubqueryTemplateName /&amp;amp;gt;&amp;amp;lt;/RHSItem&amp;amp;gt;&amp;amp;lt;'"</definedName>
    <definedName name="_AMO_ContentDefinition_485496469.1675" hidden="1">"'RHSItem&amp;amp;gt;&amp;amp;lt;RHSType&amp;amp;gt;EXPRESSION&amp;amp;lt;/RHSType&amp;amp;gt;&amp;amp;lt;AddQuotes&amp;amp;gt;True&amp;amp;lt;/AddQuotes&amp;amp;gt;&amp;amp;lt;DateFormat&amp;amp;gt;None&amp;amp;lt;/DateFormat&amp;amp;gt;&amp;amp;lt;RightHandSideExpression&amp;amp;gt;MFPR01007118&amp;amp;lt;/RightHa'"</definedName>
    <definedName name="_AMO_ContentDefinition_485496469.1676"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485496469.1677" hidden="1">"'ue&amp;amp;lt;/AddQuotes&amp;amp;gt;&amp;amp;lt;DateFormat&amp;amp;gt;None&amp;amp;lt;/DateFormat&amp;amp;gt;&amp;amp;lt;RightHandSideExpression&amp;amp;gt;MFPR01007119&amp;amp;lt;/RightHandSideExpression&amp;amp;gt;&amp;amp;lt;IsSubquery&amp;amp;gt;False&amp;amp;lt;/IsSubquery&amp;amp;gt;&amp;amp;lt;SubqueryT'"</definedName>
    <definedName name="_AMO_ContentDefinition_485496469.1678"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485496469.1679" hidden="1">"'andSideExpression&amp;amp;gt;MFPR01007120&amp;amp;lt;/RightHandSideExpression&amp;amp;gt;&amp;amp;lt;IsSubquery&amp;amp;gt;False&amp;amp;lt;/IsSubquery&amp;amp;gt;&amp;amp;lt;SubqueryTemplateName /&amp;amp;gt;&amp;amp;lt;/RHSItem&amp;amp;gt;&amp;amp;lt;RHSItem&amp;amp;gt;&amp;amp;lt;RHSType&amp;amp;gt;EXPRESSI'"</definedName>
    <definedName name="_AMO_ContentDefinition_485496469.168" hidden="1">"'SUP000051',&amp;amp;#xD;&amp;amp;#xA;'MFMSUP000052',&amp;amp;#xD;&amp;amp;#xA;'MFMSUP000053',&amp;amp;#xD;&amp;amp;#xA;'MFMSUP000054',&amp;amp;#xD;&amp;amp;#xA;'MFMSUP000055',&amp;amp;#xD;&amp;amp;#xA;'MFMSUP000056',&amp;amp;#xD;&amp;amp;#xA;'MFMSUP000057',&amp;amp;#xD;&amp;amp;#xA;'MFMSUP000058',&amp;amp;#xD;'"</definedName>
    <definedName name="_AMO_ContentDefinition_485496469.1680" hidden="1">"'ON&amp;amp;lt;/RHSType&amp;amp;gt;&amp;amp;lt;AddQuotes&amp;amp;gt;True&amp;amp;lt;/AddQuotes&amp;amp;gt;&amp;amp;lt;DateFormat&amp;amp;gt;None&amp;amp;lt;/DateFormat&amp;amp;gt;&amp;amp;lt;RightHandSideExpression&amp;amp;gt;MFPR01007121&amp;amp;lt;/RightHandSideExpression&amp;amp;gt;&amp;amp;lt;IsSubquery&amp;amp'"</definedName>
    <definedName name="_AMO_ContentDefinition_485496469.1681"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485496469.1682" hidden="1">"'&amp;amp;gt;None&amp;amp;lt;/DateFormat&amp;amp;gt;&amp;amp;lt;RightHandSideExpression&amp;amp;gt;MFPR01007122&amp;amp;lt;/RightHandSideExpression&amp;amp;gt;&amp;amp;lt;IsSubquery&amp;amp;gt;False&amp;amp;lt;/IsSubquery&amp;amp;gt;&amp;amp;lt;SubqueryTemplateName /&amp;amp;gt;&amp;amp;lt;/RHSItem&amp;amp;gt;&amp;'"</definedName>
    <definedName name="_AMO_ContentDefinition_485496469.1683" hidden="1">"'amp;lt;RHSItem&amp;amp;gt;&amp;amp;lt;RHSType&amp;amp;gt;EXPRESSION&amp;amp;lt;/RHSType&amp;amp;gt;&amp;amp;lt;AddQuotes&amp;amp;gt;True&amp;amp;lt;/AddQuotes&amp;amp;gt;&amp;amp;lt;DateFormat&amp;amp;gt;None&amp;amp;lt;/DateFormat&amp;amp;gt;&amp;amp;lt;RightHandSideExpression&amp;amp;gt;MFPR01007123&amp;amp;lt;/'"</definedName>
    <definedName name="_AMO_ContentDefinition_485496469.1684"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485496469.1685" hidden="1">"'p;gt;True&amp;amp;lt;/AddQuotes&amp;amp;gt;&amp;amp;lt;DateFormat&amp;amp;gt;None&amp;amp;lt;/DateFormat&amp;amp;gt;&amp;amp;lt;RightHandSideExpression&amp;amp;gt;MFPR01007124&amp;amp;lt;/RightHandSideExpression&amp;amp;gt;&amp;amp;lt;IsSubquery&amp;amp;gt;False&amp;amp;lt;/IsSubquery&amp;amp;gt;&amp;amp;lt;Su'"</definedName>
    <definedName name="_AMO_ContentDefinition_485496469.1686"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1687" hidden="1">"';RightHandSideExpression&amp;amp;gt;MFPR01007125&amp;amp;lt;/RightHandSideExpression&amp;amp;gt;&amp;amp;lt;IsSubquery&amp;amp;gt;False&amp;amp;lt;/IsSubquery&amp;amp;gt;&amp;amp;lt;SubqueryTemplateName /&amp;amp;gt;&amp;amp;lt;/RHSItem&amp;amp;gt;&amp;amp;lt;RHSItem&amp;amp;gt;&amp;amp;lt;RHSType&amp;amp;gt;E'"</definedName>
    <definedName name="_AMO_ContentDefinition_485496469.1688" hidden="1">"'XPRESSION&amp;amp;lt;/RHSType&amp;amp;gt;&amp;amp;lt;AddQuotes&amp;amp;gt;True&amp;amp;lt;/AddQuotes&amp;amp;gt;&amp;amp;lt;DateFormat&amp;amp;gt;None&amp;amp;lt;/DateFormat&amp;amp;gt;&amp;amp;lt;RightHandSideExpression&amp;amp;gt;MFPR01007126&amp;amp;lt;/RightHandSideExpression&amp;amp;gt;&amp;amp;lt;IsSubqu'"</definedName>
    <definedName name="_AMO_ContentDefinition_485496469.1689"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485496469.169" hidden="1">"'&amp;amp;#xA;'MFMSUP000059',&amp;amp;#xD;&amp;amp;#xA;'MFMSUP000060',&amp;amp;#xD;&amp;amp;#xA;'MFMSUP000062',&amp;amp;#xD;&amp;amp;#xA;'MFMSUP000063',&amp;amp;#xD;&amp;amp;#xA;'MFMSUP000064',&amp;amp;#xD;&amp;amp;#xA;'MFMSUP000065',&amp;amp;#xD;&amp;amp;#xA;'MFMSUP000066',&amp;amp;#xD;&amp;amp;#xA;'MFMSUP0000'"</definedName>
    <definedName name="_AMO_ContentDefinition_485496469.1690" hidden="1">"'eFormat&amp;amp;gt;None&amp;amp;lt;/DateFormat&amp;amp;gt;&amp;amp;lt;RightHandSideExpression&amp;amp;gt;MFPR01007127&amp;amp;lt;/RightHandSideExpression&amp;amp;gt;&amp;amp;lt;IsSubquery&amp;amp;gt;False&amp;amp;lt;/IsSubquery&amp;amp;gt;&amp;amp;lt;SubqueryTemplateName /&amp;amp;gt;&amp;amp;lt;/RHSItem&amp;a'"</definedName>
    <definedName name="_AMO_ContentDefinition_485496469.1691" hidden="1">"'mp;gt;&amp;amp;lt;RHSItem&amp;amp;gt;&amp;amp;lt;RHSType&amp;amp;gt;EXPRESSION&amp;amp;lt;/RHSType&amp;amp;gt;&amp;amp;lt;AddQuotes&amp;amp;gt;True&amp;amp;lt;/AddQuotes&amp;amp;gt;&amp;amp;lt;DateFormat&amp;amp;gt;None&amp;amp;lt;/DateFormat&amp;amp;gt;&amp;amp;lt;RightHandSideExpression&amp;amp;gt;MFPR01007128&amp;a'"</definedName>
    <definedName name="_AMO_ContentDefinition_485496469.1692"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485496469.1693" hidden="1">"'otes&amp;amp;gt;True&amp;amp;lt;/AddQuotes&amp;amp;gt;&amp;amp;lt;DateFormat&amp;amp;gt;None&amp;amp;lt;/DateFormat&amp;amp;gt;&amp;amp;lt;RightHandSideExpression&amp;amp;gt;MFPR01007129&amp;amp;lt;/RightHandSideExpression&amp;amp;gt;&amp;amp;lt;IsSubquery&amp;amp;gt;False&amp;amp;lt;/IsSubquery&amp;amp;gt;&amp;am'"</definedName>
    <definedName name="_AMO_ContentDefinition_485496469.1694"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1695" hidden="1">"'&amp;amp;lt;RightHandSideExpression&amp;amp;gt;MFPR01007130&amp;amp;lt;/RightHandSideExpression&amp;amp;gt;&amp;amp;lt;IsSubquery&amp;amp;gt;False&amp;amp;lt;/IsSubquery&amp;amp;gt;&amp;amp;lt;SubqueryTemplateName /&amp;amp;gt;&amp;amp;lt;/RHSItem&amp;amp;gt;&amp;amp;lt;RHSItem&amp;amp;gt;&amp;amp;lt;RHSType&amp;a'"</definedName>
    <definedName name="_AMO_ContentDefinition_485496469.1696" hidden="1">"'mp;gt;EXPRESSION&amp;amp;lt;/RHSType&amp;amp;gt;&amp;amp;lt;AddQuotes&amp;amp;gt;True&amp;amp;lt;/AddQuotes&amp;amp;gt;&amp;amp;lt;DateFormat&amp;amp;gt;None&amp;amp;lt;/DateFormat&amp;amp;gt;&amp;amp;lt;RightHandSideExpression&amp;amp;gt;MFPR01007131&amp;amp;lt;/RightHandSideExpression&amp;amp;gt;&amp;amp;lt;'"</definedName>
    <definedName name="_AMO_ContentDefinition_485496469.1697"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1698" hidden="1">"';lt;DateFormat&amp;amp;gt;None&amp;amp;lt;/DateFormat&amp;amp;gt;&amp;amp;lt;RightHandSideExpression&amp;amp;gt;MFPR01007132&amp;amp;lt;/RightHandSideExpression&amp;amp;gt;&amp;amp;lt;IsSubquery&amp;amp;gt;False&amp;amp;lt;/IsSubquery&amp;amp;gt;&amp;amp;lt;SubqueryTemplateName /&amp;amp;gt;&amp;amp;lt;/RH'"</definedName>
    <definedName name="_AMO_ContentDefinition_485496469.1699" hidden="1">"'SItem&amp;amp;gt;&amp;amp;lt;RHSItem&amp;amp;gt;&amp;amp;lt;RHSType&amp;amp;gt;EXPRESSION&amp;amp;lt;/RHSType&amp;amp;gt;&amp;amp;lt;AddQuotes&amp;amp;gt;True&amp;amp;lt;/AddQuotes&amp;amp;gt;&amp;amp;lt;DateFormat&amp;amp;gt;None&amp;amp;lt;/DateFormat&amp;amp;gt;&amp;amp;lt;RightHandSideExpression&amp;amp;gt;MFPR010'"</definedName>
    <definedName name="_AMO_ContentDefinition_485496469.17" hidden="1">"'A;'MFDRVD000205',&amp;#xD;&amp;#xA;'MFDRVD000206',&amp;#xD;&amp;#xA;'MFDRVD000207',&amp;#xD;&amp;#xA;'MFDRVD000208',&amp;#xD;&amp;#xA;'MFDRVD000209',&amp;#xD;&amp;#xA;'MFDRVD000210',&amp;#xD;&amp;#xA;'MFDRVD000211',&amp;#xD;&amp;#xA;'MFDRVD000212',&amp;#xD;&amp;#xA;'MFDRVD000214',&amp;#xD;&amp;#xA;'MFDRVD000215',&amp;#xD;&amp;#xA'"</definedName>
    <definedName name="_AMO_ContentDefinition_485496469.170" hidden="1">"'67',&amp;amp;#xD;&amp;amp;#xA;'MFMSUP000068',&amp;amp;#xD;&amp;amp;#xA;'MFMSUP000078',&amp;amp;#xD;&amp;amp;#xA;'MFMSUP000079',&amp;amp;#xD;&amp;amp;#xA;'MFMSUP000080',&amp;amp;#xD;&amp;amp;#xA;'MFMSUP000081',&amp;amp;#xD;&amp;amp;#xA;'MFMSUP000082',&amp;amp;#xD;&amp;amp;#xA;'MFMSUP000083',&amp;amp;#xD;&amp;amp;#x'"</definedName>
    <definedName name="_AMO_ContentDefinition_485496469.1700" hidden="1">"'07133&amp;amp;lt;/RightHandSideExpression&amp;amp;gt;&amp;amp;lt;IsSubquery&amp;amp;gt;False&amp;amp;lt;/IsSubquery&amp;amp;gt;&amp;amp;lt;SubqueryTemplateName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485496469.1701" hidden="1">"'t;AddQuotes&amp;amp;gt;True&amp;amp;lt;/AddQuotes&amp;amp;gt;&amp;amp;lt;DateFormat&amp;amp;gt;None&amp;amp;lt;/DateFormat&amp;amp;gt;&amp;amp;lt;RightHandSideExpression&amp;amp;gt;MFPR01007134&amp;amp;lt;/RightHandSideExpression&amp;amp;gt;&amp;amp;lt;IsSubquery&amp;amp;gt;False&amp;amp;lt;/IsSubquery&amp;amp'"</definedName>
    <definedName name="_AMO_ContentDefinition_485496469.1702"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485496469.1703" hidden="1">"'amp;gt;&amp;amp;lt;RightHandSideExpression&amp;amp;gt;MFPR01007135&amp;amp;lt;/RightHandSideExpression&amp;amp;gt;&amp;amp;lt;IsSubquery&amp;amp;gt;False&amp;amp;lt;/IsSubquery&amp;amp;gt;&amp;amp;lt;SubqueryTemplateName /&amp;amp;gt;&amp;amp;lt;/RHSItem&amp;amp;gt;&amp;amp;lt;RHSItem&amp;amp;gt;&amp;amp;lt;RH'"</definedName>
    <definedName name="_AMO_ContentDefinition_485496469.1704" hidden="1">"'SType&amp;amp;gt;EXPRESSION&amp;amp;lt;/RHSType&amp;amp;gt;&amp;amp;lt;AddQuotes&amp;amp;gt;True&amp;amp;lt;/AddQuotes&amp;amp;gt;&amp;amp;lt;DateFormat&amp;amp;gt;None&amp;amp;lt;/DateFormat&amp;amp;gt;&amp;amp;lt;RightHandSideExpression&amp;amp;gt;MFPR01007136&amp;amp;lt;/RightHandSideExpression&amp;amp;gt;&amp;'"</definedName>
    <definedName name="_AMO_ContentDefinition_485496469.1705"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1706" hidden="1">"'gt;&amp;amp;lt;DateFormat&amp;amp;gt;None&amp;amp;lt;/DateFormat&amp;amp;gt;&amp;amp;lt;RightHandSideExpression&amp;amp;gt;MFPR01007137&amp;amp;lt;/RightHandSideExpression&amp;amp;gt;&amp;amp;lt;IsSubquery&amp;amp;gt;False&amp;amp;lt;/IsSubquery&amp;amp;gt;&amp;amp;lt;SubqueryTemplateName /&amp;amp;gt;&amp;amp'"</definedName>
    <definedName name="_AMO_ContentDefinition_485496469.1707" hidden="1">"';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1708" hidden="1">"'MFPR01007138&amp;amp;lt;/RightHandSideExpression&amp;amp;gt;&amp;amp;lt;IsSubquery&amp;amp;gt;False&amp;amp;lt;/IsSubquery&amp;amp;gt;&amp;amp;lt;SubqueryTemplateName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1709" hidden="1">"';&amp;amp;lt;AddQuotes&amp;amp;gt;True&amp;amp;lt;/AddQuotes&amp;amp;gt;&amp;amp;lt;DateFormat&amp;amp;gt;None&amp;amp;lt;/DateFormat&amp;amp;gt;&amp;amp;lt;RightHandSideExpression&amp;amp;gt;MFPR01007139&amp;amp;lt;/RightHandSideExpression&amp;amp;gt;&amp;amp;lt;IsSubquery&amp;amp;gt;False&amp;amp;lt;/IsSubqu'"</definedName>
    <definedName name="_AMO_ContentDefinition_485496469.171" hidden="1">"'A;'MFMSUP000084',&amp;amp;#xD;&amp;amp;#xA;'MFMSUP000085',&amp;amp;#xD;&amp;amp;#xA;'MFMSUP000086',&amp;amp;#xD;&amp;amp;#xA;'MFMSUP000087',&amp;amp;#xD;&amp;amp;#xA;'MFMSUP000088',&amp;amp;#xD;&amp;amp;#xA;'MFMSUP000103',&amp;amp;#xD;&amp;amp;#xA;'MFMSUP000104',&amp;amp;#xD;&amp;amp;#xA;'MFMSUP000105',&amp;am'"</definedName>
    <definedName name="_AMO_ContentDefinition_485496469.1710"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485496469.1711" hidden="1">"'Format&amp;amp;gt;&amp;amp;lt;RightHandSideExpression&amp;amp;gt;MFPR01007140&amp;amp;lt;/RightHandSideExpression&amp;amp;gt;&amp;amp;lt;IsSubquery&amp;amp;gt;False&amp;amp;lt;/IsSubquery&amp;amp;gt;&amp;amp;lt;SubqueryTemplateName /&amp;amp;gt;&amp;amp;lt;/RHSItem&amp;amp;gt;&amp;amp;lt;RHSItem&amp;amp;gt;&amp;am'"</definedName>
    <definedName name="_AMO_ContentDefinition_485496469.1712" hidden="1">"'p;lt;RHSType&amp;amp;gt;EXPRESSION&amp;amp;lt;/RHSType&amp;amp;gt;&amp;amp;lt;AddQuotes&amp;amp;gt;True&amp;amp;lt;/AddQuotes&amp;amp;gt;&amp;amp;lt;DateFormat&amp;amp;gt;None&amp;amp;lt;/DateFormat&amp;amp;gt;&amp;amp;lt;RightHandSideExpression&amp;amp;gt;MFPR01007141&amp;amp;lt;/RightHandSideExpression&amp;a'"</definedName>
    <definedName name="_AMO_ContentDefinition_485496469.1713"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485496469.1714" hidden="1">"'es&amp;amp;gt;&amp;amp;lt;DateFormat&amp;amp;gt;None&amp;amp;lt;/DateFormat&amp;amp;gt;&amp;amp;lt;RightHandSideExpression&amp;amp;gt;MFPR01007142&amp;amp;lt;/RightHandSideExpression&amp;amp;gt;&amp;amp;lt;IsSubquery&amp;amp;gt;False&amp;amp;lt;/IsSubquery&amp;amp;gt;&amp;amp;lt;SubqueryTemplateName /&amp;amp;'"</definedName>
    <definedName name="_AMO_ContentDefinition_485496469.1715" hidden="1">"'gt;&amp;amp;lt;/RHSItem&amp;amp;gt;&amp;amp;lt;RHSItem&amp;amp;gt;&amp;amp;lt;RHSType&amp;amp;gt;EXPRESSION&amp;amp;lt;/RHSType&amp;amp;gt;&amp;amp;lt;AddQuotes&amp;amp;gt;True&amp;amp;lt;/AddQuotes&amp;amp;gt;&amp;amp;lt;DateFormat&amp;amp;gt;None&amp;amp;lt;/DateFormat&amp;amp;gt;&amp;amp;lt;RightHandSideExpression&amp;'"</definedName>
    <definedName name="_AMO_ContentDefinition_485496469.1716" hidden="1">"'amp;gt;MFPR01007143&amp;amp;lt;/RightHandSideExpression&amp;amp;gt;&amp;amp;lt;IsSubquery&amp;amp;gt;False&amp;amp;lt;/IsSubquery&amp;amp;gt;&amp;amp;lt;SubqueryTemplateName /&amp;amp;gt;&amp;amp;lt;/RHSItem&amp;amp;gt;&amp;amp;lt;RHSItem&amp;amp;gt;&amp;amp;lt;RHSType&amp;amp;gt;EXPRESSION&amp;amp;lt;/RHSType'"</definedName>
    <definedName name="_AMO_ContentDefinition_485496469.1717" hidden="1">"'&amp;amp;gt;&amp;amp;lt;AddQuotes&amp;amp;gt;True&amp;amp;lt;/AddQuotes&amp;amp;gt;&amp;amp;lt;DateFormat&amp;amp;gt;None&amp;amp;lt;/DateFormat&amp;amp;gt;&amp;amp;lt;RightHandSideExpression&amp;amp;gt;MFPR01007144&amp;amp;lt;/RightHandSideExpression&amp;amp;gt;&amp;amp;lt;IsSubquery&amp;amp;gt;False&amp;amp;lt;/'"</definedName>
    <definedName name="_AMO_ContentDefinition_485496469.1718"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485496469.1719" hidden="1">"'t;/DateFormat&amp;amp;gt;&amp;amp;lt;RightHandSideExpression&amp;amp;gt;MFPR01007145&amp;amp;lt;/RightHandSideExpression&amp;amp;gt;&amp;amp;lt;IsSubquery&amp;amp;gt;False&amp;amp;lt;/IsSubquery&amp;amp;gt;&amp;amp;lt;SubqueryTemplateName /&amp;amp;gt;&amp;amp;lt;/RHSItem&amp;amp;gt;&amp;amp;lt;RHSItem&amp;amp'"</definedName>
    <definedName name="_AMO_ContentDefinition_485496469.172" hidden="1">"'p;#xD;&amp;amp;#xA;'MFMSUP000106',&amp;amp;#xD;&amp;amp;#xA;'MFMSUP000107',&amp;amp;#xD;&amp;amp;#xA;'MFMSUP000108',&amp;amp;#xD;&amp;amp;#xA;'MFMSUP000109',&amp;amp;#xD;&amp;amp;#xA;'MFMSUP000110',&amp;amp;#xD;&amp;amp;#xA;'MFMSUP000111',&amp;amp;#xD;&amp;amp;#xA;'MFMSUP000112',&amp;amp;#xD;&amp;amp;#xA;'MFMS'"</definedName>
    <definedName name="_AMO_ContentDefinition_485496469.1720" hidden="1">"';gt;&amp;amp;lt;RHSType&amp;amp;gt;EXPRESSION&amp;amp;lt;/RHSType&amp;amp;gt;&amp;amp;lt;AddQuotes&amp;amp;gt;True&amp;amp;lt;/AddQuotes&amp;amp;gt;&amp;amp;lt;DateFormat&amp;amp;gt;None&amp;amp;lt;/DateFormat&amp;amp;gt;&amp;amp;lt;RightHandSideExpression&amp;amp;gt;MFPR01007146&amp;amp;lt;/RightHandSideExpre'"</definedName>
    <definedName name="_AMO_ContentDefinition_485496469.1721"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1722" hidden="1">"'AddQuotes&amp;amp;gt;&amp;amp;lt;DateFormat&amp;amp;gt;None&amp;amp;lt;/DateFormat&amp;amp;gt;&amp;amp;lt;RightHandSideExpression&amp;amp;gt;MFPR01007147&amp;amp;lt;/RightHandSideExpression&amp;amp;gt;&amp;amp;lt;IsSubquery&amp;amp;gt;False&amp;amp;lt;/IsSubquery&amp;amp;gt;&amp;amp;lt;SubqueryTemplateName'"</definedName>
    <definedName name="_AMO_ContentDefinition_485496469.1723"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485496469.1724" hidden="1">"'ession&amp;amp;gt;MFPR01007148&amp;amp;lt;/RightHandSideExpression&amp;amp;gt;&amp;amp;lt;IsSubquery&amp;amp;gt;False&amp;amp;lt;/IsSubquery&amp;amp;gt;&amp;amp;lt;SubqueryTemplateName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1725" hidden="1">"'RHSType&amp;amp;gt;&amp;amp;lt;AddQuotes&amp;amp;gt;True&amp;amp;lt;/AddQuotes&amp;amp;gt;&amp;amp;lt;DateFormat&amp;amp;gt;None&amp;amp;lt;/DateFormat&amp;amp;gt;&amp;amp;lt;RightHandSideExpression&amp;amp;gt;MFPR01007149&amp;amp;lt;/RightHandSideExpression&amp;amp;gt;&amp;amp;lt;IsSubquery&amp;amp;gt;False&amp;a'"</definedName>
    <definedName name="_AMO_ContentDefinition_485496469.1726"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485496469.1727" hidden="1">"'e&amp;amp;lt;/DateFormat&amp;amp;gt;&amp;amp;lt;RightHandSideExpression&amp;amp;gt;MFPR01007150&amp;amp;lt;/RightHandSideExpression&amp;amp;gt;&amp;amp;lt;IsSubquery&amp;amp;gt;False&amp;amp;lt;/IsSubquery&amp;amp;gt;&amp;amp;lt;SubqueryTemplateName /&amp;amp;gt;&amp;amp;lt;/RHSItem&amp;amp;gt;&amp;amp;lt;RHSI'"</definedName>
    <definedName name="_AMO_ContentDefinition_485496469.1728" hidden="1">"'tem&amp;amp;gt;&amp;amp;lt;RHSType&amp;amp;gt;EXPRESSION&amp;amp;lt;/RHSType&amp;amp;gt;&amp;amp;lt;AddQuotes&amp;amp;gt;True&amp;amp;lt;/AddQuotes&amp;amp;gt;&amp;amp;lt;DateFormat&amp;amp;gt;None&amp;amp;lt;/DateFormat&amp;amp;gt;&amp;amp;lt;RightHandSideExpression&amp;amp;gt;MFPR01007151&amp;amp;lt;/RightHandSi'"</definedName>
    <definedName name="_AMO_ContentDefinition_485496469.1729"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485496469.173" hidden="1">"'UP000113',&amp;amp;#xD;&amp;amp;#xA;'MFMSUP000114',&amp;amp;#xD;&amp;amp;#xA;'MFMSUP000115',&amp;amp;#xD;&amp;amp;#xA;'MFMSUP000116',&amp;amp;#xD;&amp;amp;#xA;'MFMSUP000117',&amp;amp;#xD;&amp;amp;#xA;'MFMSUP000118',&amp;amp;#xD;&amp;amp;#xA;'MFMSUP000120',&amp;amp;#xD;&amp;amp;#xA;'MFMSUP000122',&amp;amp;#xD;&amp;'"</definedName>
    <definedName name="_AMO_ContentDefinition_485496469.1730" hidden="1">"'mp;lt;/AddQuotes&amp;amp;gt;&amp;amp;lt;DateFormat&amp;amp;gt;None&amp;amp;lt;/DateFormat&amp;amp;gt;&amp;amp;lt;RightHandSideExpression&amp;amp;gt;MFPR01007152&amp;amp;lt;/RightHandSideExpression&amp;amp;gt;&amp;amp;lt;IsSubquery&amp;amp;gt;False&amp;amp;lt;/IsSubquery&amp;amp;gt;&amp;amp;lt;SubqueryTempl'"</definedName>
    <definedName name="_AMO_ContentDefinition_485496469.1731"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485496469.1732" hidden="1">"'ideExpression&amp;amp;gt;MFPR01007153&amp;amp;lt;/RightHandSideExpression&amp;amp;gt;&amp;amp;lt;IsSubquery&amp;amp;gt;False&amp;amp;lt;/IsSubquery&amp;amp;gt;&amp;amp;lt;SubqueryTemplateName /&amp;amp;gt;&amp;amp;lt;/RHSItem&amp;amp;gt;&amp;amp;lt;RHSItem&amp;amp;gt;&amp;amp;lt;RHSType&amp;amp;gt;EXPRESSION&amp;a'"</definedName>
    <definedName name="_AMO_ContentDefinition_485496469.1733" hidden="1">"'mp;lt;/RHSType&amp;amp;gt;&amp;amp;lt;AddQuotes&amp;amp;gt;True&amp;amp;lt;/AddQuotes&amp;amp;gt;&amp;amp;lt;DateFormat&amp;amp;gt;None&amp;amp;lt;/DateFormat&amp;amp;gt;&amp;amp;lt;RightHandSideExpression&amp;amp;gt;MFPR01007154&amp;amp;lt;/RightHandSideExpression&amp;amp;gt;&amp;amp;lt;IsSubquery&amp;amp;gt;'"</definedName>
    <definedName name="_AMO_ContentDefinition_485496469.1734"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1735" hidden="1">"';gt;None&amp;amp;lt;/DateFormat&amp;amp;gt;&amp;amp;lt;RightHandSideExpression&amp;amp;gt;MFPR01007155&amp;amp;lt;/RightHandSideExpression&amp;amp;gt;&amp;amp;lt;IsSubquery&amp;amp;gt;False&amp;amp;lt;/IsSubquery&amp;amp;gt;&amp;amp;lt;SubqueryTemplateName /&amp;amp;gt;&amp;amp;lt;/RHSItem&amp;amp;gt;&amp;amp;'"</definedName>
    <definedName name="_AMO_ContentDefinition_485496469.1736" hidden="1">"'lt;RHSItem&amp;amp;gt;&amp;amp;lt;RHSType&amp;amp;gt;EXPRESSION&amp;amp;lt;/RHSType&amp;amp;gt;&amp;amp;lt;AddQuotes&amp;amp;gt;True&amp;amp;lt;/AddQuotes&amp;amp;gt;&amp;amp;lt;DateFormat&amp;amp;gt;None&amp;amp;lt;/DateFormat&amp;amp;gt;&amp;amp;lt;RightHandSideExpression&amp;amp;gt;MFPR01007156&amp;amp;lt;/Righ'"</definedName>
    <definedName name="_AMO_ContentDefinition_485496469.1737"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1738" hidden="1">"';True&amp;amp;lt;/AddQuotes&amp;amp;gt;&amp;amp;lt;DateFormat&amp;amp;gt;None&amp;amp;lt;/DateFormat&amp;amp;gt;&amp;amp;lt;RightHandSideExpression&amp;amp;gt;MFPR01007157&amp;amp;lt;/RightHandSideExpression&amp;amp;gt;&amp;amp;lt;IsSubquery&amp;amp;gt;False&amp;amp;lt;/IsSubquery&amp;amp;gt;&amp;amp;lt;Subque'"</definedName>
    <definedName name="_AMO_ContentDefinition_485496469.1739"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485496469.174" hidden="1">"'amp;#xA;'MFPR01000161',&amp;amp;#xD;&amp;amp;#xA;'MFDRVD000183',&amp;amp;#xD;&amp;amp;#xA;'MFDRVD000184',&amp;amp;#xD;&amp;amp;#xA;'MFDRVD000185',&amp;amp;#xD;&amp;amp;#xA;'MFDRVD000186',&amp;amp;#xD;&amp;amp;#xA;'MFDRVD000189',&amp;amp;#xD;&amp;amp;#xA;'MFDRVD000190',&amp;amp;#xD;&amp;amp;#xA;'MFDRVD00019'"</definedName>
    <definedName name="_AMO_ContentDefinition_485496469.1740" hidden="1">"'htHandSideExpression&amp;amp;gt;MFPR01007158&amp;amp;lt;/RightHandSideExpression&amp;amp;gt;&amp;amp;lt;IsSubquery&amp;amp;gt;False&amp;amp;lt;/IsSubquery&amp;amp;gt;&amp;amp;lt;SubqueryTemplateName /&amp;amp;gt;&amp;amp;lt;/RHSItem&amp;amp;gt;&amp;amp;lt;RHSItem&amp;amp;gt;&amp;amp;lt;RHSType&amp;amp;gt;EXPRE'"</definedName>
    <definedName name="_AMO_ContentDefinition_485496469.1741" hidden="1">"'SSION&amp;amp;lt;/RHSType&amp;amp;gt;&amp;amp;lt;AddQuotes&amp;amp;gt;True&amp;amp;lt;/AddQuotes&amp;amp;gt;&amp;amp;lt;DateFormat&amp;amp;gt;None&amp;amp;lt;/DateFormat&amp;amp;gt;&amp;amp;lt;RightHandSideExpression&amp;amp;gt;MFPR01007159&amp;amp;lt;/RightHandSideExpression&amp;amp;gt;&amp;amp;lt;IsSubquery&amp;'"</definedName>
    <definedName name="_AMO_ContentDefinition_485496469.1742"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485496469.1743" hidden="1">"'mat&amp;amp;gt;None&amp;amp;lt;/DateFormat&amp;amp;gt;&amp;amp;lt;RightHandSideExpression&amp;amp;gt;MFPR01007160&amp;amp;lt;/RightHandSideExpression&amp;amp;gt;&amp;amp;lt;IsSubquery&amp;amp;gt;False&amp;amp;lt;/IsSubquery&amp;amp;gt;&amp;amp;lt;SubqueryTemplateName /&amp;amp;gt;&amp;amp;lt;/RHSItem&amp;amp;g'"</definedName>
    <definedName name="_AMO_ContentDefinition_485496469.1744" hidden="1">"'t;&amp;amp;lt;RHSItem&amp;amp;gt;&amp;amp;lt;RHSType&amp;amp;gt;EXPRESSION&amp;amp;lt;/RHSType&amp;amp;gt;&amp;amp;lt;AddQuotes&amp;amp;gt;True&amp;amp;lt;/AddQuotes&amp;amp;gt;&amp;amp;lt;DateFormat&amp;amp;gt;None&amp;amp;lt;/DateFormat&amp;amp;gt;&amp;amp;lt;RightHandSideExpression&amp;amp;gt;MFPR01007161&amp;amp;l'"</definedName>
    <definedName name="_AMO_ContentDefinition_485496469.1745"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485496469.1746" hidden="1">"'&amp;amp;gt;True&amp;amp;lt;/AddQuotes&amp;amp;gt;&amp;amp;lt;DateFormat&amp;amp;gt;None&amp;amp;lt;/DateFormat&amp;amp;gt;&amp;amp;lt;RightHandSideExpression&amp;amp;gt;MFPR01007162&amp;amp;lt;/RightHandSideExpression&amp;amp;gt;&amp;amp;lt;IsSubquery&amp;amp;gt;False&amp;amp;lt;/IsSubquery&amp;amp;gt;&amp;amp;lt'"</definedName>
    <definedName name="_AMO_ContentDefinition_485496469.1747"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1748" hidden="1">"';lt;RightHandSideExpression&amp;amp;gt;MFPR01007163&amp;amp;lt;/RightHandSideExpression&amp;amp;gt;&amp;amp;lt;IsSubquery&amp;amp;gt;False&amp;amp;lt;/IsSubquery&amp;amp;gt;&amp;amp;lt;SubqueryTemplateName /&amp;amp;gt;&amp;amp;lt;/RHSItem&amp;amp;gt;&amp;amp;lt;RHSItem&amp;amp;gt;&amp;amp;lt;RHSType&amp;amp;g'"</definedName>
    <definedName name="_AMO_ContentDefinition_485496469.1749" hidden="1">"'t;EXPRESSION&amp;amp;lt;/RHSType&amp;amp;gt;&amp;amp;lt;AddQuotes&amp;amp;gt;True&amp;amp;lt;/AddQuotes&amp;amp;gt;&amp;amp;lt;DateFormat&amp;amp;gt;None&amp;amp;lt;/DateFormat&amp;amp;gt;&amp;amp;lt;RightHandSideExpression&amp;amp;gt;MFPR01007164&amp;amp;lt;/RightHandSideExpression&amp;amp;gt;&amp;amp;lt;IsSu'"</definedName>
    <definedName name="_AMO_ContentDefinition_485496469.175" hidden="1">"'1',&amp;amp;#xD;&amp;amp;#xA;'MFDRVD000192',&amp;amp;#xD;&amp;amp;#xA;'MFDRVD000193',&amp;amp;#xD;&amp;amp;#xA;'MFDRVD000194',&amp;amp;#xD;&amp;amp;#xA;'MFDRVD000195',&amp;amp;#xD;&amp;amp;#xA;'MFDRVD000196',&amp;amp;#xD;&amp;amp;#xA;'MFDRVD000197',&amp;amp;#xD;&amp;amp;#xA;'MFDRVD000198',&amp;amp;#xD;&amp;amp;#xA'"</definedName>
    <definedName name="_AMO_ContentDefinition_485496469.1750"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1751" hidden="1">"'DateFormat&amp;amp;gt;None&amp;amp;lt;/DateFormat&amp;amp;gt;&amp;amp;lt;RightHandSideExpression&amp;amp;gt;MFPR01007165&amp;amp;lt;/RightHandSideExpression&amp;amp;gt;&amp;amp;lt;IsSubquery&amp;amp;gt;False&amp;amp;lt;/IsSubquery&amp;amp;gt;&amp;amp;lt;SubqueryTemplateName /&amp;amp;gt;&amp;amp;lt;/RHSIte'"</definedName>
    <definedName name="_AMO_ContentDefinition_485496469.1752" hidden="1">"'m&amp;amp;gt;&amp;amp;lt;RHSItem&amp;amp;gt;&amp;amp;lt;RHSType&amp;amp;gt;EXPRESSION&amp;amp;lt;/RHSType&amp;amp;gt;&amp;amp;lt;AddQuotes&amp;amp;gt;True&amp;amp;lt;/AddQuotes&amp;amp;gt;&amp;amp;lt;DateFormat&amp;amp;gt;None&amp;amp;lt;/DateFormat&amp;amp;gt;&amp;amp;lt;RightHandSideExpression&amp;amp;gt;MFPR0100716'"</definedName>
    <definedName name="_AMO_ContentDefinition_485496469.1753" hidden="1">"'6&amp;amp;lt;/RightHandSideExpression&amp;amp;gt;&amp;amp;lt;IsSubquery&amp;amp;gt;False&amp;amp;lt;/IsSubquery&amp;amp;gt;&amp;amp;lt;SubqueryTemplateName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485496469.1754" hidden="1">"'dQuotes&amp;amp;gt;True&amp;amp;lt;/AddQuotes&amp;amp;gt;&amp;amp;lt;DateFormat&amp;amp;gt;None&amp;amp;lt;/DateFormat&amp;amp;gt;&amp;amp;lt;RightHandSideExpression&amp;amp;gt;MFPR01007167&amp;amp;lt;/RightHandSideExpression&amp;amp;gt;&amp;amp;lt;IsSubquery&amp;amp;gt;False&amp;amp;lt;/IsSubquery&amp;amp;gt;'"</definedName>
    <definedName name="_AMO_ContentDefinition_485496469.1755"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1756" hidden="1">"'gt;&amp;amp;lt;RightHandSideExpression&amp;amp;gt;MFPR01007168&amp;amp;lt;/RightHandSideExpression&amp;amp;gt;&amp;amp;lt;IsSubquery&amp;amp;gt;False&amp;amp;lt;/IsSubquery&amp;amp;gt;&amp;amp;lt;SubqueryTemplateName /&amp;amp;gt;&amp;amp;lt;/RHSItem&amp;amp;gt;&amp;amp;lt;RHSItem&amp;amp;gt;&amp;amp;lt;RHSTyp'"</definedName>
    <definedName name="_AMO_ContentDefinition_485496469.1757" hidden="1">"'e&amp;amp;gt;EXPRESSION&amp;amp;lt;/RHSType&amp;amp;gt;&amp;amp;lt;AddQuotes&amp;amp;gt;True&amp;amp;lt;/AddQuotes&amp;amp;gt;&amp;amp;lt;DateFormat&amp;amp;gt;None&amp;amp;lt;/DateFormat&amp;amp;gt;&amp;amp;lt;RightHandSideExpression&amp;amp;gt;MFPR01007169&amp;amp;lt;/RightHandSideExpression&amp;amp;gt;&amp;amp;'"</definedName>
    <definedName name="_AMO_ContentDefinition_485496469.1758"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485496469.1759" hidden="1">"'amp;lt;DateFormat&amp;amp;gt;None&amp;amp;lt;/DateFormat&amp;amp;gt;&amp;amp;lt;RightHandSideExpression&amp;amp;gt;MFPR01007170&amp;amp;lt;/RightHandSideExpression&amp;amp;gt;&amp;amp;lt;IsSubquery&amp;amp;gt;False&amp;amp;lt;/IsSubquery&amp;amp;gt;&amp;amp;lt;SubqueryTemplateName /&amp;amp;gt;&amp;amp;lt;'"</definedName>
    <definedName name="_AMO_ContentDefinition_485496469.176" hidden="1">"';'MFDRVD000199',&amp;amp;#xD;&amp;amp;#xA;'MFDRVD000200',&amp;amp;#xD;&amp;amp;#xA;'MFDRVD000201',&amp;amp;#xD;&amp;amp;#xA;'MFDRVD000202',&amp;amp;#xD;&amp;amp;#xA;'MFDRVD000203',&amp;amp;#xD;&amp;amp;#xA;'MFDRVD000204',&amp;amp;#xD;&amp;amp;#xA;'MFDRVD000205',&amp;amp;#xD;&amp;amp;#xA;'MFDRVD000206',&amp;amp'"</definedName>
    <definedName name="_AMO_ContentDefinition_485496469.1760" hidden="1">"'/RHSItem&amp;amp;gt;&amp;amp;lt;RHSItem&amp;amp;gt;&amp;amp;lt;RHSType&amp;amp;gt;EXPRESSION&amp;amp;lt;/RHSType&amp;amp;gt;&amp;amp;lt;AddQuotes&amp;amp;gt;True&amp;amp;lt;/AddQuotes&amp;amp;gt;&amp;amp;lt;DateFormat&amp;amp;gt;None&amp;amp;lt;/DateFormat&amp;amp;gt;&amp;amp;lt;RightHandSideExpression&amp;amp;gt;MFPR'"</definedName>
    <definedName name="_AMO_ContentDefinition_485496469.1761" hidden="1">"'01007171&amp;amp;lt;/RightHandSideExpression&amp;amp;gt;&amp;amp;lt;IsSubquery&amp;amp;gt;False&amp;amp;lt;/IsSubquery&amp;amp;gt;&amp;amp;lt;SubqueryTemplateName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485496469.1762" hidden="1">"'p;lt;AddQuotes&amp;amp;gt;True&amp;amp;lt;/AddQuotes&amp;amp;gt;&amp;amp;lt;DateFormat&amp;amp;gt;None&amp;amp;lt;/DateFormat&amp;amp;gt;&amp;amp;lt;RightHandSideExpression&amp;amp;gt;MFPR01007172&amp;amp;lt;/RightHandSideExpression&amp;amp;gt;&amp;amp;lt;IsSubquery&amp;amp;gt;False&amp;amp;lt;/IsSubquery&amp;'"</definedName>
    <definedName name="_AMO_ContentDefinition_485496469.1763"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485496469.1764" hidden="1">"'at&amp;amp;gt;&amp;amp;lt;RightHandSideExpression&amp;amp;gt;MFPR01007173&amp;amp;lt;/RightHandSideExpression&amp;amp;gt;&amp;amp;lt;IsSubquery&amp;amp;gt;False&amp;amp;lt;/IsSubquery&amp;amp;gt;&amp;amp;lt;SubqueryTemplateName /&amp;amp;gt;&amp;amp;lt;/RHSItem&amp;amp;gt;&amp;amp;lt;RHSItem&amp;amp;gt;&amp;amp;lt'"</definedName>
    <definedName name="_AMO_ContentDefinition_485496469.1765" hidden="1">"';RHSType&amp;amp;gt;EXPRESSION&amp;amp;lt;/RHSType&amp;amp;gt;&amp;amp;lt;AddQuotes&amp;amp;gt;True&amp;amp;lt;/AddQuotes&amp;amp;gt;&amp;amp;lt;DateFormat&amp;amp;gt;None&amp;amp;lt;/DateFormat&amp;amp;gt;&amp;amp;lt;RightHandSideExpression&amp;amp;gt;MFPR01007174&amp;amp;lt;/RightHandSideExpression&amp;amp;g'"</definedName>
    <definedName name="_AMO_ContentDefinition_485496469.1766"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485496469.1767" hidden="1">"'mp;gt;&amp;amp;lt;DateFormat&amp;amp;gt;None&amp;amp;lt;/DateFormat&amp;amp;gt;&amp;amp;lt;RightHandSideExpression&amp;amp;gt;MFPR01007175&amp;amp;lt;/RightHandSideExpression&amp;amp;gt;&amp;amp;lt;IsSubquery&amp;amp;gt;False&amp;amp;lt;/IsSubquery&amp;amp;gt;&amp;amp;lt;SubqueryTemplateName /&amp;amp;gt;&amp;'"</definedName>
    <definedName name="_AMO_ContentDefinition_485496469.1768" hidden="1">"'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1769" hidden="1">"'gt;MFPR01007176&amp;amp;lt;/RightHandSideExpression&amp;amp;gt;&amp;amp;lt;IsSubquery&amp;amp;gt;False&amp;amp;lt;/IsSubquery&amp;amp;gt;&amp;amp;lt;SubqueryTemplateName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177" hidden="1">"';#xD;&amp;amp;#xA;'MFDRVD000207',&amp;amp;#xD;&amp;amp;#xA;'MFDRVD000208',&amp;amp;#xD;&amp;amp;#xA;'MFDRVD000209',&amp;amp;#xD;&amp;amp;#xA;'MFDRVD000210',&amp;amp;#xD;&amp;amp;#xA;'MFDRVD000211',&amp;amp;#xD;&amp;amp;#xA;'MFDRVD000212',&amp;amp;#xD;&amp;amp;#xA;'MFDRVD000214',&amp;amp;#xD;&amp;amp;#xA;'MFDRV'"</definedName>
    <definedName name="_AMO_ContentDefinition_485496469.1770" hidden="1">"';gt;&amp;amp;lt;AddQuotes&amp;amp;gt;True&amp;amp;lt;/AddQuotes&amp;amp;gt;&amp;amp;lt;DateFormat&amp;amp;gt;None&amp;amp;lt;/DateFormat&amp;amp;gt;&amp;amp;lt;RightHandSideExpression&amp;amp;gt;MFPR01007177&amp;amp;lt;/RightHandSideExpression&amp;amp;gt;&amp;amp;lt;IsSubquery&amp;amp;gt;False&amp;amp;lt;/IsSu'"</definedName>
    <definedName name="_AMO_ContentDefinition_485496469.1771"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485496469.1772" hidden="1">"'ateFormat&amp;amp;gt;&amp;amp;lt;RightHandSideExpression&amp;amp;gt;MFPR01007178&amp;amp;lt;/RightHandSideExpression&amp;amp;gt;&amp;amp;lt;IsSubquery&amp;amp;gt;False&amp;amp;lt;/IsSubquery&amp;amp;gt;&amp;amp;lt;SubqueryTemplateName /&amp;amp;gt;&amp;amp;lt;/RHSItem&amp;amp;gt;&amp;amp;lt;RHSItem&amp;amp;gt;'"</definedName>
    <definedName name="_AMO_ContentDefinition_485496469.1773" hidden="1">"'&amp;amp;lt;RHSType&amp;amp;gt;EXPRESSION&amp;amp;lt;/RHSType&amp;amp;gt;&amp;amp;lt;AddQuotes&amp;amp;gt;True&amp;amp;lt;/AddQuotes&amp;amp;gt;&amp;amp;lt;DateFormat&amp;amp;gt;None&amp;amp;lt;/DateFormat&amp;amp;gt;&amp;amp;lt;RightHandSideExpression&amp;amp;gt;MFPR01007179&amp;amp;lt;/RightHandSideExpressio'"</definedName>
    <definedName name="_AMO_ContentDefinition_485496469.1774"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485496469.1775" hidden="1">"'uotes&amp;amp;gt;&amp;amp;lt;DateFormat&amp;amp;gt;None&amp;amp;lt;/DateFormat&amp;amp;gt;&amp;amp;lt;RightHandSideExpression&amp;amp;gt;MFPR01007180&amp;amp;lt;/RightHandSideExpression&amp;amp;gt;&amp;amp;lt;IsSubquery&amp;amp;gt;False&amp;amp;lt;/IsSubquery&amp;amp;gt;&amp;amp;lt;SubqueryTemplateName /&amp;a'"</definedName>
    <definedName name="_AMO_ContentDefinition_485496469.1776"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485496469.1777" hidden="1">"'on&amp;amp;gt;MFPR01007181&amp;amp;lt;/RightHandSideExpression&amp;amp;gt;&amp;amp;lt;IsSubquery&amp;amp;gt;False&amp;amp;lt;/IsSubquery&amp;amp;gt;&amp;amp;lt;SubqueryTemplateName /&amp;amp;gt;&amp;amp;lt;/RHSItem&amp;amp;gt;&amp;amp;lt;RHSItem&amp;amp;gt;&amp;amp;lt;RHSType&amp;amp;gt;EXPRESSION&amp;amp;lt;/RHST'"</definedName>
    <definedName name="_AMO_ContentDefinition_485496469.1778" hidden="1">"'ype&amp;amp;gt;&amp;amp;lt;AddQuotes&amp;amp;gt;True&amp;amp;lt;/AddQuotes&amp;amp;gt;&amp;amp;lt;DateFormat&amp;amp;gt;None&amp;amp;lt;/DateFormat&amp;amp;gt;&amp;amp;lt;RightHandSideExpression&amp;amp;gt;MFPR01007182&amp;amp;lt;/RightHandSideExpression&amp;amp;gt;&amp;amp;lt;IsSubquery&amp;amp;gt;False&amp;amp;l'"</definedName>
    <definedName name="_AMO_ContentDefinition_485496469.1779"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485496469.178" hidden="1">"'D000215',&amp;amp;#xD;&amp;amp;#xA;'MFDRVD000216',&amp;amp;#xD;&amp;amp;#xA;'MFDRVD000217',&amp;amp;#xD;&amp;amp;#xA;'MFDRVD000219',&amp;amp;#xD;&amp;amp;#xA;'MFDRVD000220',&amp;amp;#xD;&amp;amp;#xA;'MFDRVD000221',&amp;amp;#xD;&amp;amp;#xA;'MFDRVD000222',&amp;amp;#xD;&amp;amp;#xA;'MFDRVD000225',&amp;amp;#xD;&amp;a'"</definedName>
    <definedName name="_AMO_ContentDefinition_485496469.1780" hidden="1">"'p;lt;/DateFormat&amp;amp;gt;&amp;amp;lt;RightHandSideExpression&amp;amp;gt;MFPR01007183&amp;amp;lt;/RightHandSideExpression&amp;amp;gt;&amp;amp;lt;IsSubquery&amp;amp;gt;False&amp;amp;lt;/IsSubquery&amp;amp;gt;&amp;amp;lt;SubqueryTemplateName /&amp;amp;gt;&amp;amp;lt;/RHSItem&amp;amp;gt;&amp;amp;lt;RHSItem&amp;'"</definedName>
    <definedName name="_AMO_ContentDefinition_485496469.1781" hidden="1">"'amp;gt;&amp;amp;lt;RHSType&amp;amp;gt;EXPRESSION&amp;amp;lt;/RHSType&amp;amp;gt;&amp;amp;lt;AddQuotes&amp;amp;gt;True&amp;amp;lt;/AddQuotes&amp;amp;gt;&amp;amp;lt;DateFormat&amp;amp;gt;None&amp;amp;lt;/DateFormat&amp;amp;gt;&amp;amp;lt;RightHandSideExpression&amp;amp;gt;MFPR01007184&amp;amp;lt;/RightHandSideEx'"</definedName>
    <definedName name="_AMO_ContentDefinition_485496469.1782"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485496469.1783" hidden="1">"'t;/AddQuotes&amp;amp;gt;&amp;amp;lt;DateFormat&amp;amp;gt;None&amp;amp;lt;/DateFormat&amp;amp;gt;&amp;amp;lt;RightHandSideExpression&amp;amp;gt;MFPR01007185&amp;amp;lt;/RightHandSideExpression&amp;amp;gt;&amp;amp;lt;IsSubquery&amp;amp;gt;False&amp;amp;lt;/IsSubquery&amp;amp;gt;&amp;amp;lt;SubqueryTemplateN'"</definedName>
    <definedName name="_AMO_ContentDefinition_485496469.1784"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485496469.1785" hidden="1">"'xpression&amp;amp;gt;MFPR01007186&amp;amp;lt;/RightHandSideExpression&amp;amp;gt;&amp;amp;lt;IsSubquery&amp;amp;gt;False&amp;amp;lt;/IsSubquery&amp;amp;gt;&amp;amp;lt;SubqueryTemplateName /&amp;amp;gt;&amp;amp;lt;/RHSItem&amp;amp;gt;&amp;amp;lt;RHSItem&amp;amp;gt;&amp;amp;lt;RHSType&amp;amp;gt;EXPRESSION&amp;amp;l'"</definedName>
    <definedName name="_AMO_ContentDefinition_485496469.1786" hidden="1">"'t;/RHSType&amp;amp;gt;&amp;amp;lt;AddQuotes&amp;amp;gt;True&amp;amp;lt;/AddQuotes&amp;amp;gt;&amp;amp;lt;DateFormat&amp;amp;gt;None&amp;amp;lt;/DateFormat&amp;amp;gt;&amp;amp;lt;RightHandSideExpression&amp;amp;gt;MFPR01007187&amp;amp;lt;/RightHandSideExpression&amp;amp;gt;&amp;amp;lt;IsSubquery&amp;amp;gt;Fals'"</definedName>
    <definedName name="_AMO_ContentDefinition_485496469.1787"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1788" hidden="1">"'None&amp;amp;lt;/DateFormat&amp;amp;gt;&amp;amp;lt;RightHandSideExpression&amp;amp;gt;MFPR01007188&amp;amp;lt;/RightHandSideExpression&amp;amp;gt;&amp;amp;lt;IsSubquery&amp;amp;gt;False&amp;amp;lt;/IsSubquery&amp;amp;gt;&amp;amp;lt;SubqueryTemplateName /&amp;amp;gt;&amp;amp;lt;/RHSItem&amp;amp;gt;&amp;amp;lt;R'"</definedName>
    <definedName name="_AMO_ContentDefinition_485496469.1789" hidden="1">"'HSItem&amp;amp;gt;&amp;amp;lt;RHSType&amp;amp;gt;EXPRESSION&amp;amp;lt;/RHSType&amp;amp;gt;&amp;amp;lt;AddQuotes&amp;amp;gt;True&amp;amp;lt;/AddQuotes&amp;amp;gt;&amp;amp;lt;DateFormat&amp;amp;gt;None&amp;amp;lt;/DateFormat&amp;amp;gt;&amp;amp;lt;RightHandSideExpression&amp;amp;gt;MFPR01007189&amp;amp;lt;/RightHan'"</definedName>
    <definedName name="_AMO_ContentDefinition_485496469.179" hidden="1">"'mp;#xA;'MFDRVD000226',&amp;amp;#xD;&amp;amp;#xA;'MFPR01000001',&amp;amp;#xD;&amp;amp;#xA;'MFPR01000013',&amp;amp;#xD;&amp;amp;#xA;'MFPR01000016',&amp;amp;#xD;&amp;amp;#xA;'MFPR01000024',&amp;amp;#xD;&amp;amp;#xA;'MFPR01000032',&amp;amp;#xD;&amp;amp;#xA;'MFPR01000049',&amp;amp;#xD;&amp;amp;#xA;'MFPR01000066'"</definedName>
    <definedName name="_AMO_ContentDefinition_485496469.1790"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485496469.1791" hidden="1">"'e&amp;amp;lt;/AddQuotes&amp;amp;gt;&amp;amp;lt;DateFormat&amp;amp;gt;None&amp;amp;lt;/DateFormat&amp;amp;gt;&amp;amp;lt;RightHandSideExpression&amp;amp;gt;MFPR01007190&amp;amp;lt;/RightHandSideExpression&amp;amp;gt;&amp;amp;lt;IsSubquery&amp;amp;gt;False&amp;amp;lt;/IsSubquery&amp;amp;gt;&amp;amp;lt;SubqueryTe'"</definedName>
    <definedName name="_AMO_ContentDefinition_485496469.1792"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485496469.1793" hidden="1">"'ndSideExpression&amp;amp;gt;MFPR01007191&amp;amp;lt;/RightHandSideExpression&amp;amp;gt;&amp;amp;lt;IsSubquery&amp;amp;gt;False&amp;amp;lt;/IsSubquery&amp;amp;gt;&amp;amp;lt;SubqueryTemplateName /&amp;amp;gt;&amp;amp;lt;/RHSItem&amp;amp;gt;&amp;amp;lt;RHSItem&amp;amp;gt;&amp;amp;lt;RHSType&amp;amp;gt;EXPRESSIO'"</definedName>
    <definedName name="_AMO_ContentDefinition_485496469.1794" hidden="1">"'N&amp;amp;lt;/RHSType&amp;amp;gt;&amp;amp;lt;AddQuotes&amp;amp;gt;True&amp;amp;lt;/AddQuotes&amp;amp;gt;&amp;amp;lt;DateFormat&amp;amp;gt;None&amp;amp;lt;/DateFormat&amp;amp;gt;&amp;amp;lt;RightHandSideExpression&amp;amp;gt;MFPR01007192&amp;amp;lt;/RightHandSideExpression&amp;amp;gt;&amp;amp;lt;IsSubquery&amp;amp;'"</definedName>
    <definedName name="_AMO_ContentDefinition_485496469.1795"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485496469.1796" hidden="1">"'amp;gt;None&amp;amp;lt;/DateFormat&amp;amp;gt;&amp;amp;lt;RightHandSideExpression&amp;amp;gt;MFPR01007193&amp;amp;lt;/RightHandSideExpression&amp;amp;gt;&amp;amp;lt;IsSubquery&amp;amp;gt;False&amp;amp;lt;/IsSubquery&amp;amp;gt;&amp;amp;lt;SubqueryTemplateName /&amp;amp;gt;&amp;amp;lt;/RHSItem&amp;amp;gt;&amp;a'"</definedName>
    <definedName name="_AMO_ContentDefinition_485496469.1797" hidden="1">"'mp;lt;RHSItem&amp;amp;gt;&amp;amp;lt;RHSType&amp;amp;gt;EXPRESSION&amp;amp;lt;/RHSType&amp;amp;gt;&amp;amp;lt;AddQuotes&amp;amp;gt;True&amp;amp;lt;/AddQuotes&amp;amp;gt;&amp;amp;lt;DateFormat&amp;amp;gt;None&amp;amp;lt;/DateFormat&amp;amp;gt;&amp;amp;lt;RightHandSideExpression&amp;amp;gt;MFPR01007194&amp;amp;lt;/R'"</definedName>
    <definedName name="_AMO_ContentDefinition_485496469.1798"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1799" hidden="1">"';gt;True&amp;amp;lt;/AddQuotes&amp;amp;gt;&amp;amp;lt;DateFormat&amp;amp;gt;None&amp;amp;lt;/DateFormat&amp;amp;gt;&amp;amp;lt;RightHandSideExpression&amp;amp;gt;MFPR01007195&amp;amp;lt;/RightHandSideExpression&amp;amp;gt;&amp;amp;lt;IsSubquery&amp;amp;gt;False&amp;amp;lt;/IsSubquery&amp;amp;gt;&amp;amp;lt;Sub'"</definedName>
    <definedName name="_AMO_ContentDefinition_485496469.18" hidden="1">"';'MFDRVD000216',&amp;#xD;&amp;#xA;'MFDRVD000217',&amp;#xD;&amp;#xA;'MFDRVD000219',&amp;#xD;&amp;#xA;'MFDRVD000220',&amp;#xD;&amp;#xA;'MFDRVD000221',&amp;#xD;&amp;#xA;'MFDRVD000222',&amp;#xD;&amp;#xA;'MFDRVD000225',&amp;#xD;&amp;#xA;'MFDRVD000226',&amp;#xD;&amp;#xA;'MFPR01000001',&amp;#xD;&amp;#xA;'MFPR01000013',&amp;#xD;&amp;#xA;'"</definedName>
    <definedName name="_AMO_ContentDefinition_485496469.180" hidden="1">"'',&amp;amp;#xD;&amp;amp;#xA;'MFPR01000083',&amp;amp;#xD;&amp;amp;#xA;'MFPR01000089',&amp;amp;#xD;&amp;amp;#xA;'MFPR01000095',&amp;amp;#xD;&amp;amp;#xA;'MFPR01000101',&amp;amp;#xD;&amp;amp;#xA;'MFPR01000107',&amp;amp;#xD;&amp;amp;#xA;'MFPR01000113',&amp;amp;#xD;&amp;amp;#xA;'MFPR01000128',&amp;amp;#xD;&amp;amp;#xA;'"</definedName>
    <definedName name="_AMO_ContentDefinition_485496469.1800"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1801" hidden="1">"'RightHandSideExpression&amp;amp;gt;MFPR01007196&amp;amp;lt;/RightHandSideExpression&amp;amp;gt;&amp;amp;lt;IsSubquery&amp;amp;gt;False&amp;amp;lt;/IsSubquery&amp;amp;gt;&amp;amp;lt;SubqueryTemplateName /&amp;amp;gt;&amp;amp;lt;/RHSItem&amp;amp;gt;&amp;amp;lt;RHSItem&amp;amp;gt;&amp;amp;lt;RHSType&amp;amp;gt;EX'"</definedName>
    <definedName name="_AMO_ContentDefinition_485496469.1802" hidden="1">"'PRESSION&amp;amp;lt;/RHSType&amp;amp;gt;&amp;amp;lt;AddQuotes&amp;amp;gt;True&amp;amp;lt;/AddQuotes&amp;amp;gt;&amp;amp;lt;DateFormat&amp;amp;gt;None&amp;amp;lt;/DateFormat&amp;amp;gt;&amp;amp;lt;RightHandSideExpression&amp;amp;gt;MFPR01007197&amp;amp;lt;/RightHandSideExpression&amp;amp;gt;&amp;amp;lt;IsSubque'"</definedName>
    <definedName name="_AMO_ContentDefinition_485496469.1803"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485496469.1804" hidden="1">"'Format&amp;amp;gt;None&amp;amp;lt;/DateFormat&amp;amp;gt;&amp;amp;lt;RightHandSideExpression&amp;amp;gt;MFPR01007198&amp;amp;lt;/RightHandSideExpression&amp;amp;gt;&amp;amp;lt;IsSubquery&amp;amp;gt;False&amp;amp;lt;/IsSubquery&amp;amp;gt;&amp;amp;lt;SubqueryTemplateName /&amp;amp;gt;&amp;amp;lt;/RHSItem&amp;am'"</definedName>
    <definedName name="_AMO_ContentDefinition_485496469.1805" hidden="1">"'p;gt;&amp;amp;lt;RHSItem&amp;amp;gt;&amp;amp;lt;RHSType&amp;amp;gt;EXPRESSION&amp;amp;lt;/RHSType&amp;amp;gt;&amp;amp;lt;AddQuotes&amp;amp;gt;True&amp;amp;lt;/AddQuotes&amp;amp;gt;&amp;amp;lt;DateFormat&amp;amp;gt;None&amp;amp;lt;/DateFormat&amp;amp;gt;&amp;amp;lt;RightHandSideExpression&amp;amp;gt;MFPR01007199&amp;am'"</definedName>
    <definedName name="_AMO_ContentDefinition_485496469.1806"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485496469.1807" hidden="1">"'tes&amp;amp;gt;True&amp;amp;lt;/AddQuotes&amp;amp;gt;&amp;amp;lt;DateFormat&amp;amp;gt;None&amp;amp;lt;/DateFormat&amp;amp;gt;&amp;amp;lt;RightHandSideExpression&amp;amp;gt;MFPR01007200&amp;amp;lt;/RightHandSideExpression&amp;amp;gt;&amp;amp;lt;IsSubquery&amp;amp;gt;False&amp;amp;lt;/IsSubquery&amp;amp;gt;&amp;amp'"</definedName>
    <definedName name="_AMO_ContentDefinition_485496469.1808"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485496469.1809" hidden="1">"'amp;lt;RightHandSideExpression&amp;amp;gt;MFPR01007201&amp;amp;lt;/RightHandSideExpression&amp;amp;gt;&amp;amp;lt;IsSubquery&amp;amp;gt;False&amp;amp;lt;/IsSubquery&amp;amp;gt;&amp;amp;lt;SubqueryTemplateName /&amp;amp;gt;&amp;amp;lt;/RHSItem&amp;amp;gt;&amp;amp;lt;RHSItem&amp;amp;gt;&amp;amp;lt;RHSType&amp;am'"</definedName>
    <definedName name="_AMO_ContentDefinition_485496469.181" hidden="1">"''MFPR01000131',&amp;amp;#xD;&amp;amp;#xA;'MFPR01000135',&amp;amp;#xD;&amp;amp;#xA;'MFPR01000136',&amp;amp;#xD;&amp;amp;#xA;'MFPR01000137',&amp;amp;#xD;&amp;amp;#xA;'MFPR01000138',&amp;amp;#xD;&amp;amp;#xA;'MFPR01000139',&amp;amp;#xD;&amp;amp;#xA;'MFPR01000140',&amp;amp;#xD;&amp;amp;#xA;'MFPR01000141',&amp;amp;'"</definedName>
    <definedName name="_AMO_ContentDefinition_485496469.1810" hidden="1">"'p;gt;EXPRESSION&amp;amp;lt;/RHSType&amp;amp;gt;&amp;amp;lt;AddQuotes&amp;amp;gt;True&amp;amp;lt;/AddQuotes&amp;amp;gt;&amp;amp;lt;DateFormat&amp;amp;gt;None&amp;amp;lt;/DateFormat&amp;amp;gt;&amp;amp;lt;RightHandSideExpression&amp;amp;gt;MFPR01007202&amp;amp;lt;/RightHandSideExpression&amp;amp;gt;&amp;amp;lt;I'"</definedName>
    <definedName name="_AMO_ContentDefinition_485496469.1811"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1812" hidden="1">"'lt;DateFormat&amp;amp;gt;None&amp;amp;lt;/DateFormat&amp;amp;gt;&amp;amp;lt;RightHandSideExpression&amp;amp;gt;MFPR01007203&amp;amp;lt;/RightHandSideExpression&amp;amp;gt;&amp;amp;lt;IsSubquery&amp;amp;gt;False&amp;amp;lt;/IsSubquery&amp;amp;gt;&amp;amp;lt;SubqueryTemplateName /&amp;amp;gt;&amp;amp;lt;/RHS'"</definedName>
    <definedName name="_AMO_ContentDefinition_485496469.1813" hidden="1">"'Item&amp;amp;gt;&amp;amp;lt;RHSItem&amp;amp;gt;&amp;amp;lt;RHSType&amp;amp;gt;EXPRESSION&amp;amp;lt;/RHSType&amp;amp;gt;&amp;amp;lt;AddQuotes&amp;amp;gt;True&amp;amp;lt;/AddQuotes&amp;amp;gt;&amp;amp;lt;DateFormat&amp;amp;gt;None&amp;amp;lt;/DateFormat&amp;amp;gt;&amp;amp;lt;RightHandSideExpression&amp;amp;gt;MFPR0100'"</definedName>
    <definedName name="_AMO_ContentDefinition_485496469.1814" hidden="1">"'7204&amp;amp;lt;/RightHandSideExpression&amp;amp;gt;&amp;amp;lt;IsSubquery&amp;amp;gt;False&amp;amp;lt;/IsSubquery&amp;amp;gt;&amp;amp;lt;SubqueryTemplateName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1815" hidden="1">"';AddQuotes&amp;amp;gt;True&amp;amp;lt;/AddQuotes&amp;amp;gt;&amp;amp;lt;DateFormat&amp;amp;gt;None&amp;amp;lt;/DateFormat&amp;amp;gt;&amp;amp;lt;RightHandSideExpression&amp;amp;gt;MFPR01007205&amp;amp;lt;/RightHandSideExpression&amp;amp;gt;&amp;amp;lt;IsSubquery&amp;amp;gt;False&amp;amp;lt;/IsSubquery&amp;amp;'"</definedName>
    <definedName name="_AMO_ContentDefinition_485496469.1816"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485496469.1817" hidden="1">"'mp;gt;&amp;amp;lt;RightHandSideExpression&amp;amp;gt;MFPR01007206&amp;amp;lt;/RightHandSideExpression&amp;amp;gt;&amp;amp;lt;IsSubquery&amp;amp;gt;False&amp;amp;lt;/IsSubquery&amp;amp;gt;&amp;amp;lt;SubqueryTemplateName /&amp;amp;gt;&amp;amp;lt;/RHSItem&amp;amp;gt;&amp;amp;lt;RHSItem&amp;amp;gt;&amp;amp;lt;RHS'"</definedName>
    <definedName name="_AMO_ContentDefinition_485496469.1818" hidden="1">"'Type&amp;amp;gt;EXPRESSION&amp;amp;lt;/RHSType&amp;amp;gt;&amp;amp;lt;AddQuotes&amp;amp;gt;True&amp;amp;lt;/AddQuotes&amp;amp;gt;&amp;amp;lt;DateFormat&amp;amp;gt;None&amp;amp;lt;/DateFormat&amp;amp;gt;&amp;amp;lt;RightHandSideExpression&amp;amp;gt;MFPR01007207&amp;amp;lt;/RightHandSideExpression&amp;amp;gt;&amp;a'"</definedName>
    <definedName name="_AMO_ContentDefinition_485496469.1819"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485496469.182" hidden="1">"'#xD;&amp;amp;#xA;'MFPR01000148',&amp;amp;#xD;&amp;amp;#xA;'MFPR01000160',&amp;amp;#xD;&amp;amp;#xA;'MFPR01000162',&amp;amp;#xD;&amp;amp;#xA;'MFPR01000163',&amp;amp;#xD;&amp;amp;#xA;'MFPR01000173',&amp;amp;#xD;&amp;amp;#xA;'MFPR01000176',&amp;amp;#xD;&amp;amp;#xA;'MFPR01000184',&amp;amp;#xD;&amp;amp;#xA;'MFPR01'"</definedName>
    <definedName name="_AMO_ContentDefinition_485496469.1820" hidden="1">"'t;&amp;amp;lt;DateFormat&amp;amp;gt;None&amp;amp;lt;/DateFormat&amp;amp;gt;&amp;amp;lt;RightHandSideExpression&amp;amp;gt;MFPR01007208&amp;amp;lt;/RightHandSideExpression&amp;amp;gt;&amp;amp;lt;IsSubquery&amp;amp;gt;False&amp;amp;lt;/IsSubquery&amp;amp;gt;&amp;amp;lt;SubqueryTemplateName /&amp;amp;gt;&amp;amp;'"</definedName>
    <definedName name="_AMO_ContentDefinition_485496469.1821" hidden="1">"'lt;/RHSItem&amp;amp;gt;&amp;amp;lt;RHSItem&amp;amp;gt;&amp;amp;lt;RHSType&amp;amp;gt;EXPRESSION&amp;amp;lt;/RHSType&amp;amp;gt;&amp;amp;lt;AddQuotes&amp;amp;gt;True&amp;amp;lt;/AddQuotes&amp;amp;gt;&amp;amp;lt;DateFormat&amp;amp;gt;None&amp;amp;lt;/DateFormat&amp;amp;gt;&amp;amp;lt;RightHandSideExpression&amp;amp;gt;M'"</definedName>
    <definedName name="_AMO_ContentDefinition_485496469.1822" hidden="1">"'FPR01007209&amp;amp;lt;/RightHandSideExpression&amp;amp;gt;&amp;amp;lt;IsSubquery&amp;amp;gt;False&amp;amp;lt;/IsSubquery&amp;amp;gt;&amp;amp;lt;SubqueryTemplateName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1823" hidden="1">"'&amp;amp;lt;AddQuotes&amp;amp;gt;True&amp;amp;lt;/AddQuotes&amp;amp;gt;&amp;amp;lt;DateFormat&amp;amp;gt;None&amp;amp;lt;/DateFormat&amp;amp;gt;&amp;amp;lt;RightHandSideExpression&amp;amp;gt;MFPR01007210&amp;amp;lt;/RightHandSideExpression&amp;amp;gt;&amp;amp;lt;IsSubquery&amp;amp;gt;False&amp;amp;lt;/IsSubque'"</definedName>
    <definedName name="_AMO_ContentDefinition_485496469.1824"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485496469.1825" hidden="1">"'ormat&amp;amp;gt;&amp;amp;lt;RightHandSideExpression&amp;amp;gt;MFPR01007211&amp;amp;lt;/RightHandSideExpression&amp;amp;gt;&amp;amp;lt;IsSubquery&amp;amp;gt;False&amp;amp;lt;/IsSubquery&amp;amp;gt;&amp;amp;lt;SubqueryTemplateName /&amp;amp;gt;&amp;amp;lt;/RHSItem&amp;amp;gt;&amp;amp;lt;RHSItem&amp;amp;gt;&amp;amp'"</definedName>
    <definedName name="_AMO_ContentDefinition_485496469.1826" hidden="1">"';lt;RHSType&amp;amp;gt;EXPRESSION&amp;amp;lt;/RHSType&amp;amp;gt;&amp;amp;lt;AddQuotes&amp;amp;gt;True&amp;amp;lt;/AddQuotes&amp;amp;gt;&amp;amp;lt;DateFormat&amp;amp;gt;None&amp;amp;lt;/DateFormat&amp;amp;gt;&amp;amp;lt;RightHandSideExpression&amp;amp;gt;MFPR01007212&amp;amp;lt;/RightHandSideExpression&amp;am'"</definedName>
    <definedName name="_AMO_ContentDefinition_485496469.1827"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485496469.1828" hidden="1">"'s&amp;amp;gt;&amp;amp;lt;DateFormat&amp;amp;gt;None&amp;amp;lt;/DateFormat&amp;amp;gt;&amp;amp;lt;RightHandSideExpression&amp;amp;gt;MFPR01007213&amp;amp;lt;/RightHandSideExpression&amp;amp;gt;&amp;amp;lt;IsSubquery&amp;amp;gt;False&amp;amp;lt;/IsSubquery&amp;amp;gt;&amp;amp;lt;SubqueryTemplateName /&amp;amp;g'"</definedName>
    <definedName name="_AMO_ContentDefinition_485496469.1829" hidden="1">"'t;&amp;amp;lt;/RHSItem&amp;amp;gt;&amp;amp;lt;RHSItem&amp;amp;gt;&amp;amp;lt;RHSType&amp;amp;gt;EXPRESSION&amp;amp;lt;/RHSType&amp;amp;gt;&amp;amp;lt;AddQuotes&amp;amp;gt;True&amp;amp;lt;/AddQuotes&amp;amp;gt;&amp;amp;lt;DateFormat&amp;amp;gt;None&amp;amp;lt;/DateFormat&amp;amp;gt;&amp;amp;lt;RightHandSideExpression&amp;a'"</definedName>
    <definedName name="_AMO_ContentDefinition_485496469.183" hidden="1">"'000200',&amp;amp;#xD;&amp;amp;#xA;'MFPR01000216',&amp;amp;#xD;&amp;amp;#xA;'MFPR01000232',&amp;amp;#xD;&amp;amp;#xA;'MFPR01000254',&amp;amp;#xD;&amp;amp;#xA;'MFPR01000258',&amp;amp;#xD;&amp;amp;#xA;'MFPR01000279',&amp;amp;#xD;&amp;amp;#xA;'MFPR01000285',&amp;amp;#xD;&amp;amp;#xA;'MFPR01000295',&amp;amp;#xD;&amp;am'"</definedName>
    <definedName name="_AMO_ContentDefinition_485496469.1830" hidden="1">"'mp;gt;MFPR01007214&amp;amp;lt;/RightHandSideExpression&amp;amp;gt;&amp;amp;lt;IsSubquery&amp;amp;gt;False&amp;amp;lt;/IsSubquery&amp;amp;gt;&amp;amp;lt;SubqueryTemplateName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485496469.1831" hidden="1">"'amp;gt;&amp;amp;lt;AddQuotes&amp;amp;gt;True&amp;amp;lt;/AddQuotes&amp;amp;gt;&amp;amp;lt;DateFormat&amp;amp;gt;None&amp;amp;lt;/DateFormat&amp;amp;gt;&amp;amp;lt;RightHandSideExpression&amp;amp;gt;MFPR01007215&amp;amp;lt;/RightHandSideExpression&amp;amp;gt;&amp;amp;lt;IsSubquery&amp;amp;gt;False&amp;amp;lt;/I'"</definedName>
    <definedName name="_AMO_ContentDefinition_485496469.1832"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1833" hidden="1">"';/DateFormat&amp;amp;gt;&amp;amp;lt;RightHandSideExpression&amp;amp;gt;MFPR01007216&amp;amp;lt;/RightHandSideExpression&amp;amp;gt;&amp;amp;lt;IsSubquery&amp;amp;gt;False&amp;amp;lt;/IsSubquery&amp;amp;gt;&amp;amp;lt;SubqueryTemplateName /&amp;amp;gt;&amp;amp;lt;/RHSItem&amp;amp;gt;&amp;amp;lt;RHSItem&amp;amp;'"</definedName>
    <definedName name="_AMO_ContentDefinition_485496469.1834" hidden="1">"'gt;&amp;amp;lt;RHSType&amp;amp;gt;EXPRESSION&amp;amp;lt;/RHSType&amp;amp;gt;&amp;amp;lt;AddQuotes&amp;amp;gt;True&amp;amp;lt;/AddQuotes&amp;amp;gt;&amp;amp;lt;DateFormat&amp;amp;gt;None&amp;amp;lt;/DateFormat&amp;amp;gt;&amp;amp;lt;RightHandSideExpression&amp;amp;gt;MFPR01007217&amp;amp;lt;/RightHandSideExpres'"</definedName>
    <definedName name="_AMO_ContentDefinition_485496469.1835"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485496469.1836" hidden="1">"'ddQuotes&amp;amp;gt;&amp;amp;lt;DateFormat&amp;amp;gt;None&amp;amp;lt;/DateFormat&amp;amp;gt;&amp;amp;lt;RightHandSideExpression&amp;amp;gt;MFPR01007218&amp;amp;lt;/RightHandSideExpression&amp;amp;gt;&amp;amp;lt;IsSubquery&amp;amp;gt;False&amp;amp;lt;/IsSubquery&amp;amp;gt;&amp;amp;lt;SubqueryTemplateName '"</definedName>
    <definedName name="_AMO_ContentDefinition_485496469.1837"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485496469.1838" hidden="1">"'ssion&amp;amp;gt;MFPR01007219&amp;amp;lt;/RightHandSideExpression&amp;amp;gt;&amp;amp;lt;IsSubquery&amp;amp;gt;False&amp;amp;lt;/IsSubquery&amp;amp;gt;&amp;amp;lt;SubqueryTemplateName /&amp;amp;gt;&amp;amp;lt;/RHSItem&amp;amp;gt;&amp;amp;lt;RHSItem&amp;amp;gt;&amp;amp;lt;RHSType&amp;amp;gt;EXPRESSION&amp;amp;lt;/R'"</definedName>
    <definedName name="_AMO_ContentDefinition_485496469.1839" hidden="1">"'HSType&amp;amp;gt;&amp;amp;lt;AddQuotes&amp;amp;gt;True&amp;amp;lt;/AddQuotes&amp;amp;gt;&amp;amp;lt;DateFormat&amp;amp;gt;None&amp;amp;lt;/DateFormat&amp;amp;gt;&amp;amp;lt;RightHandSideExpression&amp;amp;gt;MFPR01007220&amp;amp;lt;/RightHandSideExpression&amp;amp;gt;&amp;amp;lt;IsSubquery&amp;amp;gt;False&amp;am'"</definedName>
    <definedName name="_AMO_ContentDefinition_485496469.184" hidden="1">"'p;#xA;'MFPR01000296',&amp;amp;#xD;&amp;amp;#xA;'MFPR01000297',&amp;amp;#xD;&amp;amp;#xA;'MFPR01000298',&amp;amp;#xD;&amp;amp;#xA;'MFPR01000299',&amp;amp;#xD;&amp;amp;#xA;'MFPR01000300',&amp;amp;#xD;&amp;amp;#xA;'MFPR01000301',&amp;amp;#xD;&amp;amp;#xA;'MFPR01000302',&amp;amp;#xD;&amp;amp;#xA;'MFPR01000307''"</definedName>
    <definedName name="_AMO_ContentDefinition_485496469.1840"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485496469.1841" hidden="1">"'&amp;amp;lt;/DateFormat&amp;amp;gt;&amp;amp;lt;RightHandSideExpression&amp;amp;gt;MFPR01007221&amp;amp;lt;/RightHandSideExpression&amp;amp;gt;&amp;amp;lt;IsSubquery&amp;amp;gt;False&amp;amp;lt;/IsSubquery&amp;amp;gt;&amp;amp;lt;SubqueryTemplateName /&amp;amp;gt;&amp;amp;lt;/RHSItem&amp;amp;gt;&amp;amp;lt;RHSIt'"</definedName>
    <definedName name="_AMO_ContentDefinition_485496469.1842" hidden="1">"'em&amp;amp;gt;&amp;amp;lt;RHSType&amp;amp;gt;EXPRESSION&amp;amp;lt;/RHSType&amp;amp;gt;&amp;amp;lt;AddQuotes&amp;amp;gt;True&amp;amp;lt;/AddQuotes&amp;amp;gt;&amp;amp;lt;DateFormat&amp;amp;gt;None&amp;amp;lt;/DateFormat&amp;amp;gt;&amp;amp;lt;RightHandSideExpression&amp;amp;gt;MFPR01007222&amp;amp;lt;/RightHandSid'"</definedName>
    <definedName name="_AMO_ContentDefinition_485496469.1843"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485496469.1844" hidden="1">"'p;lt;/AddQuotes&amp;amp;gt;&amp;amp;lt;DateFormat&amp;amp;gt;None&amp;amp;lt;/DateFormat&amp;amp;gt;&amp;amp;lt;RightHandSideExpression&amp;amp;gt;MFPR01007223&amp;amp;lt;/RightHandSideExpression&amp;amp;gt;&amp;amp;lt;IsSubquery&amp;amp;gt;False&amp;amp;lt;/IsSubquery&amp;amp;gt;&amp;amp;lt;SubqueryTempla'"</definedName>
    <definedName name="_AMO_ContentDefinition_485496469.1845"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485496469.1846" hidden="1">"'deExpression&amp;amp;gt;MFPR01007224&amp;amp;lt;/RightHandSideExpression&amp;amp;gt;&amp;amp;lt;IsSubquery&amp;amp;gt;False&amp;amp;lt;/IsSubquery&amp;amp;gt;&amp;amp;lt;SubqueryTemplateName /&amp;amp;gt;&amp;amp;lt;/RHSItem&amp;amp;gt;&amp;amp;lt;RHSItem&amp;amp;gt;&amp;amp;lt;RHSType&amp;amp;gt;EXPRESSION&amp;am'"</definedName>
    <definedName name="_AMO_ContentDefinition_485496469.1847" hidden="1">"'p;lt;/RHSType&amp;amp;gt;&amp;amp;lt;AddQuotes&amp;amp;gt;True&amp;amp;lt;/AddQuotes&amp;amp;gt;&amp;amp;lt;DateFormat&amp;amp;gt;None&amp;amp;lt;/DateFormat&amp;amp;gt;&amp;amp;lt;RightHandSideExpression&amp;amp;gt;MFPR01007225&amp;amp;lt;/RightHandSideExpression&amp;amp;gt;&amp;amp;lt;IsSubquery&amp;amp;gt;F'"</definedName>
    <definedName name="_AMO_ContentDefinition_485496469.1848"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1849" hidden="1">"'gt;None&amp;amp;lt;/DateFormat&amp;amp;gt;&amp;amp;lt;RightHandSideExpression&amp;amp;gt;MFPR01007226&amp;amp;lt;/RightHandSideExpression&amp;amp;gt;&amp;amp;lt;IsSubquery&amp;amp;gt;False&amp;amp;lt;/IsSubquery&amp;amp;gt;&amp;amp;lt;SubqueryTemplateName /&amp;amp;gt;&amp;amp;lt;/RHSItem&amp;amp;gt;&amp;amp;l'"</definedName>
    <definedName name="_AMO_ContentDefinition_485496469.185" hidden="1">"',&amp;amp;#xD;&amp;amp;#xA;'MFPR01005136',&amp;amp;#xD;&amp;amp;#xA;'MFPR01005138',&amp;amp;#xD;&amp;amp;#xA;'MFPR01005145',&amp;amp;#xD;&amp;amp;#xA;'MFPR01005146',&amp;amp;#xD;&amp;amp;#xA;'MFPR01005147',&amp;amp;#xD;&amp;amp;#xA;'MFPR01005152',&amp;amp;#xD;&amp;amp;#xA;'MFPR01005171',&amp;amp;#xD;&amp;amp;#xA;''"</definedName>
    <definedName name="_AMO_ContentDefinition_485496469.1850" hidden="1">"'t;RHSItem&amp;amp;gt;&amp;amp;lt;RHSType&amp;amp;gt;EXPRESSION&amp;amp;lt;/RHSType&amp;amp;gt;&amp;amp;lt;AddQuotes&amp;amp;gt;True&amp;amp;lt;/AddQuotes&amp;amp;gt;&amp;amp;lt;DateFormat&amp;amp;gt;None&amp;amp;lt;/DateFormat&amp;amp;gt;&amp;amp;lt;RightHandSideExpression&amp;amp;gt;MFPR01007227&amp;amp;lt;/Right'"</definedName>
    <definedName name="_AMO_ContentDefinition_485496469.1851"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1852" hidden="1">"'True&amp;amp;lt;/AddQuotes&amp;amp;gt;&amp;amp;lt;DateFormat&amp;amp;gt;None&amp;amp;lt;/DateFormat&amp;amp;gt;&amp;amp;lt;RightHandSideExpression&amp;amp;gt;MFPR01007228&amp;amp;lt;/RightHandSideExpression&amp;amp;gt;&amp;amp;lt;IsSubquery&amp;amp;gt;False&amp;amp;lt;/IsSubquery&amp;amp;gt;&amp;amp;lt;Subquer'"</definedName>
    <definedName name="_AMO_ContentDefinition_485496469.1853"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485496469.1854" hidden="1">"'tHandSideExpression&amp;amp;gt;MFPR01007229&amp;amp;lt;/RightHandSideExpression&amp;amp;gt;&amp;amp;lt;IsSubquery&amp;amp;gt;False&amp;amp;lt;/IsSubquery&amp;amp;gt;&amp;amp;lt;SubqueryTemplateName /&amp;amp;gt;&amp;amp;lt;/RHSItem&amp;amp;gt;&amp;amp;lt;RHSItem&amp;amp;gt;&amp;amp;lt;RHSType&amp;amp;gt;EXPRES'"</definedName>
    <definedName name="_AMO_ContentDefinition_485496469.1855" hidden="1">"'SION&amp;amp;lt;/RHSType&amp;amp;gt;&amp;amp;lt;AddQuotes&amp;amp;gt;True&amp;amp;lt;/AddQuotes&amp;amp;gt;&amp;amp;lt;DateFormat&amp;amp;gt;None&amp;amp;lt;/DateFormat&amp;amp;gt;&amp;amp;lt;RightHandSideExpression&amp;amp;gt;MFPR01007230&amp;amp;lt;/RightHandSideExpression&amp;amp;gt;&amp;amp;lt;IsSubquery&amp;a'"</definedName>
    <definedName name="_AMO_ContentDefinition_485496469.1856"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485496469.1857" hidden="1">"'at&amp;amp;gt;None&amp;amp;lt;/DateFormat&amp;amp;gt;&amp;amp;lt;RightHandSideExpression&amp;amp;gt;MFPR01007231&amp;amp;lt;/RightHandSideExpression&amp;amp;gt;&amp;amp;lt;IsSubquery&amp;amp;gt;False&amp;amp;lt;/IsSubquery&amp;amp;gt;&amp;amp;lt;SubqueryTemplateName /&amp;amp;gt;&amp;amp;lt;/RHSItem&amp;amp;gt'"</definedName>
    <definedName name="_AMO_ContentDefinition_485496469.1858" hidden="1">"';&amp;amp;lt;RHSItem&amp;amp;gt;&amp;amp;lt;RHSType&amp;amp;gt;EXPRESSION&amp;amp;lt;/RHSType&amp;amp;gt;&amp;amp;lt;AddQuotes&amp;amp;gt;True&amp;amp;lt;/AddQuotes&amp;amp;gt;&amp;amp;lt;DateFormat&amp;amp;gt;None&amp;amp;lt;/DateFormat&amp;amp;gt;&amp;amp;lt;RightHandSideExpression&amp;amp;gt;MFPR01007232&amp;amp;lt'"</definedName>
    <definedName name="_AMO_ContentDefinition_485496469.1859"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485496469.186" hidden="1">"'MFPR01005173',&amp;amp;#xD;&amp;amp;#xA;'MFPR01005180',&amp;amp;#xD;&amp;amp;#xA;'MFPR01005181',&amp;amp;#xD;&amp;amp;#xA;'MFPR01005182',&amp;amp;#xD;&amp;amp;#xA;'MFPR01005187',&amp;amp;#xD;&amp;amp;#xA;'MFPR01006507',&amp;amp;#xD;&amp;amp;#xA;'MFPR01006508',&amp;amp;#xD;&amp;amp;#xA;'MFPR01006509',&amp;amp;#'"</definedName>
    <definedName name="_AMO_ContentDefinition_485496469.1860" hidden="1">"'amp;gt;True&amp;amp;lt;/AddQuotes&amp;amp;gt;&amp;amp;lt;DateFormat&amp;amp;gt;None&amp;amp;lt;/DateFormat&amp;amp;gt;&amp;amp;lt;RightHandSideExpression&amp;amp;gt;MFPR01007233&amp;amp;lt;/RightHandSideExpression&amp;amp;gt;&amp;amp;lt;IsSubquery&amp;amp;gt;False&amp;amp;lt;/IsSubquery&amp;amp;gt;&amp;amp;lt;'"</definedName>
    <definedName name="_AMO_ContentDefinition_485496469.1861"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1862" hidden="1">"'lt;RightHandSideExpression&amp;amp;gt;MFPR01007234&amp;amp;lt;/RightHandSideExpression&amp;amp;gt;&amp;amp;lt;IsSubquery&amp;amp;gt;False&amp;amp;lt;/IsSubquery&amp;amp;gt;&amp;amp;lt;SubqueryTemplateName /&amp;amp;gt;&amp;amp;lt;/RHSItem&amp;amp;gt;&amp;amp;lt;RHSItem&amp;amp;gt;&amp;amp;lt;RHSType&amp;amp;gt'"</definedName>
    <definedName name="_AMO_ContentDefinition_485496469.1863" hidden="1">"';EXPRESSION&amp;amp;lt;/RHSType&amp;amp;gt;&amp;amp;lt;AddQuotes&amp;amp;gt;True&amp;amp;lt;/AddQuotes&amp;amp;gt;&amp;amp;lt;DateFormat&amp;amp;gt;None&amp;amp;lt;/DateFormat&amp;amp;gt;&amp;amp;lt;RightHandSideExpression&amp;amp;gt;MFPR01007235&amp;amp;lt;/RightHandSideExpression&amp;amp;gt;&amp;amp;lt;IsSub'"</definedName>
    <definedName name="_AMO_ContentDefinition_485496469.1864"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485496469.1865" hidden="1">"'ateFormat&amp;amp;gt;None&amp;amp;lt;/DateFormat&amp;amp;gt;&amp;amp;lt;RightHandSideExpression&amp;amp;gt;MFPR01007236&amp;amp;lt;/RightHandSideExpression&amp;amp;gt;&amp;amp;lt;IsSubquery&amp;amp;gt;False&amp;amp;lt;/IsSubquery&amp;amp;gt;&amp;amp;lt;SubqueryTemplateName /&amp;amp;gt;&amp;amp;lt;/RHSItem'"</definedName>
    <definedName name="_AMO_ContentDefinition_485496469.1866" hidden="1">"'&amp;amp;gt;&amp;amp;lt;RHSItem&amp;amp;gt;&amp;amp;lt;RHSType&amp;amp;gt;EXPRESSION&amp;amp;lt;/RHSType&amp;amp;gt;&amp;amp;lt;AddQuotes&amp;amp;gt;True&amp;amp;lt;/AddQuotes&amp;amp;gt;&amp;amp;lt;DateFormat&amp;amp;gt;None&amp;amp;lt;/DateFormat&amp;amp;gt;&amp;amp;lt;RightHandSideExpression&amp;amp;gt;MFPR01007237'"</definedName>
    <definedName name="_AMO_ContentDefinition_485496469.1867"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485496469.1868" hidden="1">"'Quotes&amp;amp;gt;True&amp;amp;lt;/AddQuotes&amp;amp;gt;&amp;amp;lt;DateFormat&amp;amp;gt;None&amp;amp;lt;/DateFormat&amp;amp;gt;&amp;amp;lt;RightHandSideExpression&amp;amp;gt;MFPR01007238&amp;amp;lt;/RightHandSideExpression&amp;amp;gt;&amp;amp;lt;IsSubquery&amp;amp;gt;False&amp;amp;lt;/IsSubquery&amp;amp;gt;&amp;'"</definedName>
    <definedName name="_AMO_ContentDefinition_485496469.1869"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485496469.187" hidden="1">"'xD;&amp;amp;#xA;'MFPR01006510',&amp;amp;#xD;&amp;amp;#xA;'MFPR01006511',&amp;amp;#xD;&amp;amp;#xA;'MFPR01006512',&amp;amp;#xD;&amp;amp;#xA;'MFPR01006513',&amp;amp;#xD;&amp;amp;#xA;'MFPR01006514',&amp;amp;#xD;&amp;amp;#xA;'MFPR01006515',&amp;amp;#xD;&amp;amp;#xA;'MFPR01006516',&amp;amp;#xD;&amp;amp;#xA;'MFPR010'"</definedName>
    <definedName name="_AMO_ContentDefinition_485496469.1870" hidden="1">"'t;&amp;amp;lt;RightHandSideExpression&amp;amp;gt;MFPR01007239&amp;amp;lt;/RightHandSideExpression&amp;amp;gt;&amp;amp;lt;IsSubquery&amp;amp;gt;False&amp;amp;lt;/IsSubquery&amp;amp;gt;&amp;amp;lt;SubqueryTemplateName /&amp;amp;gt;&amp;amp;lt;/RHSItem&amp;amp;gt;&amp;amp;lt;RHSItem&amp;amp;gt;&amp;amp;lt;RHSType'"</definedName>
    <definedName name="_AMO_ContentDefinition_485496469.1871" hidden="1">"'&amp;amp;gt;EXPRESSION&amp;amp;lt;/RHSType&amp;amp;gt;&amp;amp;lt;AddQuotes&amp;amp;gt;True&amp;amp;lt;/AddQuotes&amp;amp;gt;&amp;amp;lt;DateFormat&amp;amp;gt;None&amp;amp;lt;/DateFormat&amp;amp;gt;&amp;amp;lt;RightHandSideExpression&amp;amp;gt;MFPR01007240&amp;amp;lt;/RightHandSideExpression&amp;amp;gt;&amp;amp;l'"</definedName>
    <definedName name="_AMO_ContentDefinition_485496469.1872"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485496469.1873" hidden="1">"'mp;lt;DateFormat&amp;amp;gt;None&amp;amp;lt;/DateFormat&amp;amp;gt;&amp;amp;lt;RightHandSideExpression&amp;amp;gt;MFPR01007241&amp;amp;lt;/RightHandSideExpression&amp;amp;gt;&amp;amp;lt;IsSubquery&amp;amp;gt;False&amp;amp;lt;/IsSubquery&amp;amp;gt;&amp;amp;lt;SubqueryTemplateName /&amp;amp;gt;&amp;amp;lt;/'"</definedName>
    <definedName name="_AMO_ContentDefinition_485496469.1874" hidden="1">"'RHSItem&amp;amp;gt;&amp;amp;lt;RHSItem&amp;amp;gt;&amp;amp;lt;RHSType&amp;amp;gt;EXPRESSION&amp;amp;lt;/RHSType&amp;amp;gt;&amp;amp;lt;AddQuotes&amp;amp;gt;True&amp;amp;lt;/AddQuotes&amp;amp;gt;&amp;amp;lt;DateFormat&amp;amp;gt;None&amp;amp;lt;/DateFormat&amp;amp;gt;&amp;amp;lt;RightHandSideExpression&amp;amp;gt;MFPR0'"</definedName>
    <definedName name="_AMO_ContentDefinition_485496469.1875" hidden="1">"'1007242&amp;amp;lt;/RightHandSideExpression&amp;amp;gt;&amp;amp;lt;IsSubquery&amp;amp;gt;False&amp;amp;lt;/IsSubquery&amp;amp;gt;&amp;amp;lt;SubqueryTemplateName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1876" hidden="1">"';lt;AddQuotes&amp;amp;gt;True&amp;amp;lt;/AddQuotes&amp;amp;gt;&amp;amp;lt;DateFormat&amp;amp;gt;None&amp;amp;lt;/DateFormat&amp;amp;gt;&amp;amp;lt;RightHandSideExpression&amp;amp;gt;MFPR01007243&amp;amp;lt;/RightHandSideExpression&amp;amp;gt;&amp;amp;lt;IsSubquery&amp;amp;gt;False&amp;amp;lt;/IsSubquery&amp;a'"</definedName>
    <definedName name="_AMO_ContentDefinition_485496469.1877"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485496469.1878" hidden="1">"'t&amp;amp;gt;&amp;amp;lt;RightHandSideExpression&amp;amp;gt;MFPR01007244&amp;amp;lt;/RightHandSideExpression&amp;amp;gt;&amp;amp;lt;IsSubquery&amp;amp;gt;False&amp;amp;lt;/IsSubquery&amp;amp;gt;&amp;amp;lt;SubqueryTemplateName /&amp;amp;gt;&amp;amp;lt;/RHSItem&amp;amp;gt;&amp;amp;lt;RHSItem&amp;amp;gt;&amp;amp;lt;'"</definedName>
    <definedName name="_AMO_ContentDefinition_485496469.1879" hidden="1">"'RHSType&amp;amp;gt;EXPRESSION&amp;amp;lt;/RHSType&amp;amp;gt;&amp;amp;lt;AddQuotes&amp;amp;gt;True&amp;amp;lt;/AddQuotes&amp;amp;gt;&amp;amp;lt;DateFormat&amp;amp;gt;None&amp;amp;lt;/DateFormat&amp;amp;gt;&amp;amp;lt;RightHandSideExpression&amp;amp;gt;MFPR01007245&amp;amp;lt;/RightHandSideExpression&amp;amp;gt'"</definedName>
    <definedName name="_AMO_ContentDefinition_485496469.188" hidden="1">"'06517',&amp;amp;#xD;&amp;amp;#xA;'MFPR01006518',&amp;amp;#xD;&amp;amp;#xA;'MFPR01006519',&amp;amp;#xD;&amp;amp;#xA;'MFPR01006520',&amp;amp;#xD;&amp;amp;#xA;'MFPR01006521',&amp;amp;#xD;&amp;amp;#xA;'MFPR01006522',&amp;amp;#xD;&amp;amp;#xA;'MFPR01006523',&amp;amp;#xD;&amp;amp;#xA;'MFPR01006524',&amp;amp;#xD;&amp;amp'"</definedName>
    <definedName name="_AMO_ContentDefinition_485496469.1880"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485496469.1881" hidden="1">"'p;gt;&amp;amp;lt;DateFormat&amp;amp;gt;None&amp;amp;lt;/DateFormat&amp;amp;gt;&amp;amp;lt;RightHandSideExpression&amp;amp;gt;MFPR01007246&amp;amp;lt;/RightHandSideExpression&amp;amp;gt;&amp;amp;lt;IsSubquery&amp;amp;gt;False&amp;amp;lt;/IsSubquery&amp;amp;gt;&amp;amp;lt;SubqueryTemplateName /&amp;amp;gt;&amp;a'"</definedName>
    <definedName name="_AMO_ContentDefinition_485496469.1882" hidden="1">"'mp;lt;/RHSItem&amp;amp;gt;&amp;amp;lt;RHSItem&amp;amp;gt;&amp;amp;lt;RHSType&amp;amp;gt;EXPRESSION&amp;amp;lt;/RHSType&amp;amp;gt;&amp;amp;lt;AddQuotes&amp;amp;gt;True&amp;amp;lt;/AddQuotes&amp;amp;gt;&amp;amp;lt;DateFormat&amp;amp;gt;None&amp;amp;lt;/DateFormat&amp;amp;gt;&amp;amp;lt;RightHandSideExpression&amp;amp;g'"</definedName>
    <definedName name="_AMO_ContentDefinition_485496469.1883" hidden="1">"'t;MFPR01007247&amp;amp;lt;/RightHandSideExpression&amp;amp;gt;&amp;amp;lt;IsSubquery&amp;amp;gt;False&amp;amp;lt;/IsSubquery&amp;amp;gt;&amp;amp;lt;SubqueryTemplateName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1884" hidden="1">"'gt;&amp;amp;lt;AddQuotes&amp;amp;gt;True&amp;amp;lt;/AddQuotes&amp;amp;gt;&amp;amp;lt;DateFormat&amp;amp;gt;None&amp;amp;lt;/DateFormat&amp;amp;gt;&amp;amp;lt;RightHandSideExpression&amp;amp;gt;MFPR01007248&amp;amp;lt;/RightHandSideExpression&amp;amp;gt;&amp;amp;lt;IsSubquery&amp;amp;gt;False&amp;amp;lt;/IsSub'"</definedName>
    <definedName name="_AMO_ContentDefinition_485496469.1885"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485496469.1886" hidden="1">"'teFormat&amp;amp;gt;&amp;amp;lt;RightHandSideExpression&amp;amp;gt;MFPR01007249&amp;amp;lt;/RightHandSideExpression&amp;amp;gt;&amp;amp;lt;IsSubquery&amp;amp;gt;False&amp;amp;lt;/IsSubquery&amp;amp;gt;&amp;amp;lt;SubqueryTemplateName /&amp;amp;gt;&amp;amp;lt;/RHSItem&amp;amp;gt;&amp;amp;lt;RHSItem&amp;amp;gt;&amp;'"</definedName>
    <definedName name="_AMO_ContentDefinition_485496469.1887" hidden="1">"'amp;lt;RHSType&amp;amp;gt;EXPRESSION&amp;amp;lt;/RHSType&amp;amp;gt;&amp;amp;lt;AddQuotes&amp;amp;gt;True&amp;amp;lt;/AddQuotes&amp;amp;gt;&amp;amp;lt;DateFormat&amp;amp;gt;None&amp;amp;lt;/DateFormat&amp;amp;gt;&amp;amp;lt;RightHandSideExpression&amp;amp;gt;MFPR01007250&amp;amp;lt;/RightHandSideExpression'"</definedName>
    <definedName name="_AMO_ContentDefinition_485496469.1888"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485496469.1889" hidden="1">"'otes&amp;amp;gt;&amp;amp;lt;DateFormat&amp;amp;gt;None&amp;amp;lt;/DateFormat&amp;amp;gt;&amp;amp;lt;RightHandSideExpression&amp;amp;gt;MFPR01007251&amp;amp;lt;/RightHandSideExpression&amp;amp;gt;&amp;amp;lt;IsSubquery&amp;amp;gt;False&amp;amp;lt;/IsSubquery&amp;amp;gt;&amp;amp;lt;SubqueryTemplateName /&amp;am'"</definedName>
    <definedName name="_AMO_ContentDefinition_485496469.189" hidden="1">"';#xA;'MFPR01006525',&amp;amp;#xD;&amp;amp;#xA;'MFPR01006526',&amp;amp;#xD;&amp;amp;#xA;'MFPR01006527',&amp;amp;#xD;&amp;amp;#xA;'MFPR01006528',&amp;amp;#xD;&amp;amp;#xA;'MFPR01006529',&amp;amp;#xD;&amp;amp;#xA;'MFPR01006530',&amp;amp;#xD;&amp;amp;#xA;'MFPR01006531',&amp;amp;#xD;&amp;amp;#xA;'MFPR01006532','"</definedName>
    <definedName name="_AMO_ContentDefinition_485496469.1890"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485496469.1891" hidden="1">"'n&amp;amp;gt;MFPR01007252&amp;amp;lt;/RightHandSideExpression&amp;amp;gt;&amp;amp;lt;IsSubquery&amp;amp;gt;False&amp;amp;lt;/IsSubquery&amp;amp;gt;&amp;amp;lt;SubqueryTemplateName /&amp;amp;gt;&amp;amp;lt;/RHSItem&amp;amp;gt;&amp;amp;lt;RHSItem&amp;amp;gt;&amp;amp;lt;RHSType&amp;amp;gt;EXPRESSION&amp;amp;lt;/RHSTy'"</definedName>
    <definedName name="_AMO_ContentDefinition_485496469.1892" hidden="1">"'pe&amp;amp;gt;&amp;amp;lt;AddQuotes&amp;amp;gt;True&amp;amp;lt;/AddQuotes&amp;amp;gt;&amp;amp;lt;DateFormat&amp;amp;gt;None&amp;amp;lt;/DateFormat&amp;amp;gt;&amp;amp;lt;RightHandSideExpression&amp;amp;gt;MFPR01007253&amp;amp;lt;/RightHandSideExpression&amp;amp;gt;&amp;amp;lt;IsSubquery&amp;amp;gt;False&amp;amp;lt'"</definedName>
    <definedName name="_AMO_ContentDefinition_485496469.1893"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1894" hidden="1">"';lt;/DateFormat&amp;amp;gt;&amp;amp;lt;RightHandSideExpression&amp;amp;gt;MFPR01007254&amp;amp;lt;/RightHandSideExpression&amp;amp;gt;&amp;amp;lt;IsSubquery&amp;amp;gt;False&amp;amp;lt;/IsSubquery&amp;amp;gt;&amp;amp;lt;SubqueryTemplateName /&amp;amp;gt;&amp;amp;lt;/RHSItem&amp;amp;gt;&amp;amp;lt;RHSItem&amp;a'"</definedName>
    <definedName name="_AMO_ContentDefinition_485496469.1895" hidden="1">"'mp;gt;&amp;amp;lt;RHSType&amp;amp;gt;EXPRESSION&amp;amp;lt;/RHSType&amp;amp;gt;&amp;amp;lt;AddQuotes&amp;amp;gt;True&amp;amp;lt;/AddQuotes&amp;amp;gt;&amp;amp;lt;DateFormat&amp;amp;gt;None&amp;amp;lt;/DateFormat&amp;amp;gt;&amp;amp;lt;RightHandSideExpression&amp;amp;gt;MFPR01007255&amp;amp;lt;/RightHandSideExp'"</definedName>
    <definedName name="_AMO_ContentDefinition_485496469.1896"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1897" hidden="1">"';/AddQuotes&amp;amp;gt;&amp;amp;lt;DateFormat&amp;amp;gt;None&amp;amp;lt;/DateFormat&amp;amp;gt;&amp;amp;lt;RightHandSideExpression&amp;amp;gt;MFPR01007256&amp;amp;lt;/RightHandSideExpression&amp;amp;gt;&amp;amp;lt;IsSubquery&amp;amp;gt;False&amp;amp;lt;/IsSubquery&amp;amp;gt;&amp;amp;lt;SubqueryTemplateNa'"</definedName>
    <definedName name="_AMO_ContentDefinition_485496469.1898"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485496469.1899" hidden="1">"'pression&amp;amp;gt;MFPR01007257&amp;amp;lt;/RightHandSideExpression&amp;amp;gt;&amp;amp;lt;IsSubquery&amp;amp;gt;False&amp;amp;lt;/IsSubquery&amp;amp;gt;&amp;amp;lt;SubqueryTemplateName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19" hidden="1">"''MFPR01000016',&amp;#xD;&amp;#xA;'MFPR01000024',&amp;#xD;&amp;#xA;'MFPR01000032',&amp;#xD;&amp;#xA;'MFPR01000049',&amp;#xD;&amp;#xA;'MFPR01000066',&amp;#xD;&amp;#xA;'MFPR01000083',&amp;#xD;&amp;#xA;'MFPR01000089',&amp;#xD;&amp;#xA;'MFPR01000095',&amp;#xD;&amp;#xA;'MFPR01000101',&amp;#xD;&amp;#xA;'MFPR01000107',&amp;#xD;&amp;#xA;''"</definedName>
    <definedName name="_AMO_ContentDefinition_485496469.190" hidden="1">"'&amp;amp;#xD;&amp;amp;#xA;'MFPR01006533',&amp;amp;#xD;&amp;amp;#xA;'MFPR01006534',&amp;amp;#xD;&amp;amp;#xA;'MFPR01006535',&amp;amp;#xD;&amp;amp;#xA;'MFPR01006536',&amp;amp;#xD;&amp;amp;#xA;'MFPR01006537',&amp;amp;#xD;&amp;amp;#xA;'MFPR01006538',&amp;amp;#xD;&amp;amp;#xA;'MFPR01006539',&amp;amp;#xD;&amp;amp;#xA;'M'"</definedName>
    <definedName name="_AMO_ContentDefinition_485496469.1900" hidden="1">"';/RHSType&amp;amp;gt;&amp;amp;lt;AddQuotes&amp;amp;gt;True&amp;amp;lt;/AddQuotes&amp;amp;gt;&amp;amp;lt;DateFormat&amp;amp;gt;None&amp;amp;lt;/DateFormat&amp;amp;gt;&amp;amp;lt;RightHandSideExpression&amp;amp;gt;MFPR01007258&amp;amp;lt;/RightHandSideExpression&amp;amp;gt;&amp;amp;lt;IsSubquery&amp;amp;gt;False'"</definedName>
    <definedName name="_AMO_ContentDefinition_485496469.1901"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485496469.1902" hidden="1">"'one&amp;amp;lt;/DateFormat&amp;amp;gt;&amp;amp;lt;RightHandSideExpression&amp;amp;gt;MFPR01007259&amp;amp;lt;/RightHandSideExpression&amp;amp;gt;&amp;amp;lt;IsSubquery&amp;amp;gt;False&amp;amp;lt;/IsSubquery&amp;amp;gt;&amp;amp;lt;SubqueryTemplateName /&amp;amp;gt;&amp;amp;lt;/RHSItem&amp;amp;gt;&amp;amp;lt;RH'"</definedName>
    <definedName name="_AMO_ContentDefinition_485496469.1903" hidden="1">"'SItem&amp;amp;gt;&amp;amp;lt;RHSType&amp;amp;gt;EXPRESSION&amp;amp;lt;/RHSType&amp;amp;gt;&amp;amp;lt;AddQuotes&amp;amp;gt;True&amp;amp;lt;/AddQuotes&amp;amp;gt;&amp;amp;lt;DateFormat&amp;amp;gt;None&amp;amp;lt;/DateFormat&amp;amp;gt;&amp;amp;lt;RightHandSideExpression&amp;amp;gt;MFPR01007260&amp;amp;lt;/RightHand'"</definedName>
    <definedName name="_AMO_ContentDefinition_485496469.1904"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485496469.1905" hidden="1">"'&amp;amp;lt;/AddQuotes&amp;amp;gt;&amp;amp;lt;DateFormat&amp;amp;gt;None&amp;amp;lt;/DateFormat&amp;amp;gt;&amp;amp;lt;RightHandSideExpression&amp;amp;gt;MFPR01007261&amp;amp;lt;/RightHandSideExpression&amp;amp;gt;&amp;amp;lt;IsSubquery&amp;amp;gt;False&amp;amp;lt;/IsSubquery&amp;amp;gt;&amp;amp;lt;SubqueryTem'"</definedName>
    <definedName name="_AMO_ContentDefinition_485496469.1906"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485496469.1907" hidden="1">"'dSideExpression&amp;amp;gt;MFPR01007262&amp;amp;lt;/RightHandSideExpression&amp;amp;gt;&amp;amp;lt;IsSubquery&amp;amp;gt;False&amp;amp;lt;/IsSubquery&amp;amp;gt;&amp;amp;lt;SubqueryTemplateName /&amp;amp;gt;&amp;amp;lt;/RHSItem&amp;amp;gt;&amp;amp;lt;RHSItem&amp;amp;gt;&amp;amp;lt;RHSType&amp;amp;gt;EXPRESSION'"</definedName>
    <definedName name="_AMO_ContentDefinition_485496469.1908" hidden="1">"'&amp;amp;lt;/RHSType&amp;amp;gt;&amp;amp;lt;AddQuotes&amp;amp;gt;True&amp;amp;lt;/AddQuotes&amp;amp;gt;&amp;amp;lt;DateFormat&amp;amp;gt;None&amp;amp;lt;/DateFormat&amp;amp;gt;&amp;amp;lt;RightHandSideExpression&amp;amp;gt;MFPR01007263&amp;amp;lt;/RightHandSideExpression&amp;amp;gt;&amp;amp;lt;IsSubquery&amp;amp;g'"</definedName>
    <definedName name="_AMO_ContentDefinition_485496469.1909"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485496469.191" hidden="1">"'FPR01006540',&amp;amp;#xD;&amp;amp;#xA;'MFPR01006541',&amp;amp;#xD;&amp;amp;#xA;'MFPR01006542',&amp;amp;#xD;&amp;amp;#xA;'MFPR01006543',&amp;amp;#xD;&amp;amp;#xA;'MFPR01006544',&amp;amp;#xD;&amp;amp;#xA;'MFPR01006545',&amp;amp;#xD;&amp;amp;#xA;'MFPR01006546',&amp;amp;#xD;&amp;amp;#xA;'MFPR01006547',&amp;amp;#x'"</definedName>
    <definedName name="_AMO_ContentDefinition_485496469.1910" hidden="1">"'mp;gt;None&amp;amp;lt;/DateFormat&amp;amp;gt;&amp;amp;lt;RightHandSideExpression&amp;amp;gt;MFPR01007264&amp;amp;lt;/RightHandSideExpression&amp;amp;gt;&amp;amp;lt;IsSubquery&amp;amp;gt;False&amp;amp;lt;/IsSubquery&amp;amp;gt;&amp;amp;lt;SubqueryTemplateName /&amp;amp;gt;&amp;amp;lt;/RHSItem&amp;amp;gt;&amp;am'"</definedName>
    <definedName name="_AMO_ContentDefinition_485496469.1911" hidden="1">"'p;lt;RHSItem&amp;amp;gt;&amp;amp;lt;RHSType&amp;amp;gt;EXPRESSION&amp;amp;lt;/RHSType&amp;amp;gt;&amp;amp;lt;AddQuotes&amp;amp;gt;True&amp;amp;lt;/AddQuotes&amp;amp;gt;&amp;amp;lt;DateFormat&amp;amp;gt;None&amp;amp;lt;/DateFormat&amp;amp;gt;&amp;amp;lt;RightHandSideExpression&amp;amp;gt;MFPR01007265&amp;amp;lt;/Ri'"</definedName>
    <definedName name="_AMO_ContentDefinition_485496469.1912"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1913" hidden="1">"'gt;True&amp;amp;lt;/AddQuotes&amp;amp;gt;&amp;amp;lt;DateFormat&amp;amp;gt;None&amp;amp;lt;/DateFormat&amp;amp;gt;&amp;amp;lt;RightHandSideExpression&amp;amp;gt;MFPR01007266&amp;amp;lt;/RightHandSideExpression&amp;amp;gt;&amp;amp;lt;IsSubquery&amp;amp;gt;False&amp;amp;lt;/IsSubquery&amp;amp;gt;&amp;amp;lt;Subq'"</definedName>
    <definedName name="_AMO_ContentDefinition_485496469.1914"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485496469.1915" hidden="1">"'ightHandSideExpression&amp;amp;gt;MFPR01007267&amp;amp;lt;/RightHandSideExpression&amp;amp;gt;&amp;amp;lt;IsSubquery&amp;amp;gt;False&amp;amp;lt;/IsSubquery&amp;amp;gt;&amp;amp;lt;SubqueryTemplateName /&amp;amp;gt;&amp;amp;lt;/RHSItem&amp;amp;gt;&amp;amp;lt;RHSItem&amp;amp;gt;&amp;amp;lt;RHSType&amp;amp;gt;EXP'"</definedName>
    <definedName name="_AMO_ContentDefinition_485496469.1916" hidden="1">"'RESSION&amp;amp;lt;/RHSType&amp;amp;gt;&amp;amp;lt;AddQuotes&amp;amp;gt;True&amp;amp;lt;/AddQuotes&amp;amp;gt;&amp;amp;lt;DateFormat&amp;amp;gt;None&amp;amp;lt;/DateFormat&amp;amp;gt;&amp;amp;lt;RightHandSideExpression&amp;amp;gt;MFPR01007268&amp;amp;lt;/RightHandSideExpression&amp;amp;gt;&amp;amp;lt;IsSubquer'"</definedName>
    <definedName name="_AMO_ContentDefinition_485496469.1917"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485496469.1918" hidden="1">"'ormat&amp;amp;gt;None&amp;amp;lt;/DateFormat&amp;amp;gt;&amp;amp;lt;RightHandSideExpression&amp;amp;gt;MFPR01007269&amp;amp;lt;/RightHandSideExpression&amp;amp;gt;&amp;amp;lt;IsSubquery&amp;amp;gt;False&amp;amp;lt;/IsSubquery&amp;amp;gt;&amp;amp;lt;SubqueryTemplateName /&amp;amp;gt;&amp;amp;lt;/RHSItem&amp;amp'"</definedName>
    <definedName name="_AMO_ContentDefinition_485496469.1919" hidden="1">"';gt;&amp;amp;lt;RHSItem&amp;amp;gt;&amp;amp;lt;RHSType&amp;amp;gt;EXPRESSION&amp;amp;lt;/RHSType&amp;amp;gt;&amp;amp;lt;AddQuotes&amp;amp;gt;True&amp;amp;lt;/AddQuotes&amp;amp;gt;&amp;amp;lt;DateFormat&amp;amp;gt;None&amp;amp;lt;/DateFormat&amp;amp;gt;&amp;amp;lt;RightHandSideExpression&amp;amp;gt;MFPR01007270&amp;amp'"</definedName>
    <definedName name="_AMO_ContentDefinition_485496469.192" hidden="1">"'D;&amp;amp;#xA;'MFPR01006548',&amp;amp;#xD;&amp;amp;#xA;'MFPR01006549',&amp;amp;#xD;&amp;amp;#xA;'MFPR01006550',&amp;amp;#xD;&amp;amp;#xA;'MFPR01006551',&amp;amp;#xD;&amp;amp;#xA;'MFPR01006552',&amp;amp;#xD;&amp;amp;#xA;'MFPR01006553',&amp;amp;#xD;&amp;amp;#xA;'MFPR01006554',&amp;amp;#xD;&amp;amp;#xA;'MFPR0100'"</definedName>
    <definedName name="_AMO_ContentDefinition_485496469.1920"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485496469.1921" hidden="1">"'es&amp;amp;gt;True&amp;amp;lt;/AddQuotes&amp;amp;gt;&amp;amp;lt;DateFormat&amp;amp;gt;None&amp;amp;lt;/DateFormat&amp;amp;gt;&amp;amp;lt;RightHandSideExpression&amp;amp;gt;MFPR01007271&amp;amp;lt;/RightHandSideExpression&amp;amp;gt;&amp;amp;lt;IsSubquery&amp;amp;gt;False&amp;amp;lt;/IsSubquery&amp;amp;gt;&amp;amp;'"</definedName>
    <definedName name="_AMO_ContentDefinition_485496469.1922"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485496469.1923" hidden="1">"'mp;lt;RightHandSideExpression&amp;amp;gt;MFPR01007272&amp;amp;lt;/RightHandSideExpression&amp;amp;gt;&amp;amp;lt;IsSubquery&amp;amp;gt;False&amp;amp;lt;/IsSubquery&amp;amp;gt;&amp;amp;lt;SubqueryTemplateName /&amp;amp;gt;&amp;amp;lt;/RHSItem&amp;amp;gt;&amp;amp;lt;RHSItem&amp;amp;gt;&amp;amp;lt;RHSType&amp;amp'"</definedName>
    <definedName name="_AMO_ContentDefinition_485496469.1924" hidden="1">"';gt;EXPRESSION&amp;amp;lt;/RHSType&amp;amp;gt;&amp;amp;lt;AddQuotes&amp;amp;gt;True&amp;amp;lt;/AddQuotes&amp;amp;gt;&amp;amp;lt;DateFormat&amp;amp;gt;None&amp;amp;lt;/DateFormat&amp;amp;gt;&amp;amp;lt;RightHandSideExpression&amp;amp;gt;MFPR01007273&amp;amp;lt;/RightHandSideExpression&amp;amp;gt;&amp;amp;lt;Is'"</definedName>
    <definedName name="_AMO_ContentDefinition_485496469.1925"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485496469.1926" hidden="1">"'t;DateFormat&amp;amp;gt;None&amp;amp;lt;/DateFormat&amp;amp;gt;&amp;amp;lt;RightHandSideExpression&amp;amp;gt;MFPR01007274&amp;amp;lt;/RightHandSideExpression&amp;amp;gt;&amp;amp;lt;IsSubquery&amp;amp;gt;False&amp;amp;lt;/IsSubquery&amp;amp;gt;&amp;amp;lt;SubqueryTemplateName /&amp;amp;gt;&amp;amp;lt;/RHSI'"</definedName>
    <definedName name="_AMO_ContentDefinition_485496469.1927" hidden="1">"'tem&amp;amp;gt;&amp;amp;lt;RHSItem&amp;amp;gt;&amp;amp;lt;RHSType&amp;amp;gt;EXPRESSION&amp;amp;lt;/RHSType&amp;amp;gt;&amp;amp;lt;AddQuotes&amp;amp;gt;True&amp;amp;lt;/AddQuotes&amp;amp;gt;&amp;amp;lt;DateFormat&amp;amp;gt;None&amp;amp;lt;/DateFormat&amp;amp;gt;&amp;amp;lt;RightHandSideExpression&amp;amp;gt;MFPR01007'"</definedName>
    <definedName name="_AMO_ContentDefinition_485496469.1928" hidden="1">"'275&amp;amp;lt;/RightHandSideExpression&amp;amp;gt;&amp;amp;lt;IsSubquery&amp;amp;gt;False&amp;amp;lt;/IsSubquery&amp;amp;gt;&amp;amp;lt;SubqueryTemplateName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1929" hidden="1">"'AddQuotes&amp;amp;gt;True&amp;amp;lt;/AddQuotes&amp;amp;gt;&amp;amp;lt;DateFormat&amp;amp;gt;None&amp;amp;lt;/DateFormat&amp;amp;gt;&amp;amp;lt;RightHandSideExpression&amp;amp;gt;MFPR01007276&amp;amp;lt;/RightHandSideExpression&amp;amp;gt;&amp;amp;lt;IsSubquery&amp;amp;gt;False&amp;amp;lt;/IsSubquery&amp;amp;g'"</definedName>
    <definedName name="_AMO_ContentDefinition_485496469.193" hidden="1">"'6555',&amp;amp;#xD;&amp;amp;#xA;'MFPR01006556',&amp;amp;#xD;&amp;amp;#xA;'MFPR01006557',&amp;amp;#xD;&amp;amp;#xA;'MFPR01006558',&amp;amp;#xD;&amp;amp;#xA;'MFPR01006559',&amp;amp;#xD;&amp;amp;#xA;'MFPR01006560',&amp;amp;#xD;&amp;amp;#xA;'MFPR01006561',&amp;amp;#xD;&amp;amp;#xA;'MFPR01006562',&amp;amp;#xD;&amp;amp;'"</definedName>
    <definedName name="_AMO_ContentDefinition_485496469.1930"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485496469.1931" hidden="1">"'p;gt;&amp;amp;lt;RightHandSideExpression&amp;amp;gt;MFPR01007277&amp;amp;lt;/RightHandSideExpression&amp;amp;gt;&amp;amp;lt;IsSubquery&amp;amp;gt;False&amp;amp;lt;/IsSubquery&amp;amp;gt;&amp;amp;lt;SubqueryTemplateName /&amp;amp;gt;&amp;amp;lt;/RHSItem&amp;amp;gt;&amp;amp;lt;RHSItem&amp;amp;gt;&amp;amp;lt;RHST'"</definedName>
    <definedName name="_AMO_ContentDefinition_485496469.1932" hidden="1">"'ype&amp;amp;gt;EXPRESSION&amp;amp;lt;/RHSType&amp;amp;gt;&amp;amp;lt;AddQuotes&amp;amp;gt;True&amp;amp;lt;/AddQuotes&amp;amp;gt;&amp;amp;lt;DateFormat&amp;amp;gt;None&amp;amp;lt;/DateFormat&amp;amp;gt;&amp;amp;lt;RightHandSideExpression&amp;amp;gt;MFPR01007278&amp;amp;lt;/RightHandSideExpression&amp;amp;gt;&amp;am'"</definedName>
    <definedName name="_AMO_ContentDefinition_485496469.1933"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1934" hidden="1">"';&amp;amp;lt;DateFormat&amp;amp;gt;None&amp;amp;lt;/DateFormat&amp;amp;gt;&amp;amp;lt;RightHandSideExpression&amp;amp;gt;MFPR01007279&amp;amp;lt;/RightHandSideExpression&amp;amp;gt;&amp;amp;lt;IsSubquery&amp;amp;gt;False&amp;amp;lt;/IsSubquery&amp;amp;gt;&amp;amp;lt;SubqueryTemplateName /&amp;amp;gt;&amp;amp;l'"</definedName>
    <definedName name="_AMO_ContentDefinition_485496469.1935" hidden="1">"'t;/RHSItem&amp;amp;gt;&amp;amp;lt;RHSItem&amp;amp;gt;&amp;amp;lt;RHSType&amp;amp;gt;EXPRESSION&amp;amp;lt;/RHSType&amp;amp;gt;&amp;amp;lt;AddQuotes&amp;amp;gt;True&amp;amp;lt;/AddQuotes&amp;amp;gt;&amp;amp;lt;DateFormat&amp;amp;gt;None&amp;amp;lt;/DateFormat&amp;amp;gt;&amp;amp;lt;RightHandSideExpression&amp;amp;gt;MF'"</definedName>
    <definedName name="_AMO_ContentDefinition_485496469.1936" hidden="1">"'PR01007280&amp;amp;lt;/RightHandSideExpression&amp;amp;gt;&amp;amp;lt;IsSubquery&amp;amp;gt;False&amp;amp;lt;/IsSubquery&amp;amp;gt;&amp;amp;lt;SubqueryTemplateName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485496469.1937" hidden="1">"'amp;lt;AddQuotes&amp;amp;gt;True&amp;amp;lt;/AddQuotes&amp;amp;gt;&amp;amp;lt;DateFormat&amp;amp;gt;None&amp;amp;lt;/DateFormat&amp;amp;gt;&amp;amp;lt;RightHandSideExpression&amp;amp;gt;MFPR01007281&amp;amp;lt;/RightHandSideExpression&amp;amp;gt;&amp;amp;lt;IsSubquery&amp;amp;gt;False&amp;amp;lt;/IsSubquer'"</definedName>
    <definedName name="_AMO_ContentDefinition_485496469.1938"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485496469.1939" hidden="1">"'rmat&amp;amp;gt;&amp;amp;lt;RightHandSideExpression&amp;amp;gt;MFPR01007282&amp;amp;lt;/RightHandSideExpression&amp;amp;gt;&amp;amp;lt;IsSubquery&amp;amp;gt;False&amp;amp;lt;/IsSubquery&amp;amp;gt;&amp;amp;lt;SubqueryTemplateName /&amp;amp;gt;&amp;amp;lt;/RHSItem&amp;amp;gt;&amp;amp;lt;RHSItem&amp;amp;gt;&amp;amp;'"</definedName>
    <definedName name="_AMO_ContentDefinition_485496469.194" hidden="1">"'#xA;'MFPR01006563',&amp;amp;#xD;&amp;amp;#xA;'MFPR01006564',&amp;amp;#xD;&amp;amp;#xA;'MFPR01006565',&amp;amp;#xD;&amp;amp;#xA;'MFPR01006566',&amp;amp;#xD;&amp;amp;#xA;'MFPR01006567',&amp;amp;#xD;&amp;amp;#xA;'MFPR01006568',&amp;amp;#xD;&amp;amp;#xA;'MFPR01006569',&amp;amp;#xD;&amp;amp;#xA;'MFPR01006570',&amp;'"</definedName>
    <definedName name="_AMO_ContentDefinition_485496469.1940" hidden="1">"'lt;RHSType&amp;amp;gt;EXPRESSION&amp;amp;lt;/RHSType&amp;amp;gt;&amp;amp;lt;AddQuotes&amp;amp;gt;True&amp;amp;lt;/AddQuotes&amp;amp;gt;&amp;amp;lt;DateFormat&amp;amp;gt;None&amp;amp;lt;/DateFormat&amp;amp;gt;&amp;amp;lt;RightHandSideExpression&amp;amp;gt;MFPR01007283&amp;amp;lt;/RightHandSideExpression&amp;amp'"</definedName>
    <definedName name="_AMO_ContentDefinition_485496469.1941"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485496469.1942" hidden="1">"'&amp;amp;gt;&amp;amp;lt;DateFormat&amp;amp;gt;None&amp;amp;lt;/DateFormat&amp;amp;gt;&amp;amp;lt;RightHandSideExpression&amp;amp;gt;MFPR01007284&amp;amp;lt;/RightHandSideExpression&amp;amp;gt;&amp;amp;lt;IsSubquery&amp;amp;gt;False&amp;amp;lt;/IsSubquery&amp;amp;gt;&amp;amp;lt;SubqueryTemplateName /&amp;amp;gt'"</definedName>
    <definedName name="_AMO_ContentDefinition_485496469.1943" hidden="1">"';&amp;amp;lt;/RHSItem&amp;amp;gt;&amp;amp;lt;RHSItem&amp;amp;gt;&amp;amp;lt;RHSType&amp;amp;gt;EXPRESSION&amp;amp;lt;/RHSType&amp;amp;gt;&amp;amp;lt;AddQuotes&amp;amp;gt;True&amp;amp;lt;/AddQuotes&amp;amp;gt;&amp;amp;lt;DateFormat&amp;amp;gt;None&amp;amp;lt;/DateFormat&amp;amp;gt;&amp;amp;lt;RightHandSideExpression&amp;am'"</definedName>
    <definedName name="_AMO_ContentDefinition_485496469.1944" hidden="1">"'p;gt;MFPR01007285&amp;amp;lt;/RightHandSideExpression&amp;amp;gt;&amp;amp;lt;IsSubquery&amp;amp;gt;False&amp;amp;lt;/IsSubquery&amp;amp;gt;&amp;amp;lt;SubqueryTemplateName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485496469.1945" hidden="1">"'mp;gt;&amp;amp;lt;AddQuotes&amp;amp;gt;True&amp;amp;lt;/AddQuotes&amp;amp;gt;&amp;amp;lt;DateFormat&amp;amp;gt;None&amp;amp;lt;/DateFormat&amp;amp;gt;&amp;amp;lt;RightHandSideExpression&amp;amp;gt;MFPR01007286&amp;amp;lt;/RightHandSideExpression&amp;amp;gt;&amp;amp;lt;IsSubquery&amp;amp;gt;False&amp;amp;lt;/Is'"</definedName>
    <definedName name="_AMO_ContentDefinition_485496469.1946"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1947" hidden="1">"'/DateFormat&amp;amp;gt;&amp;amp;lt;RightHandSideExpression&amp;amp;gt;MFPR01007287&amp;amp;lt;/RightHandSideExpression&amp;amp;gt;&amp;amp;lt;IsSubquery&amp;amp;gt;False&amp;amp;lt;/IsSubquery&amp;amp;gt;&amp;amp;lt;SubqueryTemplateName /&amp;amp;gt;&amp;amp;lt;/RHSItem&amp;amp;gt;&amp;amp;lt;RHSItem&amp;amp;g'"</definedName>
    <definedName name="_AMO_ContentDefinition_485496469.1948" hidden="1">"'t;&amp;amp;lt;RHSType&amp;amp;gt;EXPRESSION&amp;amp;lt;/RHSType&amp;amp;gt;&amp;amp;lt;AddQuotes&amp;amp;gt;True&amp;amp;lt;/AddQuotes&amp;amp;gt;&amp;amp;lt;DateFormat&amp;amp;gt;None&amp;amp;lt;/DateFormat&amp;amp;gt;&amp;amp;lt;RightHandSideExpression&amp;amp;gt;MFPR01007288&amp;amp;lt;/RightHandSideExpress'"</definedName>
    <definedName name="_AMO_ContentDefinition_485496469.1949"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485496469.195" hidden="1">"'amp;#xD;&amp;amp;#xA;'MFPR01006571',&amp;amp;#xD;&amp;amp;#xA;'MFPR01006572',&amp;amp;#xD;&amp;amp;#xA;'MFPR01006573',&amp;amp;#xD;&amp;amp;#xA;'MFPR01006574',&amp;amp;#xD;&amp;amp;#xA;'MFPR01006575',&amp;amp;#xD;&amp;amp;#xA;'MFPR01006576',&amp;amp;#xD;&amp;amp;#xA;'MFPR01006577',&amp;amp;#xD;&amp;amp;#xA;'MF'"</definedName>
    <definedName name="_AMO_ContentDefinition_485496469.1950" hidden="1">"'dQuotes&amp;amp;gt;&amp;amp;lt;DateFormat&amp;amp;gt;None&amp;amp;lt;/DateFormat&amp;amp;gt;&amp;amp;lt;RightHandSideExpression&amp;amp;gt;MFPR01007289&amp;amp;lt;/RightHandSideExpression&amp;amp;gt;&amp;amp;lt;IsSubquery&amp;amp;gt;False&amp;amp;lt;/IsSubquery&amp;amp;gt;&amp;amp;lt;SubqueryTemplateName /'"</definedName>
    <definedName name="_AMO_ContentDefinition_485496469.1951"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485496469.1952" hidden="1">"'sion&amp;amp;gt;MFPR01007290&amp;amp;lt;/RightHandSideExpression&amp;amp;gt;&amp;amp;lt;IsSubquery&amp;amp;gt;False&amp;amp;lt;/IsSubquery&amp;amp;gt;&amp;amp;lt;SubqueryTemplateName /&amp;amp;gt;&amp;amp;lt;/RHSItem&amp;amp;gt;&amp;amp;lt;RHSItem&amp;amp;gt;&amp;amp;lt;RHSType&amp;amp;gt;EXPRESSION&amp;amp;lt;/RH'"</definedName>
    <definedName name="_AMO_ContentDefinition_485496469.1953" hidden="1">"'SType&amp;amp;gt;&amp;amp;lt;AddQuotes&amp;amp;gt;True&amp;amp;lt;/AddQuotes&amp;amp;gt;&amp;amp;lt;DateFormat&amp;amp;gt;None&amp;amp;lt;/DateFormat&amp;amp;gt;&amp;amp;lt;RightHandSideExpression&amp;amp;gt;MFPR01007291&amp;amp;lt;/RightHandSideExpression&amp;amp;gt;&amp;amp;lt;IsSubquery&amp;amp;gt;False&amp;amp'"</definedName>
    <definedName name="_AMO_ContentDefinition_485496469.1954"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485496469.1955" hidden="1">"'amp;lt;/DateFormat&amp;amp;gt;&amp;amp;lt;RightHandSideExpression&amp;amp;gt;MFPR01007292&amp;amp;lt;/RightHandSideExpression&amp;amp;gt;&amp;amp;lt;IsSubquery&amp;amp;gt;False&amp;amp;lt;/IsSubquery&amp;amp;gt;&amp;amp;lt;SubqueryTemplateName /&amp;amp;gt;&amp;amp;lt;/RHSItem&amp;amp;gt;&amp;amp;lt;RHSIte'"</definedName>
    <definedName name="_AMO_ContentDefinition_485496469.1956" hidden="1">"'m&amp;amp;gt;&amp;amp;lt;RHSType&amp;amp;gt;EXPRESSION&amp;amp;lt;/RHSType&amp;amp;gt;&amp;amp;lt;AddQuotes&amp;amp;gt;True&amp;amp;lt;/AddQuotes&amp;amp;gt;&amp;amp;lt;DateFormat&amp;amp;gt;None&amp;amp;lt;/DateFormat&amp;amp;gt;&amp;amp;lt;RightHandSideExpression&amp;amp;gt;MFPR01007293&amp;amp;lt;/RightHandSide'"</definedName>
    <definedName name="_AMO_ContentDefinition_485496469.1957"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1958" hidden="1">"';lt;/AddQuotes&amp;amp;gt;&amp;amp;lt;DateFormat&amp;amp;gt;None&amp;amp;lt;/DateFormat&amp;amp;gt;&amp;amp;lt;RightHandSideExpression&amp;amp;gt;MFPR01007294&amp;amp;lt;/RightHandSideExpression&amp;amp;gt;&amp;amp;lt;IsSubquery&amp;amp;gt;False&amp;amp;lt;/IsSubquery&amp;amp;gt;&amp;amp;lt;SubqueryTemplat'"</definedName>
    <definedName name="_AMO_ContentDefinition_485496469.1959"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485496469.196" hidden="1">"'PR01006578',&amp;amp;#xD;&amp;amp;#xA;'MFPR01006579',&amp;amp;#xD;&amp;amp;#xA;'MFPR01006580',&amp;amp;#xD;&amp;amp;#xA;'MFPR01006581',&amp;amp;#xD;&amp;amp;#xA;'MFPR01006582',&amp;amp;#xD;&amp;amp;#xA;'MFPR01006583',&amp;amp;#xD;&amp;amp;#xA;'MFPR01006584',&amp;amp;#xD;&amp;amp;#xA;'MFPR01006585',&amp;amp;#xD'"</definedName>
    <definedName name="_AMO_ContentDefinition_485496469.1960" hidden="1">"'eExpression&amp;amp;gt;MFPR01007295&amp;amp;lt;/RightHandSideExpression&amp;amp;gt;&amp;amp;lt;IsSubquery&amp;amp;gt;False&amp;amp;lt;/IsSubquery&amp;amp;gt;&amp;amp;lt;SubqueryTemplateName /&amp;amp;gt;&amp;amp;lt;/RHSItem&amp;amp;gt;&amp;amp;lt;RHSItem&amp;amp;gt;&amp;amp;lt;RHSType&amp;amp;gt;EXPRESSION&amp;amp'"</definedName>
    <definedName name="_AMO_ContentDefinition_485496469.1961" hidden="1">"';lt;/RHSType&amp;amp;gt;&amp;amp;lt;AddQuotes&amp;amp;gt;True&amp;amp;lt;/AddQuotes&amp;amp;gt;&amp;amp;lt;DateFormat&amp;amp;gt;None&amp;amp;lt;/DateFormat&amp;amp;gt;&amp;amp;lt;RightHandSideExpression&amp;amp;gt;MFPR01007296&amp;amp;lt;/RightHandSideExpression&amp;amp;gt;&amp;amp;lt;IsSubquery&amp;amp;gt;Fa'"</definedName>
    <definedName name="_AMO_ContentDefinition_485496469.1962"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485496469.1963" hidden="1">"'t;None&amp;amp;lt;/DateFormat&amp;amp;gt;&amp;amp;lt;RightHandSideExpression&amp;amp;gt;MFPR01007297&amp;amp;lt;/RightHandSideExpression&amp;amp;gt;&amp;amp;lt;IsSubquery&amp;amp;gt;False&amp;amp;lt;/IsSubquery&amp;amp;gt;&amp;amp;lt;SubqueryTemplateName /&amp;amp;gt;&amp;amp;lt;/RHSItem&amp;amp;gt;&amp;amp;lt'"</definedName>
    <definedName name="_AMO_ContentDefinition_485496469.1964" hidden="1">"';RHSItem&amp;amp;gt;&amp;amp;lt;RHSType&amp;amp;gt;EXPRESSION&amp;amp;lt;/RHSType&amp;amp;gt;&amp;amp;lt;AddQuotes&amp;amp;gt;True&amp;amp;lt;/AddQuotes&amp;amp;gt;&amp;amp;lt;DateFormat&amp;amp;gt;None&amp;amp;lt;/DateFormat&amp;amp;gt;&amp;amp;lt;RightHandSideExpression&amp;amp;gt;MFPR01007298&amp;amp;lt;/RightH'"</definedName>
    <definedName name="_AMO_ContentDefinition_485496469.1965"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485496469.1966" hidden="1">"'rue&amp;amp;lt;/AddQuotes&amp;amp;gt;&amp;amp;lt;DateFormat&amp;amp;gt;None&amp;amp;lt;/DateFormat&amp;amp;gt;&amp;amp;lt;RightHandSideExpression&amp;amp;gt;MFPR01007299&amp;amp;lt;/RightHandSideExpression&amp;amp;gt;&amp;amp;lt;IsSubquery&amp;amp;gt;False&amp;amp;lt;/IsSubquery&amp;amp;gt;&amp;amp;lt;Subquery'"</definedName>
    <definedName name="_AMO_ContentDefinition_485496469.1967"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485496469.1968" hidden="1">"'HandSideExpression&amp;amp;gt;MFPR01007300&amp;amp;lt;/RightHandSideExpression&amp;amp;gt;&amp;amp;lt;IsSubquery&amp;amp;gt;False&amp;amp;lt;/IsSubquery&amp;amp;gt;&amp;amp;lt;SubqueryTemplateName /&amp;amp;gt;&amp;amp;lt;/RHSItem&amp;amp;gt;&amp;amp;lt;RHSItem&amp;amp;gt;&amp;amp;lt;RHSType&amp;amp;gt;EXPRESS'"</definedName>
    <definedName name="_AMO_ContentDefinition_485496469.1969" hidden="1">"'ION&amp;amp;lt;/RHSType&amp;amp;gt;&amp;amp;lt;AddQuotes&amp;amp;gt;True&amp;amp;lt;/AddQuotes&amp;amp;gt;&amp;amp;lt;DateFormat&amp;amp;gt;None&amp;amp;lt;/DateFormat&amp;amp;gt;&amp;amp;lt;RightHandSideExpression&amp;amp;gt;MFPR01007301&amp;amp;lt;/RightHandSideExpression&amp;amp;gt;&amp;amp;lt;IsSubquery&amp;am'"</definedName>
    <definedName name="_AMO_ContentDefinition_485496469.197" hidden="1">"';&amp;amp;#xA;'MFPR01006586',&amp;amp;#xD;&amp;amp;#xA;'MFPR01006587',&amp;amp;#xD;&amp;amp;#xA;'MFPR01006588',&amp;amp;#xD;&amp;amp;#xA;'MFPR01006589',&amp;amp;#xD;&amp;amp;#xA;'MFPR01006590',&amp;amp;#xD;&amp;amp;#xA;'MFPR01006591',&amp;amp;#xD;&amp;amp;#xA;'MFPR01006592',&amp;amp;#xD;&amp;amp;#xA;'MFPR01006'"</definedName>
    <definedName name="_AMO_ContentDefinition_485496469.1970"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485496469.1971" hidden="1">"'t&amp;amp;gt;None&amp;amp;lt;/DateFormat&amp;amp;gt;&amp;amp;lt;RightHandSideExpression&amp;amp;gt;MFPR01007302&amp;amp;lt;/RightHandSideExpression&amp;amp;gt;&amp;amp;lt;IsSubquery&amp;amp;gt;False&amp;amp;lt;/IsSubquery&amp;amp;gt;&amp;amp;lt;SubqueryTemplateName /&amp;amp;gt;&amp;amp;lt;/RHSItem&amp;amp;gt;'"</definedName>
    <definedName name="_AMO_ContentDefinition_485496469.1972" hidden="1">"'&amp;amp;lt;RHSItem&amp;amp;gt;&amp;amp;lt;RHSType&amp;amp;gt;EXPRESSION&amp;amp;lt;/RHSType&amp;amp;gt;&amp;amp;lt;AddQuotes&amp;amp;gt;True&amp;amp;lt;/AddQuotes&amp;amp;gt;&amp;amp;lt;DateFormat&amp;amp;gt;None&amp;amp;lt;/DateFormat&amp;amp;gt;&amp;amp;lt;RightHandSideExpression&amp;amp;gt;MFPR01007303&amp;amp;lt;'"</definedName>
    <definedName name="_AMO_ContentDefinition_485496469.1973"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485496469.1974" hidden="1">"'mp;gt;True&amp;amp;lt;/AddQuotes&amp;amp;gt;&amp;amp;lt;DateFormat&amp;amp;gt;None&amp;amp;lt;/DateFormat&amp;amp;gt;&amp;amp;lt;RightHandSideExpression&amp;amp;gt;MFPR01007304&amp;amp;lt;/RightHandSideExpression&amp;amp;gt;&amp;amp;lt;IsSubquery&amp;amp;gt;False&amp;amp;lt;/IsSubquery&amp;amp;gt;&amp;amp;lt;S'"</definedName>
    <definedName name="_AMO_ContentDefinition_485496469.1975"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485496469.1976" hidden="1">"'t;RightHandSideExpression&amp;amp;gt;MFPR01007305&amp;amp;lt;/RightHandSideExpression&amp;amp;gt;&amp;amp;lt;IsSubquery&amp;amp;gt;False&amp;amp;lt;/IsSubquery&amp;amp;gt;&amp;amp;lt;SubqueryTemplateName /&amp;amp;gt;&amp;amp;lt;/RHSItem&amp;amp;gt;&amp;amp;lt;RHSItem&amp;amp;gt;&amp;amp;lt;RHSType&amp;amp;gt;'"</definedName>
    <definedName name="_AMO_ContentDefinition_485496469.1977" hidden="1">"'EXPRESSION&amp;amp;lt;/RHSType&amp;amp;gt;&amp;amp;lt;AddQuotes&amp;amp;gt;True&amp;amp;lt;/AddQuotes&amp;amp;gt;&amp;amp;lt;DateFormat&amp;amp;gt;None&amp;amp;lt;/DateFormat&amp;amp;gt;&amp;amp;lt;RightHandSideExpression&amp;amp;gt;MFPR01007306&amp;amp;lt;/RightHandSideExpression&amp;amp;gt;&amp;amp;lt;IsSubq'"</definedName>
    <definedName name="_AMO_ContentDefinition_485496469.1978"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485496469.1979" hidden="1">"'teFormat&amp;amp;gt;None&amp;amp;lt;/DateFormat&amp;amp;gt;&amp;amp;lt;RightHandSideExpression&amp;amp;gt;MFPR01007307&amp;amp;lt;/RightHandSideExpression&amp;amp;gt;&amp;amp;lt;IsSubquery&amp;amp;gt;False&amp;amp;lt;/IsSubquery&amp;amp;gt;&amp;amp;lt;SubqueryTemplateName /&amp;amp;gt;&amp;amp;lt;/RHSItem&amp;'"</definedName>
    <definedName name="_AMO_ContentDefinition_485496469.198" hidden="1">"'593',&amp;amp;#xD;&amp;amp;#xA;'MFPR01006594',&amp;amp;#xD;&amp;amp;#xA;'MFPR01006595',&amp;amp;#xD;&amp;amp;#xA;'MFPR01006596',&amp;amp;#xD;&amp;amp;#xA;'MFPR01006597',&amp;amp;#xD;&amp;amp;#xA;'MFPR01006598',&amp;amp;#xD;&amp;amp;#xA;'MFPR01006599',&amp;amp;#xD;&amp;amp;#xA;'MFPR01006600',&amp;amp;#xD;&amp;amp;#'"</definedName>
    <definedName name="_AMO_ContentDefinition_485496469.1980" hidden="1">"'amp;gt;&amp;amp;lt;RHSItem&amp;amp;gt;&amp;amp;lt;RHSType&amp;amp;gt;EXPRESSION&amp;amp;lt;/RHSType&amp;amp;gt;&amp;amp;lt;AddQuotes&amp;amp;gt;True&amp;amp;lt;/AddQuotes&amp;amp;gt;&amp;amp;lt;DateFormat&amp;amp;gt;None&amp;amp;lt;/DateFormat&amp;amp;gt;&amp;amp;lt;RightHandSideExpression&amp;amp;gt;MFPR01007308&amp;'"</definedName>
    <definedName name="_AMO_ContentDefinition_485496469.1981"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485496469.1982" hidden="1">"'uotes&amp;amp;gt;True&amp;amp;lt;/AddQuotes&amp;amp;gt;&amp;amp;lt;DateFormat&amp;amp;gt;None&amp;amp;lt;/DateFormat&amp;amp;gt;&amp;amp;lt;RightHandSideExpression&amp;amp;gt;MFPR01007309&amp;amp;lt;/RightHandSideExpression&amp;amp;gt;&amp;amp;lt;IsSubquery&amp;amp;gt;False&amp;amp;lt;/IsSubquery&amp;amp;gt;&amp;a'"</definedName>
    <definedName name="_AMO_ContentDefinition_485496469.1983"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1984" hidden="1">"';&amp;amp;lt;RightHandSideExpression&amp;amp;gt;MFPR01007310&amp;amp;lt;/RightHandSideExpression&amp;amp;gt;&amp;amp;lt;IsSubquery&amp;amp;gt;False&amp;amp;lt;/IsSubquery&amp;amp;gt;&amp;amp;lt;SubqueryTemplateName /&amp;amp;gt;&amp;amp;lt;/RHSItem&amp;amp;gt;&amp;amp;lt;RHSItem&amp;amp;gt;&amp;amp;lt;RHSType&amp;'"</definedName>
    <definedName name="_AMO_ContentDefinition_485496469.1985" hidden="1">"'amp;gt;EXPRESSION&amp;amp;lt;/RHSType&amp;amp;gt;&amp;amp;lt;AddQuotes&amp;amp;gt;True&amp;amp;lt;/AddQuotes&amp;amp;gt;&amp;amp;lt;DateFormat&amp;amp;gt;None&amp;amp;lt;/DateFormat&amp;amp;gt;&amp;amp;lt;RightHandSideExpression&amp;amp;gt;MFPR01007311&amp;amp;lt;/RightHandSideExpression&amp;amp;gt;&amp;amp;lt'"</definedName>
    <definedName name="_AMO_ContentDefinition_485496469.1986"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485496469.1987" hidden="1">"'p;lt;DateFormat&amp;amp;gt;None&amp;amp;lt;/DateFormat&amp;amp;gt;&amp;amp;lt;RightHandSideExpression&amp;amp;gt;MFPR01007312&amp;amp;lt;/RightHandSideExpression&amp;amp;gt;&amp;amp;lt;IsSubquery&amp;amp;gt;False&amp;amp;lt;/IsSubquery&amp;amp;gt;&amp;amp;lt;SubqueryTemplateName /&amp;amp;gt;&amp;amp;lt;/R'"</definedName>
    <definedName name="_AMO_ContentDefinition_485496469.1988" hidden="1">"'HSItem&amp;amp;gt;&amp;amp;lt;RHSItem&amp;amp;gt;&amp;amp;lt;RHSType&amp;amp;gt;EXPRESSION&amp;amp;lt;/RHSType&amp;amp;gt;&amp;amp;lt;AddQuotes&amp;amp;gt;True&amp;amp;lt;/AddQuotes&amp;amp;gt;&amp;amp;lt;DateFormat&amp;amp;gt;None&amp;amp;lt;/DateFormat&amp;amp;gt;&amp;amp;lt;RightHandSideExpression&amp;amp;gt;MFPR01'"</definedName>
    <definedName name="_AMO_ContentDefinition_485496469.1989" hidden="1">"'007313&amp;amp;lt;/RightHandSideExpression&amp;amp;gt;&amp;amp;lt;IsSubquery&amp;amp;gt;False&amp;amp;lt;/IsSubquery&amp;amp;gt;&amp;amp;lt;SubqueryTemplateName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199" hidden="1">"'xA;'MFPR01006601',&amp;amp;#xD;&amp;amp;#xA;'MFPR01006602',&amp;amp;#xD;&amp;amp;#xA;'MFPR01006603',&amp;amp;#xD;&amp;amp;#xA;'MFPR01006604',&amp;amp;#xD;&amp;amp;#xA;'MFPR01006605',&amp;amp;#xD;&amp;amp;#xA;'MFPR01006606',&amp;amp;#xD;&amp;amp;#xA;'MFPR01006607',&amp;amp;#xD;&amp;amp;#xA;'MFPR01006608',&amp;a'"</definedName>
    <definedName name="_AMO_ContentDefinition_485496469.1990" hidden="1">"'lt;AddQuotes&amp;amp;gt;True&amp;amp;lt;/AddQuotes&amp;amp;gt;&amp;amp;lt;DateFormat&amp;amp;gt;None&amp;amp;lt;/DateFormat&amp;amp;gt;&amp;amp;lt;RightHandSideExpression&amp;amp;gt;MFPR01007314&amp;amp;lt;/RightHandSideExpression&amp;amp;gt;&amp;amp;lt;IsSubquery&amp;amp;gt;False&amp;amp;lt;/IsSubquery&amp;am'"</definedName>
    <definedName name="_AMO_ContentDefinition_485496469.1991"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485496469.1992" hidden="1">"'&amp;amp;gt;&amp;amp;lt;RightHandSideExpression&amp;amp;gt;MFPR01007315&amp;amp;lt;/RightHandSideExpression&amp;amp;gt;&amp;amp;lt;IsSubquery&amp;amp;gt;False&amp;amp;lt;/IsSubquery&amp;amp;gt;&amp;amp;lt;SubqueryTemplateName /&amp;amp;gt;&amp;amp;lt;/RHSItem&amp;amp;gt;&amp;amp;lt;RHSItem&amp;amp;gt;&amp;amp;lt;R'"</definedName>
    <definedName name="_AMO_ContentDefinition_485496469.1993" hidden="1">"'HSType&amp;amp;gt;EXPRESSION&amp;amp;lt;/RHSType&amp;amp;gt;&amp;amp;lt;AddQuotes&amp;amp;gt;True&amp;amp;lt;/AddQuotes&amp;amp;gt;&amp;amp;lt;DateFormat&amp;amp;gt;None&amp;amp;lt;/DateFormat&amp;amp;gt;&amp;amp;lt;RightHandSideExpression&amp;amp;gt;MFPR01007316&amp;amp;lt;/RightHandSideExpression&amp;amp;gt;'"</definedName>
    <definedName name="_AMO_ContentDefinition_485496469.1994"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1995" hidden="1">"';gt;&amp;amp;lt;DateFormat&amp;amp;gt;None&amp;amp;lt;/DateFormat&amp;amp;gt;&amp;amp;lt;RightHandSideExpression&amp;amp;gt;MFPR01007317&amp;amp;lt;/RightHandSideExpression&amp;amp;gt;&amp;amp;lt;IsSubquery&amp;amp;gt;False&amp;amp;lt;/IsSubquery&amp;amp;gt;&amp;amp;lt;SubqueryTemplateName /&amp;amp;gt;&amp;am'"</definedName>
    <definedName name="_AMO_ContentDefinition_485496469.1996" hidden="1">"'p;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1997" hidden="1">"';MFPR01007318&amp;amp;lt;/RightHandSideExpression&amp;amp;gt;&amp;amp;lt;IsSubquery&amp;amp;gt;False&amp;amp;lt;/IsSubquery&amp;amp;gt;&amp;amp;lt;SubqueryTemplateName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485496469.1998" hidden="1">"'t;&amp;amp;lt;AddQuotes&amp;amp;gt;True&amp;amp;lt;/AddQuotes&amp;amp;gt;&amp;amp;lt;DateFormat&amp;amp;gt;None&amp;amp;lt;/DateFormat&amp;amp;gt;&amp;amp;lt;RightHandSideExpression&amp;amp;gt;MFPR01007319&amp;amp;lt;/RightHandSideExpression&amp;amp;gt;&amp;amp;lt;IsSubquery&amp;amp;gt;False&amp;amp;lt;/IsSubq'"</definedName>
    <definedName name="_AMO_ContentDefinition_485496469.1999"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485496469.2" hidden="1">"'True"" imgY=""0"" imgX=""0"" redirect=""False""&gt;_x000D_
  &lt;files /&gt;_x000D_
  &lt;parents /&gt;_x000D_
  &lt;children /&gt;_x000D_
  &lt;param n=""DisplayName"" v=""SASApp:METRICS.validation_metrics_prior10_view"" /&gt;_x000D_
  &lt;param n=""DisplayType"" v=""Data Set"" /&gt;_x000D_
  &lt;param n=""AMO_Version'"</definedName>
    <definedName name="_AMO_ContentDefinition_485496469.20" hidden="1">"'MFPR01000113',&amp;#xD;&amp;#xA;'MFPR01000128',&amp;#xD;&amp;#xA;'MFPR01000131',&amp;#xD;&amp;#xA;'MFPR01000135',&amp;#xD;&amp;#xA;'MFPR01000136',&amp;#xD;&amp;#xA;'MFPR01000137',&amp;#xD;&amp;#xA;'MFPR01000138',&amp;#xD;&amp;#xA;'MFPR01000139',&amp;#xD;&amp;#xA;'MFPR01000140',&amp;#xD;&amp;#xA;'MFPR01000141',&amp;#xD;&amp;#xA;'M'"</definedName>
    <definedName name="_AMO_ContentDefinition_485496469.200" hidden="1">"'mp;#xD;&amp;amp;#xA;'MFPR01006609',&amp;amp;#xD;&amp;amp;#xA;'MFPR01006610',&amp;amp;#xD;&amp;amp;#xA;'MFPR01006611',&amp;amp;#xD;&amp;amp;#xA;'MFPR01006612',&amp;amp;#xD;&amp;amp;#xA;'MFPR01006613',&amp;amp;#xD;&amp;amp;#xA;'MFPR01006614',&amp;amp;#xD;&amp;amp;#xA;'MFPR01006615',&amp;amp;#xD;&amp;amp;#xA;'MFP'"</definedName>
    <definedName name="_AMO_ContentDefinition_485496469.2000" hidden="1">"'eFormat&amp;amp;gt;&amp;amp;lt;RightHandSideExpression&amp;amp;gt;MFPR01007320&amp;amp;lt;/RightHandSideExpression&amp;amp;gt;&amp;amp;lt;IsSubquery&amp;amp;gt;False&amp;amp;lt;/IsSubquery&amp;amp;gt;&amp;amp;lt;SubqueryTemplateName /&amp;amp;gt;&amp;amp;lt;/RHSItem&amp;amp;gt;&amp;amp;lt;RHSItem&amp;amp;gt;&amp;a'"</definedName>
    <definedName name="_AMO_ContentDefinition_485496469.2001" hidden="1">"'mp;lt;RHSType&amp;amp;gt;EXPRESSION&amp;amp;lt;/RHSType&amp;amp;gt;&amp;amp;lt;AddQuotes&amp;amp;gt;True&amp;amp;lt;/AddQuotes&amp;amp;gt;&amp;amp;lt;DateFormat&amp;amp;gt;None&amp;amp;lt;/DateFormat&amp;amp;gt;&amp;amp;lt;RightHandSideExpression&amp;amp;gt;MFPR01007321&amp;amp;lt;/RightHandSideExpression&amp;'"</definedName>
    <definedName name="_AMO_ContentDefinition_485496469.2002"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485496469.2003" hidden="1">"'tes&amp;amp;gt;&amp;amp;lt;DateFormat&amp;amp;gt;None&amp;amp;lt;/DateFormat&amp;amp;gt;&amp;amp;lt;RightHandSideExpression&amp;amp;gt;MFPR01007322&amp;amp;lt;/RightHandSideExpression&amp;amp;gt;&amp;amp;lt;IsSubquery&amp;amp;gt;False&amp;amp;lt;/IsSubquery&amp;amp;gt;&amp;amp;lt;SubqueryTemplateName /&amp;amp'"</definedName>
    <definedName name="_AMO_ContentDefinition_485496469.2004"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485496469.2005" hidden="1">"'&amp;amp;gt;MFPR01007323&amp;amp;lt;/RightHandSideExpression&amp;amp;gt;&amp;amp;lt;IsSubquery&amp;amp;gt;False&amp;amp;lt;/IsSubquery&amp;amp;gt;&amp;amp;lt;SubqueryTemplateName /&amp;amp;gt;&amp;amp;lt;/RHSItem&amp;amp;gt;&amp;amp;lt;RHSItem&amp;amp;gt;&amp;amp;lt;RHSType&amp;amp;gt;EXPRESSION&amp;amp;lt;/RHSTyp'"</definedName>
    <definedName name="_AMO_ContentDefinition_485496469.2006" hidden="1">"'e&amp;amp;gt;&amp;amp;lt;AddQuotes&amp;amp;gt;True&amp;amp;lt;/AddQuotes&amp;amp;gt;&amp;amp;lt;DateFormat&amp;amp;gt;None&amp;amp;lt;/DateFormat&amp;amp;gt;&amp;amp;lt;RightHandSideExpression&amp;amp;gt;MFPR01007324&amp;amp;lt;/RightHandSideExpression&amp;amp;gt;&amp;amp;lt;IsSubquery&amp;amp;gt;False&amp;amp;lt;'"</definedName>
    <definedName name="_AMO_ContentDefinition_485496469.2007"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2008" hidden="1">"'lt;/DateFormat&amp;amp;gt;&amp;amp;lt;RightHandSideExpression&amp;amp;gt;MFPR01007325&amp;amp;lt;/RightHandSideExpression&amp;amp;gt;&amp;amp;lt;IsSubquery&amp;amp;gt;False&amp;amp;lt;/IsSubquery&amp;amp;gt;&amp;amp;lt;SubqueryTemplateName /&amp;amp;gt;&amp;amp;lt;/RHSItem&amp;amp;gt;&amp;amp;lt;RHSItem&amp;am'"</definedName>
    <definedName name="_AMO_ContentDefinition_485496469.2009" hidden="1">"'p;gt;&amp;amp;lt;RHSType&amp;amp;gt;EXPRESSION&amp;amp;lt;/RHSType&amp;amp;gt;&amp;amp;lt;AddQuotes&amp;amp;gt;True&amp;amp;lt;/AddQuotes&amp;amp;gt;&amp;amp;lt;DateFormat&amp;amp;gt;None&amp;amp;lt;/DateFormat&amp;amp;gt;&amp;amp;lt;RightHandSideExpression&amp;amp;gt;MFPR01007326&amp;amp;lt;/RightHandSideExpr'"</definedName>
    <definedName name="_AMO_ContentDefinition_485496469.201" hidden="1">"'R01006616',&amp;amp;#xD;&amp;amp;#xA;'MFPR01006617',&amp;amp;#xD;&amp;amp;#xA;'MFPR01006618',&amp;amp;#xD;&amp;amp;#xA;'MFPR01006619',&amp;amp;#xD;&amp;amp;#xA;'MFPR01006620',&amp;amp;#xD;&amp;amp;#xA;'MFPR01006621',&amp;amp;#xD;&amp;amp;#xA;'MFPR01006622',&amp;amp;#xD;&amp;amp;#xA;'MFPR01006623',&amp;amp;#xD;'"</definedName>
    <definedName name="_AMO_ContentDefinition_485496469.2010"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2011" hidden="1">"'/AddQuotes&amp;amp;gt;&amp;amp;lt;DateFormat&amp;amp;gt;None&amp;amp;lt;/DateFormat&amp;amp;gt;&amp;amp;lt;RightHandSideExpression&amp;amp;gt;MFPR01007327&amp;amp;lt;/RightHandSideExpression&amp;amp;gt;&amp;amp;lt;IsSubquery&amp;amp;gt;False&amp;amp;lt;/IsSubquery&amp;amp;gt;&amp;amp;lt;SubqueryTemplateNam'"</definedName>
    <definedName name="_AMO_ContentDefinition_485496469.2012"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485496469.2013" hidden="1">"'ression&amp;amp;gt;MFPR01007328&amp;amp;lt;/RightHandSideExpression&amp;amp;gt;&amp;amp;lt;IsSubquery&amp;amp;gt;False&amp;amp;lt;/IsSubquery&amp;amp;gt;&amp;amp;lt;SubqueryTemplateName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2014" hidden="1">"'/RHSType&amp;amp;gt;&amp;amp;lt;AddQuotes&amp;amp;gt;True&amp;amp;lt;/AddQuotes&amp;amp;gt;&amp;amp;lt;DateFormat&amp;amp;gt;None&amp;amp;lt;/DateFormat&amp;amp;gt;&amp;amp;lt;RightHandSideExpression&amp;amp;gt;MFPR01007329&amp;amp;lt;/RightHandSideExpression&amp;amp;gt;&amp;amp;lt;IsSubquery&amp;amp;gt;False&amp;'"</definedName>
    <definedName name="_AMO_ContentDefinition_485496469.2015"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485496469.2016" hidden="1">"'ne&amp;amp;lt;/DateFormat&amp;amp;gt;&amp;amp;lt;RightHandSideExpression&amp;amp;gt;MFPR01007330&amp;amp;lt;/RightHandSideExpression&amp;amp;gt;&amp;amp;lt;IsSubquery&amp;amp;gt;False&amp;amp;lt;/IsSubquery&amp;amp;gt;&amp;amp;lt;SubqueryTemplateName /&amp;amp;gt;&amp;amp;lt;/RHSItem&amp;amp;gt;&amp;amp;lt;RHS'"</definedName>
    <definedName name="_AMO_ContentDefinition_485496469.2017" hidden="1">"'Item&amp;amp;gt;&amp;amp;lt;RHSType&amp;amp;gt;EXPRESSION&amp;amp;lt;/RHSType&amp;amp;gt;&amp;amp;lt;AddQuotes&amp;amp;gt;True&amp;amp;lt;/AddQuotes&amp;amp;gt;&amp;amp;lt;DateFormat&amp;amp;gt;None&amp;amp;lt;/DateFormat&amp;amp;gt;&amp;amp;lt;RightHandSideExpression&amp;amp;gt;MFPR01007331&amp;amp;lt;/RightHandS'"</definedName>
    <definedName name="_AMO_ContentDefinition_485496469.2018"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485496469.2019" hidden="1">"'amp;lt;/AddQuotes&amp;amp;gt;&amp;amp;lt;DateFormat&amp;amp;gt;None&amp;amp;lt;/DateFormat&amp;amp;gt;&amp;amp;lt;RightHandSideExpression&amp;amp;gt;MFPR01007332&amp;amp;lt;/RightHandSideExpression&amp;amp;gt;&amp;amp;lt;IsSubquery&amp;amp;gt;False&amp;amp;lt;/IsSubquery&amp;amp;gt;&amp;amp;lt;SubqueryTemp'"</definedName>
    <definedName name="_AMO_ContentDefinition_485496469.202" hidden="1">"'&amp;amp;#xA;'MFPR01006624',&amp;amp;#xD;&amp;amp;#xA;'MFPR01006625',&amp;amp;#xD;&amp;amp;#xA;'MFPR01006626',&amp;amp;#xD;&amp;amp;#xA;'MFPR01006627',&amp;amp;#xD;&amp;amp;#xA;'MFPR01006628',&amp;amp;#xD;&amp;amp;#xA;'MFPR01006629',&amp;amp;#xD;&amp;amp;#xA;'MFPR01006630',&amp;amp;#xD;&amp;amp;#xA;'MFPR010066'"</definedName>
    <definedName name="_AMO_ContentDefinition_485496469.2020"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485496469.2021" hidden="1">"'SideExpression&amp;amp;gt;MFPR01007333&amp;amp;lt;/RightHandSideExpression&amp;amp;gt;&amp;amp;lt;IsSubquery&amp;amp;gt;False&amp;amp;lt;/IsSubquery&amp;amp;gt;&amp;amp;lt;SubqueryTemplateName /&amp;amp;gt;&amp;amp;lt;/RHSItem&amp;amp;gt;&amp;amp;lt;RHSItem&amp;amp;gt;&amp;amp;lt;RHSType&amp;amp;gt;EXPRESSION&amp;'"</definedName>
    <definedName name="_AMO_ContentDefinition_485496469.2022" hidden="1">"'amp;lt;/RHSType&amp;amp;gt;&amp;amp;lt;AddQuotes&amp;amp;gt;True&amp;amp;lt;/AddQuotes&amp;amp;gt;&amp;amp;lt;DateFormat&amp;amp;gt;None&amp;amp;lt;/DateFormat&amp;amp;gt;&amp;amp;lt;RightHandSideExpression&amp;amp;gt;MFPR01007334&amp;amp;lt;/RightHandSideExpression&amp;amp;gt;&amp;amp;lt;IsSubquery&amp;amp;gt'"</definedName>
    <definedName name="_AMO_ContentDefinition_485496469.2023"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485496469.2024" hidden="1">"'p;gt;None&amp;amp;lt;/DateFormat&amp;amp;gt;&amp;amp;lt;RightHandSideExpression&amp;amp;gt;MFPR01007335&amp;amp;lt;/RightHandSideExpression&amp;amp;gt;&amp;amp;lt;IsSubquery&amp;amp;gt;False&amp;amp;lt;/IsSubquery&amp;amp;gt;&amp;amp;lt;SubqueryTemplateName /&amp;amp;gt;&amp;amp;lt;/RHSItem&amp;amp;gt;&amp;amp'"</definedName>
    <definedName name="_AMO_ContentDefinition_485496469.2025" hidden="1">"';lt;RHSItem&amp;amp;gt;&amp;amp;lt;RHSType&amp;amp;gt;EXPRESSION&amp;amp;lt;/RHSType&amp;amp;gt;&amp;amp;lt;AddQuotes&amp;amp;gt;True&amp;amp;lt;/AddQuotes&amp;amp;gt;&amp;amp;lt;DateFormat&amp;amp;gt;None&amp;amp;lt;/DateFormat&amp;amp;gt;&amp;amp;lt;RightHandSideExpression&amp;amp;gt;MFPR01007336&amp;amp;lt;/Rig'"</definedName>
    <definedName name="_AMO_ContentDefinition_485496469.2026"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485496469.2027" hidden="1">"'t;True&amp;amp;lt;/AddQuotes&amp;amp;gt;&amp;amp;lt;DateFormat&amp;amp;gt;None&amp;amp;lt;/DateFormat&amp;amp;gt;&amp;amp;lt;RightHandSideExpression&amp;amp;gt;MFPR01007337&amp;amp;lt;/RightHandSideExpression&amp;amp;gt;&amp;amp;lt;IsSubquery&amp;amp;gt;False&amp;amp;lt;/IsSubquery&amp;amp;gt;&amp;amp;lt;Subqu'"</definedName>
    <definedName name="_AMO_ContentDefinition_485496469.2028"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485496469.2029" hidden="1">"'ghtHandSideExpression&amp;amp;gt;MFPR01007338&amp;amp;lt;/RightHandSideExpression&amp;amp;gt;&amp;amp;lt;IsSubquery&amp;amp;gt;False&amp;amp;lt;/IsSubquery&amp;amp;gt;&amp;amp;lt;SubqueryTemplateName /&amp;amp;gt;&amp;amp;lt;/RHSItem&amp;amp;gt;&amp;amp;lt;RHSItem&amp;amp;gt;&amp;amp;lt;RHSType&amp;amp;gt;EXPR'"</definedName>
    <definedName name="_AMO_ContentDefinition_485496469.203" hidden="1">"'31',&amp;amp;#xD;&amp;amp;#xA;'MFPR01006632',&amp;amp;#xD;&amp;amp;#xA;'MFPR01006633',&amp;amp;#xD;&amp;amp;#xA;'MFPR01006634',&amp;amp;#xD;&amp;amp;#xA;'MFPR01006635',&amp;amp;#xD;&amp;amp;#xA;'MFPR01006636',&amp;amp;#xD;&amp;amp;#xA;'MFPR01006637',&amp;amp;#xD;&amp;amp;#xA;'MFPR01006638',&amp;amp;#xD;&amp;amp;#x'"</definedName>
    <definedName name="_AMO_ContentDefinition_485496469.2030" hidden="1">"'ESSION&amp;amp;lt;/RHSType&amp;amp;gt;&amp;amp;lt;AddQuotes&amp;amp;gt;True&amp;amp;lt;/AddQuotes&amp;amp;gt;&amp;amp;lt;DateFormat&amp;amp;gt;None&amp;amp;lt;/DateFormat&amp;amp;gt;&amp;amp;lt;RightHandSideExpression&amp;amp;gt;MFPR01007339&amp;amp;lt;/RightHandSideExpression&amp;amp;gt;&amp;amp;lt;IsSubquery'"</definedName>
    <definedName name="_AMO_ContentDefinition_485496469.2031"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485496469.2032" hidden="1">"'rmat&amp;amp;gt;None&amp;amp;lt;/DateFormat&amp;amp;gt;&amp;amp;lt;RightHandSideExpression&amp;amp;gt;MFPR01007340&amp;amp;lt;/RightHandSideExpression&amp;amp;gt;&amp;amp;lt;IsSubquery&amp;amp;gt;False&amp;amp;lt;/IsSubquery&amp;amp;gt;&amp;amp;lt;SubqueryTemplateName /&amp;amp;gt;&amp;amp;lt;/RHSItem&amp;amp;'"</definedName>
    <definedName name="_AMO_ContentDefinition_485496469.2033" hidden="1">"'gt;&amp;amp;lt;RHSItem&amp;amp;gt;&amp;amp;lt;RHSType&amp;amp;gt;EXPRESSION&amp;amp;lt;/RHSType&amp;amp;gt;&amp;amp;lt;AddQuotes&amp;amp;gt;True&amp;amp;lt;/AddQuotes&amp;amp;gt;&amp;amp;lt;DateFormat&amp;amp;gt;None&amp;amp;lt;/DateFormat&amp;amp;gt;&amp;amp;lt;RightHandSideExpression&amp;amp;gt;MFPR01007341&amp;amp;'"</definedName>
    <definedName name="_AMO_ContentDefinition_485496469.2034"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485496469.2035" hidden="1">"'s&amp;amp;gt;True&amp;amp;lt;/AddQuotes&amp;amp;gt;&amp;amp;lt;DateFormat&amp;amp;gt;None&amp;amp;lt;/DateFormat&amp;amp;gt;&amp;amp;lt;RightHandSideExpression&amp;amp;gt;MFPR01007342&amp;amp;lt;/RightHandSideExpression&amp;amp;gt;&amp;amp;lt;IsSubquery&amp;amp;gt;False&amp;amp;lt;/IsSubquery&amp;amp;gt;&amp;amp;l'"</definedName>
    <definedName name="_AMO_ContentDefinition_485496469.2036"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485496469.2037" hidden="1">"'p;lt;RightHandSideExpression&amp;amp;gt;MFPR01007343&amp;amp;lt;/RightHandSideExpression&amp;amp;gt;&amp;amp;lt;IsSubquery&amp;amp;gt;False&amp;amp;lt;/IsSubquery&amp;amp;gt;&amp;amp;lt;SubqueryTemplateName /&amp;amp;gt;&amp;amp;lt;/RHSItem&amp;amp;gt;&amp;amp;lt;RHSItem&amp;amp;gt;&amp;amp;lt;RHSType&amp;amp;'"</definedName>
    <definedName name="_AMO_ContentDefinition_485496469.2038" hidden="1">"'gt;EXPRESSION&amp;amp;lt;/RHSType&amp;amp;gt;&amp;amp;lt;AddQuotes&amp;amp;gt;True&amp;amp;lt;/AddQuotes&amp;amp;gt;&amp;amp;lt;DateFormat&amp;amp;gt;None&amp;amp;lt;/DateFormat&amp;amp;gt;&amp;amp;lt;RightHandSideExpression&amp;amp;gt;MFPR01007344&amp;amp;lt;/RightHandSideExpression&amp;amp;gt;&amp;amp;lt;IsS'"</definedName>
    <definedName name="_AMO_ContentDefinition_485496469.2039"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204" hidden="1">"'A;'MFPR01006639',&amp;amp;#xD;&amp;amp;#xA;'MFPR01006640',&amp;amp;#xD;&amp;amp;#xA;'MFPR01006641',&amp;amp;#xD;&amp;amp;#xA;'MFPR01006642',&amp;amp;#xD;&amp;amp;#xA;'MFPR01006643',&amp;amp;#xD;&amp;amp;#xA;'MFPR01006644',&amp;amp;#xD;&amp;amp;#xA;'MFPR01006645',&amp;amp;#xD;&amp;amp;#xA;'MFPR01006646',&amp;am'"</definedName>
    <definedName name="_AMO_ContentDefinition_485496469.2040" hidden="1">"';DateFormat&amp;amp;gt;None&amp;amp;lt;/DateFormat&amp;amp;gt;&amp;amp;lt;RightHandSideExpression&amp;amp;gt;MFPR01007345&amp;amp;lt;/RightHandSideExpression&amp;amp;gt;&amp;amp;lt;IsSubquery&amp;amp;gt;False&amp;amp;lt;/IsSubquery&amp;amp;gt;&amp;amp;lt;SubqueryTemplateName /&amp;amp;gt;&amp;amp;lt;/RHSIt'"</definedName>
    <definedName name="_AMO_ContentDefinition_485496469.2041" hidden="1">"'em&amp;amp;gt;&amp;amp;lt;RHSItem&amp;amp;gt;&amp;amp;lt;RHSType&amp;amp;gt;EXPRESSION&amp;amp;lt;/RHSType&amp;amp;gt;&amp;amp;lt;AddQuotes&amp;amp;gt;True&amp;amp;lt;/AddQuotes&amp;amp;gt;&amp;amp;lt;DateFormat&amp;amp;gt;None&amp;amp;lt;/DateFormat&amp;amp;gt;&amp;amp;lt;RightHandSideExpression&amp;amp;gt;MFPR010073'"</definedName>
    <definedName name="_AMO_ContentDefinition_485496469.2042" hidden="1">"'46&amp;amp;lt;/RightHandSideExpression&amp;amp;gt;&amp;amp;lt;IsSubquery&amp;amp;gt;False&amp;amp;lt;/IsSubquery&amp;amp;gt;&amp;amp;lt;SubqueryTemplateName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485496469.2043" hidden="1">"'ddQuotes&amp;amp;gt;True&amp;amp;lt;/AddQuotes&amp;amp;gt;&amp;amp;lt;DateFormat&amp;amp;gt;None&amp;amp;lt;/DateFormat&amp;amp;gt;&amp;amp;lt;RightHandSideExpression&amp;amp;gt;MFPR01007347&amp;amp;lt;/RightHandSideExpression&amp;amp;gt;&amp;amp;lt;IsSubquery&amp;amp;gt;False&amp;amp;lt;/IsSubquery&amp;amp;gt'"</definedName>
    <definedName name="_AMO_ContentDefinition_485496469.2044"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2045" hidden="1">"';gt;&amp;amp;lt;RightHandSideExpression&amp;amp;gt;MFPR01007348&amp;amp;lt;/RightHandSideExpression&amp;amp;gt;&amp;amp;lt;IsSubquery&amp;amp;gt;False&amp;amp;lt;/IsSubquery&amp;amp;gt;&amp;amp;lt;SubqueryTemplateName /&amp;amp;gt;&amp;amp;lt;/RHSItem&amp;amp;gt;&amp;amp;lt;RHSItem&amp;amp;gt;&amp;amp;lt;RHSTy'"</definedName>
    <definedName name="_AMO_ContentDefinition_485496469.2046" hidden="1">"'pe&amp;amp;gt;EXPRESSION&amp;amp;lt;/RHSType&amp;amp;gt;&amp;amp;lt;AddQuotes&amp;amp;gt;True&amp;amp;lt;/AddQuotes&amp;amp;gt;&amp;amp;lt;DateFormat&amp;amp;gt;None&amp;amp;lt;/DateFormat&amp;amp;gt;&amp;amp;lt;RightHandSideExpression&amp;amp;gt;MFPR01007349&amp;amp;lt;/RightHandSideExpression&amp;amp;gt;&amp;amp'"</definedName>
    <definedName name="_AMO_ContentDefinition_485496469.2047"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2048" hidden="1">"'&amp;amp;lt;DateFormat&amp;amp;gt;None&amp;amp;lt;/DateFormat&amp;amp;gt;&amp;amp;lt;RightHandSideExpression&amp;amp;gt;MFPR01007350&amp;amp;lt;/RightHandSideExpression&amp;amp;gt;&amp;amp;lt;IsSubquery&amp;amp;gt;False&amp;amp;lt;/IsSubquery&amp;amp;gt;&amp;amp;lt;SubqueryTemplateName /&amp;amp;gt;&amp;amp;lt'"</definedName>
    <definedName name="_AMO_ContentDefinition_485496469.2049" hidden="1">"';/RHSItem&amp;amp;gt;&amp;amp;lt;RHSItem&amp;amp;gt;&amp;amp;lt;RHSType&amp;amp;gt;EXPRESSION&amp;amp;lt;/RHSType&amp;amp;gt;&amp;amp;lt;AddQuotes&amp;amp;gt;True&amp;amp;lt;/AddQuotes&amp;amp;gt;&amp;amp;lt;DateFormat&amp;amp;gt;None&amp;amp;lt;/DateFormat&amp;amp;gt;&amp;amp;lt;RightHandSideExpression&amp;amp;gt;MFP'"</definedName>
    <definedName name="_AMO_ContentDefinition_485496469.205" hidden="1">"'p;#xD;&amp;amp;#xA;'MFPR01006647',&amp;amp;#xD;&amp;amp;#xA;'MFPR01006648',&amp;amp;#xD;&amp;amp;#xA;'MFPR01006649',&amp;amp;#xD;&amp;amp;#xA;'MFPR01006650',&amp;amp;#xD;&amp;amp;#xA;'MFPR01006651',&amp;amp;#xD;&amp;amp;#xA;'MFPR01006652',&amp;amp;#xD;&amp;amp;#xA;'MFPR01006653',&amp;amp;#xD;&amp;amp;#xA;'MFPR'"</definedName>
    <definedName name="_AMO_ContentDefinition_485496469.2050" hidden="1">"'R01007351&amp;amp;lt;/RightHandSideExpression&amp;amp;gt;&amp;amp;lt;IsSubquery&amp;amp;gt;False&amp;amp;lt;/IsSubquery&amp;amp;gt;&amp;amp;lt;SubqueryTemplateName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485496469.2051" hidden="1">"'mp;lt;AddQuotes&amp;amp;gt;True&amp;amp;lt;/AddQuotes&amp;amp;gt;&amp;amp;lt;DateFormat&amp;amp;gt;None&amp;amp;lt;/DateFormat&amp;amp;gt;&amp;amp;lt;RightHandSideExpression&amp;amp;gt;MFPR01007352&amp;amp;lt;/RightHandSideExpression&amp;amp;gt;&amp;amp;lt;IsSubquery&amp;amp;gt;False&amp;amp;lt;/IsSubquery'"</definedName>
    <definedName name="_AMO_ContentDefinition_485496469.2052"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485496469.2053" hidden="1">"'mat&amp;amp;gt;&amp;amp;lt;RightHandSideExpression&amp;amp;gt;MFPR01007353&amp;amp;lt;/RightHandSideExpression&amp;amp;gt;&amp;amp;lt;IsSubquery&amp;amp;gt;False&amp;amp;lt;/IsSubquery&amp;amp;gt;&amp;amp;lt;SubqueryTemplateName /&amp;amp;gt;&amp;amp;lt;/RHSItem&amp;amp;gt;&amp;amp;lt;RHSItem&amp;amp;gt;&amp;amp;l'"</definedName>
    <definedName name="_AMO_ContentDefinition_485496469.2054" hidden="1">"'t;RHSType&amp;amp;gt;EXPRESSION&amp;amp;lt;/RHSType&amp;amp;gt;&amp;amp;lt;AddQuotes&amp;amp;gt;True&amp;amp;lt;/AddQuotes&amp;amp;gt;&amp;amp;lt;DateFormat&amp;amp;gt;None&amp;amp;lt;/DateFormat&amp;amp;gt;&amp;amp;lt;RightHandSideExpression&amp;amp;gt;MFPR01007354&amp;amp;lt;/RightHandSideExpression&amp;amp;'"</definedName>
    <definedName name="_AMO_ContentDefinition_485496469.2055"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485496469.2056" hidden="1">"'amp;gt;&amp;amp;lt;DateFormat&amp;amp;gt;None&amp;amp;lt;/DateFormat&amp;amp;gt;&amp;amp;lt;RightHandSideExpression&amp;amp;gt;MFPR01007355&amp;amp;lt;/RightHandSideExpression&amp;amp;gt;&amp;amp;lt;IsSubquery&amp;amp;gt;False&amp;amp;lt;/IsSubquery&amp;amp;gt;&amp;amp;lt;SubqueryTemplateName /&amp;amp;gt;'"</definedName>
    <definedName name="_AMO_ContentDefinition_485496469.2057" hidden="1">"'&amp;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2058" hidden="1">"';gt;MFPR01007356&amp;amp;lt;/RightHandSideExpression&amp;amp;gt;&amp;amp;lt;IsSubquery&amp;amp;gt;False&amp;amp;lt;/IsSubquery&amp;amp;gt;&amp;amp;lt;SubqueryTemplateName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485496469.2059" hidden="1">"'p;gt;&amp;amp;lt;AddQuotes&amp;amp;gt;True&amp;amp;lt;/AddQuotes&amp;amp;gt;&amp;amp;lt;DateFormat&amp;amp;gt;None&amp;amp;lt;/DateFormat&amp;amp;gt;&amp;amp;lt;RightHandSideExpression&amp;amp;gt;MFPR01007357&amp;amp;lt;/RightHandSideExpression&amp;amp;gt;&amp;amp;lt;IsSubquery&amp;amp;gt;False&amp;amp;lt;/IsS'"</definedName>
    <definedName name="_AMO_ContentDefinition_485496469.206" hidden="1">"'01006654',&amp;amp;#xD;&amp;amp;#xA;'MFPR01006655',&amp;amp;#xD;&amp;amp;#xA;'MFPR01006656',&amp;amp;#xD;&amp;amp;#xA;'MFPR01006657',&amp;amp;#xD;&amp;amp;#xA;'MFPR01006658',&amp;amp;#xD;&amp;amp;#xA;'MFPR01006659',&amp;amp;#xD;&amp;amp;#xA;'MFPR01006660',&amp;amp;#xD;&amp;amp;#xA;'MFPR01006661',&amp;amp;#xD;&amp;'"</definedName>
    <definedName name="_AMO_ContentDefinition_485496469.2060"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2061" hidden="1">"'DateFormat&amp;amp;gt;&amp;amp;lt;RightHandSideExpression&amp;amp;gt;MFPR01007358&amp;amp;lt;/RightHandSideExpression&amp;amp;gt;&amp;amp;lt;IsSubquery&amp;amp;gt;False&amp;amp;lt;/IsSubquery&amp;amp;gt;&amp;amp;lt;SubqueryTemplateName /&amp;amp;gt;&amp;amp;lt;/RHSItem&amp;amp;gt;&amp;amp;lt;RHSItem&amp;amp;gt'"</definedName>
    <definedName name="_AMO_ContentDefinition_485496469.2062" hidden="1">"';&amp;amp;lt;RHSType&amp;amp;gt;EXPRESSION&amp;amp;lt;/RHSType&amp;amp;gt;&amp;amp;lt;AddQuotes&amp;amp;gt;True&amp;amp;lt;/AddQuotes&amp;amp;gt;&amp;amp;lt;DateFormat&amp;amp;gt;None&amp;amp;lt;/DateFormat&amp;amp;gt;&amp;amp;lt;RightHandSideExpression&amp;amp;gt;MFPR01007359&amp;amp;lt;/RightHandSideExpressi'"</definedName>
    <definedName name="_AMO_ContentDefinition_485496469.2063"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485496469.2064" hidden="1">"'Quotes&amp;amp;gt;&amp;amp;lt;DateFormat&amp;amp;gt;None&amp;amp;lt;/DateFormat&amp;amp;gt;&amp;amp;lt;RightHandSideExpression&amp;amp;gt;MFPR01007360&amp;amp;lt;/RightHandSideExpression&amp;amp;gt;&amp;amp;lt;IsSubquery&amp;amp;gt;False&amp;amp;lt;/IsSubquery&amp;amp;gt;&amp;amp;lt;SubqueryTemplateName /&amp;'"</definedName>
    <definedName name="_AMO_ContentDefinition_485496469.2065"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485496469.2066" hidden="1">"'ion&amp;amp;gt;MFPR01007361&amp;amp;lt;/RightHandSideExpression&amp;amp;gt;&amp;amp;lt;IsSubquery&amp;amp;gt;False&amp;amp;lt;/IsSubquery&amp;amp;gt;&amp;amp;lt;SubqueryTemplateName /&amp;amp;gt;&amp;amp;lt;/RHSItem&amp;amp;gt;&amp;amp;lt;RHSItem&amp;amp;gt;&amp;amp;lt;RHSType&amp;amp;gt;EXPRESSION&amp;amp;lt;/RHS'"</definedName>
    <definedName name="_AMO_ContentDefinition_485496469.2067" hidden="1">"'Type&amp;amp;gt;&amp;amp;lt;AddQuotes&amp;amp;gt;True&amp;amp;lt;/AddQuotes&amp;amp;gt;&amp;amp;lt;DateFormat&amp;amp;gt;None&amp;amp;lt;/DateFormat&amp;amp;gt;&amp;amp;lt;RightHandSideExpression&amp;amp;gt;MFPR01007362&amp;amp;lt;/RightHandSideExpression&amp;amp;gt;&amp;amp;lt;IsSubquery&amp;amp;gt;False&amp;amp;'"</definedName>
    <definedName name="_AMO_ContentDefinition_485496469.2068"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485496469.2069" hidden="1">"'mp;lt;/DateFormat&amp;amp;gt;&amp;amp;lt;RightHandSideExpression&amp;amp;gt;MFPR01007363&amp;amp;lt;/RightHandSideExpression&amp;amp;gt;&amp;amp;lt;IsSubquery&amp;amp;gt;False&amp;amp;lt;/IsSubquery&amp;amp;gt;&amp;amp;lt;SubqueryTemplateName /&amp;amp;gt;&amp;amp;lt;/RHSItem&amp;amp;gt;&amp;amp;lt;RHSItem'"</definedName>
    <definedName name="_AMO_ContentDefinition_485496469.207" hidden="1">"'amp;#xA;'MFPR01006662',&amp;amp;#xD;&amp;amp;#xA;'MFPR01006663',&amp;amp;#xD;&amp;amp;#xA;'MFPR01006664',&amp;amp;#xD;&amp;amp;#xA;'MFPR01006665',&amp;amp;#xD;&amp;amp;#xA;'MFPR01006666',&amp;amp;#xD;&amp;amp;#xA;'MFPR01006667',&amp;amp;#xD;&amp;amp;#xA;'MFPR01006668',&amp;amp;#xD;&amp;amp;#xA;'MFPR0100666'"</definedName>
    <definedName name="_AMO_ContentDefinition_485496469.2070" hidden="1">"'&amp;amp;gt;&amp;amp;lt;RHSType&amp;amp;gt;EXPRESSION&amp;amp;lt;/RHSType&amp;amp;gt;&amp;amp;lt;AddQuotes&amp;amp;gt;True&amp;amp;lt;/AddQuotes&amp;amp;gt;&amp;amp;lt;DateFormat&amp;amp;gt;None&amp;amp;lt;/DateFormat&amp;amp;gt;&amp;amp;lt;RightHandSideExpression&amp;amp;gt;MFPR01007364&amp;amp;lt;/RightHandSideE'"</definedName>
    <definedName name="_AMO_ContentDefinition_485496469.2071"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2072" hidden="1">"'lt;/AddQuotes&amp;amp;gt;&amp;amp;lt;DateFormat&amp;amp;gt;None&amp;amp;lt;/DateFormat&amp;amp;gt;&amp;amp;lt;RightHandSideExpression&amp;amp;gt;MFPR01007365&amp;amp;lt;/RightHandSideExpression&amp;amp;gt;&amp;amp;lt;IsSubquery&amp;amp;gt;False&amp;amp;lt;/IsSubquery&amp;amp;gt;&amp;amp;lt;SubqueryTemplate'"</definedName>
    <definedName name="_AMO_ContentDefinition_485496469.2073"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485496469.2074" hidden="1">"'Expression&amp;amp;gt;MFPR01007366&amp;amp;lt;/RightHandSideExpression&amp;amp;gt;&amp;amp;lt;IsSubquery&amp;amp;gt;False&amp;amp;lt;/IsSubquery&amp;amp;gt;&amp;amp;lt;SubqueryTemplateName /&amp;amp;gt;&amp;amp;lt;/RHSItem&amp;amp;gt;&amp;amp;lt;RHSItem&amp;amp;gt;&amp;amp;lt;RHSType&amp;amp;gt;EXPRESSION&amp;amp;'"</definedName>
    <definedName name="_AMO_ContentDefinition_485496469.2075" hidden="1">"'lt;/RHSType&amp;amp;gt;&amp;amp;lt;AddQuotes&amp;amp;gt;True&amp;amp;lt;/AddQuotes&amp;amp;gt;&amp;amp;lt;DateFormat&amp;amp;gt;None&amp;amp;lt;/DateFormat&amp;amp;gt;&amp;amp;lt;RightHandSideExpression&amp;amp;gt;MFPR01007367&amp;amp;lt;/RightHandSideExpression&amp;amp;gt;&amp;amp;lt;IsSubquery&amp;amp;gt;Fal'"</definedName>
    <definedName name="_AMO_ContentDefinition_485496469.2076"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2077" hidden="1">"';None&amp;amp;lt;/DateFormat&amp;amp;gt;&amp;amp;lt;RightHandSideExpression&amp;amp;gt;MFPR01007368&amp;amp;lt;/RightHandSideExpression&amp;amp;gt;&amp;amp;lt;IsSubquery&amp;amp;gt;False&amp;amp;lt;/IsSubquery&amp;amp;gt;&amp;amp;lt;SubqueryTemplateName /&amp;amp;gt;&amp;amp;lt;/RHSItem&amp;amp;gt;&amp;amp;lt;'"</definedName>
    <definedName name="_AMO_ContentDefinition_485496469.2078" hidden="1">"'RHSItem&amp;amp;gt;&amp;amp;lt;RHSType&amp;amp;gt;EXPRESSION&amp;amp;lt;/RHSType&amp;amp;gt;&amp;amp;lt;AddQuotes&amp;amp;gt;True&amp;amp;lt;/AddQuotes&amp;amp;gt;&amp;amp;lt;DateFormat&amp;amp;gt;None&amp;amp;lt;/DateFormat&amp;amp;gt;&amp;amp;lt;RightHandSideExpression&amp;amp;gt;MFPR01007369&amp;amp;lt;/RightHa'"</definedName>
    <definedName name="_AMO_ContentDefinition_485496469.2079"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485496469.208" hidden="1">"'9',&amp;amp;#xD;&amp;amp;#xA;'MFPR01006670',&amp;amp;#xD;&amp;amp;#xA;'MFPR01006671',&amp;amp;#xD;&amp;amp;#xA;'MFPR01006672',&amp;amp;#xD;&amp;amp;#xA;'MFPR01006673',&amp;amp;#xD;&amp;amp;#xA;'MFPR01006674',&amp;amp;#xD;&amp;amp;#xA;'MFPR01006675',&amp;amp;#xD;&amp;amp;#xA;'MFPR01006676',&amp;amp;#xD;&amp;amp;#xA'"</definedName>
    <definedName name="_AMO_ContentDefinition_485496469.2080" hidden="1">"'ue&amp;amp;lt;/AddQuotes&amp;amp;gt;&amp;amp;lt;DateFormat&amp;amp;gt;None&amp;amp;lt;/DateFormat&amp;amp;gt;&amp;amp;lt;RightHandSideExpression&amp;amp;gt;MFPR01007370&amp;amp;lt;/RightHandSideExpression&amp;amp;gt;&amp;amp;lt;IsSubquery&amp;amp;gt;False&amp;amp;lt;/IsSubquery&amp;amp;gt;&amp;amp;lt;SubqueryT'"</definedName>
    <definedName name="_AMO_ContentDefinition_485496469.2081"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485496469.2082" hidden="1">"'andSideExpression&amp;amp;gt;MFPR01007371&amp;amp;lt;/RightHandSideExpression&amp;amp;gt;&amp;amp;lt;IsSubquery&amp;amp;gt;False&amp;amp;lt;/IsSubquery&amp;amp;gt;&amp;amp;lt;SubqueryTemplateName /&amp;amp;gt;&amp;amp;lt;/RHSItem&amp;amp;gt;&amp;amp;lt;RHSItem&amp;amp;gt;&amp;amp;lt;RHSType&amp;amp;gt;EXPRESSI'"</definedName>
    <definedName name="_AMO_ContentDefinition_485496469.2083" hidden="1">"'ON&amp;amp;lt;/RHSType&amp;amp;gt;&amp;amp;lt;AddQuotes&amp;amp;gt;True&amp;amp;lt;/AddQuotes&amp;amp;gt;&amp;amp;lt;DateFormat&amp;amp;gt;None&amp;amp;lt;/DateFormat&amp;amp;gt;&amp;amp;lt;RightHandSideExpression&amp;amp;gt;MFPR01007372&amp;amp;lt;/RightHandSideExpression&amp;amp;gt;&amp;amp;lt;IsSubquery&amp;amp'"</definedName>
    <definedName name="_AMO_ContentDefinition_485496469.2084"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485496469.2085" hidden="1">"'&amp;amp;gt;None&amp;amp;lt;/DateFormat&amp;amp;gt;&amp;amp;lt;RightHandSideExpression&amp;amp;gt;MFPR01007373&amp;amp;lt;/RightHandSideExpression&amp;amp;gt;&amp;amp;lt;IsSubquery&amp;amp;gt;False&amp;amp;lt;/IsSubquery&amp;amp;gt;&amp;amp;lt;SubqueryTemplateName /&amp;amp;gt;&amp;amp;lt;/RHSItem&amp;amp;gt;&amp;'"</definedName>
    <definedName name="_AMO_ContentDefinition_485496469.2086" hidden="1">"'amp;lt;RHSItem&amp;amp;gt;&amp;amp;lt;RHSType&amp;amp;gt;EXPRESSION&amp;amp;lt;/RHSType&amp;amp;gt;&amp;amp;lt;AddQuotes&amp;amp;gt;True&amp;amp;lt;/AddQuotes&amp;amp;gt;&amp;amp;lt;DateFormat&amp;amp;gt;None&amp;amp;lt;/DateFormat&amp;amp;gt;&amp;amp;lt;RightHandSideExpression&amp;amp;gt;MFPR01007374&amp;amp;lt;/'"</definedName>
    <definedName name="_AMO_ContentDefinition_485496469.2087"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485496469.2088" hidden="1">"'p;gt;True&amp;amp;lt;/AddQuotes&amp;amp;gt;&amp;amp;lt;DateFormat&amp;amp;gt;None&amp;amp;lt;/DateFormat&amp;amp;gt;&amp;amp;lt;RightHandSideExpression&amp;amp;gt;MFPR01007375&amp;amp;lt;/RightHandSideExpression&amp;amp;gt;&amp;amp;lt;IsSubquery&amp;amp;gt;False&amp;amp;lt;/IsSubquery&amp;amp;gt;&amp;amp;lt;Su'"</definedName>
    <definedName name="_AMO_ContentDefinition_485496469.2089"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209" hidden="1">"';'MFPR01006677',&amp;amp;#xD;&amp;amp;#xA;'MFPR01006678',&amp;amp;#xD;&amp;amp;#xA;'MFPR01006679',&amp;amp;#xD;&amp;amp;#xA;'MFPR01006680',&amp;amp;#xD;&amp;amp;#xA;'MFPR01006681',&amp;amp;#xD;&amp;amp;#xA;'MFPR01006682',&amp;amp;#xD;&amp;amp;#xA;'MFPR01006683',&amp;amp;#xD;&amp;amp;#xA;'MFPR01006684',&amp;amp'"</definedName>
    <definedName name="_AMO_ContentDefinition_485496469.2090" hidden="1">"';RightHandSideExpression&amp;amp;gt;MFPR01007376&amp;amp;lt;/RightHandSideExpression&amp;amp;gt;&amp;amp;lt;IsSubquery&amp;amp;gt;False&amp;amp;lt;/IsSubquery&amp;amp;gt;&amp;amp;lt;SubqueryTemplateName /&amp;amp;gt;&amp;amp;lt;/RHSItem&amp;amp;gt;&amp;amp;lt;RHSItem&amp;amp;gt;&amp;amp;lt;RHSType&amp;amp;gt;E'"</definedName>
    <definedName name="_AMO_ContentDefinition_485496469.2091" hidden="1">"'XPRESSION&amp;amp;lt;/RHSType&amp;amp;gt;&amp;amp;lt;AddQuotes&amp;amp;gt;True&amp;amp;lt;/AddQuotes&amp;amp;gt;&amp;amp;lt;DateFormat&amp;amp;gt;None&amp;amp;lt;/DateFormat&amp;amp;gt;&amp;amp;lt;RightHandSideExpression&amp;amp;gt;MFPR01007377&amp;amp;lt;/RightHandSideExpression&amp;amp;gt;&amp;amp;lt;IsSubqu'"</definedName>
    <definedName name="_AMO_ContentDefinition_485496469.2092"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485496469.2093" hidden="1">"'eFormat&amp;amp;gt;None&amp;amp;lt;/DateFormat&amp;amp;gt;&amp;amp;lt;RightHandSideExpression&amp;amp;gt;MFPR01007378&amp;amp;lt;/RightHandSideExpression&amp;amp;gt;&amp;amp;lt;IsSubquery&amp;amp;gt;False&amp;amp;lt;/IsSubquery&amp;amp;gt;&amp;amp;lt;SubqueryTemplateName /&amp;amp;gt;&amp;amp;lt;/RHSItem&amp;a'"</definedName>
    <definedName name="_AMO_ContentDefinition_485496469.2094" hidden="1">"'mp;gt;&amp;amp;lt;RHSItem&amp;amp;gt;&amp;amp;lt;RHSType&amp;amp;gt;EXPRESSION&amp;amp;lt;/RHSType&amp;amp;gt;&amp;amp;lt;AddQuotes&amp;amp;gt;True&amp;amp;lt;/AddQuotes&amp;amp;gt;&amp;amp;lt;DateFormat&amp;amp;gt;None&amp;amp;lt;/DateFormat&amp;amp;gt;&amp;amp;lt;RightHandSideExpression&amp;amp;gt;MFPR01007379&amp;a'"</definedName>
    <definedName name="_AMO_ContentDefinition_485496469.2095"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485496469.2096" hidden="1">"'otes&amp;amp;gt;True&amp;amp;lt;/AddQuotes&amp;amp;gt;&amp;amp;lt;DateFormat&amp;amp;gt;None&amp;amp;lt;/DateFormat&amp;amp;gt;&amp;amp;lt;RightHandSideExpression&amp;amp;gt;MFPR01007380&amp;amp;lt;/RightHandSideExpression&amp;amp;gt;&amp;amp;lt;IsSubquery&amp;amp;gt;False&amp;amp;lt;/IsSubquery&amp;amp;gt;&amp;am'"</definedName>
    <definedName name="_AMO_ContentDefinition_485496469.2097"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2098" hidden="1">"'&amp;amp;lt;RightHandSideExpression&amp;amp;gt;MFPR01007381&amp;amp;lt;/RightHandSideExpression&amp;amp;gt;&amp;amp;lt;IsSubquery&amp;amp;gt;False&amp;amp;lt;/IsSubquery&amp;amp;gt;&amp;amp;lt;SubqueryTemplateName /&amp;amp;gt;&amp;amp;lt;/RHSItem&amp;amp;gt;&amp;amp;lt;RHSItem&amp;amp;gt;&amp;amp;lt;RHSType&amp;a'"</definedName>
    <definedName name="_AMO_ContentDefinition_485496469.2099" hidden="1">"'mp;gt;EXPRESSION&amp;amp;lt;/RHSType&amp;amp;gt;&amp;amp;lt;AddQuotes&amp;amp;gt;True&amp;amp;lt;/AddQuotes&amp;amp;gt;&amp;amp;lt;DateFormat&amp;amp;gt;None&amp;amp;lt;/DateFormat&amp;amp;gt;&amp;amp;lt;RightHandSideExpression&amp;amp;gt;MFPR01007382&amp;amp;lt;/RightHandSideExpression&amp;amp;gt;&amp;amp;lt;'"</definedName>
    <definedName name="_AMO_ContentDefinition_485496469.21" hidden="1">"'FPR01000148',&amp;#xD;&amp;#xA;'MFPR01000160',&amp;#xD;&amp;#xA;'MFPR01000162',&amp;#xD;&amp;#xA;'MFPR01000163',&amp;#xD;&amp;#xA;'MFPR01000173',&amp;#xD;&amp;#xA;'MFPR01000176',&amp;#xD;&amp;#xA;'MFPR01000184',&amp;#xD;&amp;#xA;'MFPR01000200',&amp;#xD;&amp;#xA;'MFPR01000216',&amp;#xD;&amp;#xA;'MFPR01000232',&amp;#xD;&amp;#xA;'MF'"</definedName>
    <definedName name="_AMO_ContentDefinition_485496469.210" hidden="1">"';#xD;&amp;amp;#xA;'MFPR01006685',&amp;amp;#xD;&amp;amp;#xA;'MFPR01006686',&amp;amp;#xD;&amp;amp;#xA;'MFPR01006687',&amp;amp;#xD;&amp;amp;#xA;'MFPR01006688',&amp;amp;#xD;&amp;amp;#xA;'MFPR01006689',&amp;amp;#xD;&amp;amp;#xA;'MFPR01006690',&amp;amp;#xD;&amp;amp;#xA;'MFPR01006691',&amp;amp;#xD;&amp;amp;#xA;'MFPR0'"</definedName>
    <definedName name="_AMO_ContentDefinition_485496469.2100"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2101" hidden="1">"';lt;DateFormat&amp;amp;gt;None&amp;amp;lt;/DateFormat&amp;amp;gt;&amp;amp;lt;RightHandSideExpression&amp;amp;gt;MFPR01007383&amp;amp;lt;/RightHandSideExpression&amp;amp;gt;&amp;amp;lt;IsSubquery&amp;amp;gt;False&amp;amp;lt;/IsSubquery&amp;amp;gt;&amp;amp;lt;SubqueryTemplateName /&amp;amp;gt;&amp;amp;lt;/RH'"</definedName>
    <definedName name="_AMO_ContentDefinition_485496469.2102" hidden="1">"'SItem&amp;amp;gt;&amp;amp;lt;RHSItem&amp;amp;gt;&amp;amp;lt;RHSType&amp;amp;gt;EXPRESSION&amp;amp;lt;/RHSType&amp;amp;gt;&amp;amp;lt;AddQuotes&amp;amp;gt;True&amp;amp;lt;/AddQuotes&amp;amp;gt;&amp;amp;lt;DateFormat&amp;amp;gt;None&amp;amp;lt;/DateFormat&amp;amp;gt;&amp;amp;lt;RightHandSideExpression&amp;amp;gt;MFPR010'"</definedName>
    <definedName name="_AMO_ContentDefinition_485496469.2103" hidden="1">"'07384&amp;amp;lt;/RightHandSideExpression&amp;amp;gt;&amp;amp;lt;IsSubquery&amp;amp;gt;False&amp;amp;lt;/IsSubquery&amp;amp;gt;&amp;amp;lt;SubqueryTemplateName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485496469.2104" hidden="1">"'t;AddQuotes&amp;amp;gt;True&amp;amp;lt;/AddQuotes&amp;amp;gt;&amp;amp;lt;DateFormat&amp;amp;gt;None&amp;amp;lt;/DateFormat&amp;amp;gt;&amp;amp;lt;RightHandSideExpression&amp;amp;gt;MFPR01007385&amp;amp;lt;/RightHandSideExpression&amp;amp;gt;&amp;amp;lt;IsSubquery&amp;amp;gt;False&amp;amp;lt;/IsSubquery&amp;amp'"</definedName>
    <definedName name="_AMO_ContentDefinition_485496469.2105"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485496469.2106" hidden="1">"'amp;gt;&amp;amp;lt;RightHandSideExpression&amp;amp;gt;MFPR01007386&amp;amp;lt;/RightHandSideExpression&amp;amp;gt;&amp;amp;lt;IsSubquery&amp;amp;gt;False&amp;amp;lt;/IsSubquery&amp;amp;gt;&amp;amp;lt;SubqueryTemplateName /&amp;amp;gt;&amp;amp;lt;/RHSItem&amp;amp;gt;&amp;amp;lt;RHSItem&amp;amp;gt;&amp;amp;lt;RH'"</definedName>
    <definedName name="_AMO_ContentDefinition_485496469.2107" hidden="1">"'SType&amp;amp;gt;EXPRESSION&amp;amp;lt;/RHSType&amp;amp;gt;&amp;amp;lt;AddQuotes&amp;amp;gt;True&amp;amp;lt;/AddQuotes&amp;amp;gt;&amp;amp;lt;DateFormat&amp;amp;gt;None&amp;amp;lt;/DateFormat&amp;amp;gt;&amp;amp;lt;RightHandSideExpression&amp;amp;gt;MFPR01007387&amp;amp;lt;/RightHandSideExpression&amp;amp;gt;&amp;'"</definedName>
    <definedName name="_AMO_ContentDefinition_485496469.2108"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2109" hidden="1">"'gt;&amp;amp;lt;DateFormat&amp;amp;gt;None&amp;amp;lt;/DateFormat&amp;amp;gt;&amp;amp;lt;RightHandSideExpression&amp;amp;gt;MFPR01007388&amp;amp;lt;/RightHandSideExpression&amp;amp;gt;&amp;amp;lt;IsSubquery&amp;amp;gt;False&amp;amp;lt;/IsSubquery&amp;amp;gt;&amp;amp;lt;SubqueryTemplateName /&amp;amp;gt;&amp;amp'"</definedName>
    <definedName name="_AMO_ContentDefinition_485496469.211" hidden="1">"'1006692',&amp;amp;#xD;&amp;amp;#xA;'MFPR01006693',&amp;amp;#xD;&amp;amp;#xA;'MFPR01006694',&amp;amp;#xD;&amp;amp;#xA;'MFPR01006695',&amp;amp;#xD;&amp;amp;#xA;'MFPR01006696',&amp;amp;#xD;&amp;amp;#xA;'MFPR01006697',&amp;amp;#xD;&amp;amp;#xA;'MFPR01006698',&amp;amp;#xD;&amp;amp;#xA;'MFPR01006699',&amp;amp;#xD;&amp;a'"</definedName>
    <definedName name="_AMO_ContentDefinition_485496469.2110" hidden="1">"';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2111" hidden="1">"'MFPR01007389&amp;amp;lt;/RightHandSideExpression&amp;amp;gt;&amp;amp;lt;IsSubquery&amp;amp;gt;False&amp;amp;lt;/IsSubquery&amp;amp;gt;&amp;amp;lt;SubqueryTemplateName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2112" hidden="1">"';&amp;amp;lt;AddQuotes&amp;amp;gt;True&amp;amp;lt;/AddQuotes&amp;amp;gt;&amp;amp;lt;DateFormat&amp;amp;gt;None&amp;amp;lt;/DateFormat&amp;amp;gt;&amp;amp;lt;RightHandSideExpression&amp;amp;gt;MFPR01007390&amp;amp;lt;/RightHandSideExpression&amp;amp;gt;&amp;amp;lt;IsSubquery&amp;amp;gt;False&amp;amp;lt;/IsSubqu'"</definedName>
    <definedName name="_AMO_ContentDefinition_485496469.2113"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485496469.2114" hidden="1">"'Format&amp;amp;gt;&amp;amp;lt;RightHandSideExpression&amp;amp;gt;MFPR01007391&amp;amp;lt;/RightHandSideExpression&amp;amp;gt;&amp;amp;lt;IsSubquery&amp;amp;gt;False&amp;amp;lt;/IsSubquery&amp;amp;gt;&amp;amp;lt;SubqueryTemplateName /&amp;amp;gt;&amp;amp;lt;/RHSItem&amp;amp;gt;&amp;amp;lt;RHSItem&amp;amp;gt;&amp;am'"</definedName>
    <definedName name="_AMO_ContentDefinition_485496469.2115" hidden="1">"'p;lt;RHSType&amp;amp;gt;EXPRESSION&amp;amp;lt;/RHSType&amp;amp;gt;&amp;amp;lt;AddQuotes&amp;amp;gt;True&amp;amp;lt;/AddQuotes&amp;amp;gt;&amp;amp;lt;DateFormat&amp;amp;gt;None&amp;amp;lt;/DateFormat&amp;amp;gt;&amp;amp;lt;RightHandSideExpression&amp;amp;gt;MFPR01007392&amp;amp;lt;/RightHandSideExpression&amp;a'"</definedName>
    <definedName name="_AMO_ContentDefinition_485496469.2116"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485496469.2117" hidden="1">"'es&amp;amp;gt;&amp;amp;lt;DateFormat&amp;amp;gt;None&amp;amp;lt;/DateFormat&amp;amp;gt;&amp;amp;lt;RightHandSideExpression&amp;amp;gt;MFPR01007393&amp;amp;lt;/RightHandSideExpression&amp;amp;gt;&amp;amp;lt;IsSubquery&amp;amp;gt;False&amp;amp;lt;/IsSubquery&amp;amp;gt;&amp;amp;lt;SubqueryTemplateName /&amp;amp;'"</definedName>
    <definedName name="_AMO_ContentDefinition_485496469.2118" hidden="1">"'gt;&amp;amp;lt;/RHSItem&amp;amp;gt;&amp;amp;lt;RHSItem&amp;amp;gt;&amp;amp;lt;RHSType&amp;amp;gt;EXPRESSION&amp;amp;lt;/RHSType&amp;amp;gt;&amp;amp;lt;AddQuotes&amp;amp;gt;True&amp;amp;lt;/AddQuotes&amp;amp;gt;&amp;amp;lt;DateFormat&amp;amp;gt;None&amp;amp;lt;/DateFormat&amp;amp;gt;&amp;amp;lt;RightHandSideExpression&amp;'"</definedName>
    <definedName name="_AMO_ContentDefinition_485496469.2119" hidden="1">"'amp;gt;MFPR01007394&amp;amp;lt;/RightHandSideExpression&amp;amp;gt;&amp;amp;lt;IsSubquery&amp;amp;gt;False&amp;amp;lt;/IsSubquery&amp;amp;gt;&amp;amp;lt;SubqueryTemplateName /&amp;amp;gt;&amp;amp;lt;/RHSItem&amp;amp;gt;&amp;amp;lt;RHSItem&amp;amp;gt;&amp;amp;lt;RHSType&amp;amp;gt;EXPRESSION&amp;amp;lt;/RHSType'"</definedName>
    <definedName name="_AMO_ContentDefinition_485496469.212" hidden="1">"'mp;#xA;'MFPR01006700',&amp;amp;#xD;&amp;amp;#xA;'MFPR01006701',&amp;amp;#xD;&amp;amp;#xA;'MFPR01006702',&amp;amp;#xD;&amp;amp;#xA;'MFPR01006703',&amp;amp;#xD;&amp;amp;#xA;'MFPR01006704',&amp;amp;#xD;&amp;amp;#xA;'MFPR01006705',&amp;amp;#xD;&amp;amp;#xA;'MFPR01006706',&amp;amp;#xD;&amp;amp;#xA;'MFPR01006707'"</definedName>
    <definedName name="_AMO_ContentDefinition_485496469.2120" hidden="1">"'&amp;amp;gt;&amp;amp;lt;AddQuotes&amp;amp;gt;True&amp;amp;lt;/AddQuotes&amp;amp;gt;&amp;amp;lt;DateFormat&amp;amp;gt;None&amp;amp;lt;/DateFormat&amp;amp;gt;&amp;amp;lt;RightHandSideExpression&amp;amp;gt;MFPR01007395&amp;amp;lt;/RightHandSideExpression&amp;amp;gt;&amp;amp;lt;IsSubquery&amp;amp;gt;False&amp;amp;lt;/'"</definedName>
    <definedName name="_AMO_ContentDefinition_485496469.2121"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485496469.2122" hidden="1">"'t;/DateFormat&amp;amp;gt;&amp;amp;lt;RightHandSideExpression&amp;amp;gt;MFPR01007396&amp;amp;lt;/RightHandSideExpression&amp;amp;gt;&amp;amp;lt;IsSubquery&amp;amp;gt;False&amp;amp;lt;/IsSubquery&amp;amp;gt;&amp;amp;lt;SubqueryTemplateName /&amp;amp;gt;&amp;amp;lt;/RHSItem&amp;amp;gt;&amp;amp;lt;RHSItem&amp;amp'"</definedName>
    <definedName name="_AMO_ContentDefinition_485496469.2123" hidden="1">"';gt;&amp;amp;lt;RHSType&amp;amp;gt;EXPRESSION&amp;amp;lt;/RHSType&amp;amp;gt;&amp;amp;lt;AddQuotes&amp;amp;gt;True&amp;amp;lt;/AddQuotes&amp;amp;gt;&amp;amp;lt;DateFormat&amp;amp;gt;None&amp;amp;lt;/DateFormat&amp;amp;gt;&amp;amp;lt;RightHandSideExpression&amp;amp;gt;MFPR01007397&amp;amp;lt;/RightHandSideExpre'"</definedName>
    <definedName name="_AMO_ContentDefinition_485496469.2124"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2125" hidden="1">"'AddQuotes&amp;amp;gt;&amp;amp;lt;DateFormat&amp;amp;gt;None&amp;amp;lt;/DateFormat&amp;amp;gt;&amp;amp;lt;RightHandSideExpression&amp;amp;gt;MFPR01007398&amp;amp;lt;/RightHandSideExpression&amp;amp;gt;&amp;amp;lt;IsSubquery&amp;amp;gt;False&amp;amp;lt;/IsSubquery&amp;amp;gt;&amp;amp;lt;SubqueryTemplateName'"</definedName>
    <definedName name="_AMO_ContentDefinition_485496469.2126"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485496469.2127" hidden="1">"'ession&amp;amp;gt;MFPR01007399&amp;amp;lt;/RightHandSideExpression&amp;amp;gt;&amp;amp;lt;IsSubquery&amp;amp;gt;False&amp;amp;lt;/IsSubquery&amp;amp;gt;&amp;amp;lt;SubqueryTemplateName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2128" hidden="1">"'RHSType&amp;amp;gt;&amp;amp;lt;AddQuotes&amp;amp;gt;True&amp;amp;lt;/AddQuotes&amp;amp;gt;&amp;amp;lt;DateFormat&amp;amp;gt;None&amp;amp;lt;/DateFormat&amp;amp;gt;&amp;amp;lt;RightHandSideExpression&amp;amp;gt;MFPR01007400&amp;amp;lt;/RightHandSideExpression&amp;amp;gt;&amp;amp;lt;IsSubquery&amp;amp;gt;False&amp;a'"</definedName>
    <definedName name="_AMO_ContentDefinition_485496469.2129"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485496469.213" hidden="1">"'',&amp;amp;#xD;&amp;amp;#xA;'MFPR01006708',&amp;amp;#xD;&amp;amp;#xA;'MFPR01006709',&amp;amp;#xD;&amp;amp;#xA;'MFPR01006710',&amp;amp;#xD;&amp;amp;#xA;'MFPR01006711',&amp;amp;#xD;&amp;amp;#xA;'MFPR01006712',&amp;amp;#xD;&amp;amp;#xA;'MFPR01006713',&amp;amp;#xD;&amp;amp;#xA;'MFPR01006714',&amp;amp;#xD;&amp;amp;#xA;'"</definedName>
    <definedName name="_AMO_ContentDefinition_485496469.2130" hidden="1">"'e&amp;amp;lt;/DateFormat&amp;amp;gt;&amp;amp;lt;RightHandSideExpression&amp;amp;gt;MFPR01007401&amp;amp;lt;/RightHandSideExpression&amp;amp;gt;&amp;amp;lt;IsSubquery&amp;amp;gt;False&amp;amp;lt;/IsSubquery&amp;amp;gt;&amp;amp;lt;SubqueryTemplateName /&amp;amp;gt;&amp;amp;lt;/RHSItem&amp;amp;gt;&amp;amp;lt;RHSI'"</definedName>
    <definedName name="_AMO_ContentDefinition_485496469.2131" hidden="1">"'tem&amp;amp;gt;&amp;amp;lt;RHSType&amp;amp;gt;EXPRESSION&amp;amp;lt;/RHSType&amp;amp;gt;&amp;amp;lt;AddQuotes&amp;amp;gt;True&amp;amp;lt;/AddQuotes&amp;amp;gt;&amp;amp;lt;DateFormat&amp;amp;gt;None&amp;amp;lt;/DateFormat&amp;amp;gt;&amp;amp;lt;RightHandSideExpression&amp;amp;gt;MFPR01007402&amp;amp;lt;/RightHandSi'"</definedName>
    <definedName name="_AMO_ContentDefinition_485496469.2132"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485496469.2133" hidden="1">"'mp;lt;/AddQuotes&amp;amp;gt;&amp;amp;lt;DateFormat&amp;amp;gt;None&amp;amp;lt;/DateFormat&amp;amp;gt;&amp;amp;lt;RightHandSideExpression&amp;amp;gt;MFPR01007403&amp;amp;lt;/RightHandSideExpression&amp;amp;gt;&amp;amp;lt;IsSubquery&amp;amp;gt;False&amp;amp;lt;/IsSubquery&amp;amp;gt;&amp;amp;lt;SubqueryTempl'"</definedName>
    <definedName name="_AMO_ContentDefinition_485496469.2134"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485496469.2135" hidden="1">"'ideExpression&amp;amp;gt;MFPR01007404&amp;amp;lt;/RightHandSideExpression&amp;amp;gt;&amp;amp;lt;IsSubquery&amp;amp;gt;False&amp;amp;lt;/IsSubquery&amp;amp;gt;&amp;amp;lt;SubqueryTemplateName /&amp;amp;gt;&amp;amp;lt;/RHSItem&amp;amp;gt;&amp;amp;lt;RHSItem&amp;amp;gt;&amp;amp;lt;RHSType&amp;amp;gt;EXPRESSION&amp;a'"</definedName>
    <definedName name="_AMO_ContentDefinition_485496469.2136" hidden="1">"'mp;lt;/RHSType&amp;amp;gt;&amp;amp;lt;AddQuotes&amp;amp;gt;True&amp;amp;lt;/AddQuotes&amp;amp;gt;&amp;amp;lt;DateFormat&amp;amp;gt;None&amp;amp;lt;/DateFormat&amp;amp;gt;&amp;amp;lt;RightHandSideExpression&amp;amp;gt;MFPR01007405&amp;amp;lt;/RightHandSideExpression&amp;amp;gt;&amp;amp;lt;IsSubquery&amp;amp;gt;'"</definedName>
    <definedName name="_AMO_ContentDefinition_485496469.2137"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2138" hidden="1">"';gt;None&amp;amp;lt;/DateFormat&amp;amp;gt;&amp;amp;lt;RightHandSideExpression&amp;amp;gt;MFPR01007406&amp;amp;lt;/RightHandSideExpression&amp;amp;gt;&amp;amp;lt;IsSubquery&amp;amp;gt;False&amp;amp;lt;/IsSubquery&amp;amp;gt;&amp;amp;lt;SubqueryTemplateName /&amp;amp;gt;&amp;amp;lt;/RHSItem&amp;amp;gt;&amp;amp;'"</definedName>
    <definedName name="_AMO_ContentDefinition_485496469.2139" hidden="1">"'lt;RHSItem&amp;amp;gt;&amp;amp;lt;RHSType&amp;amp;gt;EXPRESSION&amp;amp;lt;/RHSType&amp;amp;gt;&amp;amp;lt;AddQuotes&amp;amp;gt;True&amp;amp;lt;/AddQuotes&amp;amp;gt;&amp;amp;lt;DateFormat&amp;amp;gt;None&amp;amp;lt;/DateFormat&amp;amp;gt;&amp;amp;lt;RightHandSideExpression&amp;amp;gt;MFPR01007407&amp;amp;lt;/Righ'"</definedName>
    <definedName name="_AMO_ContentDefinition_485496469.214" hidden="1">"''MFPR01006715',&amp;amp;#xD;&amp;amp;#xA;'MFPR01006716',&amp;amp;#xD;&amp;amp;#xA;'MFPR01006717',&amp;amp;#xD;&amp;amp;#xA;'MFPR01006718',&amp;amp;#xD;&amp;amp;#xA;'MFPR01006719',&amp;amp;#xD;&amp;amp;#xA;'MFPR01006720',&amp;amp;#xD;&amp;amp;#xA;'MFPR01006721',&amp;amp;#xD;&amp;amp;#xA;'MFPR01006722',&amp;amp;'"</definedName>
    <definedName name="_AMO_ContentDefinition_485496469.2140"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2141" hidden="1">"';True&amp;amp;lt;/AddQuotes&amp;amp;gt;&amp;amp;lt;DateFormat&amp;amp;gt;None&amp;amp;lt;/DateFormat&amp;amp;gt;&amp;amp;lt;RightHandSideExpression&amp;amp;gt;MFPR01007408&amp;amp;lt;/RightHandSideExpression&amp;amp;gt;&amp;amp;lt;IsSubquery&amp;amp;gt;False&amp;amp;lt;/IsSubquery&amp;amp;gt;&amp;amp;lt;Subque'"</definedName>
    <definedName name="_AMO_ContentDefinition_485496469.2142"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485496469.2143" hidden="1">"'htHandSideExpression&amp;amp;gt;MFPR01007409&amp;amp;lt;/RightHandSideExpression&amp;amp;gt;&amp;amp;lt;IsSubquery&amp;amp;gt;False&amp;amp;lt;/IsSubquery&amp;amp;gt;&amp;amp;lt;SubqueryTemplateName /&amp;amp;gt;&amp;amp;lt;/RHSItem&amp;amp;gt;&amp;amp;lt;RHSItem&amp;amp;gt;&amp;amp;lt;RHSType&amp;amp;gt;EXPRE'"</definedName>
    <definedName name="_AMO_ContentDefinition_485496469.2144" hidden="1">"'SSION&amp;amp;lt;/RHSType&amp;amp;gt;&amp;amp;lt;AddQuotes&amp;amp;gt;True&amp;amp;lt;/AddQuotes&amp;amp;gt;&amp;amp;lt;DateFormat&amp;amp;gt;None&amp;amp;lt;/DateFormat&amp;amp;gt;&amp;amp;lt;RightHandSideExpression&amp;amp;gt;MFPR01007410&amp;amp;lt;/RightHandSideExpression&amp;amp;gt;&amp;amp;lt;IsSubquery&amp;'"</definedName>
    <definedName name="_AMO_ContentDefinition_485496469.2145"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485496469.2146" hidden="1">"'mat&amp;amp;gt;None&amp;amp;lt;/DateFormat&amp;amp;gt;&amp;amp;lt;RightHandSideExpression&amp;amp;gt;MFPR01007411&amp;amp;lt;/RightHandSideExpression&amp;amp;gt;&amp;amp;lt;IsSubquery&amp;amp;gt;False&amp;amp;lt;/IsSubquery&amp;amp;gt;&amp;amp;lt;SubqueryTemplateName /&amp;amp;gt;&amp;amp;lt;/RHSItem&amp;amp;g'"</definedName>
    <definedName name="_AMO_ContentDefinition_485496469.2147" hidden="1">"'t;&amp;amp;lt;RHSItem&amp;amp;gt;&amp;amp;lt;RHSType&amp;amp;gt;EXPRESSION&amp;amp;lt;/RHSType&amp;amp;gt;&amp;amp;lt;AddQuotes&amp;amp;gt;True&amp;amp;lt;/AddQuotes&amp;amp;gt;&amp;amp;lt;DateFormat&amp;amp;gt;None&amp;amp;lt;/DateFormat&amp;amp;gt;&amp;amp;lt;RightHandSideExpression&amp;amp;gt;MFPR01007412&amp;amp;l'"</definedName>
    <definedName name="_AMO_ContentDefinition_485496469.2148"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485496469.2149" hidden="1">"'&amp;amp;gt;True&amp;amp;lt;/AddQuotes&amp;amp;gt;&amp;amp;lt;DateFormat&amp;amp;gt;None&amp;amp;lt;/DateFormat&amp;amp;gt;&amp;amp;lt;RightHandSideExpression&amp;amp;gt;MFPR01007413&amp;amp;lt;/RightHandSideExpression&amp;amp;gt;&amp;amp;lt;IsSubquery&amp;amp;gt;False&amp;amp;lt;/IsSubquery&amp;amp;gt;&amp;amp;lt'"</definedName>
    <definedName name="_AMO_ContentDefinition_485496469.215" hidden="1">"'#xD;&amp;amp;#xA;'MFPR01006723',&amp;amp;#xD;&amp;amp;#xA;'MFPR01006724',&amp;amp;#xD;&amp;amp;#xA;'MFPR01006725',&amp;amp;#xD;&amp;amp;#xA;'MFPR01006726',&amp;amp;#xD;&amp;amp;#xA;'MFPR01006727',&amp;amp;#xD;&amp;amp;#xA;'MFPR01006728',&amp;amp;#xD;&amp;amp;#xA;'MFPR01006729',&amp;amp;#xD;&amp;amp;#xA;'MFPR01'"</definedName>
    <definedName name="_AMO_ContentDefinition_485496469.2150"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2151" hidden="1">"';lt;RightHandSideExpression&amp;amp;gt;MFPR01007414&amp;amp;lt;/RightHandSideExpression&amp;amp;gt;&amp;amp;lt;IsSubquery&amp;amp;gt;False&amp;amp;lt;/IsSubquery&amp;amp;gt;&amp;amp;lt;SubqueryTemplateName /&amp;amp;gt;&amp;amp;lt;/RHSItem&amp;amp;gt;&amp;amp;lt;RHSItem&amp;amp;gt;&amp;amp;lt;RHSType&amp;amp;g'"</definedName>
    <definedName name="_AMO_ContentDefinition_485496469.2152" hidden="1">"'t;EXPRESSION&amp;amp;lt;/RHSType&amp;amp;gt;&amp;amp;lt;AddQuotes&amp;amp;gt;True&amp;amp;lt;/AddQuotes&amp;amp;gt;&amp;amp;lt;DateFormat&amp;amp;gt;None&amp;amp;lt;/DateFormat&amp;amp;gt;&amp;amp;lt;RightHandSideExpression&amp;amp;gt;MFPR01007415&amp;amp;lt;/RightHandSideExpression&amp;amp;gt;&amp;amp;lt;IsSu'"</definedName>
    <definedName name="_AMO_ContentDefinition_485496469.2153"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2154" hidden="1">"'DateFormat&amp;amp;gt;None&amp;amp;lt;/DateFormat&amp;amp;gt;&amp;amp;lt;RightHandSideExpression&amp;amp;gt;MFPR01007416&amp;amp;lt;/RightHandSideExpression&amp;amp;gt;&amp;amp;lt;IsSubquery&amp;amp;gt;False&amp;amp;lt;/IsSubquery&amp;amp;gt;&amp;amp;lt;SubqueryTemplateName /&amp;amp;gt;&amp;amp;lt;/RHSIte'"</definedName>
    <definedName name="_AMO_ContentDefinition_485496469.2155" hidden="1">"'m&amp;amp;gt;&amp;amp;lt;RHSItem&amp;amp;gt;&amp;amp;lt;RHSType&amp;amp;gt;EXPRESSION&amp;amp;lt;/RHSType&amp;amp;gt;&amp;amp;lt;AddQuotes&amp;amp;gt;True&amp;amp;lt;/AddQuotes&amp;amp;gt;&amp;amp;lt;DateFormat&amp;amp;gt;None&amp;amp;lt;/DateFormat&amp;amp;gt;&amp;amp;lt;RightHandSideExpression&amp;amp;gt;MFPR0100741'"</definedName>
    <definedName name="_AMO_ContentDefinition_485496469.2156" hidden="1">"'7&amp;amp;lt;/RightHandSideExpression&amp;amp;gt;&amp;amp;lt;IsSubquery&amp;amp;gt;False&amp;amp;lt;/IsSubquery&amp;amp;gt;&amp;amp;lt;SubqueryTemplateName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485496469.2157" hidden="1">"'dQuotes&amp;amp;gt;True&amp;amp;lt;/AddQuotes&amp;amp;gt;&amp;amp;lt;DateFormat&amp;amp;gt;None&amp;amp;lt;/DateFormat&amp;amp;gt;&amp;amp;lt;RightHandSideExpression&amp;amp;gt;MFPR01007418&amp;amp;lt;/RightHandSideExpression&amp;amp;gt;&amp;amp;lt;IsSubquery&amp;amp;gt;False&amp;amp;lt;/IsSubquery&amp;amp;gt;'"</definedName>
    <definedName name="_AMO_ContentDefinition_485496469.2158"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2159" hidden="1">"'gt;&amp;amp;lt;RightHandSideExpression&amp;amp;gt;MFPR01007419&amp;amp;lt;/RightHandSideExpression&amp;amp;gt;&amp;amp;lt;IsSubquery&amp;amp;gt;False&amp;amp;lt;/IsSubquery&amp;amp;gt;&amp;amp;lt;SubqueryTemplateName /&amp;amp;gt;&amp;amp;lt;/RHSItem&amp;amp;gt;&amp;amp;lt;RHSItem&amp;amp;gt;&amp;amp;lt;RHSTyp'"</definedName>
    <definedName name="_AMO_ContentDefinition_485496469.216" hidden="1">"'006730',&amp;amp;#xD;&amp;amp;#xA;'MFPR01006731',&amp;amp;#xD;&amp;amp;#xA;'MFPR01006732',&amp;amp;#xD;&amp;amp;#xA;'MFPR01006733',&amp;amp;#xD;&amp;amp;#xA;'MFPR01006734',&amp;amp;#xD;&amp;amp;#xA;'MFPR01006735',&amp;amp;#xD;&amp;amp;#xA;'MFPR01006736',&amp;amp;#xD;&amp;amp;#xA;'MFPR01006737',&amp;amp;#xD;&amp;am'"</definedName>
    <definedName name="_AMO_ContentDefinition_485496469.2160" hidden="1">"'e&amp;amp;gt;EXPRESSION&amp;amp;lt;/RHSType&amp;amp;gt;&amp;amp;lt;AddQuotes&amp;amp;gt;True&amp;amp;lt;/AddQuotes&amp;amp;gt;&amp;amp;lt;DateFormat&amp;amp;gt;None&amp;amp;lt;/DateFormat&amp;amp;gt;&amp;amp;lt;RightHandSideExpression&amp;amp;gt;MFPR01007420&amp;amp;lt;/RightHandSideExpression&amp;amp;gt;&amp;amp;'"</definedName>
    <definedName name="_AMO_ContentDefinition_485496469.2161"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485496469.2162" hidden="1">"'amp;lt;DateFormat&amp;amp;gt;None&amp;amp;lt;/DateFormat&amp;amp;gt;&amp;amp;lt;RightHandSideExpression&amp;amp;gt;MFPR01007421&amp;amp;lt;/RightHandSideExpression&amp;amp;gt;&amp;amp;lt;IsSubquery&amp;amp;gt;False&amp;amp;lt;/IsSubquery&amp;amp;gt;&amp;amp;lt;SubqueryTemplateName /&amp;amp;gt;&amp;amp;lt;'"</definedName>
    <definedName name="_AMO_ContentDefinition_485496469.2163" hidden="1">"'/RHSItem&amp;amp;gt;&amp;amp;lt;RHSItem&amp;amp;gt;&amp;amp;lt;RHSType&amp;amp;gt;EXPRESSION&amp;amp;lt;/RHSType&amp;amp;gt;&amp;amp;lt;AddQuotes&amp;amp;gt;True&amp;amp;lt;/AddQuotes&amp;amp;gt;&amp;amp;lt;DateFormat&amp;amp;gt;None&amp;amp;lt;/DateFormat&amp;amp;gt;&amp;amp;lt;RightHandSideExpression&amp;amp;gt;MFPR'"</definedName>
    <definedName name="_AMO_ContentDefinition_485496469.2164" hidden="1">"'01007422&amp;amp;lt;/RightHandSideExpression&amp;amp;gt;&amp;amp;lt;IsSubquery&amp;amp;gt;False&amp;amp;lt;/IsSubquery&amp;amp;gt;&amp;amp;lt;SubqueryTemplateName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485496469.2165" hidden="1">"'p;lt;AddQuotes&amp;amp;gt;True&amp;amp;lt;/AddQuotes&amp;amp;gt;&amp;amp;lt;DateFormat&amp;amp;gt;None&amp;amp;lt;/DateFormat&amp;amp;gt;&amp;amp;lt;RightHandSideExpression&amp;amp;gt;MFPR01007423&amp;amp;lt;/RightHandSideExpression&amp;amp;gt;&amp;amp;lt;IsSubquery&amp;amp;gt;False&amp;amp;lt;/IsSubquery&amp;'"</definedName>
    <definedName name="_AMO_ContentDefinition_485496469.2166"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485496469.2167" hidden="1">"'at&amp;amp;gt;&amp;amp;lt;RightHandSideExpression&amp;amp;gt;MFPR01007424&amp;amp;lt;/RightHandSideExpression&amp;amp;gt;&amp;amp;lt;IsSubquery&amp;amp;gt;False&amp;amp;lt;/IsSubquery&amp;amp;gt;&amp;amp;lt;SubqueryTemplateName /&amp;amp;gt;&amp;amp;lt;/RHSItem&amp;amp;gt;&amp;amp;lt;RHSItem&amp;amp;gt;&amp;amp;lt'"</definedName>
    <definedName name="_AMO_ContentDefinition_485496469.2168" hidden="1">"';RHSType&amp;amp;gt;EXPRESSION&amp;amp;lt;/RHSType&amp;amp;gt;&amp;amp;lt;AddQuotes&amp;amp;gt;True&amp;amp;lt;/AddQuotes&amp;amp;gt;&amp;amp;lt;DateFormat&amp;amp;gt;None&amp;amp;lt;/DateFormat&amp;amp;gt;&amp;amp;lt;RightHandSideExpression&amp;amp;gt;MFPR01007425&amp;amp;lt;/RightHandSideExpression&amp;amp;g'"</definedName>
    <definedName name="_AMO_ContentDefinition_485496469.2169"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485496469.217" hidden="1">"'p;#xA;'MFPR01006738',&amp;amp;#xD;&amp;amp;#xA;'MFPR01006739',&amp;amp;#xD;&amp;amp;#xA;'MFPR01006740',&amp;amp;#xD;&amp;amp;#xA;'MFPR01006741',&amp;amp;#xD;&amp;amp;#xA;'MFPR01006742',&amp;amp;#xD;&amp;amp;#xA;'MFPR01006743',&amp;amp;#xD;&amp;amp;#xA;'MFPR01006744',&amp;amp;#xD;&amp;amp;#xA;'MFPR01006745''"</definedName>
    <definedName name="_AMO_ContentDefinition_485496469.2170" hidden="1">"'mp;gt;&amp;amp;lt;DateFormat&amp;amp;gt;None&amp;amp;lt;/DateFormat&amp;amp;gt;&amp;amp;lt;RightHandSideExpression&amp;amp;gt;MFPR01007426&amp;amp;lt;/RightHandSideExpression&amp;amp;gt;&amp;amp;lt;IsSubquery&amp;amp;gt;False&amp;amp;lt;/IsSubquery&amp;amp;gt;&amp;amp;lt;SubqueryTemplateName /&amp;amp;gt;&amp;'"</definedName>
    <definedName name="_AMO_ContentDefinition_485496469.2171" hidden="1">"'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2172" hidden="1">"'gt;MFPR01007427&amp;amp;lt;/RightHandSideExpression&amp;amp;gt;&amp;amp;lt;IsSubquery&amp;amp;gt;False&amp;amp;lt;/IsSubquery&amp;amp;gt;&amp;amp;lt;SubqueryTemplateName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2173" hidden="1">"';gt;&amp;amp;lt;AddQuotes&amp;amp;gt;True&amp;amp;lt;/AddQuotes&amp;amp;gt;&amp;amp;lt;DateFormat&amp;amp;gt;None&amp;amp;lt;/DateFormat&amp;amp;gt;&amp;amp;lt;RightHandSideExpression&amp;amp;gt;MFPR01007428&amp;amp;lt;/RightHandSideExpression&amp;amp;gt;&amp;amp;lt;IsSubquery&amp;amp;gt;False&amp;amp;lt;/IsSu'"</definedName>
    <definedName name="_AMO_ContentDefinition_485496469.2174"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485496469.2175" hidden="1">"'ateFormat&amp;amp;gt;&amp;amp;lt;RightHandSideExpression&amp;amp;gt;MFPR01007429&amp;amp;lt;/RightHandSideExpression&amp;amp;gt;&amp;amp;lt;IsSubquery&amp;amp;gt;False&amp;amp;lt;/IsSubquery&amp;amp;gt;&amp;amp;lt;SubqueryTemplateName /&amp;amp;gt;&amp;amp;lt;/RHSItem&amp;amp;gt;&amp;amp;lt;RHSItem&amp;amp;gt;'"</definedName>
    <definedName name="_AMO_ContentDefinition_485496469.2176" hidden="1">"'&amp;amp;lt;RHSType&amp;amp;gt;EXPRESSION&amp;amp;lt;/RHSType&amp;amp;gt;&amp;amp;lt;AddQuotes&amp;amp;gt;True&amp;amp;lt;/AddQuotes&amp;amp;gt;&amp;amp;lt;DateFormat&amp;amp;gt;None&amp;amp;lt;/DateFormat&amp;amp;gt;&amp;amp;lt;RightHandSideExpression&amp;amp;gt;MFPR01007430&amp;amp;lt;/RightHandSideExpressio'"</definedName>
    <definedName name="_AMO_ContentDefinition_485496469.2177"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485496469.2178" hidden="1">"'uotes&amp;amp;gt;&amp;amp;lt;DateFormat&amp;amp;gt;None&amp;amp;lt;/DateFormat&amp;amp;gt;&amp;amp;lt;RightHandSideExpression&amp;amp;gt;MFPR01007431&amp;amp;lt;/RightHandSideExpression&amp;amp;gt;&amp;amp;lt;IsSubquery&amp;amp;gt;False&amp;amp;lt;/IsSubquery&amp;amp;gt;&amp;amp;lt;SubqueryTemplateName /&amp;a'"</definedName>
    <definedName name="_AMO_ContentDefinition_485496469.2179"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485496469.218" hidden="1">"',&amp;amp;#xD;&amp;amp;#xA;'MFPR01006746',&amp;amp;#xD;&amp;amp;#xA;'MFPR01006747',&amp;amp;#xD;&amp;amp;#xA;'MFPR01006748',&amp;amp;#xD;&amp;amp;#xA;'MFPR01006749',&amp;amp;#xD;&amp;amp;#xA;'MFPR01006750',&amp;amp;#xD;&amp;amp;#xA;'MFPR01006751',&amp;amp;#xD;&amp;amp;#xA;'MFPR01006752',&amp;amp;#xD;&amp;amp;#xA;''"</definedName>
    <definedName name="_AMO_ContentDefinition_485496469.2180" hidden="1">"'on&amp;amp;gt;MFPR01007432&amp;amp;lt;/RightHandSideExpression&amp;amp;gt;&amp;amp;lt;IsSubquery&amp;amp;gt;False&amp;amp;lt;/IsSubquery&amp;amp;gt;&amp;amp;lt;SubqueryTemplateName /&amp;amp;gt;&amp;amp;lt;/RHSItem&amp;amp;gt;&amp;amp;lt;RHSItem&amp;amp;gt;&amp;amp;lt;RHSType&amp;amp;gt;EXPRESSION&amp;amp;lt;/RHST'"</definedName>
    <definedName name="_AMO_ContentDefinition_485496469.2181" hidden="1">"'ype&amp;amp;gt;&amp;amp;lt;AddQuotes&amp;amp;gt;True&amp;amp;lt;/AddQuotes&amp;amp;gt;&amp;amp;lt;DateFormat&amp;amp;gt;None&amp;amp;lt;/DateFormat&amp;amp;gt;&amp;amp;lt;RightHandSideExpression&amp;amp;gt;MFPR01007433&amp;amp;lt;/RightHandSideExpression&amp;amp;gt;&amp;amp;lt;IsSubquery&amp;amp;gt;False&amp;amp;l'"</definedName>
    <definedName name="_AMO_ContentDefinition_485496469.2182"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485496469.2183" hidden="1">"'p;lt;/DateFormat&amp;amp;gt;&amp;amp;lt;RightHandSideExpression&amp;amp;gt;MFPR01007434&amp;amp;lt;/RightHandSideExpression&amp;amp;gt;&amp;amp;lt;IsSubquery&amp;amp;gt;False&amp;amp;lt;/IsSubquery&amp;amp;gt;&amp;amp;lt;SubqueryTemplateName /&amp;amp;gt;&amp;amp;lt;/RHSItem&amp;amp;gt;&amp;amp;lt;RHSItem&amp;'"</definedName>
    <definedName name="_AMO_ContentDefinition_485496469.2184" hidden="1">"'amp;gt;&amp;amp;lt;RHSType&amp;amp;gt;EXPRESSION&amp;amp;lt;/RHSType&amp;amp;gt;&amp;amp;lt;AddQuotes&amp;amp;gt;True&amp;amp;lt;/AddQuotes&amp;amp;gt;&amp;amp;lt;DateFormat&amp;amp;gt;None&amp;amp;lt;/DateFormat&amp;amp;gt;&amp;amp;lt;RightHandSideExpression&amp;amp;gt;MFPR01007435&amp;amp;lt;/RightHandSideEx'"</definedName>
    <definedName name="_AMO_ContentDefinition_485496469.2185"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485496469.2186" hidden="1">"'t;/AddQuotes&amp;amp;gt;&amp;amp;lt;DateFormat&amp;amp;gt;None&amp;amp;lt;/DateFormat&amp;amp;gt;&amp;amp;lt;RightHandSideExpression&amp;amp;gt;MFPR01007436&amp;amp;lt;/RightHandSideExpression&amp;amp;gt;&amp;amp;lt;IsSubquery&amp;amp;gt;False&amp;amp;lt;/IsSubquery&amp;amp;gt;&amp;amp;lt;SubqueryTemplateN'"</definedName>
    <definedName name="_AMO_ContentDefinition_485496469.2187"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485496469.2188" hidden="1">"'xpression&amp;amp;gt;MFPR01007437&amp;amp;lt;/RightHandSideExpression&amp;amp;gt;&amp;amp;lt;IsSubquery&amp;amp;gt;False&amp;amp;lt;/IsSubquery&amp;amp;gt;&amp;amp;lt;SubqueryTemplateName /&amp;amp;gt;&amp;amp;lt;/RHSItem&amp;amp;gt;&amp;amp;lt;RHSItem&amp;amp;gt;&amp;amp;lt;RHSType&amp;amp;gt;EXPRESSION&amp;amp;l'"</definedName>
    <definedName name="_AMO_ContentDefinition_485496469.2189" hidden="1">"'t;/RHSType&amp;amp;gt;&amp;amp;lt;AddQuotes&amp;amp;gt;True&amp;amp;lt;/AddQuotes&amp;amp;gt;&amp;amp;lt;DateFormat&amp;amp;gt;None&amp;amp;lt;/DateFormat&amp;amp;gt;&amp;amp;lt;RightHandSideExpression&amp;amp;gt;MFPR01007438&amp;amp;lt;/RightHandSideExpression&amp;amp;gt;&amp;amp;lt;IsSubquery&amp;amp;gt;Fals'"</definedName>
    <definedName name="_AMO_ContentDefinition_485496469.219" hidden="1">"'MFPR01006753',&amp;amp;#xD;&amp;amp;#xA;'MFPR01006754',&amp;amp;#xD;&amp;amp;#xA;'MFPR01006755',&amp;amp;#xD;&amp;amp;#xA;'MFPR01006756',&amp;amp;#xD;&amp;amp;#xA;'MFPR01006757',&amp;amp;#xD;&amp;amp;#xA;'MFPR01006758',&amp;amp;#xD;&amp;amp;#xA;'MFPR01006759',&amp;amp;#xD;&amp;amp;#xA;'MFPR01006760',&amp;amp;#'"</definedName>
    <definedName name="_AMO_ContentDefinition_485496469.2190"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2191" hidden="1">"'None&amp;amp;lt;/DateFormat&amp;amp;gt;&amp;amp;lt;RightHandSideExpression&amp;amp;gt;MFPR01007439&amp;amp;lt;/RightHandSideExpression&amp;amp;gt;&amp;amp;lt;IsSubquery&amp;amp;gt;False&amp;amp;lt;/IsSubquery&amp;amp;gt;&amp;amp;lt;SubqueryTemplateName /&amp;amp;gt;&amp;amp;lt;/RHSItem&amp;amp;gt;&amp;amp;lt;R'"</definedName>
    <definedName name="_AMO_ContentDefinition_485496469.2192" hidden="1">"'HSItem&amp;amp;gt;&amp;amp;lt;RHSType&amp;amp;gt;EXPRESSION&amp;amp;lt;/RHSType&amp;amp;gt;&amp;amp;lt;AddQuotes&amp;amp;gt;True&amp;amp;lt;/AddQuotes&amp;amp;gt;&amp;amp;lt;DateFormat&amp;amp;gt;None&amp;amp;lt;/DateFormat&amp;amp;gt;&amp;amp;lt;RightHandSideExpression&amp;amp;gt;MFPR01007440&amp;amp;lt;/RightHan'"</definedName>
    <definedName name="_AMO_ContentDefinition_485496469.2193"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485496469.2194" hidden="1">"'e&amp;amp;lt;/AddQuotes&amp;amp;gt;&amp;amp;lt;DateFormat&amp;amp;gt;None&amp;amp;lt;/DateFormat&amp;amp;gt;&amp;amp;lt;RightHandSideExpression&amp;amp;gt;MFPR01007441&amp;amp;lt;/RightHandSideExpression&amp;amp;gt;&amp;amp;lt;IsSubquery&amp;amp;gt;False&amp;amp;lt;/IsSubquery&amp;amp;gt;&amp;amp;lt;SubqueryTe'"</definedName>
    <definedName name="_AMO_ContentDefinition_485496469.2195"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485496469.2196" hidden="1">"'ndSideExpression&amp;amp;gt;MFPR01007442&amp;amp;lt;/RightHandSideExpression&amp;amp;gt;&amp;amp;lt;IsSubquery&amp;amp;gt;False&amp;amp;lt;/IsSubquery&amp;amp;gt;&amp;amp;lt;SubqueryTemplateName /&amp;amp;gt;&amp;amp;lt;/RHSItem&amp;amp;gt;&amp;amp;lt;RHSItem&amp;amp;gt;&amp;amp;lt;RHSType&amp;amp;gt;EXPRESSIO'"</definedName>
    <definedName name="_AMO_ContentDefinition_485496469.2197" hidden="1">"'N&amp;amp;lt;/RHSType&amp;amp;gt;&amp;amp;lt;AddQuotes&amp;amp;gt;True&amp;amp;lt;/AddQuotes&amp;amp;gt;&amp;amp;lt;DateFormat&amp;amp;gt;None&amp;amp;lt;/DateFormat&amp;amp;gt;&amp;amp;lt;RightHandSideExpression&amp;amp;gt;MFPR01007443&amp;amp;lt;/RightHandSideExpression&amp;amp;gt;&amp;amp;lt;IsSubquery&amp;amp;'"</definedName>
    <definedName name="_AMO_ContentDefinition_485496469.2198"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485496469.2199" hidden="1">"'amp;gt;None&amp;amp;lt;/DateFormat&amp;amp;gt;&amp;amp;lt;RightHandSideExpression&amp;amp;gt;MFPR01007444&amp;amp;lt;/RightHandSideExpression&amp;amp;gt;&amp;amp;lt;IsSubquery&amp;amp;gt;False&amp;amp;lt;/IsSubquery&amp;amp;gt;&amp;amp;lt;SubqueryTemplateName /&amp;amp;gt;&amp;amp;lt;/RHSItem&amp;amp;gt;&amp;a'"</definedName>
    <definedName name="_AMO_ContentDefinition_485496469.22" hidden="1">"'PR01000254',&amp;#xD;&amp;#xA;'MFPR01000258',&amp;#xD;&amp;#xA;'MFPR01000279',&amp;#xD;&amp;#xA;'MFPR01000285',&amp;#xD;&amp;#xA;'MFPR01000295',&amp;#xD;&amp;#xA;'MFPR01000296',&amp;#xD;&amp;#xA;'MFPR01000297',&amp;#xD;&amp;#xA;'MFPR01000298',&amp;#xD;&amp;#xA;'MFPR01000299',&amp;#xD;&amp;#xA;'MFPR01000300',&amp;#xD;&amp;#xA;'MFP'"</definedName>
    <definedName name="_AMO_ContentDefinition_485496469.220" hidden="1">"'xD;&amp;amp;#xA;'MFPR01006761',&amp;amp;#xD;&amp;amp;#xA;'MFPR01006762',&amp;amp;#xD;&amp;amp;#xA;'MFPR01006763',&amp;amp;#xD;&amp;amp;#xA;'MFPR01006764',&amp;amp;#xD;&amp;amp;#xA;'MFPR01006765',&amp;amp;#xD;&amp;amp;#xA;'MFPR01006766',&amp;amp;#xD;&amp;amp;#xA;'MFPR01006767',&amp;amp;#xD;&amp;amp;#xA;'MFPR010'"</definedName>
    <definedName name="_AMO_ContentDefinition_485496469.2200" hidden="1">"'mp;lt;RHSItem&amp;amp;gt;&amp;amp;lt;RHSType&amp;amp;gt;EXPRESSION&amp;amp;lt;/RHSType&amp;amp;gt;&amp;amp;lt;AddQuotes&amp;amp;gt;True&amp;amp;lt;/AddQuotes&amp;amp;gt;&amp;amp;lt;DateFormat&amp;amp;gt;None&amp;amp;lt;/DateFormat&amp;amp;gt;&amp;amp;lt;RightHandSideExpression&amp;amp;gt;MFPR01007445&amp;amp;lt;/R'"</definedName>
    <definedName name="_AMO_ContentDefinition_485496469.2201"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2202" hidden="1">"';gt;True&amp;amp;lt;/AddQuotes&amp;amp;gt;&amp;amp;lt;DateFormat&amp;amp;gt;None&amp;amp;lt;/DateFormat&amp;amp;gt;&amp;amp;lt;RightHandSideExpression&amp;amp;gt;MFPR01007446&amp;amp;lt;/RightHandSideExpression&amp;amp;gt;&amp;amp;lt;IsSubquery&amp;amp;gt;False&amp;amp;lt;/IsSubquery&amp;amp;gt;&amp;amp;lt;Sub'"</definedName>
    <definedName name="_AMO_ContentDefinition_485496469.2203"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2204" hidden="1">"'RightHandSideExpression&amp;amp;gt;MFPR01007447&amp;amp;lt;/RightHandSideExpression&amp;amp;gt;&amp;amp;lt;IsSubquery&amp;amp;gt;False&amp;amp;lt;/IsSubquery&amp;amp;gt;&amp;amp;lt;SubqueryTemplateName /&amp;amp;gt;&amp;amp;lt;/RHSItem&amp;amp;gt;&amp;amp;lt;RHSItem&amp;amp;gt;&amp;amp;lt;RHSType&amp;amp;gt;EX'"</definedName>
    <definedName name="_AMO_ContentDefinition_485496469.2205" hidden="1">"'PRESSION&amp;amp;lt;/RHSType&amp;amp;gt;&amp;amp;lt;AddQuotes&amp;amp;gt;True&amp;amp;lt;/AddQuotes&amp;amp;gt;&amp;amp;lt;DateFormat&amp;amp;gt;None&amp;amp;lt;/DateFormat&amp;amp;gt;&amp;amp;lt;RightHandSideExpression&amp;amp;gt;MFPR01007448&amp;amp;lt;/RightHandSideExpression&amp;amp;gt;&amp;amp;lt;IsSubque'"</definedName>
    <definedName name="_AMO_ContentDefinition_485496469.2206"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485496469.2207" hidden="1">"'Format&amp;amp;gt;None&amp;amp;lt;/DateFormat&amp;amp;gt;&amp;amp;lt;RightHandSideExpression&amp;amp;gt;MFPR01007449&amp;amp;lt;/RightHandSideExpression&amp;amp;gt;&amp;amp;lt;IsSubquery&amp;amp;gt;False&amp;amp;lt;/IsSubquery&amp;amp;gt;&amp;amp;lt;SubqueryTemplateName /&amp;amp;gt;&amp;amp;lt;/RHSItem&amp;am'"</definedName>
    <definedName name="_AMO_ContentDefinition_485496469.2208" hidden="1">"'p;gt;&amp;amp;lt;RHSItem&amp;amp;gt;&amp;amp;lt;RHSType&amp;amp;gt;EXPRESSION&amp;amp;lt;/RHSType&amp;amp;gt;&amp;amp;lt;AddQuotes&amp;amp;gt;True&amp;amp;lt;/AddQuotes&amp;amp;gt;&amp;amp;lt;DateFormat&amp;amp;gt;None&amp;amp;lt;/DateFormat&amp;amp;gt;&amp;amp;lt;RightHandSideExpression&amp;amp;gt;MFPR01007450&amp;am'"</definedName>
    <definedName name="_AMO_ContentDefinition_485496469.2209"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485496469.221" hidden="1">"'06768',&amp;amp;#xD;&amp;amp;#xA;'MFPR01006769',&amp;amp;#xD;&amp;amp;#xA;'MFPR01006770',&amp;amp;#xD;&amp;amp;#xA;'MFPR01006771',&amp;amp;#xD;&amp;amp;#xA;'MFPR01006772',&amp;amp;#xD;&amp;amp;#xA;'MFPR01006773',&amp;amp;#xD;&amp;amp;#xA;'MFPR01006774',&amp;amp;#xD;&amp;amp;#xA;'MFPR01006775',&amp;amp;#xD;&amp;amp'"</definedName>
    <definedName name="_AMO_ContentDefinition_485496469.2210" hidden="1">"'tes&amp;amp;gt;True&amp;amp;lt;/AddQuotes&amp;amp;gt;&amp;amp;lt;DateFormat&amp;amp;gt;None&amp;amp;lt;/DateFormat&amp;amp;gt;&amp;amp;lt;RightHandSideExpression&amp;amp;gt;MFPR01007451&amp;amp;lt;/RightHandSideExpression&amp;amp;gt;&amp;amp;lt;IsSubquery&amp;amp;gt;False&amp;amp;lt;/IsSubquery&amp;amp;gt;&amp;amp'"</definedName>
    <definedName name="_AMO_ContentDefinition_485496469.2211"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485496469.2212" hidden="1">"'amp;lt;RightHandSideExpression&amp;amp;gt;MFPR01007452&amp;amp;lt;/RightHandSideExpression&amp;amp;gt;&amp;amp;lt;IsSubquery&amp;amp;gt;False&amp;amp;lt;/IsSubquery&amp;amp;gt;&amp;amp;lt;SubqueryTemplateName /&amp;amp;gt;&amp;amp;lt;/RHSItem&amp;amp;gt;&amp;amp;lt;RHSItem&amp;amp;gt;&amp;amp;lt;RHSType&amp;am'"</definedName>
    <definedName name="_AMO_ContentDefinition_485496469.2213" hidden="1">"'p;gt;EXPRESSION&amp;amp;lt;/RHSType&amp;amp;gt;&amp;amp;lt;AddQuotes&amp;amp;gt;True&amp;amp;lt;/AddQuotes&amp;amp;gt;&amp;amp;lt;DateFormat&amp;amp;gt;None&amp;amp;lt;/DateFormat&amp;amp;gt;&amp;amp;lt;RightHandSideExpression&amp;amp;gt;MFPR01007453&amp;amp;lt;/RightHandSideExpression&amp;amp;gt;&amp;amp;lt;I'"</definedName>
    <definedName name="_AMO_ContentDefinition_485496469.2214"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2215" hidden="1">"'lt;DateFormat&amp;amp;gt;None&amp;amp;lt;/DateFormat&amp;amp;gt;&amp;amp;lt;RightHandSideExpression&amp;amp;gt;MFPR01007454&amp;amp;lt;/RightHandSideExpression&amp;amp;gt;&amp;amp;lt;IsSubquery&amp;amp;gt;False&amp;amp;lt;/IsSubquery&amp;amp;gt;&amp;amp;lt;SubqueryTemplateName /&amp;amp;gt;&amp;amp;lt;/RHS'"</definedName>
    <definedName name="_AMO_ContentDefinition_485496469.2216" hidden="1">"'Item&amp;amp;gt;&amp;amp;lt;RHSItem&amp;amp;gt;&amp;amp;lt;RHSType&amp;amp;gt;EXPRESSION&amp;amp;lt;/RHSType&amp;amp;gt;&amp;amp;lt;AddQuotes&amp;amp;gt;True&amp;amp;lt;/AddQuotes&amp;amp;gt;&amp;amp;lt;DateFormat&amp;amp;gt;None&amp;amp;lt;/DateFormat&amp;amp;gt;&amp;amp;lt;RightHandSideExpression&amp;amp;gt;MFPR0100'"</definedName>
    <definedName name="_AMO_ContentDefinition_485496469.2217" hidden="1">"'7455&amp;amp;lt;/RightHandSideExpression&amp;amp;gt;&amp;amp;lt;IsSubquery&amp;amp;gt;False&amp;amp;lt;/IsSubquery&amp;amp;gt;&amp;amp;lt;SubqueryTemplateName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2218" hidden="1">"';AddQuotes&amp;amp;gt;True&amp;amp;lt;/AddQuotes&amp;amp;gt;&amp;amp;lt;DateFormat&amp;amp;gt;None&amp;amp;lt;/DateFormat&amp;amp;gt;&amp;amp;lt;RightHandSideExpression&amp;amp;gt;MFPR01007456&amp;amp;lt;/RightHandSideExpression&amp;amp;gt;&amp;amp;lt;IsSubquery&amp;amp;gt;False&amp;amp;lt;/IsSubquery&amp;amp;'"</definedName>
    <definedName name="_AMO_ContentDefinition_485496469.2219"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485496469.222" hidden="1">"';#xA;'MFPR01006776',&amp;amp;#xD;&amp;amp;#xA;'MFPR01006777',&amp;amp;#xD;&amp;amp;#xA;'MFPR01006778',&amp;amp;#xD;&amp;amp;#xA;'MFPR01006779',&amp;amp;#xD;&amp;amp;#xA;'MFPR01006780',&amp;amp;#xD;&amp;amp;#xA;'MFPR01006781',&amp;amp;#xD;&amp;amp;#xA;'MFPR01006782',&amp;amp;#xD;&amp;amp;#xA;'MFPR01006783','"</definedName>
    <definedName name="_AMO_ContentDefinition_485496469.2220" hidden="1">"'mp;gt;&amp;amp;lt;RightHandSideExpression&amp;amp;gt;MFPR01007457&amp;amp;lt;/RightHandSideExpression&amp;amp;gt;&amp;amp;lt;IsSubquery&amp;amp;gt;False&amp;amp;lt;/IsSubquery&amp;amp;gt;&amp;amp;lt;SubqueryTemplateName /&amp;amp;gt;&amp;amp;lt;/RHSItem&amp;amp;gt;&amp;amp;lt;RHSItem&amp;amp;gt;&amp;amp;lt;RHS'"</definedName>
    <definedName name="_AMO_ContentDefinition_485496469.2221" hidden="1">"'Type&amp;amp;gt;EXPRESSION&amp;amp;lt;/RHSType&amp;amp;gt;&amp;amp;lt;AddQuotes&amp;amp;gt;True&amp;amp;lt;/AddQuotes&amp;amp;gt;&amp;amp;lt;DateFormat&amp;amp;gt;None&amp;amp;lt;/DateFormat&amp;amp;gt;&amp;amp;lt;RightHandSideExpression&amp;amp;gt;MFPR01007458&amp;amp;lt;/RightHandSideExpression&amp;amp;gt;&amp;a'"</definedName>
    <definedName name="_AMO_ContentDefinition_485496469.2222"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485496469.2223" hidden="1">"'t;&amp;amp;lt;DateFormat&amp;amp;gt;None&amp;amp;lt;/DateFormat&amp;amp;gt;&amp;amp;lt;RightHandSideExpression&amp;amp;gt;MFPR01007459&amp;amp;lt;/RightHandSideExpression&amp;amp;gt;&amp;amp;lt;IsSubquery&amp;amp;gt;False&amp;amp;lt;/IsSubquery&amp;amp;gt;&amp;amp;lt;SubqueryTemplateName /&amp;amp;gt;&amp;amp;'"</definedName>
    <definedName name="_AMO_ContentDefinition_485496469.2224" hidden="1">"'lt;/RHSItem&amp;amp;gt;&amp;amp;lt;RHSItem&amp;amp;gt;&amp;amp;lt;RHSType&amp;amp;gt;EXPRESSION&amp;amp;lt;/RHSType&amp;amp;gt;&amp;amp;lt;AddQuotes&amp;amp;gt;True&amp;amp;lt;/AddQuotes&amp;amp;gt;&amp;amp;lt;DateFormat&amp;amp;gt;None&amp;amp;lt;/DateFormat&amp;amp;gt;&amp;amp;lt;RightHandSideExpression&amp;amp;gt;M'"</definedName>
    <definedName name="_AMO_ContentDefinition_485496469.2225" hidden="1">"'FPR01007460&amp;amp;lt;/RightHandSideExpression&amp;amp;gt;&amp;amp;lt;IsSubquery&amp;amp;gt;False&amp;amp;lt;/IsSubquery&amp;amp;gt;&amp;amp;lt;SubqueryTemplateName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2226" hidden="1">"'&amp;amp;lt;AddQuotes&amp;amp;gt;True&amp;amp;lt;/AddQuotes&amp;amp;gt;&amp;amp;lt;DateFormat&amp;amp;gt;None&amp;amp;lt;/DateFormat&amp;amp;gt;&amp;amp;lt;RightHandSideExpression&amp;amp;gt;MFPR01007461&amp;amp;lt;/RightHandSideExpression&amp;amp;gt;&amp;amp;lt;IsSubquery&amp;amp;gt;False&amp;amp;lt;/IsSubque'"</definedName>
    <definedName name="_AMO_ContentDefinition_485496469.2227"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485496469.2228" hidden="1">"'ormat&amp;amp;gt;&amp;amp;lt;RightHandSideExpression&amp;amp;gt;MFPR01007462&amp;amp;lt;/RightHandSideExpression&amp;amp;gt;&amp;amp;lt;IsSubquery&amp;amp;gt;False&amp;amp;lt;/IsSubquery&amp;amp;gt;&amp;amp;lt;SubqueryTemplateName /&amp;amp;gt;&amp;amp;lt;/RHSItem&amp;amp;gt;&amp;amp;lt;RHSItem&amp;amp;gt;&amp;amp'"</definedName>
    <definedName name="_AMO_ContentDefinition_485496469.2229" hidden="1">"';lt;RHSType&amp;amp;gt;EXPRESSION&amp;amp;lt;/RHSType&amp;amp;gt;&amp;amp;lt;AddQuotes&amp;amp;gt;True&amp;amp;lt;/AddQuotes&amp;amp;gt;&amp;amp;lt;DateFormat&amp;amp;gt;None&amp;amp;lt;/DateFormat&amp;amp;gt;&amp;amp;lt;RightHandSideExpression&amp;amp;gt;MFPR01007463&amp;amp;lt;/RightHandSideExpression&amp;am'"</definedName>
    <definedName name="_AMO_ContentDefinition_485496469.223" hidden="1">"'&amp;amp;#xD;&amp;amp;#xA;'MFPR01006784',&amp;amp;#xD;&amp;amp;#xA;'MFPR01006785',&amp;amp;#xD;&amp;amp;#xA;'MFPR01006786',&amp;amp;#xD;&amp;amp;#xA;'MFPR01006787',&amp;amp;#xD;&amp;amp;#xA;'MFPR01006788',&amp;amp;#xD;&amp;amp;#xA;'MFPR01006789',&amp;amp;#xD;&amp;amp;#xA;'MFPR01006790',&amp;amp;#xD;&amp;amp;#xA;'M'"</definedName>
    <definedName name="_AMO_ContentDefinition_485496469.2230"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485496469.2231" hidden="1">"'s&amp;amp;gt;&amp;amp;lt;DateFormat&amp;amp;gt;None&amp;amp;lt;/DateFormat&amp;amp;gt;&amp;amp;lt;RightHandSideExpression&amp;amp;gt;MFPR01007464&amp;amp;lt;/RightHandSideExpression&amp;amp;gt;&amp;amp;lt;IsSubquery&amp;amp;gt;False&amp;amp;lt;/IsSubquery&amp;amp;gt;&amp;amp;lt;SubqueryTemplateName /&amp;amp;g'"</definedName>
    <definedName name="_AMO_ContentDefinition_485496469.2232" hidden="1">"'t;&amp;amp;lt;/RHSItem&amp;amp;gt;&amp;amp;lt;RHSItem&amp;amp;gt;&amp;amp;lt;RHSType&amp;amp;gt;EXPRESSION&amp;amp;lt;/RHSType&amp;amp;gt;&amp;amp;lt;AddQuotes&amp;amp;gt;True&amp;amp;lt;/AddQuotes&amp;amp;gt;&amp;amp;lt;DateFormat&amp;amp;gt;None&amp;amp;lt;/DateFormat&amp;amp;gt;&amp;amp;lt;RightHandSideExpression&amp;a'"</definedName>
    <definedName name="_AMO_ContentDefinition_485496469.2233" hidden="1">"'mp;gt;MFPR01007465&amp;amp;lt;/RightHandSideExpression&amp;amp;gt;&amp;amp;lt;IsSubquery&amp;amp;gt;False&amp;amp;lt;/IsSubquery&amp;amp;gt;&amp;amp;lt;SubqueryTemplateName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485496469.2234" hidden="1">"'amp;gt;&amp;amp;lt;AddQuotes&amp;amp;gt;True&amp;amp;lt;/AddQuotes&amp;amp;gt;&amp;amp;lt;DateFormat&amp;amp;gt;None&amp;amp;lt;/DateFormat&amp;amp;gt;&amp;amp;lt;RightHandSideExpression&amp;amp;gt;MFPR01007466&amp;amp;lt;/RightHandSideExpression&amp;amp;gt;&amp;amp;lt;IsSubquery&amp;amp;gt;False&amp;amp;lt;/I'"</definedName>
    <definedName name="_AMO_ContentDefinition_485496469.2235"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2236" hidden="1">"';/DateFormat&amp;amp;gt;&amp;amp;lt;RightHandSideExpression&amp;amp;gt;MFPR01007467&amp;amp;lt;/RightHandSideExpression&amp;amp;gt;&amp;amp;lt;IsSubquery&amp;amp;gt;False&amp;amp;lt;/IsSubquery&amp;amp;gt;&amp;amp;lt;SubqueryTemplateName /&amp;amp;gt;&amp;amp;lt;/RHSItem&amp;amp;gt;&amp;amp;lt;RHSItem&amp;amp;'"</definedName>
    <definedName name="_AMO_ContentDefinition_485496469.2237" hidden="1">"'gt;&amp;amp;lt;RHSType&amp;amp;gt;EXPRESSION&amp;amp;lt;/RHSType&amp;amp;gt;&amp;amp;lt;AddQuotes&amp;amp;gt;True&amp;amp;lt;/AddQuotes&amp;amp;gt;&amp;amp;lt;DateFormat&amp;amp;gt;None&amp;amp;lt;/DateFormat&amp;amp;gt;&amp;amp;lt;RightHandSideExpression&amp;amp;gt;MFPR01007468&amp;amp;lt;/RightHandSideExpres'"</definedName>
    <definedName name="_AMO_ContentDefinition_485496469.2238"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485496469.2239" hidden="1">"'ddQuotes&amp;amp;gt;&amp;amp;lt;DateFormat&amp;amp;gt;None&amp;amp;lt;/DateFormat&amp;amp;gt;&amp;amp;lt;RightHandSideExpression&amp;amp;gt;MFPR01007469&amp;amp;lt;/RightHandSideExpression&amp;amp;gt;&amp;amp;lt;IsSubquery&amp;amp;gt;False&amp;amp;lt;/IsSubquery&amp;amp;gt;&amp;amp;lt;SubqueryTemplateName '"</definedName>
    <definedName name="_AMO_ContentDefinition_485496469.224" hidden="1">"'FPR01006791',&amp;amp;#xD;&amp;amp;#xA;'MFPR01006792',&amp;amp;#xD;&amp;amp;#xA;'MFPR01006793',&amp;amp;#xD;&amp;amp;#xA;'MFPR01006794',&amp;amp;#xD;&amp;amp;#xA;'MFPR01006795',&amp;amp;#xD;&amp;amp;#xA;'MFPR01006796',&amp;amp;#xD;&amp;amp;#xA;'MFPR01006797',&amp;amp;#xD;&amp;amp;#xA;'MFPR01006798',&amp;amp;#x'"</definedName>
    <definedName name="_AMO_ContentDefinition_485496469.2240"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485496469.2241" hidden="1">"'ssion&amp;amp;gt;MFPR01007470&amp;amp;lt;/RightHandSideExpression&amp;amp;gt;&amp;amp;lt;IsSubquery&amp;amp;gt;False&amp;amp;lt;/IsSubquery&amp;amp;gt;&amp;amp;lt;SubqueryTemplateName /&amp;amp;gt;&amp;amp;lt;/RHSItem&amp;amp;gt;&amp;amp;lt;RHSItem&amp;amp;gt;&amp;amp;lt;RHSType&amp;amp;gt;EXPRESSION&amp;amp;lt;/R'"</definedName>
    <definedName name="_AMO_ContentDefinition_485496469.2242" hidden="1">"'HSType&amp;amp;gt;&amp;amp;lt;AddQuotes&amp;amp;gt;True&amp;amp;lt;/AddQuotes&amp;amp;gt;&amp;amp;lt;DateFormat&amp;amp;gt;None&amp;amp;lt;/DateFormat&amp;amp;gt;&amp;amp;lt;RightHandSideExpression&amp;amp;gt;MFPR01007471&amp;amp;lt;/RightHandSideExpression&amp;amp;gt;&amp;amp;lt;IsSubquery&amp;amp;gt;False&amp;am'"</definedName>
    <definedName name="_AMO_ContentDefinition_485496469.2243"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485496469.2244" hidden="1">"'&amp;amp;lt;/DateFormat&amp;amp;gt;&amp;amp;lt;RightHandSideExpression&amp;amp;gt;MFPR01007472&amp;amp;lt;/RightHandSideExpression&amp;amp;gt;&amp;amp;lt;IsSubquery&amp;amp;gt;False&amp;amp;lt;/IsSubquery&amp;amp;gt;&amp;amp;lt;SubqueryTemplateName /&amp;amp;gt;&amp;amp;lt;/RHSItem&amp;amp;gt;&amp;amp;lt;RHSIt'"</definedName>
    <definedName name="_AMO_ContentDefinition_485496469.2245" hidden="1">"'em&amp;amp;gt;&amp;amp;lt;RHSType&amp;amp;gt;EXPRESSION&amp;amp;lt;/RHSType&amp;amp;gt;&amp;amp;lt;AddQuotes&amp;amp;gt;True&amp;amp;lt;/AddQuotes&amp;amp;gt;&amp;amp;lt;DateFormat&amp;amp;gt;None&amp;amp;lt;/DateFormat&amp;amp;gt;&amp;amp;lt;RightHandSideExpression&amp;amp;gt;MFPR01007473&amp;amp;lt;/RightHandSid'"</definedName>
    <definedName name="_AMO_ContentDefinition_485496469.2246"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485496469.2247" hidden="1">"'p;lt;/AddQuotes&amp;amp;gt;&amp;amp;lt;DateFormat&amp;amp;gt;None&amp;amp;lt;/DateFormat&amp;amp;gt;&amp;amp;lt;RightHandSideExpression&amp;amp;gt;MFPR01007474&amp;amp;lt;/RightHandSideExpression&amp;amp;gt;&amp;amp;lt;IsSubquery&amp;amp;gt;False&amp;amp;lt;/IsSubquery&amp;amp;gt;&amp;amp;lt;SubqueryTempla'"</definedName>
    <definedName name="_AMO_ContentDefinition_485496469.2248"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485496469.2249" hidden="1">"'deExpression&amp;amp;gt;MFPR01007475&amp;amp;lt;/RightHandSideExpression&amp;amp;gt;&amp;amp;lt;IsSubquery&amp;amp;gt;False&amp;amp;lt;/IsSubquery&amp;amp;gt;&amp;amp;lt;SubqueryTemplateName /&amp;amp;gt;&amp;amp;lt;/RHSItem&amp;amp;gt;&amp;amp;lt;RHSItem&amp;amp;gt;&amp;amp;lt;RHSType&amp;amp;gt;EXPRESSION&amp;am'"</definedName>
    <definedName name="_AMO_ContentDefinition_485496469.225" hidden="1">"'D;&amp;amp;#xA;'MFPR01006799',&amp;amp;#xD;&amp;amp;#xA;'MFPR01006800',&amp;amp;#xD;&amp;amp;#xA;'MFPR01006801',&amp;amp;#xD;&amp;amp;#xA;'MFPR01006802',&amp;amp;#xD;&amp;amp;#xA;'MFPR01006803',&amp;amp;#xD;&amp;amp;#xA;'MFPR01006804',&amp;amp;#xD;&amp;amp;#xA;'MFPR01006805',&amp;amp;#xD;&amp;amp;#xA;'MFPR0100'"</definedName>
    <definedName name="_AMO_ContentDefinition_485496469.2250" hidden="1">"'p;lt;/RHSType&amp;amp;gt;&amp;amp;lt;AddQuotes&amp;amp;gt;True&amp;amp;lt;/AddQuotes&amp;amp;gt;&amp;amp;lt;DateFormat&amp;amp;gt;None&amp;amp;lt;/DateFormat&amp;amp;gt;&amp;amp;lt;RightHandSideExpression&amp;amp;gt;MFPR01007476&amp;amp;lt;/RightHandSideExpression&amp;amp;gt;&amp;amp;lt;IsSubquery&amp;amp;gt;F'"</definedName>
    <definedName name="_AMO_ContentDefinition_485496469.2251"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2252" hidden="1">"'gt;None&amp;amp;lt;/DateFormat&amp;amp;gt;&amp;amp;lt;RightHandSideExpression&amp;amp;gt;MFPR01007477&amp;amp;lt;/RightHandSideExpression&amp;amp;gt;&amp;amp;lt;IsSubquery&amp;amp;gt;False&amp;amp;lt;/IsSubquery&amp;amp;gt;&amp;amp;lt;SubqueryTemplateName /&amp;amp;gt;&amp;amp;lt;/RHSItem&amp;amp;gt;&amp;amp;l'"</definedName>
    <definedName name="_AMO_ContentDefinition_485496469.2253" hidden="1">"'t;RHSItem&amp;amp;gt;&amp;amp;lt;RHSType&amp;amp;gt;EXPRESSION&amp;amp;lt;/RHSType&amp;amp;gt;&amp;amp;lt;AddQuotes&amp;amp;gt;True&amp;amp;lt;/AddQuotes&amp;amp;gt;&amp;amp;lt;DateFormat&amp;amp;gt;None&amp;amp;lt;/DateFormat&amp;amp;gt;&amp;amp;lt;RightHandSideExpression&amp;amp;gt;MFPR01007478&amp;amp;lt;/Right'"</definedName>
    <definedName name="_AMO_ContentDefinition_485496469.2254"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2255" hidden="1">"'True&amp;amp;lt;/AddQuotes&amp;amp;gt;&amp;amp;lt;DateFormat&amp;amp;gt;None&amp;amp;lt;/DateFormat&amp;amp;gt;&amp;amp;lt;RightHandSideExpression&amp;amp;gt;MFPR01007479&amp;amp;lt;/RightHandSideExpression&amp;amp;gt;&amp;amp;lt;IsSubquery&amp;amp;gt;False&amp;amp;lt;/IsSubquery&amp;amp;gt;&amp;amp;lt;Subquer'"</definedName>
    <definedName name="_AMO_ContentDefinition_485496469.2256"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485496469.2257" hidden="1">"'tHandSideExpression&amp;amp;gt;MFPR01007480&amp;amp;lt;/RightHandSideExpression&amp;amp;gt;&amp;amp;lt;IsSubquery&amp;amp;gt;False&amp;amp;lt;/IsSubquery&amp;amp;gt;&amp;amp;lt;SubqueryTemplateName /&amp;amp;gt;&amp;amp;lt;/RHSItem&amp;amp;gt;&amp;amp;lt;RHSItem&amp;amp;gt;&amp;amp;lt;RHSType&amp;amp;gt;EXPRES'"</definedName>
    <definedName name="_AMO_ContentDefinition_485496469.2258" hidden="1">"'SION&amp;amp;lt;/RHSType&amp;amp;gt;&amp;amp;lt;AddQuotes&amp;amp;gt;True&amp;amp;lt;/AddQuotes&amp;amp;gt;&amp;amp;lt;DateFormat&amp;amp;gt;None&amp;amp;lt;/DateFormat&amp;amp;gt;&amp;amp;lt;RightHandSideExpression&amp;amp;gt;MFPR01007481&amp;amp;lt;/RightHandSideExpression&amp;amp;gt;&amp;amp;lt;IsSubquery&amp;a'"</definedName>
    <definedName name="_AMO_ContentDefinition_485496469.2259"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485496469.226" hidden="1">"'6806',&amp;amp;#xD;&amp;amp;#xA;'MFPR01006807',&amp;amp;#xD;&amp;amp;#xA;'MFPR01006808',&amp;amp;#xD;&amp;amp;#xA;'MFPR01006809',&amp;amp;#xD;&amp;amp;#xA;'MFPR01006810',&amp;amp;#xD;&amp;amp;#xA;'MFPR01006811',&amp;amp;#xD;&amp;amp;#xA;'MFPR01006812',&amp;amp;#xD;&amp;amp;#xA;'MFPR01006813',&amp;amp;#xD;&amp;amp;'"</definedName>
    <definedName name="_AMO_ContentDefinition_485496469.2260" hidden="1">"'at&amp;amp;gt;None&amp;amp;lt;/DateFormat&amp;amp;gt;&amp;amp;lt;RightHandSideExpression&amp;amp;gt;MFPR01007482&amp;amp;lt;/RightHandSideExpression&amp;amp;gt;&amp;amp;lt;IsSubquery&amp;amp;gt;False&amp;amp;lt;/IsSubquery&amp;amp;gt;&amp;amp;lt;SubqueryTemplateName /&amp;amp;gt;&amp;amp;lt;/RHSItem&amp;amp;gt'"</definedName>
    <definedName name="_AMO_ContentDefinition_485496469.2261" hidden="1">"';&amp;amp;lt;RHSItem&amp;amp;gt;&amp;amp;lt;RHSType&amp;amp;gt;EXPRESSION&amp;amp;lt;/RHSType&amp;amp;gt;&amp;amp;lt;AddQuotes&amp;amp;gt;True&amp;amp;lt;/AddQuotes&amp;amp;gt;&amp;amp;lt;DateFormat&amp;amp;gt;None&amp;amp;lt;/DateFormat&amp;amp;gt;&amp;amp;lt;RightHandSideExpression&amp;amp;gt;MFPR01007483&amp;amp;lt'"</definedName>
    <definedName name="_AMO_ContentDefinition_485496469.2262"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485496469.2263" hidden="1">"'amp;gt;True&amp;amp;lt;/AddQuotes&amp;amp;gt;&amp;amp;lt;DateFormat&amp;amp;gt;None&amp;amp;lt;/DateFormat&amp;amp;gt;&amp;amp;lt;RightHandSideExpression&amp;amp;gt;MFPR01007484&amp;amp;lt;/RightHandSideExpression&amp;amp;gt;&amp;amp;lt;IsSubquery&amp;amp;gt;False&amp;amp;lt;/IsSubquery&amp;amp;gt;&amp;amp;lt;'"</definedName>
    <definedName name="_AMO_ContentDefinition_485496469.2264"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2265" hidden="1">"'lt;RightHandSideExpression&amp;amp;gt;MFPR01007485&amp;amp;lt;/RightHandSideExpression&amp;amp;gt;&amp;amp;lt;IsSubquery&amp;amp;gt;False&amp;amp;lt;/IsSubquery&amp;amp;gt;&amp;amp;lt;SubqueryTemplateName /&amp;amp;gt;&amp;amp;lt;/RHSItem&amp;amp;gt;&amp;amp;lt;RHSItem&amp;amp;gt;&amp;amp;lt;RHSType&amp;amp;gt'"</definedName>
    <definedName name="_AMO_ContentDefinition_485496469.2266" hidden="1">"';EXPRESSION&amp;amp;lt;/RHSType&amp;amp;gt;&amp;amp;lt;AddQuotes&amp;amp;gt;True&amp;amp;lt;/AddQuotes&amp;amp;gt;&amp;amp;lt;DateFormat&amp;amp;gt;None&amp;amp;lt;/DateFormat&amp;amp;gt;&amp;amp;lt;RightHandSideExpression&amp;amp;gt;MFPR01007486&amp;amp;lt;/RightHandSideExpression&amp;amp;gt;&amp;amp;lt;IsSub'"</definedName>
    <definedName name="_AMO_ContentDefinition_485496469.2267"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485496469.2268" hidden="1">"'ateFormat&amp;amp;gt;None&amp;amp;lt;/DateFormat&amp;amp;gt;&amp;amp;lt;RightHandSideExpression&amp;amp;gt;MFPR01007487&amp;amp;lt;/RightHandSideExpression&amp;amp;gt;&amp;amp;lt;IsSubquery&amp;amp;gt;False&amp;amp;lt;/IsSubquery&amp;amp;gt;&amp;amp;lt;SubqueryTemplateName /&amp;amp;gt;&amp;amp;lt;/RHSItem'"</definedName>
    <definedName name="_AMO_ContentDefinition_485496469.2269" hidden="1">"'&amp;amp;gt;&amp;amp;lt;RHSItem&amp;amp;gt;&amp;amp;lt;RHSType&amp;amp;gt;EXPRESSION&amp;amp;lt;/RHSType&amp;amp;gt;&amp;amp;lt;AddQuotes&amp;amp;gt;True&amp;amp;lt;/AddQuotes&amp;amp;gt;&amp;amp;lt;DateFormat&amp;amp;gt;None&amp;amp;lt;/DateFormat&amp;amp;gt;&amp;amp;lt;RightHandSideExpression&amp;amp;gt;MFPR01007488'"</definedName>
    <definedName name="_AMO_ContentDefinition_485496469.227" hidden="1">"'#xA;'MFPR01006814',&amp;amp;#xD;&amp;amp;#xA;'MFPR01006815',&amp;amp;#xD;&amp;amp;#xA;'MFPR01006816',&amp;amp;#xD;&amp;amp;#xA;'MFPR01006817',&amp;amp;#xD;&amp;amp;#xA;'MFPR01006818',&amp;amp;#xD;&amp;amp;#xA;'MFPR01006819',&amp;amp;#xD;&amp;amp;#xA;'MFPR01006820',&amp;amp;#xD;&amp;amp;#xA;'MFPR01006821',&amp;'"</definedName>
    <definedName name="_AMO_ContentDefinition_485496469.2270"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485496469.2271" hidden="1">"'Quotes&amp;amp;gt;True&amp;amp;lt;/AddQuotes&amp;amp;gt;&amp;amp;lt;DateFormat&amp;amp;gt;None&amp;amp;lt;/DateFormat&amp;amp;gt;&amp;amp;lt;RightHandSideExpression&amp;amp;gt;MFPR01007489&amp;amp;lt;/RightHandSideExpression&amp;amp;gt;&amp;amp;lt;IsSubquery&amp;amp;gt;False&amp;amp;lt;/IsSubquery&amp;amp;gt;&amp;'"</definedName>
    <definedName name="_AMO_ContentDefinition_485496469.2272"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485496469.2273" hidden="1">"'t;&amp;amp;lt;RightHandSideExpression&amp;amp;gt;MFPR01007490&amp;amp;lt;/RightHandSideExpression&amp;amp;gt;&amp;amp;lt;IsSubquery&amp;amp;gt;False&amp;amp;lt;/IsSubquery&amp;amp;gt;&amp;amp;lt;SubqueryTemplateName /&amp;amp;gt;&amp;amp;lt;/RHSItem&amp;amp;gt;&amp;amp;lt;RHSItem&amp;amp;gt;&amp;amp;lt;RHSType'"</definedName>
    <definedName name="_AMO_ContentDefinition_485496469.2274" hidden="1">"'&amp;amp;gt;EXPRESSION&amp;amp;lt;/RHSType&amp;amp;gt;&amp;amp;lt;AddQuotes&amp;amp;gt;True&amp;amp;lt;/AddQuotes&amp;amp;gt;&amp;amp;lt;DateFormat&amp;amp;gt;None&amp;amp;lt;/DateFormat&amp;amp;gt;&amp;amp;lt;RightHandSideExpression&amp;amp;gt;MFPR01007491&amp;amp;lt;/RightHandSideExpression&amp;amp;gt;&amp;amp;l'"</definedName>
    <definedName name="_AMO_ContentDefinition_485496469.2275"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485496469.2276" hidden="1">"'mp;lt;DateFormat&amp;amp;gt;None&amp;amp;lt;/DateFormat&amp;amp;gt;&amp;amp;lt;RightHandSideExpression&amp;amp;gt;MFPR01007492&amp;amp;lt;/RightHandSideExpression&amp;amp;gt;&amp;amp;lt;IsSubquery&amp;amp;gt;False&amp;amp;lt;/IsSubquery&amp;amp;gt;&amp;amp;lt;SubqueryTemplateName /&amp;amp;gt;&amp;amp;lt;/'"</definedName>
    <definedName name="_AMO_ContentDefinition_485496469.2277" hidden="1">"'RHSItem&amp;amp;gt;&amp;amp;lt;RHSItem&amp;amp;gt;&amp;amp;lt;RHSType&amp;amp;gt;EXPRESSION&amp;amp;lt;/RHSType&amp;amp;gt;&amp;amp;lt;AddQuotes&amp;amp;gt;True&amp;amp;lt;/AddQuotes&amp;amp;gt;&amp;amp;lt;DateFormat&amp;amp;gt;None&amp;amp;lt;/DateFormat&amp;amp;gt;&amp;amp;lt;RightHandSideExpression&amp;amp;gt;MFPR0'"</definedName>
    <definedName name="_AMO_ContentDefinition_485496469.2278" hidden="1">"'1007493&amp;amp;lt;/RightHandSideExpression&amp;amp;gt;&amp;amp;lt;IsSubquery&amp;amp;gt;False&amp;amp;lt;/IsSubquery&amp;amp;gt;&amp;amp;lt;SubqueryTemplateName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2279" hidden="1">"';lt;AddQuotes&amp;amp;gt;True&amp;amp;lt;/AddQuotes&amp;amp;gt;&amp;amp;lt;DateFormat&amp;amp;gt;None&amp;amp;lt;/DateFormat&amp;amp;gt;&amp;amp;lt;RightHandSideExpression&amp;amp;gt;MFPR01007494&amp;amp;lt;/RightHandSideExpression&amp;amp;gt;&amp;amp;lt;IsSubquery&amp;amp;gt;False&amp;amp;lt;/IsSubquery&amp;a'"</definedName>
    <definedName name="_AMO_ContentDefinition_485496469.228" hidden="1">"'amp;#xD;&amp;amp;#xA;'MFPR01006822',&amp;amp;#xD;&amp;amp;#xA;'MFPR01006823',&amp;amp;#xD;&amp;amp;#xA;'MFPR01006824',&amp;amp;#xD;&amp;amp;#xA;'MFPR01006825',&amp;amp;#xD;&amp;amp;#xA;'MFPR01006826',&amp;amp;#xD;&amp;amp;#xA;'MFPR01006827',&amp;amp;#xD;&amp;amp;#xA;'MFPR01006828',&amp;amp;#xD;&amp;amp;#xA;'MF'"</definedName>
    <definedName name="_AMO_ContentDefinition_485496469.2280"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485496469.2281" hidden="1">"'t&amp;amp;gt;&amp;amp;lt;RightHandSideExpression&amp;amp;gt;MFPR01007495&amp;amp;lt;/RightHandSideExpression&amp;amp;gt;&amp;amp;lt;IsSubquery&amp;amp;gt;False&amp;amp;lt;/IsSubquery&amp;amp;gt;&amp;amp;lt;SubqueryTemplateName /&amp;amp;gt;&amp;amp;lt;/RHSItem&amp;amp;gt;&amp;amp;lt;RHSItem&amp;amp;gt;&amp;amp;lt;'"</definedName>
    <definedName name="_AMO_ContentDefinition_485496469.2282" hidden="1">"'RHSType&amp;amp;gt;EXPRESSION&amp;amp;lt;/RHSType&amp;amp;gt;&amp;amp;lt;AddQuotes&amp;amp;gt;True&amp;amp;lt;/AddQuotes&amp;amp;gt;&amp;amp;lt;DateFormat&amp;amp;gt;None&amp;amp;lt;/DateFormat&amp;amp;gt;&amp;amp;lt;RightHandSideExpression&amp;amp;gt;MFPR01007496&amp;amp;lt;/RightHandSideExpression&amp;amp;gt'"</definedName>
    <definedName name="_AMO_ContentDefinition_485496469.2283"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485496469.2284" hidden="1">"'p;gt;&amp;amp;lt;DateFormat&amp;amp;gt;None&amp;amp;lt;/DateFormat&amp;amp;gt;&amp;amp;lt;RightHandSideExpression&amp;amp;gt;MFPR01007497&amp;amp;lt;/RightHandSideExpression&amp;amp;gt;&amp;amp;lt;IsSubquery&amp;amp;gt;False&amp;amp;lt;/IsSubquery&amp;amp;gt;&amp;amp;lt;SubqueryTemplateName /&amp;amp;gt;&amp;a'"</definedName>
    <definedName name="_AMO_ContentDefinition_485496469.2285" hidden="1">"'mp;lt;/RHSItem&amp;amp;gt;&amp;amp;lt;RHSItem&amp;amp;gt;&amp;amp;lt;RHSType&amp;amp;gt;EXPRESSION&amp;amp;lt;/RHSType&amp;amp;gt;&amp;amp;lt;AddQuotes&amp;amp;gt;True&amp;amp;lt;/AddQuotes&amp;amp;gt;&amp;amp;lt;DateFormat&amp;amp;gt;None&amp;amp;lt;/DateFormat&amp;amp;gt;&amp;amp;lt;RightHandSideExpression&amp;amp;g'"</definedName>
    <definedName name="_AMO_ContentDefinition_485496469.2286" hidden="1">"'t;MFPR01007498&amp;amp;lt;/RightHandSideExpression&amp;amp;gt;&amp;amp;lt;IsSubquery&amp;amp;gt;False&amp;amp;lt;/IsSubquery&amp;amp;gt;&amp;amp;lt;SubqueryTemplateName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2287" hidden="1">"'gt;&amp;amp;lt;AddQuotes&amp;amp;gt;True&amp;amp;lt;/AddQuotes&amp;amp;gt;&amp;amp;lt;DateFormat&amp;amp;gt;None&amp;amp;lt;/DateFormat&amp;amp;gt;&amp;amp;lt;RightHandSideExpression&amp;amp;gt;MFPR01007499&amp;amp;lt;/RightHandSideExpression&amp;amp;gt;&amp;amp;lt;IsSubquery&amp;amp;gt;False&amp;amp;lt;/IsSub'"</definedName>
    <definedName name="_AMO_ContentDefinition_485496469.2288"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485496469.2289" hidden="1">"'teFormat&amp;amp;gt;&amp;amp;lt;RightHandSideExpression&amp;amp;gt;MFPR01007500&amp;amp;lt;/RightHandSideExpression&amp;amp;gt;&amp;amp;lt;IsSubquery&amp;amp;gt;False&amp;amp;lt;/IsSubquery&amp;amp;gt;&amp;amp;lt;SubqueryTemplateName /&amp;amp;gt;&amp;amp;lt;/RHSItem&amp;amp;gt;&amp;amp;lt;RHSItem&amp;amp;gt;&amp;'"</definedName>
    <definedName name="_AMO_ContentDefinition_485496469.229" hidden="1">"'PR01006829',&amp;amp;#xD;&amp;amp;#xA;'MFPR01006830',&amp;amp;#xD;&amp;amp;#xA;'MFPR01006831',&amp;amp;#xD;&amp;amp;#xA;'MFPR01006832',&amp;amp;#xD;&amp;amp;#xA;'MFPR01006833',&amp;amp;#xD;&amp;amp;#xA;'MFPR01006834',&amp;amp;#xD;&amp;amp;#xA;'MFPR01006835',&amp;amp;#xD;&amp;amp;#xA;'MFPR01006836',&amp;amp;#xD'"</definedName>
    <definedName name="_AMO_ContentDefinition_485496469.2290" hidden="1">"'amp;lt;RHSType&amp;amp;gt;EXPRESSION&amp;amp;lt;/RHSType&amp;amp;gt;&amp;amp;lt;AddQuotes&amp;amp;gt;True&amp;amp;lt;/AddQuotes&amp;amp;gt;&amp;amp;lt;DateFormat&amp;amp;gt;None&amp;amp;lt;/DateFormat&amp;amp;gt;&amp;amp;lt;RightHandSideExpression&amp;amp;gt;MFPR01007501&amp;amp;lt;/RightHandSideExpression'"</definedName>
    <definedName name="_AMO_ContentDefinition_485496469.2291"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485496469.2292" hidden="1">"'otes&amp;amp;gt;&amp;amp;lt;DateFormat&amp;amp;gt;None&amp;amp;lt;/DateFormat&amp;amp;gt;&amp;amp;lt;RightHandSideExpression&amp;amp;gt;MFPR01007502&amp;amp;lt;/RightHandSideExpression&amp;amp;gt;&amp;amp;lt;IsSubquery&amp;amp;gt;False&amp;amp;lt;/IsSubquery&amp;amp;gt;&amp;amp;lt;SubqueryTemplateName /&amp;am'"</definedName>
    <definedName name="_AMO_ContentDefinition_485496469.2293"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485496469.2294" hidden="1">"'n&amp;amp;gt;MFPR01007503&amp;amp;lt;/RightHandSideExpression&amp;amp;gt;&amp;amp;lt;IsSubquery&amp;amp;gt;False&amp;amp;lt;/IsSubquery&amp;amp;gt;&amp;amp;lt;SubqueryTemplateName /&amp;amp;gt;&amp;amp;lt;/RHSItem&amp;amp;gt;&amp;amp;lt;RHSItem&amp;amp;gt;&amp;amp;lt;RHSType&amp;amp;gt;EXPRESSION&amp;amp;lt;/RHSTy'"</definedName>
    <definedName name="_AMO_ContentDefinition_485496469.2295" hidden="1">"'pe&amp;amp;gt;&amp;amp;lt;AddQuotes&amp;amp;gt;True&amp;amp;lt;/AddQuotes&amp;amp;gt;&amp;amp;lt;DateFormat&amp;amp;gt;None&amp;amp;lt;/DateFormat&amp;amp;gt;&amp;amp;lt;RightHandSideExpression&amp;amp;gt;MFPR01007504&amp;amp;lt;/RightHandSideExpression&amp;amp;gt;&amp;amp;lt;IsSubquery&amp;amp;gt;False&amp;amp;lt'"</definedName>
    <definedName name="_AMO_ContentDefinition_485496469.2296"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2297" hidden="1">"';lt;/DateFormat&amp;amp;gt;&amp;amp;lt;RightHandSideExpression&amp;amp;gt;MFPR01007505&amp;amp;lt;/RightHandSideExpression&amp;amp;gt;&amp;amp;lt;IsSubquery&amp;amp;gt;False&amp;amp;lt;/IsSubquery&amp;amp;gt;&amp;amp;lt;SubqueryTemplateName /&amp;amp;gt;&amp;amp;lt;/RHSItem&amp;amp;gt;&amp;amp;lt;RHSItem&amp;a'"</definedName>
    <definedName name="_AMO_ContentDefinition_485496469.2298" hidden="1">"'mp;gt;&amp;amp;lt;RHSType&amp;amp;gt;EXPRESSION&amp;amp;lt;/RHSType&amp;amp;gt;&amp;amp;lt;AddQuotes&amp;amp;gt;True&amp;amp;lt;/AddQuotes&amp;amp;gt;&amp;amp;lt;DateFormat&amp;amp;gt;None&amp;amp;lt;/DateFormat&amp;amp;gt;&amp;amp;lt;RightHandSideExpression&amp;amp;gt;MFPR01007506&amp;amp;lt;/RightHandSideExp'"</definedName>
    <definedName name="_AMO_ContentDefinition_485496469.2299"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23" hidden="1">"'R01000301',&amp;#xD;&amp;#xA;'MFPR01000302',&amp;#xD;&amp;#xA;'MFPR01000307',&amp;#xD;&amp;#xA;'MFPR01005136',&amp;#xD;&amp;#xA;'MFPR01005138',&amp;#xD;&amp;#xA;'MFPR01005145',&amp;#xD;&amp;#xA;'MFPR01005146',&amp;#xD;&amp;#xA;'MFPR01005147',&amp;#xD;&amp;#xA;'MFPR01005152',&amp;#xD;&amp;#xA;'MFPR01005171',&amp;#xD;&amp;#xA;'MFPR'"</definedName>
    <definedName name="_AMO_ContentDefinition_485496469.230" hidden="1">"';&amp;amp;#xA;'MFPR01006837',&amp;amp;#xD;&amp;amp;#xA;'MFPR01006838',&amp;amp;#xD;&amp;amp;#xA;'MFPR01006839',&amp;amp;#xD;&amp;amp;#xA;'MFPR01006840',&amp;amp;#xD;&amp;amp;#xA;'MFPR01006841',&amp;amp;#xD;&amp;amp;#xA;'MFPR01006842',&amp;amp;#xD;&amp;amp;#xA;'MFPR01006843',&amp;amp;#xD;&amp;amp;#xA;'MFPR01006'"</definedName>
    <definedName name="_AMO_ContentDefinition_485496469.2300" hidden="1">"';/AddQuotes&amp;amp;gt;&amp;amp;lt;DateFormat&amp;amp;gt;None&amp;amp;lt;/DateFormat&amp;amp;gt;&amp;amp;lt;RightHandSideExpression&amp;amp;gt;MFPR01007507&amp;amp;lt;/RightHandSideExpression&amp;amp;gt;&amp;amp;lt;IsSubquery&amp;amp;gt;False&amp;amp;lt;/IsSubquery&amp;amp;gt;&amp;amp;lt;SubqueryTemplateNa'"</definedName>
    <definedName name="_AMO_ContentDefinition_485496469.2301"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485496469.2302" hidden="1">"'pression&amp;amp;gt;MFPR01007508&amp;amp;lt;/RightHandSideExpression&amp;amp;gt;&amp;amp;lt;IsSubquery&amp;amp;gt;False&amp;amp;lt;/IsSubquery&amp;amp;gt;&amp;amp;lt;SubqueryTemplateName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2303" hidden="1">"';/RHSType&amp;amp;gt;&amp;amp;lt;AddQuotes&amp;amp;gt;True&amp;amp;lt;/AddQuotes&amp;amp;gt;&amp;amp;lt;DateFormat&amp;amp;gt;None&amp;amp;lt;/DateFormat&amp;amp;gt;&amp;amp;lt;RightHandSideExpression&amp;amp;gt;MFPR01007509&amp;amp;lt;/RightHandSideExpression&amp;amp;gt;&amp;amp;lt;IsSubquery&amp;amp;gt;False'"</definedName>
    <definedName name="_AMO_ContentDefinition_485496469.2304"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485496469.2305" hidden="1">"'one&amp;amp;lt;/DateFormat&amp;amp;gt;&amp;amp;lt;RightHandSideExpression&amp;amp;gt;MFPR01007510&amp;amp;lt;/RightHandSideExpression&amp;amp;gt;&amp;amp;lt;IsSubquery&amp;amp;gt;False&amp;amp;lt;/IsSubquery&amp;amp;gt;&amp;amp;lt;SubqueryTemplateName /&amp;amp;gt;&amp;amp;lt;/RHSItem&amp;amp;gt;&amp;amp;lt;RH'"</definedName>
    <definedName name="_AMO_ContentDefinition_485496469.2306" hidden="1">"'SItem&amp;amp;gt;&amp;amp;lt;RHSType&amp;amp;gt;EXPRESSION&amp;amp;lt;/RHSType&amp;amp;gt;&amp;amp;lt;AddQuotes&amp;amp;gt;True&amp;amp;lt;/AddQuotes&amp;amp;gt;&amp;amp;lt;DateFormat&amp;amp;gt;None&amp;amp;lt;/DateFormat&amp;amp;gt;&amp;amp;lt;RightHandSideExpression&amp;amp;gt;MFPR01007511&amp;amp;lt;/RightHand'"</definedName>
    <definedName name="_AMO_ContentDefinition_485496469.2307"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485496469.2308" hidden="1">"'&amp;amp;lt;/AddQuotes&amp;amp;gt;&amp;amp;lt;DateFormat&amp;amp;gt;None&amp;amp;lt;/DateFormat&amp;amp;gt;&amp;amp;lt;RightHandSideExpression&amp;amp;gt;MFPR01007512&amp;amp;lt;/RightHandSideExpression&amp;amp;gt;&amp;amp;lt;IsSubquery&amp;amp;gt;False&amp;amp;lt;/IsSubquery&amp;amp;gt;&amp;amp;lt;SubqueryTem'"</definedName>
    <definedName name="_AMO_ContentDefinition_485496469.2309"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485496469.231" hidden="1">"'844',&amp;amp;#xD;&amp;amp;#xA;'MFPR01006845',&amp;amp;#xD;&amp;amp;#xA;'MFPR01006846',&amp;amp;#xD;&amp;amp;#xA;'MFPR01006847',&amp;amp;#xD;&amp;amp;#xA;'MFPR01006848',&amp;amp;#xD;&amp;amp;#xA;'MFPR01006849',&amp;amp;#xD;&amp;amp;#xA;'MFPR01006850',&amp;amp;#xD;&amp;amp;#xA;'MFPR01006851',&amp;amp;#xD;&amp;amp;#'"</definedName>
    <definedName name="_AMO_ContentDefinition_485496469.2310" hidden="1">"'dSideExpression&amp;amp;gt;MFPR01007513&amp;amp;lt;/RightHandSideExpression&amp;amp;gt;&amp;amp;lt;IsSubquery&amp;amp;gt;False&amp;amp;lt;/IsSubquery&amp;amp;gt;&amp;amp;lt;SubqueryTemplateName /&amp;amp;gt;&amp;amp;lt;/RHSItem&amp;amp;gt;&amp;amp;lt;RHSItem&amp;amp;gt;&amp;amp;lt;RHSType&amp;amp;gt;EXPRESSION'"</definedName>
    <definedName name="_AMO_ContentDefinition_485496469.2311" hidden="1">"'&amp;amp;lt;/RHSType&amp;amp;gt;&amp;amp;lt;AddQuotes&amp;amp;gt;True&amp;amp;lt;/AddQuotes&amp;amp;gt;&amp;amp;lt;DateFormat&amp;amp;gt;None&amp;amp;lt;/DateFormat&amp;amp;gt;&amp;amp;lt;RightHandSideExpression&amp;amp;gt;MFPR01007514&amp;amp;lt;/RightHandSideExpression&amp;amp;gt;&amp;amp;lt;IsSubquery&amp;amp;g'"</definedName>
    <definedName name="_AMO_ContentDefinition_485496469.2312"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485496469.2313" hidden="1">"'mp;gt;None&amp;amp;lt;/DateFormat&amp;amp;gt;&amp;amp;lt;RightHandSideExpression&amp;amp;gt;MFPR01007515&amp;amp;lt;/RightHandSideExpression&amp;amp;gt;&amp;amp;lt;IsSubquery&amp;amp;gt;False&amp;amp;lt;/IsSubquery&amp;amp;gt;&amp;amp;lt;SubqueryTemplateName /&amp;amp;gt;&amp;amp;lt;/RHSItem&amp;amp;gt;&amp;am'"</definedName>
    <definedName name="_AMO_ContentDefinition_485496469.2314" hidden="1">"'p;lt;RHSItem&amp;amp;gt;&amp;amp;lt;RHSType&amp;amp;gt;EXPRESSION&amp;amp;lt;/RHSType&amp;amp;gt;&amp;amp;lt;AddQuotes&amp;amp;gt;True&amp;amp;lt;/AddQuotes&amp;amp;gt;&amp;amp;lt;DateFormat&amp;amp;gt;None&amp;amp;lt;/DateFormat&amp;amp;gt;&amp;amp;lt;RightHandSideExpression&amp;amp;gt;MFPR01007516&amp;amp;lt;/Ri'"</definedName>
    <definedName name="_AMO_ContentDefinition_485496469.2315"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2316" hidden="1">"'gt;True&amp;amp;lt;/AddQuotes&amp;amp;gt;&amp;amp;lt;DateFormat&amp;amp;gt;None&amp;amp;lt;/DateFormat&amp;amp;gt;&amp;amp;lt;RightHandSideExpression&amp;amp;gt;MFPR01007517&amp;amp;lt;/RightHandSideExpression&amp;amp;gt;&amp;amp;lt;IsSubquery&amp;amp;gt;False&amp;amp;lt;/IsSubquery&amp;amp;gt;&amp;amp;lt;Subq'"</definedName>
    <definedName name="_AMO_ContentDefinition_485496469.2317"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485496469.2318" hidden="1">"'ightHandSideExpression&amp;amp;gt;MFPR01007518&amp;amp;lt;/RightHandSideExpression&amp;amp;gt;&amp;amp;lt;IsSubquery&amp;amp;gt;False&amp;amp;lt;/IsSubquery&amp;amp;gt;&amp;amp;lt;SubqueryTemplateName /&amp;amp;gt;&amp;amp;lt;/RHSItem&amp;amp;gt;&amp;amp;lt;RHSItem&amp;amp;gt;&amp;amp;lt;RHSType&amp;amp;gt;EXP'"</definedName>
    <definedName name="_AMO_ContentDefinition_485496469.2319" hidden="1">"'RESSION&amp;amp;lt;/RHSType&amp;amp;gt;&amp;amp;lt;AddQuotes&amp;amp;gt;True&amp;amp;lt;/AddQuotes&amp;amp;gt;&amp;amp;lt;DateFormat&amp;amp;gt;None&amp;amp;lt;/DateFormat&amp;amp;gt;&amp;amp;lt;RightHandSideExpression&amp;amp;gt;MFPR01007519&amp;amp;lt;/RightHandSideExpression&amp;amp;gt;&amp;amp;lt;IsSubquer'"</definedName>
    <definedName name="_AMO_ContentDefinition_485496469.232" hidden="1">"'xA;'MFPR01006852',&amp;amp;#xD;&amp;amp;#xA;'MFPR01006853',&amp;amp;#xD;&amp;amp;#xA;'MFPR01006854',&amp;amp;#xD;&amp;amp;#xA;'MFPR01006855',&amp;amp;#xD;&amp;amp;#xA;'MFPR01006856',&amp;amp;#xD;&amp;amp;#xA;'MFPR01006857',&amp;amp;#xD;&amp;amp;#xA;'MFPR01006858',&amp;amp;#xD;&amp;amp;#xA;'MFPR01006859',&amp;a'"</definedName>
    <definedName name="_AMO_ContentDefinition_485496469.2320"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485496469.2321" hidden="1">"'ormat&amp;amp;gt;None&amp;amp;lt;/DateFormat&amp;amp;gt;&amp;amp;lt;RightHandSideExpression&amp;amp;gt;MFPR01007520&amp;amp;lt;/RightHandSideExpression&amp;amp;gt;&amp;amp;lt;IsSubquery&amp;amp;gt;False&amp;amp;lt;/IsSubquery&amp;amp;gt;&amp;amp;lt;SubqueryTemplateName /&amp;amp;gt;&amp;amp;lt;/RHSItem&amp;amp'"</definedName>
    <definedName name="_AMO_ContentDefinition_485496469.2322" hidden="1">"';gt;&amp;amp;lt;RHSItem&amp;amp;gt;&amp;amp;lt;RHSType&amp;amp;gt;EXPRESSION&amp;amp;lt;/RHSType&amp;amp;gt;&amp;amp;lt;AddQuotes&amp;amp;gt;True&amp;amp;lt;/AddQuotes&amp;amp;gt;&amp;amp;lt;DateFormat&amp;amp;gt;None&amp;amp;lt;/DateFormat&amp;amp;gt;&amp;amp;lt;RightHandSideExpression&amp;amp;gt;MFPR01007521&amp;amp'"</definedName>
    <definedName name="_AMO_ContentDefinition_485496469.2323"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485496469.2324" hidden="1">"'es&amp;amp;gt;True&amp;amp;lt;/AddQuotes&amp;amp;gt;&amp;amp;lt;DateFormat&amp;amp;gt;None&amp;amp;lt;/DateFormat&amp;amp;gt;&amp;amp;lt;RightHandSideExpression&amp;amp;gt;MFPR01007522&amp;amp;lt;/RightHandSideExpression&amp;amp;gt;&amp;amp;lt;IsSubquery&amp;amp;gt;False&amp;amp;lt;/IsSubquery&amp;amp;gt;&amp;amp;'"</definedName>
    <definedName name="_AMO_ContentDefinition_485496469.2325"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485496469.2326" hidden="1">"'mp;lt;RightHandSideExpression&amp;amp;gt;MFPR01007523&amp;amp;lt;/RightHandSideExpression&amp;amp;gt;&amp;amp;lt;IsSubquery&amp;amp;gt;False&amp;amp;lt;/IsSubquery&amp;amp;gt;&amp;amp;lt;SubqueryTemplateName /&amp;amp;gt;&amp;amp;lt;/RHSItem&amp;amp;gt;&amp;amp;lt;RHSItem&amp;amp;gt;&amp;amp;lt;RHSType&amp;amp'"</definedName>
    <definedName name="_AMO_ContentDefinition_485496469.2327" hidden="1">"';gt;EXPRESSION&amp;amp;lt;/RHSType&amp;amp;gt;&amp;amp;lt;AddQuotes&amp;amp;gt;True&amp;amp;lt;/AddQuotes&amp;amp;gt;&amp;amp;lt;DateFormat&amp;amp;gt;None&amp;amp;lt;/DateFormat&amp;amp;gt;&amp;amp;lt;RightHandSideExpression&amp;amp;gt;MFPR01007524&amp;amp;lt;/RightHandSideExpression&amp;amp;gt;&amp;amp;lt;Is'"</definedName>
    <definedName name="_AMO_ContentDefinition_485496469.2328"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485496469.2329" hidden="1">"'t;DateFormat&amp;amp;gt;None&amp;amp;lt;/DateFormat&amp;amp;gt;&amp;amp;lt;RightHandSideExpression&amp;amp;gt;MFPR01007525&amp;amp;lt;/RightHandSideExpression&amp;amp;gt;&amp;amp;lt;IsSubquery&amp;amp;gt;False&amp;amp;lt;/IsSubquery&amp;amp;gt;&amp;amp;lt;SubqueryTemplateName /&amp;amp;gt;&amp;amp;lt;/RHSI'"</definedName>
    <definedName name="_AMO_ContentDefinition_485496469.233" hidden="1">"'mp;#xD;&amp;amp;#xA;'MFPR01006860',&amp;amp;#xD;&amp;amp;#xA;'MFPR01006861',&amp;amp;#xD;&amp;amp;#xA;'MFPR01006862',&amp;amp;#xD;&amp;amp;#xA;'MFPR01006863',&amp;amp;#xD;&amp;amp;#xA;'MFPR01006864',&amp;amp;#xD;&amp;amp;#xA;'MFPR01006865',&amp;amp;#xD;&amp;amp;#xA;'MFPR01006866',&amp;amp;#xD;&amp;amp;#xA;'MFP'"</definedName>
    <definedName name="_AMO_ContentDefinition_485496469.2330" hidden="1">"'tem&amp;amp;gt;&amp;amp;lt;RHSItem&amp;amp;gt;&amp;amp;lt;RHSType&amp;amp;gt;EXPRESSION&amp;amp;lt;/RHSType&amp;amp;gt;&amp;amp;lt;AddQuotes&amp;amp;gt;True&amp;amp;lt;/AddQuotes&amp;amp;gt;&amp;amp;lt;DateFormat&amp;amp;gt;None&amp;amp;lt;/DateFormat&amp;amp;gt;&amp;amp;lt;RightHandSideExpression&amp;amp;gt;MFPR01007'"</definedName>
    <definedName name="_AMO_ContentDefinition_485496469.2331" hidden="1">"'526&amp;amp;lt;/RightHandSideExpression&amp;amp;gt;&amp;amp;lt;IsSubquery&amp;amp;gt;False&amp;amp;lt;/IsSubquery&amp;amp;gt;&amp;amp;lt;SubqueryTemplateName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2332" hidden="1">"'AddQuotes&amp;amp;gt;True&amp;amp;lt;/AddQuotes&amp;amp;gt;&amp;amp;lt;DateFormat&amp;amp;gt;None&amp;amp;lt;/DateFormat&amp;amp;gt;&amp;amp;lt;RightHandSideExpression&amp;amp;gt;MFPR01007527&amp;amp;lt;/RightHandSideExpression&amp;amp;gt;&amp;amp;lt;IsSubquery&amp;amp;gt;False&amp;amp;lt;/IsSubquery&amp;amp;g'"</definedName>
    <definedName name="_AMO_ContentDefinition_485496469.2333"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485496469.2334" hidden="1">"'p;gt;&amp;amp;lt;RightHandSideExpression&amp;amp;gt;MFPR01007528&amp;amp;lt;/RightHandSideExpression&amp;amp;gt;&amp;amp;lt;IsSubquery&amp;amp;gt;False&amp;amp;lt;/IsSubquery&amp;amp;gt;&amp;amp;lt;SubqueryTemplateName /&amp;amp;gt;&amp;amp;lt;/RHSItem&amp;amp;gt;&amp;amp;lt;RHSItem&amp;amp;gt;&amp;amp;lt;RHST'"</definedName>
    <definedName name="_AMO_ContentDefinition_485496469.2335" hidden="1">"'ype&amp;amp;gt;EXPRESSION&amp;amp;lt;/RHSType&amp;amp;gt;&amp;amp;lt;AddQuotes&amp;amp;gt;True&amp;amp;lt;/AddQuotes&amp;amp;gt;&amp;amp;lt;DateFormat&amp;amp;gt;None&amp;amp;lt;/DateFormat&amp;amp;gt;&amp;amp;lt;RightHandSideExpression&amp;amp;gt;MFPR01007529&amp;amp;lt;/RightHandSideExpression&amp;amp;gt;&amp;am'"</definedName>
    <definedName name="_AMO_ContentDefinition_485496469.2336"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2337" hidden="1">"';&amp;amp;lt;DateFormat&amp;amp;gt;None&amp;amp;lt;/DateFormat&amp;amp;gt;&amp;amp;lt;RightHandSideExpression&amp;amp;gt;MFPR01007530&amp;amp;lt;/RightHandSideExpression&amp;amp;gt;&amp;amp;lt;IsSubquery&amp;amp;gt;False&amp;amp;lt;/IsSubquery&amp;amp;gt;&amp;amp;lt;SubqueryTemplateName /&amp;amp;gt;&amp;amp;l'"</definedName>
    <definedName name="_AMO_ContentDefinition_485496469.2338" hidden="1">"'t;/RHSItem&amp;amp;gt;&amp;amp;lt;RHSItem&amp;amp;gt;&amp;amp;lt;RHSType&amp;amp;gt;EXPRESSION&amp;amp;lt;/RHSType&amp;amp;gt;&amp;amp;lt;AddQuotes&amp;amp;gt;True&amp;amp;lt;/AddQuotes&amp;amp;gt;&amp;amp;lt;DateFormat&amp;amp;gt;None&amp;amp;lt;/DateFormat&amp;amp;gt;&amp;amp;lt;RightHandSideExpression&amp;amp;gt;MF'"</definedName>
    <definedName name="_AMO_ContentDefinition_485496469.2339" hidden="1">"'PR01007531&amp;amp;lt;/RightHandSideExpression&amp;amp;gt;&amp;amp;lt;IsSubquery&amp;amp;gt;False&amp;amp;lt;/IsSubquery&amp;amp;gt;&amp;amp;lt;SubqueryTemplateName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485496469.234" hidden="1">"'R01006867',&amp;amp;#xD;&amp;amp;#xA;'MFPR01006868',&amp;amp;#xD;&amp;amp;#xA;'MFPR01006869',&amp;amp;#xD;&amp;amp;#xA;'MFPR01006870',&amp;amp;#xD;&amp;amp;#xA;'MFPR01006871',&amp;amp;#xD;&amp;amp;#xA;'MFPR01006872',&amp;amp;#xD;&amp;amp;#xA;'MFPR01006873',&amp;amp;#xD;&amp;amp;#xA;'MFPR01006874',&amp;amp;#xD;'"</definedName>
    <definedName name="_AMO_ContentDefinition_485496469.2340" hidden="1">"'amp;lt;AddQuotes&amp;amp;gt;True&amp;amp;lt;/AddQuotes&amp;amp;gt;&amp;amp;lt;DateFormat&amp;amp;gt;None&amp;amp;lt;/DateFormat&amp;amp;gt;&amp;amp;lt;RightHandSideExpression&amp;amp;gt;MFPR01007532&amp;amp;lt;/RightHandSideExpression&amp;amp;gt;&amp;amp;lt;IsSubquery&amp;amp;gt;False&amp;amp;lt;/IsSubquer'"</definedName>
    <definedName name="_AMO_ContentDefinition_485496469.2341"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485496469.2342" hidden="1">"'rmat&amp;amp;gt;&amp;amp;lt;RightHandSideExpression&amp;amp;gt;MFPR01007533&amp;amp;lt;/RightHandSideExpression&amp;amp;gt;&amp;amp;lt;IsSubquery&amp;amp;gt;False&amp;amp;lt;/IsSubquery&amp;amp;gt;&amp;amp;lt;SubqueryTemplateName /&amp;amp;gt;&amp;amp;lt;/RHSItem&amp;amp;gt;&amp;amp;lt;RHSItem&amp;amp;gt;&amp;amp;'"</definedName>
    <definedName name="_AMO_ContentDefinition_485496469.2343" hidden="1">"'lt;RHSType&amp;amp;gt;EXPRESSION&amp;amp;lt;/RHSType&amp;amp;gt;&amp;amp;lt;AddQuotes&amp;amp;gt;True&amp;amp;lt;/AddQuotes&amp;amp;gt;&amp;amp;lt;DateFormat&amp;amp;gt;None&amp;amp;lt;/DateFormat&amp;amp;gt;&amp;amp;lt;RightHandSideExpression&amp;amp;gt;MFPR01007534&amp;amp;lt;/RightHandSideExpression&amp;amp'"</definedName>
    <definedName name="_AMO_ContentDefinition_485496469.2344"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485496469.2345" hidden="1">"'&amp;amp;gt;&amp;amp;lt;DateFormat&amp;amp;gt;None&amp;amp;lt;/DateFormat&amp;amp;gt;&amp;amp;lt;RightHandSideExpression&amp;amp;gt;MFPR01007535&amp;amp;lt;/RightHandSideExpression&amp;amp;gt;&amp;amp;lt;IsSubquery&amp;amp;gt;False&amp;amp;lt;/IsSubquery&amp;amp;gt;&amp;amp;lt;SubqueryTemplateName /&amp;amp;gt'"</definedName>
    <definedName name="_AMO_ContentDefinition_485496469.2346" hidden="1">"';&amp;amp;lt;/RHSItem&amp;amp;gt;&amp;amp;lt;RHSItem&amp;amp;gt;&amp;amp;lt;RHSType&amp;amp;gt;EXPRESSION&amp;amp;lt;/RHSType&amp;amp;gt;&amp;amp;lt;AddQuotes&amp;amp;gt;True&amp;amp;lt;/AddQuotes&amp;amp;gt;&amp;amp;lt;DateFormat&amp;amp;gt;None&amp;amp;lt;/DateFormat&amp;amp;gt;&amp;amp;lt;RightHandSideExpression&amp;am'"</definedName>
    <definedName name="_AMO_ContentDefinition_485496469.2347" hidden="1">"'p;gt;MFPR01007536&amp;amp;lt;/RightHandSideExpression&amp;amp;gt;&amp;amp;lt;IsSubquery&amp;amp;gt;False&amp;amp;lt;/IsSubquery&amp;amp;gt;&amp;amp;lt;SubqueryTemplateName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485496469.2348" hidden="1">"'mp;gt;&amp;amp;lt;AddQuotes&amp;amp;gt;True&amp;amp;lt;/AddQuotes&amp;amp;gt;&amp;amp;lt;DateFormat&amp;amp;gt;None&amp;amp;lt;/DateFormat&amp;amp;gt;&amp;amp;lt;RightHandSideExpression&amp;amp;gt;MFPR01007537&amp;amp;lt;/RightHandSideExpression&amp;amp;gt;&amp;amp;lt;IsSubquery&amp;amp;gt;False&amp;amp;lt;/Is'"</definedName>
    <definedName name="_AMO_ContentDefinition_485496469.2349"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235" hidden="1">"'&amp;amp;#xA;'MFPR01006875',&amp;amp;#xD;&amp;amp;#xA;'MFPR01006876',&amp;amp;#xD;&amp;amp;#xA;'MFPR01006877',&amp;amp;#xD;&amp;amp;#xA;'MFPR01006878',&amp;amp;#xD;&amp;amp;#xA;'MFPR01006879',&amp;amp;#xD;&amp;amp;#xA;'MFPR01006880',&amp;amp;#xD;&amp;amp;#xA;'MFPR01006881',&amp;amp;#xD;&amp;amp;#xA;'MFPR010068'"</definedName>
    <definedName name="_AMO_ContentDefinition_485496469.2350" hidden="1">"'/DateFormat&amp;amp;gt;&amp;amp;lt;RightHandSideExpression&amp;amp;gt;MFPR01007538&amp;amp;lt;/RightHandSideExpression&amp;amp;gt;&amp;amp;lt;IsSubquery&amp;amp;gt;False&amp;amp;lt;/IsSubquery&amp;amp;gt;&amp;amp;lt;SubqueryTemplateName /&amp;amp;gt;&amp;amp;lt;/RHSItem&amp;amp;gt;&amp;amp;lt;RHSItem&amp;amp;g'"</definedName>
    <definedName name="_AMO_ContentDefinition_485496469.2351" hidden="1">"'t;&amp;amp;lt;RHSType&amp;amp;gt;EXPRESSION&amp;amp;lt;/RHSType&amp;amp;gt;&amp;amp;lt;AddQuotes&amp;amp;gt;True&amp;amp;lt;/AddQuotes&amp;amp;gt;&amp;amp;lt;DateFormat&amp;amp;gt;None&amp;amp;lt;/DateFormat&amp;amp;gt;&amp;amp;lt;RightHandSideExpression&amp;amp;gt;MFPR01007539&amp;amp;lt;/RightHandSideExpress'"</definedName>
    <definedName name="_AMO_ContentDefinition_485496469.2352"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485496469.2353" hidden="1">"'dQuotes&amp;amp;gt;&amp;amp;lt;DateFormat&amp;amp;gt;None&amp;amp;lt;/DateFormat&amp;amp;gt;&amp;amp;lt;RightHandSideExpression&amp;amp;gt;MFPR01007540&amp;amp;lt;/RightHandSideExpression&amp;amp;gt;&amp;amp;lt;IsSubquery&amp;amp;gt;False&amp;amp;lt;/IsSubquery&amp;amp;gt;&amp;amp;lt;SubqueryTemplateName /'"</definedName>
    <definedName name="_AMO_ContentDefinition_485496469.2354"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485496469.2355" hidden="1">"'sion&amp;amp;gt;MFPR01007541&amp;amp;lt;/RightHandSideExpression&amp;amp;gt;&amp;amp;lt;IsSubquery&amp;amp;gt;False&amp;amp;lt;/IsSubquery&amp;amp;gt;&amp;amp;lt;SubqueryTemplateName /&amp;amp;gt;&amp;amp;lt;/RHSItem&amp;amp;gt;&amp;amp;lt;RHSItem&amp;amp;gt;&amp;amp;lt;RHSType&amp;amp;gt;EXPRESSION&amp;amp;lt;/RH'"</definedName>
    <definedName name="_AMO_ContentDefinition_485496469.2356" hidden="1">"'SType&amp;amp;gt;&amp;amp;lt;AddQuotes&amp;amp;gt;True&amp;amp;lt;/AddQuotes&amp;amp;gt;&amp;amp;lt;DateFormat&amp;amp;gt;None&amp;amp;lt;/DateFormat&amp;amp;gt;&amp;amp;lt;RightHandSideExpression&amp;amp;gt;MFPR01007543&amp;amp;lt;/RightHandSideExpression&amp;amp;gt;&amp;amp;lt;IsSubquery&amp;amp;gt;False&amp;amp'"</definedName>
    <definedName name="_AMO_ContentDefinition_485496469.2357"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485496469.2358" hidden="1">"'amp;lt;/DateFormat&amp;amp;gt;&amp;amp;lt;RightHandSideExpression&amp;amp;gt;MFPR01007544&amp;amp;lt;/RightHandSideExpression&amp;amp;gt;&amp;amp;lt;IsSubquery&amp;amp;gt;False&amp;amp;lt;/IsSubquery&amp;amp;gt;&amp;amp;lt;SubqueryTemplateName /&amp;amp;gt;&amp;amp;lt;/RHSItem&amp;amp;gt;&amp;amp;lt;RHSIte'"</definedName>
    <definedName name="_AMO_ContentDefinition_485496469.2359" hidden="1">"'m&amp;amp;gt;&amp;amp;lt;RHSType&amp;amp;gt;EXPRESSION&amp;amp;lt;/RHSType&amp;amp;gt;&amp;amp;lt;AddQuotes&amp;amp;gt;True&amp;amp;lt;/AddQuotes&amp;amp;gt;&amp;amp;lt;DateFormat&amp;amp;gt;None&amp;amp;lt;/DateFormat&amp;amp;gt;&amp;amp;lt;RightHandSideExpression&amp;amp;gt;MFPR01007545&amp;amp;lt;/RightHandSide'"</definedName>
    <definedName name="_AMO_ContentDefinition_485496469.236" hidden="1">"'82',&amp;amp;#xD;&amp;amp;#xA;'MFPR01006883',&amp;amp;#xD;&amp;amp;#xA;'MFPR01006884',&amp;amp;#xD;&amp;amp;#xA;'MFPR01006885',&amp;amp;#xD;&amp;amp;#xA;'MFPR01006886',&amp;amp;#xD;&amp;amp;#xA;'MFPR01006887',&amp;amp;#xD;&amp;amp;#xA;'MFPR01006888',&amp;amp;#xD;&amp;amp;#xA;'MFPR01006889',&amp;amp;#xD;&amp;amp;#x'"</definedName>
    <definedName name="_AMO_ContentDefinition_485496469.2360"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2361" hidden="1">"';lt;/AddQuotes&amp;amp;gt;&amp;amp;lt;DateFormat&amp;amp;gt;None&amp;amp;lt;/DateFormat&amp;amp;gt;&amp;amp;lt;RightHandSideExpression&amp;amp;gt;MFPR01007546&amp;amp;lt;/RightHandSideExpression&amp;amp;gt;&amp;amp;lt;IsSubquery&amp;amp;gt;False&amp;amp;lt;/IsSubquery&amp;amp;gt;&amp;amp;lt;SubqueryTemplat'"</definedName>
    <definedName name="_AMO_ContentDefinition_485496469.2362"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485496469.2363" hidden="1">"'eExpression&amp;amp;gt;MFPR01007548&amp;amp;lt;/RightHandSideExpression&amp;amp;gt;&amp;amp;lt;IsSubquery&amp;amp;gt;False&amp;amp;lt;/IsSubquery&amp;amp;gt;&amp;amp;lt;SubqueryTemplateName /&amp;amp;gt;&amp;amp;lt;/RHSItem&amp;amp;gt;&amp;amp;lt;RHSItem&amp;amp;gt;&amp;amp;lt;RHSType&amp;amp;gt;EXPRESSION&amp;amp'"</definedName>
    <definedName name="_AMO_ContentDefinition_485496469.2364" hidden="1">"';lt;/RHSType&amp;amp;gt;&amp;amp;lt;AddQuotes&amp;amp;gt;True&amp;amp;lt;/AddQuotes&amp;amp;gt;&amp;amp;lt;DateFormat&amp;amp;gt;None&amp;amp;lt;/DateFormat&amp;amp;gt;&amp;amp;lt;RightHandSideExpression&amp;amp;gt;MFPR01007549&amp;amp;lt;/RightHandSideExpression&amp;amp;gt;&amp;amp;lt;IsSubquery&amp;amp;gt;Fa'"</definedName>
    <definedName name="_AMO_ContentDefinition_485496469.2365"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485496469.2366" hidden="1">"'t;None&amp;amp;lt;/DateFormat&amp;amp;gt;&amp;amp;lt;RightHandSideExpression&amp;amp;gt;MFPR01007550&amp;amp;lt;/RightHandSideExpression&amp;amp;gt;&amp;amp;lt;IsSubquery&amp;amp;gt;False&amp;amp;lt;/IsSubquery&amp;amp;gt;&amp;amp;lt;SubqueryTemplateName /&amp;amp;gt;&amp;amp;lt;/RHSItem&amp;amp;gt;&amp;amp;lt'"</definedName>
    <definedName name="_AMO_ContentDefinition_485496469.2367" hidden="1">"';RHSItem&amp;amp;gt;&amp;amp;lt;RHSType&amp;amp;gt;EXPRESSION&amp;amp;lt;/RHSType&amp;amp;gt;&amp;amp;lt;AddQuotes&amp;amp;gt;True&amp;amp;lt;/AddQuotes&amp;amp;gt;&amp;amp;lt;DateFormat&amp;amp;gt;None&amp;amp;lt;/DateFormat&amp;amp;gt;&amp;amp;lt;RightHandSideExpression&amp;amp;gt;MFPR01007551&amp;amp;lt;/RightH'"</definedName>
    <definedName name="_AMO_ContentDefinition_485496469.2368"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485496469.2369" hidden="1">"'rue&amp;amp;lt;/AddQuotes&amp;amp;gt;&amp;amp;lt;DateFormat&amp;amp;gt;None&amp;amp;lt;/DateFormat&amp;amp;gt;&amp;amp;lt;RightHandSideExpression&amp;amp;gt;MFPR01007553&amp;amp;lt;/RightHandSideExpression&amp;amp;gt;&amp;amp;lt;IsSubquery&amp;amp;gt;False&amp;amp;lt;/IsSubquery&amp;amp;gt;&amp;amp;lt;Subquery'"</definedName>
    <definedName name="_AMO_ContentDefinition_485496469.237" hidden="1">"'A;'MFPR01006890',&amp;amp;#xD;&amp;amp;#xA;'MFPR01006891',&amp;amp;#xD;&amp;amp;#xA;'MFPR01006892',&amp;amp;#xD;&amp;amp;#xA;'MFPR01006893',&amp;amp;#xD;&amp;amp;#xA;'MFPR01006894',&amp;amp;#xD;&amp;amp;#xA;'MFPR01006895',&amp;amp;#xD;&amp;amp;#xA;'MFPR01006896',&amp;amp;#xD;&amp;amp;#xA;'MFPR01006897',&amp;am'"</definedName>
    <definedName name="_AMO_ContentDefinition_485496469.2370"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485496469.2371" hidden="1">"'HandSideExpression&amp;amp;gt;MFPR01007554&amp;amp;lt;/RightHandSideExpression&amp;amp;gt;&amp;amp;lt;IsSubquery&amp;amp;gt;False&amp;amp;lt;/IsSubquery&amp;amp;gt;&amp;amp;lt;SubqueryTemplateName /&amp;amp;gt;&amp;amp;lt;/RHSItem&amp;amp;gt;&amp;amp;lt;RHSItem&amp;amp;gt;&amp;amp;lt;RHSType&amp;amp;gt;EXPRESS'"</definedName>
    <definedName name="_AMO_ContentDefinition_485496469.2372" hidden="1">"'ION&amp;amp;lt;/RHSType&amp;amp;gt;&amp;amp;lt;AddQuotes&amp;amp;gt;True&amp;amp;lt;/AddQuotes&amp;amp;gt;&amp;amp;lt;DateFormat&amp;amp;gt;None&amp;amp;lt;/DateFormat&amp;amp;gt;&amp;amp;lt;RightHandSideExpression&amp;amp;gt;MFPR01007555&amp;amp;lt;/RightHandSideExpression&amp;amp;gt;&amp;amp;lt;IsSubquery&amp;am'"</definedName>
    <definedName name="_AMO_ContentDefinition_485496469.2373"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485496469.2374" hidden="1">"'t&amp;amp;gt;None&amp;amp;lt;/DateFormat&amp;amp;gt;&amp;amp;lt;RightHandSideExpression&amp;amp;gt;MFPR01007556&amp;amp;lt;/RightHandSideExpression&amp;amp;gt;&amp;amp;lt;IsSubquery&amp;amp;gt;False&amp;amp;lt;/IsSubquery&amp;amp;gt;&amp;amp;lt;SubqueryTemplateName /&amp;amp;gt;&amp;amp;lt;/RHSItem&amp;amp;gt;'"</definedName>
    <definedName name="_AMO_ContentDefinition_485496469.2375" hidden="1">"'&amp;amp;lt;RHSItem&amp;amp;gt;&amp;amp;lt;RHSType&amp;amp;gt;EXPRESSION&amp;amp;lt;/RHSType&amp;amp;gt;&amp;amp;lt;AddQuotes&amp;amp;gt;True&amp;amp;lt;/AddQuotes&amp;amp;gt;&amp;amp;lt;DateFormat&amp;amp;gt;None&amp;amp;lt;/DateFormat&amp;amp;gt;&amp;amp;lt;RightHandSideExpression&amp;amp;gt;MFPR01007558&amp;amp;lt;'"</definedName>
    <definedName name="_AMO_ContentDefinition_485496469.2376"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485496469.2377" hidden="1">"'mp;gt;True&amp;amp;lt;/AddQuotes&amp;amp;gt;&amp;amp;lt;DateFormat&amp;amp;gt;None&amp;amp;lt;/DateFormat&amp;amp;gt;&amp;amp;lt;RightHandSideExpression&amp;amp;gt;MFPR01007559&amp;amp;lt;/RightHandSideExpression&amp;amp;gt;&amp;amp;lt;IsSubquery&amp;amp;gt;False&amp;amp;lt;/IsSubquery&amp;amp;gt;&amp;amp;lt;S'"</definedName>
    <definedName name="_AMO_ContentDefinition_485496469.2378"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485496469.2379" hidden="1">"'t;RightHandSideExpression&amp;amp;gt;MFPR01007560&amp;amp;lt;/RightHandSideExpression&amp;amp;gt;&amp;amp;lt;IsSubquery&amp;amp;gt;False&amp;amp;lt;/IsSubquery&amp;amp;gt;&amp;amp;lt;SubqueryTemplateName /&amp;amp;gt;&amp;amp;lt;/RHSItem&amp;amp;gt;&amp;amp;lt;RHSItem&amp;amp;gt;&amp;amp;lt;RHSType&amp;amp;gt;'"</definedName>
    <definedName name="_AMO_ContentDefinition_485496469.238" hidden="1">"'p;#xD;&amp;amp;#xA;'MFPR01006898',&amp;amp;#xD;&amp;amp;#xA;'MFPR01006899',&amp;amp;#xD;&amp;amp;#xA;'MFPR01006900',&amp;amp;#xD;&amp;amp;#xA;'MFPR01006901',&amp;amp;#xD;&amp;amp;#xA;'MFPR01006902',&amp;amp;#xD;&amp;amp;#xA;'MFPR01006903',&amp;amp;#xD;&amp;amp;#xA;'MFPR01006904',&amp;amp;#xD;&amp;amp;#xA;'MFPR'"</definedName>
    <definedName name="_AMO_ContentDefinition_485496469.2380" hidden="1">"'EXPRESSION&amp;amp;lt;/RHSType&amp;amp;gt;&amp;amp;lt;AddQuotes&amp;amp;gt;True&amp;amp;lt;/AddQuotes&amp;amp;gt;&amp;amp;lt;DateFormat&amp;amp;gt;None&amp;amp;lt;/DateFormat&amp;amp;gt;&amp;amp;lt;RightHandSideExpression&amp;amp;gt;MFPR01007561&amp;amp;lt;/RightHandSideExpression&amp;amp;gt;&amp;amp;lt;IsSubq'"</definedName>
    <definedName name="_AMO_ContentDefinition_485496469.2381"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485496469.2382" hidden="1">"'teFormat&amp;amp;gt;None&amp;amp;lt;/DateFormat&amp;amp;gt;&amp;amp;lt;RightHandSideExpression&amp;amp;gt;MFPR01007563&amp;amp;lt;/RightHandSideExpression&amp;amp;gt;&amp;amp;lt;IsSubquery&amp;amp;gt;False&amp;amp;lt;/IsSubquery&amp;amp;gt;&amp;amp;lt;SubqueryTemplateName /&amp;amp;gt;&amp;amp;lt;/RHSItem&amp;'"</definedName>
    <definedName name="_AMO_ContentDefinition_485496469.2383" hidden="1">"'amp;gt;&amp;amp;lt;RHSItem&amp;amp;gt;&amp;amp;lt;RHSType&amp;amp;gt;EXPRESSION&amp;amp;lt;/RHSType&amp;amp;gt;&amp;amp;lt;AddQuotes&amp;amp;gt;True&amp;amp;lt;/AddQuotes&amp;amp;gt;&amp;amp;lt;DateFormat&amp;amp;gt;None&amp;amp;lt;/DateFormat&amp;amp;gt;&amp;amp;lt;RightHandSideExpression&amp;amp;gt;MFPR01007564&amp;'"</definedName>
    <definedName name="_AMO_ContentDefinition_485496469.2384"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485496469.2385" hidden="1">"'uotes&amp;amp;gt;True&amp;amp;lt;/AddQuotes&amp;amp;gt;&amp;amp;lt;DateFormat&amp;amp;gt;None&amp;amp;lt;/DateFormat&amp;amp;gt;&amp;amp;lt;RightHandSideExpression&amp;amp;gt;MFPR01007565&amp;amp;lt;/RightHandSideExpression&amp;amp;gt;&amp;amp;lt;IsSubquery&amp;amp;gt;False&amp;amp;lt;/IsSubquery&amp;amp;gt;&amp;a'"</definedName>
    <definedName name="_AMO_ContentDefinition_485496469.2386"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2387" hidden="1">"';&amp;amp;lt;RightHandSideExpression&amp;amp;gt;MFPR01007566&amp;amp;lt;/RightHandSideExpression&amp;amp;gt;&amp;amp;lt;IsSubquery&amp;amp;gt;False&amp;amp;lt;/IsSubquery&amp;amp;gt;&amp;amp;lt;SubqueryTemplateName /&amp;amp;gt;&amp;amp;lt;/RHSItem&amp;amp;gt;&amp;amp;lt;RHSItem&amp;amp;gt;&amp;amp;lt;RHSType&amp;'"</definedName>
    <definedName name="_AMO_ContentDefinition_485496469.2388" hidden="1">"'amp;gt;EXPRESSION&amp;amp;lt;/RHSType&amp;amp;gt;&amp;amp;lt;AddQuotes&amp;amp;gt;True&amp;amp;lt;/AddQuotes&amp;amp;gt;&amp;amp;lt;DateFormat&amp;amp;gt;None&amp;amp;lt;/DateFormat&amp;amp;gt;&amp;amp;lt;RightHandSideExpression&amp;amp;gt;MFPR01007568&amp;amp;lt;/RightHandSideExpression&amp;amp;gt;&amp;amp;lt'"</definedName>
    <definedName name="_AMO_ContentDefinition_485496469.2389"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485496469.239" hidden="1">"'01006905',&amp;amp;#xD;&amp;amp;#xA;'MFPR01006906',&amp;amp;#xD;&amp;amp;#xA;'MFPR01006907',&amp;amp;#xD;&amp;amp;#xA;'MFPR01006908',&amp;amp;#xD;&amp;amp;#xA;'MFPR01006909',&amp;amp;#xD;&amp;amp;#xA;'MFPR01006910',&amp;amp;#xD;&amp;amp;#xA;'MFPR01006911',&amp;amp;#xD;&amp;amp;#xA;'MFPR01006912',&amp;amp;#xD;&amp;'"</definedName>
    <definedName name="_AMO_ContentDefinition_485496469.2390" hidden="1">"'p;lt;DateFormat&amp;amp;gt;None&amp;amp;lt;/DateFormat&amp;amp;gt;&amp;amp;lt;RightHandSideExpression&amp;amp;gt;MFPR01007569&amp;amp;lt;/RightHandSideExpression&amp;amp;gt;&amp;amp;lt;IsSubquery&amp;amp;gt;False&amp;amp;lt;/IsSubquery&amp;amp;gt;&amp;amp;lt;SubqueryTemplateName /&amp;amp;gt;&amp;amp;lt;/R'"</definedName>
    <definedName name="_AMO_ContentDefinition_485496469.2391" hidden="1">"'HSItem&amp;amp;gt;&amp;amp;lt;RHSItem&amp;amp;gt;&amp;amp;lt;RHSType&amp;amp;gt;EXPRESSION&amp;amp;lt;/RHSType&amp;amp;gt;&amp;amp;lt;AddQuotes&amp;amp;gt;True&amp;amp;lt;/AddQuotes&amp;amp;gt;&amp;amp;lt;DateFormat&amp;amp;gt;None&amp;amp;lt;/DateFormat&amp;amp;gt;&amp;amp;lt;RightHandSideExpression&amp;amp;gt;MFPR01'"</definedName>
    <definedName name="_AMO_ContentDefinition_485496469.2392" hidden="1">"'007570&amp;amp;lt;/RightHandSideExpression&amp;amp;gt;&amp;amp;lt;IsSubquery&amp;amp;gt;False&amp;amp;lt;/IsSubquery&amp;amp;gt;&amp;amp;lt;SubqueryTemplateName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2393" hidden="1">"'lt;AddQuotes&amp;amp;gt;True&amp;amp;lt;/AddQuotes&amp;amp;gt;&amp;amp;lt;DateFormat&amp;amp;gt;None&amp;amp;lt;/DateFormat&amp;amp;gt;&amp;amp;lt;RightHandSideExpression&amp;amp;gt;MFPR01007571&amp;amp;lt;/RightHandSideExpression&amp;amp;gt;&amp;amp;lt;IsSubquery&amp;amp;gt;False&amp;amp;lt;/IsSubquery&amp;am'"</definedName>
    <definedName name="_AMO_ContentDefinition_485496469.2394"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485496469.2395" hidden="1">"'&amp;amp;gt;&amp;amp;lt;RightHandSideExpression&amp;amp;gt;MFPR01007572&amp;amp;lt;/RightHandSideExpression&amp;amp;gt;&amp;amp;lt;IsSubquery&amp;amp;gt;False&amp;amp;lt;/IsSubquery&amp;amp;gt;&amp;amp;lt;SubqueryTemplateName /&amp;amp;gt;&amp;amp;lt;/RHSItem&amp;amp;gt;&amp;amp;lt;RHSItem&amp;amp;gt;&amp;amp;lt;R'"</definedName>
    <definedName name="_AMO_ContentDefinition_485496469.2396" hidden="1">"'HSType&amp;amp;gt;EXPRESSION&amp;amp;lt;/RHSType&amp;amp;gt;&amp;amp;lt;AddQuotes&amp;amp;gt;True&amp;amp;lt;/AddQuotes&amp;amp;gt;&amp;amp;lt;DateFormat&amp;amp;gt;None&amp;amp;lt;/DateFormat&amp;amp;gt;&amp;amp;lt;RightHandSideExpression&amp;amp;gt;MFPR01007573&amp;amp;lt;/RightHandSideExpression&amp;amp;gt;'"</definedName>
    <definedName name="_AMO_ContentDefinition_485496469.2397"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2398" hidden="1">"';gt;&amp;amp;lt;DateFormat&amp;amp;gt;None&amp;amp;lt;/DateFormat&amp;amp;gt;&amp;amp;lt;RightHandSideExpression&amp;amp;gt;MFPR01007574&amp;amp;lt;/RightHandSideExpression&amp;amp;gt;&amp;amp;lt;IsSubquery&amp;amp;gt;False&amp;amp;lt;/IsSubquery&amp;amp;gt;&amp;amp;lt;SubqueryTemplateName /&amp;amp;gt;&amp;am'"</definedName>
    <definedName name="_AMO_ContentDefinition_485496469.2399" hidden="1">"'p;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24" hidden="1">"'01005173',&amp;#xD;&amp;#xA;'MFPR01005180',&amp;#xD;&amp;#xA;'MFPR01005181',&amp;#xD;&amp;#xA;'MFPR01005182',&amp;#xD;&amp;#xA;'MFPR01005187',&amp;#xD;&amp;#xA;'MFPR01006507',&amp;#xD;&amp;#xA;'MFPR01006508',&amp;#xD;&amp;#xA;'MFPR01006509',&amp;#xD;&amp;#xA;'MFPR01006510',&amp;#xD;&amp;#xA;'MFPR01006511',&amp;#xD;&amp;#xA;'MFPR0'"</definedName>
    <definedName name="_AMO_ContentDefinition_485496469.240" hidden="1">"'amp;#xA;'MFPR01006913',&amp;amp;#xD;&amp;amp;#xA;'MFPR01006914',&amp;amp;#xD;&amp;amp;#xA;'MFPR01006915',&amp;amp;#xD;&amp;amp;#xA;'MFPR01006916',&amp;amp;#xD;&amp;amp;#xA;'MFPR01006917',&amp;amp;#xD;&amp;amp;#xA;'MFPR01006918',&amp;amp;#xD;&amp;amp;#xA;'MFPR01006919',&amp;amp;#xD;&amp;amp;#xA;'MFPR0100692'"</definedName>
    <definedName name="_AMO_ContentDefinition_485496469.2400" hidden="1">"';MFPR01007575&amp;amp;lt;/RightHandSideExpression&amp;amp;gt;&amp;amp;lt;IsSubquery&amp;amp;gt;False&amp;amp;lt;/IsSubquery&amp;amp;gt;&amp;amp;lt;SubqueryTemplateName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485496469.2401" hidden="1">"'t;&amp;amp;lt;AddQuotes&amp;amp;gt;True&amp;amp;lt;/AddQuotes&amp;amp;gt;&amp;amp;lt;DateFormat&amp;amp;gt;None&amp;amp;lt;/DateFormat&amp;amp;gt;&amp;amp;lt;RightHandSideExpression&amp;amp;gt;MFPR01007576&amp;amp;lt;/RightHandSideExpression&amp;amp;gt;&amp;amp;lt;IsSubquery&amp;amp;gt;False&amp;amp;lt;/IsSubq'"</definedName>
    <definedName name="_AMO_ContentDefinition_485496469.2402"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485496469.2403" hidden="1">"'eFormat&amp;amp;gt;&amp;amp;lt;RightHandSideExpression&amp;amp;gt;MFPR01007577&amp;amp;lt;/RightHandSideExpression&amp;amp;gt;&amp;amp;lt;IsSubquery&amp;amp;gt;False&amp;amp;lt;/IsSubquery&amp;amp;gt;&amp;amp;lt;SubqueryTemplateName /&amp;amp;gt;&amp;amp;lt;/RHSItem&amp;amp;gt;&amp;amp;lt;RHSItem&amp;amp;gt;&amp;a'"</definedName>
    <definedName name="_AMO_ContentDefinition_485496469.2404" hidden="1">"'mp;lt;RHSType&amp;amp;gt;EXPRESSION&amp;amp;lt;/RHSType&amp;amp;gt;&amp;amp;lt;AddQuotes&amp;amp;gt;True&amp;amp;lt;/AddQuotes&amp;amp;gt;&amp;amp;lt;DateFormat&amp;amp;gt;None&amp;amp;lt;/DateFormat&amp;amp;gt;&amp;amp;lt;RightHandSideExpression&amp;amp;gt;MFPR01007578&amp;amp;lt;/RightHandSideExpression&amp;'"</definedName>
    <definedName name="_AMO_ContentDefinition_485496469.2405"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485496469.2406" hidden="1">"'tes&amp;amp;gt;&amp;amp;lt;DateFormat&amp;amp;gt;None&amp;amp;lt;/DateFormat&amp;amp;gt;&amp;amp;lt;RightHandSideExpression&amp;amp;gt;MFPR01007579&amp;amp;lt;/RightHandSideExpression&amp;amp;gt;&amp;amp;lt;IsSubquery&amp;amp;gt;False&amp;amp;lt;/IsSubquery&amp;amp;gt;&amp;amp;lt;SubqueryTemplateName /&amp;amp'"</definedName>
    <definedName name="_AMO_ContentDefinition_485496469.2407"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485496469.2408" hidden="1">"'&amp;amp;gt;MFPR01007580&amp;amp;lt;/RightHandSideExpression&amp;amp;gt;&amp;amp;lt;IsSubquery&amp;amp;gt;False&amp;amp;lt;/IsSubquery&amp;amp;gt;&amp;amp;lt;SubqueryTemplateName /&amp;amp;gt;&amp;amp;lt;/RHSItem&amp;amp;gt;&amp;amp;lt;RHSItem&amp;amp;gt;&amp;amp;lt;RHSType&amp;amp;gt;EXPRESSION&amp;amp;lt;/RHSTyp'"</definedName>
    <definedName name="_AMO_ContentDefinition_485496469.2409" hidden="1">"'e&amp;amp;gt;&amp;amp;lt;AddQuotes&amp;amp;gt;True&amp;amp;lt;/AddQuotes&amp;amp;gt;&amp;amp;lt;DateFormat&amp;amp;gt;None&amp;amp;lt;/DateFormat&amp;amp;gt;&amp;amp;lt;RightHandSideExpression&amp;amp;gt;MFPR01007581&amp;amp;lt;/RightHandSideExpression&amp;amp;gt;&amp;amp;lt;IsSubquery&amp;amp;gt;False&amp;amp;lt;'"</definedName>
    <definedName name="_AMO_ContentDefinition_485496469.241" hidden="1">"'0',&amp;amp;#xD;&amp;amp;#xA;'MFPR01006921',&amp;amp;#xD;&amp;amp;#xA;'MFPR01006922',&amp;amp;#xD;&amp;amp;#xA;'MFPR01006923',&amp;amp;#xD;&amp;amp;#xA;'MFPR01006924',&amp;amp;#xD;&amp;amp;#xA;'MFPR01006925',&amp;amp;#xD;&amp;amp;#xA;'MFPR01006926',&amp;amp;#xD;&amp;amp;#xA;'MFPR01006927',&amp;amp;#xD;&amp;amp;#xA'"</definedName>
    <definedName name="_AMO_ContentDefinition_485496469.2410"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2411" hidden="1">"'lt;/DateFormat&amp;amp;gt;&amp;amp;lt;RightHandSideExpression&amp;amp;gt;MFPR01007582&amp;amp;lt;/RightHandSideExpression&amp;amp;gt;&amp;amp;lt;IsSubquery&amp;amp;gt;False&amp;amp;lt;/IsSubquery&amp;amp;gt;&amp;amp;lt;SubqueryTemplateName /&amp;amp;gt;&amp;amp;lt;/RHSItem&amp;amp;gt;&amp;amp;lt;RHSItem&amp;am'"</definedName>
    <definedName name="_AMO_ContentDefinition_485496469.2412" hidden="1">"'p;gt;&amp;amp;lt;RHSType&amp;amp;gt;EXPRESSION&amp;amp;lt;/RHSType&amp;amp;gt;&amp;amp;lt;AddQuotes&amp;amp;gt;True&amp;amp;lt;/AddQuotes&amp;amp;gt;&amp;amp;lt;DateFormat&amp;amp;gt;None&amp;amp;lt;/DateFormat&amp;amp;gt;&amp;amp;lt;RightHandSideExpression&amp;amp;gt;MFPR01007583&amp;amp;lt;/RightHandSideExpr'"</definedName>
    <definedName name="_AMO_ContentDefinition_485496469.2413"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2414" hidden="1">"'/AddQuotes&amp;amp;gt;&amp;amp;lt;DateFormat&amp;amp;gt;None&amp;amp;lt;/DateFormat&amp;amp;gt;&amp;amp;lt;RightHandSideExpression&amp;amp;gt;MFPR01007584&amp;amp;lt;/RightHandSideExpression&amp;amp;gt;&amp;amp;lt;IsSubquery&amp;amp;gt;False&amp;amp;lt;/IsSubquery&amp;amp;gt;&amp;amp;lt;SubqueryTemplateNam'"</definedName>
    <definedName name="_AMO_ContentDefinition_485496469.2415"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485496469.2416" hidden="1">"'ression&amp;amp;gt;MFPR01007585&amp;amp;lt;/RightHandSideExpression&amp;amp;gt;&amp;amp;lt;IsSubquery&amp;amp;gt;False&amp;amp;lt;/IsSubquery&amp;amp;gt;&amp;amp;lt;SubqueryTemplateName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2417" hidden="1">"'/RHSType&amp;amp;gt;&amp;amp;lt;AddQuotes&amp;amp;gt;True&amp;amp;lt;/AddQuotes&amp;amp;gt;&amp;amp;lt;DateFormat&amp;amp;gt;None&amp;amp;lt;/DateFormat&amp;amp;gt;&amp;amp;lt;RightHandSideExpression&amp;amp;gt;MFPR01007586&amp;amp;lt;/RightHandSideExpression&amp;amp;gt;&amp;amp;lt;IsSubquery&amp;amp;gt;False&amp;'"</definedName>
    <definedName name="_AMO_ContentDefinition_485496469.2418"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485496469.2419" hidden="1">"'ne&amp;amp;lt;/DateFormat&amp;amp;gt;&amp;amp;lt;RightHandSideExpression&amp;amp;gt;MFPR01007587&amp;amp;lt;/RightHandSideExpression&amp;amp;gt;&amp;amp;lt;IsSubquery&amp;amp;gt;False&amp;amp;lt;/IsSubquery&amp;amp;gt;&amp;amp;lt;SubqueryTemplateName /&amp;amp;gt;&amp;amp;lt;/RHSItem&amp;amp;gt;&amp;amp;lt;RHS'"</definedName>
    <definedName name="_AMO_ContentDefinition_485496469.242" hidden="1">"';'MFPR01006928',&amp;amp;#xD;&amp;amp;#xA;'MFPR01006929',&amp;amp;#xD;&amp;amp;#xA;'MFPR01006930',&amp;amp;#xD;&amp;amp;#xA;'MFPR01006931',&amp;amp;#xD;&amp;amp;#xA;'MFPR01006932',&amp;amp;#xD;&amp;amp;#xA;'MFPR01006933',&amp;amp;#xD;&amp;amp;#xA;'MFPR01006934',&amp;amp;#xD;&amp;amp;#xA;'MFPR01006935',&amp;amp'"</definedName>
    <definedName name="_AMO_ContentDefinition_485496469.2420" hidden="1">"'Item&amp;amp;gt;&amp;amp;lt;RHSType&amp;amp;gt;EXPRESSION&amp;amp;lt;/RHSType&amp;amp;gt;&amp;amp;lt;AddQuotes&amp;amp;gt;True&amp;amp;lt;/AddQuotes&amp;amp;gt;&amp;amp;lt;DateFormat&amp;amp;gt;None&amp;amp;lt;/DateFormat&amp;amp;gt;&amp;amp;lt;RightHandSideExpression&amp;amp;gt;MFPR01007588&amp;amp;lt;/RightHandS'"</definedName>
    <definedName name="_AMO_ContentDefinition_485496469.2421"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485496469.2422" hidden="1">"'amp;lt;/AddQuotes&amp;amp;gt;&amp;amp;lt;DateFormat&amp;amp;gt;None&amp;amp;lt;/DateFormat&amp;amp;gt;&amp;amp;lt;RightHandSideExpression&amp;amp;gt;MFPR01007589&amp;amp;lt;/RightHandSideExpression&amp;amp;gt;&amp;amp;lt;IsSubquery&amp;amp;gt;False&amp;amp;lt;/IsSubquery&amp;amp;gt;&amp;amp;lt;SubqueryTemp'"</definedName>
    <definedName name="_AMO_ContentDefinition_485496469.2423"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485496469.2424" hidden="1">"'SideExpression&amp;amp;gt;MFPR01007590&amp;amp;lt;/RightHandSideExpression&amp;amp;gt;&amp;amp;lt;IsSubquery&amp;amp;gt;False&amp;amp;lt;/IsSubquery&amp;amp;gt;&amp;amp;lt;SubqueryTemplateName /&amp;amp;gt;&amp;amp;lt;/RHSItem&amp;amp;gt;&amp;amp;lt;RHSItem&amp;amp;gt;&amp;amp;lt;RHSType&amp;amp;gt;EXPRESSION&amp;'"</definedName>
    <definedName name="_AMO_ContentDefinition_485496469.2425" hidden="1">"'amp;lt;/RHSType&amp;amp;gt;&amp;amp;lt;AddQuotes&amp;amp;gt;True&amp;amp;lt;/AddQuotes&amp;amp;gt;&amp;amp;lt;DateFormat&amp;amp;gt;None&amp;amp;lt;/DateFormat&amp;amp;gt;&amp;amp;lt;RightHandSideExpression&amp;amp;gt;MFPR01007591&amp;amp;lt;/RightHandSideExpression&amp;amp;gt;&amp;amp;lt;IsSubquery&amp;amp;gt'"</definedName>
    <definedName name="_AMO_ContentDefinition_485496469.2426"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485496469.2427" hidden="1">"'p;gt;None&amp;amp;lt;/DateFormat&amp;amp;gt;&amp;amp;lt;RightHandSideExpression&amp;amp;gt;MFPR01007592&amp;amp;lt;/RightHandSideExpression&amp;amp;gt;&amp;amp;lt;IsSubquery&amp;amp;gt;False&amp;amp;lt;/IsSubquery&amp;amp;gt;&amp;amp;lt;SubqueryTemplateName /&amp;amp;gt;&amp;amp;lt;/RHSItem&amp;amp;gt;&amp;amp'"</definedName>
    <definedName name="_AMO_ContentDefinition_485496469.2428" hidden="1">"';lt;RHSItem&amp;amp;gt;&amp;amp;lt;RHSType&amp;amp;gt;EXPRESSION&amp;amp;lt;/RHSType&amp;amp;gt;&amp;amp;lt;AddQuotes&amp;amp;gt;True&amp;amp;lt;/AddQuotes&amp;amp;gt;&amp;amp;lt;DateFormat&amp;amp;gt;None&amp;amp;lt;/DateFormat&amp;amp;gt;&amp;amp;lt;RightHandSideExpression&amp;amp;gt;MFPR01007593&amp;amp;lt;/Rig'"</definedName>
    <definedName name="_AMO_ContentDefinition_485496469.2429"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485496469.243" hidden="1">"';#xD;&amp;amp;#xA;'MFPR01006936',&amp;amp;#xD;&amp;amp;#xA;'MFPR01006937',&amp;amp;#xD;&amp;amp;#xA;'MFPR01006938',&amp;amp;#xD;&amp;amp;#xA;'MFPR01006939',&amp;amp;#xD;&amp;amp;#xA;'MFPR01006940',&amp;amp;#xD;&amp;amp;#xA;'MFPR01006941',&amp;amp;#xD;&amp;amp;#xA;'MFPR01006942',&amp;amp;#xD;&amp;amp;#xA;'MFPR0'"</definedName>
    <definedName name="_AMO_ContentDefinition_485496469.2430" hidden="1">"'t;True&amp;amp;lt;/AddQuotes&amp;amp;gt;&amp;amp;lt;DateFormat&amp;amp;gt;None&amp;amp;lt;/DateFormat&amp;amp;gt;&amp;amp;lt;RightHandSideExpression&amp;amp;gt;MFPR01007594&amp;amp;lt;/RightHandSideExpression&amp;amp;gt;&amp;amp;lt;IsSubquery&amp;amp;gt;False&amp;amp;lt;/IsSubquery&amp;amp;gt;&amp;amp;lt;Subqu'"</definedName>
    <definedName name="_AMO_ContentDefinition_485496469.2431"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485496469.2432" hidden="1">"'ghtHandSideExpression&amp;amp;gt;MFPR01007595&amp;amp;lt;/RightHandSideExpression&amp;amp;gt;&amp;amp;lt;IsSubquery&amp;amp;gt;False&amp;amp;lt;/IsSubquery&amp;amp;gt;&amp;amp;lt;SubqueryTemplateName /&amp;amp;gt;&amp;amp;lt;/RHSItem&amp;amp;gt;&amp;amp;lt;RHSItem&amp;amp;gt;&amp;amp;lt;RHSType&amp;amp;gt;EXPR'"</definedName>
    <definedName name="_AMO_ContentDefinition_485496469.2433" hidden="1">"'ESSION&amp;amp;lt;/RHSType&amp;amp;gt;&amp;amp;lt;AddQuotes&amp;amp;gt;True&amp;amp;lt;/AddQuotes&amp;amp;gt;&amp;amp;lt;DateFormat&amp;amp;gt;None&amp;amp;lt;/DateFormat&amp;amp;gt;&amp;amp;lt;RightHandSideExpression&amp;amp;gt;MFPR01007596&amp;amp;lt;/RightHandSideExpression&amp;amp;gt;&amp;amp;lt;IsSubquery'"</definedName>
    <definedName name="_AMO_ContentDefinition_485496469.2434"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485496469.2435" hidden="1">"'rmat&amp;amp;gt;None&amp;amp;lt;/DateFormat&amp;amp;gt;&amp;amp;lt;RightHandSideExpression&amp;amp;gt;MFPR01007597&amp;amp;lt;/RightHandSideExpression&amp;amp;gt;&amp;amp;lt;IsSubquery&amp;amp;gt;False&amp;amp;lt;/IsSubquery&amp;amp;gt;&amp;amp;lt;SubqueryTemplateName /&amp;amp;gt;&amp;amp;lt;/RHSItem&amp;amp;'"</definedName>
    <definedName name="_AMO_ContentDefinition_485496469.2436" hidden="1">"'gt;&amp;amp;lt;RHSItem&amp;amp;gt;&amp;amp;lt;RHSType&amp;amp;gt;EXPRESSION&amp;amp;lt;/RHSType&amp;amp;gt;&amp;amp;lt;AddQuotes&amp;amp;gt;True&amp;amp;lt;/AddQuotes&amp;amp;gt;&amp;amp;lt;DateFormat&amp;amp;gt;None&amp;amp;lt;/DateFormat&amp;amp;gt;&amp;amp;lt;RightHandSideExpression&amp;amp;gt;MFPR01007598&amp;amp;'"</definedName>
    <definedName name="_AMO_ContentDefinition_485496469.2437"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485496469.2438" hidden="1">"'s&amp;amp;gt;True&amp;amp;lt;/AddQuotes&amp;amp;gt;&amp;amp;lt;DateFormat&amp;amp;gt;None&amp;amp;lt;/DateFormat&amp;amp;gt;&amp;amp;lt;RightHandSideExpression&amp;amp;gt;MFPR01007599&amp;amp;lt;/RightHandSideExpression&amp;amp;gt;&amp;amp;lt;IsSubquery&amp;amp;gt;False&amp;amp;lt;/IsSubquery&amp;amp;gt;&amp;amp;l'"</definedName>
    <definedName name="_AMO_ContentDefinition_485496469.2439"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485496469.244" hidden="1">"'1006943',&amp;amp;#xD;&amp;amp;#xA;'MFPR01006944',&amp;amp;#xD;&amp;amp;#xA;'MFPR01006945',&amp;amp;#xD;&amp;amp;#xA;'MFPR01006946',&amp;amp;#xD;&amp;amp;#xA;'MFPR01006947',&amp;amp;#xD;&amp;amp;#xA;'MFPR01006948',&amp;amp;#xD;&amp;amp;#xA;'MFPR01006949',&amp;amp;#xD;&amp;amp;#xA;'MFPR01006950',&amp;amp;#xD;&amp;a'"</definedName>
    <definedName name="_AMO_ContentDefinition_485496469.2440" hidden="1">"'p;lt;RightHandSideExpression&amp;amp;gt;MFPR01007600&amp;amp;lt;/RightHandSideExpression&amp;amp;gt;&amp;amp;lt;IsSubquery&amp;amp;gt;False&amp;amp;lt;/IsSubquery&amp;amp;gt;&amp;amp;lt;SubqueryTemplateName /&amp;amp;gt;&amp;amp;lt;/RHSItem&amp;amp;gt;&amp;amp;lt;RHSItem&amp;amp;gt;&amp;amp;lt;RHSType&amp;amp;'"</definedName>
    <definedName name="_AMO_ContentDefinition_485496469.2441" hidden="1">"'gt;EXPRESSION&amp;amp;lt;/RHSType&amp;amp;gt;&amp;amp;lt;AddQuotes&amp;amp;gt;True&amp;amp;lt;/AddQuotes&amp;amp;gt;&amp;amp;lt;DateFormat&amp;amp;gt;None&amp;amp;lt;/DateFormat&amp;amp;gt;&amp;amp;lt;RightHandSideExpression&amp;amp;gt;MFPR01007601&amp;amp;lt;/RightHandSideExpression&amp;amp;gt;&amp;amp;lt;IsS'"</definedName>
    <definedName name="_AMO_ContentDefinition_485496469.2442"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2443" hidden="1">"';DateFormat&amp;amp;gt;None&amp;amp;lt;/DateFormat&amp;amp;gt;&amp;amp;lt;RightHandSideExpression&amp;amp;gt;MFPR01007602&amp;amp;lt;/RightHandSideExpression&amp;amp;gt;&amp;amp;lt;IsSubquery&amp;amp;gt;False&amp;amp;lt;/IsSubquery&amp;amp;gt;&amp;amp;lt;SubqueryTemplateName /&amp;amp;gt;&amp;amp;lt;/RHSIt'"</definedName>
    <definedName name="_AMO_ContentDefinition_485496469.2444" hidden="1">"'em&amp;amp;gt;&amp;amp;lt;RHSItem&amp;amp;gt;&amp;amp;lt;RHSType&amp;amp;gt;EXPRESSION&amp;amp;lt;/RHSType&amp;amp;gt;&amp;amp;lt;AddQuotes&amp;amp;gt;True&amp;amp;lt;/AddQuotes&amp;amp;gt;&amp;amp;lt;DateFormat&amp;amp;gt;None&amp;amp;lt;/DateFormat&amp;amp;gt;&amp;amp;lt;RightHandSideExpression&amp;amp;gt;MFPR010076'"</definedName>
    <definedName name="_AMO_ContentDefinition_485496469.2445" hidden="1">"'03&amp;amp;lt;/RightHandSideExpression&amp;amp;gt;&amp;amp;lt;IsSubquery&amp;amp;gt;False&amp;amp;lt;/IsSubquery&amp;amp;gt;&amp;amp;lt;SubqueryTemplateName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485496469.2446" hidden="1">"'ddQuotes&amp;amp;gt;True&amp;amp;lt;/AddQuotes&amp;amp;gt;&amp;amp;lt;DateFormat&amp;amp;gt;None&amp;amp;lt;/DateFormat&amp;amp;gt;&amp;amp;lt;RightHandSideExpression&amp;amp;gt;MFPR01007604&amp;amp;lt;/RightHandSideExpression&amp;amp;gt;&amp;amp;lt;IsSubquery&amp;amp;gt;False&amp;amp;lt;/IsSubquery&amp;amp;gt'"</definedName>
    <definedName name="_AMO_ContentDefinition_485496469.2447"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2448" hidden="1">"';gt;&amp;amp;lt;RightHandSideExpression&amp;amp;gt;MFPR01007605&amp;amp;lt;/RightHandSideExpression&amp;amp;gt;&amp;amp;lt;IsSubquery&amp;amp;gt;False&amp;amp;lt;/IsSubquery&amp;amp;gt;&amp;amp;lt;SubqueryTemplateName /&amp;amp;gt;&amp;amp;lt;/RHSItem&amp;amp;gt;&amp;amp;lt;RHSItem&amp;amp;gt;&amp;amp;lt;RHSTy'"</definedName>
    <definedName name="_AMO_ContentDefinition_485496469.2449" hidden="1">"'pe&amp;amp;gt;EXPRESSION&amp;amp;lt;/RHSType&amp;amp;gt;&amp;amp;lt;AddQuotes&amp;amp;gt;True&amp;amp;lt;/AddQuotes&amp;amp;gt;&amp;amp;lt;DateFormat&amp;amp;gt;None&amp;amp;lt;/DateFormat&amp;amp;gt;&amp;amp;lt;RightHandSideExpression&amp;amp;gt;MFPR01007606&amp;amp;lt;/RightHandSideExpression&amp;amp;gt;&amp;amp'"</definedName>
    <definedName name="_AMO_ContentDefinition_485496469.245" hidden="1">"'mp;#xA;'MFPR01006951',&amp;amp;#xD;&amp;amp;#xA;'MFPR01006952',&amp;amp;#xD;&amp;amp;#xA;'MFPR01006953',&amp;amp;#xD;&amp;amp;#xA;'MFPR01006954',&amp;amp;#xD;&amp;amp;#xA;'MFPR01006955',&amp;amp;#xD;&amp;amp;#xA;'MFPR01006956',&amp;amp;#xD;&amp;amp;#xA;'MFPR01006957',&amp;amp;#xD;&amp;amp;#xA;'MFPR01006958'"</definedName>
    <definedName name="_AMO_ContentDefinition_485496469.2450"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2451" hidden="1">"'&amp;amp;lt;DateFormat&amp;amp;gt;None&amp;amp;lt;/DateFormat&amp;amp;gt;&amp;amp;lt;RightHandSideExpression&amp;amp;gt;MFPR01007607&amp;amp;lt;/RightHandSideExpression&amp;amp;gt;&amp;amp;lt;IsSubquery&amp;amp;gt;False&amp;amp;lt;/IsSubquery&amp;amp;gt;&amp;amp;lt;SubqueryTemplateName /&amp;amp;gt;&amp;amp;lt'"</definedName>
    <definedName name="_AMO_ContentDefinition_485496469.2452" hidden="1">"';/RHSItem&amp;amp;gt;&amp;amp;lt;RHSItem&amp;amp;gt;&amp;amp;lt;RHSType&amp;amp;gt;EXPRESSION&amp;amp;lt;/RHSType&amp;amp;gt;&amp;amp;lt;AddQuotes&amp;amp;gt;True&amp;amp;lt;/AddQuotes&amp;amp;gt;&amp;amp;lt;DateFormat&amp;amp;gt;None&amp;amp;lt;/DateFormat&amp;amp;gt;&amp;amp;lt;RightHandSideExpression&amp;amp;gt;MFP'"</definedName>
    <definedName name="_AMO_ContentDefinition_485496469.2453" hidden="1">"'R01007608&amp;amp;lt;/RightHandSideExpression&amp;amp;gt;&amp;amp;lt;IsSubquery&amp;amp;gt;False&amp;amp;lt;/IsSubquery&amp;amp;gt;&amp;amp;lt;SubqueryTemplateName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485496469.2454" hidden="1">"'mp;lt;AddQuotes&amp;amp;gt;True&amp;amp;lt;/AddQuotes&amp;amp;gt;&amp;amp;lt;DateFormat&amp;amp;gt;None&amp;amp;lt;/DateFormat&amp;amp;gt;&amp;amp;lt;RightHandSideExpression&amp;amp;gt;MFPR01007609&amp;amp;lt;/RightHandSideExpression&amp;amp;gt;&amp;amp;lt;IsSubquery&amp;amp;gt;False&amp;amp;lt;/IsSubquery'"</definedName>
    <definedName name="_AMO_ContentDefinition_485496469.2455"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485496469.2456" hidden="1">"'mat&amp;amp;gt;&amp;amp;lt;RightHandSideExpression&amp;amp;gt;MFPR01007610&amp;amp;lt;/RightHandSideExpression&amp;amp;gt;&amp;amp;lt;IsSubquery&amp;amp;gt;False&amp;amp;lt;/IsSubquery&amp;amp;gt;&amp;amp;lt;SubqueryTemplateName /&amp;amp;gt;&amp;amp;lt;/RHSItem&amp;amp;gt;&amp;amp;lt;RHSItem&amp;amp;gt;&amp;amp;l'"</definedName>
    <definedName name="_AMO_ContentDefinition_485496469.2457" hidden="1">"'t;RHSType&amp;amp;gt;EXPRESSION&amp;amp;lt;/RHSType&amp;amp;gt;&amp;amp;lt;AddQuotes&amp;amp;gt;True&amp;amp;lt;/AddQuotes&amp;amp;gt;&amp;amp;lt;DateFormat&amp;amp;gt;None&amp;amp;lt;/DateFormat&amp;amp;gt;&amp;amp;lt;RightHandSideExpression&amp;amp;gt;MFPR01007611&amp;amp;lt;/RightHandSideExpression&amp;amp;'"</definedName>
    <definedName name="_AMO_ContentDefinition_485496469.2458"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485496469.2459" hidden="1">"'amp;gt;&amp;amp;lt;DateFormat&amp;amp;gt;None&amp;amp;lt;/DateFormat&amp;amp;gt;&amp;amp;lt;RightHandSideExpression&amp;amp;gt;MFPR01007612&amp;amp;lt;/RightHandSideExpression&amp;amp;gt;&amp;amp;lt;IsSubquery&amp;amp;gt;False&amp;amp;lt;/IsSubquery&amp;amp;gt;&amp;amp;lt;SubqueryTemplateName /&amp;amp;gt;'"</definedName>
    <definedName name="_AMO_ContentDefinition_485496469.246" hidden="1">"'',&amp;amp;#xD;&amp;amp;#xA;'MFPR01006959',&amp;amp;#xD;&amp;amp;#xA;'MFPR01006960',&amp;amp;#xD;&amp;amp;#xA;'MFPR01006961',&amp;amp;#xD;&amp;amp;#xA;'MFPR01006962',&amp;amp;#xD;&amp;amp;#xA;'MFPR01006963',&amp;amp;#xD;&amp;amp;#xA;'MFPR01006964',&amp;amp;#xD;&amp;amp;#xA;'MFPR01006965',&amp;amp;#xD;&amp;amp;#xA;'"</definedName>
    <definedName name="_AMO_ContentDefinition_485496469.2460" hidden="1">"'&amp;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2461" hidden="1">"';gt;MFPR01007613&amp;amp;lt;/RightHandSideExpression&amp;amp;gt;&amp;amp;lt;IsSubquery&amp;amp;gt;False&amp;amp;lt;/IsSubquery&amp;amp;gt;&amp;amp;lt;SubqueryTemplateName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485496469.2462" hidden="1">"'p;gt;&amp;amp;lt;AddQuotes&amp;amp;gt;True&amp;amp;lt;/AddQuotes&amp;amp;gt;&amp;amp;lt;DateFormat&amp;amp;gt;None&amp;amp;lt;/DateFormat&amp;amp;gt;&amp;amp;lt;RightHandSideExpression&amp;amp;gt;MFPR01007614&amp;amp;lt;/RightHandSideExpression&amp;amp;gt;&amp;amp;lt;IsSubquery&amp;amp;gt;False&amp;amp;lt;/IsS'"</definedName>
    <definedName name="_AMO_ContentDefinition_485496469.2463"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2464" hidden="1">"'DateFormat&amp;amp;gt;&amp;amp;lt;RightHandSideExpression&amp;amp;gt;MFPR01007615&amp;amp;lt;/RightHandSideExpression&amp;amp;gt;&amp;amp;lt;IsSubquery&amp;amp;gt;False&amp;amp;lt;/IsSubquery&amp;amp;gt;&amp;amp;lt;SubqueryTemplateName /&amp;amp;gt;&amp;amp;lt;/RHSItem&amp;amp;gt;&amp;amp;lt;RHSItem&amp;amp;gt'"</definedName>
    <definedName name="_AMO_ContentDefinition_485496469.2465" hidden="1">"';&amp;amp;lt;RHSType&amp;amp;gt;EXPRESSION&amp;amp;lt;/RHSType&amp;amp;gt;&amp;amp;lt;AddQuotes&amp;amp;gt;True&amp;amp;lt;/AddQuotes&amp;amp;gt;&amp;amp;lt;DateFormat&amp;amp;gt;None&amp;amp;lt;/DateFormat&amp;amp;gt;&amp;amp;lt;RightHandSideExpression&amp;amp;gt;MFPR01007616&amp;amp;lt;/RightHandSideExpressi'"</definedName>
    <definedName name="_AMO_ContentDefinition_485496469.2466"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485496469.2467" hidden="1">"'Quotes&amp;amp;gt;&amp;amp;lt;DateFormat&amp;amp;gt;None&amp;amp;lt;/DateFormat&amp;amp;gt;&amp;amp;lt;RightHandSideExpression&amp;amp;gt;MFPR01007617&amp;amp;lt;/RightHandSideExpression&amp;amp;gt;&amp;amp;lt;IsSubquery&amp;amp;gt;False&amp;amp;lt;/IsSubquery&amp;amp;gt;&amp;amp;lt;SubqueryTemplateName /&amp;'"</definedName>
    <definedName name="_AMO_ContentDefinition_485496469.2468"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485496469.2469" hidden="1">"'ion&amp;amp;gt;MFPR01007618&amp;amp;lt;/RightHandSideExpression&amp;amp;gt;&amp;amp;lt;IsSubquery&amp;amp;gt;False&amp;amp;lt;/IsSubquery&amp;amp;gt;&amp;amp;lt;SubqueryTemplateName /&amp;amp;gt;&amp;amp;lt;/RHSItem&amp;amp;gt;&amp;amp;lt;RHSItem&amp;amp;gt;&amp;amp;lt;RHSType&amp;amp;gt;EXPRESSION&amp;amp;lt;/RHS'"</definedName>
    <definedName name="_AMO_ContentDefinition_485496469.247" hidden="1">"''MFPR01006966',&amp;amp;#xD;&amp;amp;#xA;'MFPR01006967',&amp;amp;#xD;&amp;amp;#xA;'MFPR01006968',&amp;amp;#xD;&amp;amp;#xA;'MFPR01006969',&amp;amp;#xD;&amp;amp;#xA;'MFPR01006970',&amp;amp;#xD;&amp;amp;#xA;'MFPR01006971',&amp;amp;#xD;&amp;amp;#xA;'MFPR01006972',&amp;amp;#xD;&amp;amp;#xA;'MFPR01006973',&amp;amp;'"</definedName>
    <definedName name="_AMO_ContentDefinition_485496469.2470" hidden="1">"'Type&amp;amp;gt;&amp;amp;lt;AddQuotes&amp;amp;gt;True&amp;amp;lt;/AddQuotes&amp;amp;gt;&amp;amp;lt;DateFormat&amp;amp;gt;None&amp;amp;lt;/DateFormat&amp;amp;gt;&amp;amp;lt;RightHandSideExpression&amp;amp;gt;MFPR01007619&amp;amp;lt;/RightHandSideExpression&amp;amp;gt;&amp;amp;lt;IsSubquery&amp;amp;gt;False&amp;amp;'"</definedName>
    <definedName name="_AMO_ContentDefinition_485496469.2471"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485496469.2472" hidden="1">"'mp;lt;/DateFormat&amp;amp;gt;&amp;amp;lt;RightHandSideExpression&amp;amp;gt;MFPR01007620&amp;amp;lt;/RightHandSideExpression&amp;amp;gt;&amp;amp;lt;IsSubquery&amp;amp;gt;False&amp;amp;lt;/IsSubquery&amp;amp;gt;&amp;amp;lt;SubqueryTemplateName /&amp;amp;gt;&amp;amp;lt;/RHSItem&amp;amp;gt;&amp;amp;lt;RHSItem'"</definedName>
    <definedName name="_AMO_ContentDefinition_485496469.2473" hidden="1">"'&amp;amp;gt;&amp;amp;lt;RHSType&amp;amp;gt;EXPRESSION&amp;amp;lt;/RHSType&amp;amp;gt;&amp;amp;lt;AddQuotes&amp;amp;gt;True&amp;amp;lt;/AddQuotes&amp;amp;gt;&amp;amp;lt;DateFormat&amp;amp;gt;None&amp;amp;lt;/DateFormat&amp;amp;gt;&amp;amp;lt;RightHandSideExpression&amp;amp;gt;MFPR01007621&amp;amp;lt;/RightHandSideE'"</definedName>
    <definedName name="_AMO_ContentDefinition_485496469.2474"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2475" hidden="1">"'lt;/AddQuotes&amp;amp;gt;&amp;amp;lt;DateFormat&amp;amp;gt;None&amp;amp;lt;/DateFormat&amp;amp;gt;&amp;amp;lt;RightHandSideExpression&amp;amp;gt;MFPR01007622&amp;amp;lt;/RightHandSideExpression&amp;amp;gt;&amp;amp;lt;IsSubquery&amp;amp;gt;False&amp;amp;lt;/IsSubquery&amp;amp;gt;&amp;amp;lt;SubqueryTemplate'"</definedName>
    <definedName name="_AMO_ContentDefinition_485496469.2476"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485496469.2477" hidden="1">"'Expression&amp;amp;gt;MFPR01007623&amp;amp;lt;/RightHandSideExpression&amp;amp;gt;&amp;amp;lt;IsSubquery&amp;amp;gt;False&amp;amp;lt;/IsSubquery&amp;amp;gt;&amp;amp;lt;SubqueryTemplateName /&amp;amp;gt;&amp;amp;lt;/RHSItem&amp;amp;gt;&amp;amp;lt;RHSItem&amp;amp;gt;&amp;amp;lt;RHSType&amp;amp;gt;EXPRESSION&amp;amp;'"</definedName>
    <definedName name="_AMO_ContentDefinition_485496469.2478" hidden="1">"'lt;/RHSType&amp;amp;gt;&amp;amp;lt;AddQuotes&amp;amp;gt;True&amp;amp;lt;/AddQuotes&amp;amp;gt;&amp;amp;lt;DateFormat&amp;amp;gt;None&amp;amp;lt;/DateFormat&amp;amp;gt;&amp;amp;lt;RightHandSideExpression&amp;amp;gt;MFPR01007624&amp;amp;lt;/RightHandSideExpression&amp;amp;gt;&amp;amp;lt;IsSubquery&amp;amp;gt;Fal'"</definedName>
    <definedName name="_AMO_ContentDefinition_485496469.2479"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248" hidden="1">"'#xD;&amp;amp;#xA;'MFPR01006974',&amp;amp;#xD;&amp;amp;#xA;'MFPR01006975',&amp;amp;#xD;&amp;amp;#xA;'MFPR01006976',&amp;amp;#xD;&amp;amp;#xA;'MFPR01006977',&amp;amp;#xD;&amp;amp;#xA;'MFPR01006978',&amp;amp;#xD;&amp;amp;#xA;'MFPR01006979',&amp;amp;#xD;&amp;amp;#xA;'MFPR01006980',&amp;amp;#xD;&amp;amp;#xA;'MFPR01'"</definedName>
    <definedName name="_AMO_ContentDefinition_485496469.2480" hidden="1">"';None&amp;amp;lt;/DateFormat&amp;amp;gt;&amp;amp;lt;RightHandSideExpression&amp;amp;gt;MFPR01007625&amp;amp;lt;/RightHandSideExpression&amp;amp;gt;&amp;amp;lt;IsSubquery&amp;amp;gt;False&amp;amp;lt;/IsSubquery&amp;amp;gt;&amp;amp;lt;SubqueryTemplateName /&amp;amp;gt;&amp;amp;lt;/RHSItem&amp;amp;gt;&amp;amp;lt;'"</definedName>
    <definedName name="_AMO_ContentDefinition_485496469.2481" hidden="1">"'RHSItem&amp;amp;gt;&amp;amp;lt;RHSType&amp;amp;gt;EXPRESSION&amp;amp;lt;/RHSType&amp;amp;gt;&amp;amp;lt;AddQuotes&amp;amp;gt;True&amp;amp;lt;/AddQuotes&amp;amp;gt;&amp;amp;lt;DateFormat&amp;amp;gt;None&amp;amp;lt;/DateFormat&amp;amp;gt;&amp;amp;lt;RightHandSideExpression&amp;amp;gt;MFPR01007626&amp;amp;lt;/RightHa'"</definedName>
    <definedName name="_AMO_ContentDefinition_485496469.2482"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485496469.2483" hidden="1">"'ue&amp;amp;lt;/AddQuotes&amp;amp;gt;&amp;amp;lt;DateFormat&amp;amp;gt;None&amp;amp;lt;/DateFormat&amp;amp;gt;&amp;amp;lt;RightHandSideExpression&amp;amp;gt;MFPR01007627&amp;amp;lt;/RightHandSideExpression&amp;amp;gt;&amp;amp;lt;IsSubquery&amp;amp;gt;False&amp;amp;lt;/IsSubquery&amp;amp;gt;&amp;amp;lt;SubqueryT'"</definedName>
    <definedName name="_AMO_ContentDefinition_485496469.2484"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485496469.2485" hidden="1">"'andSideExpression&amp;amp;gt;MFPR01007628&amp;amp;lt;/RightHandSideExpression&amp;amp;gt;&amp;amp;lt;IsSubquery&amp;amp;gt;False&amp;amp;lt;/IsSubquery&amp;amp;gt;&amp;amp;lt;SubqueryTemplateName /&amp;amp;gt;&amp;amp;lt;/RHSItem&amp;amp;gt;&amp;amp;lt;RHSItem&amp;amp;gt;&amp;amp;lt;RHSType&amp;amp;gt;EXPRESSI'"</definedName>
    <definedName name="_AMO_ContentDefinition_485496469.2486" hidden="1">"'ON&amp;amp;lt;/RHSType&amp;amp;gt;&amp;amp;lt;AddQuotes&amp;amp;gt;True&amp;amp;lt;/AddQuotes&amp;amp;gt;&amp;amp;lt;DateFormat&amp;amp;gt;None&amp;amp;lt;/DateFormat&amp;amp;gt;&amp;amp;lt;RightHandSideExpression&amp;amp;gt;MFPR01007629&amp;amp;lt;/RightHandSideExpression&amp;amp;gt;&amp;amp;lt;IsSubquery&amp;amp'"</definedName>
    <definedName name="_AMO_ContentDefinition_485496469.2487"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485496469.2488" hidden="1">"'&amp;amp;gt;None&amp;amp;lt;/DateFormat&amp;amp;gt;&amp;amp;lt;RightHandSideExpression&amp;amp;gt;MFPR01007630&amp;amp;lt;/RightHandSideExpression&amp;amp;gt;&amp;amp;lt;IsSubquery&amp;amp;gt;False&amp;amp;lt;/IsSubquery&amp;amp;gt;&amp;amp;lt;SubqueryTemplateName /&amp;amp;gt;&amp;amp;lt;/RHSItem&amp;amp;gt;&amp;'"</definedName>
    <definedName name="_AMO_ContentDefinition_485496469.2489" hidden="1">"'amp;lt;RHSItem&amp;amp;gt;&amp;amp;lt;RHSType&amp;amp;gt;EXPRESSION&amp;amp;lt;/RHSType&amp;amp;gt;&amp;amp;lt;AddQuotes&amp;amp;gt;True&amp;amp;lt;/AddQuotes&amp;amp;gt;&amp;amp;lt;DateFormat&amp;amp;gt;None&amp;amp;lt;/DateFormat&amp;amp;gt;&amp;amp;lt;RightHandSideExpression&amp;amp;gt;MFPR01007631&amp;amp;lt;/'"</definedName>
    <definedName name="_AMO_ContentDefinition_485496469.249" hidden="1">"'006981',&amp;amp;#xD;&amp;amp;#xA;'MFPR01006982',&amp;amp;#xD;&amp;amp;#xA;'MFPR01006983',&amp;amp;#xD;&amp;amp;#xA;'MFPR01006984',&amp;amp;#xD;&amp;amp;#xA;'MFPR01006985',&amp;amp;#xD;&amp;amp;#xA;'MFPR01006986',&amp;amp;#xD;&amp;amp;#xA;'MFPR01006987',&amp;amp;#xD;&amp;amp;#xA;'MFPR01006988',&amp;amp;#xD;&amp;am'"</definedName>
    <definedName name="_AMO_ContentDefinition_485496469.2490"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485496469.2491" hidden="1">"'p;gt;True&amp;amp;lt;/AddQuotes&amp;amp;gt;&amp;amp;lt;DateFormat&amp;amp;gt;None&amp;amp;lt;/DateFormat&amp;amp;gt;&amp;amp;lt;RightHandSideExpression&amp;amp;gt;MFPR01007632&amp;amp;lt;/RightHandSideExpression&amp;amp;gt;&amp;amp;lt;IsSubquery&amp;amp;gt;False&amp;amp;lt;/IsSubquery&amp;amp;gt;&amp;amp;lt;Su'"</definedName>
    <definedName name="_AMO_ContentDefinition_485496469.2492"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2493" hidden="1">"';RightHandSideExpression&amp;amp;gt;MFPR01007633&amp;amp;lt;/RightHandSideExpression&amp;amp;gt;&amp;amp;lt;IsSubquery&amp;amp;gt;False&amp;amp;lt;/IsSubquery&amp;amp;gt;&amp;amp;lt;SubqueryTemplateName /&amp;amp;gt;&amp;amp;lt;/RHSItem&amp;amp;gt;&amp;amp;lt;RHSItem&amp;amp;gt;&amp;amp;lt;RHSType&amp;amp;gt;E'"</definedName>
    <definedName name="_AMO_ContentDefinition_485496469.2494" hidden="1">"'XPRESSION&amp;amp;lt;/RHSType&amp;amp;gt;&amp;amp;lt;AddQuotes&amp;amp;gt;True&amp;amp;lt;/AddQuotes&amp;amp;gt;&amp;amp;lt;DateFormat&amp;amp;gt;None&amp;amp;lt;/DateFormat&amp;amp;gt;&amp;amp;lt;RightHandSideExpression&amp;amp;gt;MFPR01007634&amp;amp;lt;/RightHandSideExpression&amp;amp;gt;&amp;amp;lt;IsSubqu'"</definedName>
    <definedName name="_AMO_ContentDefinition_485496469.2495"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485496469.2496" hidden="1">"'eFormat&amp;amp;gt;None&amp;amp;lt;/DateFormat&amp;amp;gt;&amp;amp;lt;RightHandSideExpression&amp;amp;gt;MFPR01007635&amp;amp;lt;/RightHandSideExpression&amp;amp;gt;&amp;amp;lt;IsSubquery&amp;amp;gt;False&amp;amp;lt;/IsSubquery&amp;amp;gt;&amp;amp;lt;SubqueryTemplateName /&amp;amp;gt;&amp;amp;lt;/RHSItem&amp;a'"</definedName>
    <definedName name="_AMO_ContentDefinition_485496469.2497" hidden="1">"'mp;gt;&amp;amp;lt;RHSItem&amp;amp;gt;&amp;amp;lt;RHSType&amp;amp;gt;EXPRESSION&amp;amp;lt;/RHSType&amp;amp;gt;&amp;amp;lt;AddQuotes&amp;amp;gt;True&amp;amp;lt;/AddQuotes&amp;amp;gt;&amp;amp;lt;DateFormat&amp;amp;gt;None&amp;amp;lt;/DateFormat&amp;amp;gt;&amp;amp;lt;RightHandSideExpression&amp;amp;gt;MFPR01007636&amp;a'"</definedName>
    <definedName name="_AMO_ContentDefinition_485496469.2498"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485496469.2499" hidden="1">"'otes&amp;amp;gt;True&amp;amp;lt;/AddQuotes&amp;amp;gt;&amp;amp;lt;DateFormat&amp;amp;gt;None&amp;amp;lt;/DateFormat&amp;amp;gt;&amp;amp;lt;RightHandSideExpression&amp;amp;gt;MFPR01007637&amp;amp;lt;/RightHandSideExpression&amp;amp;gt;&amp;amp;lt;IsSubquery&amp;amp;gt;False&amp;amp;lt;/IsSubquery&amp;amp;gt;&amp;am'"</definedName>
    <definedName name="_AMO_ContentDefinition_485496469.25" hidden="1">"'1006512',&amp;#xD;&amp;#xA;'MFPR01006513',&amp;#xD;&amp;#xA;'MFPR01006514',&amp;#xD;&amp;#xA;'MFPR01006515',&amp;#xD;&amp;#xA;'MFPR01006516',&amp;#xD;&amp;#xA;'MFPR01006517',&amp;#xD;&amp;#xA;'MFPR01006518',&amp;#xD;&amp;#xA;'MFPR01006519',&amp;#xD;&amp;#xA;'MFPR01006520',&amp;#xD;&amp;#xA;'MFPR01006521',&amp;#xD;&amp;#xA;'MFPR01'"</definedName>
    <definedName name="_AMO_ContentDefinition_485496469.250" hidden="1">"'p;#xA;'MFPR01006989',&amp;amp;#xD;&amp;amp;#xA;'MFPR01006990',&amp;amp;#xD;&amp;amp;#xA;'MFPR01006991',&amp;amp;#xD;&amp;amp;#xA;'MFPR01006992',&amp;amp;#xD;&amp;amp;#xA;'MFPR01006993',&amp;amp;#xD;&amp;amp;#xA;'MFPR01006994',&amp;amp;#xD;&amp;amp;#xA;'MFPR01006995',&amp;amp;#xD;&amp;amp;#xA;'MFPR01006996''"</definedName>
    <definedName name="_AMO_ContentDefinition_485496469.2500"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2501" hidden="1">"'&amp;amp;lt;RightHandSideExpression&amp;amp;gt;MFPR01007638&amp;amp;lt;/RightHandSideExpression&amp;amp;gt;&amp;amp;lt;IsSubquery&amp;amp;gt;False&amp;amp;lt;/IsSubquery&amp;amp;gt;&amp;amp;lt;SubqueryTemplateName /&amp;amp;gt;&amp;amp;lt;/RHSItem&amp;amp;gt;&amp;amp;lt;RHSItem&amp;amp;gt;&amp;amp;lt;RHSType&amp;a'"</definedName>
    <definedName name="_AMO_ContentDefinition_485496469.2502" hidden="1">"'mp;gt;EXPRESSION&amp;amp;lt;/RHSType&amp;amp;gt;&amp;amp;lt;AddQuotes&amp;amp;gt;True&amp;amp;lt;/AddQuotes&amp;amp;gt;&amp;amp;lt;DateFormat&amp;amp;gt;None&amp;amp;lt;/DateFormat&amp;amp;gt;&amp;amp;lt;RightHandSideExpression&amp;amp;gt;MFPR01007639&amp;amp;lt;/RightHandSideExpression&amp;amp;gt;&amp;amp;lt;'"</definedName>
    <definedName name="_AMO_ContentDefinition_485496469.2503"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2504" hidden="1">"';lt;DateFormat&amp;amp;gt;None&amp;amp;lt;/DateFormat&amp;amp;gt;&amp;amp;lt;RightHandSideExpression&amp;amp;gt;MFPR01007640&amp;amp;lt;/RightHandSideExpression&amp;amp;gt;&amp;amp;lt;IsSubquery&amp;amp;gt;False&amp;amp;lt;/IsSubquery&amp;amp;gt;&amp;amp;lt;SubqueryTemplateName /&amp;amp;gt;&amp;amp;lt;/RH'"</definedName>
    <definedName name="_AMO_ContentDefinition_485496469.2505" hidden="1">"'SItem&amp;amp;gt;&amp;amp;lt;RHSItem&amp;amp;gt;&amp;amp;lt;RHSType&amp;amp;gt;EXPRESSION&amp;amp;lt;/RHSType&amp;amp;gt;&amp;amp;lt;AddQuotes&amp;amp;gt;True&amp;amp;lt;/AddQuotes&amp;amp;gt;&amp;amp;lt;DateFormat&amp;amp;gt;None&amp;amp;lt;/DateFormat&amp;amp;gt;&amp;amp;lt;RightHandSideExpression&amp;amp;gt;MFPR010'"</definedName>
    <definedName name="_AMO_ContentDefinition_485496469.2506" hidden="1">"'07641&amp;amp;lt;/RightHandSideExpression&amp;amp;gt;&amp;amp;lt;IsSubquery&amp;amp;gt;False&amp;amp;lt;/IsSubquery&amp;amp;gt;&amp;amp;lt;SubqueryTemplateName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485496469.2507" hidden="1">"'t;AddQuotes&amp;amp;gt;True&amp;amp;lt;/AddQuotes&amp;amp;gt;&amp;amp;lt;DateFormat&amp;amp;gt;None&amp;amp;lt;/DateFormat&amp;amp;gt;&amp;amp;lt;RightHandSideExpression&amp;amp;gt;MFPR01007642&amp;amp;lt;/RightHandSideExpression&amp;amp;gt;&amp;amp;lt;IsSubquery&amp;amp;gt;False&amp;amp;lt;/IsSubquery&amp;amp'"</definedName>
    <definedName name="_AMO_ContentDefinition_485496469.2508"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485496469.2509" hidden="1">"'amp;gt;&amp;amp;lt;RightHandSideExpression&amp;amp;gt;MFPR01007643&amp;amp;lt;/RightHandSideExpression&amp;amp;gt;&amp;amp;lt;IsSubquery&amp;amp;gt;False&amp;amp;lt;/IsSubquery&amp;amp;gt;&amp;amp;lt;SubqueryTemplateName /&amp;amp;gt;&amp;amp;lt;/RHSItem&amp;amp;gt;&amp;amp;lt;RHSItem&amp;amp;gt;&amp;amp;lt;RH'"</definedName>
    <definedName name="_AMO_ContentDefinition_485496469.251" hidden="1">"',&amp;amp;#xD;&amp;amp;#xA;'MFPR01006997',&amp;amp;#xD;&amp;amp;#xA;'MFPR01006998',&amp;amp;#xD;&amp;amp;#xA;'MFPR01006999',&amp;amp;#xD;&amp;amp;#xA;'MFPR01007000',&amp;amp;#xD;&amp;amp;#xA;'MFPR01007001',&amp;amp;#xD;&amp;amp;#xA;'MFPR01007002',&amp;amp;#xD;&amp;amp;#xA;'MFPR01007003',&amp;amp;#xD;&amp;amp;#xA;''"</definedName>
    <definedName name="_AMO_ContentDefinition_485496469.2510" hidden="1">"'SType&amp;amp;gt;EXPRESSION&amp;amp;lt;/RHSType&amp;amp;gt;&amp;amp;lt;AddQuotes&amp;amp;gt;True&amp;amp;lt;/AddQuotes&amp;amp;gt;&amp;amp;lt;DateFormat&amp;amp;gt;None&amp;amp;lt;/DateFormat&amp;amp;gt;&amp;amp;lt;RightHandSideExpression&amp;amp;gt;MFPR01007644&amp;amp;lt;/RightHandSideExpression&amp;amp;gt;&amp;'"</definedName>
    <definedName name="_AMO_ContentDefinition_485496469.2511"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2512" hidden="1">"'gt;&amp;amp;lt;DateFormat&amp;amp;gt;None&amp;amp;lt;/DateFormat&amp;amp;gt;&amp;amp;lt;RightHandSideExpression&amp;amp;gt;MFPR01007645&amp;amp;lt;/RightHandSideExpression&amp;amp;gt;&amp;amp;lt;IsSubquery&amp;amp;gt;False&amp;amp;lt;/IsSubquery&amp;amp;gt;&amp;amp;lt;SubqueryTemplateName /&amp;amp;gt;&amp;amp'"</definedName>
    <definedName name="_AMO_ContentDefinition_485496469.2513" hidden="1">"';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2514" hidden="1">"'MFPR01007646&amp;amp;lt;/RightHandSideExpression&amp;amp;gt;&amp;amp;lt;IsSubquery&amp;amp;gt;False&amp;amp;lt;/IsSubquery&amp;amp;gt;&amp;amp;lt;SubqueryTemplateName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2515" hidden="1">"';&amp;amp;lt;AddQuotes&amp;amp;gt;True&amp;amp;lt;/AddQuotes&amp;amp;gt;&amp;amp;lt;DateFormat&amp;amp;gt;None&amp;amp;lt;/DateFormat&amp;amp;gt;&amp;amp;lt;RightHandSideExpression&amp;amp;gt;MFPR01007647&amp;amp;lt;/RightHandSideExpression&amp;amp;gt;&amp;amp;lt;IsSubquery&amp;amp;gt;False&amp;amp;lt;/IsSubqu'"</definedName>
    <definedName name="_AMO_ContentDefinition_485496469.2516"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485496469.2517" hidden="1">"'Format&amp;amp;gt;&amp;amp;lt;RightHandSideExpression&amp;amp;gt;MFPR01007648&amp;amp;lt;/RightHandSideExpression&amp;amp;gt;&amp;amp;lt;IsSubquery&amp;amp;gt;False&amp;amp;lt;/IsSubquery&amp;amp;gt;&amp;amp;lt;SubqueryTemplateName /&amp;amp;gt;&amp;amp;lt;/RHSItem&amp;amp;gt;&amp;amp;lt;RHSItem&amp;amp;gt;&amp;am'"</definedName>
    <definedName name="_AMO_ContentDefinition_485496469.2518" hidden="1">"'p;lt;RHSType&amp;amp;gt;EXPRESSION&amp;amp;lt;/RHSType&amp;amp;gt;&amp;amp;lt;AddQuotes&amp;amp;gt;True&amp;amp;lt;/AddQuotes&amp;amp;gt;&amp;amp;lt;DateFormat&amp;amp;gt;None&amp;amp;lt;/DateFormat&amp;amp;gt;&amp;amp;lt;RightHandSideExpression&amp;amp;gt;MFPR01007649&amp;amp;lt;/RightHandSideExpression&amp;a'"</definedName>
    <definedName name="_AMO_ContentDefinition_485496469.2519"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485496469.252" hidden="1">"'MFPR01007004',&amp;amp;#xD;&amp;amp;#xA;'MFPR01007005',&amp;amp;#xD;&amp;amp;#xA;'MFPR01007006',&amp;amp;#xD;&amp;amp;#xA;'MFPR01007007',&amp;amp;#xD;&amp;amp;#xA;'MFPR01007008',&amp;amp;#xD;&amp;amp;#xA;'MFPR01007009',&amp;amp;#xD;&amp;amp;#xA;'MFPR01007010',&amp;amp;#xD;&amp;amp;#xA;'MFPR01007011',&amp;amp;#'"</definedName>
    <definedName name="_AMO_ContentDefinition_485496469.2520" hidden="1">"'es&amp;amp;gt;&amp;amp;lt;DateFormat&amp;amp;gt;None&amp;amp;lt;/DateFormat&amp;amp;gt;&amp;amp;lt;RightHandSideExpression&amp;amp;gt;MFPR01007650&amp;amp;lt;/RightHandSideExpression&amp;amp;gt;&amp;amp;lt;IsSubquery&amp;amp;gt;False&amp;amp;lt;/IsSubquery&amp;amp;gt;&amp;amp;lt;SubqueryTemplateName /&amp;amp;'"</definedName>
    <definedName name="_AMO_ContentDefinition_485496469.2521" hidden="1">"'gt;&amp;amp;lt;/RHSItem&amp;amp;gt;&amp;amp;lt;RHSItem&amp;amp;gt;&amp;amp;lt;RHSType&amp;amp;gt;EXPRESSION&amp;amp;lt;/RHSType&amp;amp;gt;&amp;amp;lt;AddQuotes&amp;amp;gt;True&amp;amp;lt;/AddQuotes&amp;amp;gt;&amp;amp;lt;DateFormat&amp;amp;gt;None&amp;amp;lt;/DateFormat&amp;amp;gt;&amp;amp;lt;RightHandSideExpression&amp;'"</definedName>
    <definedName name="_AMO_ContentDefinition_485496469.2522" hidden="1">"'amp;gt;MFPR01007651&amp;amp;lt;/RightHandSideExpression&amp;amp;gt;&amp;amp;lt;IsSubquery&amp;amp;gt;False&amp;amp;lt;/IsSubquery&amp;amp;gt;&amp;amp;lt;SubqueryTemplateName /&amp;amp;gt;&amp;amp;lt;/RHSItem&amp;amp;gt;&amp;amp;lt;RHSItem&amp;amp;gt;&amp;amp;lt;RHSType&amp;amp;gt;EXPRESSION&amp;amp;lt;/RHSType'"</definedName>
    <definedName name="_AMO_ContentDefinition_485496469.2523" hidden="1">"'&amp;amp;gt;&amp;amp;lt;AddQuotes&amp;amp;gt;True&amp;amp;lt;/AddQuotes&amp;amp;gt;&amp;amp;lt;DateFormat&amp;amp;gt;None&amp;amp;lt;/DateFormat&amp;amp;gt;&amp;amp;lt;RightHandSideExpression&amp;amp;gt;MFPR01007652&amp;amp;lt;/RightHandSideExpression&amp;amp;gt;&amp;amp;lt;IsSubquery&amp;amp;gt;False&amp;amp;lt;/'"</definedName>
    <definedName name="_AMO_ContentDefinition_485496469.2524"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485496469.2525" hidden="1">"'t;/DateFormat&amp;amp;gt;&amp;amp;lt;RightHandSideExpression&amp;amp;gt;MFPR01007653&amp;amp;lt;/RightHandSideExpression&amp;amp;gt;&amp;amp;lt;IsSubquery&amp;amp;gt;False&amp;amp;lt;/IsSubquery&amp;amp;gt;&amp;amp;lt;SubqueryTemplateName /&amp;amp;gt;&amp;amp;lt;/RHSItem&amp;amp;gt;&amp;amp;lt;RHSItem&amp;amp'"</definedName>
    <definedName name="_AMO_ContentDefinition_485496469.2526" hidden="1">"';gt;&amp;amp;lt;RHSType&amp;amp;gt;EXPRESSION&amp;amp;lt;/RHSType&amp;amp;gt;&amp;amp;lt;AddQuotes&amp;amp;gt;True&amp;amp;lt;/AddQuotes&amp;amp;gt;&amp;amp;lt;DateFormat&amp;amp;gt;None&amp;amp;lt;/DateFormat&amp;amp;gt;&amp;amp;lt;RightHandSideExpression&amp;amp;gt;MFPR01007654&amp;amp;lt;/RightHandSideExpre'"</definedName>
    <definedName name="_AMO_ContentDefinition_485496469.2527"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2528" hidden="1">"'AddQuotes&amp;amp;gt;&amp;amp;lt;DateFormat&amp;amp;gt;None&amp;amp;lt;/DateFormat&amp;amp;gt;&amp;amp;lt;RightHandSideExpression&amp;amp;gt;MFPR01007655&amp;amp;lt;/RightHandSideExpression&amp;amp;gt;&amp;amp;lt;IsSubquery&amp;amp;gt;False&amp;amp;lt;/IsSubquery&amp;amp;gt;&amp;amp;lt;SubqueryTemplateName'"</definedName>
    <definedName name="_AMO_ContentDefinition_485496469.2529"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485496469.253" hidden="1">"'xD;&amp;amp;#xA;'MFPR01007012',&amp;amp;#xD;&amp;amp;#xA;'MFPR01007013',&amp;amp;#xD;&amp;amp;#xA;'MFPR01007014',&amp;amp;#xD;&amp;amp;#xA;'MFPR01007015',&amp;amp;#xD;&amp;amp;#xA;'MFPR01007016',&amp;amp;#xD;&amp;amp;#xA;'MFPR01007017',&amp;amp;#xD;&amp;amp;#xA;'MFPR01007018',&amp;amp;#xD;&amp;amp;#xA;'MFPR010'"</definedName>
    <definedName name="_AMO_ContentDefinition_485496469.2530" hidden="1">"'ession&amp;amp;gt;MFPR01007656&amp;amp;lt;/RightHandSideExpression&amp;amp;gt;&amp;amp;lt;IsSubquery&amp;amp;gt;False&amp;amp;lt;/IsSubquery&amp;amp;gt;&amp;amp;lt;SubqueryTemplateName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2531" hidden="1">"'RHSType&amp;amp;gt;&amp;amp;lt;AddQuotes&amp;amp;gt;True&amp;amp;lt;/AddQuotes&amp;amp;gt;&amp;amp;lt;DateFormat&amp;amp;gt;None&amp;amp;lt;/DateFormat&amp;amp;gt;&amp;amp;lt;RightHandSideExpression&amp;amp;gt;MFPR01007657&amp;amp;lt;/RightHandSideExpression&amp;amp;gt;&amp;amp;lt;IsSubquery&amp;amp;gt;False&amp;a'"</definedName>
    <definedName name="_AMO_ContentDefinition_485496469.2532"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485496469.2533" hidden="1">"'e&amp;amp;lt;/DateFormat&amp;amp;gt;&amp;amp;lt;RightHandSideExpression&amp;amp;gt;MFPR01007658&amp;amp;lt;/RightHandSideExpression&amp;amp;gt;&amp;amp;lt;IsSubquery&amp;amp;gt;False&amp;amp;lt;/IsSubquery&amp;amp;gt;&amp;amp;lt;SubqueryTemplateName /&amp;amp;gt;&amp;amp;lt;/RHSItem&amp;amp;gt;&amp;amp;lt;RHSI'"</definedName>
    <definedName name="_AMO_ContentDefinition_485496469.2534" hidden="1">"'tem&amp;amp;gt;&amp;amp;lt;RHSType&amp;amp;gt;EXPRESSION&amp;amp;lt;/RHSType&amp;amp;gt;&amp;amp;lt;AddQuotes&amp;amp;gt;True&amp;amp;lt;/AddQuotes&amp;amp;gt;&amp;amp;lt;DateFormat&amp;amp;gt;None&amp;amp;lt;/DateFormat&amp;amp;gt;&amp;amp;lt;RightHandSideExpression&amp;amp;gt;MFPR01007659&amp;amp;lt;/RightHandSi'"</definedName>
    <definedName name="_AMO_ContentDefinition_485496469.2535"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485496469.2536" hidden="1">"'mp;lt;/AddQuotes&amp;amp;gt;&amp;amp;lt;DateFormat&amp;amp;gt;None&amp;amp;lt;/DateFormat&amp;amp;gt;&amp;amp;lt;RightHandSideExpression&amp;amp;gt;MFPR01007660&amp;amp;lt;/RightHandSideExpression&amp;amp;gt;&amp;amp;lt;IsSubquery&amp;amp;gt;False&amp;amp;lt;/IsSubquery&amp;amp;gt;&amp;amp;lt;SubqueryTempl'"</definedName>
    <definedName name="_AMO_ContentDefinition_485496469.2537"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485496469.2538" hidden="1">"'ideExpression&amp;amp;gt;MFPR01007661&amp;amp;lt;/RightHandSideExpression&amp;amp;gt;&amp;amp;lt;IsSubquery&amp;amp;gt;False&amp;amp;lt;/IsSubquery&amp;amp;gt;&amp;amp;lt;SubqueryTemplateName /&amp;amp;gt;&amp;amp;lt;/RHSItem&amp;amp;gt;&amp;amp;lt;RHSItem&amp;amp;gt;&amp;amp;lt;RHSType&amp;amp;gt;EXPRESSION&amp;a'"</definedName>
    <definedName name="_AMO_ContentDefinition_485496469.2539" hidden="1">"'mp;lt;/RHSType&amp;amp;gt;&amp;amp;lt;AddQuotes&amp;amp;gt;True&amp;amp;lt;/AddQuotes&amp;amp;gt;&amp;amp;lt;DateFormat&amp;amp;gt;None&amp;amp;lt;/DateFormat&amp;amp;gt;&amp;amp;lt;RightHandSideExpression&amp;amp;gt;MFPR01007662&amp;amp;lt;/RightHandSideExpression&amp;amp;gt;&amp;amp;lt;IsSubquery&amp;amp;gt;'"</definedName>
    <definedName name="_AMO_ContentDefinition_485496469.254" hidden="1">"'07019',&amp;amp;#xD;&amp;amp;#xA;'MFPR01007020',&amp;amp;#xD;&amp;amp;#xA;'MFPR01007021',&amp;amp;#xD;&amp;amp;#xA;'MFPR01007022',&amp;amp;#xD;&amp;amp;#xA;'MFPR01007023',&amp;amp;#xD;&amp;amp;#xA;'MFPR01007024',&amp;amp;#xD;&amp;amp;#xA;'MFPR01007025',&amp;amp;#xD;&amp;amp;#xA;'MFPR01007026',&amp;amp;#xD;&amp;amp'"</definedName>
    <definedName name="_AMO_ContentDefinition_485496469.2540"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2541" hidden="1">"';gt;None&amp;amp;lt;/DateFormat&amp;amp;gt;&amp;amp;lt;RightHandSideExpression&amp;amp;gt;MFPR01007663&amp;amp;lt;/RightHandSideExpression&amp;amp;gt;&amp;amp;lt;IsSubquery&amp;amp;gt;False&amp;amp;lt;/IsSubquery&amp;amp;gt;&amp;amp;lt;SubqueryTemplateName /&amp;amp;gt;&amp;amp;lt;/RHSItem&amp;amp;gt;&amp;amp;'"</definedName>
    <definedName name="_AMO_ContentDefinition_485496469.2542" hidden="1">"'lt;RHSItem&amp;amp;gt;&amp;amp;lt;RHSType&amp;amp;gt;EXPRESSION&amp;amp;lt;/RHSType&amp;amp;gt;&amp;amp;lt;AddQuotes&amp;amp;gt;True&amp;amp;lt;/AddQuotes&amp;amp;gt;&amp;amp;lt;DateFormat&amp;amp;gt;None&amp;amp;lt;/DateFormat&amp;amp;gt;&amp;amp;lt;RightHandSideExpression&amp;amp;gt;MFPR01007664&amp;amp;lt;/Righ'"</definedName>
    <definedName name="_AMO_ContentDefinition_485496469.2543"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2544" hidden="1">"';True&amp;amp;lt;/AddQuotes&amp;amp;gt;&amp;amp;lt;DateFormat&amp;amp;gt;None&amp;amp;lt;/DateFormat&amp;amp;gt;&amp;amp;lt;RightHandSideExpression&amp;amp;gt;MFPR01007665&amp;amp;lt;/RightHandSideExpression&amp;amp;gt;&amp;amp;lt;IsSubquery&amp;amp;gt;False&amp;amp;lt;/IsSubquery&amp;amp;gt;&amp;amp;lt;Subque'"</definedName>
    <definedName name="_AMO_ContentDefinition_485496469.2545"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485496469.2546" hidden="1">"'htHandSideExpression&amp;amp;gt;MFPR01007666&amp;amp;lt;/RightHandSideExpression&amp;amp;gt;&amp;amp;lt;IsSubquery&amp;amp;gt;False&amp;amp;lt;/IsSubquery&amp;amp;gt;&amp;amp;lt;SubqueryTemplateName /&amp;amp;gt;&amp;amp;lt;/RHSItem&amp;amp;gt;&amp;amp;lt;RHSItem&amp;amp;gt;&amp;amp;lt;RHSType&amp;amp;gt;EXPRE'"</definedName>
    <definedName name="_AMO_ContentDefinition_485496469.2547" hidden="1">"'SSION&amp;amp;lt;/RHSType&amp;amp;gt;&amp;amp;lt;AddQuotes&amp;amp;gt;True&amp;amp;lt;/AddQuotes&amp;amp;gt;&amp;amp;lt;DateFormat&amp;amp;gt;None&amp;amp;lt;/DateFormat&amp;amp;gt;&amp;amp;lt;RightHandSideExpression&amp;amp;gt;MFPR01007667&amp;amp;lt;/RightHandSideExpression&amp;amp;gt;&amp;amp;lt;IsSubquery&amp;'"</definedName>
    <definedName name="_AMO_ContentDefinition_485496469.2548"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485496469.2549" hidden="1">"'mat&amp;amp;gt;None&amp;amp;lt;/DateFormat&amp;amp;gt;&amp;amp;lt;RightHandSideExpression&amp;amp;gt;MFPR01007668&amp;amp;lt;/RightHandSideExpression&amp;amp;gt;&amp;amp;lt;IsSubquery&amp;amp;gt;False&amp;amp;lt;/IsSubquery&amp;amp;gt;&amp;amp;lt;SubqueryTemplateName /&amp;amp;gt;&amp;amp;lt;/RHSItem&amp;amp;g'"</definedName>
    <definedName name="_AMO_ContentDefinition_485496469.255" hidden="1">"';#xA;'MFPR01007027',&amp;amp;#xD;&amp;amp;#xA;'MFPR01007028',&amp;amp;#xD;&amp;amp;#xA;'MFPR01007029',&amp;amp;#xD;&amp;amp;#xA;'MFPR01007030',&amp;amp;#xD;&amp;amp;#xA;'MFPR01007031',&amp;amp;#xD;&amp;amp;#xA;'MFPR01007032',&amp;amp;#xD;&amp;amp;#xA;'MFPR01007033',&amp;amp;#xD;&amp;amp;#xA;'MFPR01007034','"</definedName>
    <definedName name="_AMO_ContentDefinition_485496469.2550" hidden="1">"'t;&amp;amp;lt;RHSItem&amp;amp;gt;&amp;amp;lt;RHSType&amp;amp;gt;EXPRESSION&amp;amp;lt;/RHSType&amp;amp;gt;&amp;amp;lt;AddQuotes&amp;amp;gt;True&amp;amp;lt;/AddQuotes&amp;amp;gt;&amp;amp;lt;DateFormat&amp;amp;gt;None&amp;amp;lt;/DateFormat&amp;amp;gt;&amp;amp;lt;RightHandSideExpression&amp;amp;gt;MFPR01007669&amp;amp;l'"</definedName>
    <definedName name="_AMO_ContentDefinition_485496469.2551"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485496469.2552" hidden="1">"'&amp;amp;gt;True&amp;amp;lt;/AddQuotes&amp;amp;gt;&amp;amp;lt;DateFormat&amp;amp;gt;None&amp;amp;lt;/DateFormat&amp;amp;gt;&amp;amp;lt;RightHandSideExpression&amp;amp;gt;MFPR01007670&amp;amp;lt;/RightHandSideExpression&amp;amp;gt;&amp;amp;lt;IsSubquery&amp;amp;gt;False&amp;amp;lt;/IsSubquery&amp;amp;gt;&amp;amp;lt'"</definedName>
    <definedName name="_AMO_ContentDefinition_485496469.2553"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2554" hidden="1">"';lt;RightHandSideExpression&amp;amp;gt;MFPR01007671&amp;amp;lt;/RightHandSideExpression&amp;amp;gt;&amp;amp;lt;IsSubquery&amp;amp;gt;False&amp;amp;lt;/IsSubquery&amp;amp;gt;&amp;amp;lt;SubqueryTemplateName /&amp;amp;gt;&amp;amp;lt;/RHSItem&amp;amp;gt;&amp;amp;lt;RHSItem&amp;amp;gt;&amp;amp;lt;RHSType&amp;amp;g'"</definedName>
    <definedName name="_AMO_ContentDefinition_485496469.2555" hidden="1">"'t;EXPRESSION&amp;amp;lt;/RHSType&amp;amp;gt;&amp;amp;lt;AddQuotes&amp;amp;gt;True&amp;amp;lt;/AddQuotes&amp;amp;gt;&amp;amp;lt;DateFormat&amp;amp;gt;None&amp;amp;lt;/DateFormat&amp;amp;gt;&amp;amp;lt;RightHandSideExpression&amp;amp;gt;MFPR01007672&amp;amp;lt;/RightHandSideExpression&amp;amp;gt;&amp;amp;lt;IsSu'"</definedName>
    <definedName name="_AMO_ContentDefinition_485496469.2556"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2557" hidden="1">"'DateFormat&amp;amp;gt;None&amp;amp;lt;/DateFormat&amp;amp;gt;&amp;amp;lt;RightHandSideExpression&amp;amp;gt;MFPR01007673&amp;amp;lt;/RightHandSideExpression&amp;amp;gt;&amp;amp;lt;IsSubquery&amp;amp;gt;False&amp;amp;lt;/IsSubquery&amp;amp;gt;&amp;amp;lt;SubqueryTemplateName /&amp;amp;gt;&amp;amp;lt;/RHSIte'"</definedName>
    <definedName name="_AMO_ContentDefinition_485496469.2558" hidden="1">"'m&amp;amp;gt;&amp;amp;lt;RHSItem&amp;amp;gt;&amp;amp;lt;RHSType&amp;amp;gt;EXPRESSION&amp;amp;lt;/RHSType&amp;amp;gt;&amp;amp;lt;AddQuotes&amp;amp;gt;True&amp;amp;lt;/AddQuotes&amp;amp;gt;&amp;amp;lt;DateFormat&amp;amp;gt;None&amp;amp;lt;/DateFormat&amp;amp;gt;&amp;amp;lt;RightHandSideExpression&amp;amp;gt;MFPR0100767'"</definedName>
    <definedName name="_AMO_ContentDefinition_485496469.2559" hidden="1">"'4&amp;amp;lt;/RightHandSideExpression&amp;amp;gt;&amp;amp;lt;IsSubquery&amp;amp;gt;False&amp;amp;lt;/IsSubquery&amp;amp;gt;&amp;amp;lt;SubqueryTemplateName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485496469.256" hidden="1">"'&amp;amp;#xD;&amp;amp;#xA;'MFPR01007035',&amp;amp;#xD;&amp;amp;#xA;'MFPR01007036',&amp;amp;#xD;&amp;amp;#xA;'MFPR01007037',&amp;amp;#xD;&amp;amp;#xA;'MFPR01007038',&amp;amp;#xD;&amp;amp;#xA;'MFPR01007039',&amp;amp;#xD;&amp;amp;#xA;'MFPR01007040',&amp;amp;#xD;&amp;amp;#xA;'MFPR01007041',&amp;amp;#xD;&amp;amp;#xA;'M'"</definedName>
    <definedName name="_AMO_ContentDefinition_485496469.2560" hidden="1">"'dQuotes&amp;amp;gt;True&amp;amp;lt;/AddQuotes&amp;amp;gt;&amp;amp;lt;DateFormat&amp;amp;gt;None&amp;amp;lt;/DateFormat&amp;amp;gt;&amp;amp;lt;RightHandSideExpression&amp;amp;gt;MFPR01007675&amp;amp;lt;/RightHandSideExpression&amp;amp;gt;&amp;amp;lt;IsSubquery&amp;amp;gt;False&amp;amp;lt;/IsSubquery&amp;amp;gt;'"</definedName>
    <definedName name="_AMO_ContentDefinition_485496469.2561"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2562" hidden="1">"'gt;&amp;amp;lt;RightHandSideExpression&amp;amp;gt;MFPR01007676&amp;amp;lt;/RightHandSideExpression&amp;amp;gt;&amp;amp;lt;IsSubquery&amp;amp;gt;False&amp;amp;lt;/IsSubquery&amp;amp;gt;&amp;amp;lt;SubqueryTemplateName /&amp;amp;gt;&amp;amp;lt;/RHSItem&amp;amp;gt;&amp;amp;lt;RHSItem&amp;amp;gt;&amp;amp;lt;RHSTyp'"</definedName>
    <definedName name="_AMO_ContentDefinition_485496469.2563" hidden="1">"'e&amp;amp;gt;EXPRESSION&amp;amp;lt;/RHSType&amp;amp;gt;&amp;amp;lt;AddQuotes&amp;amp;gt;True&amp;amp;lt;/AddQuotes&amp;amp;gt;&amp;amp;lt;DateFormat&amp;amp;gt;None&amp;amp;lt;/DateFormat&amp;amp;gt;&amp;amp;lt;RightHandSideExpression&amp;amp;gt;MFPR01007677&amp;amp;lt;/RightHandSideExpression&amp;amp;gt;&amp;amp;'"</definedName>
    <definedName name="_AMO_ContentDefinition_485496469.2564"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485496469.2565" hidden="1">"'amp;lt;DateFormat&amp;amp;gt;None&amp;amp;lt;/DateFormat&amp;amp;gt;&amp;amp;lt;RightHandSideExpression&amp;amp;gt;MFPR01007678&amp;amp;lt;/RightHandSideExpression&amp;amp;gt;&amp;amp;lt;IsSubquery&amp;amp;gt;False&amp;amp;lt;/IsSubquery&amp;amp;gt;&amp;amp;lt;SubqueryTemplateName /&amp;amp;gt;&amp;amp;lt;'"</definedName>
    <definedName name="_AMO_ContentDefinition_485496469.2566" hidden="1">"'/RHSItem&amp;amp;gt;&amp;amp;lt;RHSItem&amp;amp;gt;&amp;amp;lt;RHSType&amp;amp;gt;EXPRESSION&amp;amp;lt;/RHSType&amp;amp;gt;&amp;amp;lt;AddQuotes&amp;amp;gt;True&amp;amp;lt;/AddQuotes&amp;amp;gt;&amp;amp;lt;DateFormat&amp;amp;gt;None&amp;amp;lt;/DateFormat&amp;amp;gt;&amp;amp;lt;RightHandSideExpression&amp;amp;gt;MFPR'"</definedName>
    <definedName name="_AMO_ContentDefinition_485496469.2567" hidden="1">"'01007679&amp;amp;lt;/RightHandSideExpression&amp;amp;gt;&amp;amp;lt;IsSubquery&amp;amp;gt;False&amp;amp;lt;/IsSubquery&amp;amp;gt;&amp;amp;lt;SubqueryTemplateName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485496469.2568" hidden="1">"'p;lt;AddQuotes&amp;amp;gt;True&amp;amp;lt;/AddQuotes&amp;amp;gt;&amp;amp;lt;DateFormat&amp;amp;gt;None&amp;amp;lt;/DateFormat&amp;amp;gt;&amp;amp;lt;RightHandSideExpression&amp;amp;gt;MFPR01007680&amp;amp;lt;/RightHandSideExpression&amp;amp;gt;&amp;amp;lt;IsSubquery&amp;amp;gt;False&amp;amp;lt;/IsSubquery&amp;'"</definedName>
    <definedName name="_AMO_ContentDefinition_485496469.2569"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485496469.257" hidden="1">"'FPR01007042',&amp;amp;#xD;&amp;amp;#xA;'MFPR01007043',&amp;amp;#xD;&amp;amp;#xA;'MFPR01007044',&amp;amp;#xD;&amp;amp;#xA;'MFPR01007045',&amp;amp;#xD;&amp;amp;#xA;'MFPR01007046',&amp;amp;#xD;&amp;amp;#xA;'MFPR01007047',&amp;amp;#xD;&amp;amp;#xA;'MFPR01007048',&amp;amp;#xD;&amp;amp;#xA;'MFPR01007049',&amp;amp;#x'"</definedName>
    <definedName name="_AMO_ContentDefinition_485496469.2570" hidden="1">"'at&amp;amp;gt;&amp;amp;lt;RightHandSideExpression&amp;amp;gt;MFPR01007681&amp;amp;lt;/RightHandSideExpression&amp;amp;gt;&amp;amp;lt;IsSubquery&amp;amp;gt;False&amp;amp;lt;/IsSubquery&amp;amp;gt;&amp;amp;lt;SubqueryTemplateName /&amp;amp;gt;&amp;amp;lt;/RHSItem&amp;amp;gt;&amp;amp;lt;RHSItem&amp;amp;gt;&amp;amp;lt'"</definedName>
    <definedName name="_AMO_ContentDefinition_485496469.2571" hidden="1">"';RHSType&amp;amp;gt;EXPRESSION&amp;amp;lt;/RHSType&amp;amp;gt;&amp;amp;lt;AddQuotes&amp;amp;gt;True&amp;amp;lt;/AddQuotes&amp;amp;gt;&amp;amp;lt;DateFormat&amp;amp;gt;None&amp;amp;lt;/DateFormat&amp;amp;gt;&amp;amp;lt;RightHandSideExpression&amp;amp;gt;MFPR01007682&amp;amp;lt;/RightHandSideExpression&amp;amp;g'"</definedName>
    <definedName name="_AMO_ContentDefinition_485496469.2572"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485496469.2573" hidden="1">"'mp;gt;&amp;amp;lt;DateFormat&amp;amp;gt;None&amp;amp;lt;/DateFormat&amp;amp;gt;&amp;amp;lt;RightHandSideExpression&amp;amp;gt;MFPR01007683&amp;amp;lt;/RightHandSideExpression&amp;amp;gt;&amp;amp;lt;IsSubquery&amp;amp;gt;False&amp;amp;lt;/IsSubquery&amp;amp;gt;&amp;amp;lt;SubqueryTemplateName /&amp;amp;gt;&amp;'"</definedName>
    <definedName name="_AMO_ContentDefinition_485496469.2574" hidden="1">"'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2575" hidden="1">"'gt;MFPR01007684&amp;amp;lt;/RightHandSideExpression&amp;amp;gt;&amp;amp;lt;IsSubquery&amp;amp;gt;False&amp;amp;lt;/IsSubquery&amp;amp;gt;&amp;amp;lt;SubqueryTemplateName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2576" hidden="1">"';gt;&amp;amp;lt;AddQuotes&amp;amp;gt;True&amp;amp;lt;/AddQuotes&amp;amp;gt;&amp;amp;lt;DateFormat&amp;amp;gt;None&amp;amp;lt;/DateFormat&amp;amp;gt;&amp;amp;lt;RightHandSideExpression&amp;amp;gt;MFPR01007685&amp;amp;lt;/RightHandSideExpression&amp;amp;gt;&amp;amp;lt;IsSubquery&amp;amp;gt;False&amp;amp;lt;/IsSu'"</definedName>
    <definedName name="_AMO_ContentDefinition_485496469.2577"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485496469.2578" hidden="1">"'ateFormat&amp;amp;gt;&amp;amp;lt;RightHandSideExpression&amp;amp;gt;MFPR01007686&amp;amp;lt;/RightHandSideExpression&amp;amp;gt;&amp;amp;lt;IsSubquery&amp;amp;gt;False&amp;amp;lt;/IsSubquery&amp;amp;gt;&amp;amp;lt;SubqueryTemplateName /&amp;amp;gt;&amp;amp;lt;/RHSItem&amp;amp;gt;&amp;amp;lt;RHSItem&amp;amp;gt;'"</definedName>
    <definedName name="_AMO_ContentDefinition_485496469.2579" hidden="1">"'&amp;amp;lt;RHSType&amp;amp;gt;EXPRESSION&amp;amp;lt;/RHSType&amp;amp;gt;&amp;amp;lt;AddQuotes&amp;amp;gt;True&amp;amp;lt;/AddQuotes&amp;amp;gt;&amp;amp;lt;DateFormat&amp;amp;gt;None&amp;amp;lt;/DateFormat&amp;amp;gt;&amp;amp;lt;RightHandSideExpression&amp;amp;gt;MFPR01007687&amp;amp;lt;/RightHandSideExpressio'"</definedName>
    <definedName name="_AMO_ContentDefinition_485496469.258" hidden="1">"'D;&amp;amp;#xA;'MFPR01007050',&amp;amp;#xD;&amp;amp;#xA;'MFPR01007051',&amp;amp;#xD;&amp;amp;#xA;'MFPR01007052',&amp;amp;#xD;&amp;amp;#xA;'MFPR01007053',&amp;amp;#xD;&amp;amp;#xA;'MFPR01007054',&amp;amp;#xD;&amp;amp;#xA;'MFPR01007055',&amp;amp;#xD;&amp;amp;#xA;'MFPR01007056',&amp;amp;#xD;&amp;amp;#xA;'MFPR0100'"</definedName>
    <definedName name="_AMO_ContentDefinition_485496469.2580"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485496469.2581" hidden="1">"'uotes&amp;amp;gt;&amp;amp;lt;DateFormat&amp;amp;gt;None&amp;amp;lt;/DateFormat&amp;amp;gt;&amp;amp;lt;RightHandSideExpression&amp;amp;gt;MFPR01007688&amp;amp;lt;/RightHandSideExpression&amp;amp;gt;&amp;amp;lt;IsSubquery&amp;amp;gt;False&amp;amp;lt;/IsSubquery&amp;amp;gt;&amp;amp;lt;SubqueryTemplateName /&amp;a'"</definedName>
    <definedName name="_AMO_ContentDefinition_485496469.2582"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485496469.2583" hidden="1">"'on&amp;amp;gt;MFPR01007689&amp;amp;lt;/RightHandSideExpression&amp;amp;gt;&amp;amp;lt;IsSubquery&amp;amp;gt;False&amp;amp;lt;/IsSubquery&amp;amp;gt;&amp;amp;lt;SubqueryTemplateName /&amp;amp;gt;&amp;amp;lt;/RHSItem&amp;amp;gt;&amp;amp;lt;RHSItem&amp;amp;gt;&amp;amp;lt;RHSType&amp;amp;gt;EXPRESSION&amp;amp;lt;/RHST'"</definedName>
    <definedName name="_AMO_ContentDefinition_485496469.2584" hidden="1">"'ype&amp;amp;gt;&amp;amp;lt;AddQuotes&amp;amp;gt;True&amp;amp;lt;/AddQuotes&amp;amp;gt;&amp;amp;lt;DateFormat&amp;amp;gt;None&amp;amp;lt;/DateFormat&amp;amp;gt;&amp;amp;lt;RightHandSideExpression&amp;amp;gt;MFPR01007690&amp;amp;lt;/RightHandSideExpression&amp;amp;gt;&amp;amp;lt;IsSubquery&amp;amp;gt;False&amp;amp;l'"</definedName>
    <definedName name="_AMO_ContentDefinition_485496469.2585"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485496469.2586" hidden="1">"'p;lt;/DateFormat&amp;amp;gt;&amp;amp;lt;RightHandSideExpression&amp;amp;gt;MFPR01007691&amp;amp;lt;/RightHandSideExpression&amp;amp;gt;&amp;amp;lt;IsSubquery&amp;amp;gt;False&amp;amp;lt;/IsSubquery&amp;amp;gt;&amp;amp;lt;SubqueryTemplateName /&amp;amp;gt;&amp;amp;lt;/RHSItem&amp;amp;gt;&amp;amp;lt;RHSItem&amp;'"</definedName>
    <definedName name="_AMO_ContentDefinition_485496469.2587" hidden="1">"'amp;gt;&amp;amp;lt;RHSType&amp;amp;gt;EXPRESSION&amp;amp;lt;/RHSType&amp;amp;gt;&amp;amp;lt;AddQuotes&amp;amp;gt;True&amp;amp;lt;/AddQuotes&amp;amp;gt;&amp;amp;lt;DateFormat&amp;amp;gt;None&amp;amp;lt;/DateFormat&amp;amp;gt;&amp;amp;lt;RightHandSideExpression&amp;amp;gt;MFPR01007692&amp;amp;lt;/RightHandSideEx'"</definedName>
    <definedName name="_AMO_ContentDefinition_485496469.2588"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485496469.2589" hidden="1">"'t;/AddQuotes&amp;amp;gt;&amp;amp;lt;DateFormat&amp;amp;gt;None&amp;amp;lt;/DateFormat&amp;amp;gt;&amp;amp;lt;RightHandSideExpression&amp;amp;gt;MFPR01007693&amp;amp;lt;/RightHandSideExpression&amp;amp;gt;&amp;amp;lt;IsSubquery&amp;amp;gt;False&amp;amp;lt;/IsSubquery&amp;amp;gt;&amp;amp;lt;SubqueryTemplateN'"</definedName>
    <definedName name="_AMO_ContentDefinition_485496469.259" hidden="1">"'7057',&amp;amp;#xD;&amp;amp;#xA;'MFPR01007058',&amp;amp;#xD;&amp;amp;#xA;'MFPR01007059',&amp;amp;#xD;&amp;amp;#xA;'MFPR01007060',&amp;amp;#xD;&amp;amp;#xA;'MFPR01007061',&amp;amp;#xD;&amp;amp;#xA;'MFPR01007062',&amp;amp;#xD;&amp;amp;#xA;'MFPR01007063',&amp;amp;#xD;&amp;amp;#xA;'MFPR01007064',&amp;amp;#xD;&amp;amp;'"</definedName>
    <definedName name="_AMO_ContentDefinition_485496469.2590"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485496469.2591" hidden="1">"'xpression&amp;amp;gt;MFPR01007694&amp;amp;lt;/RightHandSideExpression&amp;amp;gt;&amp;amp;lt;IsSubquery&amp;amp;gt;False&amp;amp;lt;/IsSubquery&amp;amp;gt;&amp;amp;lt;SubqueryTemplateName /&amp;amp;gt;&amp;amp;lt;/RHSItem&amp;amp;gt;&amp;amp;lt;RHSItem&amp;amp;gt;&amp;amp;lt;RHSType&amp;amp;gt;EXPRESSION&amp;amp;l'"</definedName>
    <definedName name="_AMO_ContentDefinition_485496469.2592" hidden="1">"'t;/RHSType&amp;amp;gt;&amp;amp;lt;AddQuotes&amp;amp;gt;True&amp;amp;lt;/AddQuotes&amp;amp;gt;&amp;amp;lt;DateFormat&amp;amp;gt;None&amp;amp;lt;/DateFormat&amp;amp;gt;&amp;amp;lt;RightHandSideExpression&amp;amp;gt;MFPR01007695&amp;amp;lt;/RightHandSideExpression&amp;amp;gt;&amp;amp;lt;IsSubquery&amp;amp;gt;Fals'"</definedName>
    <definedName name="_AMO_ContentDefinition_485496469.2593"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2594" hidden="1">"'None&amp;amp;lt;/DateFormat&amp;amp;gt;&amp;amp;lt;RightHandSideExpression&amp;amp;gt;MFPR01007696&amp;amp;lt;/RightHandSideExpression&amp;amp;gt;&amp;amp;lt;IsSubquery&amp;amp;gt;False&amp;amp;lt;/IsSubquery&amp;amp;gt;&amp;amp;lt;SubqueryTemplateName /&amp;amp;gt;&amp;amp;lt;/RHSItem&amp;amp;gt;&amp;amp;lt;R'"</definedName>
    <definedName name="_AMO_ContentDefinition_485496469.2595" hidden="1">"'HSItem&amp;amp;gt;&amp;amp;lt;RHSType&amp;amp;gt;EXPRESSION&amp;amp;lt;/RHSType&amp;amp;gt;&amp;amp;lt;AddQuotes&amp;amp;gt;True&amp;amp;lt;/AddQuotes&amp;amp;gt;&amp;amp;lt;DateFormat&amp;amp;gt;None&amp;amp;lt;/DateFormat&amp;amp;gt;&amp;amp;lt;RightHandSideExpression&amp;amp;gt;MFPR01007697&amp;amp;lt;/RightHan'"</definedName>
    <definedName name="_AMO_ContentDefinition_485496469.2596"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485496469.2597" hidden="1">"'e&amp;amp;lt;/AddQuotes&amp;amp;gt;&amp;amp;lt;DateFormat&amp;amp;gt;None&amp;amp;lt;/DateFormat&amp;amp;gt;&amp;amp;lt;RightHandSideExpression&amp;amp;gt;MFPR01007698&amp;amp;lt;/RightHandSideExpression&amp;amp;gt;&amp;amp;lt;IsSubquery&amp;amp;gt;False&amp;amp;lt;/IsSubquery&amp;amp;gt;&amp;amp;lt;SubqueryTe'"</definedName>
    <definedName name="_AMO_ContentDefinition_485496469.2598"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485496469.2599" hidden="1">"'ndSideExpression&amp;amp;gt;MFPR01007699&amp;amp;lt;/RightHandSideExpression&amp;amp;gt;&amp;amp;lt;IsSubquery&amp;amp;gt;False&amp;amp;lt;/IsSubquery&amp;amp;gt;&amp;amp;lt;SubqueryTemplateName /&amp;amp;gt;&amp;amp;lt;/RHSItem&amp;amp;gt;&amp;amp;lt;RHSItem&amp;amp;gt;&amp;amp;lt;RHSType&amp;amp;gt;EXPRESSIO'"</definedName>
    <definedName name="_AMO_ContentDefinition_485496469.26" hidden="1">"'006522',&amp;#xD;&amp;#xA;'MFPR01006523',&amp;#xD;&amp;#xA;'MFPR01006524',&amp;#xD;&amp;#xA;'MFPR01006525',&amp;#xD;&amp;#xA;'MFPR01006526',&amp;#xD;&amp;#xA;'MFPR01006527',&amp;#xD;&amp;#xA;'MFPR01006528',&amp;#xD;&amp;#xA;'MFPR01006529',&amp;#xD;&amp;#xA;'MFPR01006530',&amp;#xD;&amp;#xA;'MFPR01006531',&amp;#xD;&amp;#xA;'MFPR010'"</definedName>
    <definedName name="_AMO_ContentDefinition_485496469.260" hidden="1">"'#xA;'MFPR01007065',&amp;amp;#xD;&amp;amp;#xA;'MFPR01007066',&amp;amp;#xD;&amp;amp;#xA;'MFPR01007067',&amp;amp;#xD;&amp;amp;#xA;'MFPR01007068',&amp;amp;#xD;&amp;amp;#xA;'MFPR01007069',&amp;amp;#xD;&amp;amp;#xA;'MFPR01007070',&amp;amp;#xD;&amp;amp;#xA;'MFPR01007071',&amp;amp;#xD;&amp;amp;#xA;'MFPR01007072',&amp;'"</definedName>
    <definedName name="_AMO_ContentDefinition_485496469.2600" hidden="1">"'N&amp;amp;lt;/RHSType&amp;amp;gt;&amp;amp;lt;AddQuotes&amp;amp;gt;True&amp;amp;lt;/AddQuotes&amp;amp;gt;&amp;amp;lt;DateFormat&amp;amp;gt;None&amp;amp;lt;/DateFormat&amp;amp;gt;&amp;amp;lt;RightHandSideExpression&amp;amp;gt;MFPR01007700&amp;amp;lt;/RightHandSideExpression&amp;amp;gt;&amp;amp;lt;IsSubquery&amp;amp;'"</definedName>
    <definedName name="_AMO_ContentDefinition_485496469.2601"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485496469.2602" hidden="1">"'amp;gt;None&amp;amp;lt;/DateFormat&amp;amp;gt;&amp;amp;lt;RightHandSideExpression&amp;amp;gt;MFPR01007701&amp;amp;lt;/RightHandSideExpression&amp;amp;gt;&amp;amp;lt;IsSubquery&amp;amp;gt;False&amp;amp;lt;/IsSubquery&amp;amp;gt;&amp;amp;lt;SubqueryTemplateName /&amp;amp;gt;&amp;amp;lt;/RHSItem&amp;amp;gt;&amp;a'"</definedName>
    <definedName name="_AMO_ContentDefinition_485496469.2603" hidden="1">"'mp;lt;RHSItem&amp;amp;gt;&amp;amp;lt;RHSType&amp;amp;gt;EXPRESSION&amp;amp;lt;/RHSType&amp;amp;gt;&amp;amp;lt;AddQuotes&amp;amp;gt;True&amp;amp;lt;/AddQuotes&amp;amp;gt;&amp;amp;lt;DateFormat&amp;amp;gt;None&amp;amp;lt;/DateFormat&amp;amp;gt;&amp;amp;lt;RightHandSideExpression&amp;amp;gt;MFPR01007702&amp;amp;lt;/R'"</definedName>
    <definedName name="_AMO_ContentDefinition_485496469.2604"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2605" hidden="1">"';gt;True&amp;amp;lt;/AddQuotes&amp;amp;gt;&amp;amp;lt;DateFormat&amp;amp;gt;None&amp;amp;lt;/DateFormat&amp;amp;gt;&amp;amp;lt;RightHandSideExpression&amp;amp;gt;MFPR01007703&amp;amp;lt;/RightHandSideExpression&amp;amp;gt;&amp;amp;lt;IsSubquery&amp;amp;gt;False&amp;amp;lt;/IsSubquery&amp;amp;gt;&amp;amp;lt;Sub'"</definedName>
    <definedName name="_AMO_ContentDefinition_485496469.2606"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2607" hidden="1">"'RightHandSideExpression&amp;amp;gt;MFPR01007704&amp;amp;lt;/RightHandSideExpression&amp;amp;gt;&amp;amp;lt;IsSubquery&amp;amp;gt;False&amp;amp;lt;/IsSubquery&amp;amp;gt;&amp;amp;lt;SubqueryTemplateName /&amp;amp;gt;&amp;amp;lt;/RHSItem&amp;amp;gt;&amp;amp;lt;RHSItem&amp;amp;gt;&amp;amp;lt;RHSType&amp;amp;gt;EX'"</definedName>
    <definedName name="_AMO_ContentDefinition_485496469.2608" hidden="1">"'PRESSION&amp;amp;lt;/RHSType&amp;amp;gt;&amp;amp;lt;AddQuotes&amp;amp;gt;True&amp;amp;lt;/AddQuotes&amp;amp;gt;&amp;amp;lt;DateFormat&amp;amp;gt;None&amp;amp;lt;/DateFormat&amp;amp;gt;&amp;amp;lt;RightHandSideExpression&amp;amp;gt;MFPR01007705&amp;amp;lt;/RightHandSideExpression&amp;amp;gt;&amp;amp;lt;IsSubque'"</definedName>
    <definedName name="_AMO_ContentDefinition_485496469.2609"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485496469.261" hidden="1">"'amp;#xD;&amp;amp;#xA;'MFPR01007073',&amp;amp;#xD;&amp;amp;#xA;'MFPR01007074',&amp;amp;#xD;&amp;amp;#xA;'MFPR01007075',&amp;amp;#xD;&amp;amp;#xA;'MFPR01007076',&amp;amp;#xD;&amp;amp;#xA;'MFPR01007077',&amp;amp;#xD;&amp;amp;#xA;'MFPR01007078',&amp;amp;#xD;&amp;amp;#xA;'MFPR01007079',&amp;amp;#xD;&amp;amp;#xA;'MF'"</definedName>
    <definedName name="_AMO_ContentDefinition_485496469.2610" hidden="1">"'Format&amp;amp;gt;None&amp;amp;lt;/DateFormat&amp;amp;gt;&amp;amp;lt;RightHandSideExpression&amp;amp;gt;MFPR01007706&amp;amp;lt;/RightHandSideExpression&amp;amp;gt;&amp;amp;lt;IsSubquery&amp;amp;gt;False&amp;amp;lt;/IsSubquery&amp;amp;gt;&amp;amp;lt;SubqueryTemplateName /&amp;amp;gt;&amp;amp;lt;/RHSItem&amp;am'"</definedName>
    <definedName name="_AMO_ContentDefinition_485496469.2611" hidden="1">"'p;gt;&amp;amp;lt;RHSItem&amp;amp;gt;&amp;amp;lt;RHSType&amp;amp;gt;EXPRESSION&amp;amp;lt;/RHSType&amp;amp;gt;&amp;amp;lt;AddQuotes&amp;amp;gt;True&amp;amp;lt;/AddQuotes&amp;amp;gt;&amp;amp;lt;DateFormat&amp;amp;gt;None&amp;amp;lt;/DateFormat&amp;amp;gt;&amp;amp;lt;RightHandSideExpression&amp;amp;gt;MFPR01007711&amp;am'"</definedName>
    <definedName name="_AMO_ContentDefinition_485496469.2612"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485496469.2613" hidden="1">"'tes&amp;amp;gt;True&amp;amp;lt;/AddQuotes&amp;amp;gt;&amp;amp;lt;DateFormat&amp;amp;gt;None&amp;amp;lt;/DateFormat&amp;amp;gt;&amp;amp;lt;RightHandSideExpression&amp;amp;gt;MFPR01007712&amp;amp;lt;/RightHandSideExpression&amp;amp;gt;&amp;amp;lt;IsSubquery&amp;amp;gt;False&amp;amp;lt;/IsSubquery&amp;amp;gt;&amp;amp'"</definedName>
    <definedName name="_AMO_ContentDefinition_485496469.2614"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485496469.2615" hidden="1">"'amp;lt;RightHandSideExpression&amp;amp;gt;MFPR01007713&amp;amp;lt;/RightHandSideExpression&amp;amp;gt;&amp;amp;lt;IsSubquery&amp;amp;gt;False&amp;amp;lt;/IsSubquery&amp;amp;gt;&amp;amp;lt;SubqueryTemplateName /&amp;amp;gt;&amp;amp;lt;/RHSItem&amp;amp;gt;&amp;amp;lt;RHSItem&amp;amp;gt;&amp;amp;lt;RHSType&amp;am'"</definedName>
    <definedName name="_AMO_ContentDefinition_485496469.2616" hidden="1">"'p;gt;EXPRESSION&amp;amp;lt;/RHSType&amp;amp;gt;&amp;amp;lt;AddQuotes&amp;amp;gt;True&amp;amp;lt;/AddQuotes&amp;amp;gt;&amp;amp;lt;DateFormat&amp;amp;gt;None&amp;amp;lt;/DateFormat&amp;amp;gt;&amp;amp;lt;RightHandSideExpression&amp;amp;gt;MFPR01007714&amp;amp;lt;/RightHandSideExpression&amp;amp;gt;&amp;amp;lt;I'"</definedName>
    <definedName name="_AMO_ContentDefinition_485496469.2617"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2618" hidden="1">"'lt;DateFormat&amp;amp;gt;None&amp;amp;lt;/DateFormat&amp;amp;gt;&amp;amp;lt;RightHandSideExpression&amp;amp;gt;MFPR01007715&amp;amp;lt;/RightHandSideExpression&amp;amp;gt;&amp;amp;lt;IsSubquery&amp;amp;gt;False&amp;amp;lt;/IsSubquery&amp;amp;gt;&amp;amp;lt;SubqueryTemplateName /&amp;amp;gt;&amp;amp;lt;/RHS'"</definedName>
    <definedName name="_AMO_ContentDefinition_485496469.2619" hidden="1">"'Item&amp;amp;gt;&amp;amp;lt;RHSItem&amp;amp;gt;&amp;amp;lt;RHSType&amp;amp;gt;EXPRESSION&amp;amp;lt;/RHSType&amp;amp;gt;&amp;amp;lt;AddQuotes&amp;amp;gt;True&amp;amp;lt;/AddQuotes&amp;amp;gt;&amp;amp;lt;DateFormat&amp;amp;gt;None&amp;amp;lt;/DateFormat&amp;amp;gt;&amp;amp;lt;RightHandSideExpression&amp;amp;gt;MFPR0100'"</definedName>
    <definedName name="_AMO_ContentDefinition_485496469.262" hidden="1">"'PR01007080',&amp;amp;#xD;&amp;amp;#xA;'MFPR01007081',&amp;amp;#xD;&amp;amp;#xA;'MFPR01007082',&amp;amp;#xD;&amp;amp;#xA;'MFPR01007083',&amp;amp;#xD;&amp;amp;#xA;'MFPR01007084',&amp;amp;#xD;&amp;amp;#xA;'MFPR01007085',&amp;amp;#xD;&amp;amp;#xA;'MFPR01007086',&amp;amp;#xD;&amp;amp;#xA;'MFPR01007087',&amp;amp;#xD'"</definedName>
    <definedName name="_AMO_ContentDefinition_485496469.2620" hidden="1">"'7716&amp;amp;lt;/RightHandSideExpression&amp;amp;gt;&amp;amp;lt;IsSubquery&amp;amp;gt;False&amp;amp;lt;/IsSubquery&amp;amp;gt;&amp;amp;lt;SubqueryTemplateName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2621" hidden="1">"';AddQuotes&amp;amp;gt;True&amp;amp;lt;/AddQuotes&amp;amp;gt;&amp;amp;lt;DateFormat&amp;amp;gt;None&amp;amp;lt;/DateFormat&amp;amp;gt;&amp;amp;lt;RightHandSideExpression&amp;amp;gt;MFPR01007717&amp;amp;lt;/RightHandSideExpression&amp;amp;gt;&amp;amp;lt;IsSubquery&amp;amp;gt;False&amp;amp;lt;/IsSubquery&amp;amp;'"</definedName>
    <definedName name="_AMO_ContentDefinition_485496469.2622"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485496469.2623" hidden="1">"'mp;gt;&amp;amp;lt;RightHandSideExpression&amp;amp;gt;MFPR01007718&amp;amp;lt;/RightHandSideExpression&amp;amp;gt;&amp;amp;lt;IsSubquery&amp;amp;gt;False&amp;amp;lt;/IsSubquery&amp;amp;gt;&amp;amp;lt;SubqueryTemplateName /&amp;amp;gt;&amp;amp;lt;/RHSItem&amp;amp;gt;&amp;amp;lt;RHSItem&amp;amp;gt;&amp;amp;lt;RHS'"</definedName>
    <definedName name="_AMO_ContentDefinition_485496469.2624" hidden="1">"'Type&amp;amp;gt;EXPRESSION&amp;amp;lt;/RHSType&amp;amp;gt;&amp;amp;lt;AddQuotes&amp;amp;gt;True&amp;amp;lt;/AddQuotes&amp;amp;gt;&amp;amp;lt;DateFormat&amp;amp;gt;None&amp;amp;lt;/DateFormat&amp;amp;gt;&amp;amp;lt;RightHandSideExpression&amp;amp;gt;MFPR01007719&amp;amp;lt;/RightHandSideExpression&amp;amp;gt;&amp;a'"</definedName>
    <definedName name="_AMO_ContentDefinition_485496469.2625"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485496469.2626" hidden="1">"'t;&amp;amp;lt;DateFormat&amp;amp;gt;None&amp;amp;lt;/DateFormat&amp;amp;gt;&amp;amp;lt;RightHandSideExpression&amp;amp;gt;MFPR01007720&amp;amp;lt;/RightHandSideExpression&amp;amp;gt;&amp;amp;lt;IsSubquery&amp;amp;gt;False&amp;amp;lt;/IsSubquery&amp;amp;gt;&amp;amp;lt;SubqueryTemplateName /&amp;amp;gt;&amp;amp;'"</definedName>
    <definedName name="_AMO_ContentDefinition_485496469.2627" hidden="1">"'lt;/RHSItem&amp;amp;gt;&amp;amp;lt;RHSItem&amp;amp;gt;&amp;amp;lt;RHSType&amp;amp;gt;EXPRESSION&amp;amp;lt;/RHSType&amp;amp;gt;&amp;amp;lt;AddQuotes&amp;amp;gt;True&amp;amp;lt;/AddQuotes&amp;amp;gt;&amp;amp;lt;DateFormat&amp;amp;gt;None&amp;amp;lt;/DateFormat&amp;amp;gt;&amp;amp;lt;RightHandSideExpression&amp;amp;gt;M'"</definedName>
    <definedName name="_AMO_ContentDefinition_485496469.2628" hidden="1">"'FPR01007721&amp;amp;lt;/RightHandSideExpression&amp;amp;gt;&amp;amp;lt;IsSubquery&amp;amp;gt;False&amp;amp;lt;/IsSubquery&amp;amp;gt;&amp;amp;lt;SubqueryTemplateName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2629" hidden="1">"'&amp;amp;lt;AddQuotes&amp;amp;gt;True&amp;amp;lt;/AddQuotes&amp;amp;gt;&amp;amp;lt;DateFormat&amp;amp;gt;None&amp;amp;lt;/DateFormat&amp;amp;gt;&amp;amp;lt;RightHandSideExpression&amp;amp;gt;MFPR01007722&amp;amp;lt;/RightHandSideExpression&amp;amp;gt;&amp;amp;lt;IsSubquery&amp;amp;gt;False&amp;amp;lt;/IsSubque'"</definedName>
    <definedName name="_AMO_ContentDefinition_485496469.263" hidden="1">"';&amp;amp;#xA;'MFPR01007088',&amp;amp;#xD;&amp;amp;#xA;'MFPR01007089',&amp;amp;#xD;&amp;amp;#xA;'MFPR01007090',&amp;amp;#xD;&amp;amp;#xA;'MFPR01007091',&amp;amp;#xD;&amp;amp;#xA;'MFPR01007092',&amp;amp;#xD;&amp;amp;#xA;'MFPR01007093',&amp;amp;#xD;&amp;amp;#xA;'MFPR01007094',&amp;amp;#xD;&amp;amp;#xA;'MFPR01007'"</definedName>
    <definedName name="_AMO_ContentDefinition_485496469.2630"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485496469.2631" hidden="1">"'ormat&amp;amp;gt;&amp;amp;lt;RightHandSideExpression&amp;amp;gt;MFPR01007723&amp;amp;lt;/RightHandSideExpression&amp;amp;gt;&amp;amp;lt;IsSubquery&amp;amp;gt;False&amp;amp;lt;/IsSubquery&amp;amp;gt;&amp;amp;lt;SubqueryTemplateName /&amp;amp;gt;&amp;amp;lt;/RHSItem&amp;amp;gt;&amp;amp;lt;RHSItem&amp;amp;gt;&amp;amp'"</definedName>
    <definedName name="_AMO_ContentDefinition_485496469.2632" hidden="1">"';lt;RHSType&amp;amp;gt;EXPRESSION&amp;amp;lt;/RHSType&amp;amp;gt;&amp;amp;lt;AddQuotes&amp;amp;gt;True&amp;amp;lt;/AddQuotes&amp;amp;gt;&amp;amp;lt;DateFormat&amp;amp;gt;None&amp;amp;lt;/DateFormat&amp;amp;gt;&amp;amp;lt;RightHandSideExpression&amp;amp;gt;MFPR01007724&amp;amp;lt;/RightHandSideExpression&amp;am'"</definedName>
    <definedName name="_AMO_ContentDefinition_485496469.2633"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485496469.2634" hidden="1">"'s&amp;amp;gt;&amp;amp;lt;DateFormat&amp;amp;gt;None&amp;amp;lt;/DateFormat&amp;amp;gt;&amp;amp;lt;RightHandSideExpression&amp;amp;gt;MFPR01007725&amp;amp;lt;/RightHandSideExpression&amp;amp;gt;&amp;amp;lt;IsSubquery&amp;amp;gt;False&amp;amp;lt;/IsSubquery&amp;amp;gt;&amp;amp;lt;SubqueryTemplateName /&amp;amp;g'"</definedName>
    <definedName name="_AMO_ContentDefinition_485496469.2635" hidden="1">"'t;&amp;amp;lt;/RHSItem&amp;amp;gt;&amp;amp;lt;RHSItem&amp;amp;gt;&amp;amp;lt;RHSType&amp;amp;gt;EXPRESSION&amp;amp;lt;/RHSType&amp;amp;gt;&amp;amp;lt;AddQuotes&amp;amp;gt;True&amp;amp;lt;/AddQuotes&amp;amp;gt;&amp;amp;lt;DateFormat&amp;amp;gt;None&amp;amp;lt;/DateFormat&amp;amp;gt;&amp;amp;lt;RightHandSideExpression&amp;a'"</definedName>
    <definedName name="_AMO_ContentDefinition_485496469.2636" hidden="1">"'mp;gt;MFPR01007726&amp;amp;lt;/RightHandSideExpression&amp;amp;gt;&amp;amp;lt;IsSubquery&amp;amp;gt;False&amp;amp;lt;/IsSubquery&amp;amp;gt;&amp;amp;lt;SubqueryTemplateName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485496469.2637" hidden="1">"'amp;gt;&amp;amp;lt;AddQuotes&amp;amp;gt;True&amp;amp;lt;/AddQuotes&amp;amp;gt;&amp;amp;lt;DateFormat&amp;amp;gt;None&amp;amp;lt;/DateFormat&amp;amp;gt;&amp;amp;lt;RightHandSideExpression&amp;amp;gt;MFPR01007727&amp;amp;lt;/RightHandSideExpression&amp;amp;gt;&amp;amp;lt;IsSubquery&amp;amp;gt;False&amp;amp;lt;/I'"</definedName>
    <definedName name="_AMO_ContentDefinition_485496469.2638"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2639" hidden="1">"';/DateFormat&amp;amp;gt;&amp;amp;lt;RightHandSideExpression&amp;amp;gt;MFPR01007728&amp;amp;lt;/RightHandSideExpression&amp;amp;gt;&amp;amp;lt;IsSubquery&amp;amp;gt;False&amp;amp;lt;/IsSubquery&amp;amp;gt;&amp;amp;lt;SubqueryTemplateName /&amp;amp;gt;&amp;amp;lt;/RHSItem&amp;amp;gt;&amp;amp;lt;RHSItem&amp;amp;'"</definedName>
    <definedName name="_AMO_ContentDefinition_485496469.264" hidden="1">"'095',&amp;amp;#xD;&amp;amp;#xA;'MFPR01007096',&amp;amp;#xD;&amp;amp;#xA;'MFPR01007097',&amp;amp;#xD;&amp;amp;#xA;'MFPR01007098',&amp;amp;#xD;&amp;amp;#xA;'MFPR01007099',&amp;amp;#xD;&amp;amp;#xA;'MFPR01007100',&amp;amp;#xD;&amp;amp;#xA;'MFPR01007101',&amp;amp;#xD;&amp;amp;#xA;'MFPR01007102',&amp;amp;#xD;&amp;amp;#'"</definedName>
    <definedName name="_AMO_ContentDefinition_485496469.2640" hidden="1">"'gt;&amp;amp;lt;RHSType&amp;amp;gt;EXPRESSION&amp;amp;lt;/RHSType&amp;amp;gt;&amp;amp;lt;AddQuotes&amp;amp;gt;True&amp;amp;lt;/AddQuotes&amp;amp;gt;&amp;amp;lt;DateFormat&amp;amp;gt;None&amp;amp;lt;/DateFormat&amp;amp;gt;&amp;amp;lt;RightHandSideExpression&amp;amp;gt;MFPR01007729&amp;amp;lt;/RightHandSideExpres'"</definedName>
    <definedName name="_AMO_ContentDefinition_485496469.2641"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485496469.2642" hidden="1">"'ddQuotes&amp;amp;gt;&amp;amp;lt;DateFormat&amp;amp;gt;None&amp;amp;lt;/DateFormat&amp;amp;gt;&amp;amp;lt;RightHandSideExpression&amp;amp;gt;MFPR01007730&amp;amp;lt;/RightHandSideExpression&amp;amp;gt;&amp;amp;lt;IsSubquery&amp;amp;gt;False&amp;amp;lt;/IsSubquery&amp;amp;gt;&amp;amp;lt;SubqueryTemplateName '"</definedName>
    <definedName name="_AMO_ContentDefinition_485496469.2643"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485496469.2644" hidden="1">"'ssion&amp;amp;gt;MFPR01007731&amp;amp;lt;/RightHandSideExpression&amp;amp;gt;&amp;amp;lt;IsSubquery&amp;amp;gt;False&amp;amp;lt;/IsSubquery&amp;amp;gt;&amp;amp;lt;SubqueryTemplateName /&amp;amp;gt;&amp;amp;lt;/RHSItem&amp;amp;gt;&amp;amp;lt;RHSItem&amp;amp;gt;&amp;amp;lt;RHSType&amp;amp;gt;EXPRESSION&amp;amp;lt;/R'"</definedName>
    <definedName name="_AMO_ContentDefinition_485496469.2645" hidden="1">"'HSType&amp;amp;gt;&amp;amp;lt;AddQuotes&amp;amp;gt;True&amp;amp;lt;/AddQuotes&amp;amp;gt;&amp;amp;lt;DateFormat&amp;amp;gt;None&amp;amp;lt;/DateFormat&amp;amp;gt;&amp;amp;lt;RightHandSideExpression&amp;amp;gt;MFPR01007732&amp;amp;lt;/RightHandSideExpression&amp;amp;gt;&amp;amp;lt;IsSubquery&amp;amp;gt;False&amp;am'"</definedName>
    <definedName name="_AMO_ContentDefinition_485496469.2646"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485496469.2647" hidden="1">"'&amp;amp;lt;/DateFormat&amp;amp;gt;&amp;amp;lt;RightHandSideExpression&amp;amp;gt;MFPR01007733&amp;amp;lt;/RightHandSideExpression&amp;amp;gt;&amp;amp;lt;IsSubquery&amp;amp;gt;False&amp;amp;lt;/IsSubquery&amp;amp;gt;&amp;amp;lt;SubqueryTemplateName /&amp;amp;gt;&amp;amp;lt;/RHSItem&amp;amp;gt;&amp;amp;lt;RHSIt'"</definedName>
    <definedName name="_AMO_ContentDefinition_485496469.2648" hidden="1">"'em&amp;amp;gt;&amp;amp;lt;RHSType&amp;amp;gt;EXPRESSION&amp;amp;lt;/RHSType&amp;amp;gt;&amp;amp;lt;AddQuotes&amp;amp;gt;True&amp;amp;lt;/AddQuotes&amp;amp;gt;&amp;amp;lt;DateFormat&amp;amp;gt;None&amp;amp;lt;/DateFormat&amp;amp;gt;&amp;amp;lt;RightHandSideExpression&amp;amp;gt;MFPR01007734&amp;amp;lt;/RightHandSid'"</definedName>
    <definedName name="_AMO_ContentDefinition_485496469.2649"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485496469.265" hidden="1">"'xA;'MFPR01007103',&amp;amp;#xD;&amp;amp;#xA;'MFPR01007104',&amp;amp;#xD;&amp;amp;#xA;'MFPR01007105',&amp;amp;#xD;&amp;amp;#xA;'MFPR01007106',&amp;amp;#xD;&amp;amp;#xA;'MFPR01007107',&amp;amp;#xD;&amp;amp;#xA;'MFPR01007108',&amp;amp;#xD;&amp;amp;#xA;'MFPR01007109',&amp;amp;#xD;&amp;amp;#xA;'MFPR01007110',&amp;a'"</definedName>
    <definedName name="_AMO_ContentDefinition_485496469.2650" hidden="1">"'p;lt;/AddQuotes&amp;amp;gt;&amp;amp;lt;DateFormat&amp;amp;gt;None&amp;amp;lt;/DateFormat&amp;amp;gt;&amp;amp;lt;RightHandSideExpression&amp;amp;gt;MFPR01007735&amp;amp;lt;/RightHandSideExpression&amp;amp;gt;&amp;amp;lt;IsSubquery&amp;amp;gt;False&amp;amp;lt;/IsSubquery&amp;amp;gt;&amp;amp;lt;SubqueryTempla'"</definedName>
    <definedName name="_AMO_ContentDefinition_485496469.2651"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485496469.2652" hidden="1">"'deExpression&amp;amp;gt;MFPR01007736&amp;amp;lt;/RightHandSideExpression&amp;amp;gt;&amp;amp;lt;IsSubquery&amp;amp;gt;False&amp;amp;lt;/IsSubquery&amp;amp;gt;&amp;amp;lt;SubqueryTemplateName /&amp;amp;gt;&amp;amp;lt;/RHSItem&amp;amp;gt;&amp;amp;lt;RHSItem&amp;amp;gt;&amp;amp;lt;RHSType&amp;amp;gt;EXPRESSION&amp;am'"</definedName>
    <definedName name="_AMO_ContentDefinition_485496469.2653" hidden="1">"'p;lt;/RHSType&amp;amp;gt;&amp;amp;lt;AddQuotes&amp;amp;gt;True&amp;amp;lt;/AddQuotes&amp;amp;gt;&amp;amp;lt;DateFormat&amp;amp;gt;None&amp;amp;lt;/DateFormat&amp;amp;gt;&amp;amp;lt;RightHandSideExpression&amp;amp;gt;MFPR01007737&amp;amp;lt;/RightHandSideExpression&amp;amp;gt;&amp;amp;lt;IsSubquery&amp;amp;gt;F'"</definedName>
    <definedName name="_AMO_ContentDefinition_485496469.2654"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2655" hidden="1">"'gt;None&amp;amp;lt;/DateFormat&amp;amp;gt;&amp;amp;lt;RightHandSideExpression&amp;amp;gt;MFPR01007738&amp;amp;lt;/RightHandSideExpression&amp;amp;gt;&amp;amp;lt;IsSubquery&amp;amp;gt;False&amp;amp;lt;/IsSubquery&amp;amp;gt;&amp;amp;lt;SubqueryTemplateName /&amp;amp;gt;&amp;amp;lt;/RHSItem&amp;amp;gt;&amp;amp;l'"</definedName>
    <definedName name="_AMO_ContentDefinition_485496469.2656" hidden="1">"'t;RHSItem&amp;amp;gt;&amp;amp;lt;RHSType&amp;amp;gt;EXPRESSION&amp;amp;lt;/RHSType&amp;amp;gt;&amp;amp;lt;AddQuotes&amp;amp;gt;True&amp;amp;lt;/AddQuotes&amp;amp;gt;&amp;amp;lt;DateFormat&amp;amp;gt;None&amp;amp;lt;/DateFormat&amp;amp;gt;&amp;amp;lt;RightHandSideExpression&amp;amp;gt;MFPR01007739&amp;amp;lt;/Right'"</definedName>
    <definedName name="_AMO_ContentDefinition_485496469.2657"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2658" hidden="1">"'True&amp;amp;lt;/AddQuotes&amp;amp;gt;&amp;amp;lt;DateFormat&amp;amp;gt;None&amp;amp;lt;/DateFormat&amp;amp;gt;&amp;amp;lt;RightHandSideExpression&amp;amp;gt;MFPR01007740&amp;amp;lt;/RightHandSideExpression&amp;amp;gt;&amp;amp;lt;IsSubquery&amp;amp;gt;False&amp;amp;lt;/IsSubquery&amp;amp;gt;&amp;amp;lt;Subquer'"</definedName>
    <definedName name="_AMO_ContentDefinition_485496469.2659"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485496469.266" hidden="1">"'mp;#xD;&amp;amp;#xA;'MFPR01007111',&amp;amp;#xD;&amp;amp;#xA;'MFPR01007112',&amp;amp;#xD;&amp;amp;#xA;'MFPR01007113',&amp;amp;#xD;&amp;amp;#xA;'MFPR01007114',&amp;amp;#xD;&amp;amp;#xA;'MFPR01007115',&amp;amp;#xD;&amp;amp;#xA;'MFPR01007116',&amp;amp;#xD;&amp;amp;#xA;'MFPR01007117',&amp;amp;#xD;&amp;amp;#xA;'MFP'"</definedName>
    <definedName name="_AMO_ContentDefinition_485496469.2660" hidden="1">"'tHandSideExpression&amp;amp;gt;MFPR01007741&amp;amp;lt;/RightHandSideExpression&amp;amp;gt;&amp;amp;lt;IsSubquery&amp;amp;gt;False&amp;amp;lt;/IsSubquery&amp;amp;gt;&amp;amp;lt;SubqueryTemplateName /&amp;amp;gt;&amp;amp;lt;/RHSItem&amp;amp;gt;&amp;amp;lt;RHSItem&amp;amp;gt;&amp;amp;lt;RHSType&amp;amp;gt;EXPRES'"</definedName>
    <definedName name="_AMO_ContentDefinition_485496469.2661" hidden="1">"'SION&amp;amp;lt;/RHSType&amp;amp;gt;&amp;amp;lt;AddQuotes&amp;amp;gt;True&amp;amp;lt;/AddQuotes&amp;amp;gt;&amp;amp;lt;DateFormat&amp;amp;gt;None&amp;amp;lt;/DateFormat&amp;amp;gt;&amp;amp;lt;RightHandSideExpression&amp;amp;gt;MFPR01007742&amp;amp;lt;/RightHandSideExpression&amp;amp;gt;&amp;amp;lt;IsSubquery&amp;a'"</definedName>
    <definedName name="_AMO_ContentDefinition_485496469.2662"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485496469.2663" hidden="1">"'at&amp;amp;gt;None&amp;amp;lt;/DateFormat&amp;amp;gt;&amp;amp;lt;RightHandSideExpression&amp;amp;gt;MFPR01007743&amp;amp;lt;/RightHandSideExpression&amp;amp;gt;&amp;amp;lt;IsSubquery&amp;amp;gt;False&amp;amp;lt;/IsSubquery&amp;amp;gt;&amp;amp;lt;SubqueryTemplateName /&amp;amp;gt;&amp;amp;lt;/RHSItem&amp;amp;gt'"</definedName>
    <definedName name="_AMO_ContentDefinition_485496469.2664" hidden="1">"';&amp;amp;lt;RHSItem&amp;amp;gt;&amp;amp;lt;RHSType&amp;amp;gt;EXPRESSION&amp;amp;lt;/RHSType&amp;amp;gt;&amp;amp;lt;AddQuotes&amp;amp;gt;True&amp;amp;lt;/AddQuotes&amp;amp;gt;&amp;amp;lt;DateFormat&amp;amp;gt;None&amp;amp;lt;/DateFormat&amp;amp;gt;&amp;amp;lt;RightHandSideExpression&amp;amp;gt;MFPR01007744&amp;amp;lt'"</definedName>
    <definedName name="_AMO_ContentDefinition_485496469.2665"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485496469.2666" hidden="1">"'amp;gt;True&amp;amp;lt;/AddQuotes&amp;amp;gt;&amp;amp;lt;DateFormat&amp;amp;gt;None&amp;amp;lt;/DateFormat&amp;amp;gt;&amp;amp;lt;RightHandSideExpression&amp;amp;gt;MFPR01007745&amp;amp;lt;/RightHandSideExpression&amp;amp;gt;&amp;amp;lt;IsSubquery&amp;amp;gt;False&amp;amp;lt;/IsSubquery&amp;amp;gt;&amp;amp;lt;'"</definedName>
    <definedName name="_AMO_ContentDefinition_485496469.2667"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2668" hidden="1">"'lt;RightHandSideExpression&amp;amp;gt;MFPR01007746&amp;amp;lt;/RightHandSideExpression&amp;amp;gt;&amp;amp;lt;IsSubquery&amp;amp;gt;False&amp;amp;lt;/IsSubquery&amp;amp;gt;&amp;amp;lt;SubqueryTemplateName /&amp;amp;gt;&amp;amp;lt;/RHSItem&amp;amp;gt;&amp;amp;lt;RHSItem&amp;amp;gt;&amp;amp;lt;RHSType&amp;amp;gt'"</definedName>
    <definedName name="_AMO_ContentDefinition_485496469.2669" hidden="1">"';EXPRESSION&amp;amp;lt;/RHSType&amp;amp;gt;&amp;amp;lt;AddQuotes&amp;amp;gt;True&amp;amp;lt;/AddQuotes&amp;amp;gt;&amp;amp;lt;DateFormat&amp;amp;gt;None&amp;amp;lt;/DateFormat&amp;amp;gt;&amp;amp;lt;RightHandSideExpression&amp;amp;gt;MFPR01007747&amp;amp;lt;/RightHandSideExpression&amp;amp;gt;&amp;amp;lt;IsSub'"</definedName>
    <definedName name="_AMO_ContentDefinition_485496469.267" hidden="1">"'R01007118',&amp;amp;#xD;&amp;amp;#xA;'MFPR01007119',&amp;amp;#xD;&amp;amp;#xA;'MFPR01007120',&amp;amp;#xD;&amp;amp;#xA;'MFPR01007121',&amp;amp;#xD;&amp;amp;#xA;'MFPR01007122',&amp;amp;#xD;&amp;amp;#xA;'MFPR01007123',&amp;amp;#xD;&amp;amp;#xA;'MFPR01007124',&amp;amp;#xD;&amp;amp;#xA;'MFPR01007125',&amp;amp;#xD;'"</definedName>
    <definedName name="_AMO_ContentDefinition_485496469.2670"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485496469.2671" hidden="1">"'ateFormat&amp;amp;gt;None&amp;amp;lt;/DateFormat&amp;amp;gt;&amp;amp;lt;RightHandSideExpression&amp;amp;gt;MFPR01007748&amp;amp;lt;/RightHandSideExpression&amp;amp;gt;&amp;amp;lt;IsSubquery&amp;amp;gt;False&amp;amp;lt;/IsSubquery&amp;amp;gt;&amp;amp;lt;SubqueryTemplateName /&amp;amp;gt;&amp;amp;lt;/RHSItem'"</definedName>
    <definedName name="_AMO_ContentDefinition_485496469.2672" hidden="1">"'&amp;amp;gt;&amp;amp;lt;RHSItem&amp;amp;gt;&amp;amp;lt;RHSType&amp;amp;gt;EXPRESSION&amp;amp;lt;/RHSType&amp;amp;gt;&amp;amp;lt;AddQuotes&amp;amp;gt;True&amp;amp;lt;/AddQuotes&amp;amp;gt;&amp;amp;lt;DateFormat&amp;amp;gt;None&amp;amp;lt;/DateFormat&amp;amp;gt;&amp;amp;lt;RightHandSideExpression&amp;amp;gt;MFPR01007749'"</definedName>
    <definedName name="_AMO_ContentDefinition_485496469.2673"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485496469.2674" hidden="1">"'Quotes&amp;amp;gt;True&amp;amp;lt;/AddQuotes&amp;amp;gt;&amp;amp;lt;DateFormat&amp;amp;gt;None&amp;amp;lt;/DateFormat&amp;amp;gt;&amp;amp;lt;RightHandSideExpression&amp;amp;gt;MFPR01007750&amp;amp;lt;/RightHandSideExpression&amp;amp;gt;&amp;amp;lt;IsSubquery&amp;amp;gt;False&amp;amp;lt;/IsSubquery&amp;amp;gt;&amp;'"</definedName>
    <definedName name="_AMO_ContentDefinition_485496469.2675"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485496469.2676" hidden="1">"'t;&amp;amp;lt;RightHandSideExpression&amp;amp;gt;MFPR01007751&amp;amp;lt;/RightHandSideExpression&amp;amp;gt;&amp;amp;lt;IsSubquery&amp;amp;gt;False&amp;amp;lt;/IsSubquery&amp;amp;gt;&amp;amp;lt;SubqueryTemplateName /&amp;amp;gt;&amp;amp;lt;/RHSItem&amp;amp;gt;&amp;amp;lt;RHSItem&amp;amp;gt;&amp;amp;lt;RHSType'"</definedName>
    <definedName name="_AMO_ContentDefinition_485496469.2677" hidden="1">"'&amp;amp;gt;EXPRESSION&amp;amp;lt;/RHSType&amp;amp;gt;&amp;amp;lt;AddQuotes&amp;amp;gt;True&amp;amp;lt;/AddQuotes&amp;amp;gt;&amp;amp;lt;DateFormat&amp;amp;gt;None&amp;amp;lt;/DateFormat&amp;amp;gt;&amp;amp;lt;RightHandSideExpression&amp;amp;gt;MFPR01007752&amp;amp;lt;/RightHandSideExpression&amp;amp;gt;&amp;amp;l'"</definedName>
    <definedName name="_AMO_ContentDefinition_485496469.2678"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485496469.2679" hidden="1">"'mp;lt;DateFormat&amp;amp;gt;None&amp;amp;lt;/DateFormat&amp;amp;gt;&amp;amp;lt;RightHandSideExpression&amp;amp;gt;MFPR01007753&amp;amp;lt;/RightHandSideExpression&amp;amp;gt;&amp;amp;lt;IsSubquery&amp;amp;gt;False&amp;amp;lt;/IsSubquery&amp;amp;gt;&amp;amp;lt;SubqueryTemplateName /&amp;amp;gt;&amp;amp;lt;/'"</definedName>
    <definedName name="_AMO_ContentDefinition_485496469.268" hidden="1">"'&amp;amp;#xA;'MFPR01007126',&amp;amp;#xD;&amp;amp;#xA;'MFPR01007127',&amp;amp;#xD;&amp;amp;#xA;'MFPR01007128',&amp;amp;#xD;&amp;amp;#xA;'MFPR01007129',&amp;amp;#xD;&amp;amp;#xA;'MFPR01007130',&amp;amp;#xD;&amp;amp;#xA;'MFPR01007131',&amp;amp;#xD;&amp;amp;#xA;'MFPR01007132',&amp;amp;#xD;&amp;amp;#xA;'MFPR010071'"</definedName>
    <definedName name="_AMO_ContentDefinition_485496469.2680" hidden="1">"'RHSItem&amp;amp;gt;&amp;amp;lt;RHSItem&amp;amp;gt;&amp;amp;lt;RHSType&amp;amp;gt;EXPRESSION&amp;amp;lt;/RHSType&amp;amp;gt;&amp;amp;lt;AddQuotes&amp;amp;gt;True&amp;amp;lt;/AddQuotes&amp;amp;gt;&amp;amp;lt;DateFormat&amp;amp;gt;None&amp;amp;lt;/DateFormat&amp;amp;gt;&amp;amp;lt;RightHandSideExpression&amp;amp;gt;MFPR0'"</definedName>
    <definedName name="_AMO_ContentDefinition_485496469.2681" hidden="1">"'1007754&amp;amp;lt;/RightHandSideExpression&amp;amp;gt;&amp;amp;lt;IsSubquery&amp;amp;gt;False&amp;amp;lt;/IsSubquery&amp;amp;gt;&amp;amp;lt;SubqueryTemplateName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2682" hidden="1">"';lt;AddQuotes&amp;amp;gt;True&amp;amp;lt;/AddQuotes&amp;amp;gt;&amp;amp;lt;DateFormat&amp;amp;gt;None&amp;amp;lt;/DateFormat&amp;amp;gt;&amp;amp;lt;RightHandSideExpression&amp;amp;gt;MFPR01007755&amp;amp;lt;/RightHandSideExpression&amp;amp;gt;&amp;amp;lt;IsSubquery&amp;amp;gt;False&amp;amp;lt;/IsSubquery&amp;a'"</definedName>
    <definedName name="_AMO_ContentDefinition_485496469.2683"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485496469.2684" hidden="1">"'t&amp;amp;gt;&amp;amp;lt;RightHandSideExpression&amp;amp;gt;MFPR01007756&amp;amp;lt;/RightHandSideExpression&amp;amp;gt;&amp;amp;lt;IsSubquery&amp;amp;gt;False&amp;amp;lt;/IsSubquery&amp;amp;gt;&amp;amp;lt;SubqueryTemplateName /&amp;amp;gt;&amp;amp;lt;/RHSItem&amp;amp;gt;&amp;amp;lt;RHSItem&amp;amp;gt;&amp;amp;lt;'"</definedName>
    <definedName name="_AMO_ContentDefinition_485496469.2685" hidden="1">"'RHSType&amp;amp;gt;EXPRESSION&amp;amp;lt;/RHSType&amp;amp;gt;&amp;amp;lt;AddQuotes&amp;amp;gt;True&amp;amp;lt;/AddQuotes&amp;amp;gt;&amp;amp;lt;DateFormat&amp;amp;gt;None&amp;amp;lt;/DateFormat&amp;amp;gt;&amp;amp;lt;RightHandSideExpression&amp;amp;gt;MFPR01007757&amp;amp;lt;/RightHandSideExpression&amp;amp;gt'"</definedName>
    <definedName name="_AMO_ContentDefinition_485496469.2686"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485496469.2687" hidden="1">"'p;gt;&amp;amp;lt;DateFormat&amp;amp;gt;None&amp;amp;lt;/DateFormat&amp;amp;gt;&amp;amp;lt;RightHandSideExpression&amp;amp;gt;MFPR01007758&amp;amp;lt;/RightHandSideExpression&amp;amp;gt;&amp;amp;lt;IsSubquery&amp;amp;gt;False&amp;amp;lt;/IsSubquery&amp;amp;gt;&amp;amp;lt;SubqueryTemplateName /&amp;amp;gt;&amp;a'"</definedName>
    <definedName name="_AMO_ContentDefinition_485496469.2688" hidden="1">"'mp;lt;/RHSItem&amp;amp;gt;&amp;amp;lt;RHSItem&amp;amp;gt;&amp;amp;lt;RHSType&amp;amp;gt;EXPRESSION&amp;amp;lt;/RHSType&amp;amp;gt;&amp;amp;lt;AddQuotes&amp;amp;gt;True&amp;amp;lt;/AddQuotes&amp;amp;gt;&amp;amp;lt;DateFormat&amp;amp;gt;None&amp;amp;lt;/DateFormat&amp;amp;gt;&amp;amp;lt;RightHandSideExpression&amp;amp;g'"</definedName>
    <definedName name="_AMO_ContentDefinition_485496469.2689" hidden="1">"'t;MFPR01007759&amp;amp;lt;/RightHandSideExpression&amp;amp;gt;&amp;amp;lt;IsSubquery&amp;amp;gt;False&amp;amp;lt;/IsSubquery&amp;amp;gt;&amp;amp;lt;SubqueryTemplateName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269" hidden="1">"'33',&amp;amp;#xD;&amp;amp;#xA;'MFPR01007134',&amp;amp;#xD;&amp;amp;#xA;'MFPR01007135',&amp;amp;#xD;&amp;amp;#xA;'MFPR01007136',&amp;amp;#xD;&amp;amp;#xA;'MFPR01007137',&amp;amp;#xD;&amp;amp;#xA;'MFPR01007138',&amp;amp;#xD;&amp;amp;#xA;'MFPR01007139',&amp;amp;#xD;&amp;amp;#xA;'MFPR01007140',&amp;amp;#xD;&amp;amp;#x'"</definedName>
    <definedName name="_AMO_ContentDefinition_485496469.2690" hidden="1">"'gt;&amp;amp;lt;AddQuotes&amp;amp;gt;True&amp;amp;lt;/AddQuotes&amp;amp;gt;&amp;amp;lt;DateFormat&amp;amp;gt;None&amp;amp;lt;/DateFormat&amp;amp;gt;&amp;amp;lt;RightHandSideExpression&amp;amp;gt;MFPR01007760&amp;amp;lt;/RightHandSideExpression&amp;amp;gt;&amp;amp;lt;IsSubquery&amp;amp;gt;False&amp;amp;lt;/IsSub'"</definedName>
    <definedName name="_AMO_ContentDefinition_485496469.2691"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485496469.2692" hidden="1">"'teFormat&amp;amp;gt;&amp;amp;lt;RightHandSideExpression&amp;amp;gt;MFPR01007761&amp;amp;lt;/RightHandSideExpression&amp;amp;gt;&amp;amp;lt;IsSubquery&amp;amp;gt;False&amp;amp;lt;/IsSubquery&amp;amp;gt;&amp;amp;lt;SubqueryTemplateName /&amp;amp;gt;&amp;amp;lt;/RHSItem&amp;amp;gt;&amp;amp;lt;RHSItem&amp;amp;gt;&amp;'"</definedName>
    <definedName name="_AMO_ContentDefinition_485496469.2693" hidden="1">"'amp;lt;RHSType&amp;amp;gt;EXPRESSION&amp;amp;lt;/RHSType&amp;amp;gt;&amp;amp;lt;AddQuotes&amp;amp;gt;True&amp;amp;lt;/AddQuotes&amp;amp;gt;&amp;amp;lt;DateFormat&amp;amp;gt;None&amp;amp;lt;/DateFormat&amp;amp;gt;&amp;amp;lt;RightHandSideExpression&amp;amp;gt;MFPR01007762&amp;amp;lt;/RightHandSideExpression'"</definedName>
    <definedName name="_AMO_ContentDefinition_485496469.2694"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485496469.2695" hidden="1">"'otes&amp;amp;gt;&amp;amp;lt;DateFormat&amp;amp;gt;None&amp;amp;lt;/DateFormat&amp;amp;gt;&amp;amp;lt;RightHandSideExpression&amp;amp;gt;MFPR01007763&amp;amp;lt;/RightHandSideExpression&amp;amp;gt;&amp;amp;lt;IsSubquery&amp;amp;gt;False&amp;amp;lt;/IsSubquery&amp;amp;gt;&amp;amp;lt;SubqueryTemplateName /&amp;am'"</definedName>
    <definedName name="_AMO_ContentDefinition_485496469.2696"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485496469.2697" hidden="1">"'n&amp;amp;gt;MFPR01007764&amp;amp;lt;/RightHandSideExpression&amp;amp;gt;&amp;amp;lt;IsSubquery&amp;amp;gt;False&amp;amp;lt;/IsSubquery&amp;amp;gt;&amp;amp;lt;SubqueryTemplateName /&amp;amp;gt;&amp;amp;lt;/RHSItem&amp;amp;gt;&amp;amp;lt;RHSItem&amp;amp;gt;&amp;amp;lt;RHSType&amp;amp;gt;EXPRESSION&amp;amp;lt;/RHSTy'"</definedName>
    <definedName name="_AMO_ContentDefinition_485496469.2698" hidden="1">"'pe&amp;amp;gt;&amp;amp;lt;AddQuotes&amp;amp;gt;True&amp;amp;lt;/AddQuotes&amp;amp;gt;&amp;amp;lt;DateFormat&amp;amp;gt;None&amp;amp;lt;/DateFormat&amp;amp;gt;&amp;amp;lt;RightHandSideExpression&amp;amp;gt;MFPR01007765&amp;amp;lt;/RightHandSideExpression&amp;amp;gt;&amp;amp;lt;IsSubquery&amp;amp;gt;False&amp;amp;lt'"</definedName>
    <definedName name="_AMO_ContentDefinition_485496469.2699"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27" hidden="1">"'06532',&amp;#xD;&amp;#xA;'MFPR01006533',&amp;#xD;&amp;#xA;'MFPR01006534',&amp;#xD;&amp;#xA;'MFPR01006535',&amp;#xD;&amp;#xA;'MFPR01006536',&amp;#xD;&amp;#xA;'MFPR01006537',&amp;#xD;&amp;#xA;'MFPR01006538',&amp;#xD;&amp;#xA;'MFPR01006539',&amp;#xD;&amp;#xA;'MFPR01006540',&amp;#xD;&amp;#xA;'MFPR01006541',&amp;#xD;&amp;#xA;'MFPR0100'"</definedName>
    <definedName name="_AMO_ContentDefinition_485496469.270" hidden="1">"'A;'MFPR01007141',&amp;amp;#xD;&amp;amp;#xA;'MFPR01007142',&amp;amp;#xD;&amp;amp;#xA;'MFPR01007143',&amp;amp;#xD;&amp;amp;#xA;'MFPR01007144',&amp;amp;#xD;&amp;amp;#xA;'MFPR01007145',&amp;amp;#xD;&amp;amp;#xA;'MFPR01007146',&amp;amp;#xD;&amp;amp;#xA;'MFPR01007147',&amp;amp;#xD;&amp;amp;#xA;'MFPR01007148',&amp;am'"</definedName>
    <definedName name="_AMO_ContentDefinition_485496469.2700" hidden="1">"';lt;/DateFormat&amp;amp;gt;&amp;amp;lt;RightHandSideExpression&amp;amp;gt;MFPR01007766&amp;amp;lt;/RightHandSideExpression&amp;amp;gt;&amp;amp;lt;IsSubquery&amp;amp;gt;False&amp;amp;lt;/IsSubquery&amp;amp;gt;&amp;amp;lt;SubqueryTemplateName /&amp;amp;gt;&amp;amp;lt;/RHSItem&amp;amp;gt;&amp;amp;lt;RHSItem&amp;a'"</definedName>
    <definedName name="_AMO_ContentDefinition_485496469.2701" hidden="1">"'mp;gt;&amp;amp;lt;RHSType&amp;amp;gt;EXPRESSION&amp;amp;lt;/RHSType&amp;amp;gt;&amp;amp;lt;AddQuotes&amp;amp;gt;True&amp;amp;lt;/AddQuotes&amp;amp;gt;&amp;amp;lt;DateFormat&amp;amp;gt;None&amp;amp;lt;/DateFormat&amp;amp;gt;&amp;amp;lt;RightHandSideExpression&amp;amp;gt;MFPR01007767&amp;amp;lt;/RightHandSideExp'"</definedName>
    <definedName name="_AMO_ContentDefinition_485496469.2702"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2703" hidden="1">"';/AddQuotes&amp;amp;gt;&amp;amp;lt;DateFormat&amp;amp;gt;None&amp;amp;lt;/DateFormat&amp;amp;gt;&amp;amp;lt;RightHandSideExpression&amp;amp;gt;MFPR01007768&amp;amp;lt;/RightHandSideExpression&amp;amp;gt;&amp;amp;lt;IsSubquery&amp;amp;gt;False&amp;amp;lt;/IsSubquery&amp;amp;gt;&amp;amp;lt;SubqueryTemplateNa'"</definedName>
    <definedName name="_AMO_ContentDefinition_485496469.2704"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485496469.2705" hidden="1">"'pression&amp;amp;gt;MFPR01007769&amp;amp;lt;/RightHandSideExpression&amp;amp;gt;&amp;amp;lt;IsSubquery&amp;amp;gt;False&amp;amp;lt;/IsSubquery&amp;amp;gt;&amp;amp;lt;SubqueryTemplateName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2706" hidden="1">"';/RHSType&amp;amp;gt;&amp;amp;lt;AddQuotes&amp;amp;gt;True&amp;amp;lt;/AddQuotes&amp;amp;gt;&amp;amp;lt;DateFormat&amp;amp;gt;None&amp;amp;lt;/DateFormat&amp;amp;gt;&amp;amp;lt;RightHandSideExpression&amp;amp;gt;MFPR01007770&amp;amp;lt;/RightHandSideExpression&amp;amp;gt;&amp;amp;lt;IsSubquery&amp;amp;gt;False'"</definedName>
    <definedName name="_AMO_ContentDefinition_485496469.2707"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485496469.2708" hidden="1">"'one&amp;amp;lt;/DateFormat&amp;amp;gt;&amp;amp;lt;RightHandSideExpression&amp;amp;gt;MFPR01007771&amp;amp;lt;/RightHandSideExpression&amp;amp;gt;&amp;amp;lt;IsSubquery&amp;amp;gt;False&amp;amp;lt;/IsSubquery&amp;amp;gt;&amp;amp;lt;SubqueryTemplateName /&amp;amp;gt;&amp;amp;lt;/RHSItem&amp;amp;gt;&amp;amp;lt;RH'"</definedName>
    <definedName name="_AMO_ContentDefinition_485496469.2709" hidden="1">"'SItem&amp;amp;gt;&amp;amp;lt;RHSType&amp;amp;gt;EXPRESSION&amp;amp;lt;/RHSType&amp;amp;gt;&amp;amp;lt;AddQuotes&amp;amp;gt;True&amp;amp;lt;/AddQuotes&amp;amp;gt;&amp;amp;lt;DateFormat&amp;amp;gt;None&amp;amp;lt;/DateFormat&amp;amp;gt;&amp;amp;lt;RightHandSideExpression&amp;amp;gt;MFPR01007772&amp;amp;lt;/RightHand'"</definedName>
    <definedName name="_AMO_ContentDefinition_485496469.271" hidden="1">"'p;#xD;&amp;amp;#xA;'MFPR01007149',&amp;amp;#xD;&amp;amp;#xA;'MFPR01007150',&amp;amp;#xD;&amp;amp;#xA;'MFPR01007151',&amp;amp;#xD;&amp;amp;#xA;'MFPR01007152',&amp;amp;#xD;&amp;amp;#xA;'MFPR01007153',&amp;amp;#xD;&amp;amp;#xA;'MFPR01007154',&amp;amp;#xD;&amp;amp;#xA;'MFPR01007155',&amp;amp;#xD;&amp;amp;#xA;'MFPR'"</definedName>
    <definedName name="_AMO_ContentDefinition_485496469.2710"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485496469.2711" hidden="1">"'&amp;amp;lt;/AddQuotes&amp;amp;gt;&amp;amp;lt;DateFormat&amp;amp;gt;None&amp;amp;lt;/DateFormat&amp;amp;gt;&amp;amp;lt;RightHandSideExpression&amp;amp;gt;MFPR01007773&amp;amp;lt;/RightHandSideExpression&amp;amp;gt;&amp;amp;lt;IsSubquery&amp;amp;gt;False&amp;amp;lt;/IsSubquery&amp;amp;gt;&amp;amp;lt;SubqueryTem'"</definedName>
    <definedName name="_AMO_ContentDefinition_485496469.2712"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485496469.2713" hidden="1">"'dSideExpression&amp;amp;gt;MFPR01007774&amp;amp;lt;/RightHandSideExpression&amp;amp;gt;&amp;amp;lt;IsSubquery&amp;amp;gt;False&amp;amp;lt;/IsSubquery&amp;amp;gt;&amp;amp;lt;SubqueryTemplateName /&amp;amp;gt;&amp;amp;lt;/RHSItem&amp;amp;gt;&amp;amp;lt;RHSItem&amp;amp;gt;&amp;amp;lt;RHSType&amp;amp;gt;EXPRESSION'"</definedName>
    <definedName name="_AMO_ContentDefinition_485496469.2714" hidden="1">"'&amp;amp;lt;/RHSType&amp;amp;gt;&amp;amp;lt;AddQuotes&amp;amp;gt;True&amp;amp;lt;/AddQuotes&amp;amp;gt;&amp;amp;lt;DateFormat&amp;amp;gt;None&amp;amp;lt;/DateFormat&amp;amp;gt;&amp;amp;lt;RightHandSideExpression&amp;amp;gt;MFPR01007775&amp;amp;lt;/RightHandSideExpression&amp;amp;gt;&amp;amp;lt;IsSubquery&amp;amp;g'"</definedName>
    <definedName name="_AMO_ContentDefinition_485496469.2715"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485496469.2716" hidden="1">"'mp;gt;None&amp;amp;lt;/DateFormat&amp;amp;gt;&amp;amp;lt;RightHandSideExpression&amp;amp;gt;MFPR01007776&amp;amp;lt;/RightHandSideExpression&amp;amp;gt;&amp;amp;lt;IsSubquery&amp;amp;gt;False&amp;amp;lt;/IsSubquery&amp;amp;gt;&amp;amp;lt;SubqueryTemplateName /&amp;amp;gt;&amp;amp;lt;/RHSItem&amp;amp;gt;&amp;am'"</definedName>
    <definedName name="_AMO_ContentDefinition_485496469.2717" hidden="1">"'p;lt;RHSItem&amp;amp;gt;&amp;amp;lt;RHSType&amp;amp;gt;EXPRESSION&amp;amp;lt;/RHSType&amp;amp;gt;&amp;amp;lt;AddQuotes&amp;amp;gt;True&amp;amp;lt;/AddQuotes&amp;amp;gt;&amp;amp;lt;DateFormat&amp;amp;gt;None&amp;amp;lt;/DateFormat&amp;amp;gt;&amp;amp;lt;RightHandSideExpression&amp;amp;gt;MFPR01007777&amp;amp;lt;/Ri'"</definedName>
    <definedName name="_AMO_ContentDefinition_485496469.2718"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2719" hidden="1">"'gt;True&amp;amp;lt;/AddQuotes&amp;amp;gt;&amp;amp;lt;DateFormat&amp;amp;gt;None&amp;amp;lt;/DateFormat&amp;amp;gt;&amp;amp;lt;RightHandSideExpression&amp;amp;gt;MFPR01007778&amp;amp;lt;/RightHandSideExpression&amp;amp;gt;&amp;amp;lt;IsSubquery&amp;amp;gt;False&amp;amp;lt;/IsSubquery&amp;amp;gt;&amp;amp;lt;Subq'"</definedName>
    <definedName name="_AMO_ContentDefinition_485496469.272" hidden="1">"'01007156',&amp;amp;#xD;&amp;amp;#xA;'MFPR01007157',&amp;amp;#xD;&amp;amp;#xA;'MFPR01007158',&amp;amp;#xD;&amp;amp;#xA;'MFPR01007159',&amp;amp;#xD;&amp;amp;#xA;'MFPR01007160',&amp;amp;#xD;&amp;amp;#xA;'MFPR01007161',&amp;amp;#xD;&amp;amp;#xA;'MFPR01007162',&amp;amp;#xD;&amp;amp;#xA;'MFPR01007163',&amp;amp;#xD;&amp;'"</definedName>
    <definedName name="_AMO_ContentDefinition_485496469.2720"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485496469.2721" hidden="1">"'ightHandSideExpression&amp;amp;gt;MFPR01007779&amp;amp;lt;/RightHandSideExpression&amp;amp;gt;&amp;amp;lt;IsSubquery&amp;amp;gt;False&amp;amp;lt;/IsSubquery&amp;amp;gt;&amp;amp;lt;SubqueryTemplateName /&amp;amp;gt;&amp;amp;lt;/RHSItem&amp;amp;gt;&amp;amp;lt;RHSItem&amp;amp;gt;&amp;amp;lt;RHSType&amp;amp;gt;EXP'"</definedName>
    <definedName name="_AMO_ContentDefinition_485496469.2722" hidden="1">"'RESSION&amp;amp;lt;/RHSType&amp;amp;gt;&amp;amp;lt;AddQuotes&amp;amp;gt;True&amp;amp;lt;/AddQuotes&amp;amp;gt;&amp;amp;lt;DateFormat&amp;amp;gt;None&amp;amp;lt;/DateFormat&amp;amp;gt;&amp;amp;lt;RightHandSideExpression&amp;amp;gt;MFPR01007780&amp;amp;lt;/RightHandSideExpression&amp;amp;gt;&amp;amp;lt;IsSubquer'"</definedName>
    <definedName name="_AMO_ContentDefinition_485496469.2723"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485496469.2724" hidden="1">"'ormat&amp;amp;gt;None&amp;amp;lt;/DateFormat&amp;amp;gt;&amp;amp;lt;RightHandSideExpression&amp;amp;gt;MFPR01007781&amp;amp;lt;/RightHandSideExpression&amp;amp;gt;&amp;amp;lt;IsSubquery&amp;amp;gt;False&amp;amp;lt;/IsSubquery&amp;amp;gt;&amp;amp;lt;SubqueryTemplateName /&amp;amp;gt;&amp;amp;lt;/RHSItem&amp;amp'"</definedName>
    <definedName name="_AMO_ContentDefinition_485496469.2725" hidden="1">"';gt;&amp;amp;lt;RHSItem&amp;amp;gt;&amp;amp;lt;RHSType&amp;amp;gt;EXPRESSION&amp;amp;lt;/RHSType&amp;amp;gt;&amp;amp;lt;AddQuotes&amp;amp;gt;True&amp;amp;lt;/AddQuotes&amp;amp;gt;&amp;amp;lt;DateFormat&amp;amp;gt;None&amp;amp;lt;/DateFormat&amp;amp;gt;&amp;amp;lt;RightHandSideExpression&amp;amp;gt;MFPR01007783&amp;amp'"</definedName>
    <definedName name="_AMO_ContentDefinition_485496469.2726"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485496469.2727" hidden="1">"'es&amp;amp;gt;True&amp;amp;lt;/AddQuotes&amp;amp;gt;&amp;amp;lt;DateFormat&amp;amp;gt;None&amp;amp;lt;/DateFormat&amp;amp;gt;&amp;amp;lt;RightHandSideExpression&amp;amp;gt;MFPR01007784&amp;amp;lt;/RightHandSideExpression&amp;amp;gt;&amp;amp;lt;IsSubquery&amp;amp;gt;False&amp;amp;lt;/IsSubquery&amp;amp;gt;&amp;amp;'"</definedName>
    <definedName name="_AMO_ContentDefinition_485496469.2728"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485496469.2729" hidden="1">"'mp;lt;RightHandSideExpression&amp;amp;gt;MFPR01007785&amp;amp;lt;/RightHandSideExpression&amp;amp;gt;&amp;amp;lt;IsSubquery&amp;amp;gt;False&amp;amp;lt;/IsSubquery&amp;amp;gt;&amp;amp;lt;SubqueryTemplateName /&amp;amp;gt;&amp;amp;lt;/RHSItem&amp;amp;gt;&amp;amp;lt;RHSItem&amp;amp;gt;&amp;amp;lt;RHSType&amp;amp'"</definedName>
    <definedName name="_AMO_ContentDefinition_485496469.273" hidden="1">"'amp;#xA;'MFPR01007164',&amp;amp;#xD;&amp;amp;#xA;'MFPR01007165',&amp;amp;#xD;&amp;amp;#xA;'MFPR01007166',&amp;amp;#xD;&amp;amp;#xA;'MFPR01007167',&amp;amp;#xD;&amp;amp;#xA;'MFPR01007168',&amp;amp;#xD;&amp;amp;#xA;'MFPR01007169',&amp;amp;#xD;&amp;amp;#xA;'MFPR01007170',&amp;amp;#xD;&amp;amp;#xA;'MFPR0100717'"</definedName>
    <definedName name="_AMO_ContentDefinition_485496469.2730" hidden="1">"';gt;EXPRESSION&amp;amp;lt;/RHSType&amp;amp;gt;&amp;amp;lt;AddQuotes&amp;amp;gt;True&amp;amp;lt;/AddQuotes&amp;amp;gt;&amp;amp;lt;DateFormat&amp;amp;gt;None&amp;amp;lt;/DateFormat&amp;amp;gt;&amp;amp;lt;RightHandSideExpression&amp;amp;gt;MFPR01007786&amp;amp;lt;/RightHandSideExpression&amp;amp;gt;&amp;amp;lt;Is'"</definedName>
    <definedName name="_AMO_ContentDefinition_485496469.2731"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485496469.2732" hidden="1">"'t;DateFormat&amp;amp;gt;None&amp;amp;lt;/DateFormat&amp;amp;gt;&amp;amp;lt;RightHandSideExpression&amp;amp;gt;MFPR01007787&amp;amp;lt;/RightHandSideExpression&amp;amp;gt;&amp;amp;lt;IsSubquery&amp;amp;gt;False&amp;amp;lt;/IsSubquery&amp;amp;gt;&amp;amp;lt;SubqueryTemplateName /&amp;amp;gt;&amp;amp;lt;/RHSI'"</definedName>
    <definedName name="_AMO_ContentDefinition_485496469.2733" hidden="1">"'tem&amp;amp;gt;&amp;amp;lt;RHSItem&amp;amp;gt;&amp;amp;lt;RHSType&amp;amp;gt;EXPRESSION&amp;amp;lt;/RHSType&amp;amp;gt;&amp;amp;lt;AddQuotes&amp;amp;gt;True&amp;amp;lt;/AddQuotes&amp;amp;gt;&amp;amp;lt;DateFormat&amp;amp;gt;None&amp;amp;lt;/DateFormat&amp;amp;gt;&amp;amp;lt;RightHandSideExpression&amp;amp;gt;MFPR01007'"</definedName>
    <definedName name="_AMO_ContentDefinition_485496469.2734" hidden="1">"'789&amp;amp;lt;/RightHandSideExpression&amp;amp;gt;&amp;amp;lt;IsSubquery&amp;amp;gt;False&amp;amp;lt;/IsSubquery&amp;amp;gt;&amp;amp;lt;SubqueryTemplateName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2735" hidden="1">"'AddQuotes&amp;amp;gt;True&amp;amp;lt;/AddQuotes&amp;amp;gt;&amp;amp;lt;DateFormat&amp;amp;gt;None&amp;amp;lt;/DateFormat&amp;amp;gt;&amp;amp;lt;RightHandSideExpression&amp;amp;gt;MFPR01007790&amp;amp;lt;/RightHandSideExpression&amp;amp;gt;&amp;amp;lt;IsSubquery&amp;amp;gt;False&amp;amp;lt;/IsSubquery&amp;amp;g'"</definedName>
    <definedName name="_AMO_ContentDefinition_485496469.2736"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485496469.2737" hidden="1">"'p;gt;&amp;amp;lt;RightHandSideExpression&amp;amp;gt;MFPR01007791&amp;amp;lt;/RightHandSideExpression&amp;amp;gt;&amp;amp;lt;IsSubquery&amp;amp;gt;False&amp;amp;lt;/IsSubquery&amp;amp;gt;&amp;amp;lt;SubqueryTemplateName /&amp;amp;gt;&amp;amp;lt;/RHSItem&amp;amp;gt;&amp;amp;lt;RHSItem&amp;amp;gt;&amp;amp;lt;RHST'"</definedName>
    <definedName name="_AMO_ContentDefinition_485496469.2738" hidden="1">"'ype&amp;amp;gt;EXPRESSION&amp;amp;lt;/RHSType&amp;amp;gt;&amp;amp;lt;AddQuotes&amp;amp;gt;True&amp;amp;lt;/AddQuotes&amp;amp;gt;&amp;amp;lt;DateFormat&amp;amp;gt;None&amp;amp;lt;/DateFormat&amp;amp;gt;&amp;amp;lt;RightHandSideExpression&amp;amp;gt;MFPR01007792&amp;amp;lt;/RightHandSideExpression&amp;amp;gt;&amp;am'"</definedName>
    <definedName name="_AMO_ContentDefinition_485496469.2739"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274" hidden="1">"'1',&amp;amp;#xD;&amp;amp;#xA;'MFPR01007172',&amp;amp;#xD;&amp;amp;#xA;'MFPR01007173',&amp;amp;#xD;&amp;amp;#xA;'MFPR01007174',&amp;amp;#xD;&amp;amp;#xA;'MFPR01007175',&amp;amp;#xD;&amp;amp;#xA;'MFPR01007176',&amp;amp;#xD;&amp;amp;#xA;'MFPR01007177',&amp;amp;#xD;&amp;amp;#xA;'MFPR01007178',&amp;amp;#xD;&amp;amp;#xA'"</definedName>
    <definedName name="_AMO_ContentDefinition_485496469.2740" hidden="1">"';&amp;amp;lt;DateFormat&amp;amp;gt;None&amp;amp;lt;/DateFormat&amp;amp;gt;&amp;amp;lt;RightHandSideExpression&amp;amp;gt;MFPR01007793&amp;amp;lt;/RightHandSideExpression&amp;amp;gt;&amp;amp;lt;IsSubquery&amp;amp;gt;False&amp;amp;lt;/IsSubquery&amp;amp;gt;&amp;amp;lt;SubqueryTemplateName /&amp;amp;gt;&amp;amp;l'"</definedName>
    <definedName name="_AMO_ContentDefinition_485496469.2741" hidden="1">"'t;/RHSItem&amp;amp;gt;&amp;amp;lt;RHSItem&amp;amp;gt;&amp;amp;lt;RHSType&amp;amp;gt;EXPRESSION&amp;amp;lt;/RHSType&amp;amp;gt;&amp;amp;lt;AddQuotes&amp;amp;gt;True&amp;amp;lt;/AddQuotes&amp;amp;gt;&amp;amp;lt;DateFormat&amp;amp;gt;None&amp;amp;lt;/DateFormat&amp;amp;gt;&amp;amp;lt;RightHandSideExpression&amp;amp;gt;MF'"</definedName>
    <definedName name="_AMO_ContentDefinition_485496469.2742" hidden="1">"'PR01007794&amp;amp;lt;/RightHandSideExpression&amp;amp;gt;&amp;amp;lt;IsSubquery&amp;amp;gt;False&amp;amp;lt;/IsSubquery&amp;amp;gt;&amp;amp;lt;SubqueryTemplateName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485496469.2743" hidden="1">"'amp;lt;AddQuotes&amp;amp;gt;True&amp;amp;lt;/AddQuotes&amp;amp;gt;&amp;amp;lt;DateFormat&amp;amp;gt;None&amp;amp;lt;/DateFormat&amp;amp;gt;&amp;amp;lt;RightHandSideExpression&amp;amp;gt;MFPR01007795&amp;amp;lt;/RightHandSideExpression&amp;amp;gt;&amp;amp;lt;IsSubquery&amp;amp;gt;False&amp;amp;lt;/IsSubquer'"</definedName>
    <definedName name="_AMO_ContentDefinition_485496469.2744"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485496469.2745" hidden="1">"'rmat&amp;amp;gt;&amp;amp;lt;RightHandSideExpression&amp;amp;gt;MFPR01007797&amp;amp;lt;/RightHandSideExpression&amp;amp;gt;&amp;amp;lt;IsSubquery&amp;amp;gt;False&amp;amp;lt;/IsSubquery&amp;amp;gt;&amp;amp;lt;SubqueryTemplateName /&amp;amp;gt;&amp;amp;lt;/RHSItem&amp;amp;gt;&amp;amp;lt;RHSItem&amp;amp;gt;&amp;amp;'"</definedName>
    <definedName name="_AMO_ContentDefinition_485496469.2746" hidden="1">"'lt;RHSType&amp;amp;gt;EXPRESSION&amp;amp;lt;/RHSType&amp;amp;gt;&amp;amp;lt;AddQuotes&amp;amp;gt;True&amp;amp;lt;/AddQuotes&amp;amp;gt;&amp;amp;lt;DateFormat&amp;amp;gt;None&amp;amp;lt;/DateFormat&amp;amp;gt;&amp;amp;lt;RightHandSideExpression&amp;amp;gt;MFPR01007798&amp;amp;lt;/RightHandSideExpression&amp;amp'"</definedName>
    <definedName name="_AMO_ContentDefinition_485496469.2747"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485496469.2748" hidden="1">"'&amp;amp;gt;&amp;amp;lt;DateFormat&amp;amp;gt;None&amp;amp;lt;/DateFormat&amp;amp;gt;&amp;amp;lt;RightHandSideExpression&amp;amp;gt;MFPR01007799&amp;amp;lt;/RightHandSideExpression&amp;amp;gt;&amp;amp;lt;IsSubquery&amp;amp;gt;False&amp;amp;lt;/IsSubquery&amp;amp;gt;&amp;amp;lt;SubqueryTemplateName /&amp;amp;gt'"</definedName>
    <definedName name="_AMO_ContentDefinition_485496469.2749" hidden="1">"';&amp;amp;lt;/RHSItem&amp;amp;gt;&amp;amp;lt;RHSItem&amp;amp;gt;&amp;amp;lt;RHSType&amp;amp;gt;EXPRESSION&amp;amp;lt;/RHSType&amp;amp;gt;&amp;amp;lt;AddQuotes&amp;amp;gt;True&amp;amp;lt;/AddQuotes&amp;amp;gt;&amp;amp;lt;DateFormat&amp;amp;gt;None&amp;amp;lt;/DateFormat&amp;amp;gt;&amp;amp;lt;RightHandSideExpression&amp;am'"</definedName>
    <definedName name="_AMO_ContentDefinition_485496469.275" hidden="1">"';'MFPR01007179',&amp;amp;#xD;&amp;amp;#xA;'MFPR01007180',&amp;amp;#xD;&amp;amp;#xA;'MFPR01007181',&amp;amp;#xD;&amp;amp;#xA;'MFPR01007182',&amp;amp;#xD;&amp;amp;#xA;'MFPR01007183',&amp;amp;#xD;&amp;amp;#xA;'MFPR01007184',&amp;amp;#xD;&amp;amp;#xA;'MFPR01007185',&amp;amp;#xD;&amp;amp;#xA;'MFPR01007186',&amp;amp'"</definedName>
    <definedName name="_AMO_ContentDefinition_485496469.2750" hidden="1">"'p;gt;MFPR01007800&amp;amp;lt;/RightHandSideExpression&amp;amp;gt;&amp;amp;lt;IsSubquery&amp;amp;gt;False&amp;amp;lt;/IsSubquery&amp;amp;gt;&amp;amp;lt;SubqueryTemplateName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485496469.2751" hidden="1">"'mp;gt;&amp;amp;lt;AddQuotes&amp;amp;gt;True&amp;amp;lt;/AddQuotes&amp;amp;gt;&amp;amp;lt;DateFormat&amp;amp;gt;None&amp;amp;lt;/DateFormat&amp;amp;gt;&amp;amp;lt;RightHandSideExpression&amp;amp;gt;MFPR01007801&amp;amp;lt;/RightHandSideExpression&amp;amp;gt;&amp;amp;lt;IsSubquery&amp;amp;gt;False&amp;amp;lt;/Is'"</definedName>
    <definedName name="_AMO_ContentDefinition_485496469.2752"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2753" hidden="1">"'/DateFormat&amp;amp;gt;&amp;amp;lt;RightHandSideExpression&amp;amp;gt;MFPR01007802&amp;amp;lt;/RightHandSideExpression&amp;amp;gt;&amp;amp;lt;IsSubquery&amp;amp;gt;False&amp;amp;lt;/IsSubquery&amp;amp;gt;&amp;amp;lt;SubqueryTemplateName /&amp;amp;gt;&amp;amp;lt;/RHSItem&amp;amp;gt;&amp;amp;lt;RHSItem&amp;amp;g'"</definedName>
    <definedName name="_AMO_ContentDefinition_485496469.2754" hidden="1">"'t;&amp;amp;lt;RHSType&amp;amp;gt;EXPRESSION&amp;amp;lt;/RHSType&amp;amp;gt;&amp;amp;lt;AddQuotes&amp;amp;gt;True&amp;amp;lt;/AddQuotes&amp;amp;gt;&amp;amp;lt;DateFormat&amp;amp;gt;None&amp;amp;lt;/DateFormat&amp;amp;gt;&amp;amp;lt;RightHandSideExpression&amp;amp;gt;MFPR01007803&amp;amp;lt;/RightHandSideExpress'"</definedName>
    <definedName name="_AMO_ContentDefinition_485496469.2755"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485496469.2756" hidden="1">"'dQuotes&amp;amp;gt;&amp;amp;lt;DateFormat&amp;amp;gt;None&amp;amp;lt;/DateFormat&amp;amp;gt;&amp;amp;lt;RightHandSideExpression&amp;amp;gt;MFPR01007804&amp;amp;lt;/RightHandSideExpression&amp;amp;gt;&amp;amp;lt;IsSubquery&amp;amp;gt;False&amp;amp;lt;/IsSubquery&amp;amp;gt;&amp;amp;lt;SubqueryTemplateName /'"</definedName>
    <definedName name="_AMO_ContentDefinition_485496469.2757"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485496469.2758" hidden="1">"'sion&amp;amp;gt;MFPR01007805&amp;amp;lt;/RightHandSideExpression&amp;amp;gt;&amp;amp;lt;IsSubquery&amp;amp;gt;False&amp;amp;lt;/IsSubquery&amp;amp;gt;&amp;amp;lt;SubqueryTemplateName /&amp;amp;gt;&amp;amp;lt;/RHSItem&amp;amp;gt;&amp;amp;lt;RHSItem&amp;amp;gt;&amp;amp;lt;RHSType&amp;amp;gt;EXPRESSION&amp;amp;lt;/RH'"</definedName>
    <definedName name="_AMO_ContentDefinition_485496469.2759" hidden="1">"'SType&amp;amp;gt;&amp;amp;lt;AddQuotes&amp;amp;gt;True&amp;amp;lt;/AddQuotes&amp;amp;gt;&amp;amp;lt;DateFormat&amp;amp;gt;None&amp;amp;lt;/DateFormat&amp;amp;gt;&amp;amp;lt;RightHandSideExpression&amp;amp;gt;MFPR01007806&amp;amp;lt;/RightHandSideExpression&amp;amp;gt;&amp;amp;lt;IsSubquery&amp;amp;gt;False&amp;amp'"</definedName>
    <definedName name="_AMO_ContentDefinition_485496469.276" hidden="1">"';#xD;&amp;amp;#xA;'MFPR01007187',&amp;amp;#xD;&amp;amp;#xA;'MFPR01007188',&amp;amp;#xD;&amp;amp;#xA;'MFPR01007189',&amp;amp;#xD;&amp;amp;#xA;'MFPR01007190',&amp;amp;#xD;&amp;amp;#xA;'MFPR01007191',&amp;amp;#xD;&amp;amp;#xA;'MFPR01007192',&amp;amp;#xD;&amp;amp;#xA;'MFPR01007193',&amp;amp;#xD;&amp;amp;#xA;'MFPR0'"</definedName>
    <definedName name="_AMO_ContentDefinition_485496469.2760"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485496469.2761" hidden="1">"'amp;lt;/DateFormat&amp;amp;gt;&amp;amp;lt;RightHandSideExpression&amp;amp;gt;MFPR01007807&amp;amp;lt;/RightHandSideExpression&amp;amp;gt;&amp;amp;lt;IsSubquery&amp;amp;gt;False&amp;amp;lt;/IsSubquery&amp;amp;gt;&amp;amp;lt;SubqueryTemplateName /&amp;amp;gt;&amp;amp;lt;/RHSItem&amp;amp;gt;&amp;amp;lt;RHSIte'"</definedName>
    <definedName name="_AMO_ContentDefinition_485496469.2762" hidden="1">"'m&amp;amp;gt;&amp;amp;lt;RHSType&amp;amp;gt;EXPRESSION&amp;amp;lt;/RHSType&amp;amp;gt;&amp;amp;lt;AddQuotes&amp;amp;gt;True&amp;amp;lt;/AddQuotes&amp;amp;gt;&amp;amp;lt;DateFormat&amp;amp;gt;None&amp;amp;lt;/DateFormat&amp;amp;gt;&amp;amp;lt;RightHandSideExpression&amp;amp;gt;MFPR01007808&amp;amp;lt;/RightHandSide'"</definedName>
    <definedName name="_AMO_ContentDefinition_485496469.2763"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2764" hidden="1">"';lt;/AddQuotes&amp;amp;gt;&amp;amp;lt;DateFormat&amp;amp;gt;None&amp;amp;lt;/DateFormat&amp;amp;gt;&amp;amp;lt;RightHandSideExpression&amp;amp;gt;MFPR01007809&amp;amp;lt;/RightHandSideExpression&amp;amp;gt;&amp;amp;lt;IsSubquery&amp;amp;gt;False&amp;amp;lt;/IsSubquery&amp;amp;gt;&amp;amp;lt;SubqueryTemplat'"</definedName>
    <definedName name="_AMO_ContentDefinition_485496469.2765"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485496469.2766" hidden="1">"'eExpression&amp;amp;gt;MFPR01007810&amp;amp;lt;/RightHandSideExpression&amp;amp;gt;&amp;amp;lt;IsSubquery&amp;amp;gt;False&amp;amp;lt;/IsSubquery&amp;amp;gt;&amp;amp;lt;SubqueryTemplateName /&amp;amp;gt;&amp;amp;lt;/RHSItem&amp;amp;gt;&amp;amp;lt;RHSItem&amp;amp;gt;&amp;amp;lt;RHSType&amp;amp;gt;EXPRESSION&amp;amp'"</definedName>
    <definedName name="_AMO_ContentDefinition_485496469.2767" hidden="1">"';lt;/RHSType&amp;amp;gt;&amp;amp;lt;AddQuotes&amp;amp;gt;True&amp;amp;lt;/AddQuotes&amp;amp;gt;&amp;amp;lt;DateFormat&amp;amp;gt;None&amp;amp;lt;/DateFormat&amp;amp;gt;&amp;amp;lt;RightHandSideExpression&amp;amp;gt;MFPR01007811&amp;amp;lt;/RightHandSideExpression&amp;amp;gt;&amp;amp;lt;IsSubquery&amp;amp;gt;Fa'"</definedName>
    <definedName name="_AMO_ContentDefinition_485496469.2768"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485496469.2769" hidden="1">"'t;None&amp;amp;lt;/DateFormat&amp;amp;gt;&amp;amp;lt;RightHandSideExpression&amp;amp;gt;MFPR01007813&amp;amp;lt;/RightHandSideExpression&amp;amp;gt;&amp;amp;lt;IsSubquery&amp;amp;gt;False&amp;amp;lt;/IsSubquery&amp;amp;gt;&amp;amp;lt;SubqueryTemplateName /&amp;amp;gt;&amp;amp;lt;/RHSItem&amp;amp;gt;&amp;amp;lt'"</definedName>
    <definedName name="_AMO_ContentDefinition_485496469.277" hidden="1">"'1007194',&amp;amp;#xD;&amp;amp;#xA;'MFPR01007195',&amp;amp;#xD;&amp;amp;#xA;'MFPR01007196',&amp;amp;#xD;&amp;amp;#xA;'MFPR01007197',&amp;amp;#xD;&amp;amp;#xA;'MFPR01007198',&amp;amp;#xD;&amp;amp;#xA;'MFPR01007199',&amp;amp;#xD;&amp;amp;#xA;'MFPR01007200',&amp;amp;#xD;&amp;amp;#xA;'MFPR01007201',&amp;amp;#xD;&amp;a'"</definedName>
    <definedName name="_AMO_ContentDefinition_485496469.2770" hidden="1">"';RHSItem&amp;amp;gt;&amp;amp;lt;RHSType&amp;amp;gt;EXPRESSION&amp;amp;lt;/RHSType&amp;amp;gt;&amp;amp;lt;AddQuotes&amp;amp;gt;True&amp;amp;lt;/AddQuotes&amp;amp;gt;&amp;amp;lt;DateFormat&amp;amp;gt;None&amp;amp;lt;/DateFormat&amp;amp;gt;&amp;amp;lt;RightHandSideExpression&amp;amp;gt;MFPR01007814&amp;amp;lt;/RightH'"</definedName>
    <definedName name="_AMO_ContentDefinition_485496469.2771"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485496469.2772" hidden="1">"'rue&amp;amp;lt;/AddQuotes&amp;amp;gt;&amp;amp;lt;DateFormat&amp;amp;gt;None&amp;amp;lt;/DateFormat&amp;amp;gt;&amp;amp;lt;RightHandSideExpression&amp;amp;gt;MFPR01007815&amp;amp;lt;/RightHandSideExpression&amp;amp;gt;&amp;amp;lt;IsSubquery&amp;amp;gt;False&amp;amp;lt;/IsSubquery&amp;amp;gt;&amp;amp;lt;Subquery'"</definedName>
    <definedName name="_AMO_ContentDefinition_485496469.2773"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485496469.2774" hidden="1">"'HandSideExpression&amp;amp;gt;MFPR01007816&amp;amp;lt;/RightHandSideExpression&amp;amp;gt;&amp;amp;lt;IsSubquery&amp;amp;gt;False&amp;amp;lt;/IsSubquery&amp;amp;gt;&amp;amp;lt;SubqueryTemplateName /&amp;amp;gt;&amp;amp;lt;/RHSItem&amp;amp;gt;&amp;amp;lt;RHSItem&amp;amp;gt;&amp;amp;lt;RHSType&amp;amp;gt;EXPRESS'"</definedName>
    <definedName name="_AMO_ContentDefinition_485496469.2775" hidden="1">"'ION&amp;amp;lt;/RHSType&amp;amp;gt;&amp;amp;lt;AddQuotes&amp;amp;gt;True&amp;amp;lt;/AddQuotes&amp;amp;gt;&amp;amp;lt;DateFormat&amp;amp;gt;None&amp;amp;lt;/DateFormat&amp;amp;gt;&amp;amp;lt;RightHandSideExpression&amp;amp;gt;MFPR01007817&amp;amp;lt;/RightHandSideExpression&amp;amp;gt;&amp;amp;lt;IsSubquery&amp;am'"</definedName>
    <definedName name="_AMO_ContentDefinition_485496469.2776"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485496469.2777" hidden="1">"'t&amp;amp;gt;None&amp;amp;lt;/DateFormat&amp;amp;gt;&amp;amp;lt;RightHandSideExpression&amp;amp;gt;MFPR01007819&amp;amp;lt;/RightHandSideExpression&amp;amp;gt;&amp;amp;lt;IsSubquery&amp;amp;gt;False&amp;amp;lt;/IsSubquery&amp;amp;gt;&amp;amp;lt;SubqueryTemplateName /&amp;amp;gt;&amp;amp;lt;/RHSItem&amp;amp;gt;'"</definedName>
    <definedName name="_AMO_ContentDefinition_485496469.2778" hidden="1">"'&amp;amp;lt;RHSItem&amp;amp;gt;&amp;amp;lt;RHSType&amp;amp;gt;EXPRESSION&amp;amp;lt;/RHSType&amp;amp;gt;&amp;amp;lt;AddQuotes&amp;amp;gt;True&amp;amp;lt;/AddQuotes&amp;amp;gt;&amp;amp;lt;DateFormat&amp;amp;gt;None&amp;amp;lt;/DateFormat&amp;amp;gt;&amp;amp;lt;RightHandSideExpression&amp;amp;gt;MFPR01007820&amp;amp;lt;'"</definedName>
    <definedName name="_AMO_ContentDefinition_485496469.2779"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485496469.278" hidden="1">"'mp;#xA;'MFPR01007202',&amp;amp;#xD;&amp;amp;#xA;'MFPR01007203',&amp;amp;#xD;&amp;amp;#xA;'MFPR01007204',&amp;amp;#xD;&amp;amp;#xA;'MFPR01007205',&amp;amp;#xD;&amp;amp;#xA;'MFPR01007206',&amp;amp;#xD;&amp;amp;#xA;'MFPR01007207',&amp;amp;#xD;&amp;amp;#xA;'MFPR01007208',&amp;amp;#xD;&amp;amp;#xA;'MFPR01007209'"</definedName>
    <definedName name="_AMO_ContentDefinition_485496469.2780" hidden="1">"'mp;gt;True&amp;amp;lt;/AddQuotes&amp;amp;gt;&amp;amp;lt;DateFormat&amp;amp;gt;None&amp;amp;lt;/DateFormat&amp;amp;gt;&amp;amp;lt;RightHandSideExpression&amp;amp;gt;MFPR01007821&amp;amp;lt;/RightHandSideExpression&amp;amp;gt;&amp;amp;lt;IsSubquery&amp;amp;gt;False&amp;amp;lt;/IsSubquery&amp;amp;gt;&amp;amp;lt;S'"</definedName>
    <definedName name="_AMO_ContentDefinition_485496469.2781"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485496469.2782" hidden="1">"'t;RightHandSideExpression&amp;amp;gt;MFPR01007822&amp;amp;lt;/RightHandSideExpression&amp;amp;gt;&amp;amp;lt;IsSubquery&amp;amp;gt;False&amp;amp;lt;/IsSubquery&amp;amp;gt;&amp;amp;lt;SubqueryTemplateName /&amp;amp;gt;&amp;amp;lt;/RHSItem&amp;amp;gt;&amp;amp;lt;RHSItem&amp;amp;gt;&amp;amp;lt;RHSType&amp;amp;gt;'"</definedName>
    <definedName name="_AMO_ContentDefinition_485496469.2783" hidden="1">"'EXPRESSION&amp;amp;lt;/RHSType&amp;amp;gt;&amp;amp;lt;AddQuotes&amp;amp;gt;True&amp;amp;lt;/AddQuotes&amp;amp;gt;&amp;amp;lt;DateFormat&amp;amp;gt;None&amp;amp;lt;/DateFormat&amp;amp;gt;&amp;amp;lt;RightHandSideExpression&amp;amp;gt;MFPR01007823&amp;amp;lt;/RightHandSideExpression&amp;amp;gt;&amp;amp;lt;IsSubq'"</definedName>
    <definedName name="_AMO_ContentDefinition_485496469.2784"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485496469.2785" hidden="1">"'teFormat&amp;amp;gt;None&amp;amp;lt;/DateFormat&amp;amp;gt;&amp;amp;lt;RightHandSideExpression&amp;amp;gt;MFPR01007824&amp;amp;lt;/RightHandSideExpression&amp;amp;gt;&amp;amp;lt;IsSubquery&amp;amp;gt;False&amp;amp;lt;/IsSubquery&amp;amp;gt;&amp;amp;lt;SubqueryTemplateName /&amp;amp;gt;&amp;amp;lt;/RHSItem&amp;'"</definedName>
    <definedName name="_AMO_ContentDefinition_485496469.2786" hidden="1">"'amp;gt;&amp;amp;lt;RHSItem&amp;amp;gt;&amp;amp;lt;RHSType&amp;amp;gt;EXPRESSION&amp;amp;lt;/RHSType&amp;amp;gt;&amp;amp;lt;AddQuotes&amp;amp;gt;True&amp;amp;lt;/AddQuotes&amp;amp;gt;&amp;amp;lt;DateFormat&amp;amp;gt;None&amp;amp;lt;/DateFormat&amp;amp;gt;&amp;amp;lt;RightHandSideExpression&amp;amp;gt;MFPR01007825&amp;'"</definedName>
    <definedName name="_AMO_ContentDefinition_485496469.2787"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485496469.2788" hidden="1">"'uotes&amp;amp;gt;True&amp;amp;lt;/AddQuotes&amp;amp;gt;&amp;amp;lt;DateFormat&amp;amp;gt;None&amp;amp;lt;/DateFormat&amp;amp;gt;&amp;amp;lt;RightHandSideExpression&amp;amp;gt;MFPR01007826&amp;amp;lt;/RightHandSideExpression&amp;amp;gt;&amp;amp;lt;IsSubquery&amp;amp;gt;False&amp;amp;lt;/IsSubquery&amp;amp;gt;&amp;a'"</definedName>
    <definedName name="_AMO_ContentDefinition_485496469.2789"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279" hidden="1">"'',&amp;amp;#xD;&amp;amp;#xA;'MFPR01007210',&amp;amp;#xD;&amp;amp;#xA;'MFPR01007211',&amp;amp;#xD;&amp;amp;#xA;'MFPR01007212',&amp;amp;#xD;&amp;amp;#xA;'MFPR01007213',&amp;amp;#xD;&amp;amp;#xA;'MFPR01007214',&amp;amp;#xD;&amp;amp;#xA;'MFPR01007215',&amp;amp;#xD;&amp;amp;#xA;'MFPR01007216',&amp;amp;#xD;&amp;amp;#xA;'"</definedName>
    <definedName name="_AMO_ContentDefinition_485496469.2790" hidden="1">"';&amp;amp;lt;RightHandSideExpression&amp;amp;gt;MFPR01007827&amp;amp;lt;/RightHandSideExpression&amp;amp;gt;&amp;amp;lt;IsSubquery&amp;amp;gt;False&amp;amp;lt;/IsSubquery&amp;amp;gt;&amp;amp;lt;SubqueryTemplateName /&amp;amp;gt;&amp;amp;lt;/RHSItem&amp;amp;gt;&amp;amp;lt;RHSItem&amp;amp;gt;&amp;amp;lt;RHSType&amp;'"</definedName>
    <definedName name="_AMO_ContentDefinition_485496469.2791" hidden="1">"'amp;gt;EXPRESSION&amp;amp;lt;/RHSType&amp;amp;gt;&amp;amp;lt;AddQuotes&amp;amp;gt;True&amp;amp;lt;/AddQuotes&amp;amp;gt;&amp;amp;lt;DateFormat&amp;amp;gt;None&amp;amp;lt;/DateFormat&amp;amp;gt;&amp;amp;lt;RightHandSideExpression&amp;amp;gt;MFPR01007828&amp;amp;lt;/RightHandSideExpression&amp;amp;gt;&amp;amp;lt'"</definedName>
    <definedName name="_AMO_ContentDefinition_485496469.2792"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485496469.2793" hidden="1">"'p;lt;DateFormat&amp;amp;gt;None&amp;amp;lt;/DateFormat&amp;amp;gt;&amp;amp;lt;RightHandSideExpression&amp;amp;gt;MFPR01007829&amp;amp;lt;/RightHandSideExpression&amp;amp;gt;&amp;amp;lt;IsSubquery&amp;amp;gt;False&amp;amp;lt;/IsSubquery&amp;amp;gt;&amp;amp;lt;SubqueryTemplateName /&amp;amp;gt;&amp;amp;lt;/R'"</definedName>
    <definedName name="_AMO_ContentDefinition_485496469.2794" hidden="1">"'HSItem&amp;amp;gt;&amp;amp;lt;RHSItem&amp;amp;gt;&amp;amp;lt;RHSType&amp;amp;gt;EXPRESSION&amp;amp;lt;/RHSType&amp;amp;gt;&amp;amp;lt;AddQuotes&amp;amp;gt;True&amp;amp;lt;/AddQuotes&amp;amp;gt;&amp;amp;lt;DateFormat&amp;amp;gt;None&amp;amp;lt;/DateFormat&amp;amp;gt;&amp;amp;lt;RightHandSideExpression&amp;amp;gt;MFPR01'"</definedName>
    <definedName name="_AMO_ContentDefinition_485496469.2795" hidden="1">"'007830&amp;amp;lt;/RightHandSideExpression&amp;amp;gt;&amp;amp;lt;IsSubquery&amp;amp;gt;False&amp;amp;lt;/IsSubquery&amp;amp;gt;&amp;amp;lt;SubqueryTemplateName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2796" hidden="1">"'lt;AddQuotes&amp;amp;gt;True&amp;amp;lt;/AddQuotes&amp;amp;gt;&amp;amp;lt;DateFormat&amp;amp;gt;None&amp;amp;lt;/DateFormat&amp;amp;gt;&amp;amp;lt;RightHandSideExpression&amp;amp;gt;MFPR01007831&amp;amp;lt;/RightHandSideExpression&amp;amp;gt;&amp;amp;lt;IsSubquery&amp;amp;gt;False&amp;amp;lt;/IsSubquery&amp;am'"</definedName>
    <definedName name="_AMO_ContentDefinition_485496469.2797"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485496469.2798" hidden="1">"'&amp;amp;gt;&amp;amp;lt;RightHandSideExpression&amp;amp;gt;MFPR01007832&amp;amp;lt;/RightHandSideExpression&amp;amp;gt;&amp;amp;lt;IsSubquery&amp;amp;gt;False&amp;amp;lt;/IsSubquery&amp;amp;gt;&amp;amp;lt;SubqueryTemplateName /&amp;amp;gt;&amp;amp;lt;/RHSItem&amp;amp;gt;&amp;amp;lt;RHSItem&amp;amp;gt;&amp;amp;lt;R'"</definedName>
    <definedName name="_AMO_ContentDefinition_485496469.2799" hidden="1">"'HSType&amp;amp;gt;EXPRESSION&amp;amp;lt;/RHSType&amp;amp;gt;&amp;amp;lt;AddQuotes&amp;amp;gt;True&amp;amp;lt;/AddQuotes&amp;amp;gt;&amp;amp;lt;DateFormat&amp;amp;gt;None&amp;amp;lt;/DateFormat&amp;amp;gt;&amp;amp;lt;RightHandSideExpression&amp;amp;gt;MFPR01007833&amp;amp;lt;/RightHandSideExpression&amp;amp;gt;'"</definedName>
    <definedName name="_AMO_ContentDefinition_485496469.28" hidden="1">"'6542',&amp;#xD;&amp;#xA;'MFPR01006543',&amp;#xD;&amp;#xA;'MFPR01006544',&amp;#xD;&amp;#xA;'MFPR01006545',&amp;#xD;&amp;#xA;'MFPR01006546',&amp;#xD;&amp;#xA;'MFPR01006547',&amp;#xD;&amp;#xA;'MFPR01006548',&amp;#xD;&amp;#xA;'MFPR01006549',&amp;#xD;&amp;#xA;'MFPR01006550',&amp;#xD;&amp;#xA;'MFPR01006551',&amp;#xD;&amp;#xA;'MFPR01006'"</definedName>
    <definedName name="_AMO_ContentDefinition_485496469.280" hidden="1">"''MFPR01007217',&amp;amp;#xD;&amp;amp;#xA;'MFPR01007218',&amp;amp;#xD;&amp;amp;#xA;'MFPR01007219',&amp;amp;#xD;&amp;amp;#xA;'MFPR01007220',&amp;amp;#xD;&amp;amp;#xA;'MFPR01007221',&amp;amp;#xD;&amp;amp;#xA;'MFPR01007222',&amp;amp;#xD;&amp;amp;#xA;'MFPR01007223',&amp;amp;#xD;&amp;amp;#xA;'MFPR01007224',&amp;amp;'"</definedName>
    <definedName name="_AMO_ContentDefinition_485496469.2800"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2801" hidden="1">"';gt;&amp;amp;lt;DateFormat&amp;amp;gt;None&amp;amp;lt;/DateFormat&amp;amp;gt;&amp;amp;lt;RightHandSideExpression&amp;amp;gt;MFPR01007834&amp;amp;lt;/RightHandSideExpression&amp;amp;gt;&amp;amp;lt;IsSubquery&amp;amp;gt;False&amp;amp;lt;/IsSubquery&amp;amp;gt;&amp;amp;lt;SubqueryTemplateName /&amp;amp;gt;&amp;am'"</definedName>
    <definedName name="_AMO_ContentDefinition_485496469.2802" hidden="1">"'p;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2803" hidden="1">"';MFPR01007835&amp;amp;lt;/RightHandSideExpression&amp;amp;gt;&amp;amp;lt;IsSubquery&amp;amp;gt;False&amp;amp;lt;/IsSubquery&amp;amp;gt;&amp;amp;lt;SubqueryTemplateName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485496469.2804" hidden="1">"'t;&amp;amp;lt;AddQuotes&amp;amp;gt;True&amp;amp;lt;/AddQuotes&amp;amp;gt;&amp;amp;lt;DateFormat&amp;amp;gt;None&amp;amp;lt;/DateFormat&amp;amp;gt;&amp;amp;lt;RightHandSideExpression&amp;amp;gt;MFPR01007836&amp;amp;lt;/RightHandSideExpression&amp;amp;gt;&amp;amp;lt;IsSubquery&amp;amp;gt;False&amp;amp;lt;/IsSubq'"</definedName>
    <definedName name="_AMO_ContentDefinition_485496469.2805"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485496469.2806" hidden="1">"'eFormat&amp;amp;gt;&amp;amp;lt;RightHandSideExpression&amp;amp;gt;MFPR01007837&amp;amp;lt;/RightHandSideExpression&amp;amp;gt;&amp;amp;lt;IsSubquery&amp;amp;gt;False&amp;amp;lt;/IsSubquery&amp;amp;gt;&amp;amp;lt;SubqueryTemplateName /&amp;amp;gt;&amp;amp;lt;/RHSItem&amp;amp;gt;&amp;amp;lt;RHSItem&amp;amp;gt;&amp;a'"</definedName>
    <definedName name="_AMO_ContentDefinition_485496469.2807" hidden="1">"'mp;lt;RHSType&amp;amp;gt;EXPRESSION&amp;amp;lt;/RHSType&amp;amp;gt;&amp;amp;lt;AddQuotes&amp;amp;gt;True&amp;amp;lt;/AddQuotes&amp;amp;gt;&amp;amp;lt;DateFormat&amp;amp;gt;None&amp;amp;lt;/DateFormat&amp;amp;gt;&amp;amp;lt;RightHandSideExpression&amp;amp;gt;MFPR01007838&amp;amp;lt;/RightHandSideExpression&amp;'"</definedName>
    <definedName name="_AMO_ContentDefinition_485496469.2808"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485496469.2809" hidden="1">"'tes&amp;amp;gt;&amp;amp;lt;DateFormat&amp;amp;gt;None&amp;amp;lt;/DateFormat&amp;amp;gt;&amp;amp;lt;RightHandSideExpression&amp;amp;gt;MFPR01007839&amp;amp;lt;/RightHandSideExpression&amp;amp;gt;&amp;amp;lt;IsSubquery&amp;amp;gt;False&amp;amp;lt;/IsSubquery&amp;amp;gt;&amp;amp;lt;SubqueryTemplateName /&amp;amp'"</definedName>
    <definedName name="_AMO_ContentDefinition_485496469.281" hidden="1">"'#xD;&amp;amp;#xA;'MFPR01007225',&amp;amp;#xD;&amp;amp;#xA;'MFPR01007226',&amp;amp;#xD;&amp;amp;#xA;'MFPR01007227',&amp;amp;#xD;&amp;amp;#xA;'MFPR01007228',&amp;amp;#xD;&amp;amp;#xA;'MFPR01007229',&amp;amp;#xD;&amp;amp;#xA;'MFPR01007230',&amp;amp;#xD;&amp;amp;#xA;'MFPR01007231',&amp;amp;#xD;&amp;amp;#xA;'MFPR01'"</definedName>
    <definedName name="_AMO_ContentDefinition_485496469.2810"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485496469.2811" hidden="1">"'&amp;amp;gt;MFPR01007840&amp;amp;lt;/RightHandSideExpression&amp;amp;gt;&amp;amp;lt;IsSubquery&amp;amp;gt;False&amp;amp;lt;/IsSubquery&amp;amp;gt;&amp;amp;lt;SubqueryTemplateName /&amp;amp;gt;&amp;amp;lt;/RHSItem&amp;amp;gt;&amp;amp;lt;RHSItem&amp;amp;gt;&amp;amp;lt;RHSType&amp;amp;gt;EXPRESSION&amp;amp;lt;/RHSTyp'"</definedName>
    <definedName name="_AMO_ContentDefinition_485496469.2812" hidden="1">"'e&amp;amp;gt;&amp;amp;lt;AddQuotes&amp;amp;gt;True&amp;amp;lt;/AddQuotes&amp;amp;gt;&amp;amp;lt;DateFormat&amp;amp;gt;None&amp;amp;lt;/DateFormat&amp;amp;gt;&amp;amp;lt;RightHandSideExpression&amp;amp;gt;MFPR01007841&amp;amp;lt;/RightHandSideExpression&amp;amp;gt;&amp;amp;lt;IsSubquery&amp;amp;gt;False&amp;amp;lt;'"</definedName>
    <definedName name="_AMO_ContentDefinition_485496469.2813"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2814" hidden="1">"'lt;/DateFormat&amp;amp;gt;&amp;amp;lt;RightHandSideExpression&amp;amp;gt;MFPR01007842&amp;amp;lt;/RightHandSideExpression&amp;amp;gt;&amp;amp;lt;IsSubquery&amp;amp;gt;False&amp;amp;lt;/IsSubquery&amp;amp;gt;&amp;amp;lt;SubqueryTemplateName /&amp;amp;gt;&amp;amp;lt;/RHSItem&amp;amp;gt;&amp;amp;lt;RHSItem&amp;am'"</definedName>
    <definedName name="_AMO_ContentDefinition_485496469.2815" hidden="1">"'p;gt;&amp;amp;lt;RHSType&amp;amp;gt;EXPRESSION&amp;amp;lt;/RHSType&amp;amp;gt;&amp;amp;lt;AddQuotes&amp;amp;gt;True&amp;amp;lt;/AddQuotes&amp;amp;gt;&amp;amp;lt;DateFormat&amp;amp;gt;None&amp;amp;lt;/DateFormat&amp;amp;gt;&amp;amp;lt;RightHandSideExpression&amp;amp;gt;MFPR01007843&amp;amp;lt;/RightHandSideExpr'"</definedName>
    <definedName name="_AMO_ContentDefinition_485496469.2816"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2817" hidden="1">"'/AddQuotes&amp;amp;gt;&amp;amp;lt;DateFormat&amp;amp;gt;None&amp;amp;lt;/DateFormat&amp;amp;gt;&amp;amp;lt;RightHandSideExpression&amp;amp;gt;MFPR01007844&amp;amp;lt;/RightHandSideExpression&amp;amp;gt;&amp;amp;lt;IsSubquery&amp;amp;gt;False&amp;amp;lt;/IsSubquery&amp;amp;gt;&amp;amp;lt;SubqueryTemplateNam'"</definedName>
    <definedName name="_AMO_ContentDefinition_485496469.2818"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485496469.2819" hidden="1">"'ression&amp;amp;gt;MFPR01007845&amp;amp;lt;/RightHandSideExpression&amp;amp;gt;&amp;amp;lt;IsSubquery&amp;amp;gt;False&amp;amp;lt;/IsSubquery&amp;amp;gt;&amp;amp;lt;SubqueryTemplateName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282" hidden="1">"'007232',&amp;amp;#xD;&amp;amp;#xA;'MFPR01007233',&amp;amp;#xD;&amp;amp;#xA;'MFPR01007234',&amp;amp;#xD;&amp;amp;#xA;'MFPR01007235',&amp;amp;#xD;&amp;amp;#xA;'MFPR01007236',&amp;amp;#xD;&amp;amp;#xA;'MFPR01007237',&amp;amp;#xD;&amp;amp;#xA;'MFPR01007238',&amp;amp;#xD;&amp;amp;#xA;'MFPR01007239',&amp;amp;#xD;&amp;am'"</definedName>
    <definedName name="_AMO_ContentDefinition_485496469.2820" hidden="1">"'/RHSType&amp;amp;gt;&amp;amp;lt;AddQuotes&amp;amp;gt;True&amp;amp;lt;/AddQuotes&amp;amp;gt;&amp;amp;lt;DateFormat&amp;amp;gt;None&amp;amp;lt;/DateFormat&amp;amp;gt;&amp;amp;lt;RightHandSideExpression&amp;amp;gt;MFPR01007846&amp;amp;lt;/RightHandSideExpression&amp;amp;gt;&amp;amp;lt;IsSubquery&amp;amp;gt;False&amp;'"</definedName>
    <definedName name="_AMO_ContentDefinition_485496469.2821"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485496469.2822" hidden="1">"'ne&amp;amp;lt;/DateFormat&amp;amp;gt;&amp;amp;lt;RightHandSideExpression&amp;amp;gt;MFPR01007847&amp;amp;lt;/RightHandSideExpression&amp;amp;gt;&amp;amp;lt;IsSubquery&amp;amp;gt;False&amp;amp;lt;/IsSubquery&amp;amp;gt;&amp;amp;lt;SubqueryTemplateName /&amp;amp;gt;&amp;amp;lt;/RHSItem&amp;amp;gt;&amp;amp;lt;RHS'"</definedName>
    <definedName name="_AMO_ContentDefinition_485496469.2823" hidden="1">"'Item&amp;amp;gt;&amp;amp;lt;RHSType&amp;amp;gt;EXPRESSION&amp;amp;lt;/RHSType&amp;amp;gt;&amp;amp;lt;AddQuotes&amp;amp;gt;True&amp;amp;lt;/AddQuotes&amp;amp;gt;&amp;amp;lt;DateFormat&amp;amp;gt;None&amp;amp;lt;/DateFormat&amp;amp;gt;&amp;amp;lt;RightHandSideExpression&amp;amp;gt;MFPR01007848&amp;amp;lt;/RightHandS'"</definedName>
    <definedName name="_AMO_ContentDefinition_485496469.2824"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485496469.2825" hidden="1">"'amp;lt;/AddQuotes&amp;amp;gt;&amp;amp;lt;DateFormat&amp;amp;gt;None&amp;amp;lt;/DateFormat&amp;amp;gt;&amp;amp;lt;RightHandSideExpression&amp;amp;gt;MFPR01007849&amp;amp;lt;/RightHandSideExpression&amp;amp;gt;&amp;amp;lt;IsSubquery&amp;amp;gt;False&amp;amp;lt;/IsSubquery&amp;amp;gt;&amp;amp;lt;SubqueryTemp'"</definedName>
    <definedName name="_AMO_ContentDefinition_485496469.2826"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485496469.2827" hidden="1">"'SideExpression&amp;amp;gt;MFPR01007850&amp;amp;lt;/RightHandSideExpression&amp;amp;gt;&amp;amp;lt;IsSubquery&amp;amp;gt;False&amp;amp;lt;/IsSubquery&amp;amp;gt;&amp;amp;lt;SubqueryTemplateName /&amp;amp;gt;&amp;amp;lt;/RHSItem&amp;amp;gt;&amp;amp;lt;RHSItem&amp;amp;gt;&amp;amp;lt;RHSType&amp;amp;gt;EXPRESSION&amp;'"</definedName>
    <definedName name="_AMO_ContentDefinition_485496469.2828" hidden="1">"'amp;lt;/RHSType&amp;amp;gt;&amp;amp;lt;AddQuotes&amp;amp;gt;True&amp;amp;lt;/AddQuotes&amp;amp;gt;&amp;amp;lt;DateFormat&amp;amp;gt;None&amp;amp;lt;/DateFormat&amp;amp;gt;&amp;amp;lt;RightHandSideExpression&amp;amp;gt;MFPR01007851&amp;amp;lt;/RightHandSideExpression&amp;amp;gt;&amp;amp;lt;IsSubquery&amp;amp;gt'"</definedName>
    <definedName name="_AMO_ContentDefinition_485496469.2829" hidden="1">"';False&amp;amp;lt;/IsSubquery&amp;amp;gt;&amp;amp;lt;SubqueryTemplateName /&amp;amp;gt;&amp;amp;lt;/RHSItem&amp;amp;gt;&amp;amp;lt;/RightHandSideItems&amp;amp;gt;&amp;amp;lt;/RightHandSide&amp;amp;gt;&amp;amp;lt;IsCaseSensitive&amp;amp;gt;True&amp;amp;lt;/IsCaseSensitive&amp;amp;gt;&amp;amp;lt;/Node&amp;amp;gt;&amp;am'"</definedName>
    <definedName name="_AMO_ContentDefinition_485496469.283" hidden="1">"'p;#xA;'MFPR01007240',&amp;amp;#xD;&amp;amp;#xA;'MFPR01007241',&amp;amp;#xD;&amp;amp;#xA;'MFPR01007242',&amp;amp;#xD;&amp;amp;#xA;'MFPR01007243',&amp;amp;#xD;&amp;amp;#xA;'MFPR01007244',&amp;amp;#xD;&amp;amp;#xA;'MFPR01007245',&amp;amp;#xD;&amp;amp;#xA;'MFPR01007246',&amp;amp;#xD;&amp;amp;#xA;'MFPR01007247''"</definedName>
    <definedName name="_AMO_ContentDefinition_485496469.2830" hidden="1">"'p;lt;/SiblingLink&amp;amp;gt;&amp;amp;lt;Operator&amp;amp;gt;CONTAINS&amp;amp;lt;/Operator&amp;amp;gt;&amp;amp;lt;UseMacroFunction&amp;amp;gt;False&amp;amp;lt;/UseMacroFunction&amp;amp;gt;&amp;amp;lt;Not&amp;amp;gt;False&amp;amp;lt;/Not&amp;amp;gt;&amp;amp;lt;Label /&amp;amp;gt;&amp;amp;lt;RightHandSide&amp;amp;gt;&amp;am'"</definedName>
    <definedName name="_AMO_ContentDefinition_485496469.2831" hidden="1">"'p;lt;RightHandSideNumType&amp;amp;gt;SINGLE&amp;amp;lt;/RightHandSideNumType&amp;amp;gt;&amp;amp;lt;RightHandSideItems&amp;amp;gt;&amp;amp;lt;RHSItem&amp;amp;gt;&amp;amp;lt;RHSType&amp;amp;gt;EXPRESSION&amp;amp;lt;/RHSType&amp;amp;gt;&amp;amp;lt;AddQuotes&amp;amp;gt;True&amp;amp;lt;/AddQuotes&amp;amp;gt;&amp;amp;l'"</definedName>
    <definedName name="_AMO_ContentDefinition_485496469.2832" hidden="1">"'t;DateFormat&amp;amp;gt;None&amp;amp;lt;/DateFormat&amp;amp;gt;&amp;amp;lt;RightHandSideExpression&amp;amp;gt;ECCU&amp;amp;lt;/RightHandSideExpression&amp;amp;gt;&amp;amp;lt;IsSubquery&amp;amp;gt;False&amp;amp;lt;/IsSubquery&amp;amp;gt;&amp;amp;lt;SubqueryTemplateName /&amp;amp;gt;&amp;amp;lt;/RHSItem&amp;amp;'"</definedName>
    <definedName name="_AMO_ContentDefinition_485496469.2833" hidden="1">"'gt;&amp;amp;lt;/RightHandSideItems&amp;amp;gt;&amp;amp;lt;/RightHandSide&amp;amp;gt;&amp;amp;lt;IsCaseSensitive&amp;amp;gt;True&amp;amp;lt;/IsCaseSensitive&amp;amp;gt;&amp;amp;lt;/Node&amp;amp;gt;&amp;amp;lt;/SiblingLink&amp;amp;gt;&amp;amp;lt;Operator&amp;amp;gt;=&amp;amp;lt;/Operator&amp;amp;gt;&amp;amp;lt;UseMacroF'"</definedName>
    <definedName name="_AMO_ContentDefinition_485496469.2834" hidden="1">"'unction&amp;amp;gt;False&amp;amp;lt;/UseMacroFunction&amp;amp;gt;&amp;amp;lt;Not&amp;amp;gt;False&amp;amp;lt;/Not&amp;amp;gt;&amp;amp;lt;Label /&amp;amp;gt;&amp;amp;lt;RightHandSide&amp;amp;gt;&amp;amp;lt;RightHandSideNumType&amp;amp;gt;SINGLE&amp;amp;lt;/RightHandSideNumType&amp;amp;gt;&amp;amp;lt;RightHandSideIt'"</definedName>
    <definedName name="_AMO_ContentDefinition_485496469.2835" hidden="1">"'ems&amp;amp;gt;&amp;amp;lt;RHSItem&amp;amp;gt;&amp;amp;lt;RHSType&amp;amp;gt;EXPRESSION&amp;amp;lt;/RHSType&amp;amp;gt;&amp;amp;lt;AddQuotes&amp;amp;gt;True&amp;amp;lt;/AddQuotes&amp;amp;gt;&amp;amp;lt;DateFormat&amp;amp;gt;None&amp;amp;lt;/DateFormat&amp;amp;gt;&amp;amp;lt;RightHandSideExpression&amp;amp;gt;M&amp;amp;lt;'"</definedName>
    <definedName name="_AMO_ContentDefinition_485496469.2836" hidden="1">"'/RightHandSideExpression&amp;amp;gt;&amp;amp;lt;IsSubquery&amp;amp;gt;False&amp;amp;lt;/IsSubquery&amp;amp;gt;&amp;amp;lt;SubqueryTemplateName /&amp;amp;gt;&amp;amp;lt;/RHSItem&amp;amp;gt;&amp;amp;lt;/RightHandSideItems&amp;amp;gt;&amp;amp;lt;/RightHandSide&amp;amp;gt;&amp;amp;lt;IsCaseSensitive&amp;amp;gt;Tru'"</definedName>
    <definedName name="_AMO_ContentDefinition_485496469.2837" hidden="1">"'e&amp;amp;lt;/IsCaseSensitive&amp;amp;gt;&amp;amp;lt;/Node&amp;amp;gt;&amp;amp;lt;/SiblingLink&amp;amp;gt;&amp;amp;lt;Operator&amp;amp;gt;&amp;amp;amp;gt;=&amp;amp;lt;/Operator&amp;amp;gt;&amp;amp;lt;UseMacroFunction&amp;amp;gt;False&amp;amp;lt;/UseMacroFunction&amp;amp;gt;&amp;amp;lt;Not&amp;amp;gt;False&amp;amp;lt;/Not&amp;'"</definedName>
    <definedName name="_AMO_ContentDefinition_485496469.2838" hidden="1">"'amp;gt;&amp;amp;lt;Label /&amp;amp;gt;&amp;amp;lt;RightHandSide&amp;amp;gt;&amp;amp;lt;RightHandSideNumType&amp;amp;gt;SINGLE&amp;amp;lt;/RightHandSideNumType&amp;amp;gt;&amp;amp;lt;RightHandSideItems&amp;amp;gt;&amp;amp;lt;RHSItem&amp;amp;gt;&amp;amp;lt;RHSType&amp;amp;gt;EXPRESSION&amp;amp;lt;/RHSType&amp;amp;gt'"</definedName>
    <definedName name="_AMO_ContentDefinition_485496469.2839" hidden="1">"';&amp;amp;lt;AddQuotes&amp;amp;gt;False&amp;amp;lt;/AddQuotes&amp;amp;gt;&amp;amp;lt;DateFormat&amp;amp;gt;Literal&amp;amp;lt;/DateFormat&amp;amp;gt;&amp;amp;lt;RightHandSideExpression&amp;amp;gt;01/31/2020&amp;amp;lt;/RightHandSideExpression&amp;amp;gt;&amp;amp;lt;IsSubquery&amp;amp;gt;False&amp;amp;lt;/IsSub'"</definedName>
    <definedName name="_AMO_ContentDefinition_485496469.284" hidden="1">"',&amp;amp;#xD;&amp;amp;#xA;'MFPR01007248',&amp;amp;#xD;&amp;amp;#xA;'MFPR01007249',&amp;amp;#xD;&amp;amp;#xA;'MFPR01007250',&amp;amp;#xD;&amp;amp;#xA;'MFPR01007251',&amp;amp;#xD;&amp;amp;#xA;'MFPR01007252',&amp;amp;#xD;&amp;amp;#xA;'MFPR01007253',&amp;amp;#xD;&amp;amp;#xA;'MFPR01007254',&amp;amp;#xD;&amp;amp;#xA;''"</definedName>
    <definedName name="_AMO_ContentDefinition_485496469.2840" hidden="1">"'query&amp;amp;gt;&amp;amp;lt;SubqueryTemplateName /&amp;amp;gt;&amp;amp;lt;/RHSItem&amp;amp;gt;&amp;amp;lt;/RightHandSideItems&amp;amp;gt;&amp;amp;lt;/RightHandSide&amp;amp;gt;&amp;amp;lt;IsCaseSensitive&amp;amp;gt;True&amp;amp;lt;/IsCaseSensitive&amp;amp;gt;&amp;amp;lt;/Node&amp;amp;gt;&amp;amp;lt;/SiblingLink&amp;am'"</definedName>
    <definedName name="_AMO_ContentDefinition_485496469.2841" hidden="1">"'p;gt;&amp;amp;lt;Operator&amp;amp;gt;IN&amp;amp;lt;/Operator&amp;amp;gt;&amp;amp;lt;UseMacroFunction&amp;amp;gt;False&amp;amp;lt;/UseMacroFunction&amp;amp;gt;&amp;amp;lt;Not&amp;amp;gt;False&amp;amp;lt;/Not&amp;amp;gt;&amp;amp;lt;Label /&amp;amp;gt;&amp;amp;lt;RightHandSide&amp;amp;gt;&amp;amp;lt;RightHandSideNumType&amp;'"</definedName>
    <definedName name="_AMO_ContentDefinition_485496469.2842" hidden="1">"'amp;gt;LIST&amp;amp;lt;/RightHandSideNumType&amp;amp;gt;&amp;amp;lt;RightHandSideItems&amp;amp;gt;&amp;amp;lt;RHSItem&amp;amp;gt;&amp;amp;lt;RHSType&amp;amp;gt;EXPRESSION&amp;amp;lt;/RHSType&amp;amp;gt;&amp;amp;lt;AddQuotes&amp;amp;gt;True&amp;amp;lt;/AddQuotes&amp;amp;gt;&amp;amp;lt;DateFormat&amp;amp;gt;None&amp;amp'"</definedName>
    <definedName name="_AMO_ContentDefinition_485496469.2843" hidden="1">"';lt;/DateFormat&amp;amp;gt;&amp;amp;lt;RightHandSideExpression&amp;amp;gt;Country&amp;amp;lt;/RightHandSideExpression&amp;amp;gt;&amp;amp;lt;IsSubquery&amp;amp;gt;False&amp;amp;lt;/IsSubquery&amp;amp;gt;&amp;amp;lt;SubqueryTemplateName /&amp;amp;gt;&amp;amp;lt;/RHSItem&amp;amp;gt;&amp;amp;lt;/RightHandSide'"</definedName>
    <definedName name="_AMO_ContentDefinition_485496469.2844" hidden="1">"'Items&amp;amp;gt;&amp;amp;lt;/RightHandSide&amp;amp;gt;&amp;amp;lt;IsCaseSensitive&amp;amp;gt;True&amp;amp;lt;/IsCaseSensitive&amp;amp;gt;&amp;amp;lt;/TreeRoot&amp;amp;gt;&amp;amp;lt;/FilterTree&amp;amp;gt;&amp;quot; Sort=&amp;quot;entity_id ASC,  date_dt ASC,  indicator_id ASC&amp;quot; ColSelFlg=&amp;quot;0&amp;'"</definedName>
    <definedName name="_AMO_ContentDefinition_485496469.2845" hidden="1">"'quot; DNA=&amp;quot;&amp;amp;lt;DNA&amp;amp;gt;&amp;amp;#xD;&amp;amp;#xA;  &amp;amp;lt;Type&amp;amp;gt;Dataset&amp;amp;lt;/Type&amp;amp;gt;&amp;amp;#xD;&amp;amp;#xA;  &amp;amp;lt;Name&amp;amp;gt;validation_metrics_prior10_view&amp;amp;lt;/Name&amp;amp;gt;&amp;amp;#xD;&amp;amp;#xA;  &amp;amp;lt;Version&amp;amp;gt;1&amp;amp;lt;/Ver'"</definedName>
    <definedName name="_AMO_ContentDefinition_485496469.2846" hidden="1">"'sion&amp;amp;gt;&amp;amp;#xD;&amp;amp;#xA;  &amp;amp;lt;Assembly&amp;amp;gt;SAS.EG.SDS.Model&amp;amp;lt;/Assembly&amp;amp;gt;&amp;amp;#xD;&amp;amp;#xA;  &amp;amp;lt;Factory&amp;amp;gt;SAS.EG.SDS.Model.Creator&amp;amp;lt;/Factory&amp;amp;gt;&amp;amp;#xD;&amp;amp;#xA;  &amp;amp;lt;ParentName&amp;amp;gt;Metrics Data&amp;amp;'"</definedName>
    <definedName name="_AMO_ContentDefinition_485496469.2847" hidden="1">"'lt;/ParentName&amp;amp;gt;&amp;amp;#xD;&amp;amp;#xA;  &amp;amp;lt;Server&amp;amp;gt;SASApp&amp;amp;lt;/Server&amp;amp;gt;&amp;amp;#xD;&amp;amp;#xA;  &amp;amp;lt;Library&amp;amp;gt;Metrics Data&amp;amp;lt;/Library&amp;amp;gt;&amp;amp;#xD;&amp;amp;#xA;&amp;amp;lt;/DNA&amp;amp;gt;&amp;quot; Name=&amp;quot;validation_metrics_prio'"</definedName>
    <definedName name="_AMO_ContentDefinition_485496469.2848" hidden="1">"'r10_view&amp;quot;&amp;gt;&amp;#xD;&amp;#xA;&amp;lt;Cols&amp;gt;&amp;#xD;&amp;#xA;&amp;lt;cn&amp;gt;entity_id&amp;lt;/cn&amp;gt;&amp;#xD;&amp;#xA;&amp;lt;cn&amp;gt;entity_short_nm&amp;lt;/cn&amp;gt;&amp;#xD;&amp;#xA;&amp;lt;cn&amp;gt;frequency_cd&amp;lt;/cn&amp;gt;&amp;#xD;&amp;#xA;&amp;lt;cn&amp;gt;indicator_id&amp;lt;/cn&amp;gt;&amp;#xD;&amp;#xA;&amp;lt;cn&amp;gt;output_label&amp;lt;/cn'"</definedName>
    <definedName name="_AMO_ContentDefinition_485496469.2849" hidden="1">"'&amp;gt;&amp;#xD;&amp;#xA;&amp;lt;cn&amp;gt;date_dt&amp;lt;/cn&amp;gt;&amp;#xD;&amp;#xA;&amp;lt;cn&amp;gt;reporting_amount&amp;lt;/cn&amp;gt;&amp;#xD;&amp;#xA;&amp;lt;/Cols&amp;gt;&amp;#xD;&amp;#xA;&amp;lt;ColOrd&amp;gt;&amp;#xD;&amp;#xA;&amp;lt;cn&amp;gt;entity_id&amp;lt;/cn&amp;gt;&amp;#xD;&amp;#xA;&amp;lt;cn&amp;gt;entity_short_nm&amp;lt;/cn&amp;gt;&amp;#xD;&amp;#xA;&amp;lt;cn&amp;gt;frequency'"</definedName>
    <definedName name="_AMO_ContentDefinition_485496469.285" hidden="1">"'MFPR01007255',&amp;amp;#xD;&amp;amp;#xA;'MFPR01007256',&amp;amp;#xD;&amp;amp;#xA;'MFPR01007257',&amp;amp;#xD;&amp;amp;#xA;'MFPR01007258',&amp;amp;#xD;&amp;amp;#xA;'MFPR01007259',&amp;amp;#xD;&amp;amp;#xA;'MFPR01007260',&amp;amp;#xD;&amp;amp;#xA;'MFPR01007261',&amp;amp;#xD;&amp;amp;#xA;'MFPR01007262',&amp;amp;#'"</definedName>
    <definedName name="_AMO_ContentDefinition_485496469.2850" hidden="1">"'_cd&amp;lt;/cn&amp;gt;&amp;#xD;&amp;#xA;&amp;lt;cn&amp;gt;indicator_id&amp;lt;/cn&amp;gt;&amp;#xD;&amp;#xA;&amp;lt;cn&amp;gt;output_label&amp;lt;/cn&amp;gt;&amp;#xD;&amp;#xA;&amp;lt;cn&amp;gt;date_dt&amp;lt;/cn&amp;gt;&amp;#xD;&amp;#xA;&amp;lt;cn&amp;gt;reporting_amount&amp;lt;/cn&amp;gt;&amp;#xD;&amp;#xA;&amp;lt;cn&amp;gt;frequency_nm&amp;lt;/cn&amp;gt;&amp;#xD;&amp;#xA;&amp;lt;cn&amp;gt;sta'"</definedName>
    <definedName name="_AMO_ContentDefinition_485496469.2851" hidden="1">"'tus_cd&amp;lt;/cn&amp;gt;&amp;#xD;&amp;#xA;&amp;lt;cn&amp;gt;submitted_dttm&amp;lt;/cn&amp;gt;&amp;#xD;&amp;#xA;&amp;lt;cn&amp;gt;macro_data_cd&amp;lt;/cn&amp;gt;&amp;#xD;&amp;#xA;&amp;lt;cn&amp;gt;unit&amp;lt;/cn&amp;gt;&amp;#xD;&amp;#xA;&amp;lt;cn&amp;gt;type&amp;lt;/cn&amp;gt;&amp;#xD;&amp;#xA;&amp;lt;cn&amp;gt;year_quarter_nm&amp;lt;/cn&amp;gt;&amp;#xD;&amp;#xA;&amp;lt;cn&amp;gt;year_mont'"</definedName>
    <definedName name="_AMO_ContentDefinition_485496469.2852" hidden="1">"'h_nm&amp;lt;/cn&amp;gt;&amp;#xD;&amp;#xA;&amp;lt;cn&amp;gt;calendar_date_sas&amp;lt;/cn&amp;gt;&amp;#xD;&amp;#xA;&amp;lt;cn&amp;gt;country_cd&amp;lt;/cn&amp;gt;&amp;#xD;&amp;#xA;&amp;lt;cn&amp;gt;entity_submitter_type&amp;lt;/cn&amp;gt;&amp;#xD;&amp;#xA;&amp;lt;cn&amp;gt;vgroup_fl&amp;lt;/cn&amp;gt;&amp;#xD;&amp;#xA;&amp;lt;cn&amp;gt;fiscal_year_end_mo&amp;lt;/cn&amp;gt;&amp;#xD;&amp;'"</definedName>
    <definedName name="_AMO_ContentDefinition_485496469.2853" hidden="1">"'#xA;&amp;lt;cn&amp;gt;country_nm&amp;lt;/cn&amp;gt;&amp;#xD;&amp;#xA;&amp;lt;cn&amp;gt;form_id&amp;lt;/cn&amp;gt;&amp;#xD;&amp;#xA;&amp;lt;cn&amp;gt;form_nm&amp;lt;/cn&amp;gt;&amp;#xD;&amp;#xA;&amp;lt;/ColOrd&amp;gt;&amp;#xD;&amp;#xA;&amp;lt;/SasDataSource&amp;gt;"" /&gt;_x000D_
  &lt;param n=""ExcelTableColumnCount"" v=""7"" /&gt;_x000D_
  &lt;param n=""ExcelTableRow'"</definedName>
    <definedName name="_AMO_ContentDefinition_485496469.2854" hidden="1">"'Count"" v=""133656"" /&gt;_x000D_
  &lt;param n=""DataRowCount"" v=""133656"" /&gt;_x000D_
  &lt;param n=""DataColCount"" v=""7"" /&gt;_x000D_
  &lt;param n=""ObsColumn"" v=""false"" /&gt;_x000D_
  &lt;param n=""ExcelFormattingHash"" v=""-1723195863"" /&gt;_x000D_
  &lt;param n=""ExcelFormatting"" v=""Automat'"</definedName>
    <definedName name="_AMO_ContentDefinition_485496469.2855" hidden="1">"'ic"" /&gt;_x000D_
  &lt;ExcelXMLOptions AdjColWidths=""True"" RowOpt=""InsertCells"" ColOpt=""InsertCells"" /&gt;_x000D_
&lt;/ContentDefinition&gt;'"</definedName>
    <definedName name="_AMO_ContentDefinition_485496469.2856" hidden="1">"'amp;lt;/DateFormat&amp;amp;gt;&amp;amp;lt;RightHandSideExpression xml:space=&amp;amp;quot;preserve&amp;amp;quot;&amp;amp;gt;MFPR01007727&amp;amp;lt;/RightHandSideExpression&amp;amp;gt;&amp;amp;lt;IsSubquery&amp;amp;gt;False&amp;amp;lt;/IsSubquery&amp;amp;gt;&amp;amp;lt;SubqueryTemplateName /&amp;amp;gt'"</definedName>
    <definedName name="_AMO_ContentDefinition_485496469.2857" hidden="1">"';&amp;amp;lt;/RHSItem&amp;amp;gt;&amp;amp;lt;RHSItem&amp;amp;gt;&amp;amp;lt;RHSType&amp;amp;gt;EXPRESSION&amp;amp;lt;/RHSType&amp;amp;gt;&amp;amp;lt;AddQuotes&amp;amp;gt;True&amp;amp;lt;/AddQuotes&amp;amp;gt;&amp;amp;lt;DateFormat&amp;amp;gt;None&amp;amp;lt;/DateFormat&amp;amp;gt;&amp;amp;lt;RightHandSideExpression xm'"</definedName>
    <definedName name="_AMO_ContentDefinition_485496469.2858" hidden="1">"'l:space=&amp;amp;quot;preserve&amp;amp;quot;&amp;amp;gt;MFPR01007728&amp;amp;lt;/RightHandSideExpression&amp;amp;gt;&amp;amp;lt;IsSubquery&amp;amp;gt;False&amp;amp;lt;/IsSubquery&amp;amp;gt;&amp;amp;lt;SubqueryTemplateName /&amp;amp;gt;&amp;amp;lt;/RHSItem&amp;amp;gt;&amp;amp;lt;RHSItem&amp;amp;gt;&amp;amp;lt;RHST'"</definedName>
    <definedName name="_AMO_ContentDefinition_485496469.2859" hidden="1">"'ype&amp;amp;gt;EXPRESSION&amp;amp;lt;/RHSType&amp;amp;gt;&amp;amp;lt;AddQuotes&amp;amp;gt;True&amp;amp;lt;/AddQuotes&amp;amp;gt;&amp;amp;lt;DateFormat&amp;amp;gt;None&amp;amp;lt;/DateFormat&amp;amp;gt;&amp;amp;lt;RightHandSideExpression xml:space=&amp;amp;quot;preserve&amp;amp;quot;&amp;amp;gt;MFPR01007729&amp;amp'"</definedName>
    <definedName name="_AMO_ContentDefinition_485496469.286" hidden="1">"'xD;&amp;amp;#xA;'MFPR01007263',&amp;amp;#xD;&amp;amp;#xA;'MFPR01007264',&amp;amp;#xD;&amp;amp;#xA;'MFPR01007265',&amp;amp;#xD;&amp;amp;#xA;'MFPR01007266',&amp;amp;#xD;&amp;amp;#xA;'MFPR01007267',&amp;amp;#xD;&amp;amp;#xA;'MFPR01007268',&amp;amp;#xD;&amp;amp;#xA;'MFPR01007269',&amp;amp;#xD;&amp;amp;#xA;'MFPR010'"</definedName>
    <definedName name="_AMO_ContentDefinition_485496469.2860"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485496469.2861" hidden="1">"'es&amp;amp;gt;True&amp;amp;lt;/AddQuotes&amp;amp;gt;&amp;amp;lt;DateFormat&amp;amp;gt;None&amp;amp;lt;/DateFormat&amp;amp;gt;&amp;amp;lt;RightHandSideExpression xml:space=&amp;amp;quot;preserve&amp;amp;quot;&amp;amp;gt;MFPR01007730&amp;amp;lt;/RightHandSideExpression&amp;amp;gt;&amp;amp;lt;IsSubquery&amp;amp;g'"</definedName>
    <definedName name="_AMO_ContentDefinition_485496469.2862"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485496469.2863" hidden="1">"'mp;gt;None&amp;amp;lt;/DateFormat&amp;amp;gt;&amp;amp;lt;RightHandSideExpression xml:space=&amp;amp;quot;preserve&amp;amp;quot;&amp;amp;gt;MFPR01007731&amp;amp;lt;/RightHandSideExpression&amp;amp;gt;&amp;amp;lt;IsSubquery&amp;amp;gt;False&amp;amp;lt;/IsSubquery&amp;amp;gt;&amp;amp;lt;SubqueryTemplateNa'"</definedName>
    <definedName name="_AMO_ContentDefinition_485496469.2864"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485496469.2865" hidden="1">"'pression xml:space=&amp;amp;quot;preserve&amp;amp;quot;&amp;amp;gt;MFPR01007732&amp;amp;lt;/RightHandSideExpression&amp;amp;gt;&amp;amp;lt;IsSubquery&amp;amp;gt;False&amp;amp;lt;/IsSubquery&amp;amp;gt;&amp;amp;lt;SubqueryTemplateName /&amp;amp;gt;&amp;amp;lt;/RHSItem&amp;amp;gt;&amp;amp;lt;RHSItem&amp;amp;gt;&amp;'"</definedName>
    <definedName name="_AMO_ContentDefinition_485496469.2866" hidden="1">"'amp;lt;RHSType&amp;amp;gt;EXPRESSION&amp;amp;lt;/RHSType&amp;amp;gt;&amp;amp;lt;AddQuotes&amp;amp;gt;True&amp;amp;lt;/AddQuotes&amp;amp;gt;&amp;amp;lt;DateFormat&amp;amp;gt;None&amp;amp;lt;/DateFormat&amp;amp;gt;&amp;amp;lt;RightHandSideExpression xml:space=&amp;amp;quot;preserve&amp;amp;quot;&amp;amp;gt;MFPR0'"</definedName>
    <definedName name="_AMO_ContentDefinition_485496469.2867" hidden="1">"'1007733&amp;amp;lt;/RightHandSideExpression&amp;amp;gt;&amp;amp;lt;IsSubquery&amp;amp;gt;False&amp;amp;lt;/IsSubquery&amp;amp;gt;&amp;amp;lt;SubqueryTemplateName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2868" hidden="1">"';lt;AddQuotes&amp;amp;gt;True&amp;amp;lt;/AddQuotes&amp;amp;gt;&amp;amp;lt;DateFormat&amp;amp;gt;None&amp;amp;lt;/DateFormat&amp;amp;gt;&amp;amp;lt;RightHandSideExpression xml:space=&amp;amp;quot;preserve&amp;amp;quot;&amp;amp;gt;MFPR01007734&amp;amp;lt;/RightHandSideExpression&amp;amp;gt;&amp;amp;lt;IsSub'"</definedName>
    <definedName name="_AMO_ContentDefinition_485496469.2869"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485496469.287" hidden="1">"'07270',&amp;amp;#xD;&amp;amp;#xA;'MFPR01007271',&amp;amp;#xD;&amp;amp;#xA;'MFPR01007272',&amp;amp;#xD;&amp;amp;#xA;'MFPR01007273',&amp;amp;#xD;&amp;amp;#xA;'MFPR01007274',&amp;amp;#xD;&amp;amp;#xA;'MFPR01007275',&amp;amp;#xD;&amp;amp;#xA;'MFPR01007276',&amp;amp;#xD;&amp;amp;#xA;'MFPR01007277',&amp;amp;#xD;&amp;amp'"</definedName>
    <definedName name="_AMO_ContentDefinition_485496469.2870" hidden="1">"'ateFormat&amp;amp;gt;None&amp;amp;lt;/DateFormat&amp;amp;gt;&amp;amp;lt;RightHandSideExpression xml:space=&amp;amp;quot;preserve&amp;amp;quot;&amp;amp;gt;MFPR01007735&amp;amp;lt;/RightHandSideExpression&amp;amp;gt;&amp;amp;lt;IsSubquery&amp;amp;gt;False&amp;amp;lt;/IsSubquery&amp;amp;gt;&amp;amp;lt;Subquer'"</definedName>
    <definedName name="_AMO_ContentDefinition_485496469.2871"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485496469.2872" hidden="1">"'tHandSideExpression xml:space=&amp;amp;quot;preserve&amp;amp;quot;&amp;amp;gt;MFPR01007736&amp;amp;lt;/RightHandSideExpression&amp;amp;gt;&amp;amp;lt;IsSubquery&amp;amp;gt;False&amp;amp;lt;/IsSubquery&amp;amp;gt;&amp;amp;lt;SubqueryTemplateName /&amp;amp;gt;&amp;amp;lt;/RHSItem&amp;amp;gt;&amp;amp;lt;RHSIt'"</definedName>
    <definedName name="_AMO_ContentDefinition_485496469.2873" hidden="1">"'em&amp;amp;gt;&amp;amp;lt;RHSType&amp;amp;gt;EXPRESSION&amp;amp;lt;/RHSType&amp;amp;gt;&amp;amp;lt;AddQuotes&amp;amp;gt;True&amp;amp;lt;/AddQuotes&amp;amp;gt;&amp;amp;lt;DateFormat&amp;amp;gt;None&amp;amp;lt;/DateFormat&amp;amp;gt;&amp;amp;lt;RightHandSideExpression xml:space=&amp;amp;quot;preserve&amp;amp;quot;&amp;a'"</definedName>
    <definedName name="_AMO_ContentDefinition_485496469.2874" hidden="1">"'mp;gt;MFPR01007737&amp;amp;lt;/RightHandSideExpression&amp;amp;gt;&amp;amp;lt;IsSubquery&amp;amp;gt;False&amp;amp;lt;/IsSubquery&amp;amp;gt;&amp;amp;lt;SubqueryTemplateName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485496469.2875" hidden="1">"'amp;gt;&amp;amp;lt;AddQuotes&amp;amp;gt;True&amp;amp;lt;/AddQuotes&amp;amp;gt;&amp;amp;lt;DateFormat&amp;amp;gt;None&amp;amp;lt;/DateFormat&amp;amp;gt;&amp;amp;lt;RightHandSideExpression xml:space=&amp;amp;quot;preserve&amp;amp;quot;&amp;amp;gt;MFPR01007738&amp;amp;lt;/RightHandSideExpression&amp;amp;gt;&amp;a'"</definedName>
    <definedName name="_AMO_ContentDefinition_485496469.2876"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485496469.2877" hidden="1">"'t;&amp;amp;lt;DateFormat&amp;amp;gt;None&amp;amp;lt;/DateFormat&amp;amp;gt;&amp;amp;lt;RightHandSideExpression xml:space=&amp;amp;quot;preserve&amp;amp;quot;&amp;amp;gt;MFPR01007739&amp;amp;lt;/RightHandSideExpression&amp;amp;gt;&amp;amp;lt;IsSubquery&amp;amp;gt;False&amp;amp;lt;/IsSubquery&amp;amp;gt;&amp;amp'"</definedName>
    <definedName name="_AMO_ContentDefinition_485496469.2878"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485496469.2879" hidden="1">"'amp;lt;RightHandSideExpression xml:space=&amp;amp;quot;preserve&amp;amp;quot;&amp;amp;gt;MFPR01007740&amp;amp;lt;/RightHandSideExpression&amp;amp;gt;&amp;amp;lt;IsSubquery&amp;amp;gt;False&amp;amp;lt;/IsSubquery&amp;amp;gt;&amp;amp;lt;SubqueryTemplateName /&amp;amp;gt;&amp;amp;lt;/RHSItem&amp;amp;gt;&amp;a'"</definedName>
    <definedName name="_AMO_ContentDefinition_485496469.288" hidden="1">"';#xA;'MFPR01007278',&amp;amp;#xD;&amp;amp;#xA;'MFPR01007279',&amp;amp;#xD;&amp;amp;#xA;'MFPR01007280',&amp;amp;#xD;&amp;amp;#xA;'MFPR01007281',&amp;amp;#xD;&amp;amp;#xA;'MFPR01007282',&amp;amp;#xD;&amp;amp;#xA;'MFPR01007283',&amp;amp;#xD;&amp;amp;#xA;'MFPR01007284',&amp;amp;#xD;&amp;amp;#xA;'MFPR01007285','"</definedName>
    <definedName name="_AMO_ContentDefinition_485496469.2880" hidden="1">"'mp;lt;RHSItem&amp;amp;gt;&amp;amp;lt;RHSType&amp;amp;gt;EXPRESSION&amp;amp;lt;/RHSType&amp;amp;gt;&amp;amp;lt;AddQuotes&amp;amp;gt;True&amp;amp;lt;/AddQuotes&amp;amp;gt;&amp;amp;lt;DateFormat&amp;amp;gt;None&amp;amp;lt;/DateFormat&amp;amp;gt;&amp;amp;lt;RightHandSideExpression xml:space=&amp;amp;quot;preserve&amp;'"</definedName>
    <definedName name="_AMO_ContentDefinition_485496469.2881" hidden="1">"'amp;quot;&amp;amp;gt;MFPR01007741&amp;amp;lt;/RightHandSideExpression&amp;amp;gt;&amp;amp;lt;IsSubquery&amp;amp;gt;False&amp;amp;lt;/IsSubquery&amp;amp;gt;&amp;amp;lt;SubqueryTemplateName /&amp;amp;gt;&amp;amp;lt;/RHSItem&amp;amp;gt;&amp;amp;lt;RHSItem&amp;amp;gt;&amp;amp;lt;RHSType&amp;amp;gt;EXPRESSION&amp;amp;l'"</definedName>
    <definedName name="_AMO_ContentDefinition_485496469.2882" hidden="1">"'t;/RHSType&amp;amp;gt;&amp;amp;lt;AddQuotes&amp;amp;gt;True&amp;amp;lt;/AddQuotes&amp;amp;gt;&amp;amp;lt;DateFormat&amp;amp;gt;None&amp;amp;lt;/DateFormat&amp;amp;gt;&amp;amp;lt;RightHandSideExpression xml:space=&amp;amp;quot;preserve&amp;amp;quot;&amp;amp;gt;MFPR01007742&amp;amp;lt;/RightHandSideExpressio'"</definedName>
    <definedName name="_AMO_ContentDefinition_485496469.2883"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485496469.2884" hidden="1">"'uotes&amp;amp;gt;&amp;amp;lt;DateFormat&amp;amp;gt;None&amp;amp;lt;/DateFormat&amp;amp;gt;&amp;amp;lt;RightHandSideExpression xml:space=&amp;amp;quot;preserve&amp;amp;quot;&amp;amp;gt;MFPR01007743&amp;amp;lt;/RightHandSideExpression&amp;amp;gt;&amp;amp;lt;IsSubquery&amp;amp;gt;False&amp;amp;lt;/IsSubquery&amp;'"</definedName>
    <definedName name="_AMO_ContentDefinition_485496469.2885"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485496469.2886" hidden="1">"'at&amp;amp;gt;&amp;amp;lt;RightHandSideExpression xml:space=&amp;amp;quot;preserve&amp;amp;quot;&amp;amp;gt;MFPR01007744&amp;amp;lt;/RightHandSideExpression&amp;amp;gt;&amp;amp;lt;IsSubquery&amp;amp;gt;False&amp;amp;lt;/IsSubquery&amp;amp;gt;&amp;amp;lt;SubqueryTemplateName /&amp;amp;gt;&amp;amp;lt;/RHSIte'"</definedName>
    <definedName name="_AMO_ContentDefinition_485496469.2887" hidden="1">"'m&amp;amp;gt;&amp;amp;lt;RHSItem&amp;amp;gt;&amp;amp;lt;RHSType&amp;amp;gt;EXPRESSION&amp;amp;lt;/RHSType&amp;amp;gt;&amp;amp;lt;AddQuotes&amp;amp;gt;True&amp;amp;lt;/AddQuotes&amp;amp;gt;&amp;amp;lt;DateFormat&amp;amp;gt;None&amp;amp;lt;/DateFormat&amp;amp;gt;&amp;amp;lt;RightHandSideExpression xml:space=&amp;amp;quo'"</definedName>
    <definedName name="_AMO_ContentDefinition_485496469.2888" hidden="1">"'t;preserve&amp;amp;quot;&amp;amp;gt;MFPR01007745&amp;amp;lt;/RightHandSideExpression&amp;amp;gt;&amp;amp;lt;IsSubquery&amp;amp;gt;False&amp;amp;lt;/IsSubquery&amp;amp;gt;&amp;amp;lt;SubqueryTemplateName /&amp;amp;gt;&amp;amp;lt;/RHSItem&amp;amp;gt;&amp;amp;lt;RHSItem&amp;amp;gt;&amp;amp;lt;RHSType&amp;amp;gt;EXPRE'"</definedName>
    <definedName name="_AMO_ContentDefinition_485496469.2889" hidden="1">"'SSION&amp;amp;lt;/RHSType&amp;amp;gt;&amp;amp;lt;AddQuotes&amp;amp;gt;True&amp;amp;lt;/AddQuotes&amp;amp;gt;&amp;amp;lt;DateFormat&amp;amp;gt;None&amp;amp;lt;/DateFormat&amp;amp;gt;&amp;amp;lt;RightHandSideExpression xml:space=&amp;amp;quot;preserve&amp;amp;quot;&amp;amp;gt;MFPR01007746&amp;amp;lt;/RightHandSi'"</definedName>
    <definedName name="_AMO_ContentDefinition_485496469.289" hidden="1">"'&amp;amp;#xD;&amp;amp;#xA;'MFPR01007286',&amp;amp;#xD;&amp;amp;#xA;'MFPR01007287',&amp;amp;#xD;&amp;amp;#xA;'MFPR01007288',&amp;amp;#xD;&amp;amp;#xA;'MFPR01007289',&amp;amp;#xD;&amp;amp;#xA;'MFPR01007290',&amp;amp;#xD;&amp;amp;#xA;'MFPR01007291',&amp;amp;#xD;&amp;amp;#xA;'MFPR01007292',&amp;amp;#xD;&amp;amp;#xA;'M'"</definedName>
    <definedName name="_AMO_ContentDefinition_485496469.2890"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485496469.2891" hidden="1">"'mp;lt;/AddQuotes&amp;amp;gt;&amp;amp;lt;DateFormat&amp;amp;gt;None&amp;amp;lt;/DateFormat&amp;amp;gt;&amp;amp;lt;RightHandSideExpression xml:space=&amp;amp;quot;preserve&amp;amp;quot;&amp;amp;gt;MFPR01007747&amp;amp;lt;/RightHandSideExpression&amp;amp;gt;&amp;amp;lt;IsSubquery&amp;amp;gt;False&amp;amp;lt;/'"</definedName>
    <definedName name="_AMO_ContentDefinition_485496469.2892"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485496469.2893" hidden="1">"'t;/DateFormat&amp;amp;gt;&amp;amp;lt;RightHandSideExpression xml:space=&amp;amp;quot;preserve&amp;amp;quot;&amp;amp;gt;MFPR01007748&amp;amp;lt;/RightHandSideExpression&amp;amp;gt;&amp;amp;lt;IsSubquery&amp;amp;gt;False&amp;amp;lt;/IsSubquery&amp;amp;gt;&amp;amp;lt;SubqueryTemplateName /&amp;amp;gt;&amp;amp'"</definedName>
    <definedName name="_AMO_ContentDefinition_485496469.2894" hidden="1">"';lt;/RHSItem&amp;amp;gt;&amp;amp;lt;RHSItem&amp;amp;gt;&amp;amp;lt;RHSType&amp;amp;gt;EXPRESSION&amp;amp;lt;/RHSType&amp;amp;gt;&amp;amp;lt;AddQuotes&amp;amp;gt;True&amp;amp;lt;/AddQuotes&amp;amp;gt;&amp;amp;lt;DateFormat&amp;amp;gt;None&amp;amp;lt;/DateFormat&amp;amp;gt;&amp;amp;lt;RightHandSideExpression xml:spa'"</definedName>
    <definedName name="_AMO_ContentDefinition_485496469.2895" hidden="1">"'ce=&amp;amp;quot;preserve&amp;amp;quot;&amp;amp;gt;MFPR01007749&amp;amp;lt;/RightHandSideExpression&amp;amp;gt;&amp;amp;lt;IsSubquery&amp;amp;gt;False&amp;amp;lt;/IsSubquery&amp;amp;gt;&amp;amp;lt;SubqueryTemplateName /&amp;amp;gt;&amp;amp;lt;/RHSItem&amp;amp;gt;&amp;amp;lt;RHSItem&amp;amp;gt;&amp;amp;lt;RHSType&amp;a'"</definedName>
    <definedName name="_AMO_ContentDefinition_485496469.2896" hidden="1">"'mp;gt;EXPRESSION&amp;amp;lt;/RHSType&amp;amp;gt;&amp;amp;lt;AddQuotes&amp;amp;gt;True&amp;amp;lt;/AddQuotes&amp;amp;gt;&amp;amp;lt;DateFormat&amp;amp;gt;None&amp;amp;lt;/DateFormat&amp;amp;gt;&amp;amp;lt;RightHandSideExpression xml:space=&amp;amp;quot;preserve&amp;amp;quot;&amp;amp;gt;MFPR01007750&amp;amp;lt;/'"</definedName>
    <definedName name="_AMO_ContentDefinition_485496469.2897"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485496469.2898" hidden="1">"'p;gt;True&amp;amp;lt;/AddQuotes&amp;amp;gt;&amp;amp;lt;DateFormat&amp;amp;gt;None&amp;amp;lt;/DateFormat&amp;amp;gt;&amp;amp;lt;RightHandSideExpression xml:space=&amp;amp;quot;preserve&amp;amp;quot;&amp;amp;gt;MFPR01007751&amp;amp;lt;/RightHandSideExpression&amp;amp;gt;&amp;amp;lt;IsSubquery&amp;amp;gt;Fal'"</definedName>
    <definedName name="_AMO_ContentDefinition_485496469.2899"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29" hidden="1">"'552',&amp;#xD;&amp;#xA;'MFPR01006553',&amp;#xD;&amp;#xA;'MFPR01006554',&amp;#xD;&amp;#xA;'MFPR01006555',&amp;#xD;&amp;#xA;'MFPR01006556',&amp;#xD;&amp;#xA;'MFPR01006557',&amp;#xD;&amp;#xA;'MFPR01006558',&amp;#xD;&amp;#xA;'MFPR01006559',&amp;#xD;&amp;#xA;'MFPR01006560',&amp;#xD;&amp;#xA;'MFPR01006561',&amp;#xD;&amp;#xA;'MFPR010065'"</definedName>
    <definedName name="_AMO_ContentDefinition_485496469.290" hidden="1">"'FPR01007293',&amp;amp;#xD;&amp;amp;#xA;'MFPR01007294',&amp;amp;#xD;&amp;amp;#xA;'MFPR01007295',&amp;amp;#xD;&amp;amp;#xA;'MFPR01007296',&amp;amp;#xD;&amp;amp;#xA;'MFPR01007297',&amp;amp;#xD;&amp;amp;#xA;'MFPR01007298',&amp;amp;#xD;&amp;amp;#xA;'MFPR01007299',&amp;amp;#xD;&amp;amp;#xA;'MFPR01007300',&amp;amp;#x'"</definedName>
    <definedName name="_AMO_ContentDefinition_485496469.2900" hidden="1">"';None&amp;amp;lt;/DateFormat&amp;amp;gt;&amp;amp;lt;RightHandSideExpression xml:space=&amp;amp;quot;preserve&amp;amp;quot;&amp;amp;gt;MFPR01007752&amp;amp;lt;/RightHandSideExpression&amp;amp;gt;&amp;amp;lt;IsSubquery&amp;amp;gt;False&amp;amp;lt;/IsSubquery&amp;amp;gt;&amp;amp;lt;SubqueryTemplateName /&amp;'"</definedName>
    <definedName name="_AMO_ContentDefinition_485496469.2901"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485496469.2902" hidden="1">"'ion xml:space=&amp;amp;quot;preserve&amp;amp;quot;&amp;amp;gt;MFPR01007753&amp;amp;lt;/RightHandSideExpression&amp;amp;gt;&amp;amp;lt;IsSubquery&amp;amp;gt;False&amp;amp;lt;/IsSubquery&amp;amp;gt;&amp;amp;lt;SubqueryTemplateName /&amp;amp;gt;&amp;amp;lt;/RHSItem&amp;amp;gt;&amp;amp;lt;RHSItem&amp;amp;gt;&amp;amp;l'"</definedName>
    <definedName name="_AMO_ContentDefinition_485496469.2903" hidden="1">"'t;RHSType&amp;amp;gt;EXPRESSION&amp;amp;lt;/RHSType&amp;amp;gt;&amp;amp;lt;AddQuotes&amp;amp;gt;True&amp;amp;lt;/AddQuotes&amp;amp;gt;&amp;amp;lt;DateFormat&amp;amp;gt;None&amp;amp;lt;/DateFormat&amp;amp;gt;&amp;amp;lt;RightHandSideExpression xml:space=&amp;amp;quot;preserve&amp;amp;quot;&amp;amp;gt;MFPR010077'"</definedName>
    <definedName name="_AMO_ContentDefinition_485496469.2904" hidden="1">"'54&amp;amp;lt;/RightHandSideExpression&amp;amp;gt;&amp;amp;lt;IsSubquery&amp;amp;gt;False&amp;amp;lt;/IsSubquery&amp;amp;gt;&amp;amp;lt;SubqueryTemplateName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485496469.2905" hidden="1">"'ddQuotes&amp;amp;gt;True&amp;amp;lt;/AddQuotes&amp;amp;gt;&amp;amp;lt;DateFormat&amp;amp;gt;None&amp;amp;lt;/DateFormat&amp;amp;gt;&amp;amp;lt;RightHandSideExpression xml:space=&amp;amp;quot;preserve&amp;amp;quot;&amp;amp;gt;MFPR01007755&amp;amp;lt;/RightHandSideExpression&amp;amp;gt;&amp;amp;lt;IsSubquery'"</definedName>
    <definedName name="_AMO_ContentDefinition_485496469.2906"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485496469.2907" hidden="1">"'rmat&amp;amp;gt;None&amp;amp;lt;/DateFormat&amp;amp;gt;&amp;amp;lt;RightHandSideExpression xml:space=&amp;amp;quot;preserve&amp;amp;quot;&amp;amp;gt;MFPR01007756&amp;amp;lt;/RightHandSideExpression&amp;amp;gt;&amp;amp;lt;IsSubquery&amp;amp;gt;False&amp;amp;lt;/IsSubquery&amp;amp;gt;&amp;amp;lt;SubqueryTemp'"</definedName>
    <definedName name="_AMO_ContentDefinition_485496469.2908"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485496469.2909" hidden="1">"'SideExpression xml:space=&amp;amp;quot;preserve&amp;amp;quot;&amp;amp;gt;MFPR01007757&amp;amp;lt;/RightHandSideExpression&amp;amp;gt;&amp;amp;lt;IsSubquery&amp;amp;gt;False&amp;amp;lt;/IsSubquery&amp;amp;gt;&amp;amp;lt;SubqueryTemplateName /&amp;amp;gt;&amp;amp;lt;/RHSItem&amp;amp;gt;&amp;amp;lt;RHSItem&amp;am'"</definedName>
    <definedName name="_AMO_ContentDefinition_485496469.291" hidden="1">"'D;&amp;amp;#xA;'MFPR01007301',&amp;amp;#xD;&amp;amp;#xA;'MFPR01007302',&amp;amp;#xD;&amp;amp;#xA;'MFPR01007303',&amp;amp;#xD;&amp;amp;#xA;'MFPR01007304',&amp;amp;#xD;&amp;amp;#xA;'MFPR01007305',&amp;amp;#xD;&amp;amp;#xA;'MFPR01007306',&amp;amp;#xD;&amp;amp;#xA;'MFPR01007307',&amp;amp;#xD;&amp;amp;#xA;'MFPR0100'"</definedName>
    <definedName name="_AMO_ContentDefinition_485496469.2910"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485496469.2911" hidden="1">"';MFPR01007758&amp;amp;lt;/RightHandSideExpression&amp;amp;gt;&amp;amp;lt;IsSubquery&amp;amp;gt;False&amp;amp;lt;/IsSubquery&amp;amp;gt;&amp;amp;lt;SubqueryTemplateName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485496469.2912" hidden="1">"'t;&amp;amp;lt;AddQuotes&amp;amp;gt;True&amp;amp;lt;/AddQuotes&amp;amp;gt;&amp;amp;lt;DateFormat&amp;amp;gt;None&amp;amp;lt;/DateFormat&amp;amp;gt;&amp;amp;lt;RightHandSideExpression xml:space=&amp;amp;quot;preserve&amp;amp;quot;&amp;amp;gt;MFPR01007759&amp;amp;lt;/RightHandSideExpression&amp;amp;gt;&amp;amp;lt'"</definedName>
    <definedName name="_AMO_ContentDefinition_485496469.2913"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485496469.2914" hidden="1">"'p;lt;DateFormat&amp;amp;gt;None&amp;amp;lt;/DateFormat&amp;amp;gt;&amp;amp;lt;RightHandSideExpression xml:space=&amp;amp;quot;preserve&amp;amp;quot;&amp;amp;gt;MFPR01007760&amp;amp;lt;/RightHandSideExpression&amp;amp;gt;&amp;amp;lt;IsSubquery&amp;amp;gt;False&amp;amp;lt;/IsSubquery&amp;amp;gt;&amp;amp;lt;S'"</definedName>
    <definedName name="_AMO_ContentDefinition_485496469.2915"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485496469.2916" hidden="1">"'t;RightHandSideExpression xml:space=&amp;amp;quot;preserve&amp;amp;quot;&amp;amp;gt;MFPR01007761&amp;amp;lt;/RightHandSideExpression&amp;amp;gt;&amp;amp;lt;IsSubquery&amp;amp;gt;False&amp;amp;lt;/IsSubquery&amp;amp;gt;&amp;amp;lt;SubqueryTemplateName /&amp;amp;gt;&amp;amp;lt;/RHSItem&amp;amp;gt;&amp;amp;lt'"</definedName>
    <definedName name="_AMO_ContentDefinition_485496469.2917" hidden="1">"';RHSItem&amp;amp;gt;&amp;amp;lt;RHSType&amp;amp;gt;EXPRESSION&amp;amp;lt;/RHSType&amp;amp;gt;&amp;amp;lt;AddQuotes&amp;amp;gt;True&amp;amp;lt;/AddQuotes&amp;amp;gt;&amp;amp;lt;DateFormat&amp;amp;gt;None&amp;amp;lt;/DateFormat&amp;amp;gt;&amp;amp;lt;RightHandSideExpression xml:space=&amp;amp;quot;preserve&amp;amp;q'"</definedName>
    <definedName name="_AMO_ContentDefinition_485496469.2918" hidden="1">"'uot;&amp;amp;gt;MFPR01007762&amp;amp;lt;/RightHandSideExpression&amp;amp;gt;&amp;amp;lt;IsSubquery&amp;amp;gt;False&amp;amp;lt;/IsSubquery&amp;amp;gt;&amp;amp;lt;SubqueryTemplateName /&amp;amp;gt;&amp;amp;lt;/RHSItem&amp;amp;gt;&amp;amp;lt;RHSItem&amp;amp;gt;&amp;amp;lt;RHSType&amp;amp;gt;EXPRESSION&amp;amp;lt;/RH'"</definedName>
    <definedName name="_AMO_ContentDefinition_485496469.2919" hidden="1">"'SType&amp;amp;gt;&amp;amp;lt;AddQuotes&amp;amp;gt;True&amp;amp;lt;/AddQuotes&amp;amp;gt;&amp;amp;lt;DateFormat&amp;amp;gt;None&amp;amp;lt;/DateFormat&amp;amp;gt;&amp;amp;lt;RightHandSideExpression xml:space=&amp;amp;quot;preserve&amp;amp;quot;&amp;amp;gt;MFPR01007763&amp;amp;lt;/RightHandSideExpression&amp;amp'"</definedName>
    <definedName name="_AMO_ContentDefinition_485496469.292" hidden="1">"'7308',&amp;amp;#xD;&amp;amp;#xA;'MFPR01007309',&amp;amp;#xD;&amp;amp;#xA;'MFPR01007310',&amp;amp;#xD;&amp;amp;#xA;'MFPR01007311',&amp;amp;#xD;&amp;amp;#xA;'MFPR01007312',&amp;amp;#xD;&amp;amp;#xA;'MFPR01007313',&amp;amp;#xD;&amp;amp;#xA;'MFPR01007314',&amp;amp;#xD;&amp;amp;#xA;'MFPR01007315',&amp;amp;#xD;&amp;amp;'"</definedName>
    <definedName name="_AMO_ContentDefinition_485496469.2920"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485496469.2921" hidden="1">"'&amp;amp;gt;&amp;amp;lt;DateFormat&amp;amp;gt;None&amp;amp;lt;/DateFormat&amp;amp;gt;&amp;amp;lt;RightHandSideExpression xml:space=&amp;amp;quot;preserve&amp;amp;quot;&amp;amp;gt;MFPR01007764&amp;amp;lt;/RightHandSideExpression&amp;amp;gt;&amp;amp;lt;IsSubquery&amp;amp;gt;False&amp;amp;lt;/IsSubquery&amp;amp;g'"</definedName>
    <definedName name="_AMO_ContentDefinition_485496469.2922"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485496469.2923" hidden="1">"'p;gt;&amp;amp;lt;RightHandSideExpression xml:space=&amp;amp;quot;preserve&amp;amp;quot;&amp;amp;gt;MFPR01007765&amp;amp;lt;/RightHandSideExpression&amp;amp;gt;&amp;amp;lt;IsSubquery&amp;amp;gt;False&amp;amp;lt;/IsSubquery&amp;amp;gt;&amp;amp;lt;SubqueryTemplateName /&amp;amp;gt;&amp;amp;lt;/RHSItem&amp;amp'"</definedName>
    <definedName name="_AMO_ContentDefinition_485496469.2924" hidden="1">"';gt;&amp;amp;lt;RHSItem&amp;amp;gt;&amp;amp;lt;RHSType&amp;amp;gt;EXPRESSION&amp;amp;lt;/RHSType&amp;amp;gt;&amp;amp;lt;AddQuotes&amp;amp;gt;True&amp;amp;lt;/AddQuotes&amp;amp;gt;&amp;amp;lt;DateFormat&amp;amp;gt;None&amp;amp;lt;/DateFormat&amp;amp;gt;&amp;amp;lt;RightHandSideExpression xml:space=&amp;amp;quot;pre'"</definedName>
    <definedName name="_AMO_ContentDefinition_485496469.2925" hidden="1">"'serve&amp;amp;quot;&amp;amp;gt;MFPR01007766&amp;amp;lt;/RightHandSideExpression&amp;amp;gt;&amp;amp;lt;IsSubquery&amp;amp;gt;False&amp;amp;lt;/IsSubquery&amp;amp;gt;&amp;amp;lt;SubqueryTemplateName /&amp;amp;gt;&amp;amp;lt;/RHSItem&amp;amp;gt;&amp;amp;lt;RHSItem&amp;amp;gt;&amp;amp;lt;RHSType&amp;amp;gt;EXPRESSION'"</definedName>
    <definedName name="_AMO_ContentDefinition_485496469.2926" hidden="1">"'&amp;amp;lt;/RHSType&amp;amp;gt;&amp;amp;lt;AddQuotes&amp;amp;gt;True&amp;amp;lt;/AddQuotes&amp;amp;gt;&amp;amp;lt;DateFormat&amp;amp;gt;None&amp;amp;lt;/DateFormat&amp;amp;gt;&amp;amp;lt;RightHandSideExpression xml:space=&amp;amp;quot;preserve&amp;amp;quot;&amp;amp;gt;MFPR01007767&amp;amp;lt;/RightHandSideExp'"</definedName>
    <definedName name="_AMO_ContentDefinition_485496469.2927"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2928" hidden="1">"';/AddQuotes&amp;amp;gt;&amp;amp;lt;DateFormat&amp;amp;gt;None&amp;amp;lt;/DateFormat&amp;amp;gt;&amp;amp;lt;RightHandSideExpression xml:space=&amp;amp;quot;preserve&amp;amp;quot;&amp;amp;gt;MFPR01007768&amp;amp;lt;/RightHandSideExpression&amp;amp;gt;&amp;amp;lt;IsSubquery&amp;amp;gt;False&amp;amp;lt;/IsSub'"</definedName>
    <definedName name="_AMO_ContentDefinition_485496469.2929"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485496469.293" hidden="1">"'#xA;'MFPR01007316',&amp;amp;#xD;&amp;amp;#xA;'MFPR01007317',&amp;amp;#xD;&amp;amp;#xA;'MFPR01007318',&amp;amp;#xD;&amp;amp;#xA;'MFPR01007319',&amp;amp;#xD;&amp;amp;#xA;'MFPR01007320',&amp;amp;#xD;&amp;amp;#xA;'MFPR01007321',&amp;amp;#xD;&amp;amp;#xA;'MFPR01007322',&amp;amp;#xD;&amp;amp;#xA;'MFPR01007323',&amp;'"</definedName>
    <definedName name="_AMO_ContentDefinition_485496469.2930" hidden="1">"'teFormat&amp;amp;gt;&amp;amp;lt;RightHandSideExpression xml:space=&amp;amp;quot;preserve&amp;amp;quot;&amp;amp;gt;MFPR01007769&amp;amp;lt;/RightHandSideExpression&amp;amp;gt;&amp;amp;lt;IsSubquery&amp;amp;gt;False&amp;amp;lt;/IsSubquery&amp;amp;gt;&amp;amp;lt;SubqueryTemplateName /&amp;amp;gt;&amp;amp;lt;/'"</definedName>
    <definedName name="_AMO_ContentDefinition_485496469.2931" hidden="1">"'RHSItem&amp;amp;gt;&amp;amp;lt;RHSItem&amp;amp;gt;&amp;amp;lt;RHSType&amp;amp;gt;EXPRESSION&amp;amp;lt;/RHSType&amp;amp;gt;&amp;amp;lt;AddQuotes&amp;amp;gt;True&amp;amp;lt;/AddQuotes&amp;amp;gt;&amp;amp;lt;DateFormat&amp;amp;gt;None&amp;amp;lt;/DateFormat&amp;amp;gt;&amp;amp;lt;RightHandSideExpression xml:space=&amp;a'"</definedName>
    <definedName name="_AMO_ContentDefinition_485496469.2932" hidden="1">"'mp;quot;preserve&amp;amp;quot;&amp;amp;gt;MFPR01007770&amp;amp;lt;/RightHandSideExpression&amp;amp;gt;&amp;amp;lt;IsSubquery&amp;amp;gt;False&amp;amp;lt;/IsSubquery&amp;amp;gt;&amp;amp;lt;SubqueryTemplateName /&amp;amp;gt;&amp;amp;lt;/RHSItem&amp;amp;gt;&amp;amp;lt;RHSItem&amp;amp;gt;&amp;amp;lt;RHSType&amp;amp;gt'"</definedName>
    <definedName name="_AMO_ContentDefinition_485496469.2933" hidden="1">"';EXPRESSION&amp;amp;lt;/RHSType&amp;amp;gt;&amp;amp;lt;AddQuotes&amp;amp;gt;True&amp;amp;lt;/AddQuotes&amp;amp;gt;&amp;amp;lt;DateFormat&amp;amp;gt;None&amp;amp;lt;/DateFormat&amp;amp;gt;&amp;amp;lt;RightHandSideExpression xml:space=&amp;amp;quot;preserve&amp;amp;quot;&amp;amp;gt;MFPR01007771&amp;amp;lt;/Right'"</definedName>
    <definedName name="_AMO_ContentDefinition_485496469.2934"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2935" hidden="1">"'True&amp;amp;lt;/AddQuotes&amp;amp;gt;&amp;amp;lt;DateFormat&amp;amp;gt;None&amp;amp;lt;/DateFormat&amp;amp;gt;&amp;amp;lt;RightHandSideExpression xml:space=&amp;amp;quot;preserve&amp;amp;quot;&amp;amp;gt;MFPR01007772&amp;amp;lt;/RightHandSideExpression&amp;amp;gt;&amp;amp;lt;IsSubquery&amp;amp;gt;False&amp;am'"</definedName>
    <definedName name="_AMO_ContentDefinition_485496469.2936"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485496469.2937" hidden="1">"'&amp;amp;lt;/DateFormat&amp;amp;gt;&amp;amp;lt;RightHandSideExpression xml:space=&amp;amp;quot;preserve&amp;amp;quot;&amp;amp;gt;MFPR01007773&amp;amp;lt;/RightHandSideExpression&amp;amp;gt;&amp;amp;lt;IsSubquery&amp;amp;gt;False&amp;amp;lt;/IsSubquery&amp;amp;gt;&amp;amp;lt;SubqueryTemplateName /&amp;amp;g'"</definedName>
    <definedName name="_AMO_ContentDefinition_485496469.2938" hidden="1">"'t;&amp;amp;lt;/RHSItem&amp;amp;gt;&amp;amp;lt;RHSItem&amp;amp;gt;&amp;amp;lt;RHSType&amp;amp;gt;EXPRESSION&amp;amp;lt;/RHSType&amp;amp;gt;&amp;amp;lt;AddQuotes&amp;amp;gt;True&amp;amp;lt;/AddQuotes&amp;amp;gt;&amp;amp;lt;DateFormat&amp;amp;gt;None&amp;amp;lt;/DateFormat&amp;amp;gt;&amp;amp;lt;RightHandSideExpression x'"</definedName>
    <definedName name="_AMO_ContentDefinition_485496469.2939" hidden="1">"'ml:space=&amp;amp;quot;preserve&amp;amp;quot;&amp;amp;gt;MFPR01007774&amp;amp;lt;/RightHandSideExpression&amp;amp;gt;&amp;amp;lt;IsSubquery&amp;amp;gt;False&amp;amp;lt;/IsSubquery&amp;amp;gt;&amp;amp;lt;SubqueryTemplateName /&amp;amp;gt;&amp;amp;lt;/RHSItem&amp;amp;gt;&amp;amp;lt;RHSItem&amp;amp;gt;&amp;amp;lt;RHS'"</definedName>
    <definedName name="_AMO_ContentDefinition_485496469.294" hidden="1">"'amp;#xD;&amp;amp;#xA;'MFPR01007324',&amp;amp;#xD;&amp;amp;#xA;'MFPR01007325',&amp;amp;#xD;&amp;amp;#xA;'MFPR01007326',&amp;amp;#xD;&amp;amp;#xA;'MFPR01007327',&amp;amp;#xD;&amp;amp;#xA;'MFPR01007328',&amp;amp;#xD;&amp;amp;#xA;'MFPR01007329',&amp;amp;#xD;&amp;amp;#xA;'MFPR01007330',&amp;amp;#xD;&amp;amp;#xA;'MF'"</definedName>
    <definedName name="_AMO_ContentDefinition_485496469.2940" hidden="1">"'Type&amp;amp;gt;EXPRESSION&amp;amp;lt;/RHSType&amp;amp;gt;&amp;amp;lt;AddQuotes&amp;amp;gt;True&amp;amp;lt;/AddQuotes&amp;amp;gt;&amp;amp;lt;DateFormat&amp;amp;gt;None&amp;amp;lt;/DateFormat&amp;amp;gt;&amp;amp;lt;RightHandSideExpression xml:space=&amp;amp;quot;preserve&amp;amp;quot;&amp;amp;gt;MFPR01007775&amp;am'"</definedName>
    <definedName name="_AMO_ContentDefinition_485496469.2941"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485496469.2942" hidden="1">"'tes&amp;amp;gt;True&amp;amp;lt;/AddQuotes&amp;amp;gt;&amp;amp;lt;DateFormat&amp;amp;gt;None&amp;amp;lt;/DateFormat&amp;amp;gt;&amp;amp;lt;RightHandSideExpression xml:space=&amp;amp;quot;preserve&amp;amp;quot;&amp;amp;gt;MFPR01007776&amp;amp;lt;/RightHandSideExpression&amp;amp;gt;&amp;amp;lt;IsSubquery&amp;amp;'"</definedName>
    <definedName name="_AMO_ContentDefinition_485496469.2943"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485496469.2944" hidden="1">"'amp;gt;None&amp;amp;lt;/DateFormat&amp;amp;gt;&amp;amp;lt;RightHandSideExpression xml:space=&amp;amp;quot;preserve&amp;amp;quot;&amp;amp;gt;MFPR01007777&amp;amp;lt;/RightHandSideExpression&amp;amp;gt;&amp;amp;lt;IsSubquery&amp;amp;gt;False&amp;amp;lt;/IsSubquery&amp;amp;gt;&amp;amp;lt;SubqueryTemplateN'"</definedName>
    <definedName name="_AMO_ContentDefinition_485496469.2945"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485496469.2946" hidden="1">"'xpression xml:space=&amp;amp;quot;preserve&amp;amp;quot;&amp;amp;gt;MFPR01007778&amp;amp;lt;/RightHandSideExpression&amp;amp;gt;&amp;amp;lt;IsSubquery&amp;amp;gt;False&amp;amp;lt;/IsSubquery&amp;amp;gt;&amp;amp;lt;SubqueryTemplateName /&amp;amp;gt;&amp;amp;lt;/RHSItem&amp;amp;gt;&amp;amp;lt;RHSItem&amp;amp;gt;'"</definedName>
    <definedName name="_AMO_ContentDefinition_485496469.2947" hidden="1">"'&amp;amp;lt;RHSType&amp;amp;gt;EXPRESSION&amp;amp;lt;/RHSType&amp;amp;gt;&amp;amp;lt;AddQuotes&amp;amp;gt;True&amp;amp;lt;/AddQuotes&amp;amp;gt;&amp;amp;lt;DateFormat&amp;amp;gt;None&amp;amp;lt;/DateFormat&amp;amp;gt;&amp;amp;lt;RightHandSideExpression xml:space=&amp;amp;quot;preserve&amp;amp;quot;&amp;amp;gt;MFPR'"</definedName>
    <definedName name="_AMO_ContentDefinition_485496469.2948" hidden="1">"'01007779&amp;amp;lt;/RightHandSideExpression&amp;amp;gt;&amp;amp;lt;IsSubquery&amp;amp;gt;False&amp;amp;lt;/IsSubquery&amp;amp;gt;&amp;amp;lt;SubqueryTemplateName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485496469.2949" hidden="1">"'p;lt;AddQuotes&amp;amp;gt;True&amp;amp;lt;/AddQuotes&amp;amp;gt;&amp;amp;lt;DateFormat&amp;amp;gt;None&amp;amp;lt;/DateFormat&amp;amp;gt;&amp;amp;lt;RightHandSideExpression xml:space=&amp;amp;quot;preserve&amp;amp;quot;&amp;amp;gt;MFPR01007780&amp;amp;lt;/RightHandSideExpression&amp;amp;gt;&amp;amp;lt;IsSu'"</definedName>
    <definedName name="_AMO_ContentDefinition_485496469.295" hidden="1">"'PR01007331',&amp;amp;#xD;&amp;amp;#xA;'MFPR01007332',&amp;amp;#xD;&amp;amp;#xA;'MFPR01007333',&amp;amp;#xD;&amp;amp;#xA;'MFPR01007334',&amp;amp;#xD;&amp;amp;#xA;'MFPR01007335',&amp;amp;#xD;&amp;amp;#xA;'MFPR01007336',&amp;amp;#xD;&amp;amp;#xA;'MFPR01007337',&amp;amp;#xD;&amp;amp;#xA;'MFPR01007338',&amp;amp;#xD'"</definedName>
    <definedName name="_AMO_ContentDefinition_485496469.2950"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2951" hidden="1">"'DateFormat&amp;amp;gt;None&amp;amp;lt;/DateFormat&amp;amp;gt;&amp;amp;lt;RightHandSideExpression xml:space=&amp;amp;quot;preserve&amp;amp;quot;&amp;amp;gt;MFPR01007781&amp;amp;lt;/RightHandSideExpression&amp;amp;gt;&amp;amp;lt;IsSubquery&amp;amp;gt;False&amp;amp;lt;/IsSubquery&amp;amp;gt;&amp;amp;lt;Subque'"</definedName>
    <definedName name="_AMO_ContentDefinition_485496469.2952"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485496469.2953" hidden="1">"'htHandSideExpression xml:space=&amp;amp;quot;preserve&amp;amp;quot;&amp;amp;gt;MFPR01007783&amp;amp;lt;/RightHandSideExpression&amp;amp;gt;&amp;amp;lt;IsSubquery&amp;amp;gt;False&amp;amp;lt;/IsSubquery&amp;amp;gt;&amp;amp;lt;SubqueryTemplateName /&amp;amp;gt;&amp;amp;lt;/RHSItem&amp;amp;gt;&amp;amp;lt;RHSI'"</definedName>
    <definedName name="_AMO_ContentDefinition_485496469.2954" hidden="1">"'tem&amp;amp;gt;&amp;amp;lt;RHSType&amp;amp;gt;EXPRESSION&amp;amp;lt;/RHSType&amp;amp;gt;&amp;amp;lt;AddQuotes&amp;amp;gt;True&amp;amp;lt;/AddQuotes&amp;amp;gt;&amp;amp;lt;DateFormat&amp;amp;gt;None&amp;amp;lt;/DateFormat&amp;amp;gt;&amp;amp;lt;RightHandSideExpression xml:space=&amp;amp;quot;preserve&amp;amp;quot;&amp;'"</definedName>
    <definedName name="_AMO_ContentDefinition_485496469.2955" hidden="1">"'amp;gt;MFPR01007784&amp;amp;lt;/RightHandSideExpression&amp;amp;gt;&amp;amp;lt;IsSubquery&amp;amp;gt;False&amp;amp;lt;/IsSubquery&amp;amp;gt;&amp;amp;lt;SubqueryTemplateName /&amp;amp;gt;&amp;amp;lt;/RHSItem&amp;amp;gt;&amp;amp;lt;RHSItem&amp;amp;gt;&amp;amp;lt;RHSType&amp;amp;gt;EXPRESSION&amp;amp;lt;/RHSType'"</definedName>
    <definedName name="_AMO_ContentDefinition_485496469.2956" hidden="1">"'&amp;amp;gt;&amp;amp;lt;AddQuotes&amp;amp;gt;True&amp;amp;lt;/AddQuotes&amp;amp;gt;&amp;amp;lt;DateFormat&amp;amp;gt;None&amp;amp;lt;/DateFormat&amp;amp;gt;&amp;amp;lt;RightHandSideExpression xml:space=&amp;amp;quot;preserve&amp;amp;quot;&amp;amp;gt;MFPR01007785&amp;amp;lt;/RightHandSideExpression&amp;amp;gt;&amp;'"</definedName>
    <definedName name="_AMO_ContentDefinition_485496469.2957"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2958" hidden="1">"'gt;&amp;amp;lt;DateFormat&amp;amp;gt;None&amp;amp;lt;/DateFormat&amp;amp;gt;&amp;amp;lt;RightHandSideExpression xml:space=&amp;amp;quot;preserve&amp;amp;quot;&amp;amp;gt;MFPR01007786&amp;amp;lt;/RightHandSideExpression&amp;amp;gt;&amp;amp;lt;IsSubquery&amp;amp;gt;False&amp;amp;lt;/IsSubquery&amp;amp;gt;&amp;am'"</definedName>
    <definedName name="_AMO_ContentDefinition_485496469.2959"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296" hidden="1">"';&amp;amp;#xA;'MFPR01007339',&amp;amp;#xD;&amp;amp;#xA;'MFPR01007340',&amp;amp;#xD;&amp;amp;#xA;'MFPR01007341',&amp;amp;#xD;&amp;amp;#xA;'MFPR01007342',&amp;amp;#xD;&amp;amp;#xA;'MFPR01007343',&amp;amp;#xD;&amp;amp;#xA;'MFPR01007344',&amp;amp;#xD;&amp;amp;#xA;'MFPR01007345',&amp;amp;#xD;&amp;amp;#xA;'MFPR01007'"</definedName>
    <definedName name="_AMO_ContentDefinition_485496469.2960" hidden="1">"'&amp;amp;lt;RightHandSideExpression xml:space=&amp;amp;quot;preserve&amp;amp;quot;&amp;amp;gt;MFPR01007787&amp;amp;lt;/RightHandSideExpression&amp;amp;gt;&amp;amp;lt;IsSubquery&amp;amp;gt;False&amp;amp;lt;/IsSubquery&amp;amp;gt;&amp;amp;lt;SubqueryTemplateName /&amp;amp;gt;&amp;amp;lt;/RHSItem&amp;amp;gt;&amp;'"</definedName>
    <definedName name="_AMO_ContentDefinition_485496469.2961"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485496469.2962" hidden="1">"'&amp;amp;quot;&amp;amp;gt;MFPR01007789&amp;amp;lt;/RightHandSideExpression&amp;amp;gt;&amp;amp;lt;IsSubquery&amp;amp;gt;False&amp;amp;lt;/IsSubquery&amp;amp;gt;&amp;amp;lt;SubqueryTemplateName /&amp;amp;gt;&amp;amp;lt;/RHSItem&amp;amp;gt;&amp;amp;lt;RHSItem&amp;amp;gt;&amp;amp;lt;RHSType&amp;amp;gt;EXPRESSION&amp;amp;'"</definedName>
    <definedName name="_AMO_ContentDefinition_485496469.2963" hidden="1">"'lt;/RHSType&amp;amp;gt;&amp;amp;lt;AddQuotes&amp;amp;gt;True&amp;amp;lt;/AddQuotes&amp;amp;gt;&amp;amp;lt;DateFormat&amp;amp;gt;None&amp;amp;lt;/DateFormat&amp;amp;gt;&amp;amp;lt;RightHandSideExpression xml:space=&amp;amp;quot;preserve&amp;amp;quot;&amp;amp;gt;MFPR01007790&amp;amp;lt;/RightHandSideExpressi'"</definedName>
    <definedName name="_AMO_ContentDefinition_485496469.2964"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485496469.2965" hidden="1">"'Quotes&amp;amp;gt;&amp;amp;lt;DateFormat&amp;amp;gt;None&amp;amp;lt;/DateFormat&amp;amp;gt;&amp;amp;lt;RightHandSideExpression xml:space=&amp;amp;quot;preserve&amp;amp;quot;&amp;amp;gt;MFPR01007791&amp;amp;lt;/RightHandSideExpression&amp;amp;gt;&amp;amp;lt;IsSubquery&amp;amp;gt;False&amp;amp;lt;/IsSubquery'"</definedName>
    <definedName name="_AMO_ContentDefinition_485496469.2966"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485496469.2967" hidden="1">"'mat&amp;amp;gt;&amp;amp;lt;RightHandSideExpression xml:space=&amp;amp;quot;preserve&amp;amp;quot;&amp;amp;gt;MFPR01007792&amp;amp;lt;/RightHandSideExpression&amp;amp;gt;&amp;amp;lt;IsSubquery&amp;amp;gt;False&amp;amp;lt;/IsSubquery&amp;amp;gt;&amp;amp;lt;SubqueryTemplateName /&amp;amp;gt;&amp;amp;lt;/RHSIt'"</definedName>
    <definedName name="_AMO_ContentDefinition_485496469.2968" hidden="1">"'em&amp;amp;gt;&amp;amp;lt;RHSItem&amp;amp;gt;&amp;amp;lt;RHSType&amp;amp;gt;EXPRESSION&amp;amp;lt;/RHSType&amp;amp;gt;&amp;amp;lt;AddQuotes&amp;amp;gt;True&amp;amp;lt;/AddQuotes&amp;amp;gt;&amp;amp;lt;DateFormat&amp;amp;gt;None&amp;amp;lt;/DateFormat&amp;amp;gt;&amp;amp;lt;RightHandSideExpression xml:space=&amp;amp;qu'"</definedName>
    <definedName name="_AMO_ContentDefinition_485496469.2969" hidden="1">"'ot;preserve&amp;amp;quot;&amp;amp;gt;MFPR01007793&amp;amp;lt;/RightHandSideExpression&amp;amp;gt;&amp;amp;lt;IsSubquery&amp;amp;gt;False&amp;amp;lt;/IsSubquery&amp;amp;gt;&amp;amp;lt;SubqueryTemplateName /&amp;amp;gt;&amp;amp;lt;/RHSItem&amp;amp;gt;&amp;amp;lt;RHSItem&amp;amp;gt;&amp;amp;lt;RHSType&amp;amp;gt;EXPR'"</definedName>
    <definedName name="_AMO_ContentDefinition_485496469.297" hidden="1">"'346',&amp;amp;#xD;&amp;amp;#xA;'MFPR01007347',&amp;amp;#xD;&amp;amp;#xA;'MFPR01007348',&amp;amp;#xD;&amp;amp;#xA;'MFPR01007349',&amp;amp;#xD;&amp;amp;#xA;'MFPR01007350',&amp;amp;#xD;&amp;amp;#xA;'MFPR01007351',&amp;amp;#xD;&amp;amp;#xA;'MFPR01007352',&amp;amp;#xD;&amp;amp;#xA;'MFPR01007353',&amp;amp;#xD;&amp;amp;#'"</definedName>
    <definedName name="_AMO_ContentDefinition_485496469.2970" hidden="1">"'ESSION&amp;amp;lt;/RHSType&amp;amp;gt;&amp;amp;lt;AddQuotes&amp;amp;gt;True&amp;amp;lt;/AddQuotes&amp;amp;gt;&amp;amp;lt;DateFormat&amp;amp;gt;None&amp;amp;lt;/DateFormat&amp;amp;gt;&amp;amp;lt;RightHandSideExpression xml:space=&amp;amp;quot;preserve&amp;amp;quot;&amp;amp;gt;MFPR01007794&amp;amp;lt;/RightHandS'"</definedName>
    <definedName name="_AMO_ContentDefinition_485496469.2971"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485496469.2972" hidden="1">"'amp;lt;/AddQuotes&amp;amp;gt;&amp;amp;lt;DateFormat&amp;amp;gt;None&amp;amp;lt;/DateFormat&amp;amp;gt;&amp;amp;lt;RightHandSideExpression xml:space=&amp;amp;quot;preserve&amp;amp;quot;&amp;amp;gt;MFPR01007795&amp;amp;lt;/RightHandSideExpression&amp;amp;gt;&amp;amp;lt;IsSubquery&amp;amp;gt;False&amp;amp;lt;'"</definedName>
    <definedName name="_AMO_ContentDefinition_485496469.2973"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2974" hidden="1">"'lt;/DateFormat&amp;amp;gt;&amp;amp;lt;RightHandSideExpression xml:space=&amp;amp;quot;preserve&amp;amp;quot;&amp;amp;gt;MFPR01007797&amp;amp;lt;/RightHandSideExpression&amp;amp;gt;&amp;amp;lt;IsSubquery&amp;amp;gt;False&amp;amp;lt;/IsSubquery&amp;amp;gt;&amp;amp;lt;SubqueryTemplateName /&amp;amp;gt;&amp;am'"</definedName>
    <definedName name="_AMO_ContentDefinition_485496469.2975" hidden="1">"'p;lt;/RHSItem&amp;amp;gt;&amp;amp;lt;RHSItem&amp;amp;gt;&amp;amp;lt;RHSType&amp;amp;gt;EXPRESSION&amp;amp;lt;/RHSType&amp;amp;gt;&amp;amp;lt;AddQuotes&amp;amp;gt;True&amp;amp;lt;/AddQuotes&amp;amp;gt;&amp;amp;lt;DateFormat&amp;amp;gt;None&amp;amp;lt;/DateFormat&amp;amp;gt;&amp;amp;lt;RightHandSideExpression xml:sp'"</definedName>
    <definedName name="_AMO_ContentDefinition_485496469.2976" hidden="1">"'ace=&amp;amp;quot;preserve&amp;amp;quot;&amp;amp;gt;MFPR01007798&amp;amp;lt;/RightHandSideExpression&amp;amp;gt;&amp;amp;lt;IsSubquery&amp;amp;gt;False&amp;amp;lt;/IsSubquery&amp;amp;gt;&amp;amp;lt;SubqueryTemplateName /&amp;amp;gt;&amp;amp;lt;/RHSItem&amp;amp;gt;&amp;amp;lt;RHSItem&amp;amp;gt;&amp;amp;lt;RHSType&amp;'"</definedName>
    <definedName name="_AMO_ContentDefinition_485496469.2977" hidden="1">"'amp;gt;EXPRESSION&amp;amp;lt;/RHSType&amp;amp;gt;&amp;amp;lt;AddQuotes&amp;amp;gt;True&amp;amp;lt;/AddQuotes&amp;amp;gt;&amp;amp;lt;DateFormat&amp;amp;gt;None&amp;amp;lt;/DateFormat&amp;amp;gt;&amp;amp;lt;RightHandSideExpression xml:space=&amp;amp;quot;preserve&amp;amp;quot;&amp;amp;gt;MFPR01007799&amp;amp;lt;'"</definedName>
    <definedName name="_AMO_ContentDefinition_485496469.2978"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485496469.2979" hidden="1">"'mp;gt;True&amp;amp;lt;/AddQuotes&amp;amp;gt;&amp;amp;lt;DateFormat&amp;amp;gt;None&amp;amp;lt;/DateFormat&amp;amp;gt;&amp;amp;lt;RightHandSideExpression xml:space=&amp;amp;quot;preserve&amp;amp;quot;&amp;amp;gt;MFPR01007800&amp;amp;lt;/RightHandSideExpression&amp;amp;gt;&amp;amp;lt;IsSubquery&amp;amp;gt;Fa'"</definedName>
    <definedName name="_AMO_ContentDefinition_485496469.298" hidden="1">"'xA;'MFPR01007354',&amp;amp;#xD;&amp;amp;#xA;'MFPR01007355',&amp;amp;#xD;&amp;amp;#xA;'MFPR01007356',&amp;amp;#xD;&amp;amp;#xA;'MFPR01007357',&amp;amp;#xD;&amp;amp;#xA;'MFPR01007358',&amp;amp;#xD;&amp;amp;#xA;'MFPR01007359',&amp;amp;#xD;&amp;amp;#xA;'MFPR01007360',&amp;amp;#xD;&amp;amp;#xA;'MFPR01007361',&amp;a'"</definedName>
    <definedName name="_AMO_ContentDefinition_485496469.2980"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485496469.2981" hidden="1">"'t;None&amp;amp;lt;/DateFormat&amp;amp;gt;&amp;amp;lt;RightHandSideExpression xml:space=&amp;amp;quot;preserve&amp;amp;quot;&amp;amp;gt;MFPR01007801&amp;amp;lt;/RightHandSideExpression&amp;amp;gt;&amp;amp;lt;IsSubquery&amp;amp;gt;False&amp;amp;lt;/IsSubquery&amp;amp;gt;&amp;amp;lt;SubqueryTemplateName /'"</definedName>
    <definedName name="_AMO_ContentDefinition_485496469.2982"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485496469.2983" hidden="1">"'sion xml:space=&amp;amp;quot;preserve&amp;amp;quot;&amp;amp;gt;MFPR01007802&amp;amp;lt;/RightHandSideExpression&amp;amp;gt;&amp;amp;lt;IsSubquery&amp;amp;gt;False&amp;amp;lt;/IsSubquery&amp;amp;gt;&amp;amp;lt;SubqueryTemplateName /&amp;amp;gt;&amp;amp;lt;/RHSItem&amp;amp;gt;&amp;amp;lt;RHSItem&amp;amp;gt;&amp;amp;'"</definedName>
    <definedName name="_AMO_ContentDefinition_485496469.2984" hidden="1">"'lt;RHSType&amp;amp;gt;EXPRESSION&amp;amp;lt;/RHSType&amp;amp;gt;&amp;amp;lt;AddQuotes&amp;amp;gt;True&amp;amp;lt;/AddQuotes&amp;amp;gt;&amp;amp;lt;DateFormat&amp;amp;gt;None&amp;amp;lt;/DateFormat&amp;amp;gt;&amp;amp;lt;RightHandSideExpression xml:space=&amp;amp;quot;preserve&amp;amp;quot;&amp;amp;gt;MFPR01007'"</definedName>
    <definedName name="_AMO_ContentDefinition_485496469.2985" hidden="1">"'803&amp;amp;lt;/RightHandSideExpression&amp;amp;gt;&amp;amp;lt;IsSubquery&amp;amp;gt;False&amp;amp;lt;/IsSubquery&amp;amp;gt;&amp;amp;lt;SubqueryTemplateName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2986" hidden="1">"'AddQuotes&amp;amp;gt;True&amp;amp;lt;/AddQuotes&amp;amp;gt;&amp;amp;lt;DateFormat&amp;amp;gt;None&amp;amp;lt;/DateFormat&amp;amp;gt;&amp;amp;lt;RightHandSideExpression xml:space=&amp;amp;quot;preserve&amp;amp;quot;&amp;amp;gt;MFPR01007804&amp;amp;lt;/RightHandSideExpression&amp;amp;gt;&amp;amp;lt;IsSubquer'"</definedName>
    <definedName name="_AMO_ContentDefinition_485496469.2987"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485496469.2988" hidden="1">"'ormat&amp;amp;gt;None&amp;amp;lt;/DateFormat&amp;amp;gt;&amp;amp;lt;RightHandSideExpression xml:space=&amp;amp;quot;preserve&amp;amp;quot;&amp;amp;gt;MFPR01007805&amp;amp;lt;/RightHandSideExpression&amp;amp;gt;&amp;amp;lt;IsSubquery&amp;amp;gt;False&amp;amp;lt;/IsSubquery&amp;amp;gt;&amp;amp;lt;SubqueryTem'"</definedName>
    <definedName name="_AMO_ContentDefinition_485496469.2989"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485496469.299" hidden="1">"'mp;#xD;&amp;amp;#xA;'MFPR01007362',&amp;amp;#xD;&amp;amp;#xA;'MFPR01007363',&amp;amp;#xD;&amp;amp;#xA;'MFPR01007364',&amp;amp;#xD;&amp;amp;#xA;'MFPR01007365',&amp;amp;#xD;&amp;amp;#xA;'MFPR01007366',&amp;amp;#xD;&amp;amp;#xA;'MFPR01007367',&amp;amp;#xD;&amp;amp;#xA;'MFPR01007368',&amp;amp;#xD;&amp;amp;#xA;'MFP'"</definedName>
    <definedName name="_AMO_ContentDefinition_485496469.2990" hidden="1">"'dSideExpression xml:space=&amp;amp;quot;preserve&amp;amp;quot;&amp;amp;gt;MFPR01007806&amp;amp;lt;/RightHandSideExpression&amp;amp;gt;&amp;amp;lt;IsSubquery&amp;amp;gt;False&amp;amp;lt;/IsSubquery&amp;amp;gt;&amp;amp;lt;SubqueryTemplateName /&amp;amp;gt;&amp;amp;lt;/RHSItem&amp;amp;gt;&amp;amp;lt;RHSItem&amp;a'"</definedName>
    <definedName name="_AMO_ContentDefinition_485496469.2991"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485496469.2992" hidden="1">"'t;MFPR01007807&amp;amp;lt;/RightHandSideExpression&amp;amp;gt;&amp;amp;lt;IsSubquery&amp;amp;gt;False&amp;amp;lt;/IsSubquery&amp;amp;gt;&amp;amp;lt;SubqueryTemplateName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2993" hidden="1">"'gt;&amp;amp;lt;AddQuotes&amp;amp;gt;True&amp;amp;lt;/AddQuotes&amp;amp;gt;&amp;amp;lt;DateFormat&amp;amp;gt;None&amp;amp;lt;/DateFormat&amp;amp;gt;&amp;amp;lt;RightHandSideExpression xml:space=&amp;amp;quot;preserve&amp;amp;quot;&amp;amp;gt;MFPR01007808&amp;amp;lt;/RightHandSideExpression&amp;amp;gt;&amp;amp;l'"</definedName>
    <definedName name="_AMO_ContentDefinition_485496469.2994"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485496469.2995" hidden="1">"'mp;lt;DateFormat&amp;amp;gt;None&amp;amp;lt;/DateFormat&amp;amp;gt;&amp;amp;lt;RightHandSideExpression xml:space=&amp;amp;quot;preserve&amp;amp;quot;&amp;amp;gt;MFPR01007809&amp;amp;lt;/RightHandSideExpression&amp;amp;gt;&amp;amp;lt;IsSubquery&amp;amp;gt;False&amp;amp;lt;/IsSubquery&amp;amp;gt;&amp;amp;lt;'"</definedName>
    <definedName name="_AMO_ContentDefinition_485496469.2996"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2997" hidden="1">"'lt;RightHandSideExpression xml:space=&amp;amp;quot;preserve&amp;amp;quot;&amp;amp;gt;MFPR01007810&amp;amp;lt;/RightHandSideExpression&amp;amp;gt;&amp;amp;lt;IsSubquery&amp;amp;gt;False&amp;amp;lt;/IsSubquery&amp;amp;gt;&amp;amp;lt;SubqueryTemplateName /&amp;amp;gt;&amp;amp;lt;/RHSItem&amp;amp;gt;&amp;amp;l'"</definedName>
    <definedName name="_AMO_ContentDefinition_485496469.2998" hidden="1">"'t;RHSItem&amp;amp;gt;&amp;amp;lt;RHSType&amp;amp;gt;EXPRESSION&amp;amp;lt;/RHSType&amp;amp;gt;&amp;amp;lt;AddQuotes&amp;amp;gt;True&amp;amp;lt;/AddQuotes&amp;amp;gt;&amp;amp;lt;DateFormat&amp;amp;gt;None&amp;amp;lt;/DateFormat&amp;amp;gt;&amp;amp;lt;RightHandSideExpression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485496469.2999" hidden="1">"'quot;&amp;amp;gt;MFPR01007811&amp;amp;lt;/RightHandSideExpression&amp;amp;gt;&amp;amp;lt;IsSubquery&amp;amp;gt;False&amp;amp;lt;/IsSubquery&amp;amp;gt;&amp;amp;lt;SubqueryTemplateName /&amp;amp;gt;&amp;amp;lt;/RHSItem&amp;amp;gt;&amp;amp;lt;RHSItem&amp;amp;gt;&amp;amp;lt;RHSType&amp;amp;gt;EXPRESSION&amp;amp;lt;/R'"</definedName>
    <definedName name="_AMO_ContentDefinition_485496469.3" hidden="1">"'"" v=""8.0"" /&gt;_x000D_
  &lt;param n=""ServerHostName"" v=""sasprdmetadata.eccb-centralbank.org"" /&gt;_x000D_
  &lt;param n=""DataSourceType"" v=""SAS DATASET"" /&gt;_x000D_
  &lt;param n=""SASFilter"" v=""entity_submitter_type IN &amp;#xD;&amp;#xA;(&amp;#xD;&amp;#xA;'Country'&amp;#xD;&amp;#xA;) AND date_d'"</definedName>
    <definedName name="_AMO_ContentDefinition_485496469.30" hidden="1">"'62',&amp;#xD;&amp;#xA;'MFPR01006563',&amp;#xD;&amp;#xA;'MFPR01006564',&amp;#xD;&amp;#xA;'MFPR01006565',&amp;#xD;&amp;#xA;'MFPR01006566',&amp;#xD;&amp;#xA;'MFPR01006567',&amp;#xD;&amp;#xA;'MFPR01006568',&amp;#xD;&amp;#xA;'MFPR01006569',&amp;#xD;&amp;#xA;'MFPR01006570',&amp;#xD;&amp;#xA;'MFPR01006571',&amp;#xD;&amp;#xA;'MFPR0100657'"</definedName>
    <definedName name="_AMO_ContentDefinition_485496469.300" hidden="1">"'R01007369',&amp;amp;#xD;&amp;amp;#xA;'MFPR01007370',&amp;amp;#xD;&amp;amp;#xA;'MFPR01007371',&amp;amp;#xD;&amp;amp;#xA;'MFPR01007372',&amp;amp;#xD;&amp;amp;#xA;'MFPR01007373',&amp;amp;#xD;&amp;amp;#xA;'MFPR01007374',&amp;amp;#xD;&amp;amp;#xA;'MFPR01007375',&amp;amp;#xD;&amp;amp;#xA;'MFPR01007376',&amp;amp;#xD;'"</definedName>
    <definedName name="_AMO_ContentDefinition_485496469.3000" hidden="1">"'HSType&amp;amp;gt;&amp;amp;lt;AddQuotes&amp;amp;gt;True&amp;amp;lt;/AddQuotes&amp;amp;gt;&amp;amp;lt;DateFormat&amp;amp;gt;None&amp;amp;lt;/DateFormat&amp;amp;gt;&amp;amp;lt;RightHandSideExpression xml:space=&amp;amp;quot;preserve&amp;amp;quot;&amp;amp;gt;MFPR01007813&amp;amp;lt;/RightHandSideExpression&amp;am'"</definedName>
    <definedName name="_AMO_ContentDefinition_485496469.3001"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485496469.3002" hidden="1">"'s&amp;amp;gt;&amp;amp;lt;DateFormat&amp;amp;gt;None&amp;amp;lt;/DateFormat&amp;amp;gt;&amp;amp;lt;RightHandSideExpression xml:space=&amp;amp;quot;preserve&amp;amp;quot;&amp;amp;gt;MFPR01007814&amp;amp;lt;/RightHandSideExpression&amp;amp;gt;&amp;amp;lt;IsSubquery&amp;amp;gt;False&amp;amp;lt;/IsSubquery&amp;amp;'"</definedName>
    <definedName name="_AMO_ContentDefinition_485496469.3003"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485496469.3004" hidden="1">"'mp;gt;&amp;amp;lt;RightHandSideExpression xml:space=&amp;amp;quot;preserve&amp;amp;quot;&amp;amp;gt;MFPR01007815&amp;amp;lt;/RightHandSideExpression&amp;amp;gt;&amp;amp;lt;IsSubquery&amp;amp;gt;False&amp;amp;lt;/IsSubquery&amp;amp;gt;&amp;amp;lt;SubqueryTemplateName /&amp;amp;gt;&amp;amp;lt;/RHSItem&amp;am'"</definedName>
    <definedName name="_AMO_ContentDefinition_485496469.3005" hidden="1">"'p;gt;&amp;amp;lt;RHSItem&amp;amp;gt;&amp;amp;lt;RHSType&amp;amp;gt;EXPRESSION&amp;amp;lt;/RHSType&amp;amp;gt;&amp;amp;lt;AddQuotes&amp;amp;gt;True&amp;amp;lt;/AddQuotes&amp;amp;gt;&amp;amp;lt;DateFormat&amp;amp;gt;None&amp;amp;lt;/DateFormat&amp;amp;gt;&amp;amp;lt;RightHandSideExpression xml:space=&amp;amp;quot;pr'"</definedName>
    <definedName name="_AMO_ContentDefinition_485496469.3006" hidden="1">"'eserve&amp;amp;quot;&amp;amp;gt;MFPR01007816&amp;amp;lt;/RightHandSideExpression&amp;amp;gt;&amp;amp;lt;IsSubquery&amp;amp;gt;False&amp;amp;lt;/IsSubquery&amp;amp;gt;&amp;amp;lt;SubqueryTemplateName /&amp;amp;gt;&amp;amp;lt;/RHSItem&amp;amp;gt;&amp;amp;lt;RHSItem&amp;amp;gt;&amp;amp;lt;RHSType&amp;amp;gt;EXPRESSIO'"</definedName>
    <definedName name="_AMO_ContentDefinition_485496469.3007" hidden="1">"'N&amp;amp;lt;/RHSType&amp;amp;gt;&amp;amp;lt;AddQuotes&amp;amp;gt;True&amp;amp;lt;/AddQuotes&amp;amp;gt;&amp;amp;lt;DateFormat&amp;amp;gt;None&amp;amp;lt;/DateFormat&amp;amp;gt;&amp;amp;lt;RightHandSideExpression xml:space=&amp;amp;quot;preserve&amp;amp;quot;&amp;amp;gt;MFPR01007817&amp;amp;lt;/RightHandSideEx'"</definedName>
    <definedName name="_AMO_ContentDefinition_485496469.3008"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485496469.3009" hidden="1">"'t;/AddQuotes&amp;amp;gt;&amp;amp;lt;DateFormat&amp;amp;gt;None&amp;amp;lt;/DateFormat&amp;amp;gt;&amp;amp;lt;RightHandSideExpression xml:space=&amp;amp;quot;preserve&amp;amp;quot;&amp;amp;gt;MFPR01007819&amp;amp;lt;/RightHandSideExpression&amp;amp;gt;&amp;amp;lt;IsSubquery&amp;amp;gt;False&amp;amp;lt;/IsSu'"</definedName>
    <definedName name="_AMO_ContentDefinition_485496469.301" hidden="1">"'&amp;amp;#xA;'MFPR01007377',&amp;amp;#xD;&amp;amp;#xA;'MFPR01007378',&amp;amp;#xD;&amp;amp;#xA;'MFPR01007379',&amp;amp;#xD;&amp;amp;#xA;'MFPR01007380',&amp;amp;#xD;&amp;amp;#xA;'MFPR01007381',&amp;amp;#xD;&amp;amp;#xA;'MFPR01007382',&amp;amp;#xD;&amp;amp;#xA;'MFPR01007383',&amp;amp;#xD;&amp;amp;#xA;'MFPR010073'"</definedName>
    <definedName name="_AMO_ContentDefinition_485496469.3010"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485496469.3011" hidden="1">"'ateFormat&amp;amp;gt;&amp;amp;lt;RightHandSideExpression xml:space=&amp;amp;quot;preserve&amp;amp;quot;&amp;amp;gt;MFPR01007820&amp;amp;lt;/RightHandSideExpression&amp;amp;gt;&amp;amp;lt;IsSubquery&amp;amp;gt;False&amp;amp;lt;/IsSubquery&amp;amp;gt;&amp;amp;lt;SubqueryTemplateName /&amp;amp;gt;&amp;amp;lt;'"</definedName>
    <definedName name="_AMO_ContentDefinition_485496469.3012" hidden="1">"'/RHSItem&amp;amp;gt;&amp;amp;lt;RHSItem&amp;amp;gt;&amp;amp;lt;RHSType&amp;amp;gt;EXPRESSION&amp;amp;lt;/RHSType&amp;amp;gt;&amp;amp;lt;AddQuotes&amp;amp;gt;True&amp;amp;lt;/AddQuotes&amp;amp;gt;&amp;amp;lt;DateFormat&amp;amp;gt;None&amp;amp;lt;/DateFormat&amp;amp;gt;&amp;amp;lt;RightHandSideExpression xml:space=&amp;'"</definedName>
    <definedName name="_AMO_ContentDefinition_485496469.3013" hidden="1">"'amp;quot;preserve&amp;amp;quot;&amp;amp;gt;MFPR01007821&amp;amp;lt;/RightHandSideExpression&amp;amp;gt;&amp;amp;lt;IsSubquery&amp;amp;gt;False&amp;amp;lt;/IsSubquery&amp;amp;gt;&amp;amp;lt;SubqueryTemplateName /&amp;amp;gt;&amp;amp;lt;/RHSItem&amp;amp;gt;&amp;amp;lt;RHSItem&amp;amp;gt;&amp;amp;lt;RHSType&amp;amp;g'"</definedName>
    <definedName name="_AMO_ContentDefinition_485496469.3014" hidden="1">"'t;EXPRESSION&amp;amp;lt;/RHSType&amp;amp;gt;&amp;amp;lt;AddQuotes&amp;amp;gt;True&amp;amp;lt;/AddQuotes&amp;amp;gt;&amp;amp;lt;DateFormat&amp;amp;gt;None&amp;amp;lt;/DateFormat&amp;amp;gt;&amp;amp;lt;RightHandSideExpression xml:space=&amp;amp;quot;preserve&amp;amp;quot;&amp;amp;gt;MFPR01007822&amp;amp;lt;/Righ'"</definedName>
    <definedName name="_AMO_ContentDefinition_485496469.3015"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3016" hidden="1">"';True&amp;amp;lt;/AddQuotes&amp;amp;gt;&amp;amp;lt;DateFormat&amp;amp;gt;None&amp;amp;lt;/DateFormat&amp;amp;gt;&amp;amp;lt;RightHandSideExpression xml:space=&amp;amp;quot;preserve&amp;amp;quot;&amp;amp;gt;MFPR01007823&amp;amp;lt;/RightHandSideExpression&amp;amp;gt;&amp;amp;lt;IsSubquery&amp;amp;gt;False&amp;a'"</definedName>
    <definedName name="_AMO_ContentDefinition_485496469.3017"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485496469.3018" hidden="1">"'e&amp;amp;lt;/DateFormat&amp;amp;gt;&amp;amp;lt;RightHandSideExpression xml:space=&amp;amp;quot;preserve&amp;amp;quot;&amp;amp;gt;MFPR01007824&amp;amp;lt;/RightHandSideExpression&amp;amp;gt;&amp;amp;lt;IsSubquery&amp;amp;gt;False&amp;amp;lt;/IsSubquery&amp;amp;gt;&amp;amp;lt;SubqueryTemplateName /&amp;amp;'"</definedName>
    <definedName name="_AMO_ContentDefinition_485496469.3019" hidden="1">"'gt;&amp;amp;lt;/RHSItem&amp;amp;gt;&amp;amp;lt;RHSItem&amp;amp;gt;&amp;amp;lt;RHSType&amp;amp;gt;EXPRESSION&amp;amp;lt;/RHSType&amp;amp;gt;&amp;amp;lt;AddQuotes&amp;amp;gt;True&amp;amp;lt;/AddQuotes&amp;amp;gt;&amp;amp;lt;DateFormat&amp;amp;gt;None&amp;amp;lt;/DateFormat&amp;amp;gt;&amp;amp;lt;RightHandSideExpression '"</definedName>
    <definedName name="_AMO_ContentDefinition_485496469.302" hidden="1">"'84',&amp;amp;#xD;&amp;amp;#xA;'MFPR01007385',&amp;amp;#xD;&amp;amp;#xA;'MFPR01007386',&amp;amp;#xD;&amp;amp;#xA;'MFPR01007387',&amp;amp;#xD;&amp;amp;#xA;'MFPR01007388',&amp;amp;#xD;&amp;amp;#xA;'MFPR01007389',&amp;amp;#xD;&amp;amp;#xA;'MFPR01007390',&amp;amp;#xD;&amp;amp;#xA;'MFPR01007391',&amp;amp;#xD;&amp;amp;#x'"</definedName>
    <definedName name="_AMO_ContentDefinition_485496469.3020" hidden="1">"'xml:space=&amp;amp;quot;preserve&amp;amp;quot;&amp;amp;gt;MFPR01007825&amp;amp;lt;/RightHandSideExpression&amp;amp;gt;&amp;amp;lt;IsSubquery&amp;amp;gt;False&amp;amp;lt;/IsSubquery&amp;amp;gt;&amp;amp;lt;SubqueryTemplateName /&amp;amp;gt;&amp;amp;lt;/RHSItem&amp;amp;gt;&amp;amp;lt;RHSItem&amp;amp;gt;&amp;amp;lt;RH'"</definedName>
    <definedName name="_AMO_ContentDefinition_485496469.3021" hidden="1">"'SType&amp;amp;gt;EXPRESSION&amp;amp;lt;/RHSType&amp;amp;gt;&amp;amp;lt;AddQuotes&amp;amp;gt;True&amp;amp;lt;/AddQuotes&amp;amp;gt;&amp;amp;lt;DateFormat&amp;amp;gt;None&amp;amp;lt;/DateFormat&amp;amp;gt;&amp;amp;lt;RightHandSideExpression xml:space=&amp;amp;quot;preserve&amp;amp;quot;&amp;amp;gt;MFPR01007826&amp;a'"</definedName>
    <definedName name="_AMO_ContentDefinition_485496469.3022"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485496469.3023" hidden="1">"'otes&amp;amp;gt;True&amp;amp;lt;/AddQuotes&amp;amp;gt;&amp;amp;lt;DateFormat&amp;amp;gt;None&amp;amp;lt;/DateFormat&amp;amp;gt;&amp;amp;lt;RightHandSideExpression xml:space=&amp;amp;quot;preserve&amp;amp;quot;&amp;amp;gt;MFPR01007827&amp;amp;lt;/RightHandSideExpression&amp;amp;gt;&amp;amp;lt;IsSubquery&amp;amp'"</definedName>
    <definedName name="_AMO_ContentDefinition_485496469.3024"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485496469.3025" hidden="1">"'&amp;amp;gt;None&amp;amp;lt;/DateFormat&amp;amp;gt;&amp;amp;lt;RightHandSideExpression xml:space=&amp;amp;quot;preserve&amp;amp;quot;&amp;amp;gt;MFPR01007828&amp;amp;lt;/RightHandSideExpression&amp;amp;gt;&amp;amp;lt;IsSubquery&amp;amp;gt;False&amp;amp;lt;/IsSubquery&amp;amp;gt;&amp;amp;lt;SubqueryTemplate'"</definedName>
    <definedName name="_AMO_ContentDefinition_485496469.3026"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485496469.3027" hidden="1">"'Expression xml:space=&amp;amp;quot;preserve&amp;amp;quot;&amp;amp;gt;MFPR01007829&amp;amp;lt;/RightHandSideExpression&amp;amp;gt;&amp;amp;lt;IsSubquery&amp;amp;gt;False&amp;amp;lt;/IsSubquery&amp;amp;gt;&amp;amp;lt;SubqueryTemplateName /&amp;amp;gt;&amp;amp;lt;/RHSItem&amp;amp;gt;&amp;amp;lt;RHSItem&amp;amp;gt'"</definedName>
    <definedName name="_AMO_ContentDefinition_485496469.3028" hidden="1">"';&amp;amp;lt;RHSType&amp;amp;gt;EXPRESSION&amp;amp;lt;/RHSType&amp;amp;gt;&amp;amp;lt;AddQuotes&amp;amp;gt;True&amp;amp;lt;/AddQuotes&amp;amp;gt;&amp;amp;lt;DateFormat&amp;amp;gt;None&amp;amp;lt;/DateFormat&amp;amp;gt;&amp;amp;lt;RightHandSideExpression xml:space=&amp;amp;quot;preserve&amp;amp;quot;&amp;amp;gt;MFP'"</definedName>
    <definedName name="_AMO_ContentDefinition_485496469.3029" hidden="1">"'R01007830&amp;amp;lt;/RightHandSideExpression&amp;amp;gt;&amp;amp;lt;IsSubquery&amp;amp;gt;False&amp;amp;lt;/IsSubquery&amp;amp;gt;&amp;amp;lt;SubqueryTemplateName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485496469.303" hidden="1">"'A;'MFPR01007392',&amp;amp;#xD;&amp;amp;#xA;'MFPR01007393',&amp;amp;#xD;&amp;amp;#xA;'MFPR01007394',&amp;amp;#xD;&amp;amp;#xA;'MFPR01007395',&amp;amp;#xD;&amp;amp;#xA;'MFPR01007396',&amp;amp;#xD;&amp;amp;#xA;'MFPR01007397',&amp;amp;#xD;&amp;amp;#xA;'MFPR01007398',&amp;amp;#xD;&amp;amp;#xA;'MFPR01007399',&amp;am'"</definedName>
    <definedName name="_AMO_ContentDefinition_485496469.3030" hidden="1">"'mp;lt;AddQuotes&amp;amp;gt;True&amp;amp;lt;/AddQuotes&amp;amp;gt;&amp;amp;lt;DateFormat&amp;amp;gt;None&amp;amp;lt;/DateFormat&amp;amp;gt;&amp;amp;lt;RightHandSideExpression xml:space=&amp;amp;quot;preserve&amp;amp;quot;&amp;amp;gt;MFPR01007831&amp;amp;lt;/RightHandSideExpression&amp;amp;gt;&amp;amp;lt;IsS'"</definedName>
    <definedName name="_AMO_ContentDefinition_485496469.3031"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3032" hidden="1">"';DateFormat&amp;amp;gt;None&amp;amp;lt;/DateFormat&amp;amp;gt;&amp;amp;lt;RightHandSideExpression xml:space=&amp;amp;quot;preserve&amp;amp;quot;&amp;amp;gt;MFPR01007832&amp;amp;lt;/RightHandSideExpression&amp;amp;gt;&amp;amp;lt;IsSubquery&amp;amp;gt;False&amp;amp;lt;/IsSubquery&amp;amp;gt;&amp;amp;lt;Subqu'"</definedName>
    <definedName name="_AMO_ContentDefinition_485496469.3033"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485496469.3034" hidden="1">"'ghtHandSideExpression xml:space=&amp;amp;quot;preserve&amp;amp;quot;&amp;amp;gt;MFPR01007833&amp;amp;lt;/RightHandSideExpression&amp;amp;gt;&amp;amp;lt;IsSubquery&amp;amp;gt;False&amp;amp;lt;/IsSubquery&amp;amp;gt;&amp;amp;lt;SubqueryTemplateName /&amp;amp;gt;&amp;amp;lt;/RHSItem&amp;amp;gt;&amp;amp;lt;RHS'"</definedName>
    <definedName name="_AMO_ContentDefinition_485496469.3035" hidden="1">"'Item&amp;amp;gt;&amp;amp;lt;RHSType&amp;amp;gt;EXPRESSION&amp;amp;lt;/RHSType&amp;amp;gt;&amp;amp;lt;AddQuotes&amp;amp;gt;True&amp;amp;lt;/AddQuotes&amp;amp;gt;&amp;amp;lt;DateFormat&amp;amp;gt;None&amp;amp;lt;/DateFormat&amp;amp;gt;&amp;amp;lt;RightHandSideExpression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485496469.3036" hidden="1">"'&amp;amp;gt;MFPR01007834&amp;amp;lt;/RightHandSideExpression&amp;amp;gt;&amp;amp;lt;IsSubquery&amp;amp;gt;False&amp;amp;lt;/IsSubquery&amp;amp;gt;&amp;amp;lt;SubqueryTemplateName /&amp;amp;gt;&amp;amp;lt;/RHSItem&amp;amp;gt;&amp;amp;lt;RHSItem&amp;amp;gt;&amp;amp;lt;RHSType&amp;amp;gt;EXPRESSION&amp;amp;lt;/RHSTyp'"</definedName>
    <definedName name="_AMO_ContentDefinition_485496469.3037" hidden="1">"'e&amp;amp;gt;&amp;amp;lt;AddQuotes&amp;amp;gt;True&amp;amp;lt;/AddQuotes&amp;amp;gt;&amp;amp;lt;DateFormat&amp;amp;gt;None&amp;amp;lt;/DateFormat&amp;amp;gt;&amp;amp;lt;RightHandSideExpression xml:space=&amp;amp;quot;preserve&amp;amp;quot;&amp;amp;gt;MFPR01007835&amp;amp;lt;/RightHandSideExpression&amp;amp;gt;'"</definedName>
    <definedName name="_AMO_ContentDefinition_485496469.3038"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3039" hidden="1">"';gt;&amp;amp;lt;DateFormat&amp;amp;gt;None&amp;amp;lt;/DateFormat&amp;amp;gt;&amp;amp;lt;RightHandSideExpression xml:space=&amp;amp;quot;preserve&amp;amp;quot;&amp;amp;gt;MFPR01007836&amp;amp;lt;/RightHandSideExpression&amp;amp;gt;&amp;amp;lt;IsSubquery&amp;amp;gt;False&amp;amp;lt;/IsSubquery&amp;amp;gt;&amp;a'"</definedName>
    <definedName name="_AMO_ContentDefinition_485496469.304" hidden="1">"'p;#xD;&amp;amp;#xA;'MFPR01007400',&amp;amp;#xD;&amp;amp;#xA;'MFPR01007401',&amp;amp;#xD;&amp;amp;#xA;'MFPR01007402',&amp;amp;#xD;&amp;amp;#xA;'MFPR01007403',&amp;amp;#xD;&amp;amp;#xA;'MFPR01007404',&amp;amp;#xD;&amp;amp;#xA;'MFPR01007405',&amp;amp;#xD;&amp;amp;#xA;'MFPR01007406',&amp;amp;#xD;&amp;amp;#xA;'MFPR'"</definedName>
    <definedName name="_AMO_ContentDefinition_485496469.3040"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3041" hidden="1">"';&amp;amp;lt;RightHandSideExpression xml:space=&amp;amp;quot;preserve&amp;amp;quot;&amp;amp;gt;MFPR01007837&amp;amp;lt;/RightHandSideExpression&amp;amp;gt;&amp;amp;lt;IsSubquery&amp;amp;gt;False&amp;amp;lt;/IsSubquery&amp;amp;gt;&amp;amp;lt;SubqueryTemplateName /&amp;amp;gt;&amp;amp;lt;/RHSItem&amp;amp;gt;'"</definedName>
    <definedName name="_AMO_ContentDefinition_485496469.3042" hidden="1">"'&amp;amp;lt;RHSItem&amp;amp;gt;&amp;amp;lt;RHSType&amp;amp;gt;EXPRESSION&amp;amp;lt;/RHSType&amp;amp;gt;&amp;amp;lt;AddQuotes&amp;amp;gt;True&amp;amp;lt;/AddQuotes&amp;amp;gt;&amp;amp;lt;DateFormat&amp;amp;gt;None&amp;amp;lt;/DateFormat&amp;amp;gt;&amp;amp;lt;RightHandSideExpression xml:space=&amp;amp;quot;preserv'"</definedName>
    <definedName name="_AMO_ContentDefinition_485496469.3043" hidden="1">"'e&amp;amp;quot;&amp;amp;gt;MFPR01007838&amp;amp;lt;/RightHandSideExpression&amp;amp;gt;&amp;amp;lt;IsSubquery&amp;amp;gt;False&amp;amp;lt;/IsSubquery&amp;amp;gt;&amp;amp;lt;SubqueryTemplateName /&amp;amp;gt;&amp;amp;lt;/RHSItem&amp;amp;gt;&amp;amp;lt;RHSItem&amp;amp;gt;&amp;amp;lt;RHSType&amp;amp;gt;EXPRESSION&amp;amp'"</definedName>
    <definedName name="_AMO_ContentDefinition_485496469.3044" hidden="1">"';lt;/RHSType&amp;amp;gt;&amp;amp;lt;AddQuotes&amp;amp;gt;True&amp;amp;lt;/AddQuotes&amp;amp;gt;&amp;amp;lt;DateFormat&amp;amp;gt;None&amp;amp;lt;/DateFormat&amp;amp;gt;&amp;amp;lt;RightHandSideExpression xml:space=&amp;amp;quot;preserve&amp;amp;quot;&amp;amp;gt;MFPR01007839&amp;amp;lt;/RightHandSideExpress'"</definedName>
    <definedName name="_AMO_ContentDefinition_485496469.3045"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485496469.3046" hidden="1">"'dQuotes&amp;amp;gt;&amp;amp;lt;DateFormat&amp;amp;gt;None&amp;amp;lt;/DateFormat&amp;amp;gt;&amp;amp;lt;RightHandSideExpression xml:space=&amp;amp;quot;preserve&amp;amp;quot;&amp;amp;gt;MFPR01007840&amp;amp;lt;/RightHandSideExpression&amp;amp;gt;&amp;amp;lt;IsSubquery&amp;amp;gt;False&amp;amp;lt;/IsSubquer'"</definedName>
    <definedName name="_AMO_ContentDefinition_485496469.3047"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485496469.3048" hidden="1">"'rmat&amp;amp;gt;&amp;amp;lt;RightHandSideExpression xml:space=&amp;amp;quot;preserve&amp;amp;quot;&amp;amp;gt;MFPR01007841&amp;amp;lt;/RightHandSideExpression&amp;amp;gt;&amp;amp;lt;IsSubquery&amp;amp;gt;False&amp;amp;lt;/IsSubquery&amp;amp;gt;&amp;amp;lt;SubqueryTemplateName /&amp;amp;gt;&amp;amp;lt;/RHSI'"</definedName>
    <definedName name="_AMO_ContentDefinition_485496469.3049" hidden="1">"'tem&amp;amp;gt;&amp;amp;lt;RHSItem&amp;amp;gt;&amp;amp;lt;RHSType&amp;amp;gt;EXPRESSION&amp;amp;lt;/RHSType&amp;amp;gt;&amp;amp;lt;AddQuotes&amp;amp;gt;True&amp;amp;lt;/AddQuotes&amp;amp;gt;&amp;amp;lt;DateFormat&amp;amp;gt;None&amp;amp;lt;/DateFormat&amp;amp;gt;&amp;amp;lt;RightHandSideExpression xml:space=&amp;amp;q'"</definedName>
    <definedName name="_AMO_ContentDefinition_485496469.305" hidden="1">"'01007407',&amp;amp;#xD;&amp;amp;#xA;'MFPR01007408',&amp;amp;#xD;&amp;amp;#xA;'MFPR01007409',&amp;amp;#xD;&amp;amp;#xA;'MFPR01007410',&amp;amp;#xD;&amp;amp;#xA;'MFPR01007411',&amp;amp;#xD;&amp;amp;#xA;'MFPR01007412',&amp;amp;#xD;&amp;amp;#xA;'MFPR01007413',&amp;amp;#xD;&amp;amp;#xA;'MFPR01007414',&amp;amp;#xD;&amp;'"</definedName>
    <definedName name="_AMO_ContentDefinition_485496469.3050" hidden="1">"'uot;preserve&amp;amp;quot;&amp;amp;gt;MFPR01007842&amp;amp;lt;/RightHandSideExpression&amp;amp;gt;&amp;amp;lt;IsSubquery&amp;amp;gt;False&amp;amp;lt;/IsSubquery&amp;amp;gt;&amp;amp;lt;SubqueryTemplateName /&amp;amp;gt;&amp;amp;lt;/RHSItem&amp;amp;gt;&amp;amp;lt;RHSItem&amp;amp;gt;&amp;amp;lt;RHSType&amp;amp;gt;EXP'"</definedName>
    <definedName name="_AMO_ContentDefinition_485496469.3051" hidden="1">"'RESSION&amp;amp;lt;/RHSType&amp;amp;gt;&amp;amp;lt;AddQuotes&amp;amp;gt;True&amp;amp;lt;/AddQuotes&amp;amp;gt;&amp;amp;lt;DateFormat&amp;amp;gt;None&amp;amp;lt;/DateFormat&amp;amp;gt;&amp;amp;lt;RightHandSideExpression xml:space=&amp;amp;quot;preserve&amp;amp;quot;&amp;amp;gt;MFPR01007843&amp;amp;lt;/RightHand'"</definedName>
    <definedName name="_AMO_ContentDefinition_485496469.3052"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485496469.3053" hidden="1">"'&amp;amp;lt;/AddQuotes&amp;amp;gt;&amp;amp;lt;DateFormat&amp;amp;gt;None&amp;amp;lt;/DateFormat&amp;amp;gt;&amp;amp;lt;RightHandSideExpression xml:space=&amp;amp;quot;preserve&amp;amp;quot;&amp;amp;gt;MFPR01007844&amp;amp;lt;/RightHandSideExpression&amp;amp;gt;&amp;amp;lt;IsSubquery&amp;amp;gt;False&amp;amp;lt'"</definedName>
    <definedName name="_AMO_ContentDefinition_485496469.3054"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3055" hidden="1">"';lt;/DateFormat&amp;amp;gt;&amp;amp;lt;RightHandSideExpression xml:space=&amp;amp;quot;preserve&amp;amp;quot;&amp;amp;gt;MFPR01007845&amp;amp;lt;/RightHandSideExpression&amp;amp;gt;&amp;amp;lt;IsSubquery&amp;amp;gt;False&amp;amp;lt;/IsSubquery&amp;amp;gt;&amp;amp;lt;SubqueryTemplateName /&amp;amp;gt;&amp;a'"</definedName>
    <definedName name="_AMO_ContentDefinition_485496469.3056" hidden="1">"'mp;lt;/RHSItem&amp;amp;gt;&amp;amp;lt;RHSItem&amp;amp;gt;&amp;amp;lt;RHSType&amp;amp;gt;EXPRESSION&amp;amp;lt;/RHSType&amp;amp;gt;&amp;amp;lt;AddQuotes&amp;amp;gt;True&amp;amp;lt;/AddQuotes&amp;amp;gt;&amp;amp;lt;DateFormat&amp;amp;gt;None&amp;amp;lt;/DateFormat&amp;amp;gt;&amp;amp;lt;RightHandSideExpression xml:s'"</definedName>
    <definedName name="_AMO_ContentDefinition_485496469.3057" hidden="1">"'pace=&amp;amp;quot;preserve&amp;amp;quot;&amp;amp;gt;MFPR01007846&amp;amp;lt;/RightHandSideExpression&amp;amp;gt;&amp;amp;lt;IsSubquery&amp;amp;gt;False&amp;amp;lt;/IsSubquery&amp;amp;gt;&amp;amp;lt;SubqueryTemplateName /&amp;amp;gt;&amp;amp;lt;/RHSItem&amp;amp;gt;&amp;amp;lt;RHSItem&amp;amp;gt;&amp;amp;lt;RHSType'"</definedName>
    <definedName name="_AMO_ContentDefinition_485496469.3058" hidden="1">"'&amp;amp;gt;EXPRESSION&amp;amp;lt;/RHSType&amp;amp;gt;&amp;amp;lt;AddQuotes&amp;amp;gt;True&amp;amp;lt;/AddQuotes&amp;amp;gt;&amp;amp;lt;DateFormat&amp;amp;gt;None&amp;amp;lt;/DateFormat&amp;amp;gt;&amp;amp;lt;RightHandSideExpression xml:space=&amp;amp;quot;preserve&amp;amp;quot;&amp;amp;gt;MFPR01007847&amp;amp;lt'"</definedName>
    <definedName name="_AMO_ContentDefinition_485496469.3059"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485496469.306" hidden="1">"'amp;#xA;'MFPR01007415',&amp;amp;#xD;&amp;amp;#xA;'MFPR01007416',&amp;amp;#xD;&amp;amp;#xA;'MFPR01007417',&amp;amp;#xD;&amp;amp;#xA;'MFPR01007418',&amp;amp;#xD;&amp;amp;#xA;'MFPR01007419',&amp;amp;#xD;&amp;amp;#xA;'MFPR01007420',&amp;amp;#xD;&amp;amp;#xA;'MFPR01007421',&amp;amp;#xD;&amp;amp;#xA;'MFPR0100742'"</definedName>
    <definedName name="_AMO_ContentDefinition_485496469.3060" hidden="1">"'amp;gt;True&amp;amp;lt;/AddQuotes&amp;amp;gt;&amp;amp;lt;DateFormat&amp;amp;gt;None&amp;amp;lt;/DateFormat&amp;amp;gt;&amp;amp;lt;RightHandSideExpression xml:space=&amp;amp;quot;preserve&amp;amp;quot;&amp;amp;gt;MFPR01007848&amp;amp;lt;/RightHandSideExpression&amp;amp;gt;&amp;amp;lt;IsSubquery&amp;amp;gt;F'"</definedName>
    <definedName name="_AMO_ContentDefinition_485496469.3061"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3062" hidden="1">"'gt;None&amp;amp;lt;/DateFormat&amp;amp;gt;&amp;amp;lt;RightHandSideExpression xml:space=&amp;amp;quot;preserve&amp;amp;quot;&amp;amp;gt;MFPR01007849&amp;amp;lt;/RightHandSideExpression&amp;amp;gt;&amp;amp;lt;IsSubquery&amp;amp;gt;False&amp;amp;lt;/IsSubquery&amp;amp;gt;&amp;amp;lt;SubqueryTemplateName '"</definedName>
    <definedName name="_AMO_ContentDefinition_485496469.3063"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485496469.3064" hidden="1">"'ssion xml:space=&amp;amp;quot;preserve&amp;amp;quot;&amp;amp;gt;MFPR01007850&amp;amp;lt;/RightHandSideExpression&amp;amp;gt;&amp;amp;lt;IsSubquery&amp;amp;gt;False&amp;amp;lt;/IsSubquery&amp;amp;gt;&amp;amp;lt;SubqueryTemplateName /&amp;amp;gt;&amp;amp;lt;/RHSItem&amp;amp;gt;&amp;amp;lt;RHSItem&amp;amp;gt;&amp;amp'"</definedName>
    <definedName name="_AMO_ContentDefinition_485496469.3065" hidden="1">"';lt;RHSType&amp;amp;gt;EXPRESSION&amp;amp;lt;/RHSType&amp;amp;gt;&amp;amp;lt;AddQuotes&amp;amp;gt;True&amp;amp;lt;/AddQuotes&amp;amp;gt;&amp;amp;lt;DateFormat&amp;amp;gt;None&amp;amp;lt;/DateFormat&amp;amp;gt;&amp;amp;lt;RightHandSideExpression xml:space=&amp;amp;quot;preserve&amp;amp;quot;&amp;amp;gt;MFPR0100'"</definedName>
    <definedName name="_AMO_ContentDefinition_485496469.3066" hidden="1">"'7851&amp;amp;lt;/RightHandSideExpression&amp;amp;gt;&amp;amp;lt;IsSubquery&amp;amp;gt;False&amp;amp;lt;/IsSubquery&amp;amp;gt;&amp;amp;lt;SubqueryTemplateName /&amp;amp;gt;&amp;amp;lt;/RHSItem&amp;amp;gt;&amp;amp;lt;/RightHandSideItems&amp;amp;gt;&amp;amp;lt;/RightHandSide&amp;amp;gt;&amp;amp;lt;IsCaseSensitiv'"</definedName>
    <definedName name="_AMO_ContentDefinition_485496469.3067" hidden="1">"'e&amp;amp;gt;True&amp;amp;lt;/IsCaseSensitive&amp;amp;gt;&amp;amp;lt;/Node&amp;amp;gt;&amp;amp;lt;/SiblingLink&amp;amp;gt;&amp;amp;lt;Operator&amp;amp;gt;CONTAINS&amp;amp;lt;/Operator&amp;amp;gt;&amp;amp;lt;UseMacroFunction&amp;amp;gt;False&amp;amp;lt;/UseMacroFunction&amp;amp;gt;&amp;amp;lt;Not&amp;amp;gt;False&amp;amp;l'"</definedName>
    <definedName name="_AMO_ContentDefinition_485496469.3068" hidden="1">"'t;/Not&amp;amp;gt;&amp;amp;lt;Label /&amp;amp;gt;&amp;amp;lt;RightHandSide&amp;amp;gt;&amp;amp;lt;RightHandSideNumType&amp;amp;gt;SINGLE&amp;amp;lt;/RightHandSideNumType&amp;amp;gt;&amp;amp;lt;RightHandSideItems&amp;amp;gt;&amp;amp;lt;RHSItem&amp;amp;gt;&amp;amp;lt;RHSType&amp;amp;gt;EXPRESSION&amp;amp;lt;/RHSType'"</definedName>
    <definedName name="_AMO_ContentDefinition_485496469.3069" hidden="1">"'&amp;amp;gt;&amp;amp;lt;AddQuotes&amp;amp;gt;True&amp;amp;lt;/AddQuotes&amp;amp;gt;&amp;amp;lt;DateFormat&amp;amp;gt;None&amp;amp;lt;/DateFormat&amp;amp;gt;&amp;amp;lt;RightHandSideExpression xml:space=&amp;amp;quot;preserve&amp;amp;quot;&amp;amp;gt;ECCU&amp;amp;lt;/RightHandSideExpression&amp;amp;gt;&amp;amp;lt;I'"</definedName>
    <definedName name="_AMO_ContentDefinition_485496469.307" hidden="1">"'2',&amp;amp;#xD;&amp;amp;#xA;'MFPR01007423',&amp;amp;#xD;&amp;amp;#xA;'MFPR01007424',&amp;amp;#xD;&amp;amp;#xA;'MFPR01007425',&amp;amp;#xD;&amp;amp;#xA;'MFPR01007426',&amp;amp;#xD;&amp;amp;#xA;'MFPR01007427',&amp;amp;#xD;&amp;amp;#xA;'MFPR01007428',&amp;amp;#xD;&amp;amp;#xA;'MFPR01007429',&amp;amp;#xD;&amp;amp;#xA'"</definedName>
    <definedName name="_AMO_ContentDefinition_485496469.3070" hidden="1">"'sSubquery&amp;amp;gt;False&amp;amp;lt;/IsSubquery&amp;amp;gt;&amp;amp;lt;SubqueryTemplateName /&amp;amp;gt;&amp;amp;lt;/RHSItem&amp;amp;gt;&amp;amp;lt;/RightHandSideItems&amp;amp;gt;&amp;amp;lt;/RightHandSide&amp;amp;gt;&amp;amp;lt;IsCaseSensitive&amp;amp;gt;True&amp;amp;lt;/IsCaseSensitive&amp;amp;gt;&amp;amp;lt;'"</definedName>
    <definedName name="_AMO_ContentDefinition_485496469.3071" hidden="1">"'/Node&amp;amp;gt;&amp;amp;lt;/SiblingLink&amp;amp;gt;&amp;amp;lt;Operator&amp;amp;gt;=&amp;amp;lt;/Operator&amp;amp;gt;&amp;amp;lt;UseMacroFunction&amp;amp;gt;False&amp;amp;lt;/UseMacroFunction&amp;amp;gt;&amp;amp;lt;Not&amp;amp;gt;False&amp;amp;lt;/Not&amp;amp;gt;&amp;amp;lt;Label /&amp;amp;gt;&amp;amp;lt;RightHandSide&amp;a'"</definedName>
    <definedName name="_AMO_ContentDefinition_485496469.3072" hidden="1">"'mp;gt;&amp;amp;lt;RightHandSideNumType&amp;amp;gt;SINGLE&amp;amp;lt;/RightHandSideNumType&amp;amp;gt;&amp;amp;lt;RightHandSideItems&amp;amp;gt;&amp;amp;lt;RHSItem&amp;amp;gt;&amp;amp;lt;RHSType&amp;amp;gt;EXPRESSION&amp;amp;lt;/RHSType&amp;amp;gt;&amp;amp;lt;AddQuotes&amp;amp;gt;True&amp;amp;lt;/AddQuotes&amp;amp;'"</definedName>
    <definedName name="_AMO_ContentDefinition_485496469.3073" hidden="1">"'gt;&amp;amp;lt;DateFormat&amp;amp;gt;None&amp;amp;lt;/DateFormat&amp;amp;gt;&amp;amp;lt;RightHandSideExpression xml:space=&amp;amp;quot;preserve&amp;amp;quot;&amp;amp;gt;M&amp;amp;lt;/RightHandSideExpression&amp;amp;gt;&amp;amp;lt;IsSubquery&amp;amp;gt;False&amp;amp;lt;/IsSubquery&amp;amp;gt;&amp;amp;lt;Subque'"</definedName>
    <definedName name="_AMO_ContentDefinition_485496469.3074" hidden="1">"'ryTemplateName /&amp;amp;gt;&amp;amp;lt;/RHSItem&amp;amp;gt;&amp;amp;lt;/RightHandSideItems&amp;amp;gt;&amp;amp;lt;/RightHandSide&amp;amp;gt;&amp;amp;lt;IsCaseSensitive&amp;amp;gt;True&amp;amp;lt;/IsCaseSensitive&amp;amp;gt;&amp;amp;lt;/Node&amp;amp;gt;&amp;amp;lt;/SiblingLink&amp;amp;gt;&amp;amp;lt;Operator&amp;amp;g'"</definedName>
    <definedName name="_AMO_ContentDefinition_485496469.3075" hidden="1">"'t;&amp;amp;amp;gt;=&amp;amp;lt;/Operator&amp;amp;gt;&amp;amp;lt;UseMacroFunction&amp;amp;gt;False&amp;amp;lt;/UseMacroFunction&amp;amp;gt;&amp;amp;lt;Not&amp;amp;gt;False&amp;amp;lt;/Not&amp;amp;gt;&amp;amp;lt;Label /&amp;amp;gt;&amp;amp;lt;RightHandSide&amp;amp;gt;&amp;amp;lt;RightHandSideNumType&amp;amp;gt;SINGLE&amp;am'"</definedName>
    <definedName name="_AMO_ContentDefinition_485496469.3076" hidden="1">"'p;lt;/RightHandSideNumType&amp;amp;gt;&amp;amp;lt;RightHandSideItems&amp;amp;gt;&amp;amp;lt;RHSItem&amp;amp;gt;&amp;amp;lt;RHSType&amp;amp;gt;EXPRESSION&amp;amp;lt;/RHSType&amp;amp;gt;&amp;amp;lt;AddQuotes&amp;amp;gt;False&amp;amp;lt;/AddQuotes&amp;amp;gt;&amp;amp;lt;DateFormat&amp;amp;gt;Literal&amp;amp;lt;/DateF'"</definedName>
    <definedName name="_AMO_ContentDefinition_485496469.3077" hidden="1">"'ormat&amp;amp;gt;&amp;amp;lt;RightHandSideExpression xml:space=&amp;amp;quot;preserve&amp;amp;quot;&amp;amp;gt;01/31/2020&amp;amp;lt;/RightHandSideExpression&amp;amp;gt;&amp;amp;lt;IsSubquery&amp;amp;gt;False&amp;amp;lt;/IsSubquery&amp;amp;gt;&amp;amp;lt;SubqueryTemplateName /&amp;amp;gt;&amp;amp;lt;/RHSIt'"</definedName>
    <definedName name="_AMO_ContentDefinition_485496469.3078" hidden="1">"'em&amp;amp;gt;&amp;amp;lt;/RightHandSideItems&amp;amp;gt;&amp;amp;lt;/RightHandSide&amp;amp;gt;&amp;amp;lt;IsCaseSensitive&amp;amp;gt;True&amp;amp;lt;/IsCaseSensitive&amp;amp;gt;&amp;amp;lt;/Node&amp;amp;gt;&amp;amp;lt;/SiblingLink&amp;amp;gt;&amp;amp;lt;Operator&amp;amp;gt;IN&amp;amp;lt;/Operator&amp;amp;gt;&amp;amp;lt;U'"</definedName>
    <definedName name="_AMO_ContentDefinition_485496469.3079" hidden="1">"'seMacroFunction&amp;amp;gt;False&amp;amp;lt;/UseMacroFunction&amp;amp;gt;&amp;amp;lt;Not&amp;amp;gt;False&amp;amp;lt;/Not&amp;amp;gt;&amp;amp;lt;Label /&amp;amp;gt;&amp;amp;lt;RightHandSide&amp;amp;gt;&amp;amp;lt;RightHandSideNumType&amp;amp;gt;LIST&amp;amp;lt;/RightHandSideNumType&amp;amp;gt;&amp;amp;lt;RightHand'"</definedName>
    <definedName name="_AMO_ContentDefinition_485496469.308" hidden="1">"';'MFPR01007430',&amp;amp;#xD;&amp;amp;#xA;'MFPR01007431',&amp;amp;#xD;&amp;amp;#xA;'MFPR01007432',&amp;amp;#xD;&amp;amp;#xA;'MFPR01007433',&amp;amp;#xD;&amp;amp;#xA;'MFPR01007434',&amp;amp;#xD;&amp;amp;#xA;'MFPR01007435',&amp;amp;#xD;&amp;amp;#xA;'MFPR01007436',&amp;amp;#xD;&amp;amp;#xA;'MFPR01007437',&amp;amp'"</definedName>
    <definedName name="_AMO_ContentDefinition_485496469.3080" hidden="1">"'SideItems&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485496469.3081" hidden="1">"'&amp;amp;quot;preserve&amp;amp;quot;&amp;amp;gt;Country&amp;amp;lt;/RightHandSideExpression&amp;amp;gt;&amp;amp;lt;IsSubquery&amp;amp;gt;False&amp;amp;lt;/IsSubquery&amp;amp;gt;&amp;amp;lt;SubqueryTemplateName /&amp;amp;gt;&amp;amp;lt;/RHSItem&amp;amp;gt;&amp;amp;lt;/RightHandSideItems&amp;amp;gt;&amp;amp;lt;/Righ'"</definedName>
    <definedName name="_AMO_ContentDefinition_485496469.3082" hidden="1">"'tHandSide&amp;amp;gt;&amp;amp;lt;IsCaseSensitive&amp;amp;gt;True&amp;amp;lt;/IsCaseSensitive&amp;amp;gt;&amp;amp;lt;/TreeRoot&amp;amp;gt;&amp;amp;lt;/FilterTree&amp;amp;gt;&amp;quot; Sort=&amp;quot;entity_id ASC,  date_dt ASC,  indicator_id ASC&amp;quot; ColSelFlg=&amp;quot;0&amp;quot; DNA=&amp;quot;&amp;amp;lt;DN'"</definedName>
    <definedName name="_AMO_ContentDefinition_485496469.3083" hidden="1">"'A&amp;amp;gt;&amp;amp;#xD;&amp;amp;#xA;  &amp;amp;lt;Type&amp;amp;gt;Dataset&amp;amp;lt;/Type&amp;amp;gt;&amp;amp;#xD;&amp;amp;#xA;  &amp;amp;lt;Name&amp;amp;gt;validation_metrics_prior10_view&amp;amp;lt;/Name&amp;amp;gt;&amp;amp;#xD;&amp;amp;#xA;  &amp;amp;lt;Version&amp;amp;gt;1&amp;amp;lt;/Version&amp;amp;gt;&amp;amp;#xD;&amp;amp;'"</definedName>
    <definedName name="_AMO_ContentDefinition_485496469.3084" hidden="1">"'#xA;  &amp;amp;lt;Assembly&amp;amp;gt;SAS.EG.SDS.Model&amp;amp;lt;/Assembly&amp;amp;gt;&amp;amp;#xD;&amp;amp;#xA;  &amp;amp;lt;Factory&amp;amp;gt;SAS.EG.SDS.Model.Creator&amp;amp;lt;/Factory&amp;amp;gt;&amp;amp;#xD;&amp;amp;#xA;  &amp;amp;lt;ParentName&amp;amp;gt;Metrics Data&amp;amp;lt;/ParentName&amp;amp;gt;&amp;amp'"</definedName>
    <definedName name="_AMO_ContentDefinition_485496469.3085" hidden="1">"';#xD;&amp;amp;#xA;  &amp;amp;lt;Server&amp;amp;gt;SASApp&amp;amp;lt;/Server&amp;amp;gt;&amp;amp;#xD;&amp;amp;#xA;  &amp;amp;lt;Library&amp;amp;gt;Metrics Data&amp;amp;lt;/Library&amp;amp;gt;&amp;amp;#xD;&amp;amp;#xA;  &amp;amp;lt;ParentDNA&amp;amp;gt;&amp;amp;amp;lt;DNA&amp;amp;amp;gt;&amp;amp;#xD;&amp;amp;#xA;  &amp;amp;amp;lt;T'"</definedName>
    <definedName name="_AMO_ContentDefinition_485496469.3086" hidden="1">"'ype&amp;amp;amp;gt;Library&amp;amp;amp;lt;/Type&amp;amp;amp;gt;&amp;amp;#xD;&amp;amp;#xA;  &amp;amp;amp;lt;Name&amp;amp;amp;gt;Metrics Data&amp;amp;amp;lt;/Name&amp;amp;amp;gt;&amp;amp;#xD;&amp;amp;#xA;  &amp;amp;amp;lt;Version&amp;amp;amp;gt;1&amp;amp;amp;lt;/Version&amp;amp;amp;gt;&amp;amp;#xD;&amp;amp;#xA;  &amp;amp;am'"</definedName>
    <definedName name="_AMO_ContentDefinition_485496469.3087" hidden="1">"'p;lt;Assembly&amp;amp;amp;gt;SAS.EG.SDS.Model&amp;amp;amp;lt;/Assembly&amp;amp;amp;gt;&amp;amp;#xD;&amp;amp;#xA;  &amp;amp;amp;lt;Factory&amp;amp;amp;gt;SAS.EG.SDS.Model.Creator&amp;amp;amp;lt;/Factory&amp;amp;amp;gt;&amp;amp;#xD;&amp;amp;#xA;  &amp;amp;amp;lt;ParentName&amp;amp;amp;gt;SASApp&amp;amp;amp;l'"</definedName>
    <definedName name="_AMO_ContentDefinition_485496469.3088" hidden="1">"'t;/ParentName&amp;amp;amp;gt;&amp;amp;#xD;&amp;amp;#xA;  &amp;amp;amp;lt;DisplayName&amp;amp;amp;gt;Metrics Data&amp;amp;amp;lt;/DisplayName&amp;amp;amp;gt;&amp;amp;#xD;&amp;amp;#xA;  &amp;amp;amp;lt;Server&amp;amp;amp;gt;SASApp&amp;amp;amp;lt;/Server&amp;amp;amp;gt;&amp;amp;#xD;&amp;amp;#xA;&amp;amp;amp;lt;/DNA&amp;a'"</definedName>
    <definedName name="_AMO_ContentDefinition_485496469.3089" hidden="1">"'mp;amp;gt;&amp;amp;lt;/ParentDNA&amp;amp;gt;&amp;amp;#xD;&amp;amp;#xA;&amp;amp;lt;/DNA&amp;amp;gt;&amp;quot; Name=&amp;quot;validation_metrics_prior10_view&amp;quot;&amp;gt;&amp;#xD;&amp;#xA;&amp;lt;Cols&amp;gt;&amp;#xD;&amp;#xA;&amp;lt;cn&amp;gt;entity_id&amp;lt;/cn&amp;gt;&amp;#xD;&amp;#xA;&amp;lt;cn&amp;gt;entity_short_nm&amp;lt;/cn&amp;gt;&amp;#xD;&amp;#xA;'"</definedName>
    <definedName name="_AMO_ContentDefinition_485496469.309" hidden="1">"';#xD;&amp;amp;#xA;'MFPR01007438',&amp;amp;#xD;&amp;amp;#xA;'MFPR01007439',&amp;amp;#xD;&amp;amp;#xA;'MFPR01007440',&amp;amp;#xD;&amp;amp;#xA;'MFPR01007441',&amp;amp;#xD;&amp;amp;#xA;'MFPR01007442',&amp;amp;#xD;&amp;amp;#xA;'MFPR01007443',&amp;amp;#xD;&amp;amp;#xA;'MFPR01007444',&amp;amp;#xD;&amp;amp;#xA;'MFPR0'"</definedName>
    <definedName name="_AMO_ContentDefinition_485496469.3090" hidden="1">"'&amp;lt;cn&amp;gt;frequency_cd&amp;lt;/cn&amp;gt;&amp;#xD;&amp;#xA;&amp;lt;cn&amp;gt;indicator_id&amp;lt;/cn&amp;gt;&amp;#xD;&amp;#xA;&amp;lt;cn&amp;gt;output_label&amp;lt;/cn&amp;gt;&amp;#xD;&amp;#xA;&amp;lt;cn&amp;gt;date_dt&amp;lt;/cn&amp;gt;&amp;#xD;&amp;#xA;&amp;lt;cn&amp;gt;reporting_amount&amp;lt;/cn&amp;gt;&amp;#xD;&amp;#xA;&amp;lt;/Cols&amp;gt;&amp;#xD;&amp;#xA;&amp;lt;ColOrd&amp;gt;'"</definedName>
    <definedName name="_AMO_ContentDefinition_485496469.3091" hidden="1">"'&amp;#xD;&amp;#xA;&amp;lt;cn&amp;gt;entity_id&amp;lt;/cn&amp;gt;&amp;#xD;&amp;#xA;&amp;lt;cn&amp;gt;entity_short_nm&amp;lt;/cn&amp;gt;&amp;#xD;&amp;#xA;&amp;lt;cn&amp;gt;frequency_cd&amp;lt;/cn&amp;gt;&amp;#xD;&amp;#xA;&amp;lt;cn&amp;gt;indicator_id&amp;lt;/cn&amp;gt;&amp;#xD;&amp;#xA;&amp;lt;cn&amp;gt;output_label&amp;lt;/cn&amp;gt;&amp;#xD;&amp;#xA;&amp;lt;cn&amp;gt;date_dt&amp;lt;/cn&amp;g'"</definedName>
    <definedName name="_AMO_ContentDefinition_485496469.3092" hidden="1">"'t;&amp;#xD;&amp;#xA;&amp;lt;cn&amp;gt;reporting_amount&amp;lt;/cn&amp;gt;&amp;#xD;&amp;#xA;&amp;lt;cn&amp;gt;frequency_nm&amp;lt;/cn&amp;gt;&amp;#xD;&amp;#xA;&amp;lt;cn&amp;gt;status_cd&amp;lt;/cn&amp;gt;&amp;#xD;&amp;#xA;&amp;lt;cn&amp;gt;submitted_dttm&amp;lt;/cn&amp;gt;&amp;#xD;&amp;#xA;&amp;lt;cn&amp;gt;macro_data_cd&amp;lt;/cn&amp;gt;&amp;#xD;&amp;#xA;&amp;lt;cn&amp;gt;unit&amp;lt;/c'"</definedName>
    <definedName name="_AMO_ContentDefinition_485496469.3093" hidden="1">"'n&amp;gt;&amp;#xD;&amp;#xA;&amp;lt;cn&amp;gt;type&amp;lt;/cn&amp;gt;&amp;#xD;&amp;#xA;&amp;lt;cn&amp;gt;year_quarter_nm&amp;lt;/cn&amp;gt;&amp;#xD;&amp;#xA;&amp;lt;cn&amp;gt;year_month_nm&amp;lt;/cn&amp;gt;&amp;#xD;&amp;#xA;&amp;lt;cn&amp;gt;calendar_date_sas&amp;lt;/cn&amp;gt;&amp;#xD;&amp;#xA;&amp;lt;cn&amp;gt;country_cd&amp;lt;/cn&amp;gt;&amp;#xD;&amp;#xA;&amp;lt;cn&amp;gt;entity_submi'"</definedName>
    <definedName name="_AMO_ContentDefinition_485496469.3094" hidden="1">"'tter_type&amp;lt;/cn&amp;gt;&amp;#xD;&amp;#xA;&amp;lt;cn&amp;gt;vgroup_fl&amp;lt;/cn&amp;gt;&amp;#xD;&amp;#xA;&amp;lt;cn&amp;gt;fiscal_year_end_mo&amp;lt;/cn&amp;gt;&amp;#xD;&amp;#xA;&amp;lt;cn&amp;gt;country_nm&amp;lt;/cn&amp;gt;&amp;#xD;&amp;#xA;&amp;lt;cn&amp;gt;form_id&amp;lt;/cn&amp;gt;&amp;#xD;&amp;#xA;&amp;lt;cn&amp;gt;form_nm&amp;lt;/cn&amp;gt;&amp;#xD;&amp;#xA;&amp;lt;/ColOrd&amp;gt;'"</definedName>
    <definedName name="_AMO_ContentDefinition_485496469.3095" hidden="1">"'&amp;#xD;&amp;#xA;&amp;lt;/SasDataSource&amp;gt;"" /&gt;_x000D_
  &lt;param n=""ExcelTableColumnCount"" v=""7"" /&gt;_x000D_
  &lt;param n=""ExcelTableRowCount"" v=""121676"" /&gt;_x000D_
  &lt;param n=""DataRowCount"" v=""121676"" /&gt;_x000D_
  &lt;param n=""DataColCount"" v=""7"" /&gt;_x000D_
  &lt;param n=""ObsColumn"" '"</definedName>
    <definedName name="_AMO_ContentDefinition_485496469.3096" hidden="1">"'v=""false"" /&gt;_x000D_
  &lt;param n=""ExcelFormattingHash"" v=""-1723195863"" /&gt;_x000D_
  &lt;param n=""ExcelFormatting"" v=""Automatic"" /&gt;_x000D_
  &lt;ExcelXMLOptions AdjColWidths=""True"" RowOpt=""InsertCells"" ColOpt=""InsertCells"" /&gt;_x000D_
&lt;/ContentDefinition&gt;'"</definedName>
    <definedName name="_AMO_ContentDefinition_485496469.31" hidden="1">"'2',&amp;#xD;&amp;#xA;'MFPR01006573',&amp;#xD;&amp;#xA;'MFPR01006574',&amp;#xD;&amp;#xA;'MFPR01006575',&amp;#xD;&amp;#xA;'MFPR01006576',&amp;#xD;&amp;#xA;'MFPR01006577',&amp;#xD;&amp;#xA;'MFPR01006578',&amp;#xD;&amp;#xA;'MFPR01006579',&amp;#xD;&amp;#xA;'MFPR01006580',&amp;#xD;&amp;#xA;'MFPR01006581',&amp;#xD;&amp;#xA;'MFPR01006582'"</definedName>
    <definedName name="_AMO_ContentDefinition_485496469.310" hidden="1">"'1007445',&amp;amp;#xD;&amp;amp;#xA;'MFPR01007446',&amp;amp;#xD;&amp;amp;#xA;'MFPR01007447',&amp;amp;#xD;&amp;amp;#xA;'MFPR01007448',&amp;amp;#xD;&amp;amp;#xA;'MFPR01007449',&amp;amp;#xD;&amp;amp;#xA;'MFPR01007450',&amp;amp;#xD;&amp;amp;#xA;'MFPR01007451',&amp;amp;#xD;&amp;amp;#xA;'MFPR01007452',&amp;amp;#xD;&amp;a'"</definedName>
    <definedName name="_AMO_ContentDefinition_485496469.311" hidden="1">"'mp;#xA;'MFPR01007453',&amp;amp;#xD;&amp;amp;#xA;'MFPR01007454',&amp;amp;#xD;&amp;amp;#xA;'MFPR01007455',&amp;amp;#xD;&amp;amp;#xA;'MFPR01007456',&amp;amp;#xD;&amp;amp;#xA;'MFPR01007457',&amp;amp;#xD;&amp;amp;#xA;'MFPR01007458',&amp;amp;#xD;&amp;amp;#xA;'MFPR01007459',&amp;amp;#xD;&amp;amp;#xA;'MFPR01007460'"</definedName>
    <definedName name="_AMO_ContentDefinition_485496469.312" hidden="1">"'',&amp;amp;#xD;&amp;amp;#xA;'MFPR01007461',&amp;amp;#xD;&amp;amp;#xA;'MFPR01007462',&amp;amp;#xD;&amp;amp;#xA;'MFPR01007463',&amp;amp;#xD;&amp;amp;#xA;'MFPR01007464',&amp;amp;#xD;&amp;amp;#xA;'MFPR01007465',&amp;amp;#xD;&amp;amp;#xA;'MFPR01007466',&amp;amp;#xD;&amp;amp;#xA;'MFPR01007467',&amp;amp;#xD;&amp;amp;#xA;'"</definedName>
    <definedName name="_AMO_ContentDefinition_485496469.313" hidden="1">"''MFPR01007468',&amp;amp;#xD;&amp;amp;#xA;'MFPR01007469',&amp;amp;#xD;&amp;amp;#xA;'MFPR01007470',&amp;amp;#xD;&amp;amp;#xA;'MFPR01007471',&amp;amp;#xD;&amp;amp;#xA;'MFPR01007472',&amp;amp;#xD;&amp;amp;#xA;'MFPR01007473',&amp;amp;#xD;&amp;amp;#xA;'MFPR01007474',&amp;amp;#xD;&amp;amp;#xA;'MFPR01007475',&amp;amp;'"</definedName>
    <definedName name="_AMO_ContentDefinition_485496469.314" hidden="1">"'#xD;&amp;amp;#xA;'MFPR01007476',&amp;amp;#xD;&amp;amp;#xA;'MFPR01007477',&amp;amp;#xD;&amp;amp;#xA;'MFPR01007478',&amp;amp;#xD;&amp;amp;#xA;'MFPR01007479',&amp;amp;#xD;&amp;amp;#xA;'MFPR01007480',&amp;amp;#xD;&amp;amp;#xA;'MFPR01007481',&amp;amp;#xD;&amp;amp;#xA;'MFPR01007482',&amp;amp;#xD;&amp;amp;#xA;'MFPR01'"</definedName>
    <definedName name="_AMO_ContentDefinition_485496469.315" hidden="1">"'007483',&amp;amp;#xD;&amp;amp;#xA;'MFPR01007484',&amp;amp;#xD;&amp;amp;#xA;'MFPR01007485',&amp;amp;#xD;&amp;amp;#xA;'MFPR01007486',&amp;amp;#xD;&amp;amp;#xA;'MFPR01007487',&amp;amp;#xD;&amp;amp;#xA;'MFPR01007488',&amp;amp;#xD;&amp;amp;#xA;'MFPR01007489',&amp;amp;#xD;&amp;amp;#xA;'MFPR01007490',&amp;amp;#xD;&amp;am'"</definedName>
    <definedName name="_AMO_ContentDefinition_485496469.316" hidden="1">"'p;#xA;'MFPR01007491',&amp;amp;#xD;&amp;amp;#xA;'MFPR01007492',&amp;amp;#xD;&amp;amp;#xA;'MFPR01007493',&amp;amp;#xD;&amp;amp;#xA;'MFPR01007494',&amp;amp;#xD;&amp;amp;#xA;'MFPR01007495',&amp;amp;#xD;&amp;amp;#xA;'MFPR01007496',&amp;amp;#xD;&amp;amp;#xA;'MFPR01007497',&amp;amp;#xD;&amp;amp;#xA;'MFPR01007498''"</definedName>
    <definedName name="_AMO_ContentDefinition_485496469.317" hidden="1">"',&amp;amp;#xD;&amp;amp;#xA;'MFPR01007499',&amp;amp;#xD;&amp;amp;#xA;'MFPR01007500',&amp;amp;#xD;&amp;amp;#xA;'MFPR01007501',&amp;amp;#xD;&amp;amp;#xA;'MFPR01007502',&amp;amp;#xD;&amp;amp;#xA;'MFPR01007503',&amp;amp;#xD;&amp;amp;#xA;'MFPR01007504',&amp;amp;#xD;&amp;amp;#xA;'MFPR01007505',&amp;amp;#xD;&amp;amp;#xA;''"</definedName>
    <definedName name="_AMO_ContentDefinition_485496469.318" hidden="1">"'MFPR01007506',&amp;amp;#xD;&amp;amp;#xA;'MFPR01007507',&amp;amp;#xD;&amp;amp;#xA;'MFPR01007508',&amp;amp;#xD;&amp;amp;#xA;'MFPR01007509',&amp;amp;#xD;&amp;amp;#xA;'MFPR01007510',&amp;amp;#xD;&amp;amp;#xA;'MFPR01007511',&amp;amp;#xD;&amp;amp;#xA;'MFPR01007512',&amp;amp;#xD;&amp;amp;#xA;'MFPR01007513',&amp;amp;#'"</definedName>
    <definedName name="_AMO_ContentDefinition_485496469.319" hidden="1">"'xD;&amp;amp;#xA;'MFPR01007514',&amp;amp;#xD;&amp;amp;#xA;'MFPR01007515',&amp;amp;#xD;&amp;amp;#xA;'MFPR01007516',&amp;amp;#xD;&amp;amp;#xA;'MFPR01007517',&amp;amp;#xD;&amp;amp;#xA;'MFPR01007518',&amp;amp;#xD;&amp;amp;#xA;'MFPR01007519',&amp;amp;#xD;&amp;amp;#xA;'MFPR01007520',&amp;amp;#xD;&amp;amp;#xA;'MFPR010'"</definedName>
    <definedName name="_AMO_ContentDefinition_485496469.32" hidden="1">"'',&amp;#xD;&amp;#xA;'MFPR01006583',&amp;#xD;&amp;#xA;'MFPR01006584',&amp;#xD;&amp;#xA;'MFPR01006585',&amp;#xD;&amp;#xA;'MFPR01006586',&amp;#xD;&amp;#xA;'MFPR01006587',&amp;#xD;&amp;#xA;'MFPR01006588',&amp;#xD;&amp;#xA;'MFPR01006589',&amp;#xD;&amp;#xA;'MFPR01006590',&amp;#xD;&amp;#xA;'MFPR01006591',&amp;#xD;&amp;#xA;'MFPR01006592''"</definedName>
    <definedName name="_AMO_ContentDefinition_485496469.320" hidden="1">"'07521',&amp;amp;#xD;&amp;amp;#xA;'MFPR01007522',&amp;amp;#xD;&amp;amp;#xA;'MFPR01007523',&amp;amp;#xD;&amp;amp;#xA;'MFPR01007524',&amp;amp;#xD;&amp;amp;#xA;'MFPR01007525',&amp;amp;#xD;&amp;amp;#xA;'MFPR01007526',&amp;amp;#xD;&amp;amp;#xA;'MFPR01007527',&amp;amp;#xD;&amp;amp;#xA;'MFPR01007528',&amp;amp;#xD;&amp;amp'"</definedName>
    <definedName name="_AMO_ContentDefinition_485496469.321" hidden="1">"';#xA;'MFPR01007529',&amp;amp;#xD;&amp;amp;#xA;'MFPR01007530',&amp;amp;#xD;&amp;amp;#xA;'MFPR01007531',&amp;amp;#xD;&amp;amp;#xA;'MFPR01007532',&amp;amp;#xD;&amp;amp;#xA;'MFPR01007533',&amp;amp;#xD;&amp;amp;#xA;'MFPR01007534',&amp;amp;#xD;&amp;amp;#xA;'MFPR01007535',&amp;amp;#xD;&amp;amp;#xA;'MFPR01007536','"</definedName>
    <definedName name="_AMO_ContentDefinition_485496469.322" hidden="1">"'&amp;amp;#xD;&amp;amp;#xA;'MFPR01007537',&amp;amp;#xD;&amp;amp;#xA;'MFPR01007538',&amp;amp;#xD;&amp;amp;#xA;'MFPR01007539',&amp;amp;#xD;&amp;amp;#xA;'MFPR01007540',&amp;amp;#xD;&amp;amp;#xA;'MFPR01007541',&amp;amp;#xD;&amp;amp;#xA;'MFPR01007543',&amp;amp;#xD;&amp;amp;#xA;'MFPR01007544',&amp;amp;#xD;&amp;amp;#xA;'M'"</definedName>
    <definedName name="_AMO_ContentDefinition_485496469.323" hidden="1">"'FPR01007545',&amp;amp;#xD;&amp;amp;#xA;'MFPR01007546',&amp;amp;#xD;&amp;amp;#xA;'MFPR01007548',&amp;amp;#xD;&amp;amp;#xA;'MFPR01007549',&amp;amp;#xD;&amp;amp;#xA;'MFPR01007550',&amp;amp;#xD;&amp;amp;#xA;'MFPR01007551',&amp;amp;#xD;&amp;amp;#xA;'MFPR01007553',&amp;amp;#xD;&amp;amp;#xA;'MFPR01007554',&amp;amp;#x'"</definedName>
    <definedName name="_AMO_ContentDefinition_485496469.324" hidden="1">"'D;&amp;amp;#xA;'MFPR01007555',&amp;amp;#xD;&amp;amp;#xA;'MFPR01007556',&amp;amp;#xD;&amp;amp;#xA;'MFPR01007558',&amp;amp;#xD;&amp;amp;#xA;'MFPR01007559',&amp;amp;#xD;&amp;amp;#xA;'MFPR01007560',&amp;amp;#xD;&amp;amp;#xA;'MFPR01007561',&amp;amp;#xD;&amp;amp;#xA;'MFPR01007563',&amp;amp;#xD;&amp;amp;#xA;'MFPR0100'"</definedName>
    <definedName name="_AMO_ContentDefinition_485496469.325" hidden="1">"'7564',&amp;amp;#xD;&amp;amp;#xA;'MFPR01007565',&amp;amp;#xD;&amp;amp;#xA;'MFPR01007566',&amp;amp;#xD;&amp;amp;#xA;'MFPR01007568',&amp;amp;#xD;&amp;amp;#xA;'MFPR01007569',&amp;amp;#xD;&amp;amp;#xA;'MFPR01007570',&amp;amp;#xD;&amp;amp;#xA;'MFPR01007571',&amp;amp;#xD;&amp;amp;#xA;'MFPR01007572',&amp;amp;#xD;&amp;amp;'"</definedName>
    <definedName name="_AMO_ContentDefinition_485496469.326" hidden="1">"'#xA;'MFPR01007573',&amp;amp;#xD;&amp;amp;#xA;'MFPR01007574',&amp;amp;#xD;&amp;amp;#xA;'MFPR01007575',&amp;amp;#xD;&amp;amp;#xA;'MFPR01007576',&amp;amp;#xD;&amp;amp;#xA;'MFPR01007577',&amp;amp;#xD;&amp;amp;#xA;'MFPR01007578',&amp;amp;#xD;&amp;amp;#xA;'MFPR01007579',&amp;amp;#xD;&amp;amp;#xA;'MFPR01007580',&amp;'"</definedName>
    <definedName name="_AMO_ContentDefinition_485496469.327" hidden="1">"'amp;#xD;&amp;amp;#xA;'MFPR01007581',&amp;amp;#xD;&amp;amp;#xA;'MFPR01007582',&amp;amp;#xD;&amp;amp;#xA;'MFPR01007583',&amp;amp;#xD;&amp;amp;#xA;'MFPR01007584',&amp;amp;#xD;&amp;amp;#xA;'MFPR01007585',&amp;amp;#xD;&amp;amp;#xA;'MFPR01007586',&amp;amp;#xD;&amp;amp;#xA;'MFPR01007587',&amp;amp;#xD;&amp;amp;#xA;'MF'"</definedName>
    <definedName name="_AMO_ContentDefinition_485496469.328" hidden="1">"'PR01007588',&amp;amp;#xD;&amp;amp;#xA;'MFPR01007589',&amp;amp;#xD;&amp;amp;#xA;'MFPR01007590',&amp;amp;#xD;&amp;amp;#xA;'MFPR01007591',&amp;amp;#xD;&amp;amp;#xA;'MFPR01007592',&amp;amp;#xD;&amp;amp;#xA;'MFPR01007593',&amp;amp;#xD;&amp;amp;#xA;'MFPR01007594',&amp;amp;#xD;&amp;amp;#xA;'MFPR01007595',&amp;amp;#xD'"</definedName>
    <definedName name="_AMO_ContentDefinition_485496469.329" hidden="1">"';&amp;amp;#xA;'MFPR01007596',&amp;amp;#xD;&amp;amp;#xA;'MFPR01007597',&amp;amp;#xD;&amp;amp;#xA;'MFPR01007598',&amp;amp;#xD;&amp;amp;#xA;'MFPR01007599',&amp;amp;#xD;&amp;amp;#xA;'MFPR01007600',&amp;amp;#xD;&amp;amp;#xA;'MFPR01007601',&amp;amp;#xD;&amp;amp;#xA;'MFPR01007602',&amp;amp;#xD;&amp;amp;#xA;'MFPR01007'"</definedName>
    <definedName name="_AMO_ContentDefinition_485496469.33" hidden="1">"',&amp;#xD;&amp;#xA;'MFPR01006593',&amp;#xD;&amp;#xA;'MFPR01006594',&amp;#xD;&amp;#xA;'MFPR01006595',&amp;#xD;&amp;#xA;'MFPR01006596',&amp;#xD;&amp;#xA;'MFPR01006597',&amp;#xD;&amp;#xA;'MFPR01006598',&amp;#xD;&amp;#xA;'MFPR01006599',&amp;#xD;&amp;#xA;'MFPR01006600',&amp;#xD;&amp;#xA;'MFPR01006601',&amp;#xD;&amp;#xA;'MFPR01006602','"</definedName>
    <definedName name="_AMO_ContentDefinition_485496469.330" hidden="1">"'603',&amp;amp;#xD;&amp;amp;#xA;'MFPR01007604',&amp;amp;#xD;&amp;amp;#xA;'MFPR01007605',&amp;amp;#xD;&amp;amp;#xA;'MFPR01007606',&amp;amp;#xD;&amp;amp;#xA;'MFPR01007607',&amp;amp;#xD;&amp;amp;#xA;'MFPR01007608',&amp;amp;#xD;&amp;amp;#xA;'MFPR01007609',&amp;amp;#xD;&amp;amp;#xA;'MFPR01007610',&amp;amp;#xD;&amp;amp;#'"</definedName>
    <definedName name="_AMO_ContentDefinition_485496469.331" hidden="1">"'xA;'MFPR01007611',&amp;amp;#xD;&amp;amp;#xA;'MFPR01007612',&amp;amp;#xD;&amp;amp;#xA;'MFPR01007613',&amp;amp;#xD;&amp;amp;#xA;'MFPR01007614',&amp;amp;#xD;&amp;amp;#xA;'MFPR01007615',&amp;amp;#xD;&amp;amp;#xA;'MFPR01007616',&amp;amp;#xD;&amp;amp;#xA;'MFPR01007617',&amp;amp;#xD;&amp;amp;#xA;'MFPR01007618',&amp;a'"</definedName>
    <definedName name="_AMO_ContentDefinition_485496469.332" hidden="1">"'mp;#xD;&amp;amp;#xA;'MFPR01007619',&amp;amp;#xD;&amp;amp;#xA;'MFPR01007620',&amp;amp;#xD;&amp;amp;#xA;'MFPR01007621',&amp;amp;#xD;&amp;amp;#xA;'MFPR01007622',&amp;amp;#xD;&amp;amp;#xA;'MFPR01007623',&amp;amp;#xD;&amp;amp;#xA;'MFPR01007624',&amp;amp;#xD;&amp;amp;#xA;'MFPR01007625',&amp;amp;#xD;&amp;amp;#xA;'MFP'"</definedName>
    <definedName name="_AMO_ContentDefinition_485496469.333" hidden="1">"'R01007626',&amp;amp;#xD;&amp;amp;#xA;'MFPR01007627',&amp;amp;#xD;&amp;amp;#xA;'MFPR01007628',&amp;amp;#xD;&amp;amp;#xA;'MFPR01007629',&amp;amp;#xD;&amp;amp;#xA;'MFPR01007630',&amp;amp;#xD;&amp;amp;#xA;'MFPR01007631',&amp;amp;#xD;&amp;amp;#xA;'MFPR01007632',&amp;amp;#xD;&amp;amp;#xA;'MFPR01007633',&amp;amp;#xD;'"</definedName>
    <definedName name="_AMO_ContentDefinition_485496469.334" hidden="1">"'&amp;amp;#xA;'MFPR01007634',&amp;amp;#xD;&amp;amp;#xA;'MFPR01007635',&amp;amp;#xD;&amp;amp;#xA;'MFPR01007636',&amp;amp;#xD;&amp;amp;#xA;'MFPR01007637',&amp;amp;#xD;&amp;amp;#xA;'MFPR01007638',&amp;amp;#xD;&amp;amp;#xA;'MFPR01007639',&amp;amp;#xD;&amp;amp;#xA;'MFPR01007640',&amp;amp;#xD;&amp;amp;#xA;'MFPR010076'"</definedName>
    <definedName name="_AMO_ContentDefinition_485496469.335" hidden="1">"'41',&amp;amp;#xD;&amp;amp;#xA;'MFPR01007642',&amp;amp;#xD;&amp;amp;#xA;'MFPR01007643',&amp;amp;#xD;&amp;amp;#xA;'MFPR01007644',&amp;amp;#xD;&amp;amp;#xA;'MFPR01007645',&amp;amp;#xD;&amp;amp;#xA;'MFPR01007646',&amp;amp;#xD;&amp;amp;#xA;'MFPR01007647',&amp;amp;#xD;&amp;amp;#xA;'MFPR01007648',&amp;amp;#xD;&amp;amp;#x'"</definedName>
    <definedName name="_AMO_ContentDefinition_485496469.336" hidden="1">"'A;'MFPR01007649',&amp;amp;#xD;&amp;amp;#xA;'MFPR01007650',&amp;amp;#xD;&amp;amp;#xA;'MFPR01007651',&amp;amp;#xD;&amp;amp;#xA;'MFPR01007652',&amp;amp;#xD;&amp;amp;#xA;'MFPR01007653',&amp;amp;#xD;&amp;amp;#xA;'MFPR01007654',&amp;amp;#xD;&amp;amp;#xA;'MFPR01007655',&amp;amp;#xD;&amp;amp;#xA;'MFPR01007656',&amp;am'"</definedName>
    <definedName name="_AMO_ContentDefinition_485496469.337" hidden="1">"'p;#xD;&amp;amp;#xA;'MFPR01007657',&amp;amp;#xD;&amp;amp;#xA;'MFPR01007658',&amp;amp;#xD;&amp;amp;#xA;'MFPR01007659',&amp;amp;#xD;&amp;amp;#xA;'MFPR01007660',&amp;amp;#xD;&amp;amp;#xA;'MFPR01007661',&amp;amp;#xD;&amp;amp;#xA;'MFPR01007662',&amp;amp;#xD;&amp;amp;#xA;'MFPR01007663',&amp;amp;#xD;&amp;amp;#xA;'MFPR'"</definedName>
    <definedName name="_AMO_ContentDefinition_485496469.338" hidden="1">"'01007664',&amp;amp;#xD;&amp;amp;#xA;'MFPR01007665',&amp;amp;#xD;&amp;amp;#xA;'MFPR01007666',&amp;amp;#xD;&amp;amp;#xA;'MFPR01007667',&amp;amp;#xD;&amp;amp;#xA;'MFPR01007668',&amp;amp;#xD;&amp;amp;#xA;'MFPR01007669',&amp;amp;#xD;&amp;amp;#xA;'MFPR01007670',&amp;amp;#xD;&amp;amp;#xA;'MFPR01007671',&amp;amp;#xD;&amp;'"</definedName>
    <definedName name="_AMO_ContentDefinition_485496469.339" hidden="1">"'amp;#xA;'MFPR01007672',&amp;amp;#xD;&amp;amp;#xA;'MFPR01007673',&amp;amp;#xD;&amp;amp;#xA;'MFPR01007674',&amp;amp;#xD;&amp;amp;#xA;'MFPR01007675',&amp;amp;#xD;&amp;amp;#xA;'MFPR01007676',&amp;amp;#xD;&amp;amp;#xA;'MFPR01007677',&amp;amp;#xD;&amp;amp;#xA;'MFPR01007678',&amp;amp;#xD;&amp;amp;#xA;'MFPR0100767'"</definedName>
    <definedName name="_AMO_ContentDefinition_485496469.34" hidden="1">"'&amp;#xD;&amp;#xA;'MFPR01006603',&amp;#xD;&amp;#xA;'MFPR01006604',&amp;#xD;&amp;#xA;'MFPR01006605',&amp;#xD;&amp;#xA;'MFPR01006606',&amp;#xD;&amp;#xA;'MFPR01006607',&amp;#xD;&amp;#xA;'MFPR01006608',&amp;#xD;&amp;#xA;'MFPR01006609',&amp;#xD;&amp;#xA;'MFPR01006610',&amp;#xD;&amp;#xA;'MFPR01006611',&amp;#xD;&amp;#xA;'MFPR01006612',&amp;'"</definedName>
    <definedName name="_AMO_ContentDefinition_485496469.340" hidden="1">"'9',&amp;amp;#xD;&amp;amp;#xA;'MFPR01007680',&amp;amp;#xD;&amp;amp;#xA;'MFPR01007681',&amp;amp;#xD;&amp;amp;#xA;'MFPR01007682',&amp;amp;#xD;&amp;amp;#xA;'MFPR01007683',&amp;amp;#xD;&amp;amp;#xA;'MFPR01007684',&amp;amp;#xD;&amp;amp;#xA;'MFPR01007685',&amp;amp;#xD;&amp;amp;#xA;'MFPR01007686',&amp;amp;#xD;&amp;amp;#xA'"</definedName>
    <definedName name="_AMO_ContentDefinition_485496469.341" hidden="1">"';'MFPR01007687',&amp;amp;#xD;&amp;amp;#xA;'MFPR01007688',&amp;amp;#xD;&amp;amp;#xA;'MFPR01007689',&amp;amp;#xD;&amp;amp;#xA;'MFPR01007690',&amp;amp;#xD;&amp;amp;#xA;'MFPR01007691',&amp;amp;#xD;&amp;amp;#xA;'MFPR01007692',&amp;amp;#xD;&amp;amp;#xA;'MFPR01007693',&amp;amp;#xD;&amp;amp;#xA;'MFPR01007694',&amp;amp'"</definedName>
    <definedName name="_AMO_ContentDefinition_485496469.342" hidden="1">"';#xD;&amp;amp;#xA;'MFPR01007695',&amp;amp;#xD;&amp;amp;#xA;'MFPR01007696',&amp;amp;#xD;&amp;amp;#xA;'MFPR01007697',&amp;amp;#xD;&amp;amp;#xA;'MFPR01007698',&amp;amp;#xD;&amp;amp;#xA;'MFPR01007699',&amp;amp;#xD;&amp;amp;#xA;'MFPR01007700',&amp;amp;#xD;&amp;amp;#xA;'MFPR01007701',&amp;amp;#xD;&amp;amp;#xA;'MFPR0'"</definedName>
    <definedName name="_AMO_ContentDefinition_485496469.343" hidden="1">"'1007702',&amp;amp;#xD;&amp;amp;#xA;'MFPR01007703',&amp;amp;#xD;&amp;amp;#xA;'MFPR01007704',&amp;amp;#xD;&amp;amp;#xA;'MFPR01007705',&amp;amp;#xD;&amp;amp;#xA;'MFPR01007706',&amp;amp;#xD;&amp;amp;#xA;'MFPR01007711',&amp;amp;#xD;&amp;amp;#xA;'MFPR01007712',&amp;amp;#xD;&amp;amp;#xA;'MFPR01007713',&amp;amp;#xD;&amp;a'"</definedName>
    <definedName name="_AMO_ContentDefinition_485496469.344" hidden="1">"'mp;#xA;'MFPR01007714',&amp;amp;#xD;&amp;amp;#xA;'MFPR01007715',&amp;amp;#xD;&amp;amp;#xA;'MFPR01007716',&amp;amp;#xD;&amp;amp;#xA;'MFPR01007717',&amp;amp;#xD;&amp;amp;#xA;'MFPR01007718',&amp;amp;#xD;&amp;amp;#xA;'MFPR01007719',&amp;amp;#xD;&amp;amp;#xA;'MFPR01007720',&amp;amp;#xD;&amp;amp;#xA;'MFPR01007721'"</definedName>
    <definedName name="_AMO_ContentDefinition_485496469.345" hidden="1">"'',&amp;amp;#xD;&amp;amp;#xA;'MFPR01007722',&amp;amp;#xD;&amp;amp;#xA;'MFPR01007723',&amp;amp;#xD;&amp;amp;#xA;'MFPR01007724',&amp;amp;#xD;&amp;amp;#xA;'MFPR01007725',&amp;amp;#xD;&amp;amp;#xA;'MFPR01007726',&amp;amp;#xD;&amp;amp;#xA;'MFPR01007727',&amp;amp;#xD;&amp;amp;#xA;'MFPR01007728',&amp;amp;#xD;&amp;amp;#xA;'"</definedName>
    <definedName name="_AMO_ContentDefinition_485496469.346" hidden="1">"''MFPR01007729',&amp;amp;#xD;&amp;amp;#xA;'MFPR01007730',&amp;amp;#xD;&amp;amp;#xA;'MFPR01007731',&amp;amp;#xD;&amp;amp;#xA;'MFPR01007732',&amp;amp;#xD;&amp;amp;#xA;'MFPR01007733',&amp;amp;#xD;&amp;amp;#xA;'MFPR01007734',&amp;amp;#xD;&amp;amp;#xA;'MFPR01007735',&amp;amp;#xD;&amp;amp;#xA;'MFPR01007736',&amp;amp;'"</definedName>
    <definedName name="_AMO_ContentDefinition_485496469.347" hidden="1">"'#xD;&amp;amp;#xA;'MFPR01007737',&amp;amp;#xD;&amp;amp;#xA;'MFPR01007738',&amp;amp;#xD;&amp;amp;#xA;'MFPR01007739',&amp;amp;#xD;&amp;amp;#xA;'MFPR01007740',&amp;amp;#xD;&amp;amp;#xA;'MFPR01007741',&amp;amp;#xD;&amp;amp;#xA;'MFPR01007742',&amp;amp;#xD;&amp;amp;#xA;'MFPR01007743',&amp;amp;#xD;&amp;amp;#xA;'MFPR01'"</definedName>
    <definedName name="_AMO_ContentDefinition_485496469.348" hidden="1">"'007744',&amp;amp;#xD;&amp;amp;#xA;'MFPR01007745',&amp;amp;#xD;&amp;amp;#xA;'MFPR01007746',&amp;amp;#xD;&amp;amp;#xA;'MFPR01007747',&amp;amp;#xD;&amp;amp;#xA;'MFPR01007748',&amp;amp;#xD;&amp;amp;#xA;'MFPR01007749',&amp;amp;#xD;&amp;amp;#xA;'MFPR01007750',&amp;amp;#xD;&amp;amp;#xA;'MFPR01007751',&amp;amp;#xD;&amp;am'"</definedName>
    <definedName name="_AMO_ContentDefinition_485496469.349" hidden="1">"'p;#xA;'MFPR01007752',&amp;amp;#xD;&amp;amp;#xA;'MFPR01007753',&amp;amp;#xD;&amp;amp;#xA;'MFPR01007754',&amp;amp;#xD;&amp;amp;#xA;'MFPR01007755',&amp;amp;#xD;&amp;amp;#xA;'MFPR01007756',&amp;amp;#xD;&amp;amp;#xA;'MFPR01007757',&amp;amp;#xD;&amp;amp;#xA;'MFPR01007758',&amp;amp;#xD;&amp;amp;#xA;'MFPR01007759''"</definedName>
    <definedName name="_AMO_ContentDefinition_485496469.35" hidden="1">"'#xD;&amp;#xA;'MFPR01006613',&amp;#xD;&amp;#xA;'MFPR01006614',&amp;#xD;&amp;#xA;'MFPR01006615',&amp;#xD;&amp;#xA;'MFPR01006616',&amp;#xD;&amp;#xA;'MFPR01006617',&amp;#xD;&amp;#xA;'MFPR01006618',&amp;#xD;&amp;#xA;'MFPR01006619',&amp;#xD;&amp;#xA;'MFPR01006620',&amp;#xD;&amp;#xA;'MFPR01006621',&amp;#xD;&amp;#xA;'MFPR01006622',&amp;#'"</definedName>
    <definedName name="_AMO_ContentDefinition_485496469.350" hidden="1">"',&amp;amp;#xD;&amp;amp;#xA;'MFPR01007760',&amp;amp;#xD;&amp;amp;#xA;'MFPR01007761',&amp;amp;#xD;&amp;amp;#xA;'MFPR01007762',&amp;amp;#xD;&amp;amp;#xA;'MFPR01007763',&amp;amp;#xD;&amp;amp;#xA;'MFPR01007764',&amp;amp;#xD;&amp;amp;#xA;'MFPR01007765',&amp;amp;#xD;&amp;amp;#xA;'MFPR01007766',&amp;amp;#xD;&amp;amp;#xA;''"</definedName>
    <definedName name="_AMO_ContentDefinition_485496469.351" hidden="1">"'MFPR01007767',&amp;amp;#xD;&amp;amp;#xA;'MFPR01007768',&amp;amp;#xD;&amp;amp;#xA;'MFPR01007769',&amp;amp;#xD;&amp;amp;#xA;'MFPR01007770',&amp;amp;#xD;&amp;amp;#xA;'MFPR01007771',&amp;amp;#xD;&amp;amp;#xA;'MFPR01007772',&amp;amp;#xD;&amp;amp;#xA;'MFPR01007773',&amp;amp;#xD;&amp;amp;#xA;'MFPR01007774',&amp;amp;#'"</definedName>
    <definedName name="_AMO_ContentDefinition_485496469.352" hidden="1">"'xD;&amp;amp;#xA;'MFPR01007775',&amp;amp;#xD;&amp;amp;#xA;'MFPR01007776',&amp;amp;#xD;&amp;amp;#xA;'MFPR01007777',&amp;amp;#xD;&amp;amp;#xA;'MFPR01007778',&amp;amp;#xD;&amp;amp;#xA;'MFPR01007779',&amp;amp;#xD;&amp;amp;#xA;'MFPR01007780',&amp;amp;#xD;&amp;amp;#xA;'MFPR01007781',&amp;amp;#xD;&amp;amp;#xA;'MFPR010'"</definedName>
    <definedName name="_AMO_ContentDefinition_485496469.353" hidden="1">"'07783',&amp;amp;#xD;&amp;amp;#xA;'MFPR01007784',&amp;amp;#xD;&amp;amp;#xA;'MFPR01007785',&amp;amp;#xD;&amp;amp;#xA;'MFPR01007786',&amp;amp;#xD;&amp;amp;#xA;'MFPR01007787',&amp;amp;#xD;&amp;amp;#xA;'MFPR01007789',&amp;amp;#xD;&amp;amp;#xA;'MFPR01007790',&amp;amp;#xD;&amp;amp;#xA;'MFPR01007791',&amp;amp;#xD;&amp;amp'"</definedName>
    <definedName name="_AMO_ContentDefinition_485496469.354" hidden="1">"';#xA;'MFPR01007792',&amp;amp;#xD;&amp;amp;#xA;'MFPR01007793',&amp;amp;#xD;&amp;amp;#xA;'MFPR01007794',&amp;amp;#xD;&amp;amp;#xA;'MFPR01007795',&amp;amp;#xD;&amp;amp;#xA;'MFPR01007797',&amp;amp;#xD;&amp;amp;#xA;'MFPR01007798',&amp;amp;#xD;&amp;amp;#xA;'MFPR01007799',&amp;amp;#xD;&amp;amp;#xA;'MFPR01007800','"</definedName>
    <definedName name="_AMO_ContentDefinition_485496469.355" hidden="1">"'&amp;amp;#xD;&amp;amp;#xA;'MFPR01007801',&amp;amp;#xD;&amp;amp;#xA;'MFPR01007802',&amp;amp;#xD;&amp;amp;#xA;'MFPR01007803',&amp;amp;#xD;&amp;amp;#xA;'MFPR01007804',&amp;amp;#xD;&amp;amp;#xA;'MFPR01007805',&amp;amp;#xD;&amp;amp;#xA;'MFPR01007806',&amp;amp;#xD;&amp;amp;#xA;'MFPR01007807',&amp;amp;#xD;&amp;amp;#xA;'M'"</definedName>
    <definedName name="_AMO_ContentDefinition_485496469.356" hidden="1">"'FPR01007808',&amp;amp;#xD;&amp;amp;#xA;'MFPR01007809',&amp;amp;#xD;&amp;amp;#xA;'MFPR01007810',&amp;amp;#xD;&amp;amp;#xA;'MFPR01007811',&amp;amp;#xD;&amp;amp;#xA;'MFPR01007813',&amp;amp;#xD;&amp;amp;#xA;'MFPR01007814',&amp;amp;#xD;&amp;amp;#xA;'MFPR01007815',&amp;amp;#xD;&amp;amp;#xA;'MFPR01007816',&amp;amp;#x'"</definedName>
    <definedName name="_AMO_ContentDefinition_485496469.357" hidden="1">"'D;&amp;amp;#xA;'MFPR01007817',&amp;amp;#xD;&amp;amp;#xA;'MFPR01007819',&amp;amp;#xD;&amp;amp;#xA;'MFPR01007820',&amp;amp;#xD;&amp;amp;#xA;'MFPR01007821',&amp;amp;#xD;&amp;amp;#xA;'MFPR01007822',&amp;amp;#xD;&amp;amp;#xA;'MFPR01007823',&amp;amp;#xD;&amp;amp;#xA;'MFPR01007824',&amp;amp;#xD;&amp;amp;#xA;'MFPR0100'"</definedName>
    <definedName name="_AMO_ContentDefinition_485496469.358" hidden="1">"'7825',&amp;amp;#xD;&amp;amp;#xA;'MFPR01007826',&amp;amp;#xD;&amp;amp;#xA;'MFPR01007827',&amp;amp;#xD;&amp;amp;#xA;'MFPR01007828',&amp;amp;#xD;&amp;amp;#xA;'MFPR01007829',&amp;amp;#xD;&amp;amp;#xA;'MFPR01007830',&amp;amp;#xD;&amp;amp;#xA;'MFPR01007831',&amp;amp;#xD;&amp;amp;#xA;'MFPR01007832',&amp;amp;#xD;&amp;amp;'"</definedName>
    <definedName name="_AMO_ContentDefinition_485496469.359" hidden="1">"'#xA;'MFPR01007833',&amp;amp;#xD;&amp;amp;#xA;'MFPR01007834',&amp;amp;#xD;&amp;amp;#xA;'MFPR01007835',&amp;amp;#xD;&amp;amp;#xA;'MFPR01007836',&amp;amp;#xD;&amp;amp;#xA;'MFPR01007837',&amp;amp;#xD;&amp;amp;#xA;'MFPR01007838',&amp;amp;#xD;&amp;amp;#xA;'MFPR01007839',&amp;amp;#xD;&amp;amp;#xA;'MFPR01007840',&amp;'"</definedName>
    <definedName name="_AMO_ContentDefinition_485496469.36" hidden="1">"'xD;&amp;#xA;'MFPR01006623',&amp;#xD;&amp;#xA;'MFPR01006624',&amp;#xD;&amp;#xA;'MFPR01006625',&amp;#xD;&amp;#xA;'MFPR01006626',&amp;#xD;&amp;#xA;'MFPR01006627',&amp;#xD;&amp;#xA;'MFPR01006628',&amp;#xD;&amp;#xA;'MFPR01006629',&amp;#xD;&amp;#xA;'MFPR01006630',&amp;#xD;&amp;#xA;'MFPR01006631',&amp;#xD;&amp;#xA;'MFPR01006632',&amp;#x'"</definedName>
    <definedName name="_AMO_ContentDefinition_485496469.360" hidden="1">"'amp;#xD;&amp;amp;#xA;'MFPR01007841',&amp;amp;#xD;&amp;amp;#xA;'MFPR01007842',&amp;amp;#xD;&amp;amp;#xA;'MFPR01007843',&amp;amp;#xD;&amp;amp;#xA;'MFPR01007844',&amp;amp;#xD;&amp;amp;#xA;'MFPR01007845',&amp;amp;#xD;&amp;amp;#xA;'MFPR01007846',&amp;amp;#xD;&amp;amp;#xA;'MFPR01007847',&amp;amp;#xD;&amp;amp;#xA;'MF'"</definedName>
    <definedName name="_AMO_ContentDefinition_485496469.361" hidden="1">"'PR01007848',&amp;amp;#xD;&amp;amp;#xA;'MFPR01007849',&amp;amp;#xD;&amp;amp;#xA;'MFPR01007850',&amp;amp;#xD;&amp;amp;#xA;'MFPR01007851'&amp;amp;#xD;&amp;amp;#xA;)&amp;quot; FilterDS=&amp;quot;&amp;amp;lt;?xml version=&amp;amp;quot;1.0&amp;amp;quot; encoding=&amp;amp;quot;utf-16&amp;amp;quot;?&amp;amp;gt;&amp;amp;lt;Fil'"</definedName>
    <definedName name="_AMO_ContentDefinition_485496469.362" hidden="1">"'terTree&amp;amp;gt;&amp;amp;lt;TreeRoot&amp;amp;gt;&amp;amp;lt;ID&amp;amp;gt;c4a35372-20fe-422d-b590-49a5d9a461ea&amp;amp;lt;/ID&amp;amp;gt;&amp;amp;lt;FilterType&amp;amp;gt;COLUMN&amp;amp;lt;/FilterType&amp;amp;gt;&amp;amp;lt;TableID /&amp;amp;gt;&amp;amp;lt;ColumnName&amp;amp;gt;entity_submitter_type&amp;amp;lt;'"</definedName>
    <definedName name="_AMO_ContentDefinition_485496469.363" hidden="1">"'/ColumnName&amp;amp;gt;&amp;amp;lt;ColumnType&amp;amp;gt;Character&amp;amp;lt;/ColumnType&amp;amp;gt;&amp;amp;lt;GroupLevel /&amp;amp;gt;&amp;amp;lt;SiblingLink&amp;amp;gt;&amp;amp;lt;LinkType&amp;amp;gt;AND&amp;amp;lt;/LinkType&amp;amp;gt;&amp;amp;lt;Node&amp;amp;gt;&amp;amp;lt;ID&amp;amp;gt;1ced3a7d-cdf0-4cf6-9d7e-c'"</definedName>
    <definedName name="_AMO_ContentDefinition_485496469.364" hidden="1">"'fccc18329d9&amp;amp;lt;/ID&amp;amp;gt;&amp;amp;lt;FilterType&amp;amp;gt;COLUMN&amp;amp;lt;/FilterType&amp;amp;gt;&amp;amp;lt;TableID /&amp;amp;gt;&amp;amp;lt;ColumnName&amp;amp;gt;date_dt&amp;amp;lt;/ColumnName&amp;amp;gt;&amp;amp;lt;ColumnType&amp;amp;gt;Date&amp;amp;lt;/ColumnType&amp;amp;gt;&amp;amp;lt;GroupLevel /'"</definedName>
    <definedName name="_AMO_ContentDefinition_485496469.365" hidden="1">"'&amp;amp;gt;&amp;amp;lt;SiblingLink&amp;amp;gt;&amp;amp;lt;LinkType&amp;amp;gt;AND&amp;amp;lt;/LinkType&amp;amp;gt;&amp;amp;lt;Node&amp;amp;gt;&amp;amp;lt;ID&amp;amp;gt;d457bbf6-42d5-4329-8df4-daf3b1af451e&amp;amp;lt;/ID&amp;amp;gt;&amp;amp;lt;FilterType&amp;amp;gt;COLUMN&amp;amp;lt;/FilterType&amp;amp;gt;&amp;amp;lt;Tabl'"</definedName>
    <definedName name="_AMO_ContentDefinition_485496469.366" hidden="1">"'eID /&amp;amp;gt;&amp;amp;lt;ColumnName&amp;amp;gt;frequency_cd&amp;amp;lt;/ColumnName&amp;amp;gt;&amp;amp;lt;ColumnType&amp;amp;gt;Character&amp;amp;lt;/ColumnType&amp;amp;gt;&amp;amp;lt;GroupLevel /&amp;amp;gt;&amp;amp;lt;SiblingLink&amp;amp;gt;&amp;amp;lt;LinkType&amp;amp;gt;AND&amp;amp;lt;/LinkType&amp;amp;gt;&amp;amp'"</definedName>
    <definedName name="_AMO_ContentDefinition_485496469.367" hidden="1">"';lt;Node&amp;amp;gt;&amp;amp;lt;ID&amp;amp;gt;37a1bd40-7e43-45f7-b647-ee1030581f0b&amp;amp;lt;/ID&amp;amp;gt;&amp;amp;lt;FilterType&amp;amp;gt;COLUMN&amp;amp;lt;/FilterType&amp;amp;gt;&amp;amp;lt;TableID /&amp;amp;gt;&amp;amp;lt;ColumnName&amp;amp;gt;entity_id&amp;amp;lt;/ColumnName&amp;amp;gt;&amp;amp;lt;ColumnTy'"</definedName>
    <definedName name="_AMO_ContentDefinition_485496469.368" hidden="1">"'pe&amp;amp;gt;Character&amp;amp;lt;/ColumnType&amp;amp;gt;&amp;amp;lt;GroupLevel /&amp;amp;gt;&amp;amp;lt;SiblingLink&amp;amp;gt;&amp;amp;lt;LinkType&amp;amp;gt;AND&amp;amp;lt;/LinkType&amp;amp;gt;&amp;amp;lt;Node&amp;amp;gt;&amp;amp;lt;ID&amp;amp;gt;2b24d04a-749a-44df-838e-36c5be080162&amp;amp;lt;/ID&amp;amp;gt;&amp;amp;'"</definedName>
    <definedName name="_AMO_ContentDefinition_485496469.369" hidden="1">"'lt;FilterType&amp;amp;gt;COLUMN&amp;amp;lt;/FilterType&amp;amp;gt;&amp;amp;lt;TableID /&amp;amp;gt;&amp;amp;lt;ColumnName&amp;amp;gt;indicator_id&amp;amp;lt;/ColumnName&amp;amp;gt;&amp;amp;lt;ColumnType&amp;amp;gt;Character&amp;amp;lt;/ColumnType&amp;amp;gt;&amp;amp;lt;GroupLevel /&amp;amp;gt;&amp;amp;lt;Operator&amp;'"</definedName>
    <definedName name="_AMO_ContentDefinition_485496469.37" hidden="1">"'D;&amp;#xA;'MFPR01006633',&amp;#xD;&amp;#xA;'MFPR01006634',&amp;#xD;&amp;#xA;'MFPR01006635',&amp;#xD;&amp;#xA;'MFPR01006636',&amp;#xD;&amp;#xA;'MFPR01006637',&amp;#xD;&amp;#xA;'MFPR01006638',&amp;#xD;&amp;#xA;'MFPR01006639',&amp;#xD;&amp;#xA;'MFPR01006640',&amp;#xD;&amp;#xA;'MFPR01006641',&amp;#xD;&amp;#xA;'MFPR01006642',&amp;#xD'"</definedName>
    <definedName name="_AMO_ContentDefinition_485496469.370" hidden="1">"'amp;gt;IN&amp;amp;lt;/Operator&amp;amp;gt;&amp;amp;lt;UseMacroFunction&amp;amp;gt;False&amp;amp;lt;/UseMacroFunction&amp;amp;gt;&amp;amp;lt;Not&amp;amp;gt;False&amp;amp;lt;/Not&amp;amp;gt;&amp;amp;lt;Label /&amp;amp;gt;&amp;amp;lt;RightHandSide&amp;amp;gt;&amp;amp;lt;RightHandSideNumType&amp;amp;gt;LIST&amp;amp;lt;/Ri'"</definedName>
    <definedName name="_AMO_ContentDefinition_485496469.371" hidden="1">"'ghtHandSideNumType&amp;amp;gt;&amp;amp;lt;RightHandSideItems&amp;amp;gt;&amp;amp;lt;RHSItem&amp;amp;gt;&amp;amp;lt;RHSType&amp;amp;gt;EXPRESSION&amp;amp;lt;/RHSType&amp;amp;gt;&amp;amp;lt;AddQuotes&amp;amp;gt;True&amp;amp;lt;/AddQuotes&amp;amp;gt;&amp;amp;lt;DateFormat&amp;amp;gt;None&amp;amp;lt;/DateFormat&amp;amp;gt'"</definedName>
    <definedName name="_AMO_ContentDefinition_485496469.372" hidden="1">"';&amp;amp;lt;RightHandSideExpression&amp;amp;gt;MFDRVD000120&amp;amp;lt;/RightHandSideExpression&amp;amp;gt;&amp;amp;lt;IsSubquery&amp;amp;gt;False&amp;amp;lt;/IsSubquery&amp;amp;gt;&amp;amp;lt;SubqueryTemplateName /&amp;amp;gt;&amp;amp;lt;/RHSItem&amp;amp;gt;&amp;amp;lt;RHSItem&amp;amp;gt;&amp;amp;lt;RHSType&amp;'"</definedName>
    <definedName name="_AMO_ContentDefinition_485496469.373" hidden="1">"'amp;gt;EXPRESSION&amp;amp;lt;/RHSType&amp;amp;gt;&amp;amp;lt;AddQuotes&amp;amp;gt;True&amp;amp;lt;/AddQuotes&amp;amp;gt;&amp;amp;lt;DateFormat&amp;amp;gt;None&amp;amp;lt;/DateFormat&amp;amp;gt;&amp;amp;lt;RightHandSideExpression&amp;amp;gt;MFDRVD000127&amp;amp;lt;/RightHandSideExpression&amp;amp;gt;&amp;amp;lt'"</definedName>
    <definedName name="_AMO_ContentDefinition_485496469.374"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485496469.375" hidden="1">"'p;lt;DateFormat&amp;amp;gt;None&amp;amp;lt;/DateFormat&amp;amp;gt;&amp;amp;lt;RightHandSideExpression&amp;amp;gt;MFDRVD000128&amp;amp;lt;/RightHandSideExpression&amp;amp;gt;&amp;amp;lt;IsSubquery&amp;amp;gt;False&amp;amp;lt;/IsSubquery&amp;amp;gt;&amp;amp;lt;SubqueryTemplateName /&amp;amp;gt;&amp;amp;lt;/R'"</definedName>
    <definedName name="_AMO_ContentDefinition_485496469.376" hidden="1">"'HSItem&amp;amp;gt;&amp;amp;lt;RHSItem&amp;amp;gt;&amp;amp;lt;RHSType&amp;amp;gt;EXPRESSION&amp;amp;lt;/RHSType&amp;amp;gt;&amp;amp;lt;AddQuotes&amp;amp;gt;True&amp;amp;lt;/AddQuotes&amp;amp;gt;&amp;amp;lt;DateFormat&amp;amp;gt;None&amp;amp;lt;/DateFormat&amp;amp;gt;&amp;amp;lt;RightHandSideExpression&amp;amp;gt;MFDRVD'"</definedName>
    <definedName name="_AMO_ContentDefinition_485496469.377" hidden="1">"'000133&amp;amp;lt;/RightHandSideExpression&amp;amp;gt;&amp;amp;lt;IsSubquery&amp;amp;gt;False&amp;amp;lt;/IsSubquery&amp;amp;gt;&amp;amp;lt;SubqueryTemplateName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378" hidden="1">"'lt;AddQuotes&amp;amp;gt;True&amp;amp;lt;/AddQuotes&amp;amp;gt;&amp;amp;lt;DateFormat&amp;amp;gt;None&amp;amp;lt;/DateFormat&amp;amp;gt;&amp;amp;lt;RightHandSideExpression&amp;amp;gt;MFDRVD000135&amp;amp;lt;/RightHandSideExpression&amp;amp;gt;&amp;amp;lt;IsSubquery&amp;amp;gt;False&amp;amp;lt;/IsSubquery&amp;am'"</definedName>
    <definedName name="_AMO_ContentDefinition_485496469.379"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485496469.38" hidden="1">"';&amp;#xA;'MFPR01006643',&amp;#xD;&amp;#xA;'MFPR01006644',&amp;#xD;&amp;#xA;'MFPR01006645',&amp;#xD;&amp;#xA;'MFPR01006646',&amp;#xD;&amp;#xA;'MFPR01006647',&amp;#xD;&amp;#xA;'MFPR01006648',&amp;#xD;&amp;#xA;'MFPR01006649',&amp;#xD;&amp;#xA;'MFPR01006650',&amp;#xD;&amp;#xA;'MFPR01006651',&amp;#xD;&amp;#xA;'MFPR01006652',&amp;#xD;'"</definedName>
    <definedName name="_AMO_ContentDefinition_485496469.380" hidden="1">"'&amp;amp;gt;&amp;amp;lt;RightHandSideExpression&amp;amp;gt;MFDRVD000136&amp;amp;lt;/RightHandSideExpression&amp;amp;gt;&amp;amp;lt;IsSubquery&amp;amp;gt;False&amp;amp;lt;/IsSubquery&amp;amp;gt;&amp;amp;lt;SubqueryTemplateName /&amp;amp;gt;&amp;amp;lt;/RHSItem&amp;amp;gt;&amp;amp;lt;RHSItem&amp;amp;gt;&amp;amp;lt;R'"</definedName>
    <definedName name="_AMO_ContentDefinition_485496469.381" hidden="1">"'HSType&amp;amp;gt;EXPRESSION&amp;amp;lt;/RHSType&amp;amp;gt;&amp;amp;lt;AddQuotes&amp;amp;gt;True&amp;amp;lt;/AddQuotes&amp;amp;gt;&amp;amp;lt;DateFormat&amp;amp;gt;None&amp;amp;lt;/DateFormat&amp;amp;gt;&amp;amp;lt;RightHandSideExpression&amp;amp;gt;MFDRVD000138&amp;amp;lt;/RightHandSideExpression&amp;amp;gt;'"</definedName>
    <definedName name="_AMO_ContentDefinition_485496469.382"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383" hidden="1">"';gt;&amp;amp;lt;DateFormat&amp;amp;gt;None&amp;amp;lt;/DateFormat&amp;amp;gt;&amp;amp;lt;RightHandSideExpression&amp;amp;gt;MFDRVD000139&amp;amp;lt;/RightHandSideExpression&amp;amp;gt;&amp;amp;lt;IsSubquery&amp;amp;gt;False&amp;amp;lt;/IsSubquery&amp;amp;gt;&amp;amp;lt;SubqueryTemplateName /&amp;amp;gt;&amp;am'"</definedName>
    <definedName name="_AMO_ContentDefinition_485496469.384" hidden="1">"'p;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385" hidden="1">"';MFDRVD000150&amp;amp;lt;/RightHandSideExpression&amp;amp;gt;&amp;amp;lt;IsSubquery&amp;amp;gt;False&amp;amp;lt;/IsSubquery&amp;amp;gt;&amp;amp;lt;SubqueryTemplateName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485496469.386" hidden="1">"'t;&amp;amp;lt;AddQuotes&amp;amp;gt;True&amp;amp;lt;/AddQuotes&amp;amp;gt;&amp;amp;lt;DateFormat&amp;amp;gt;None&amp;amp;lt;/DateFormat&amp;amp;gt;&amp;amp;lt;RightHandSideExpression&amp;amp;gt;MFDRVD000155&amp;amp;lt;/RightHandSideExpression&amp;amp;gt;&amp;amp;lt;IsSubquery&amp;amp;gt;False&amp;amp;lt;/IsSubq'"</definedName>
    <definedName name="_AMO_ContentDefinition_485496469.387"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485496469.388" hidden="1">"'eFormat&amp;amp;gt;&amp;amp;lt;RightHandSideExpression&amp;amp;gt;MFMSUP000002&amp;amp;lt;/RightHandSideExpression&amp;amp;gt;&amp;amp;lt;IsSubquery&amp;amp;gt;False&amp;amp;lt;/IsSubquery&amp;amp;gt;&amp;amp;lt;SubqueryTemplateName /&amp;amp;gt;&amp;amp;lt;/RHSItem&amp;amp;gt;&amp;amp;lt;RHSItem&amp;amp;gt;&amp;a'"</definedName>
    <definedName name="_AMO_ContentDefinition_485496469.389" hidden="1">"'mp;lt;RHSType&amp;amp;gt;EXPRESSION&amp;amp;lt;/RHSType&amp;amp;gt;&amp;amp;lt;AddQuotes&amp;amp;gt;True&amp;amp;lt;/AddQuotes&amp;amp;gt;&amp;amp;lt;DateFormat&amp;amp;gt;None&amp;amp;lt;/DateFormat&amp;amp;gt;&amp;amp;lt;RightHandSideExpression&amp;amp;gt;MFMSUP000003&amp;amp;lt;/RightHandSideExpression&amp;'"</definedName>
    <definedName name="_AMO_ContentDefinition_485496469.39" hidden="1">"'&amp;#xA;'MFPR01006653',&amp;#xD;&amp;#xA;'MFPR01006654',&amp;#xD;&amp;#xA;'MFPR01006655',&amp;#xD;&amp;#xA;'MFPR01006656',&amp;#xD;&amp;#xA;'MFPR01006657',&amp;#xD;&amp;#xA;'MFPR01006658',&amp;#xD;&amp;#xA;'MFPR01006659',&amp;#xD;&amp;#xA;'MFPR01006660',&amp;#xD;&amp;#xA;'MFPR01006661',&amp;#xD;&amp;#xA;'MFPR01006662',&amp;#xD;&amp;'"</definedName>
    <definedName name="_AMO_ContentDefinition_485496469.390"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485496469.391" hidden="1">"'tes&amp;amp;gt;&amp;amp;lt;DateFormat&amp;amp;gt;None&amp;amp;lt;/DateFormat&amp;amp;gt;&amp;amp;lt;RightHandSideExpression&amp;amp;gt;MFMSUP000004&amp;amp;lt;/RightHandSideExpression&amp;amp;gt;&amp;amp;lt;IsSubquery&amp;amp;gt;False&amp;amp;lt;/IsSubquery&amp;amp;gt;&amp;amp;lt;SubqueryTemplateName /&amp;amp'"</definedName>
    <definedName name="_AMO_ContentDefinition_485496469.392"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485496469.393" hidden="1">"'&amp;amp;gt;MFMSUP000005&amp;amp;lt;/RightHandSideExpression&amp;amp;gt;&amp;amp;lt;IsSubquery&amp;amp;gt;False&amp;amp;lt;/IsSubquery&amp;amp;gt;&amp;amp;lt;SubqueryTemplateName /&amp;amp;gt;&amp;amp;lt;/RHSItem&amp;amp;gt;&amp;amp;lt;RHSItem&amp;amp;gt;&amp;amp;lt;RHSType&amp;amp;gt;EXPRESSION&amp;amp;lt;/RHSTyp'"</definedName>
    <definedName name="_AMO_ContentDefinition_485496469.394" hidden="1">"'e&amp;amp;gt;&amp;amp;lt;AddQuotes&amp;amp;gt;True&amp;amp;lt;/AddQuotes&amp;amp;gt;&amp;amp;lt;DateFormat&amp;amp;gt;None&amp;amp;lt;/DateFormat&amp;amp;gt;&amp;amp;lt;RightHandSideExpression&amp;amp;gt;MFMSUP000006&amp;amp;lt;/RightHandSideExpression&amp;amp;gt;&amp;amp;lt;IsSubquery&amp;amp;gt;False&amp;amp;lt;'"</definedName>
    <definedName name="_AMO_ContentDefinition_485496469.395"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396" hidden="1">"'lt;/DateFormat&amp;amp;gt;&amp;amp;lt;RightHandSideExpression&amp;amp;gt;MFMSUP000007&amp;amp;lt;/RightHandSideExpression&amp;amp;gt;&amp;amp;lt;IsSubquery&amp;amp;gt;False&amp;amp;lt;/IsSubquery&amp;amp;gt;&amp;amp;lt;SubqueryTemplateName /&amp;amp;gt;&amp;amp;lt;/RHSItem&amp;amp;gt;&amp;amp;lt;RHSItem&amp;am'"</definedName>
    <definedName name="_AMO_ContentDefinition_485496469.397" hidden="1">"'p;gt;&amp;amp;lt;RHSType&amp;amp;gt;EXPRESSION&amp;amp;lt;/RHSType&amp;amp;gt;&amp;amp;lt;AddQuotes&amp;amp;gt;True&amp;amp;lt;/AddQuotes&amp;amp;gt;&amp;amp;lt;DateFormat&amp;amp;gt;None&amp;amp;lt;/DateFormat&amp;amp;gt;&amp;amp;lt;RightHandSideExpression&amp;amp;gt;MFMSUP000008&amp;amp;lt;/RightHandSideExpr'"</definedName>
    <definedName name="_AMO_ContentDefinition_485496469.398"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399" hidden="1">"'/AddQuotes&amp;amp;gt;&amp;amp;lt;DateFormat&amp;amp;gt;None&amp;amp;lt;/DateFormat&amp;amp;gt;&amp;amp;lt;RightHandSideExpression&amp;amp;gt;MFMSUP000009&amp;amp;lt;/RightHandSideExpression&amp;amp;gt;&amp;amp;lt;IsSubquery&amp;amp;gt;False&amp;amp;lt;/IsSubquery&amp;amp;gt;&amp;amp;lt;SubqueryTemplateNam'"</definedName>
    <definedName name="_AMO_ContentDefinition_485496469.4" hidden="1">"'t &amp;gt;= '31Jan2020'd AND frequency_cd = 'M' AND entity_id CONTAINS 'ECCU' AND indicator_id IN &amp;#xD;&amp;#xA;(&amp;#xD;&amp;#xA;'MFDRVD000120',&amp;#xD;&amp;#xA;'MFDRVD000127',&amp;#xD;&amp;#xA;'MFDRVD000128',&amp;#xD;&amp;#xA;'MFDRVD000133',&amp;#xD;&amp;#xA;'MFDRVD000135',&amp;#xD;&amp;#xA;'MFDRVD0001'"</definedName>
    <definedName name="_AMO_ContentDefinition_485496469.40" hidden="1">"'#xA;'MFPR01006663',&amp;#xD;&amp;#xA;'MFPR01006664',&amp;#xD;&amp;#xA;'MFPR01006665',&amp;#xD;&amp;#xA;'MFPR01006666',&amp;#xD;&amp;#xA;'MFPR01006667',&amp;#xD;&amp;#xA;'MFPR01006668',&amp;#xD;&amp;#xA;'MFPR01006669',&amp;#xD;&amp;#xA;'MFPR01006670',&amp;#xD;&amp;#xA;'MFPR01006671',&amp;#xD;&amp;#xA;'MFPR01006672',&amp;#xD;&amp;#'"</definedName>
    <definedName name="_AMO_ContentDefinition_485496469.400"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485496469.401" hidden="1">"'ression&amp;amp;gt;MFMSUP000010&amp;amp;lt;/RightHandSideExpression&amp;amp;gt;&amp;amp;lt;IsSubquery&amp;amp;gt;False&amp;amp;lt;/IsSubquery&amp;amp;gt;&amp;amp;lt;SubqueryTemplateName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402" hidden="1">"'/RHSType&amp;amp;gt;&amp;amp;lt;AddQuotes&amp;amp;gt;True&amp;amp;lt;/AddQuotes&amp;amp;gt;&amp;amp;lt;DateFormat&amp;amp;gt;None&amp;amp;lt;/DateFormat&amp;amp;gt;&amp;amp;lt;RightHandSideExpression&amp;amp;gt;MFMSUP000011&amp;amp;lt;/RightHandSideExpression&amp;amp;gt;&amp;amp;lt;IsSubquery&amp;amp;gt;False&amp;'"</definedName>
    <definedName name="_AMO_ContentDefinition_485496469.403"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485496469.404" hidden="1">"'ne&amp;amp;lt;/DateFormat&amp;amp;gt;&amp;amp;lt;RightHandSideExpression&amp;amp;gt;MFMSUP000012&amp;amp;lt;/RightHandSideExpression&amp;amp;gt;&amp;amp;lt;IsSubquery&amp;amp;gt;False&amp;amp;lt;/IsSubquery&amp;amp;gt;&amp;amp;lt;SubqueryTemplateName /&amp;amp;gt;&amp;amp;lt;/RHSItem&amp;amp;gt;&amp;amp;lt;RHS'"</definedName>
    <definedName name="_AMO_ContentDefinition_485496469.405" hidden="1">"'Item&amp;amp;gt;&amp;amp;lt;RHSType&amp;amp;gt;EXPRESSION&amp;amp;lt;/RHSType&amp;amp;gt;&amp;amp;lt;AddQuotes&amp;amp;gt;True&amp;amp;lt;/AddQuotes&amp;amp;gt;&amp;amp;lt;DateFormat&amp;amp;gt;None&amp;amp;lt;/DateFormat&amp;amp;gt;&amp;amp;lt;RightHandSideExpression&amp;amp;gt;MFMSUP000013&amp;amp;lt;/RightHandS'"</definedName>
    <definedName name="_AMO_ContentDefinition_485496469.406"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485496469.407" hidden="1">"'amp;lt;/AddQuotes&amp;amp;gt;&amp;amp;lt;DateFormat&amp;amp;gt;None&amp;amp;lt;/DateFormat&amp;amp;gt;&amp;amp;lt;RightHandSideExpression&amp;amp;gt;MFMSUP000014&amp;amp;lt;/RightHandSideExpression&amp;amp;gt;&amp;amp;lt;IsSubquery&amp;amp;gt;False&amp;amp;lt;/IsSubquery&amp;amp;gt;&amp;amp;lt;SubqueryTemp'"</definedName>
    <definedName name="_AMO_ContentDefinition_485496469.408"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485496469.409" hidden="1">"'SideExpression&amp;amp;gt;MFMSUP000015&amp;amp;lt;/RightHandSideExpression&amp;amp;gt;&amp;amp;lt;IsSubquery&amp;amp;gt;False&amp;amp;lt;/IsSubquery&amp;amp;gt;&amp;amp;lt;SubqueryTemplateName /&amp;amp;gt;&amp;amp;lt;/RHSItem&amp;amp;gt;&amp;amp;lt;RHSItem&amp;amp;gt;&amp;amp;lt;RHSType&amp;amp;gt;EXPRESSION&amp;'"</definedName>
    <definedName name="_AMO_ContentDefinition_485496469.41" hidden="1">"'xA;'MFPR01006673',&amp;#xD;&amp;#xA;'MFPR01006674',&amp;#xD;&amp;#xA;'MFPR01006675',&amp;#xD;&amp;#xA;'MFPR01006676',&amp;#xD;&amp;#xA;'MFPR01006677',&amp;#xD;&amp;#xA;'MFPR01006678',&amp;#xD;&amp;#xA;'MFPR01006679',&amp;#xD;&amp;#xA;'MFPR01006680',&amp;#xD;&amp;#xA;'MFPR01006681',&amp;#xD;&amp;#xA;'MFPR01006682',&amp;#xD;&amp;#x'"</definedName>
    <definedName name="_AMO_ContentDefinition_485496469.410" hidden="1">"'amp;lt;/RHSType&amp;amp;gt;&amp;amp;lt;AddQuotes&amp;amp;gt;True&amp;amp;lt;/AddQuotes&amp;amp;gt;&amp;amp;lt;DateFormat&amp;amp;gt;None&amp;amp;lt;/DateFormat&amp;amp;gt;&amp;amp;lt;RightHandSideExpression&amp;amp;gt;MFMSUP000016&amp;amp;lt;/RightHandSideExpression&amp;amp;gt;&amp;amp;lt;IsSubquery&amp;amp;gt'"</definedName>
    <definedName name="_AMO_ContentDefinition_485496469.411"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485496469.412" hidden="1">"'p;gt;None&amp;amp;lt;/DateFormat&amp;amp;gt;&amp;amp;lt;RightHandSideExpression&amp;amp;gt;MFMSUP000017&amp;amp;lt;/RightHandSideExpression&amp;amp;gt;&amp;amp;lt;IsSubquery&amp;amp;gt;False&amp;amp;lt;/IsSubquery&amp;amp;gt;&amp;amp;lt;SubqueryTemplateName /&amp;amp;gt;&amp;amp;lt;/RHSItem&amp;amp;gt;&amp;amp'"</definedName>
    <definedName name="_AMO_ContentDefinition_485496469.413" hidden="1">"';lt;RHSItem&amp;amp;gt;&amp;amp;lt;RHSType&amp;amp;gt;EXPRESSION&amp;amp;lt;/RHSType&amp;amp;gt;&amp;amp;lt;AddQuotes&amp;amp;gt;True&amp;amp;lt;/AddQuotes&amp;amp;gt;&amp;amp;lt;DateFormat&amp;amp;gt;None&amp;amp;lt;/DateFormat&amp;amp;gt;&amp;amp;lt;RightHandSideExpression&amp;amp;gt;MFMSUP000018&amp;amp;lt;/Rig'"</definedName>
    <definedName name="_AMO_ContentDefinition_485496469.414"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485496469.415" hidden="1">"'t;True&amp;amp;lt;/AddQuotes&amp;amp;gt;&amp;amp;lt;DateFormat&amp;amp;gt;None&amp;amp;lt;/DateFormat&amp;amp;gt;&amp;amp;lt;RightHandSideExpression&amp;amp;gt;MFMSUP000019&amp;amp;lt;/RightHandSideExpression&amp;amp;gt;&amp;amp;lt;IsSubquery&amp;amp;gt;False&amp;amp;lt;/IsSubquery&amp;amp;gt;&amp;amp;lt;Subqu'"</definedName>
    <definedName name="_AMO_ContentDefinition_485496469.416"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485496469.417" hidden="1">"'ghtHandSideExpression&amp;amp;gt;MFMSUP000020&amp;amp;lt;/RightHandSideExpression&amp;amp;gt;&amp;amp;lt;IsSubquery&amp;amp;gt;False&amp;amp;lt;/IsSubquery&amp;amp;gt;&amp;amp;lt;SubqueryTemplateName /&amp;amp;gt;&amp;amp;lt;/RHSItem&amp;amp;gt;&amp;amp;lt;RHSItem&amp;amp;gt;&amp;amp;lt;RHSType&amp;amp;gt;EXPR'"</definedName>
    <definedName name="_AMO_ContentDefinition_485496469.418" hidden="1">"'ESSION&amp;amp;lt;/RHSType&amp;amp;gt;&amp;amp;lt;AddQuotes&amp;amp;gt;True&amp;amp;lt;/AddQuotes&amp;amp;gt;&amp;amp;lt;DateFormat&amp;amp;gt;None&amp;amp;lt;/DateFormat&amp;amp;gt;&amp;amp;lt;RightHandSideExpression&amp;amp;gt;MFMSUP000021&amp;amp;lt;/RightHandSideExpression&amp;amp;gt;&amp;amp;lt;IsSubquery'"</definedName>
    <definedName name="_AMO_ContentDefinition_485496469.419"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485496469.42" hidden="1">"'A;'MFPR01006683',&amp;#xD;&amp;#xA;'MFPR01006684',&amp;#xD;&amp;#xA;'MFPR01006685',&amp;#xD;&amp;#xA;'MFPR01006686',&amp;#xD;&amp;#xA;'MFPR01006687',&amp;#xD;&amp;#xA;'MFPR01006688',&amp;#xD;&amp;#xA;'MFPR01006689',&amp;#xD;&amp;#xA;'MFPR01006690',&amp;#xD;&amp;#xA;'MFPR01006691',&amp;#xD;&amp;#xA;'MFPR01006692',&amp;#xD;&amp;#xA'"</definedName>
    <definedName name="_AMO_ContentDefinition_485496469.420" hidden="1">"'rmat&amp;amp;gt;None&amp;amp;lt;/DateFormat&amp;amp;gt;&amp;amp;lt;RightHandSideExpression&amp;amp;gt;MFMSUP000022&amp;amp;lt;/RightHandSideExpression&amp;amp;gt;&amp;amp;lt;IsSubquery&amp;amp;gt;False&amp;amp;lt;/IsSubquery&amp;amp;gt;&amp;amp;lt;SubqueryTemplateName /&amp;amp;gt;&amp;amp;lt;/RHSItem&amp;amp;'"</definedName>
    <definedName name="_AMO_ContentDefinition_485496469.421" hidden="1">"'gt;&amp;amp;lt;RHSItem&amp;amp;gt;&amp;amp;lt;RHSType&amp;amp;gt;EXPRESSION&amp;amp;lt;/RHSType&amp;amp;gt;&amp;amp;lt;AddQuotes&amp;amp;gt;True&amp;amp;lt;/AddQuotes&amp;amp;gt;&amp;amp;lt;DateFormat&amp;amp;gt;None&amp;amp;lt;/DateFormat&amp;amp;gt;&amp;amp;lt;RightHandSideExpression&amp;amp;gt;MFMSUP000023&amp;amp;'"</definedName>
    <definedName name="_AMO_ContentDefinition_485496469.422"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485496469.423" hidden="1">"'s&amp;amp;gt;True&amp;amp;lt;/AddQuotes&amp;amp;gt;&amp;amp;lt;DateFormat&amp;amp;gt;None&amp;amp;lt;/DateFormat&amp;amp;gt;&amp;amp;lt;RightHandSideExpression&amp;amp;gt;MFMSUP000024&amp;amp;lt;/RightHandSideExpression&amp;amp;gt;&amp;amp;lt;IsSubquery&amp;amp;gt;False&amp;amp;lt;/IsSubquery&amp;amp;gt;&amp;amp;l'"</definedName>
    <definedName name="_AMO_ContentDefinition_485496469.424"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485496469.425" hidden="1">"'p;lt;RightHandSideExpression&amp;amp;gt;MFMSUP000025&amp;amp;lt;/RightHandSideExpression&amp;amp;gt;&amp;amp;lt;IsSubquery&amp;amp;gt;False&amp;amp;lt;/IsSubquery&amp;amp;gt;&amp;amp;lt;SubqueryTemplateName /&amp;amp;gt;&amp;amp;lt;/RHSItem&amp;amp;gt;&amp;amp;lt;RHSItem&amp;amp;gt;&amp;amp;lt;RHSType&amp;amp;'"</definedName>
    <definedName name="_AMO_ContentDefinition_485496469.426" hidden="1">"'gt;EXPRESSION&amp;amp;lt;/RHSType&amp;amp;gt;&amp;amp;lt;AddQuotes&amp;amp;gt;True&amp;amp;lt;/AddQuotes&amp;amp;gt;&amp;amp;lt;DateFormat&amp;amp;gt;None&amp;amp;lt;/DateFormat&amp;amp;gt;&amp;amp;lt;RightHandSideExpression&amp;amp;gt;MFMSUP000026&amp;amp;lt;/RightHandSideExpression&amp;amp;gt;&amp;amp;lt;IsS'"</definedName>
    <definedName name="_AMO_ContentDefinition_485496469.427"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428" hidden="1">"';DateFormat&amp;amp;gt;None&amp;amp;lt;/DateFormat&amp;amp;gt;&amp;amp;lt;RightHandSideExpression&amp;amp;gt;MFMSUP000027&amp;amp;lt;/RightHandSideExpression&amp;amp;gt;&amp;amp;lt;IsSubquery&amp;amp;gt;False&amp;amp;lt;/IsSubquery&amp;amp;gt;&amp;amp;lt;SubqueryTemplateName /&amp;amp;gt;&amp;amp;lt;/RHSIt'"</definedName>
    <definedName name="_AMO_ContentDefinition_485496469.429" hidden="1">"'em&amp;amp;gt;&amp;amp;lt;RHSItem&amp;amp;gt;&amp;amp;lt;RHSType&amp;amp;gt;EXPRESSION&amp;amp;lt;/RHSType&amp;amp;gt;&amp;amp;lt;AddQuotes&amp;amp;gt;True&amp;amp;lt;/AddQuotes&amp;amp;gt;&amp;amp;lt;DateFormat&amp;amp;gt;None&amp;amp;lt;/DateFormat&amp;amp;gt;&amp;amp;lt;RightHandSideExpression&amp;amp;gt;MFMSUP0000'"</definedName>
    <definedName name="_AMO_ContentDefinition_485496469.43" hidden="1">"';'MFPR01006693',&amp;#xD;&amp;#xA;'MFPR01006694',&amp;#xD;&amp;#xA;'MFPR01006695',&amp;#xD;&amp;#xA;'MFPR01006696',&amp;#xD;&amp;#xA;'MFPR01006697',&amp;#xD;&amp;#xA;'MFPR01006698',&amp;#xD;&amp;#xA;'MFPR01006699',&amp;#xD;&amp;#xA;'MFPR01006700',&amp;#xD;&amp;#xA;'MFPR01006701',&amp;#xD;&amp;#xA;'MFPR01006702',&amp;#xD;&amp;#xA;'"</definedName>
    <definedName name="_AMO_ContentDefinition_485496469.430" hidden="1">"'28&amp;amp;lt;/RightHandSideExpression&amp;amp;gt;&amp;amp;lt;IsSubquery&amp;amp;gt;False&amp;amp;lt;/IsSubquery&amp;amp;gt;&amp;amp;lt;SubqueryTemplateName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485496469.431" hidden="1">"'ddQuotes&amp;amp;gt;True&amp;amp;lt;/AddQuotes&amp;amp;gt;&amp;amp;lt;DateFormat&amp;amp;gt;None&amp;amp;lt;/DateFormat&amp;amp;gt;&amp;amp;lt;RightHandSideExpression&amp;amp;gt;MFMSUP000029&amp;amp;lt;/RightHandSideExpression&amp;amp;gt;&amp;amp;lt;IsSubquery&amp;amp;gt;False&amp;amp;lt;/IsSubquery&amp;amp;gt'"</definedName>
    <definedName name="_AMO_ContentDefinition_485496469.432"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433" hidden="1">"';gt;&amp;amp;lt;RightHandSideExpression&amp;amp;gt;MFMSUP000030&amp;amp;lt;/RightHandSideExpression&amp;amp;gt;&amp;amp;lt;IsSubquery&amp;amp;gt;False&amp;amp;lt;/IsSubquery&amp;amp;gt;&amp;amp;lt;SubqueryTemplateName /&amp;amp;gt;&amp;amp;lt;/RHSItem&amp;amp;gt;&amp;amp;lt;RHSItem&amp;amp;gt;&amp;amp;lt;RHSTy'"</definedName>
    <definedName name="_AMO_ContentDefinition_485496469.434" hidden="1">"'pe&amp;amp;gt;EXPRESSION&amp;amp;lt;/RHSType&amp;amp;gt;&amp;amp;lt;AddQuotes&amp;amp;gt;True&amp;amp;lt;/AddQuotes&amp;amp;gt;&amp;amp;lt;DateFormat&amp;amp;gt;None&amp;amp;lt;/DateFormat&amp;amp;gt;&amp;amp;lt;RightHandSideExpression&amp;amp;gt;MFMSUP000031&amp;amp;lt;/RightHandSideExpression&amp;amp;gt;&amp;amp'"</definedName>
    <definedName name="_AMO_ContentDefinition_485496469.435"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436" hidden="1">"'&amp;amp;lt;DateFormat&amp;amp;gt;None&amp;amp;lt;/DateFormat&amp;amp;gt;&amp;amp;lt;RightHandSideExpression&amp;amp;gt;MFMSUP000032&amp;amp;lt;/RightHandSideExpression&amp;amp;gt;&amp;amp;lt;IsSubquery&amp;amp;gt;False&amp;amp;lt;/IsSubquery&amp;amp;gt;&amp;amp;lt;SubqueryTemplateName /&amp;amp;gt;&amp;amp;lt'"</definedName>
    <definedName name="_AMO_ContentDefinition_485496469.437" hidden="1">"';/RHSItem&amp;amp;gt;&amp;amp;lt;RHSItem&amp;amp;gt;&amp;amp;lt;RHSType&amp;amp;gt;EXPRESSION&amp;amp;lt;/RHSType&amp;amp;gt;&amp;amp;lt;AddQuotes&amp;amp;gt;True&amp;amp;lt;/AddQuotes&amp;amp;gt;&amp;amp;lt;DateFormat&amp;amp;gt;None&amp;amp;lt;/DateFormat&amp;amp;gt;&amp;amp;lt;RightHandSideExpression&amp;amp;gt;MFM'"</definedName>
    <definedName name="_AMO_ContentDefinition_485496469.438" hidden="1">"'SUP000033&amp;amp;lt;/RightHandSideExpression&amp;amp;gt;&amp;amp;lt;IsSubquery&amp;amp;gt;False&amp;amp;lt;/IsSubquery&amp;amp;gt;&amp;amp;lt;SubqueryTemplateName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485496469.439" hidden="1">"'mp;lt;AddQuotes&amp;amp;gt;True&amp;amp;lt;/AddQuotes&amp;amp;gt;&amp;amp;lt;DateFormat&amp;amp;gt;None&amp;amp;lt;/DateFormat&amp;amp;gt;&amp;amp;lt;RightHandSideExpression&amp;amp;gt;MFMSUP000034&amp;amp;lt;/RightHandSideExpression&amp;amp;gt;&amp;amp;lt;IsSubquery&amp;amp;gt;False&amp;amp;lt;/IsSubquery'"</definedName>
    <definedName name="_AMO_ContentDefinition_485496469.44" hidden="1">"''MFPR01006703',&amp;#xD;&amp;#xA;'MFPR01006704',&amp;#xD;&amp;#xA;'MFPR01006705',&amp;#xD;&amp;#xA;'MFPR01006706',&amp;#xD;&amp;#xA;'MFPR01006707',&amp;#xD;&amp;#xA;'MFPR01006708',&amp;#xD;&amp;#xA;'MFPR01006709',&amp;#xD;&amp;#xA;'MFPR01006710',&amp;#xD;&amp;#xA;'MFPR01006711',&amp;#xD;&amp;#xA;'MFPR01006712',&amp;#xD;&amp;#xA;''"</definedName>
    <definedName name="_AMO_ContentDefinition_485496469.440"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485496469.441" hidden="1">"'mat&amp;amp;gt;&amp;amp;lt;RightHandSideExpression&amp;amp;gt;MFMSUP000035&amp;amp;lt;/RightHandSideExpression&amp;amp;gt;&amp;amp;lt;IsSubquery&amp;amp;gt;False&amp;amp;lt;/IsSubquery&amp;amp;gt;&amp;amp;lt;SubqueryTemplateName /&amp;amp;gt;&amp;amp;lt;/RHSItem&amp;amp;gt;&amp;amp;lt;RHSItem&amp;amp;gt;&amp;amp;l'"</definedName>
    <definedName name="_AMO_ContentDefinition_485496469.442" hidden="1">"'t;RHSType&amp;amp;gt;EXPRESSION&amp;amp;lt;/RHSType&amp;amp;gt;&amp;amp;lt;AddQuotes&amp;amp;gt;True&amp;amp;lt;/AddQuotes&amp;amp;gt;&amp;amp;lt;DateFormat&amp;amp;gt;None&amp;amp;lt;/DateFormat&amp;amp;gt;&amp;amp;lt;RightHandSideExpression&amp;amp;gt;MFMSUP000036&amp;amp;lt;/RightHandSideExpression&amp;amp;'"</definedName>
    <definedName name="_AMO_ContentDefinition_485496469.443"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485496469.444" hidden="1">"'amp;gt;&amp;amp;lt;DateFormat&amp;amp;gt;None&amp;amp;lt;/DateFormat&amp;amp;gt;&amp;amp;lt;RightHandSideExpression&amp;amp;gt;MFMSUP000037&amp;amp;lt;/RightHandSideExpression&amp;amp;gt;&amp;amp;lt;IsSubquery&amp;amp;gt;False&amp;amp;lt;/IsSubquery&amp;amp;gt;&amp;amp;lt;SubqueryTemplateName /&amp;amp;gt;'"</definedName>
    <definedName name="_AMO_ContentDefinition_485496469.445" hidden="1">"'&amp;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446" hidden="1">"';gt;MFMSUP000038&amp;amp;lt;/RightHandSideExpression&amp;amp;gt;&amp;amp;lt;IsSubquery&amp;amp;gt;False&amp;amp;lt;/IsSubquery&amp;amp;gt;&amp;amp;lt;SubqueryTemplateName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485496469.447" hidden="1">"'p;gt;&amp;amp;lt;AddQuotes&amp;amp;gt;True&amp;amp;lt;/AddQuotes&amp;amp;gt;&amp;amp;lt;DateFormat&amp;amp;gt;None&amp;amp;lt;/DateFormat&amp;amp;gt;&amp;amp;lt;RightHandSideExpression&amp;amp;gt;MFMSUP000039&amp;amp;lt;/RightHandSideExpression&amp;amp;gt;&amp;amp;lt;IsSubquery&amp;amp;gt;False&amp;amp;lt;/IsS'"</definedName>
    <definedName name="_AMO_ContentDefinition_485496469.448"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449" hidden="1">"'DateFormat&amp;amp;gt;&amp;amp;lt;RightHandSideExpression&amp;amp;gt;MFMSUP000040&amp;amp;lt;/RightHandSideExpression&amp;amp;gt;&amp;amp;lt;IsSubquery&amp;amp;gt;False&amp;amp;lt;/IsSubquery&amp;amp;gt;&amp;amp;lt;SubqueryTemplateName /&amp;amp;gt;&amp;amp;lt;/RHSItem&amp;amp;gt;&amp;amp;lt;RHSItem&amp;amp;gt'"</definedName>
    <definedName name="_AMO_ContentDefinition_485496469.45" hidden="1">"'MFPR01006713',&amp;#xD;&amp;#xA;'MFPR01006714',&amp;#xD;&amp;#xA;'MFPR01006715',&amp;#xD;&amp;#xA;'MFPR01006716',&amp;#xD;&amp;#xA;'MFPR01006717',&amp;#xD;&amp;#xA;'MFPR01006718',&amp;#xD;&amp;#xA;'MFPR01006719',&amp;#xD;&amp;#xA;'MFPR01006720',&amp;#xD;&amp;#xA;'MFPR01006721',&amp;#xD;&amp;#xA;'MFPR01006722',&amp;#xD;&amp;#xA;'M'"</definedName>
    <definedName name="_AMO_ContentDefinition_485496469.450" hidden="1">"';&amp;amp;lt;RHSType&amp;amp;gt;EXPRESSION&amp;amp;lt;/RHSType&amp;amp;gt;&amp;amp;lt;AddQuotes&amp;amp;gt;True&amp;amp;lt;/AddQuotes&amp;amp;gt;&amp;amp;lt;DateFormat&amp;amp;gt;None&amp;amp;lt;/DateFormat&amp;amp;gt;&amp;amp;lt;RightHandSideExpression&amp;amp;gt;MFMSUP000041&amp;amp;lt;/RightHandSideExpressi'"</definedName>
    <definedName name="_AMO_ContentDefinition_485496469.451"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485496469.452" hidden="1">"'Quotes&amp;amp;gt;&amp;amp;lt;DateFormat&amp;amp;gt;None&amp;amp;lt;/DateFormat&amp;amp;gt;&amp;amp;lt;RightHandSideExpression&amp;amp;gt;MFMSUP000042&amp;amp;lt;/RightHandSideExpression&amp;amp;gt;&amp;amp;lt;IsSubquery&amp;amp;gt;False&amp;amp;lt;/IsSubquery&amp;amp;gt;&amp;amp;lt;SubqueryTemplateName /&amp;'"</definedName>
    <definedName name="_AMO_ContentDefinition_485496469.453"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485496469.454" hidden="1">"'ion&amp;amp;gt;MFMSUP000043&amp;amp;lt;/RightHandSideExpression&amp;amp;gt;&amp;amp;lt;IsSubquery&amp;amp;gt;False&amp;amp;lt;/IsSubquery&amp;amp;gt;&amp;amp;lt;SubqueryTemplateName /&amp;amp;gt;&amp;amp;lt;/RHSItem&amp;amp;gt;&amp;amp;lt;RHSItem&amp;amp;gt;&amp;amp;lt;RHSType&amp;amp;gt;EXPRESSION&amp;amp;lt;/RHS'"</definedName>
    <definedName name="_AMO_ContentDefinition_485496469.455" hidden="1">"'Type&amp;amp;gt;&amp;amp;lt;AddQuotes&amp;amp;gt;True&amp;amp;lt;/AddQuotes&amp;amp;gt;&amp;amp;lt;DateFormat&amp;amp;gt;None&amp;amp;lt;/DateFormat&amp;amp;gt;&amp;amp;lt;RightHandSideExpression&amp;amp;gt;MFMSUP000044&amp;amp;lt;/RightHandSideExpression&amp;amp;gt;&amp;amp;lt;IsSubquery&amp;amp;gt;False&amp;amp;'"</definedName>
    <definedName name="_AMO_ContentDefinition_485496469.456"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485496469.457" hidden="1">"'mp;lt;/DateFormat&amp;amp;gt;&amp;amp;lt;RightHandSideExpression&amp;amp;gt;MFMSUP000045&amp;amp;lt;/RightHandSideExpression&amp;amp;gt;&amp;amp;lt;IsSubquery&amp;amp;gt;False&amp;amp;lt;/IsSubquery&amp;amp;gt;&amp;amp;lt;SubqueryTemplateName /&amp;amp;gt;&amp;amp;lt;/RHSItem&amp;amp;gt;&amp;amp;lt;RHSItem'"</definedName>
    <definedName name="_AMO_ContentDefinition_485496469.458" hidden="1">"'&amp;amp;gt;&amp;amp;lt;RHSType&amp;amp;gt;EXPRESSION&amp;amp;lt;/RHSType&amp;amp;gt;&amp;amp;lt;AddQuotes&amp;amp;gt;True&amp;amp;lt;/AddQuotes&amp;amp;gt;&amp;amp;lt;DateFormat&amp;amp;gt;None&amp;amp;lt;/DateFormat&amp;amp;gt;&amp;amp;lt;RightHandSideExpression&amp;amp;gt;MFMSUP000046&amp;amp;lt;/RightHandSideE'"</definedName>
    <definedName name="_AMO_ContentDefinition_485496469.459"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46" hidden="1">"'FPR01006723',&amp;#xD;&amp;#xA;'MFPR01006724',&amp;#xD;&amp;#xA;'MFPR01006725',&amp;#xD;&amp;#xA;'MFPR01006726',&amp;#xD;&amp;#xA;'MFPR01006727',&amp;#xD;&amp;#xA;'MFPR01006728',&amp;#xD;&amp;#xA;'MFPR01006729',&amp;#xD;&amp;#xA;'MFPR01006730',&amp;#xD;&amp;#xA;'MFPR01006731',&amp;#xD;&amp;#xA;'MFPR01006732',&amp;#xD;&amp;#xA;'MF'"</definedName>
    <definedName name="_AMO_ContentDefinition_485496469.460" hidden="1">"'lt;/AddQuotes&amp;amp;gt;&amp;amp;lt;DateFormat&amp;amp;gt;None&amp;amp;lt;/DateFormat&amp;amp;gt;&amp;amp;lt;RightHandSideExpression&amp;amp;gt;MFMSUP000047&amp;amp;lt;/RightHandSideExpression&amp;amp;gt;&amp;amp;lt;IsSubquery&amp;amp;gt;False&amp;amp;lt;/IsSubquery&amp;amp;gt;&amp;amp;lt;SubqueryTemplate'"</definedName>
    <definedName name="_AMO_ContentDefinition_485496469.461"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485496469.462" hidden="1">"'Expression&amp;amp;gt;MFMSUP000048&amp;amp;lt;/RightHandSideExpression&amp;amp;gt;&amp;amp;lt;IsSubquery&amp;amp;gt;False&amp;amp;lt;/IsSubquery&amp;amp;gt;&amp;amp;lt;SubqueryTemplateName /&amp;amp;gt;&amp;amp;lt;/RHSItem&amp;amp;gt;&amp;amp;lt;RHSItem&amp;amp;gt;&amp;amp;lt;RHSType&amp;amp;gt;EXPRESSION&amp;amp;'"</definedName>
    <definedName name="_AMO_ContentDefinition_485496469.463" hidden="1">"'lt;/RHSType&amp;amp;gt;&amp;amp;lt;AddQuotes&amp;amp;gt;True&amp;amp;lt;/AddQuotes&amp;amp;gt;&amp;amp;lt;DateFormat&amp;amp;gt;None&amp;amp;lt;/DateFormat&amp;amp;gt;&amp;amp;lt;RightHandSideExpression&amp;amp;gt;MFMSUP000049&amp;amp;lt;/RightHandSideExpression&amp;amp;gt;&amp;amp;lt;IsSubquery&amp;amp;gt;Fal'"</definedName>
    <definedName name="_AMO_ContentDefinition_485496469.464"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465" hidden="1">"';None&amp;amp;lt;/DateFormat&amp;amp;gt;&amp;amp;lt;RightHandSideExpression&amp;amp;gt;MFMSUP000050&amp;amp;lt;/RightHandSideExpression&amp;amp;gt;&amp;amp;lt;IsSubquery&amp;amp;gt;False&amp;amp;lt;/IsSubquery&amp;amp;gt;&amp;amp;lt;SubqueryTemplateName /&amp;amp;gt;&amp;amp;lt;/RHSItem&amp;amp;gt;&amp;amp;lt;'"</definedName>
    <definedName name="_AMO_ContentDefinition_485496469.466" hidden="1">"'RHSItem&amp;amp;gt;&amp;amp;lt;RHSType&amp;amp;gt;EXPRESSION&amp;amp;lt;/RHSType&amp;amp;gt;&amp;amp;lt;AddQuotes&amp;amp;gt;True&amp;amp;lt;/AddQuotes&amp;amp;gt;&amp;amp;lt;DateFormat&amp;amp;gt;None&amp;amp;lt;/DateFormat&amp;amp;gt;&amp;amp;lt;RightHandSideExpression&amp;amp;gt;MFMSUP000051&amp;amp;lt;/RightHa'"</definedName>
    <definedName name="_AMO_ContentDefinition_485496469.467"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485496469.468" hidden="1">"'ue&amp;amp;lt;/AddQuotes&amp;amp;gt;&amp;amp;lt;DateFormat&amp;amp;gt;None&amp;amp;lt;/DateFormat&amp;amp;gt;&amp;amp;lt;RightHandSideExpression&amp;amp;gt;MFMSUP000052&amp;amp;lt;/RightHandSideExpression&amp;amp;gt;&amp;amp;lt;IsSubquery&amp;amp;gt;False&amp;amp;lt;/IsSubquery&amp;amp;gt;&amp;amp;lt;SubqueryT'"</definedName>
    <definedName name="_AMO_ContentDefinition_485496469.469"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485496469.47" hidden="1">"'PR01006733',&amp;#xD;&amp;#xA;'MFPR01006734',&amp;#xD;&amp;#xA;'MFPR01006735',&amp;#xD;&amp;#xA;'MFPR01006736',&amp;#xD;&amp;#xA;'MFPR01006737',&amp;#xD;&amp;#xA;'MFPR01006738',&amp;#xD;&amp;#xA;'MFPR01006739',&amp;#xD;&amp;#xA;'MFPR01006740',&amp;#xD;&amp;#xA;'MFPR01006741',&amp;#xD;&amp;#xA;'MFPR01006742',&amp;#xD;&amp;#xA;'MFP'"</definedName>
    <definedName name="_AMO_ContentDefinition_485496469.470" hidden="1">"'andSideExpression&amp;amp;gt;MFMSUP000053&amp;amp;lt;/RightHandSideExpression&amp;amp;gt;&amp;amp;lt;IsSubquery&amp;amp;gt;False&amp;amp;lt;/IsSubquery&amp;amp;gt;&amp;amp;lt;SubqueryTemplateName /&amp;amp;gt;&amp;amp;lt;/RHSItem&amp;amp;gt;&amp;amp;lt;RHSItem&amp;amp;gt;&amp;amp;lt;RHSType&amp;amp;gt;EXPRESSI'"</definedName>
    <definedName name="_AMO_ContentDefinition_485496469.471" hidden="1">"'ON&amp;amp;lt;/RHSType&amp;amp;gt;&amp;amp;lt;AddQuotes&amp;amp;gt;True&amp;amp;lt;/AddQuotes&amp;amp;gt;&amp;amp;lt;DateFormat&amp;amp;gt;None&amp;amp;lt;/DateFormat&amp;amp;gt;&amp;amp;lt;RightHandSideExpression&amp;amp;gt;MFMSUP000054&amp;amp;lt;/RightHandSideExpression&amp;amp;gt;&amp;amp;lt;IsSubquery&amp;amp'"</definedName>
    <definedName name="_AMO_ContentDefinition_485496469.472"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485496469.473" hidden="1">"'&amp;amp;gt;None&amp;amp;lt;/DateFormat&amp;amp;gt;&amp;amp;lt;RightHandSideExpression&amp;amp;gt;MFMSUP000055&amp;amp;lt;/RightHandSideExpression&amp;amp;gt;&amp;amp;lt;IsSubquery&amp;amp;gt;False&amp;amp;lt;/IsSubquery&amp;amp;gt;&amp;amp;lt;SubqueryTemplateName /&amp;amp;gt;&amp;amp;lt;/RHSItem&amp;amp;gt;&amp;'"</definedName>
    <definedName name="_AMO_ContentDefinition_485496469.474" hidden="1">"'amp;lt;RHSItem&amp;amp;gt;&amp;amp;lt;RHSType&amp;amp;gt;EXPRESSION&amp;amp;lt;/RHSType&amp;amp;gt;&amp;amp;lt;AddQuotes&amp;amp;gt;True&amp;amp;lt;/AddQuotes&amp;amp;gt;&amp;amp;lt;DateFormat&amp;amp;gt;None&amp;amp;lt;/DateFormat&amp;amp;gt;&amp;amp;lt;RightHandSideExpression&amp;amp;gt;MFMSUP000056&amp;amp;lt;/'"</definedName>
    <definedName name="_AMO_ContentDefinition_485496469.475"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485496469.476" hidden="1">"'p;gt;True&amp;amp;lt;/AddQuotes&amp;amp;gt;&amp;amp;lt;DateFormat&amp;amp;gt;None&amp;amp;lt;/DateFormat&amp;amp;gt;&amp;amp;lt;RightHandSideExpression&amp;amp;gt;MFMSUP000057&amp;amp;lt;/RightHandSideExpression&amp;amp;gt;&amp;amp;lt;IsSubquery&amp;amp;gt;False&amp;amp;lt;/IsSubquery&amp;amp;gt;&amp;amp;lt;Su'"</definedName>
    <definedName name="_AMO_ContentDefinition_485496469.477"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478" hidden="1">"';RightHandSideExpression&amp;amp;gt;MFMSUP000058&amp;amp;lt;/RightHandSideExpression&amp;amp;gt;&amp;amp;lt;IsSubquery&amp;amp;gt;False&amp;amp;lt;/IsSubquery&amp;amp;gt;&amp;amp;lt;SubqueryTemplateName /&amp;amp;gt;&amp;amp;lt;/RHSItem&amp;amp;gt;&amp;amp;lt;RHSItem&amp;amp;gt;&amp;amp;lt;RHSType&amp;amp;gt;E'"</definedName>
    <definedName name="_AMO_ContentDefinition_485496469.479" hidden="1">"'XPRESSION&amp;amp;lt;/RHSType&amp;amp;gt;&amp;amp;lt;AddQuotes&amp;amp;gt;True&amp;amp;lt;/AddQuotes&amp;amp;gt;&amp;amp;lt;DateFormat&amp;amp;gt;None&amp;amp;lt;/DateFormat&amp;amp;gt;&amp;amp;lt;RightHandSideExpression&amp;amp;gt;MFMSUP000059&amp;amp;lt;/RightHandSideExpression&amp;amp;gt;&amp;amp;lt;IsSubqu'"</definedName>
    <definedName name="_AMO_ContentDefinition_485496469.48" hidden="1">"'R01006743',&amp;#xD;&amp;#xA;'MFPR01006744',&amp;#xD;&amp;#xA;'MFPR01006745',&amp;#xD;&amp;#xA;'MFPR01006746',&amp;#xD;&amp;#xA;'MFPR01006747',&amp;#xD;&amp;#xA;'MFPR01006748',&amp;#xD;&amp;#xA;'MFPR01006749',&amp;#xD;&amp;#xA;'MFPR01006750',&amp;#xD;&amp;#xA;'MFPR01006751',&amp;#xD;&amp;#xA;'MFPR01006752',&amp;#xD;&amp;#xA;'MFPR'"</definedName>
    <definedName name="_AMO_ContentDefinition_485496469.480"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485496469.481" hidden="1">"'eFormat&amp;amp;gt;None&amp;amp;lt;/DateFormat&amp;amp;gt;&amp;amp;lt;RightHandSideExpression&amp;amp;gt;MFMSUP000060&amp;amp;lt;/RightHandSideExpression&amp;amp;gt;&amp;amp;lt;IsSubquery&amp;amp;gt;False&amp;amp;lt;/IsSubquery&amp;amp;gt;&amp;amp;lt;SubqueryTemplateName /&amp;amp;gt;&amp;amp;lt;/RHSItem&amp;a'"</definedName>
    <definedName name="_AMO_ContentDefinition_485496469.482" hidden="1">"'mp;gt;&amp;amp;lt;RHSItem&amp;amp;gt;&amp;amp;lt;RHSType&amp;amp;gt;EXPRESSION&amp;amp;lt;/RHSType&amp;amp;gt;&amp;amp;lt;AddQuotes&amp;amp;gt;True&amp;amp;lt;/AddQuotes&amp;amp;gt;&amp;amp;lt;DateFormat&amp;amp;gt;None&amp;amp;lt;/DateFormat&amp;amp;gt;&amp;amp;lt;RightHandSideExpression&amp;amp;gt;MFMSUP000062&amp;a'"</definedName>
    <definedName name="_AMO_ContentDefinition_485496469.483"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485496469.484" hidden="1">"'otes&amp;amp;gt;True&amp;amp;lt;/AddQuotes&amp;amp;gt;&amp;amp;lt;DateFormat&amp;amp;gt;None&amp;amp;lt;/DateFormat&amp;amp;gt;&amp;amp;lt;RightHandSideExpression&amp;amp;gt;MFMSUP000063&amp;amp;lt;/RightHandSideExpression&amp;amp;gt;&amp;amp;lt;IsSubquery&amp;amp;gt;False&amp;amp;lt;/IsSubquery&amp;amp;gt;&amp;am'"</definedName>
    <definedName name="_AMO_ContentDefinition_485496469.485"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486" hidden="1">"'&amp;amp;lt;RightHandSideExpression&amp;amp;gt;MFMSUP000064&amp;amp;lt;/RightHandSideExpression&amp;amp;gt;&amp;amp;lt;IsSubquery&amp;amp;gt;False&amp;amp;lt;/IsSubquery&amp;amp;gt;&amp;amp;lt;SubqueryTemplateName /&amp;amp;gt;&amp;amp;lt;/RHSItem&amp;amp;gt;&amp;amp;lt;RHSItem&amp;amp;gt;&amp;amp;lt;RHSType&amp;a'"</definedName>
    <definedName name="_AMO_ContentDefinition_485496469.487" hidden="1">"'mp;gt;EXPRESSION&amp;amp;lt;/RHSType&amp;amp;gt;&amp;amp;lt;AddQuotes&amp;amp;gt;True&amp;amp;lt;/AddQuotes&amp;amp;gt;&amp;amp;lt;DateFormat&amp;amp;gt;None&amp;amp;lt;/DateFormat&amp;amp;gt;&amp;amp;lt;RightHandSideExpression&amp;amp;gt;MFMSUP000065&amp;amp;lt;/RightHandSideExpression&amp;amp;gt;&amp;amp;lt;'"</definedName>
    <definedName name="_AMO_ContentDefinition_485496469.488"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489" hidden="1">"';lt;DateFormat&amp;amp;gt;None&amp;amp;lt;/DateFormat&amp;amp;gt;&amp;amp;lt;RightHandSideExpression&amp;amp;gt;MFMSUP000066&amp;amp;lt;/RightHandSideExpression&amp;amp;gt;&amp;amp;lt;IsSubquery&amp;amp;gt;False&amp;amp;lt;/IsSubquery&amp;amp;gt;&amp;amp;lt;SubqueryTemplateName /&amp;amp;gt;&amp;amp;lt;/RH'"</definedName>
    <definedName name="_AMO_ContentDefinition_485496469.49" hidden="1">"'01006753',&amp;#xD;&amp;#xA;'MFPR01006754',&amp;#xD;&amp;#xA;'MFPR01006755',&amp;#xD;&amp;#xA;'MFPR01006756',&amp;#xD;&amp;#xA;'MFPR01006757',&amp;#xD;&amp;#xA;'MFPR01006758',&amp;#xD;&amp;#xA;'MFPR01006759',&amp;#xD;&amp;#xA;'MFPR01006760',&amp;#xD;&amp;#xA;'MFPR01006761',&amp;#xD;&amp;#xA;'MFPR01006762',&amp;#xD;&amp;#xA;'MFPR0'"</definedName>
    <definedName name="_AMO_ContentDefinition_485496469.490" hidden="1">"'SItem&amp;amp;gt;&amp;amp;lt;RHSItem&amp;amp;gt;&amp;amp;lt;RHSType&amp;amp;gt;EXPRESSION&amp;amp;lt;/RHSType&amp;amp;gt;&amp;amp;lt;AddQuotes&amp;amp;gt;True&amp;amp;lt;/AddQuotes&amp;amp;gt;&amp;amp;lt;DateFormat&amp;amp;gt;None&amp;amp;lt;/DateFormat&amp;amp;gt;&amp;amp;lt;RightHandSideExpression&amp;amp;gt;MFMSUP0'"</definedName>
    <definedName name="_AMO_ContentDefinition_485496469.491" hidden="1">"'00067&amp;amp;lt;/RightHandSideExpression&amp;amp;gt;&amp;amp;lt;IsSubquery&amp;amp;gt;False&amp;amp;lt;/IsSubquery&amp;amp;gt;&amp;amp;lt;SubqueryTemplateName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485496469.492" hidden="1">"'t;AddQuotes&amp;amp;gt;True&amp;amp;lt;/AddQuotes&amp;amp;gt;&amp;amp;lt;DateFormat&amp;amp;gt;None&amp;amp;lt;/DateFormat&amp;amp;gt;&amp;amp;lt;RightHandSideExpression&amp;amp;gt;MFMSUP000068&amp;amp;lt;/RightHandSideExpression&amp;amp;gt;&amp;amp;lt;IsSubquery&amp;amp;gt;False&amp;amp;lt;/IsSubquery&amp;amp'"</definedName>
    <definedName name="_AMO_ContentDefinition_485496469.493"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485496469.494" hidden="1">"'amp;gt;&amp;amp;lt;RightHandSideExpression&amp;amp;gt;MFMSUP000078&amp;amp;lt;/RightHandSideExpression&amp;amp;gt;&amp;amp;lt;IsSubquery&amp;amp;gt;False&amp;amp;lt;/IsSubquery&amp;amp;gt;&amp;amp;lt;SubqueryTemplateName /&amp;amp;gt;&amp;amp;lt;/RHSItem&amp;amp;gt;&amp;amp;lt;RHSItem&amp;amp;gt;&amp;amp;lt;RH'"</definedName>
    <definedName name="_AMO_ContentDefinition_485496469.495" hidden="1">"'SType&amp;amp;gt;EXPRESSION&amp;amp;lt;/RHSType&amp;amp;gt;&amp;amp;lt;AddQuotes&amp;amp;gt;True&amp;amp;lt;/AddQuotes&amp;amp;gt;&amp;amp;lt;DateFormat&amp;amp;gt;None&amp;amp;lt;/DateFormat&amp;amp;gt;&amp;amp;lt;RightHandSideExpression&amp;amp;gt;MFMSUP000079&amp;amp;lt;/RightHandSideExpression&amp;amp;gt;&amp;'"</definedName>
    <definedName name="_AMO_ContentDefinition_485496469.496"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497" hidden="1">"'gt;&amp;amp;lt;DateFormat&amp;amp;gt;None&amp;amp;lt;/DateFormat&amp;amp;gt;&amp;amp;lt;RightHandSideExpression&amp;amp;gt;MFMSUP000080&amp;amp;lt;/RightHandSideExpression&amp;amp;gt;&amp;amp;lt;IsSubquery&amp;amp;gt;False&amp;amp;lt;/IsSubquery&amp;amp;gt;&amp;amp;lt;SubqueryTemplateName /&amp;amp;gt;&amp;amp'"</definedName>
    <definedName name="_AMO_ContentDefinition_485496469.498" hidden="1">"';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499" hidden="1">"'MFMSUP000081&amp;amp;lt;/RightHandSideExpression&amp;amp;gt;&amp;amp;lt;IsSubquery&amp;amp;gt;False&amp;amp;lt;/IsSubquery&amp;amp;gt;&amp;amp;lt;SubqueryTemplateName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5" hidden="1">"'36',&amp;#xD;&amp;#xA;'MFDRVD000138',&amp;#xD;&amp;#xA;'MFDRVD000139',&amp;#xD;&amp;#xA;'MFDRVD000150',&amp;#xD;&amp;#xA;'MFDRVD000155',&amp;#xD;&amp;#xA;'MFMSUP000002',&amp;#xD;&amp;#xA;'MFMSUP000003',&amp;#xD;&amp;#xA;'MFMSUP000004',&amp;#xD;&amp;#xA;'MFMSUP000005',&amp;#xD;&amp;#xA;'MFMSUP000006',&amp;#xD;&amp;#xA;'MFMSUP00000'"</definedName>
    <definedName name="_AMO_ContentDefinition_485496469.50" hidden="1">"'1006763',&amp;#xD;&amp;#xA;'MFPR01006764',&amp;#xD;&amp;#xA;'MFPR01006765',&amp;#xD;&amp;#xA;'MFPR01006766',&amp;#xD;&amp;#xA;'MFPR01006767',&amp;#xD;&amp;#xA;'MFPR01006768',&amp;#xD;&amp;#xA;'MFPR01006769',&amp;#xD;&amp;#xA;'MFPR01006770',&amp;#xD;&amp;#xA;'MFPR01006771',&amp;#xD;&amp;#xA;'MFPR01006772',&amp;#xD;&amp;#xA;'MFPR01'"</definedName>
    <definedName name="_AMO_ContentDefinition_485496469.500" hidden="1">"';&amp;amp;lt;AddQuotes&amp;amp;gt;True&amp;amp;lt;/AddQuotes&amp;amp;gt;&amp;amp;lt;DateFormat&amp;amp;gt;None&amp;amp;lt;/DateFormat&amp;amp;gt;&amp;amp;lt;RightHandSideExpression&amp;amp;gt;MFMSUP000082&amp;amp;lt;/RightHandSideExpression&amp;amp;gt;&amp;amp;lt;IsSubquery&amp;amp;gt;False&amp;amp;lt;/IsSubqu'"</definedName>
    <definedName name="_AMO_ContentDefinition_485496469.501"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485496469.502" hidden="1">"'Format&amp;amp;gt;&amp;amp;lt;RightHandSideExpression&amp;amp;gt;MFMSUP000083&amp;amp;lt;/RightHandSideExpression&amp;amp;gt;&amp;amp;lt;IsSubquery&amp;amp;gt;False&amp;amp;lt;/IsSubquery&amp;amp;gt;&amp;amp;lt;SubqueryTemplateName /&amp;amp;gt;&amp;amp;lt;/RHSItem&amp;amp;gt;&amp;amp;lt;RHSItem&amp;amp;gt;&amp;am'"</definedName>
    <definedName name="_AMO_ContentDefinition_485496469.503" hidden="1">"'p;lt;RHSType&amp;amp;gt;EXPRESSION&amp;amp;lt;/RHSType&amp;amp;gt;&amp;amp;lt;AddQuotes&amp;amp;gt;True&amp;amp;lt;/AddQuotes&amp;amp;gt;&amp;amp;lt;DateFormat&amp;amp;gt;None&amp;amp;lt;/DateFormat&amp;amp;gt;&amp;amp;lt;RightHandSideExpression&amp;amp;gt;MFMSUP000084&amp;amp;lt;/RightHandSideExpression&amp;a'"</definedName>
    <definedName name="_AMO_ContentDefinition_485496469.504"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485496469.505" hidden="1">"'es&amp;amp;gt;&amp;amp;lt;DateFormat&amp;amp;gt;None&amp;amp;lt;/DateFormat&amp;amp;gt;&amp;amp;lt;RightHandSideExpression&amp;amp;gt;MFMSUP000085&amp;amp;lt;/RightHandSideExpression&amp;amp;gt;&amp;amp;lt;IsSubquery&amp;amp;gt;False&amp;amp;lt;/IsSubquery&amp;amp;gt;&amp;amp;lt;SubqueryTemplateName /&amp;amp;'"</definedName>
    <definedName name="_AMO_ContentDefinition_485496469.506" hidden="1">"'gt;&amp;amp;lt;/RHSItem&amp;amp;gt;&amp;amp;lt;RHSItem&amp;amp;gt;&amp;amp;lt;RHSType&amp;amp;gt;EXPRESSION&amp;amp;lt;/RHSType&amp;amp;gt;&amp;amp;lt;AddQuotes&amp;amp;gt;True&amp;amp;lt;/AddQuotes&amp;amp;gt;&amp;amp;lt;DateFormat&amp;amp;gt;None&amp;amp;lt;/DateFormat&amp;amp;gt;&amp;amp;lt;RightHandSideExpression&amp;'"</definedName>
    <definedName name="_AMO_ContentDefinition_485496469.507" hidden="1">"'amp;gt;MFMSUP000086&amp;amp;lt;/RightHandSideExpression&amp;amp;gt;&amp;amp;lt;IsSubquery&amp;amp;gt;False&amp;amp;lt;/IsSubquery&amp;amp;gt;&amp;amp;lt;SubqueryTemplateName /&amp;amp;gt;&amp;amp;lt;/RHSItem&amp;amp;gt;&amp;amp;lt;RHSItem&amp;amp;gt;&amp;amp;lt;RHSType&amp;amp;gt;EXPRESSION&amp;amp;lt;/RHSType'"</definedName>
    <definedName name="_AMO_ContentDefinition_485496469.508" hidden="1">"'&amp;amp;gt;&amp;amp;lt;AddQuotes&amp;amp;gt;True&amp;amp;lt;/AddQuotes&amp;amp;gt;&amp;amp;lt;DateFormat&amp;amp;gt;None&amp;amp;lt;/DateFormat&amp;amp;gt;&amp;amp;lt;RightHandSideExpression&amp;amp;gt;MFMSUP000087&amp;amp;lt;/RightHandSideExpression&amp;amp;gt;&amp;amp;lt;IsSubquery&amp;amp;gt;False&amp;amp;lt;/'"</definedName>
    <definedName name="_AMO_ContentDefinition_485496469.509"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485496469.51" hidden="1">"'006773',&amp;#xD;&amp;#xA;'MFPR01006774',&amp;#xD;&amp;#xA;'MFPR01006775',&amp;#xD;&amp;#xA;'MFPR01006776',&amp;#xD;&amp;#xA;'MFPR01006777',&amp;#xD;&amp;#xA;'MFPR01006778',&amp;#xD;&amp;#xA;'MFPR01006779',&amp;#xD;&amp;#xA;'MFPR01006780',&amp;#xD;&amp;#xA;'MFPR01006781',&amp;#xD;&amp;#xA;'MFPR01006782',&amp;#xD;&amp;#xA;'MFPR010'"</definedName>
    <definedName name="_AMO_ContentDefinition_485496469.510" hidden="1">"'t;/DateFormat&amp;amp;gt;&amp;amp;lt;RightHandSideExpression&amp;amp;gt;MFMSUP000088&amp;amp;lt;/RightHandSideExpression&amp;amp;gt;&amp;amp;lt;IsSubquery&amp;amp;gt;False&amp;amp;lt;/IsSubquery&amp;amp;gt;&amp;amp;lt;SubqueryTemplateName /&amp;amp;gt;&amp;amp;lt;/RHSItem&amp;amp;gt;&amp;amp;lt;RHSItem&amp;amp'"</definedName>
    <definedName name="_AMO_ContentDefinition_485496469.511" hidden="1">"';gt;&amp;amp;lt;RHSType&amp;amp;gt;EXPRESSION&amp;amp;lt;/RHSType&amp;amp;gt;&amp;amp;lt;AddQuotes&amp;amp;gt;True&amp;amp;lt;/AddQuotes&amp;amp;gt;&amp;amp;lt;DateFormat&amp;amp;gt;None&amp;amp;lt;/DateFormat&amp;amp;gt;&amp;amp;lt;RightHandSideExpression&amp;amp;gt;MFMSUP000103&amp;amp;lt;/RightHandSideExpre'"</definedName>
    <definedName name="_AMO_ContentDefinition_485496469.512"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513" hidden="1">"'AddQuotes&amp;amp;gt;&amp;amp;lt;DateFormat&amp;amp;gt;None&amp;amp;lt;/DateFormat&amp;amp;gt;&amp;amp;lt;RightHandSideExpression&amp;amp;gt;MFMSUP000104&amp;amp;lt;/RightHandSideExpression&amp;amp;gt;&amp;amp;lt;IsSubquery&amp;amp;gt;False&amp;amp;lt;/IsSubquery&amp;amp;gt;&amp;amp;lt;SubqueryTemplateName'"</definedName>
    <definedName name="_AMO_ContentDefinition_485496469.514"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485496469.515" hidden="1">"'ession&amp;amp;gt;MFMSUP000105&amp;amp;lt;/RightHandSideExpression&amp;amp;gt;&amp;amp;lt;IsSubquery&amp;amp;gt;False&amp;amp;lt;/IsSubquery&amp;amp;gt;&amp;amp;lt;SubqueryTemplateName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516" hidden="1">"'RHSType&amp;amp;gt;&amp;amp;lt;AddQuotes&amp;amp;gt;True&amp;amp;lt;/AddQuotes&amp;amp;gt;&amp;amp;lt;DateFormat&amp;amp;gt;None&amp;amp;lt;/DateFormat&amp;amp;gt;&amp;amp;lt;RightHandSideExpression&amp;amp;gt;MFMSUP000106&amp;amp;lt;/RightHandSideExpression&amp;amp;gt;&amp;amp;lt;IsSubquery&amp;amp;gt;False&amp;a'"</definedName>
    <definedName name="_AMO_ContentDefinition_485496469.517"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485496469.518" hidden="1">"'e&amp;amp;lt;/DateFormat&amp;amp;gt;&amp;amp;lt;RightHandSideExpression&amp;amp;gt;MFMSUP000107&amp;amp;lt;/RightHandSideExpression&amp;amp;gt;&amp;amp;lt;IsSubquery&amp;amp;gt;False&amp;amp;lt;/IsSubquery&amp;amp;gt;&amp;amp;lt;SubqueryTemplateName /&amp;amp;gt;&amp;amp;lt;/RHSItem&amp;amp;gt;&amp;amp;lt;RHSI'"</definedName>
    <definedName name="_AMO_ContentDefinition_485496469.519" hidden="1">"'tem&amp;amp;gt;&amp;amp;lt;RHSType&amp;amp;gt;EXPRESSION&amp;amp;lt;/RHSType&amp;amp;gt;&amp;amp;lt;AddQuotes&amp;amp;gt;True&amp;amp;lt;/AddQuotes&amp;amp;gt;&amp;amp;lt;DateFormat&amp;amp;gt;None&amp;amp;lt;/DateFormat&amp;amp;gt;&amp;amp;lt;RightHandSideExpression&amp;amp;gt;MFMSUP000108&amp;amp;lt;/RightHandSi'"</definedName>
    <definedName name="_AMO_ContentDefinition_485496469.52" hidden="1">"'06783',&amp;#xD;&amp;#xA;'MFPR01006784',&amp;#xD;&amp;#xA;'MFPR01006785',&amp;#xD;&amp;#xA;'MFPR01006786',&amp;#xD;&amp;#xA;'MFPR01006787',&amp;#xD;&amp;#xA;'MFPR01006788',&amp;#xD;&amp;#xA;'MFPR01006789',&amp;#xD;&amp;#xA;'MFPR01006790',&amp;#xD;&amp;#xA;'MFPR01006791',&amp;#xD;&amp;#xA;'MFPR01006792',&amp;#xD;&amp;#xA;'MFPR0100'"</definedName>
    <definedName name="_AMO_ContentDefinition_485496469.520"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485496469.521" hidden="1">"'mp;lt;/AddQuotes&amp;amp;gt;&amp;amp;lt;DateFormat&amp;amp;gt;None&amp;amp;lt;/DateFormat&amp;amp;gt;&amp;amp;lt;RightHandSideExpression&amp;amp;gt;MFMSUP000109&amp;amp;lt;/RightHandSideExpression&amp;amp;gt;&amp;amp;lt;IsSubquery&amp;amp;gt;False&amp;amp;lt;/IsSubquery&amp;amp;gt;&amp;amp;lt;SubqueryTempl'"</definedName>
    <definedName name="_AMO_ContentDefinition_485496469.522"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485496469.523" hidden="1">"'ideExpression&amp;amp;gt;MFMSUP000110&amp;amp;lt;/RightHandSideExpression&amp;amp;gt;&amp;amp;lt;IsSubquery&amp;amp;gt;False&amp;amp;lt;/IsSubquery&amp;amp;gt;&amp;amp;lt;SubqueryTemplateName /&amp;amp;gt;&amp;amp;lt;/RHSItem&amp;amp;gt;&amp;amp;lt;RHSItem&amp;amp;gt;&amp;amp;lt;RHSType&amp;amp;gt;EXPRESSION&amp;a'"</definedName>
    <definedName name="_AMO_ContentDefinition_485496469.524" hidden="1">"'mp;lt;/RHSType&amp;amp;gt;&amp;amp;lt;AddQuotes&amp;amp;gt;True&amp;amp;lt;/AddQuotes&amp;amp;gt;&amp;amp;lt;DateFormat&amp;amp;gt;None&amp;amp;lt;/DateFormat&amp;amp;gt;&amp;amp;lt;RightHandSideExpression&amp;amp;gt;MFMSUP000111&amp;amp;lt;/RightHandSideExpression&amp;amp;gt;&amp;amp;lt;IsSubquery&amp;amp;gt;'"</definedName>
    <definedName name="_AMO_ContentDefinition_485496469.525"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526" hidden="1">"';gt;None&amp;amp;lt;/DateFormat&amp;amp;gt;&amp;amp;lt;RightHandSideExpression&amp;amp;gt;MFMSUP000112&amp;amp;lt;/RightHandSideExpression&amp;amp;gt;&amp;amp;lt;IsSubquery&amp;amp;gt;False&amp;amp;lt;/IsSubquery&amp;amp;gt;&amp;amp;lt;SubqueryTemplateName /&amp;amp;gt;&amp;amp;lt;/RHSItem&amp;amp;gt;&amp;amp;'"</definedName>
    <definedName name="_AMO_ContentDefinition_485496469.527" hidden="1">"'lt;RHSItem&amp;amp;gt;&amp;amp;lt;RHSType&amp;amp;gt;EXPRESSION&amp;amp;lt;/RHSType&amp;amp;gt;&amp;amp;lt;AddQuotes&amp;amp;gt;True&amp;amp;lt;/AddQuotes&amp;amp;gt;&amp;amp;lt;DateFormat&amp;amp;gt;None&amp;amp;lt;/DateFormat&amp;amp;gt;&amp;amp;lt;RightHandSideExpression&amp;amp;gt;MFMSUP000113&amp;amp;lt;/Righ'"</definedName>
    <definedName name="_AMO_ContentDefinition_485496469.528"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529" hidden="1">"';True&amp;amp;lt;/AddQuotes&amp;amp;gt;&amp;amp;lt;DateFormat&amp;amp;gt;None&amp;amp;lt;/DateFormat&amp;amp;gt;&amp;amp;lt;RightHandSideExpression&amp;amp;gt;MFMSUP000114&amp;amp;lt;/RightHandSideExpression&amp;amp;gt;&amp;amp;lt;IsSubquery&amp;amp;gt;False&amp;amp;lt;/IsSubquery&amp;amp;gt;&amp;amp;lt;Subque'"</definedName>
    <definedName name="_AMO_ContentDefinition_485496469.53" hidden="1">"'6793',&amp;#xD;&amp;#xA;'MFPR01006794',&amp;#xD;&amp;#xA;'MFPR01006795',&amp;#xD;&amp;#xA;'MFPR01006796',&amp;#xD;&amp;#xA;'MFPR01006797',&amp;#xD;&amp;#xA;'MFPR01006798',&amp;#xD;&amp;#xA;'MFPR01006799',&amp;#xD;&amp;#xA;'MFPR01006800',&amp;#xD;&amp;#xA;'MFPR01006801',&amp;#xD;&amp;#xA;'MFPR01006802',&amp;#xD;&amp;#xA;'MFPR01006'"</definedName>
    <definedName name="_AMO_ContentDefinition_485496469.530"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485496469.531" hidden="1">"'htHandSideExpression&amp;amp;gt;MFMSUP000115&amp;amp;lt;/RightHandSideExpression&amp;amp;gt;&amp;amp;lt;IsSubquery&amp;amp;gt;False&amp;amp;lt;/IsSubquery&amp;amp;gt;&amp;amp;lt;SubqueryTemplateName /&amp;amp;gt;&amp;amp;lt;/RHSItem&amp;amp;gt;&amp;amp;lt;RHSItem&amp;amp;gt;&amp;amp;lt;RHSType&amp;amp;gt;EXPRE'"</definedName>
    <definedName name="_AMO_ContentDefinition_485496469.532" hidden="1">"'SSION&amp;amp;lt;/RHSType&amp;amp;gt;&amp;amp;lt;AddQuotes&amp;amp;gt;True&amp;amp;lt;/AddQuotes&amp;amp;gt;&amp;amp;lt;DateFormat&amp;amp;gt;None&amp;amp;lt;/DateFormat&amp;amp;gt;&amp;amp;lt;RightHandSideExpression&amp;amp;gt;MFMSUP000116&amp;amp;lt;/RightHandSideExpression&amp;amp;gt;&amp;amp;lt;IsSubquery&amp;'"</definedName>
    <definedName name="_AMO_ContentDefinition_485496469.533"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485496469.534" hidden="1">"'mat&amp;amp;gt;None&amp;amp;lt;/DateFormat&amp;amp;gt;&amp;amp;lt;RightHandSideExpression&amp;amp;gt;MFMSUP000117&amp;amp;lt;/RightHandSideExpression&amp;amp;gt;&amp;amp;lt;IsSubquery&amp;amp;gt;False&amp;amp;lt;/IsSubquery&amp;amp;gt;&amp;amp;lt;SubqueryTemplateName /&amp;amp;gt;&amp;amp;lt;/RHSItem&amp;amp;g'"</definedName>
    <definedName name="_AMO_ContentDefinition_485496469.535" hidden="1">"'t;&amp;amp;lt;RHSItem&amp;amp;gt;&amp;amp;lt;RHSType&amp;amp;gt;EXPRESSION&amp;amp;lt;/RHSType&amp;amp;gt;&amp;amp;lt;AddQuotes&amp;amp;gt;True&amp;amp;lt;/AddQuotes&amp;amp;gt;&amp;amp;lt;DateFormat&amp;amp;gt;None&amp;amp;lt;/DateFormat&amp;amp;gt;&amp;amp;lt;RightHandSideExpression&amp;amp;gt;MFMSUP000118&amp;amp;l'"</definedName>
    <definedName name="_AMO_ContentDefinition_485496469.536"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485496469.537" hidden="1">"'&amp;amp;gt;True&amp;amp;lt;/AddQuotes&amp;amp;gt;&amp;amp;lt;DateFormat&amp;amp;gt;None&amp;amp;lt;/DateFormat&amp;amp;gt;&amp;amp;lt;RightHandSideExpression&amp;amp;gt;MFMSUP000120&amp;amp;lt;/RightHandSideExpression&amp;amp;gt;&amp;amp;lt;IsSubquery&amp;amp;gt;False&amp;amp;lt;/IsSubquery&amp;amp;gt;&amp;amp;lt'"</definedName>
    <definedName name="_AMO_ContentDefinition_485496469.538"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539" hidden="1">"';lt;RightHandSideExpression&amp;amp;gt;MFMSUP000122&amp;amp;lt;/RightHandSideExpression&amp;amp;gt;&amp;amp;lt;IsSubquery&amp;amp;gt;False&amp;amp;lt;/IsSubquery&amp;amp;gt;&amp;amp;lt;SubqueryTemplateName /&amp;amp;gt;&amp;amp;lt;/RHSItem&amp;amp;gt;&amp;amp;lt;RHSItem&amp;amp;gt;&amp;amp;lt;RHSType&amp;amp;g'"</definedName>
    <definedName name="_AMO_ContentDefinition_485496469.54" hidden="1">"'803',&amp;#xD;&amp;#xA;'MFPR01006804',&amp;#xD;&amp;#xA;'MFPR01006805',&amp;#xD;&amp;#xA;'MFPR01006806',&amp;#xD;&amp;#xA;'MFPR01006807',&amp;#xD;&amp;#xA;'MFPR01006808',&amp;#xD;&amp;#xA;'MFPR01006809',&amp;#xD;&amp;#xA;'MFPR01006810',&amp;#xD;&amp;#xA;'MFPR01006811',&amp;#xD;&amp;#xA;'MFPR01006812',&amp;#xD;&amp;#xA;'MFPR010068'"</definedName>
    <definedName name="_AMO_ContentDefinition_485496469.540" hidden="1">"'t;EXPRESSION&amp;amp;lt;/RHSType&amp;amp;gt;&amp;amp;lt;AddQuotes&amp;amp;gt;True&amp;amp;lt;/AddQuotes&amp;amp;gt;&amp;amp;lt;DateFormat&amp;amp;gt;None&amp;amp;lt;/DateFormat&amp;amp;gt;&amp;amp;lt;RightHandSideExpression&amp;amp;gt;MFPR01000161&amp;amp;lt;/RightHandSideExpression&amp;amp;gt;&amp;amp;lt;IsSu'"</definedName>
    <definedName name="_AMO_ContentDefinition_485496469.541"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542" hidden="1">"'DateFormat&amp;amp;gt;None&amp;amp;lt;/DateFormat&amp;amp;gt;&amp;amp;lt;RightHandSideExpression&amp;amp;gt;MFDRVD000183&amp;amp;lt;/RightHandSideExpression&amp;amp;gt;&amp;amp;lt;IsSubquery&amp;amp;gt;False&amp;amp;lt;/IsSubquery&amp;amp;gt;&amp;amp;lt;SubqueryTemplateName /&amp;amp;gt;&amp;amp;lt;/RHSIte'"</definedName>
    <definedName name="_AMO_ContentDefinition_485496469.543" hidden="1">"'m&amp;amp;gt;&amp;amp;lt;RHSItem&amp;amp;gt;&amp;amp;lt;RHSType&amp;amp;gt;EXPRESSION&amp;amp;lt;/RHSType&amp;amp;gt;&amp;amp;lt;AddQuotes&amp;amp;gt;True&amp;amp;lt;/AddQuotes&amp;amp;gt;&amp;amp;lt;DateFormat&amp;amp;gt;None&amp;amp;lt;/DateFormat&amp;amp;gt;&amp;amp;lt;RightHandSideExpression&amp;amp;gt;MFDRVD00018'"</definedName>
    <definedName name="_AMO_ContentDefinition_485496469.544" hidden="1">"'4&amp;amp;lt;/RightHandSideExpression&amp;amp;gt;&amp;amp;lt;IsSubquery&amp;amp;gt;False&amp;amp;lt;/IsSubquery&amp;amp;gt;&amp;amp;lt;SubqueryTemplateName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485496469.545" hidden="1">"'dQuotes&amp;amp;gt;True&amp;amp;lt;/AddQuotes&amp;amp;gt;&amp;amp;lt;DateFormat&amp;amp;gt;None&amp;amp;lt;/DateFormat&amp;amp;gt;&amp;amp;lt;RightHandSideExpression&amp;amp;gt;MFDRVD000185&amp;amp;lt;/RightHandSideExpression&amp;amp;gt;&amp;amp;lt;IsSubquery&amp;amp;gt;False&amp;amp;lt;/IsSubquery&amp;amp;gt;'"</definedName>
    <definedName name="_AMO_ContentDefinition_485496469.546"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547" hidden="1">"'gt;&amp;amp;lt;RightHandSideExpression&amp;amp;gt;MFDRVD000186&amp;amp;lt;/RightHandSideExpression&amp;amp;gt;&amp;amp;lt;IsSubquery&amp;amp;gt;False&amp;amp;lt;/IsSubquery&amp;amp;gt;&amp;amp;lt;SubqueryTemplateName /&amp;amp;gt;&amp;amp;lt;/RHSItem&amp;amp;gt;&amp;amp;lt;RHSItem&amp;amp;gt;&amp;amp;lt;RHSTyp'"</definedName>
    <definedName name="_AMO_ContentDefinition_485496469.548" hidden="1">"'e&amp;amp;gt;EXPRESSION&amp;amp;lt;/RHSType&amp;amp;gt;&amp;amp;lt;AddQuotes&amp;amp;gt;True&amp;amp;lt;/AddQuotes&amp;amp;gt;&amp;amp;lt;DateFormat&amp;amp;gt;None&amp;amp;lt;/DateFormat&amp;amp;gt;&amp;amp;lt;RightHandSideExpression&amp;amp;gt;MFDRVD000189&amp;amp;lt;/RightHandSideExpression&amp;amp;gt;&amp;amp;'"</definedName>
    <definedName name="_AMO_ContentDefinition_485496469.549"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485496469.55" hidden="1">"'13',&amp;#xD;&amp;#xA;'MFPR01006814',&amp;#xD;&amp;#xA;'MFPR01006815',&amp;#xD;&amp;#xA;'MFPR01006816',&amp;#xD;&amp;#xA;'MFPR01006817',&amp;#xD;&amp;#xA;'MFPR01006818',&amp;#xD;&amp;#xA;'MFPR01006819',&amp;#xD;&amp;#xA;'MFPR01006820',&amp;#xD;&amp;#xA;'MFPR01006821',&amp;#xD;&amp;#xA;'MFPR01006822',&amp;#xD;&amp;#xA;'MFPR0100682'"</definedName>
    <definedName name="_AMO_ContentDefinition_485496469.550" hidden="1">"'amp;lt;DateFormat&amp;amp;gt;None&amp;amp;lt;/DateFormat&amp;amp;gt;&amp;amp;lt;RightHandSideExpression&amp;amp;gt;MFDRVD000190&amp;amp;lt;/RightHandSideExpression&amp;amp;gt;&amp;amp;lt;IsSubquery&amp;amp;gt;False&amp;amp;lt;/IsSubquery&amp;amp;gt;&amp;amp;lt;SubqueryTemplateName /&amp;amp;gt;&amp;amp;lt;'"</definedName>
    <definedName name="_AMO_ContentDefinition_485496469.551" hidden="1">"'/RHSItem&amp;amp;gt;&amp;amp;lt;RHSItem&amp;amp;gt;&amp;amp;lt;RHSType&amp;amp;gt;EXPRESSION&amp;amp;lt;/RHSType&amp;amp;gt;&amp;amp;lt;AddQuotes&amp;amp;gt;True&amp;amp;lt;/AddQuotes&amp;amp;gt;&amp;amp;lt;DateFormat&amp;amp;gt;None&amp;amp;lt;/DateFormat&amp;amp;gt;&amp;amp;lt;RightHandSideExpression&amp;amp;gt;MFDR'"</definedName>
    <definedName name="_AMO_ContentDefinition_485496469.552" hidden="1">"'VD000191&amp;amp;lt;/RightHandSideExpression&amp;amp;gt;&amp;amp;lt;IsSubquery&amp;amp;gt;False&amp;amp;lt;/IsSubquery&amp;amp;gt;&amp;amp;lt;SubqueryTemplateName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485496469.553" hidden="1">"'p;lt;AddQuotes&amp;amp;gt;True&amp;amp;lt;/AddQuotes&amp;amp;gt;&amp;amp;lt;DateFormat&amp;amp;gt;None&amp;amp;lt;/DateFormat&amp;amp;gt;&amp;amp;lt;RightHandSideExpression&amp;amp;gt;MFDRVD000192&amp;amp;lt;/RightHandSideExpression&amp;amp;gt;&amp;amp;lt;IsSubquery&amp;amp;gt;False&amp;amp;lt;/IsSubquery&amp;'"</definedName>
    <definedName name="_AMO_ContentDefinition_485496469.554"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485496469.555" hidden="1">"'at&amp;amp;gt;&amp;amp;lt;RightHandSideExpression&amp;amp;gt;MFDRVD000193&amp;amp;lt;/RightHandSideExpression&amp;amp;gt;&amp;amp;lt;IsSubquery&amp;amp;gt;False&amp;amp;lt;/IsSubquery&amp;amp;gt;&amp;amp;lt;SubqueryTemplateName /&amp;amp;gt;&amp;amp;lt;/RHSItem&amp;amp;gt;&amp;amp;lt;RHSItem&amp;amp;gt;&amp;amp;lt'"</definedName>
    <definedName name="_AMO_ContentDefinition_485496469.556" hidden="1">"';RHSType&amp;amp;gt;EXPRESSION&amp;amp;lt;/RHSType&amp;amp;gt;&amp;amp;lt;AddQuotes&amp;amp;gt;True&amp;amp;lt;/AddQuotes&amp;amp;gt;&amp;amp;lt;DateFormat&amp;amp;gt;None&amp;amp;lt;/DateFormat&amp;amp;gt;&amp;amp;lt;RightHandSideExpression&amp;amp;gt;MFDRVD000194&amp;amp;lt;/RightHandSideExpression&amp;amp;g'"</definedName>
    <definedName name="_AMO_ContentDefinition_485496469.557"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485496469.558" hidden="1">"'mp;gt;&amp;amp;lt;DateFormat&amp;amp;gt;None&amp;amp;lt;/DateFormat&amp;amp;gt;&amp;amp;lt;RightHandSideExpression&amp;amp;gt;MFDRVD000195&amp;amp;lt;/RightHandSideExpression&amp;amp;gt;&amp;amp;lt;IsSubquery&amp;amp;gt;False&amp;amp;lt;/IsSubquery&amp;amp;gt;&amp;amp;lt;SubqueryTemplateName /&amp;amp;gt;&amp;'"</definedName>
    <definedName name="_AMO_ContentDefinition_485496469.559" hidden="1">"'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56" hidden="1">"'3',&amp;#xD;&amp;#xA;'MFPR01006824',&amp;#xD;&amp;#xA;'MFPR01006825',&amp;#xD;&amp;#xA;'MFPR01006826',&amp;#xD;&amp;#xA;'MFPR01006827',&amp;#xD;&amp;#xA;'MFPR01006828',&amp;#xD;&amp;#xA;'MFPR01006829',&amp;#xD;&amp;#xA;'MFPR01006830',&amp;#xD;&amp;#xA;'MFPR01006831',&amp;#xD;&amp;#xA;'MFPR01006832',&amp;#xD;&amp;#xA;'MFPR01006833'"</definedName>
    <definedName name="_AMO_ContentDefinition_485496469.560" hidden="1">"'gt;MFDRVD000196&amp;amp;lt;/RightHandSideExpression&amp;amp;gt;&amp;amp;lt;IsSubquery&amp;amp;gt;False&amp;amp;lt;/IsSubquery&amp;amp;gt;&amp;amp;lt;SubqueryTemplateName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561" hidden="1">"';gt;&amp;amp;lt;AddQuotes&amp;amp;gt;True&amp;amp;lt;/AddQuotes&amp;amp;gt;&amp;amp;lt;DateFormat&amp;amp;gt;None&amp;amp;lt;/DateFormat&amp;amp;gt;&amp;amp;lt;RightHandSideExpression&amp;amp;gt;MFDRVD000197&amp;amp;lt;/RightHandSideExpression&amp;amp;gt;&amp;amp;lt;IsSubquery&amp;amp;gt;False&amp;amp;lt;/IsSu'"</definedName>
    <definedName name="_AMO_ContentDefinition_485496469.562"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485496469.563" hidden="1">"'ateFormat&amp;amp;gt;&amp;amp;lt;RightHandSideExpression&amp;amp;gt;MFDRVD000198&amp;amp;lt;/RightHandSideExpression&amp;amp;gt;&amp;amp;lt;IsSubquery&amp;amp;gt;False&amp;amp;lt;/IsSubquery&amp;amp;gt;&amp;amp;lt;SubqueryTemplateName /&amp;amp;gt;&amp;amp;lt;/RHSItem&amp;amp;gt;&amp;amp;lt;RHSItem&amp;amp;gt;'"</definedName>
    <definedName name="_AMO_ContentDefinition_485496469.564" hidden="1">"'&amp;amp;lt;RHSType&amp;amp;gt;EXPRESSION&amp;amp;lt;/RHSType&amp;amp;gt;&amp;amp;lt;AddQuotes&amp;amp;gt;True&amp;amp;lt;/AddQuotes&amp;amp;gt;&amp;amp;lt;DateFormat&amp;amp;gt;None&amp;amp;lt;/DateFormat&amp;amp;gt;&amp;amp;lt;RightHandSideExpression&amp;amp;gt;MFDRVD000199&amp;amp;lt;/RightHandSideExpressio'"</definedName>
    <definedName name="_AMO_ContentDefinition_485496469.565"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485496469.566" hidden="1">"'uotes&amp;amp;gt;&amp;amp;lt;DateFormat&amp;amp;gt;None&amp;amp;lt;/DateFormat&amp;amp;gt;&amp;amp;lt;RightHandSideExpression&amp;amp;gt;MFDRVD000200&amp;amp;lt;/RightHandSideExpression&amp;amp;gt;&amp;amp;lt;IsSubquery&amp;amp;gt;False&amp;amp;lt;/IsSubquery&amp;amp;gt;&amp;amp;lt;SubqueryTemplateName /&amp;a'"</definedName>
    <definedName name="_AMO_ContentDefinition_485496469.567"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485496469.568" hidden="1">"'on&amp;amp;gt;MFDRVD000201&amp;amp;lt;/RightHandSideExpression&amp;amp;gt;&amp;amp;lt;IsSubquery&amp;amp;gt;False&amp;amp;lt;/IsSubquery&amp;amp;gt;&amp;amp;lt;SubqueryTemplateName /&amp;amp;gt;&amp;amp;lt;/RHSItem&amp;amp;gt;&amp;amp;lt;RHSItem&amp;amp;gt;&amp;amp;lt;RHSType&amp;amp;gt;EXPRESSION&amp;amp;lt;/RHST'"</definedName>
    <definedName name="_AMO_ContentDefinition_485496469.569" hidden="1">"'ype&amp;amp;gt;&amp;amp;lt;AddQuotes&amp;amp;gt;True&amp;amp;lt;/AddQuotes&amp;amp;gt;&amp;amp;lt;DateFormat&amp;amp;gt;None&amp;amp;lt;/DateFormat&amp;amp;gt;&amp;amp;lt;RightHandSideExpression&amp;amp;gt;MFDRVD000202&amp;amp;lt;/RightHandSideExpression&amp;amp;gt;&amp;amp;lt;IsSubquery&amp;amp;gt;False&amp;amp;l'"</definedName>
    <definedName name="_AMO_ContentDefinition_485496469.57" hidden="1">"'',&amp;#xD;&amp;#xA;'MFPR01006834',&amp;#xD;&amp;#xA;'MFPR01006835',&amp;#xD;&amp;#xA;'MFPR01006836',&amp;#xD;&amp;#xA;'MFPR01006837',&amp;#xD;&amp;#xA;'MFPR01006838',&amp;#xD;&amp;#xA;'MFPR01006839',&amp;#xD;&amp;#xA;'MFPR01006840',&amp;#xD;&amp;#xA;'MFPR01006841',&amp;#xD;&amp;#xA;'MFPR01006842',&amp;#xD;&amp;#xA;'MFPR01006843''"</definedName>
    <definedName name="_AMO_ContentDefinition_485496469.570"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485496469.571" hidden="1">"'p;lt;/DateFormat&amp;amp;gt;&amp;amp;lt;RightHandSideExpression&amp;amp;gt;MFDRVD000203&amp;amp;lt;/RightHandSideExpression&amp;amp;gt;&amp;amp;lt;IsSubquery&amp;amp;gt;False&amp;amp;lt;/IsSubquery&amp;amp;gt;&amp;amp;lt;SubqueryTemplateName /&amp;amp;gt;&amp;amp;lt;/RHSItem&amp;amp;gt;&amp;amp;lt;RHSItem&amp;'"</definedName>
    <definedName name="_AMO_ContentDefinition_485496469.572" hidden="1">"'amp;gt;&amp;amp;lt;RHSType&amp;amp;gt;EXPRESSION&amp;amp;lt;/RHSType&amp;amp;gt;&amp;amp;lt;AddQuotes&amp;amp;gt;True&amp;amp;lt;/AddQuotes&amp;amp;gt;&amp;amp;lt;DateFormat&amp;amp;gt;None&amp;amp;lt;/DateFormat&amp;amp;gt;&amp;amp;lt;RightHandSideExpression&amp;amp;gt;MFDRVD000204&amp;amp;lt;/RightHandSideEx'"</definedName>
    <definedName name="_AMO_ContentDefinition_485496469.573"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485496469.574" hidden="1">"'t;/AddQuotes&amp;amp;gt;&amp;amp;lt;DateFormat&amp;amp;gt;None&amp;amp;lt;/DateFormat&amp;amp;gt;&amp;amp;lt;RightHandSideExpression&amp;amp;gt;MFDRVD000205&amp;amp;lt;/RightHandSideExpression&amp;amp;gt;&amp;amp;lt;IsSubquery&amp;amp;gt;False&amp;amp;lt;/IsSubquery&amp;amp;gt;&amp;amp;lt;SubqueryTemplateN'"</definedName>
    <definedName name="_AMO_ContentDefinition_485496469.575"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485496469.576" hidden="1">"'xpression&amp;amp;gt;MFDRVD000206&amp;amp;lt;/RightHandSideExpression&amp;amp;gt;&amp;amp;lt;IsSubquery&amp;amp;gt;False&amp;amp;lt;/IsSubquery&amp;amp;gt;&amp;amp;lt;SubqueryTemplateName /&amp;amp;gt;&amp;amp;lt;/RHSItem&amp;amp;gt;&amp;amp;lt;RHSItem&amp;amp;gt;&amp;amp;lt;RHSType&amp;amp;gt;EXPRESSION&amp;amp;l'"</definedName>
    <definedName name="_AMO_ContentDefinition_485496469.577" hidden="1">"'t;/RHSType&amp;amp;gt;&amp;amp;lt;AddQuotes&amp;amp;gt;True&amp;amp;lt;/AddQuotes&amp;amp;gt;&amp;amp;lt;DateFormat&amp;amp;gt;None&amp;amp;lt;/DateFormat&amp;amp;gt;&amp;amp;lt;RightHandSideExpression&amp;amp;gt;MFDRVD000207&amp;amp;lt;/RightHandSideExpression&amp;amp;gt;&amp;amp;lt;IsSubquery&amp;amp;gt;Fals'"</definedName>
    <definedName name="_AMO_ContentDefinition_485496469.578"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579" hidden="1">"'None&amp;amp;lt;/DateFormat&amp;amp;gt;&amp;amp;lt;RightHandSideExpression&amp;amp;gt;MFDRVD000208&amp;amp;lt;/RightHandSideExpression&amp;amp;gt;&amp;amp;lt;IsSubquery&amp;amp;gt;False&amp;amp;lt;/IsSubquery&amp;amp;gt;&amp;amp;lt;SubqueryTemplateName /&amp;amp;gt;&amp;amp;lt;/RHSItem&amp;amp;gt;&amp;amp;lt;R'"</definedName>
    <definedName name="_AMO_ContentDefinition_485496469.58" hidden="1">"',&amp;#xD;&amp;#xA;'MFPR01006844',&amp;#xD;&amp;#xA;'MFPR01006845',&amp;#xD;&amp;#xA;'MFPR01006846',&amp;#xD;&amp;#xA;'MFPR01006847',&amp;#xD;&amp;#xA;'MFPR01006848',&amp;#xD;&amp;#xA;'MFPR01006849',&amp;#xD;&amp;#xA;'MFPR01006850',&amp;#xD;&amp;#xA;'MFPR01006851',&amp;#xD;&amp;#xA;'MFPR01006852',&amp;#xD;&amp;#xA;'MFPR01006853','"</definedName>
    <definedName name="_AMO_ContentDefinition_485496469.580" hidden="1">"'HSItem&amp;amp;gt;&amp;amp;lt;RHSType&amp;amp;gt;EXPRESSION&amp;amp;lt;/RHSType&amp;amp;gt;&amp;amp;lt;AddQuotes&amp;amp;gt;True&amp;amp;lt;/AddQuotes&amp;amp;gt;&amp;amp;lt;DateFormat&amp;amp;gt;None&amp;amp;lt;/DateFormat&amp;amp;gt;&amp;amp;lt;RightHandSideExpression&amp;amp;gt;MFDRVD000209&amp;amp;lt;/RightHan'"</definedName>
    <definedName name="_AMO_ContentDefinition_485496469.581"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485496469.582" hidden="1">"'e&amp;amp;lt;/AddQuotes&amp;amp;gt;&amp;amp;lt;DateFormat&amp;amp;gt;None&amp;amp;lt;/DateFormat&amp;amp;gt;&amp;amp;lt;RightHandSideExpression&amp;amp;gt;MFDRVD000210&amp;amp;lt;/RightHandSideExpression&amp;amp;gt;&amp;amp;lt;IsSubquery&amp;amp;gt;False&amp;amp;lt;/IsSubquery&amp;amp;gt;&amp;amp;lt;SubqueryTe'"</definedName>
    <definedName name="_AMO_ContentDefinition_485496469.583"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485496469.584" hidden="1">"'ndSideExpression&amp;amp;gt;MFDRVD000211&amp;amp;lt;/RightHandSideExpression&amp;amp;gt;&amp;amp;lt;IsSubquery&amp;amp;gt;False&amp;amp;lt;/IsSubquery&amp;amp;gt;&amp;amp;lt;SubqueryTemplateName /&amp;amp;gt;&amp;amp;lt;/RHSItem&amp;amp;gt;&amp;amp;lt;RHSItem&amp;amp;gt;&amp;amp;lt;RHSType&amp;amp;gt;EXPRESSIO'"</definedName>
    <definedName name="_AMO_ContentDefinition_485496469.585" hidden="1">"'N&amp;amp;lt;/RHSType&amp;amp;gt;&amp;amp;lt;AddQuotes&amp;amp;gt;True&amp;amp;lt;/AddQuotes&amp;amp;gt;&amp;amp;lt;DateFormat&amp;amp;gt;None&amp;amp;lt;/DateFormat&amp;amp;gt;&amp;amp;lt;RightHandSideExpression&amp;amp;gt;MFDRVD000212&amp;amp;lt;/RightHandSideExpression&amp;amp;gt;&amp;amp;lt;IsSubquery&amp;amp;'"</definedName>
    <definedName name="_AMO_ContentDefinition_485496469.586"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485496469.587" hidden="1">"'amp;gt;None&amp;amp;lt;/DateFormat&amp;amp;gt;&amp;amp;lt;RightHandSideExpression&amp;amp;gt;MFDRVD000214&amp;amp;lt;/RightHandSideExpression&amp;amp;gt;&amp;amp;lt;IsSubquery&amp;amp;gt;False&amp;amp;lt;/IsSubquery&amp;amp;gt;&amp;amp;lt;SubqueryTemplateName /&amp;amp;gt;&amp;amp;lt;/RHSItem&amp;amp;gt;&amp;a'"</definedName>
    <definedName name="_AMO_ContentDefinition_485496469.588" hidden="1">"'mp;lt;RHSItem&amp;amp;gt;&amp;amp;lt;RHSType&amp;amp;gt;EXPRESSION&amp;amp;lt;/RHSType&amp;amp;gt;&amp;amp;lt;AddQuotes&amp;amp;gt;True&amp;amp;lt;/AddQuotes&amp;amp;gt;&amp;amp;lt;DateFormat&amp;amp;gt;None&amp;amp;lt;/DateFormat&amp;amp;gt;&amp;amp;lt;RightHandSideExpression&amp;amp;gt;MFDRVD000215&amp;amp;lt;/R'"</definedName>
    <definedName name="_AMO_ContentDefinition_485496469.589"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59" hidden="1">"'&amp;#xD;&amp;#xA;'MFPR01006854',&amp;#xD;&amp;#xA;'MFPR01006855',&amp;#xD;&amp;#xA;'MFPR01006856',&amp;#xD;&amp;#xA;'MFPR01006857',&amp;#xD;&amp;#xA;'MFPR01006858',&amp;#xD;&amp;#xA;'MFPR01006859',&amp;#xD;&amp;#xA;'MFPR01006860',&amp;#xD;&amp;#xA;'MFPR01006861',&amp;#xD;&amp;#xA;'MFPR01006862',&amp;#xD;&amp;#xA;'MFPR01006863',&amp;'"</definedName>
    <definedName name="_AMO_ContentDefinition_485496469.590" hidden="1">"';gt;True&amp;amp;lt;/AddQuotes&amp;amp;gt;&amp;amp;lt;DateFormat&amp;amp;gt;None&amp;amp;lt;/DateFormat&amp;amp;gt;&amp;amp;lt;RightHandSideExpression&amp;amp;gt;MFDRVD000216&amp;amp;lt;/RightHandSideExpression&amp;amp;gt;&amp;amp;lt;IsSubquery&amp;amp;gt;False&amp;amp;lt;/IsSubquery&amp;amp;gt;&amp;amp;lt;Sub'"</definedName>
    <definedName name="_AMO_ContentDefinition_485496469.591"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592" hidden="1">"'RightHandSideExpression&amp;amp;gt;MFDRVD000217&amp;amp;lt;/RightHandSideExpression&amp;amp;gt;&amp;amp;lt;IsSubquery&amp;amp;gt;False&amp;amp;lt;/IsSubquery&amp;amp;gt;&amp;amp;lt;SubqueryTemplateName /&amp;amp;gt;&amp;amp;lt;/RHSItem&amp;amp;gt;&amp;amp;lt;RHSItem&amp;amp;gt;&amp;amp;lt;RHSType&amp;amp;gt;EX'"</definedName>
    <definedName name="_AMO_ContentDefinition_485496469.593" hidden="1">"'PRESSION&amp;amp;lt;/RHSType&amp;amp;gt;&amp;amp;lt;AddQuotes&amp;amp;gt;True&amp;amp;lt;/AddQuotes&amp;amp;gt;&amp;amp;lt;DateFormat&amp;amp;gt;None&amp;amp;lt;/DateFormat&amp;amp;gt;&amp;amp;lt;RightHandSideExpression&amp;amp;gt;MFDRVD000219&amp;amp;lt;/RightHandSideExpression&amp;amp;gt;&amp;amp;lt;IsSubque'"</definedName>
    <definedName name="_AMO_ContentDefinition_485496469.594"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485496469.595" hidden="1">"'Format&amp;amp;gt;None&amp;amp;lt;/DateFormat&amp;amp;gt;&amp;amp;lt;RightHandSideExpression&amp;amp;gt;MFDRVD000220&amp;amp;lt;/RightHandSideExpression&amp;amp;gt;&amp;amp;lt;IsSubquery&amp;amp;gt;False&amp;amp;lt;/IsSubquery&amp;amp;gt;&amp;amp;lt;SubqueryTemplateName /&amp;amp;gt;&amp;amp;lt;/RHSItem&amp;am'"</definedName>
    <definedName name="_AMO_ContentDefinition_485496469.596" hidden="1">"'p;gt;&amp;amp;lt;RHSItem&amp;amp;gt;&amp;amp;lt;RHSType&amp;amp;gt;EXPRESSION&amp;amp;lt;/RHSType&amp;amp;gt;&amp;amp;lt;AddQuotes&amp;amp;gt;True&amp;amp;lt;/AddQuotes&amp;amp;gt;&amp;amp;lt;DateFormat&amp;amp;gt;None&amp;amp;lt;/DateFormat&amp;amp;gt;&amp;amp;lt;RightHandSideExpression&amp;amp;gt;MFDRVD000221&amp;am'"</definedName>
    <definedName name="_AMO_ContentDefinition_485496469.597"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485496469.598" hidden="1">"'tes&amp;amp;gt;True&amp;amp;lt;/AddQuotes&amp;amp;gt;&amp;amp;lt;DateFormat&amp;amp;gt;None&amp;amp;lt;/DateFormat&amp;amp;gt;&amp;amp;lt;RightHandSideExpression&amp;amp;gt;MFDRVD000222&amp;amp;lt;/RightHandSideExpression&amp;amp;gt;&amp;amp;lt;IsSubquery&amp;amp;gt;False&amp;amp;lt;/IsSubquery&amp;amp;gt;&amp;amp'"</definedName>
    <definedName name="_AMO_ContentDefinition_485496469.599"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485496469.6" hidden="1">"'7',&amp;#xD;&amp;#xA;'MFMSUP000008',&amp;#xD;&amp;#xA;'MFMSUP000009',&amp;#xD;&amp;#xA;'MFMSUP000010',&amp;#xD;&amp;#xA;'MFMSUP000011',&amp;#xD;&amp;#xA;'MFMSUP000012',&amp;#xD;&amp;#xA;'MFMSUP000013',&amp;#xD;&amp;#xA;'MFMSUP000014',&amp;#xD;&amp;#xA;'MFMSUP000015',&amp;#xD;&amp;#xA;'MFMSUP000016',&amp;#xD;&amp;#xA;'MFMSUP000017'"</definedName>
    <definedName name="_AMO_ContentDefinition_485496469.60" hidden="1">"'#xD;&amp;#xA;'MFPR01006864',&amp;#xD;&amp;#xA;'MFPR01006865',&amp;#xD;&amp;#xA;'MFPR01006866',&amp;#xD;&amp;#xA;'MFPR01006867',&amp;#xD;&amp;#xA;'MFPR01006868',&amp;#xD;&amp;#xA;'MFPR01006869',&amp;#xD;&amp;#xA;'MFPR01006870',&amp;#xD;&amp;#xA;'MFPR01006871',&amp;#xD;&amp;#xA;'MFPR01006872',&amp;#xD;&amp;#xA;'MFPR01006873',&amp;#'"</definedName>
    <definedName name="_AMO_ContentDefinition_485496469.600" hidden="1">"'amp;lt;RightHandSideExpression&amp;amp;gt;MFDRVD000225&amp;amp;lt;/RightHandSideExpression&amp;amp;gt;&amp;amp;lt;IsSubquery&amp;amp;gt;False&amp;amp;lt;/IsSubquery&amp;amp;gt;&amp;amp;lt;SubqueryTemplateName /&amp;amp;gt;&amp;amp;lt;/RHSItem&amp;amp;gt;&amp;amp;lt;RHSItem&amp;amp;gt;&amp;amp;lt;RHSType&amp;am'"</definedName>
    <definedName name="_AMO_ContentDefinition_485496469.601" hidden="1">"'p;gt;EXPRESSION&amp;amp;lt;/RHSType&amp;amp;gt;&amp;amp;lt;AddQuotes&amp;amp;gt;True&amp;amp;lt;/AddQuotes&amp;amp;gt;&amp;amp;lt;DateFormat&amp;amp;gt;None&amp;amp;lt;/DateFormat&amp;amp;gt;&amp;amp;lt;RightHandSideExpression&amp;amp;gt;MFDRVD000226&amp;amp;lt;/RightHandSideExpression&amp;amp;gt;&amp;amp;lt;I'"</definedName>
    <definedName name="_AMO_ContentDefinition_485496469.602"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603" hidden="1">"'lt;DateFormat&amp;amp;gt;None&amp;amp;lt;/DateFormat&amp;amp;gt;&amp;amp;lt;RightHandSideExpression&amp;amp;gt;MFPR01000001&amp;amp;lt;/RightHandSideExpression&amp;amp;gt;&amp;amp;lt;IsSubquery&amp;amp;gt;False&amp;amp;lt;/IsSubquery&amp;amp;gt;&amp;amp;lt;SubqueryTemplateName /&amp;amp;gt;&amp;amp;lt;/RHS'"</definedName>
    <definedName name="_AMO_ContentDefinition_485496469.604" hidden="1">"'Item&amp;amp;gt;&amp;amp;lt;RHSItem&amp;amp;gt;&amp;amp;lt;RHSType&amp;amp;gt;EXPRESSION&amp;amp;lt;/RHSType&amp;amp;gt;&amp;amp;lt;AddQuotes&amp;amp;gt;True&amp;amp;lt;/AddQuotes&amp;amp;gt;&amp;amp;lt;DateFormat&amp;amp;gt;None&amp;amp;lt;/DateFormat&amp;amp;gt;&amp;amp;lt;RightHandSideExpression&amp;amp;gt;MFPR0100'"</definedName>
    <definedName name="_AMO_ContentDefinition_485496469.605" hidden="1">"'0013&amp;amp;lt;/RightHandSideExpression&amp;amp;gt;&amp;amp;lt;IsSubquery&amp;amp;gt;False&amp;amp;lt;/IsSubquery&amp;amp;gt;&amp;amp;lt;SubqueryTemplateName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606" hidden="1">"';AddQuotes&amp;amp;gt;True&amp;amp;lt;/AddQuotes&amp;amp;gt;&amp;amp;lt;DateFormat&amp;amp;gt;None&amp;amp;lt;/DateFormat&amp;amp;gt;&amp;amp;lt;RightHandSideExpression&amp;amp;gt;MFPR01000016&amp;amp;lt;/RightHandSideExpression&amp;amp;gt;&amp;amp;lt;IsSubquery&amp;amp;gt;False&amp;amp;lt;/IsSubquery&amp;amp;'"</definedName>
    <definedName name="_AMO_ContentDefinition_485496469.607"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485496469.608" hidden="1">"'mp;gt;&amp;amp;lt;RightHandSideExpression&amp;amp;gt;MFPR01000024&amp;amp;lt;/RightHandSideExpression&amp;amp;gt;&amp;amp;lt;IsSubquery&amp;amp;gt;False&amp;amp;lt;/IsSubquery&amp;amp;gt;&amp;amp;lt;SubqueryTemplateName /&amp;amp;gt;&amp;amp;lt;/RHSItem&amp;amp;gt;&amp;amp;lt;RHSItem&amp;amp;gt;&amp;amp;lt;RHS'"</definedName>
    <definedName name="_AMO_ContentDefinition_485496469.609" hidden="1">"'Type&amp;amp;gt;EXPRESSION&amp;amp;lt;/RHSType&amp;amp;gt;&amp;amp;lt;AddQuotes&amp;amp;gt;True&amp;amp;lt;/AddQuotes&amp;amp;gt;&amp;amp;lt;DateFormat&amp;amp;gt;None&amp;amp;lt;/DateFormat&amp;amp;gt;&amp;amp;lt;RightHandSideExpression&amp;amp;gt;MFPR01000032&amp;amp;lt;/RightHandSideExpression&amp;amp;gt;&amp;a'"</definedName>
    <definedName name="_AMO_ContentDefinition_485496469.61" hidden="1">"'xD;&amp;#xA;'MFPR01006874',&amp;#xD;&amp;#xA;'MFPR01006875',&amp;#xD;&amp;#xA;'MFPR01006876',&amp;#xD;&amp;#xA;'MFPR01006877',&amp;#xD;&amp;#xA;'MFPR01006878',&amp;#xD;&amp;#xA;'MFPR01006879',&amp;#xD;&amp;#xA;'MFPR01006880',&amp;#xD;&amp;#xA;'MFPR01006881',&amp;#xD;&amp;#xA;'MFPR01006882',&amp;#xD;&amp;#xA;'MFPR01006883',&amp;#x'"</definedName>
    <definedName name="_AMO_ContentDefinition_485496469.610"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485496469.611" hidden="1">"'t;&amp;amp;lt;DateFormat&amp;amp;gt;None&amp;amp;lt;/DateFormat&amp;amp;gt;&amp;amp;lt;RightHandSideExpression&amp;amp;gt;MFPR01000049&amp;amp;lt;/RightHandSideExpression&amp;amp;gt;&amp;amp;lt;IsSubquery&amp;amp;gt;False&amp;amp;lt;/IsSubquery&amp;amp;gt;&amp;amp;lt;SubqueryTemplateName /&amp;amp;gt;&amp;amp;'"</definedName>
    <definedName name="_AMO_ContentDefinition_485496469.612" hidden="1">"'lt;/RHSItem&amp;amp;gt;&amp;amp;lt;RHSItem&amp;amp;gt;&amp;amp;lt;RHSType&amp;amp;gt;EXPRESSION&amp;amp;lt;/RHSType&amp;amp;gt;&amp;amp;lt;AddQuotes&amp;amp;gt;True&amp;amp;lt;/AddQuotes&amp;amp;gt;&amp;amp;lt;DateFormat&amp;amp;gt;None&amp;amp;lt;/DateFormat&amp;amp;gt;&amp;amp;lt;RightHandSideExpression&amp;amp;gt;M'"</definedName>
    <definedName name="_AMO_ContentDefinition_485496469.613" hidden="1">"'FPR01000066&amp;amp;lt;/RightHandSideExpression&amp;amp;gt;&amp;amp;lt;IsSubquery&amp;amp;gt;False&amp;amp;lt;/IsSubquery&amp;amp;gt;&amp;amp;lt;SubqueryTemplateName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614" hidden="1">"'&amp;amp;lt;AddQuotes&amp;amp;gt;True&amp;amp;lt;/AddQuotes&amp;amp;gt;&amp;amp;lt;DateFormat&amp;amp;gt;None&amp;amp;lt;/DateFormat&amp;amp;gt;&amp;amp;lt;RightHandSideExpression&amp;amp;gt;MFPR01000083&amp;amp;lt;/RightHandSideExpression&amp;amp;gt;&amp;amp;lt;IsSubquery&amp;amp;gt;False&amp;amp;lt;/IsSubque'"</definedName>
    <definedName name="_AMO_ContentDefinition_485496469.615"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485496469.616" hidden="1">"'ormat&amp;amp;gt;&amp;amp;lt;RightHandSideExpression&amp;amp;gt;MFPR01000089&amp;amp;lt;/RightHandSideExpression&amp;amp;gt;&amp;amp;lt;IsSubquery&amp;amp;gt;False&amp;amp;lt;/IsSubquery&amp;amp;gt;&amp;amp;lt;SubqueryTemplateName /&amp;amp;gt;&amp;amp;lt;/RHSItem&amp;amp;gt;&amp;amp;lt;RHSItem&amp;amp;gt;&amp;amp'"</definedName>
    <definedName name="_AMO_ContentDefinition_485496469.617" hidden="1">"';lt;RHSType&amp;amp;gt;EXPRESSION&amp;amp;lt;/RHSType&amp;amp;gt;&amp;amp;lt;AddQuotes&amp;amp;gt;True&amp;amp;lt;/AddQuotes&amp;amp;gt;&amp;amp;lt;DateFormat&amp;amp;gt;None&amp;amp;lt;/DateFormat&amp;amp;gt;&amp;amp;lt;RightHandSideExpression&amp;amp;gt;MFPR01000095&amp;amp;lt;/RightHandSideExpression&amp;am'"</definedName>
    <definedName name="_AMO_ContentDefinition_485496469.618"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485496469.619" hidden="1">"'s&amp;amp;gt;&amp;amp;lt;DateFormat&amp;amp;gt;None&amp;amp;lt;/DateFormat&amp;amp;gt;&amp;amp;lt;RightHandSideExpression&amp;amp;gt;MFPR01000101&amp;amp;lt;/RightHandSideExpression&amp;amp;gt;&amp;amp;lt;IsSubquery&amp;amp;gt;False&amp;amp;lt;/IsSubquery&amp;amp;gt;&amp;amp;lt;SubqueryTemplateName /&amp;amp;g'"</definedName>
    <definedName name="_AMO_ContentDefinition_485496469.62" hidden="1">"'D;&amp;#xA;'MFPR01006884',&amp;#xD;&amp;#xA;'MFPR01006885',&amp;#xD;&amp;#xA;'MFPR01006886',&amp;#xD;&amp;#xA;'MFPR01006887',&amp;#xD;&amp;#xA;'MFPR01006888',&amp;#xD;&amp;#xA;'MFPR01006889',&amp;#xD;&amp;#xA;'MFPR01006890',&amp;#xD;&amp;#xA;'MFPR01006891',&amp;#xD;&amp;#xA;'MFPR01006892',&amp;#xD;&amp;#xA;'MFPR01006893',&amp;#xD'"</definedName>
    <definedName name="_AMO_ContentDefinition_485496469.620" hidden="1">"'t;&amp;amp;lt;/RHSItem&amp;amp;gt;&amp;amp;lt;RHSItem&amp;amp;gt;&amp;amp;lt;RHSType&amp;amp;gt;EXPRESSION&amp;amp;lt;/RHSType&amp;amp;gt;&amp;amp;lt;AddQuotes&amp;amp;gt;True&amp;amp;lt;/AddQuotes&amp;amp;gt;&amp;amp;lt;DateFormat&amp;amp;gt;None&amp;amp;lt;/DateFormat&amp;amp;gt;&amp;amp;lt;RightHandSideExpression&amp;a'"</definedName>
    <definedName name="_AMO_ContentDefinition_485496469.621" hidden="1">"'mp;gt;MFPR01000107&amp;amp;lt;/RightHandSideExpression&amp;amp;gt;&amp;amp;lt;IsSubquery&amp;amp;gt;False&amp;amp;lt;/IsSubquery&amp;amp;gt;&amp;amp;lt;SubqueryTemplateName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485496469.622" hidden="1">"'amp;gt;&amp;amp;lt;AddQuotes&amp;amp;gt;True&amp;amp;lt;/AddQuotes&amp;amp;gt;&amp;amp;lt;DateFormat&amp;amp;gt;None&amp;amp;lt;/DateFormat&amp;amp;gt;&amp;amp;lt;RightHandSideExpression&amp;amp;gt;MFPR01000113&amp;amp;lt;/RightHandSideExpression&amp;amp;gt;&amp;amp;lt;IsSubquery&amp;amp;gt;False&amp;amp;lt;/I'"</definedName>
    <definedName name="_AMO_ContentDefinition_485496469.623"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624" hidden="1">"';/DateFormat&amp;amp;gt;&amp;amp;lt;RightHandSideExpression&amp;amp;gt;MFPR01000128&amp;amp;lt;/RightHandSideExpression&amp;amp;gt;&amp;amp;lt;IsSubquery&amp;amp;gt;False&amp;amp;lt;/IsSubquery&amp;amp;gt;&amp;amp;lt;SubqueryTemplateName /&amp;amp;gt;&amp;amp;lt;/RHSItem&amp;amp;gt;&amp;amp;lt;RHSItem&amp;amp;'"</definedName>
    <definedName name="_AMO_ContentDefinition_485496469.625" hidden="1">"'gt;&amp;amp;lt;RHSType&amp;amp;gt;EXPRESSION&amp;amp;lt;/RHSType&amp;amp;gt;&amp;amp;lt;AddQuotes&amp;amp;gt;True&amp;amp;lt;/AddQuotes&amp;amp;gt;&amp;amp;lt;DateFormat&amp;amp;gt;None&amp;amp;lt;/DateFormat&amp;amp;gt;&amp;amp;lt;RightHandSideExpression&amp;amp;gt;MFPR01000131&amp;amp;lt;/RightHandSideExpres'"</definedName>
    <definedName name="_AMO_ContentDefinition_485496469.626"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485496469.627" hidden="1">"'ddQuotes&amp;amp;gt;&amp;amp;lt;DateFormat&amp;amp;gt;None&amp;amp;lt;/DateFormat&amp;amp;gt;&amp;amp;lt;RightHandSideExpression&amp;amp;gt;MFPR01000135&amp;amp;lt;/RightHandSideExpression&amp;amp;gt;&amp;amp;lt;IsSubquery&amp;amp;gt;False&amp;amp;lt;/IsSubquery&amp;amp;gt;&amp;amp;lt;SubqueryTemplateName '"</definedName>
    <definedName name="_AMO_ContentDefinition_485496469.628"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485496469.629" hidden="1">"'ssion&amp;amp;gt;MFPR01000136&amp;amp;lt;/RightHandSideExpression&amp;amp;gt;&amp;amp;lt;IsSubquery&amp;amp;gt;False&amp;amp;lt;/IsSubquery&amp;amp;gt;&amp;amp;lt;SubqueryTemplateName /&amp;amp;gt;&amp;amp;lt;/RHSItem&amp;amp;gt;&amp;amp;lt;RHSItem&amp;amp;gt;&amp;amp;lt;RHSType&amp;amp;gt;EXPRESSION&amp;amp;lt;/R'"</definedName>
    <definedName name="_AMO_ContentDefinition_485496469.63" hidden="1">"';&amp;#xA;'MFPR01006894',&amp;#xD;&amp;#xA;'MFPR01006895',&amp;#xD;&amp;#xA;'MFPR01006896',&amp;#xD;&amp;#xA;'MFPR01006897',&amp;#xD;&amp;#xA;'MFPR01006898',&amp;#xD;&amp;#xA;'MFPR01006899',&amp;#xD;&amp;#xA;'MFPR01006900',&amp;#xD;&amp;#xA;'MFPR01006901',&amp;#xD;&amp;#xA;'MFPR01006902',&amp;#xD;&amp;#xA;'MFPR01006903',&amp;#xD;'"</definedName>
    <definedName name="_AMO_ContentDefinition_485496469.630" hidden="1">"'HSType&amp;amp;gt;&amp;amp;lt;AddQuotes&amp;amp;gt;True&amp;amp;lt;/AddQuotes&amp;amp;gt;&amp;amp;lt;DateFormat&amp;amp;gt;None&amp;amp;lt;/DateFormat&amp;amp;gt;&amp;amp;lt;RightHandSideExpression&amp;amp;gt;MFPR01000137&amp;amp;lt;/RightHandSideExpression&amp;amp;gt;&amp;amp;lt;IsSubquery&amp;amp;gt;False&amp;am'"</definedName>
    <definedName name="_AMO_ContentDefinition_485496469.631"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485496469.632" hidden="1">"'&amp;amp;lt;/DateFormat&amp;amp;gt;&amp;amp;lt;RightHandSideExpression&amp;amp;gt;MFPR01000138&amp;amp;lt;/RightHandSideExpression&amp;amp;gt;&amp;amp;lt;IsSubquery&amp;amp;gt;False&amp;amp;lt;/IsSubquery&amp;amp;gt;&amp;amp;lt;SubqueryTemplateName /&amp;amp;gt;&amp;amp;lt;/RHSItem&amp;amp;gt;&amp;amp;lt;RHSIt'"</definedName>
    <definedName name="_AMO_ContentDefinition_485496469.633" hidden="1">"'em&amp;amp;gt;&amp;amp;lt;RHSType&amp;amp;gt;EXPRESSION&amp;amp;lt;/RHSType&amp;amp;gt;&amp;amp;lt;AddQuotes&amp;amp;gt;True&amp;amp;lt;/AddQuotes&amp;amp;gt;&amp;amp;lt;DateFormat&amp;amp;gt;None&amp;amp;lt;/DateFormat&amp;amp;gt;&amp;amp;lt;RightHandSideExpression&amp;amp;gt;MFPR01000139&amp;amp;lt;/RightHandSid'"</definedName>
    <definedName name="_AMO_ContentDefinition_485496469.634"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485496469.635" hidden="1">"'p;lt;/AddQuotes&amp;amp;gt;&amp;amp;lt;DateFormat&amp;amp;gt;None&amp;amp;lt;/DateFormat&amp;amp;gt;&amp;amp;lt;RightHandSideExpression&amp;amp;gt;MFPR01000140&amp;amp;lt;/RightHandSideExpression&amp;amp;gt;&amp;amp;lt;IsSubquery&amp;amp;gt;False&amp;amp;lt;/IsSubquery&amp;amp;gt;&amp;amp;lt;SubqueryTempla'"</definedName>
    <definedName name="_AMO_ContentDefinition_485496469.636"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485496469.637" hidden="1">"'deExpression&amp;amp;gt;MFPR01000141&amp;amp;lt;/RightHandSideExpression&amp;amp;gt;&amp;amp;lt;IsSubquery&amp;amp;gt;False&amp;amp;lt;/IsSubquery&amp;amp;gt;&amp;amp;lt;SubqueryTemplateName /&amp;amp;gt;&amp;amp;lt;/RHSItem&amp;amp;gt;&amp;amp;lt;RHSItem&amp;amp;gt;&amp;amp;lt;RHSType&amp;amp;gt;EXPRESSION&amp;am'"</definedName>
    <definedName name="_AMO_ContentDefinition_485496469.638" hidden="1">"'p;lt;/RHSType&amp;amp;gt;&amp;amp;lt;AddQuotes&amp;amp;gt;True&amp;amp;lt;/AddQuotes&amp;amp;gt;&amp;amp;lt;DateFormat&amp;amp;gt;None&amp;amp;lt;/DateFormat&amp;amp;gt;&amp;amp;lt;RightHandSideExpression&amp;amp;gt;MFPR01000148&amp;amp;lt;/RightHandSideExpression&amp;amp;gt;&amp;amp;lt;IsSubquery&amp;amp;gt;F'"</definedName>
    <definedName name="_AMO_ContentDefinition_485496469.639"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64" hidden="1">"'&amp;#xA;'MFPR01006904',&amp;#xD;&amp;#xA;'MFPR01006905',&amp;#xD;&amp;#xA;'MFPR01006906',&amp;#xD;&amp;#xA;'MFPR01006907',&amp;#xD;&amp;#xA;'MFPR01006908',&amp;#xD;&amp;#xA;'MFPR01006909',&amp;#xD;&amp;#xA;'MFPR01006910',&amp;#xD;&amp;#xA;'MFPR01006911',&amp;#xD;&amp;#xA;'MFPR01006912',&amp;#xD;&amp;#xA;'MFPR01006913',&amp;#xD;&amp;'"</definedName>
    <definedName name="_AMO_ContentDefinition_485496469.640" hidden="1">"'gt;None&amp;amp;lt;/DateFormat&amp;amp;gt;&amp;amp;lt;RightHandSideExpression&amp;amp;gt;MFPR01000160&amp;amp;lt;/RightHandSideExpression&amp;amp;gt;&amp;amp;lt;IsSubquery&amp;amp;gt;False&amp;amp;lt;/IsSubquery&amp;amp;gt;&amp;amp;lt;SubqueryTemplateName /&amp;amp;gt;&amp;amp;lt;/RHSItem&amp;amp;gt;&amp;amp;l'"</definedName>
    <definedName name="_AMO_ContentDefinition_485496469.641" hidden="1">"'t;RHSItem&amp;amp;gt;&amp;amp;lt;RHSType&amp;amp;gt;EXPRESSION&amp;amp;lt;/RHSType&amp;amp;gt;&amp;amp;lt;AddQuotes&amp;amp;gt;True&amp;amp;lt;/AddQuotes&amp;amp;gt;&amp;amp;lt;DateFormat&amp;amp;gt;None&amp;amp;lt;/DateFormat&amp;amp;gt;&amp;amp;lt;RightHandSideExpression&amp;amp;gt;MFPR01000162&amp;amp;lt;/Right'"</definedName>
    <definedName name="_AMO_ContentDefinition_485496469.642"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643" hidden="1">"'True&amp;amp;lt;/AddQuotes&amp;amp;gt;&amp;amp;lt;DateFormat&amp;amp;gt;None&amp;amp;lt;/DateFormat&amp;amp;gt;&amp;amp;lt;RightHandSideExpression&amp;amp;gt;MFPR01000163&amp;amp;lt;/RightHandSideExpression&amp;amp;gt;&amp;amp;lt;IsSubquery&amp;amp;gt;False&amp;amp;lt;/IsSubquery&amp;amp;gt;&amp;amp;lt;Subquer'"</definedName>
    <definedName name="_AMO_ContentDefinition_485496469.644"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485496469.645" hidden="1">"'tHandSideExpression&amp;amp;gt;MFPR01000173&amp;amp;lt;/RightHandSideExpression&amp;amp;gt;&amp;amp;lt;IsSubquery&amp;amp;gt;False&amp;amp;lt;/IsSubquery&amp;amp;gt;&amp;amp;lt;SubqueryTemplateName /&amp;amp;gt;&amp;amp;lt;/RHSItem&amp;amp;gt;&amp;amp;lt;RHSItem&amp;amp;gt;&amp;amp;lt;RHSType&amp;amp;gt;EXPRES'"</definedName>
    <definedName name="_AMO_ContentDefinition_485496469.646" hidden="1">"'SION&amp;amp;lt;/RHSType&amp;amp;gt;&amp;amp;lt;AddQuotes&amp;amp;gt;True&amp;amp;lt;/AddQuotes&amp;amp;gt;&amp;amp;lt;DateFormat&amp;amp;gt;None&amp;amp;lt;/DateFormat&amp;amp;gt;&amp;amp;lt;RightHandSideExpression&amp;amp;gt;MFPR01000176&amp;amp;lt;/RightHandSideExpression&amp;amp;gt;&amp;amp;lt;IsSubquery&amp;a'"</definedName>
    <definedName name="_AMO_ContentDefinition_485496469.647"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485496469.648" hidden="1">"'at&amp;amp;gt;None&amp;amp;lt;/DateFormat&amp;amp;gt;&amp;amp;lt;RightHandSideExpression&amp;amp;gt;MFPR01000184&amp;amp;lt;/RightHandSideExpression&amp;amp;gt;&amp;amp;lt;IsSubquery&amp;amp;gt;False&amp;amp;lt;/IsSubquery&amp;amp;gt;&amp;amp;lt;SubqueryTemplateName /&amp;amp;gt;&amp;amp;lt;/RHSItem&amp;amp;gt'"</definedName>
    <definedName name="_AMO_ContentDefinition_485496469.649" hidden="1">"';&amp;amp;lt;RHSItem&amp;amp;gt;&amp;amp;lt;RHSType&amp;amp;gt;EXPRESSION&amp;amp;lt;/RHSType&amp;amp;gt;&amp;amp;lt;AddQuotes&amp;amp;gt;True&amp;amp;lt;/AddQuotes&amp;amp;gt;&amp;amp;lt;DateFormat&amp;amp;gt;None&amp;amp;lt;/DateFormat&amp;amp;gt;&amp;amp;lt;RightHandSideExpression&amp;amp;gt;MFPR01000200&amp;amp;lt'"</definedName>
    <definedName name="_AMO_ContentDefinition_485496469.65" hidden="1">"'#xA;'MFPR01006914',&amp;#xD;&amp;#xA;'MFPR01006915',&amp;#xD;&amp;#xA;'MFPR01006916',&amp;#xD;&amp;#xA;'MFPR01006917',&amp;#xD;&amp;#xA;'MFPR01006918',&amp;#xD;&amp;#xA;'MFPR01006919',&amp;#xD;&amp;#xA;'MFPR01006920',&amp;#xD;&amp;#xA;'MFPR01006921',&amp;#xD;&amp;#xA;'MFPR01006922',&amp;#xD;&amp;#xA;'MFPR01006923',&amp;#xD;&amp;#'"</definedName>
    <definedName name="_AMO_ContentDefinition_485496469.650"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485496469.651" hidden="1">"'amp;gt;True&amp;amp;lt;/AddQuotes&amp;amp;gt;&amp;amp;lt;DateFormat&amp;amp;gt;None&amp;amp;lt;/DateFormat&amp;amp;gt;&amp;amp;lt;RightHandSideExpression&amp;amp;gt;MFPR01000216&amp;amp;lt;/RightHandSideExpression&amp;amp;gt;&amp;amp;lt;IsSubquery&amp;amp;gt;False&amp;amp;lt;/IsSubquery&amp;amp;gt;&amp;amp;lt;'"</definedName>
    <definedName name="_AMO_ContentDefinition_485496469.652"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653" hidden="1">"'lt;RightHandSideExpression&amp;amp;gt;MFPR01000232&amp;amp;lt;/RightHandSideExpression&amp;amp;gt;&amp;amp;lt;IsSubquery&amp;amp;gt;False&amp;amp;lt;/IsSubquery&amp;amp;gt;&amp;amp;lt;SubqueryTemplateName /&amp;amp;gt;&amp;amp;lt;/RHSItem&amp;amp;gt;&amp;amp;lt;RHSItem&amp;amp;gt;&amp;amp;lt;RHSType&amp;amp;gt'"</definedName>
    <definedName name="_AMO_ContentDefinition_485496469.654" hidden="1">"';EXPRESSION&amp;amp;lt;/RHSType&amp;amp;gt;&amp;amp;lt;AddQuotes&amp;amp;gt;True&amp;amp;lt;/AddQuotes&amp;amp;gt;&amp;amp;lt;DateFormat&amp;amp;gt;None&amp;amp;lt;/DateFormat&amp;amp;gt;&amp;amp;lt;RightHandSideExpression&amp;amp;gt;MFPR01000254&amp;amp;lt;/RightHandSideExpression&amp;amp;gt;&amp;amp;lt;IsSub'"</definedName>
    <definedName name="_AMO_ContentDefinition_485496469.655"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485496469.656" hidden="1">"'ateFormat&amp;amp;gt;None&amp;amp;lt;/DateFormat&amp;amp;gt;&amp;amp;lt;RightHandSideExpression&amp;amp;gt;MFPR01000258&amp;amp;lt;/RightHandSideExpression&amp;amp;gt;&amp;amp;lt;IsSubquery&amp;amp;gt;False&amp;amp;lt;/IsSubquery&amp;amp;gt;&amp;amp;lt;SubqueryTemplateName /&amp;amp;gt;&amp;amp;lt;/RHSItem'"</definedName>
    <definedName name="_AMO_ContentDefinition_485496469.657" hidden="1">"'&amp;amp;gt;&amp;amp;lt;RHSItem&amp;amp;gt;&amp;amp;lt;RHSType&amp;amp;gt;EXPRESSION&amp;amp;lt;/RHSType&amp;amp;gt;&amp;amp;lt;AddQuotes&amp;amp;gt;True&amp;amp;lt;/AddQuotes&amp;amp;gt;&amp;amp;lt;DateFormat&amp;amp;gt;None&amp;amp;lt;/DateFormat&amp;amp;gt;&amp;amp;lt;RightHandSideExpression&amp;amp;gt;MFPR01000279'"</definedName>
    <definedName name="_AMO_ContentDefinition_485496469.658"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485496469.659" hidden="1">"'Quotes&amp;amp;gt;True&amp;amp;lt;/AddQuotes&amp;amp;gt;&amp;amp;lt;DateFormat&amp;amp;gt;None&amp;amp;lt;/DateFormat&amp;amp;gt;&amp;amp;lt;RightHandSideExpression&amp;amp;gt;MFPR01000285&amp;amp;lt;/RightHandSideExpression&amp;amp;gt;&amp;amp;lt;IsSubquery&amp;amp;gt;False&amp;amp;lt;/IsSubquery&amp;amp;gt;&amp;'"</definedName>
    <definedName name="_AMO_ContentDefinition_485496469.66" hidden="1">"'xA;'MFPR01006924',&amp;#xD;&amp;#xA;'MFPR01006925',&amp;#xD;&amp;#xA;'MFPR01006926',&amp;#xD;&amp;#xA;'MFPR01006927',&amp;#xD;&amp;#xA;'MFPR01006928',&amp;#xD;&amp;#xA;'MFPR01006929',&amp;#xD;&amp;#xA;'MFPR01006930',&amp;#xD;&amp;#xA;'MFPR01006931',&amp;#xD;&amp;#xA;'MFPR01006932',&amp;#xD;&amp;#xA;'MFPR01006933',&amp;#xD;&amp;#x'"</definedName>
    <definedName name="_AMO_ContentDefinition_485496469.660"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485496469.661" hidden="1">"'t;&amp;amp;lt;RightHandSideExpression&amp;amp;gt;MFPR01000295&amp;amp;lt;/RightHandSideExpression&amp;amp;gt;&amp;amp;lt;IsSubquery&amp;amp;gt;False&amp;amp;lt;/IsSubquery&amp;amp;gt;&amp;amp;lt;SubqueryTemplateName /&amp;amp;gt;&amp;amp;lt;/RHSItem&amp;amp;gt;&amp;amp;lt;RHSItem&amp;amp;gt;&amp;amp;lt;RHSType'"</definedName>
    <definedName name="_AMO_ContentDefinition_485496469.662" hidden="1">"'&amp;amp;gt;EXPRESSION&amp;amp;lt;/RHSType&amp;amp;gt;&amp;amp;lt;AddQuotes&amp;amp;gt;True&amp;amp;lt;/AddQuotes&amp;amp;gt;&amp;amp;lt;DateFormat&amp;amp;gt;None&amp;amp;lt;/DateFormat&amp;amp;gt;&amp;amp;lt;RightHandSideExpression&amp;amp;gt;MFPR01000296&amp;amp;lt;/RightHandSideExpression&amp;amp;gt;&amp;amp;l'"</definedName>
    <definedName name="_AMO_ContentDefinition_485496469.663"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485496469.664" hidden="1">"'mp;lt;DateFormat&amp;amp;gt;None&amp;amp;lt;/DateFormat&amp;amp;gt;&amp;amp;lt;RightHandSideExpression&amp;amp;gt;MFPR01000297&amp;amp;lt;/RightHandSideExpression&amp;amp;gt;&amp;amp;lt;IsSubquery&amp;amp;gt;False&amp;amp;lt;/IsSubquery&amp;amp;gt;&amp;amp;lt;SubqueryTemplateName /&amp;amp;gt;&amp;amp;lt;/'"</definedName>
    <definedName name="_AMO_ContentDefinition_485496469.665" hidden="1">"'RHSItem&amp;amp;gt;&amp;amp;lt;RHSItem&amp;amp;gt;&amp;amp;lt;RHSType&amp;amp;gt;EXPRESSION&amp;amp;lt;/RHSType&amp;amp;gt;&amp;amp;lt;AddQuotes&amp;amp;gt;True&amp;amp;lt;/AddQuotes&amp;amp;gt;&amp;amp;lt;DateFormat&amp;amp;gt;None&amp;amp;lt;/DateFormat&amp;amp;gt;&amp;amp;lt;RightHandSideExpression&amp;amp;gt;MFPR0'"</definedName>
    <definedName name="_AMO_ContentDefinition_485496469.666" hidden="1">"'1000298&amp;amp;lt;/RightHandSideExpression&amp;amp;gt;&amp;amp;lt;IsSubquery&amp;amp;gt;False&amp;amp;lt;/IsSubquery&amp;amp;gt;&amp;amp;lt;SubqueryTemplateName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667" hidden="1">"';lt;AddQuotes&amp;amp;gt;True&amp;amp;lt;/AddQuotes&amp;amp;gt;&amp;amp;lt;DateFormat&amp;amp;gt;None&amp;amp;lt;/DateFormat&amp;amp;gt;&amp;amp;lt;RightHandSideExpression&amp;amp;gt;MFPR01000299&amp;amp;lt;/RightHandSideExpression&amp;amp;gt;&amp;amp;lt;IsSubquery&amp;amp;gt;False&amp;amp;lt;/IsSubquery&amp;a'"</definedName>
    <definedName name="_AMO_ContentDefinition_485496469.668"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485496469.669" hidden="1">"'t&amp;amp;gt;&amp;amp;lt;RightHandSideExpression&amp;amp;gt;MFPR01000300&amp;amp;lt;/RightHandSideExpression&amp;amp;gt;&amp;amp;lt;IsSubquery&amp;amp;gt;False&amp;amp;lt;/IsSubquery&amp;amp;gt;&amp;amp;lt;SubqueryTemplateName /&amp;amp;gt;&amp;amp;lt;/RHSItem&amp;amp;gt;&amp;amp;lt;RHSItem&amp;amp;gt;&amp;amp;lt;'"</definedName>
    <definedName name="_AMO_ContentDefinition_485496469.67" hidden="1">"'A;'MFPR01006934',&amp;#xD;&amp;#xA;'MFPR01006935',&amp;#xD;&amp;#xA;'MFPR01006936',&amp;#xD;&amp;#xA;'MFPR01006937',&amp;#xD;&amp;#xA;'MFPR01006938',&amp;#xD;&amp;#xA;'MFPR01006939',&amp;#xD;&amp;#xA;'MFPR01006940',&amp;#xD;&amp;#xA;'MFPR01006941',&amp;#xD;&amp;#xA;'MFPR01006942',&amp;#xD;&amp;#xA;'MFPR01006943',&amp;#xD;&amp;#xA'"</definedName>
    <definedName name="_AMO_ContentDefinition_485496469.670" hidden="1">"'RHSType&amp;amp;gt;EXPRESSION&amp;amp;lt;/RHSType&amp;amp;gt;&amp;amp;lt;AddQuotes&amp;amp;gt;True&amp;amp;lt;/AddQuotes&amp;amp;gt;&amp;amp;lt;DateFormat&amp;amp;gt;None&amp;amp;lt;/DateFormat&amp;amp;gt;&amp;amp;lt;RightHandSideExpression&amp;amp;gt;MFPR01000301&amp;amp;lt;/RightHandSideExpression&amp;amp;gt'"</definedName>
    <definedName name="_AMO_ContentDefinition_485496469.671"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485496469.672" hidden="1">"'p;gt;&amp;amp;lt;DateFormat&amp;amp;gt;None&amp;amp;lt;/DateFormat&amp;amp;gt;&amp;amp;lt;RightHandSideExpression&amp;amp;gt;MFPR01000302&amp;amp;lt;/RightHandSideExpression&amp;amp;gt;&amp;amp;lt;IsSubquery&amp;amp;gt;False&amp;amp;lt;/IsSubquery&amp;amp;gt;&amp;amp;lt;SubqueryTemplateName /&amp;amp;gt;&amp;a'"</definedName>
    <definedName name="_AMO_ContentDefinition_485496469.673" hidden="1">"'mp;lt;/RHSItem&amp;amp;gt;&amp;amp;lt;RHSItem&amp;amp;gt;&amp;amp;lt;RHSType&amp;amp;gt;EXPRESSION&amp;amp;lt;/RHSType&amp;amp;gt;&amp;amp;lt;AddQuotes&amp;amp;gt;True&amp;amp;lt;/AddQuotes&amp;amp;gt;&amp;amp;lt;DateFormat&amp;amp;gt;None&amp;amp;lt;/DateFormat&amp;amp;gt;&amp;amp;lt;RightHandSideExpression&amp;amp;g'"</definedName>
    <definedName name="_AMO_ContentDefinition_485496469.674" hidden="1">"'t;MFPR01000307&amp;amp;lt;/RightHandSideExpression&amp;amp;gt;&amp;amp;lt;IsSubquery&amp;amp;gt;False&amp;amp;lt;/IsSubquery&amp;amp;gt;&amp;amp;lt;SubqueryTemplateName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675" hidden="1">"'gt;&amp;amp;lt;AddQuotes&amp;amp;gt;True&amp;amp;lt;/AddQuotes&amp;amp;gt;&amp;amp;lt;DateFormat&amp;amp;gt;None&amp;amp;lt;/DateFormat&amp;amp;gt;&amp;amp;lt;RightHandSideExpression&amp;amp;gt;MFPR01005136&amp;amp;lt;/RightHandSideExpression&amp;amp;gt;&amp;amp;lt;IsSubquery&amp;amp;gt;False&amp;amp;lt;/IsSub'"</definedName>
    <definedName name="_AMO_ContentDefinition_485496469.676"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485496469.677" hidden="1">"'teFormat&amp;amp;gt;&amp;amp;lt;RightHandSideExpression&amp;amp;gt;MFPR01005138&amp;amp;lt;/RightHandSideExpression&amp;amp;gt;&amp;amp;lt;IsSubquery&amp;amp;gt;False&amp;amp;lt;/IsSubquery&amp;amp;gt;&amp;amp;lt;SubqueryTemplateName /&amp;amp;gt;&amp;amp;lt;/RHSItem&amp;amp;gt;&amp;amp;lt;RHSItem&amp;amp;gt;&amp;'"</definedName>
    <definedName name="_AMO_ContentDefinition_485496469.678" hidden="1">"'amp;lt;RHSType&amp;amp;gt;EXPRESSION&amp;amp;lt;/RHSType&amp;amp;gt;&amp;amp;lt;AddQuotes&amp;amp;gt;True&amp;amp;lt;/AddQuotes&amp;amp;gt;&amp;amp;lt;DateFormat&amp;amp;gt;None&amp;amp;lt;/DateFormat&amp;amp;gt;&amp;amp;lt;RightHandSideExpression&amp;amp;gt;MFPR01005145&amp;amp;lt;/RightHandSideExpression'"</definedName>
    <definedName name="_AMO_ContentDefinition_485496469.679"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485496469.68" hidden="1">"';'MFPR01006944',&amp;#xD;&amp;#xA;'MFPR01006945',&amp;#xD;&amp;#xA;'MFPR01006946',&amp;#xD;&amp;#xA;'MFPR01006947',&amp;#xD;&amp;#xA;'MFPR01006948',&amp;#xD;&amp;#xA;'MFPR01006949',&amp;#xD;&amp;#xA;'MFPR01006950',&amp;#xD;&amp;#xA;'MFPR01006951',&amp;#xD;&amp;#xA;'MFPR01006952',&amp;#xD;&amp;#xA;'MFPR01006953',&amp;#xD;&amp;#xA;'"</definedName>
    <definedName name="_AMO_ContentDefinition_485496469.680" hidden="1">"'otes&amp;amp;gt;&amp;amp;lt;DateFormat&amp;amp;gt;None&amp;amp;lt;/DateFormat&amp;amp;gt;&amp;amp;lt;RightHandSideExpression&amp;amp;gt;MFPR01005146&amp;amp;lt;/RightHandSideExpression&amp;amp;gt;&amp;amp;lt;IsSubquery&amp;amp;gt;False&amp;amp;lt;/IsSubquery&amp;amp;gt;&amp;amp;lt;SubqueryTemplateName /&amp;am'"</definedName>
    <definedName name="_AMO_ContentDefinition_485496469.681"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485496469.682" hidden="1">"'n&amp;amp;gt;MFPR01005147&amp;amp;lt;/RightHandSideExpression&amp;amp;gt;&amp;amp;lt;IsSubquery&amp;amp;gt;False&amp;amp;lt;/IsSubquery&amp;amp;gt;&amp;amp;lt;SubqueryTemplateName /&amp;amp;gt;&amp;amp;lt;/RHSItem&amp;amp;gt;&amp;amp;lt;RHSItem&amp;amp;gt;&amp;amp;lt;RHSType&amp;amp;gt;EXPRESSION&amp;amp;lt;/RHSTy'"</definedName>
    <definedName name="_AMO_ContentDefinition_485496469.683" hidden="1">"'pe&amp;amp;gt;&amp;amp;lt;AddQuotes&amp;amp;gt;True&amp;amp;lt;/AddQuotes&amp;amp;gt;&amp;amp;lt;DateFormat&amp;amp;gt;None&amp;amp;lt;/DateFormat&amp;amp;gt;&amp;amp;lt;RightHandSideExpression&amp;amp;gt;MFPR01005152&amp;amp;lt;/RightHandSideExpression&amp;amp;gt;&amp;amp;lt;IsSubquery&amp;amp;gt;False&amp;amp;lt'"</definedName>
    <definedName name="_AMO_ContentDefinition_485496469.684"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685" hidden="1">"';lt;/DateFormat&amp;amp;gt;&amp;amp;lt;RightHandSideExpression&amp;amp;gt;MFPR01005171&amp;amp;lt;/RightHandSideExpression&amp;amp;gt;&amp;amp;lt;IsSubquery&amp;amp;gt;False&amp;amp;lt;/IsSubquery&amp;amp;gt;&amp;amp;lt;SubqueryTemplateName /&amp;amp;gt;&amp;amp;lt;/RHSItem&amp;amp;gt;&amp;amp;lt;RHSItem&amp;a'"</definedName>
    <definedName name="_AMO_ContentDefinition_485496469.686" hidden="1">"'mp;gt;&amp;amp;lt;RHSType&amp;amp;gt;EXPRESSION&amp;amp;lt;/RHSType&amp;amp;gt;&amp;amp;lt;AddQuotes&amp;amp;gt;True&amp;amp;lt;/AddQuotes&amp;amp;gt;&amp;amp;lt;DateFormat&amp;amp;gt;None&amp;amp;lt;/DateFormat&amp;amp;gt;&amp;amp;lt;RightHandSideExpression&amp;amp;gt;MFPR01005173&amp;amp;lt;/RightHandSideExp'"</definedName>
    <definedName name="_AMO_ContentDefinition_485496469.687"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688" hidden="1">"';/AddQuotes&amp;amp;gt;&amp;amp;lt;DateFormat&amp;amp;gt;None&amp;amp;lt;/DateFormat&amp;amp;gt;&amp;amp;lt;RightHandSideExpression&amp;amp;gt;MFPR01005180&amp;amp;lt;/RightHandSideExpression&amp;amp;gt;&amp;amp;lt;IsSubquery&amp;amp;gt;False&amp;amp;lt;/IsSubquery&amp;amp;gt;&amp;amp;lt;SubqueryTemplateNa'"</definedName>
    <definedName name="_AMO_ContentDefinition_485496469.689"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485496469.69" hidden="1">"''MFPR01006954',&amp;#xD;&amp;#xA;'MFPR01006955',&amp;#xD;&amp;#xA;'MFPR01006956',&amp;#xD;&amp;#xA;'MFPR01006957',&amp;#xD;&amp;#xA;'MFPR01006958',&amp;#xD;&amp;#xA;'MFPR01006959',&amp;#xD;&amp;#xA;'MFPR01006960',&amp;#xD;&amp;#xA;'MFPR01006961',&amp;#xD;&amp;#xA;'MFPR01006962',&amp;#xD;&amp;#xA;'MFPR01006963',&amp;#xD;&amp;#xA;''"</definedName>
    <definedName name="_AMO_ContentDefinition_485496469.690" hidden="1">"'pression&amp;amp;gt;MFPR01005181&amp;amp;lt;/RightHandSideExpression&amp;amp;gt;&amp;amp;lt;IsSubquery&amp;amp;gt;False&amp;amp;lt;/IsSubquery&amp;amp;gt;&amp;amp;lt;SubqueryTemplateName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691" hidden="1">"';/RHSType&amp;amp;gt;&amp;amp;lt;AddQuotes&amp;amp;gt;True&amp;amp;lt;/AddQuotes&amp;amp;gt;&amp;amp;lt;DateFormat&amp;amp;gt;None&amp;amp;lt;/DateFormat&amp;amp;gt;&amp;amp;lt;RightHandSideExpression&amp;amp;gt;MFPR01005182&amp;amp;lt;/RightHandSideExpression&amp;amp;gt;&amp;amp;lt;IsSubquery&amp;amp;gt;False'"</definedName>
    <definedName name="_AMO_ContentDefinition_485496469.692"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485496469.693" hidden="1">"'one&amp;amp;lt;/DateFormat&amp;amp;gt;&amp;amp;lt;RightHandSideExpression&amp;amp;gt;MFPR01005187&amp;amp;lt;/RightHandSideExpression&amp;amp;gt;&amp;amp;lt;IsSubquery&amp;amp;gt;False&amp;amp;lt;/IsSubquery&amp;amp;gt;&amp;amp;lt;SubqueryTemplateName /&amp;amp;gt;&amp;amp;lt;/RHSItem&amp;amp;gt;&amp;amp;lt;RH'"</definedName>
    <definedName name="_AMO_ContentDefinition_485496469.694" hidden="1">"'SItem&amp;amp;gt;&amp;amp;lt;RHSType&amp;amp;gt;EXPRESSION&amp;amp;lt;/RHSType&amp;amp;gt;&amp;amp;lt;AddQuotes&amp;amp;gt;True&amp;amp;lt;/AddQuotes&amp;amp;gt;&amp;amp;lt;DateFormat&amp;amp;gt;None&amp;amp;lt;/DateFormat&amp;amp;gt;&amp;amp;lt;RightHandSideExpression&amp;amp;gt;MFPR01006507&amp;amp;lt;/RightHand'"</definedName>
    <definedName name="_AMO_ContentDefinition_485496469.695"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485496469.696" hidden="1">"'&amp;amp;lt;/AddQuotes&amp;amp;gt;&amp;amp;lt;DateFormat&amp;amp;gt;None&amp;amp;lt;/DateFormat&amp;amp;gt;&amp;amp;lt;RightHandSideExpression&amp;amp;gt;MFPR01006508&amp;amp;lt;/RightHandSideExpression&amp;amp;gt;&amp;amp;lt;IsSubquery&amp;amp;gt;False&amp;amp;lt;/IsSubquery&amp;amp;gt;&amp;amp;lt;SubqueryTem'"</definedName>
    <definedName name="_AMO_ContentDefinition_485496469.697"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485496469.698" hidden="1">"'dSideExpression&amp;amp;gt;MFPR01006509&amp;amp;lt;/RightHandSideExpression&amp;amp;gt;&amp;amp;lt;IsSubquery&amp;amp;gt;False&amp;amp;lt;/IsSubquery&amp;amp;gt;&amp;amp;lt;SubqueryTemplateName /&amp;amp;gt;&amp;amp;lt;/RHSItem&amp;amp;gt;&amp;amp;lt;RHSItem&amp;amp;gt;&amp;amp;lt;RHSType&amp;amp;gt;EXPRESSION'"</definedName>
    <definedName name="_AMO_ContentDefinition_485496469.699" hidden="1">"'&amp;amp;lt;/RHSType&amp;amp;gt;&amp;amp;lt;AddQuotes&amp;amp;gt;True&amp;amp;lt;/AddQuotes&amp;amp;gt;&amp;amp;lt;DateFormat&amp;amp;gt;None&amp;amp;lt;/DateFormat&amp;amp;gt;&amp;amp;lt;RightHandSideExpression&amp;amp;gt;MFPR01006510&amp;amp;lt;/RightHandSideExpression&amp;amp;gt;&amp;amp;lt;IsSubquery&amp;amp;g'"</definedName>
    <definedName name="_AMO_ContentDefinition_485496469.7" hidden="1">"'',&amp;#xD;&amp;#xA;'MFMSUP000018',&amp;#xD;&amp;#xA;'MFMSUP000019',&amp;#xD;&amp;#xA;'MFMSUP000020',&amp;#xD;&amp;#xA;'MFMSUP000021',&amp;#xD;&amp;#xA;'MFMSUP000022',&amp;#xD;&amp;#xA;'MFMSUP000023',&amp;#xD;&amp;#xA;'MFMSUP000024',&amp;#xD;&amp;#xA;'MFMSUP000025',&amp;#xD;&amp;#xA;'MFMSUP000026',&amp;#xD;&amp;#xA;'MFMSUP000027''"</definedName>
    <definedName name="_AMO_ContentDefinition_485496469.70" hidden="1">"'MFPR01006964',&amp;#xD;&amp;#xA;'MFPR01006965',&amp;#xD;&amp;#xA;'MFPR01006966',&amp;#xD;&amp;#xA;'MFPR01006967',&amp;#xD;&amp;#xA;'MFPR01006968',&amp;#xD;&amp;#xA;'MFPR01006969',&amp;#xD;&amp;#xA;'MFPR01006970',&amp;#xD;&amp;#xA;'MFPR01006971',&amp;#xD;&amp;#xA;'MFPR01006972',&amp;#xD;&amp;#xA;'MFPR01006973',&amp;#xD;&amp;#xA;'M'"</definedName>
    <definedName name="_AMO_ContentDefinition_485496469.700"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485496469.701" hidden="1">"'mp;gt;None&amp;amp;lt;/DateFormat&amp;amp;gt;&amp;amp;lt;RightHandSideExpression&amp;amp;gt;MFPR01006511&amp;amp;lt;/RightHandSideExpression&amp;amp;gt;&amp;amp;lt;IsSubquery&amp;amp;gt;False&amp;amp;lt;/IsSubquery&amp;amp;gt;&amp;amp;lt;SubqueryTemplateName /&amp;amp;gt;&amp;amp;lt;/RHSItem&amp;amp;gt;&amp;am'"</definedName>
    <definedName name="_AMO_ContentDefinition_485496469.702" hidden="1">"'p;lt;RHSItem&amp;amp;gt;&amp;amp;lt;RHSType&amp;amp;gt;EXPRESSION&amp;amp;lt;/RHSType&amp;amp;gt;&amp;amp;lt;AddQuotes&amp;amp;gt;True&amp;amp;lt;/AddQuotes&amp;amp;gt;&amp;amp;lt;DateFormat&amp;amp;gt;None&amp;amp;lt;/DateFormat&amp;amp;gt;&amp;amp;lt;RightHandSideExpression&amp;amp;gt;MFPR01006512&amp;amp;lt;/Ri'"</definedName>
    <definedName name="_AMO_ContentDefinition_485496469.703"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704" hidden="1">"'gt;True&amp;amp;lt;/AddQuotes&amp;amp;gt;&amp;amp;lt;DateFormat&amp;amp;gt;None&amp;amp;lt;/DateFormat&amp;amp;gt;&amp;amp;lt;RightHandSideExpression&amp;amp;gt;MFPR01006513&amp;amp;lt;/RightHandSideExpression&amp;amp;gt;&amp;amp;lt;IsSubquery&amp;amp;gt;False&amp;amp;lt;/IsSubquery&amp;amp;gt;&amp;amp;lt;Subq'"</definedName>
    <definedName name="_AMO_ContentDefinition_485496469.705"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485496469.706" hidden="1">"'ightHandSideExpression&amp;amp;gt;MFPR01006514&amp;amp;lt;/RightHandSideExpression&amp;amp;gt;&amp;amp;lt;IsSubquery&amp;amp;gt;False&amp;amp;lt;/IsSubquery&amp;amp;gt;&amp;amp;lt;SubqueryTemplateName /&amp;amp;gt;&amp;amp;lt;/RHSItem&amp;amp;gt;&amp;amp;lt;RHSItem&amp;amp;gt;&amp;amp;lt;RHSType&amp;amp;gt;EXP'"</definedName>
    <definedName name="_AMO_ContentDefinition_485496469.707" hidden="1">"'RESSION&amp;amp;lt;/RHSType&amp;amp;gt;&amp;amp;lt;AddQuotes&amp;amp;gt;True&amp;amp;lt;/AddQuotes&amp;amp;gt;&amp;amp;lt;DateFormat&amp;amp;gt;None&amp;amp;lt;/DateFormat&amp;amp;gt;&amp;amp;lt;RightHandSideExpression&amp;amp;gt;MFPR01006515&amp;amp;lt;/RightHandSideExpression&amp;amp;gt;&amp;amp;lt;IsSubquer'"</definedName>
    <definedName name="_AMO_ContentDefinition_485496469.708"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485496469.709" hidden="1">"'ormat&amp;amp;gt;None&amp;amp;lt;/DateFormat&amp;amp;gt;&amp;amp;lt;RightHandSideExpression&amp;amp;gt;MFPR01006516&amp;amp;lt;/RightHandSideExpression&amp;amp;gt;&amp;amp;lt;IsSubquery&amp;amp;gt;False&amp;amp;lt;/IsSubquery&amp;amp;gt;&amp;amp;lt;SubqueryTemplateName /&amp;amp;gt;&amp;amp;lt;/RHSItem&amp;amp'"</definedName>
    <definedName name="_AMO_ContentDefinition_485496469.71" hidden="1">"'FPR01006974',&amp;#xD;&amp;#xA;'MFPR01006975',&amp;#xD;&amp;#xA;'MFPR01006976',&amp;#xD;&amp;#xA;'MFPR01006977',&amp;#xD;&amp;#xA;'MFPR01006978',&amp;#xD;&amp;#xA;'MFPR01006979',&amp;#xD;&amp;#xA;'MFPR01006980',&amp;#xD;&amp;#xA;'MFPR01006981',&amp;#xD;&amp;#xA;'MFPR01006982',&amp;#xD;&amp;#xA;'MFPR01006983',&amp;#xD;&amp;#xA;'MF'"</definedName>
    <definedName name="_AMO_ContentDefinition_485496469.710" hidden="1">"';gt;&amp;amp;lt;RHSItem&amp;amp;gt;&amp;amp;lt;RHSType&amp;amp;gt;EXPRESSION&amp;amp;lt;/RHSType&amp;amp;gt;&amp;amp;lt;AddQuotes&amp;amp;gt;True&amp;amp;lt;/AddQuotes&amp;amp;gt;&amp;amp;lt;DateFormat&amp;amp;gt;None&amp;amp;lt;/DateFormat&amp;amp;gt;&amp;amp;lt;RightHandSideExpression&amp;amp;gt;MFPR01006517&amp;amp'"</definedName>
    <definedName name="_AMO_ContentDefinition_485496469.711"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485496469.712" hidden="1">"'es&amp;amp;gt;True&amp;amp;lt;/AddQuotes&amp;amp;gt;&amp;amp;lt;DateFormat&amp;amp;gt;None&amp;amp;lt;/DateFormat&amp;amp;gt;&amp;amp;lt;RightHandSideExpression&amp;amp;gt;MFPR01006518&amp;amp;lt;/RightHandSideExpression&amp;amp;gt;&amp;amp;lt;IsSubquery&amp;amp;gt;False&amp;amp;lt;/IsSubquery&amp;amp;gt;&amp;amp;'"</definedName>
    <definedName name="_AMO_ContentDefinition_485496469.713"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485496469.714" hidden="1">"'mp;lt;RightHandSideExpression&amp;amp;gt;MFPR01006519&amp;amp;lt;/RightHandSideExpression&amp;amp;gt;&amp;amp;lt;IsSubquery&amp;amp;gt;False&amp;amp;lt;/IsSubquery&amp;amp;gt;&amp;amp;lt;SubqueryTemplateName /&amp;amp;gt;&amp;amp;lt;/RHSItem&amp;amp;gt;&amp;amp;lt;RHSItem&amp;amp;gt;&amp;amp;lt;RHSType&amp;amp'"</definedName>
    <definedName name="_AMO_ContentDefinition_485496469.715" hidden="1">"';gt;EXPRESSION&amp;amp;lt;/RHSType&amp;amp;gt;&amp;amp;lt;AddQuotes&amp;amp;gt;True&amp;amp;lt;/AddQuotes&amp;amp;gt;&amp;amp;lt;DateFormat&amp;amp;gt;None&amp;amp;lt;/DateFormat&amp;amp;gt;&amp;amp;lt;RightHandSideExpression&amp;amp;gt;MFPR01006520&amp;amp;lt;/RightHandSideExpression&amp;amp;gt;&amp;amp;lt;Is'"</definedName>
    <definedName name="_AMO_ContentDefinition_485496469.716"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485496469.717" hidden="1">"'t;DateFormat&amp;amp;gt;None&amp;amp;lt;/DateFormat&amp;amp;gt;&amp;amp;lt;RightHandSideExpression&amp;amp;gt;MFPR01006521&amp;amp;lt;/RightHandSideExpression&amp;amp;gt;&amp;amp;lt;IsSubquery&amp;amp;gt;False&amp;amp;lt;/IsSubquery&amp;amp;gt;&amp;amp;lt;SubqueryTemplateName /&amp;amp;gt;&amp;amp;lt;/RHSI'"</definedName>
    <definedName name="_AMO_ContentDefinition_485496469.718" hidden="1">"'tem&amp;amp;gt;&amp;amp;lt;RHSItem&amp;amp;gt;&amp;amp;lt;RHSType&amp;amp;gt;EXPRESSION&amp;amp;lt;/RHSType&amp;amp;gt;&amp;amp;lt;AddQuotes&amp;amp;gt;True&amp;amp;lt;/AddQuotes&amp;amp;gt;&amp;amp;lt;DateFormat&amp;amp;gt;None&amp;amp;lt;/DateFormat&amp;amp;gt;&amp;amp;lt;RightHandSideExpression&amp;amp;gt;MFPR01006'"</definedName>
    <definedName name="_AMO_ContentDefinition_485496469.719" hidden="1">"'522&amp;amp;lt;/RightHandSideExpression&amp;amp;gt;&amp;amp;lt;IsSubquery&amp;amp;gt;False&amp;amp;lt;/IsSubquery&amp;amp;gt;&amp;amp;lt;SubqueryTemplateName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485496469.72" hidden="1">"'PR01006984',&amp;#xD;&amp;#xA;'MFPR01006985',&amp;#xD;&amp;#xA;'MFPR01006986',&amp;#xD;&amp;#xA;'MFPR01006987',&amp;#xD;&amp;#xA;'MFPR01006988',&amp;#xD;&amp;#xA;'MFPR01006989',&amp;#xD;&amp;#xA;'MFPR01006990',&amp;#xD;&amp;#xA;'MFPR01006991',&amp;#xD;&amp;#xA;'MFPR01006992',&amp;#xD;&amp;#xA;'MFPR01006993',&amp;#xD;&amp;#xA;'MFP'"</definedName>
    <definedName name="_AMO_ContentDefinition_485496469.720" hidden="1">"'AddQuotes&amp;amp;gt;True&amp;amp;lt;/AddQuotes&amp;amp;gt;&amp;amp;lt;DateFormat&amp;amp;gt;None&amp;amp;lt;/DateFormat&amp;amp;gt;&amp;amp;lt;RightHandSideExpression&amp;amp;gt;MFPR01006523&amp;amp;lt;/RightHandSideExpression&amp;amp;gt;&amp;amp;lt;IsSubquery&amp;amp;gt;False&amp;amp;lt;/IsSubquery&amp;amp;g'"</definedName>
    <definedName name="_AMO_ContentDefinition_485496469.721"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485496469.722" hidden="1">"'p;gt;&amp;amp;lt;RightHandSideExpression&amp;amp;gt;MFPR01006524&amp;amp;lt;/RightHandSideExpression&amp;amp;gt;&amp;amp;lt;IsSubquery&amp;amp;gt;False&amp;amp;lt;/IsSubquery&amp;amp;gt;&amp;amp;lt;SubqueryTemplateName /&amp;amp;gt;&amp;amp;lt;/RHSItem&amp;amp;gt;&amp;amp;lt;RHSItem&amp;amp;gt;&amp;amp;lt;RHST'"</definedName>
    <definedName name="_AMO_ContentDefinition_485496469.723" hidden="1">"'ype&amp;amp;gt;EXPRESSION&amp;amp;lt;/RHSType&amp;amp;gt;&amp;amp;lt;AddQuotes&amp;amp;gt;True&amp;amp;lt;/AddQuotes&amp;amp;gt;&amp;amp;lt;DateFormat&amp;amp;gt;None&amp;amp;lt;/DateFormat&amp;amp;gt;&amp;amp;lt;RightHandSideExpression&amp;amp;gt;MFPR01006525&amp;amp;lt;/RightHandSideExpression&amp;amp;gt;&amp;am'"</definedName>
    <definedName name="_AMO_ContentDefinition_485496469.724"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725" hidden="1">"';&amp;amp;lt;DateFormat&amp;amp;gt;None&amp;amp;lt;/DateFormat&amp;amp;gt;&amp;amp;lt;RightHandSideExpression&amp;amp;gt;MFPR01006526&amp;amp;lt;/RightHandSideExpression&amp;amp;gt;&amp;amp;lt;IsSubquery&amp;amp;gt;False&amp;amp;lt;/IsSubquery&amp;amp;gt;&amp;amp;lt;SubqueryTemplateName /&amp;amp;gt;&amp;amp;l'"</definedName>
    <definedName name="_AMO_ContentDefinition_485496469.726" hidden="1">"'t;/RHSItem&amp;amp;gt;&amp;amp;lt;RHSItem&amp;amp;gt;&amp;amp;lt;RHSType&amp;amp;gt;EXPRESSION&amp;amp;lt;/RHSType&amp;amp;gt;&amp;amp;lt;AddQuotes&amp;amp;gt;True&amp;amp;lt;/AddQuotes&amp;amp;gt;&amp;amp;lt;DateFormat&amp;amp;gt;None&amp;amp;lt;/DateFormat&amp;amp;gt;&amp;amp;lt;RightHandSideExpression&amp;amp;gt;MF'"</definedName>
    <definedName name="_AMO_ContentDefinition_485496469.727" hidden="1">"'PR01006527&amp;amp;lt;/RightHandSideExpression&amp;amp;gt;&amp;amp;lt;IsSubquery&amp;amp;gt;False&amp;amp;lt;/IsSubquery&amp;amp;gt;&amp;amp;lt;SubqueryTemplateName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485496469.728" hidden="1">"'amp;lt;AddQuotes&amp;amp;gt;True&amp;amp;lt;/AddQuotes&amp;amp;gt;&amp;amp;lt;DateFormat&amp;amp;gt;None&amp;amp;lt;/DateFormat&amp;amp;gt;&amp;amp;lt;RightHandSideExpression&amp;amp;gt;MFPR01006528&amp;amp;lt;/RightHandSideExpression&amp;amp;gt;&amp;amp;lt;IsSubquery&amp;amp;gt;False&amp;amp;lt;/IsSubquer'"</definedName>
    <definedName name="_AMO_ContentDefinition_485496469.729"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485496469.73" hidden="1">"'R01006994',&amp;#xD;&amp;#xA;'MFPR01006995',&amp;#xD;&amp;#xA;'MFPR01006996',&amp;#xD;&amp;#xA;'MFPR01006997',&amp;#xD;&amp;#xA;'MFPR01006998',&amp;#xD;&amp;#xA;'MFPR01006999',&amp;#xD;&amp;#xA;'MFPR01007000',&amp;#xD;&amp;#xA;'MFPR01007001',&amp;#xD;&amp;#xA;'MFPR01007002',&amp;#xD;&amp;#xA;'MFPR01007003',&amp;#xD;&amp;#xA;'MFPR'"</definedName>
    <definedName name="_AMO_ContentDefinition_485496469.730" hidden="1">"'rmat&amp;amp;gt;&amp;amp;lt;RightHandSideExpression&amp;amp;gt;MFPR01006529&amp;amp;lt;/RightHandSideExpression&amp;amp;gt;&amp;amp;lt;IsSubquery&amp;amp;gt;False&amp;amp;lt;/IsSubquery&amp;amp;gt;&amp;amp;lt;SubqueryTemplateName /&amp;amp;gt;&amp;amp;lt;/RHSItem&amp;amp;gt;&amp;amp;lt;RHSItem&amp;amp;gt;&amp;amp;'"</definedName>
    <definedName name="_AMO_ContentDefinition_485496469.731" hidden="1">"'lt;RHSType&amp;amp;gt;EXPRESSION&amp;amp;lt;/RHSType&amp;amp;gt;&amp;amp;lt;AddQuotes&amp;amp;gt;True&amp;amp;lt;/AddQuotes&amp;amp;gt;&amp;amp;lt;DateFormat&amp;amp;gt;None&amp;amp;lt;/DateFormat&amp;amp;gt;&amp;amp;lt;RightHandSideExpression&amp;amp;gt;MFPR01006530&amp;amp;lt;/RightHandSideExpression&amp;amp'"</definedName>
    <definedName name="_AMO_ContentDefinition_485496469.732"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485496469.733" hidden="1">"'&amp;amp;gt;&amp;amp;lt;DateFormat&amp;amp;gt;None&amp;amp;lt;/DateFormat&amp;amp;gt;&amp;amp;lt;RightHandSideExpression&amp;amp;gt;MFPR01006531&amp;amp;lt;/RightHandSideExpression&amp;amp;gt;&amp;amp;lt;IsSubquery&amp;amp;gt;False&amp;amp;lt;/IsSubquery&amp;amp;gt;&amp;amp;lt;SubqueryTemplateName /&amp;amp;gt'"</definedName>
    <definedName name="_AMO_ContentDefinition_485496469.734" hidden="1">"';&amp;amp;lt;/RHSItem&amp;amp;gt;&amp;amp;lt;RHSItem&amp;amp;gt;&amp;amp;lt;RHSType&amp;amp;gt;EXPRESSION&amp;amp;lt;/RHSType&amp;amp;gt;&amp;amp;lt;AddQuotes&amp;amp;gt;True&amp;amp;lt;/AddQuotes&amp;amp;gt;&amp;amp;lt;DateFormat&amp;amp;gt;None&amp;amp;lt;/DateFormat&amp;amp;gt;&amp;amp;lt;RightHandSideExpression&amp;am'"</definedName>
    <definedName name="_AMO_ContentDefinition_485496469.735" hidden="1">"'p;gt;MFPR01006532&amp;amp;lt;/RightHandSideExpression&amp;amp;gt;&amp;amp;lt;IsSubquery&amp;amp;gt;False&amp;amp;lt;/IsSubquery&amp;amp;gt;&amp;amp;lt;SubqueryTemplateName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485496469.736" hidden="1">"'mp;gt;&amp;amp;lt;AddQuotes&amp;amp;gt;True&amp;amp;lt;/AddQuotes&amp;amp;gt;&amp;amp;lt;DateFormat&amp;amp;gt;None&amp;amp;lt;/DateFormat&amp;amp;gt;&amp;amp;lt;RightHandSideExpression&amp;amp;gt;MFPR01006533&amp;amp;lt;/RightHandSideExpression&amp;amp;gt;&amp;amp;lt;IsSubquery&amp;amp;gt;False&amp;amp;lt;/Is'"</definedName>
    <definedName name="_AMO_ContentDefinition_485496469.737"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738" hidden="1">"'/DateFormat&amp;amp;gt;&amp;amp;lt;RightHandSideExpression&amp;amp;gt;MFPR01006534&amp;amp;lt;/RightHandSideExpression&amp;amp;gt;&amp;amp;lt;IsSubquery&amp;amp;gt;False&amp;amp;lt;/IsSubquery&amp;amp;gt;&amp;amp;lt;SubqueryTemplateName /&amp;amp;gt;&amp;amp;lt;/RHSItem&amp;amp;gt;&amp;amp;lt;RHSItem&amp;amp;g'"</definedName>
    <definedName name="_AMO_ContentDefinition_485496469.739" hidden="1">"'t;&amp;amp;lt;RHSType&amp;amp;gt;EXPRESSION&amp;amp;lt;/RHSType&amp;amp;gt;&amp;amp;lt;AddQuotes&amp;amp;gt;True&amp;amp;lt;/AddQuotes&amp;amp;gt;&amp;amp;lt;DateFormat&amp;amp;gt;None&amp;amp;lt;/DateFormat&amp;amp;gt;&amp;amp;lt;RightHandSideExpression&amp;amp;gt;MFPR01006535&amp;amp;lt;/RightHandSideExpress'"</definedName>
    <definedName name="_AMO_ContentDefinition_485496469.74" hidden="1">"'01007004',&amp;#xD;&amp;#xA;'MFPR01007005',&amp;#xD;&amp;#xA;'MFPR01007006',&amp;#xD;&amp;#xA;'MFPR01007007',&amp;#xD;&amp;#xA;'MFPR01007008',&amp;#xD;&amp;#xA;'MFPR01007009',&amp;#xD;&amp;#xA;'MFPR01007010',&amp;#xD;&amp;#xA;'MFPR01007011',&amp;#xD;&amp;#xA;'MFPR01007012',&amp;#xD;&amp;#xA;'MFPR01007013',&amp;#xD;&amp;#xA;'MFPR0'"</definedName>
    <definedName name="_AMO_ContentDefinition_485496469.740"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485496469.741" hidden="1">"'dQuotes&amp;amp;gt;&amp;amp;lt;DateFormat&amp;amp;gt;None&amp;amp;lt;/DateFormat&amp;amp;gt;&amp;amp;lt;RightHandSideExpression&amp;amp;gt;MFPR01006536&amp;amp;lt;/RightHandSideExpression&amp;amp;gt;&amp;amp;lt;IsSubquery&amp;amp;gt;False&amp;amp;lt;/IsSubquery&amp;amp;gt;&amp;amp;lt;SubqueryTemplateName /'"</definedName>
    <definedName name="_AMO_ContentDefinition_485496469.742"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485496469.743" hidden="1">"'sion&amp;amp;gt;MFPR01006537&amp;amp;lt;/RightHandSideExpression&amp;amp;gt;&amp;amp;lt;IsSubquery&amp;amp;gt;False&amp;amp;lt;/IsSubquery&amp;amp;gt;&amp;amp;lt;SubqueryTemplateName /&amp;amp;gt;&amp;amp;lt;/RHSItem&amp;amp;gt;&amp;amp;lt;RHSItem&amp;amp;gt;&amp;amp;lt;RHSType&amp;amp;gt;EXPRESSION&amp;amp;lt;/RH'"</definedName>
    <definedName name="_AMO_ContentDefinition_485496469.744" hidden="1">"'SType&amp;amp;gt;&amp;amp;lt;AddQuotes&amp;amp;gt;True&amp;amp;lt;/AddQuotes&amp;amp;gt;&amp;amp;lt;DateFormat&amp;amp;gt;None&amp;amp;lt;/DateFormat&amp;amp;gt;&amp;amp;lt;RightHandSideExpression&amp;amp;gt;MFPR01006538&amp;amp;lt;/RightHandSideExpression&amp;amp;gt;&amp;amp;lt;IsSubquery&amp;amp;gt;False&amp;amp'"</definedName>
    <definedName name="_AMO_ContentDefinition_485496469.745"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485496469.746" hidden="1">"'amp;lt;/DateFormat&amp;amp;gt;&amp;amp;lt;RightHandSideExpression&amp;amp;gt;MFPR01006539&amp;amp;lt;/RightHandSideExpression&amp;amp;gt;&amp;amp;lt;IsSubquery&amp;amp;gt;False&amp;amp;lt;/IsSubquery&amp;amp;gt;&amp;amp;lt;SubqueryTemplateName /&amp;amp;gt;&amp;amp;lt;/RHSItem&amp;amp;gt;&amp;amp;lt;RHSIte'"</definedName>
    <definedName name="_AMO_ContentDefinition_485496469.747" hidden="1">"'m&amp;amp;gt;&amp;amp;lt;RHSType&amp;amp;gt;EXPRESSION&amp;amp;lt;/RHSType&amp;amp;gt;&amp;amp;lt;AddQuotes&amp;amp;gt;True&amp;amp;lt;/AddQuotes&amp;amp;gt;&amp;amp;lt;DateFormat&amp;amp;gt;None&amp;amp;lt;/DateFormat&amp;amp;gt;&amp;amp;lt;RightHandSideExpression&amp;amp;gt;MFPR01006540&amp;amp;lt;/RightHandSide'"</definedName>
    <definedName name="_AMO_ContentDefinition_485496469.748"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749" hidden="1">"';lt;/AddQuotes&amp;amp;gt;&amp;amp;lt;DateFormat&amp;amp;gt;None&amp;amp;lt;/DateFormat&amp;amp;gt;&amp;amp;lt;RightHandSideExpression&amp;amp;gt;MFPR01006541&amp;amp;lt;/RightHandSideExpression&amp;amp;gt;&amp;amp;lt;IsSubquery&amp;amp;gt;False&amp;amp;lt;/IsSubquery&amp;amp;gt;&amp;amp;lt;SubqueryTemplat'"</definedName>
    <definedName name="_AMO_ContentDefinition_485496469.75" hidden="1">"'1007014',&amp;#xD;&amp;#xA;'MFPR01007015',&amp;#xD;&amp;#xA;'MFPR01007016',&amp;#xD;&amp;#xA;'MFPR01007017',&amp;#xD;&amp;#xA;'MFPR01007018',&amp;#xD;&amp;#xA;'MFPR01007019',&amp;#xD;&amp;#xA;'MFPR01007020',&amp;#xD;&amp;#xA;'MFPR01007021',&amp;#xD;&amp;#xA;'MFPR01007022',&amp;#xD;&amp;#xA;'MFPR01007023',&amp;#xD;&amp;#xA;'MFPR01'"</definedName>
    <definedName name="_AMO_ContentDefinition_485496469.750"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485496469.751" hidden="1">"'eExpression&amp;amp;gt;MFPR01006542&amp;amp;lt;/RightHandSideExpression&amp;amp;gt;&amp;amp;lt;IsSubquery&amp;amp;gt;False&amp;amp;lt;/IsSubquery&amp;amp;gt;&amp;amp;lt;SubqueryTemplateName /&amp;amp;gt;&amp;amp;lt;/RHSItem&amp;amp;gt;&amp;amp;lt;RHSItem&amp;amp;gt;&amp;amp;lt;RHSType&amp;amp;gt;EXPRESSION&amp;amp'"</definedName>
    <definedName name="_AMO_ContentDefinition_485496469.752" hidden="1">"';lt;/RHSType&amp;amp;gt;&amp;amp;lt;AddQuotes&amp;amp;gt;True&amp;amp;lt;/AddQuotes&amp;amp;gt;&amp;amp;lt;DateFormat&amp;amp;gt;None&amp;amp;lt;/DateFormat&amp;amp;gt;&amp;amp;lt;RightHandSideExpression&amp;amp;gt;MFPR01006543&amp;amp;lt;/RightHandSideExpression&amp;amp;gt;&amp;amp;lt;IsSubquery&amp;amp;gt;Fa'"</definedName>
    <definedName name="_AMO_ContentDefinition_485496469.753"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485496469.754" hidden="1">"'t;None&amp;amp;lt;/DateFormat&amp;amp;gt;&amp;amp;lt;RightHandSideExpression&amp;amp;gt;MFPR01006544&amp;amp;lt;/RightHandSideExpression&amp;amp;gt;&amp;amp;lt;IsSubquery&amp;amp;gt;False&amp;amp;lt;/IsSubquery&amp;amp;gt;&amp;amp;lt;SubqueryTemplateName /&amp;amp;gt;&amp;amp;lt;/RHSItem&amp;amp;gt;&amp;amp;lt'"</definedName>
    <definedName name="_AMO_ContentDefinition_485496469.755" hidden="1">"';RHSItem&amp;amp;gt;&amp;amp;lt;RHSType&amp;amp;gt;EXPRESSION&amp;amp;lt;/RHSType&amp;amp;gt;&amp;amp;lt;AddQuotes&amp;amp;gt;True&amp;amp;lt;/AddQuotes&amp;amp;gt;&amp;amp;lt;DateFormat&amp;amp;gt;None&amp;amp;lt;/DateFormat&amp;amp;gt;&amp;amp;lt;RightHandSideExpression&amp;amp;gt;MFPR01006545&amp;amp;lt;/RightH'"</definedName>
    <definedName name="_AMO_ContentDefinition_485496469.756"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485496469.757" hidden="1">"'rue&amp;amp;lt;/AddQuotes&amp;amp;gt;&amp;amp;lt;DateFormat&amp;amp;gt;None&amp;amp;lt;/DateFormat&amp;amp;gt;&amp;amp;lt;RightHandSideExpression&amp;amp;gt;MFPR01006546&amp;amp;lt;/RightHandSideExpression&amp;amp;gt;&amp;amp;lt;IsSubquery&amp;amp;gt;False&amp;amp;lt;/IsSubquery&amp;amp;gt;&amp;amp;lt;Subquery'"</definedName>
    <definedName name="_AMO_ContentDefinition_485496469.758"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485496469.759" hidden="1">"'HandSideExpression&amp;amp;gt;MFPR01006547&amp;amp;lt;/RightHandSideExpression&amp;amp;gt;&amp;amp;lt;IsSubquery&amp;amp;gt;False&amp;amp;lt;/IsSubquery&amp;amp;gt;&amp;amp;lt;SubqueryTemplateName /&amp;amp;gt;&amp;amp;lt;/RHSItem&amp;amp;gt;&amp;amp;lt;RHSItem&amp;amp;gt;&amp;amp;lt;RHSType&amp;amp;gt;EXPRESS'"</definedName>
    <definedName name="_AMO_ContentDefinition_485496469.76" hidden="1">"'007024',&amp;#xD;&amp;#xA;'MFPR01007025',&amp;#xD;&amp;#xA;'MFPR01007026',&amp;#xD;&amp;#xA;'MFPR01007027',&amp;#xD;&amp;#xA;'MFPR01007028',&amp;#xD;&amp;#xA;'MFPR01007029',&amp;#xD;&amp;#xA;'MFPR01007030',&amp;#xD;&amp;#xA;'MFPR01007031',&amp;#xD;&amp;#xA;'MFPR01007032',&amp;#xD;&amp;#xA;'MFPR01007033',&amp;#xD;&amp;#xA;'MFPR010'"</definedName>
    <definedName name="_AMO_ContentDefinition_485496469.760" hidden="1">"'ION&amp;amp;lt;/RHSType&amp;amp;gt;&amp;amp;lt;AddQuotes&amp;amp;gt;True&amp;amp;lt;/AddQuotes&amp;amp;gt;&amp;amp;lt;DateFormat&amp;amp;gt;None&amp;amp;lt;/DateFormat&amp;amp;gt;&amp;amp;lt;RightHandSideExpression&amp;amp;gt;MFPR01006548&amp;amp;lt;/RightHandSideExpression&amp;amp;gt;&amp;amp;lt;IsSubquery&amp;am'"</definedName>
    <definedName name="_AMO_ContentDefinition_485496469.761"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485496469.762" hidden="1">"'t&amp;amp;gt;None&amp;amp;lt;/DateFormat&amp;amp;gt;&amp;amp;lt;RightHandSideExpression&amp;amp;gt;MFPR01006549&amp;amp;lt;/RightHandSideExpression&amp;amp;gt;&amp;amp;lt;IsSubquery&amp;amp;gt;False&amp;amp;lt;/IsSubquery&amp;amp;gt;&amp;amp;lt;SubqueryTemplateName /&amp;amp;gt;&amp;amp;lt;/RHSItem&amp;amp;gt;'"</definedName>
    <definedName name="_AMO_ContentDefinition_485496469.763" hidden="1">"'&amp;amp;lt;RHSItem&amp;amp;gt;&amp;amp;lt;RHSType&amp;amp;gt;EXPRESSION&amp;amp;lt;/RHSType&amp;amp;gt;&amp;amp;lt;AddQuotes&amp;amp;gt;True&amp;amp;lt;/AddQuotes&amp;amp;gt;&amp;amp;lt;DateFormat&amp;amp;gt;None&amp;amp;lt;/DateFormat&amp;amp;gt;&amp;amp;lt;RightHandSideExpression&amp;amp;gt;MFPR01006550&amp;amp;lt;'"</definedName>
    <definedName name="_AMO_ContentDefinition_485496469.764"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485496469.765" hidden="1">"'mp;gt;True&amp;amp;lt;/AddQuotes&amp;amp;gt;&amp;amp;lt;DateFormat&amp;amp;gt;None&amp;amp;lt;/DateFormat&amp;amp;gt;&amp;amp;lt;RightHandSideExpression&amp;amp;gt;MFPR01006551&amp;amp;lt;/RightHandSideExpression&amp;amp;gt;&amp;amp;lt;IsSubquery&amp;amp;gt;False&amp;amp;lt;/IsSubquery&amp;amp;gt;&amp;amp;lt;S'"</definedName>
    <definedName name="_AMO_ContentDefinition_485496469.766"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485496469.767" hidden="1">"'t;RightHandSideExpression&amp;amp;gt;MFPR01006552&amp;amp;lt;/RightHandSideExpression&amp;amp;gt;&amp;amp;lt;IsSubquery&amp;amp;gt;False&amp;amp;lt;/IsSubquery&amp;amp;gt;&amp;amp;lt;SubqueryTemplateName /&amp;amp;gt;&amp;amp;lt;/RHSItem&amp;amp;gt;&amp;amp;lt;RHSItem&amp;amp;gt;&amp;amp;lt;RHSType&amp;amp;gt;'"</definedName>
    <definedName name="_AMO_ContentDefinition_485496469.768" hidden="1">"'EXPRESSION&amp;amp;lt;/RHSType&amp;amp;gt;&amp;amp;lt;AddQuotes&amp;amp;gt;True&amp;amp;lt;/AddQuotes&amp;amp;gt;&amp;amp;lt;DateFormat&amp;amp;gt;None&amp;amp;lt;/DateFormat&amp;amp;gt;&amp;amp;lt;RightHandSideExpression&amp;amp;gt;MFPR01006553&amp;amp;lt;/RightHandSideExpression&amp;amp;gt;&amp;amp;lt;IsSubq'"</definedName>
    <definedName name="_AMO_ContentDefinition_485496469.769"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485496469.77" hidden="1">"'07034',&amp;#xD;&amp;#xA;'MFPR01007035',&amp;#xD;&amp;#xA;'MFPR01007036',&amp;#xD;&amp;#xA;'MFPR01007037',&amp;#xD;&amp;#xA;'MFPR01007038',&amp;#xD;&amp;#xA;'MFPR01007039',&amp;#xD;&amp;#xA;'MFPR01007040',&amp;#xD;&amp;#xA;'MFPR01007041',&amp;#xD;&amp;#xA;'MFPR01007042',&amp;#xD;&amp;#xA;'MFPR01007043',&amp;#xD;&amp;#xA;'MFPR0100'"</definedName>
    <definedName name="_AMO_ContentDefinition_485496469.770" hidden="1">"'teFormat&amp;amp;gt;None&amp;amp;lt;/DateFormat&amp;amp;gt;&amp;amp;lt;RightHandSideExpression&amp;amp;gt;MFPR01006554&amp;amp;lt;/RightHandSideExpression&amp;amp;gt;&amp;amp;lt;IsSubquery&amp;amp;gt;False&amp;amp;lt;/IsSubquery&amp;amp;gt;&amp;amp;lt;SubqueryTemplateName /&amp;amp;gt;&amp;amp;lt;/RHSItem&amp;'"</definedName>
    <definedName name="_AMO_ContentDefinition_485496469.771" hidden="1">"'amp;gt;&amp;amp;lt;RHSItem&amp;amp;gt;&amp;amp;lt;RHSType&amp;amp;gt;EXPRESSION&amp;amp;lt;/RHSType&amp;amp;gt;&amp;amp;lt;AddQuotes&amp;amp;gt;True&amp;amp;lt;/AddQuotes&amp;amp;gt;&amp;amp;lt;DateFormat&amp;amp;gt;None&amp;amp;lt;/DateFormat&amp;amp;gt;&amp;amp;lt;RightHandSideExpression&amp;amp;gt;MFPR01006555&amp;'"</definedName>
    <definedName name="_AMO_ContentDefinition_485496469.772"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485496469.773" hidden="1">"'uotes&amp;amp;gt;True&amp;amp;lt;/AddQuotes&amp;amp;gt;&amp;amp;lt;DateFormat&amp;amp;gt;None&amp;amp;lt;/DateFormat&amp;amp;gt;&amp;amp;lt;RightHandSideExpression&amp;amp;gt;MFPR01006556&amp;amp;lt;/RightHandSideExpression&amp;amp;gt;&amp;amp;lt;IsSubquery&amp;amp;gt;False&amp;amp;lt;/IsSubquery&amp;amp;gt;&amp;a'"</definedName>
    <definedName name="_AMO_ContentDefinition_485496469.774"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775" hidden="1">"';&amp;amp;lt;RightHandSideExpression&amp;amp;gt;MFPR01006557&amp;amp;lt;/RightHandSideExpression&amp;amp;gt;&amp;amp;lt;IsSubquery&amp;amp;gt;False&amp;amp;lt;/IsSubquery&amp;amp;gt;&amp;amp;lt;SubqueryTemplateName /&amp;amp;gt;&amp;amp;lt;/RHSItem&amp;amp;gt;&amp;amp;lt;RHSItem&amp;amp;gt;&amp;amp;lt;RHSType&amp;'"</definedName>
    <definedName name="_AMO_ContentDefinition_485496469.776" hidden="1">"'amp;gt;EXPRESSION&amp;amp;lt;/RHSType&amp;amp;gt;&amp;amp;lt;AddQuotes&amp;amp;gt;True&amp;amp;lt;/AddQuotes&amp;amp;gt;&amp;amp;lt;DateFormat&amp;amp;gt;None&amp;amp;lt;/DateFormat&amp;amp;gt;&amp;amp;lt;RightHandSideExpression&amp;amp;gt;MFPR01006558&amp;amp;lt;/RightHandSideExpression&amp;amp;gt;&amp;amp;lt'"</definedName>
    <definedName name="_AMO_ContentDefinition_485496469.777"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485496469.778" hidden="1">"'p;lt;DateFormat&amp;amp;gt;None&amp;amp;lt;/DateFormat&amp;amp;gt;&amp;amp;lt;RightHandSideExpression&amp;amp;gt;MFPR01006559&amp;amp;lt;/RightHandSideExpression&amp;amp;gt;&amp;amp;lt;IsSubquery&amp;amp;gt;False&amp;amp;lt;/IsSubquery&amp;amp;gt;&amp;amp;lt;SubqueryTemplateName /&amp;amp;gt;&amp;amp;lt;/R'"</definedName>
    <definedName name="_AMO_ContentDefinition_485496469.779" hidden="1">"'HSItem&amp;amp;gt;&amp;amp;lt;RHSItem&amp;amp;gt;&amp;amp;lt;RHSType&amp;amp;gt;EXPRESSION&amp;amp;lt;/RHSType&amp;amp;gt;&amp;amp;lt;AddQuotes&amp;amp;gt;True&amp;amp;lt;/AddQuotes&amp;amp;gt;&amp;amp;lt;DateFormat&amp;amp;gt;None&amp;amp;lt;/DateFormat&amp;amp;gt;&amp;amp;lt;RightHandSideExpression&amp;amp;gt;MFPR01'"</definedName>
    <definedName name="_AMO_ContentDefinition_485496469.78" hidden="1">"'7044',&amp;#xD;&amp;#xA;'MFPR01007045',&amp;#xD;&amp;#xA;'MFPR01007046',&amp;#xD;&amp;#xA;'MFPR01007047',&amp;#xD;&amp;#xA;'MFPR01007048',&amp;#xD;&amp;#xA;'MFPR01007049',&amp;#xD;&amp;#xA;'MFPR01007050',&amp;#xD;&amp;#xA;'MFPR01007051',&amp;#xD;&amp;#xA;'MFPR01007052',&amp;#xD;&amp;#xA;'MFPR01007053',&amp;#xD;&amp;#xA;'MFPR01007'"</definedName>
    <definedName name="_AMO_ContentDefinition_485496469.780" hidden="1">"'006560&amp;amp;lt;/RightHandSideExpression&amp;amp;gt;&amp;amp;lt;IsSubquery&amp;amp;gt;False&amp;amp;lt;/IsSubquery&amp;amp;gt;&amp;amp;lt;SubqueryTemplateName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485496469.781" hidden="1">"'lt;AddQuotes&amp;amp;gt;True&amp;amp;lt;/AddQuotes&amp;amp;gt;&amp;amp;lt;DateFormat&amp;amp;gt;None&amp;amp;lt;/DateFormat&amp;amp;gt;&amp;amp;lt;RightHandSideExpression&amp;amp;gt;MFPR01006561&amp;amp;lt;/RightHandSideExpression&amp;amp;gt;&amp;amp;lt;IsSubquery&amp;amp;gt;False&amp;amp;lt;/IsSubquery&amp;am'"</definedName>
    <definedName name="_AMO_ContentDefinition_485496469.782"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485496469.783" hidden="1">"'&amp;amp;gt;&amp;amp;lt;RightHandSideExpression&amp;amp;gt;MFPR01006562&amp;amp;lt;/RightHandSideExpression&amp;amp;gt;&amp;amp;lt;IsSubquery&amp;amp;gt;False&amp;amp;lt;/IsSubquery&amp;amp;gt;&amp;amp;lt;SubqueryTemplateName /&amp;amp;gt;&amp;amp;lt;/RHSItem&amp;amp;gt;&amp;amp;lt;RHSItem&amp;amp;gt;&amp;amp;lt;R'"</definedName>
    <definedName name="_AMO_ContentDefinition_485496469.784" hidden="1">"'HSType&amp;amp;gt;EXPRESSION&amp;amp;lt;/RHSType&amp;amp;gt;&amp;amp;lt;AddQuotes&amp;amp;gt;True&amp;amp;lt;/AddQuotes&amp;amp;gt;&amp;amp;lt;DateFormat&amp;amp;gt;None&amp;amp;lt;/DateFormat&amp;amp;gt;&amp;amp;lt;RightHandSideExpression&amp;amp;gt;MFPR01006563&amp;amp;lt;/RightHandSideExpression&amp;amp;gt;'"</definedName>
    <definedName name="_AMO_ContentDefinition_485496469.785"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786" hidden="1">"';gt;&amp;amp;lt;DateFormat&amp;amp;gt;None&amp;amp;lt;/DateFormat&amp;amp;gt;&amp;amp;lt;RightHandSideExpression&amp;amp;gt;MFPR01006564&amp;amp;lt;/RightHandSideExpression&amp;amp;gt;&amp;amp;lt;IsSubquery&amp;amp;gt;False&amp;amp;lt;/IsSubquery&amp;amp;gt;&amp;amp;lt;SubqueryTemplateName /&amp;amp;gt;&amp;am'"</definedName>
    <definedName name="_AMO_ContentDefinition_485496469.787" hidden="1">"'p;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788" hidden="1">"';MFPR01006565&amp;amp;lt;/RightHandSideExpression&amp;amp;gt;&amp;amp;lt;IsSubquery&amp;amp;gt;False&amp;amp;lt;/IsSubquery&amp;amp;gt;&amp;amp;lt;SubqueryTemplateName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485496469.789" hidden="1">"'t;&amp;amp;lt;AddQuotes&amp;amp;gt;True&amp;amp;lt;/AddQuotes&amp;amp;gt;&amp;amp;lt;DateFormat&amp;amp;gt;None&amp;amp;lt;/DateFormat&amp;amp;gt;&amp;amp;lt;RightHandSideExpression&amp;amp;gt;MFPR01006566&amp;amp;lt;/RightHandSideExpression&amp;amp;gt;&amp;amp;lt;IsSubquery&amp;amp;gt;False&amp;amp;lt;/IsSubq'"</definedName>
    <definedName name="_AMO_ContentDefinition_485496469.79" hidden="1">"'054',&amp;#xD;&amp;#xA;'MFPR01007055',&amp;#xD;&amp;#xA;'MFPR01007056',&amp;#xD;&amp;#xA;'MFPR01007057',&amp;#xD;&amp;#xA;'MFPR01007058',&amp;#xD;&amp;#xA;'MFPR01007059',&amp;#xD;&amp;#xA;'MFPR01007060',&amp;#xD;&amp;#xA;'MFPR01007061',&amp;#xD;&amp;#xA;'MFPR01007062',&amp;#xD;&amp;#xA;'MFPR01007063',&amp;#xD;&amp;#xA;'MFPR010070'"</definedName>
    <definedName name="_AMO_ContentDefinition_485496469.790"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485496469.791" hidden="1">"'eFormat&amp;amp;gt;&amp;amp;lt;RightHandSideExpression&amp;amp;gt;MFPR01006567&amp;amp;lt;/RightHandSideExpression&amp;amp;gt;&amp;amp;lt;IsSubquery&amp;amp;gt;False&amp;amp;lt;/IsSubquery&amp;amp;gt;&amp;amp;lt;SubqueryTemplateName /&amp;amp;gt;&amp;amp;lt;/RHSItem&amp;amp;gt;&amp;amp;lt;RHSItem&amp;amp;gt;&amp;a'"</definedName>
    <definedName name="_AMO_ContentDefinition_485496469.792" hidden="1">"'mp;lt;RHSType&amp;amp;gt;EXPRESSION&amp;amp;lt;/RHSType&amp;amp;gt;&amp;amp;lt;AddQuotes&amp;amp;gt;True&amp;amp;lt;/AddQuotes&amp;amp;gt;&amp;amp;lt;DateFormat&amp;amp;gt;None&amp;amp;lt;/DateFormat&amp;amp;gt;&amp;amp;lt;RightHandSideExpression&amp;amp;gt;MFPR01006568&amp;amp;lt;/RightHandSideExpression&amp;'"</definedName>
    <definedName name="_AMO_ContentDefinition_485496469.793"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485496469.794" hidden="1">"'tes&amp;amp;gt;&amp;amp;lt;DateFormat&amp;amp;gt;None&amp;amp;lt;/DateFormat&amp;amp;gt;&amp;amp;lt;RightHandSideExpression&amp;amp;gt;MFPR01006569&amp;amp;lt;/RightHandSideExpression&amp;amp;gt;&amp;amp;lt;IsSubquery&amp;amp;gt;False&amp;amp;lt;/IsSubquery&amp;amp;gt;&amp;amp;lt;SubqueryTemplateName /&amp;amp'"</definedName>
    <definedName name="_AMO_ContentDefinition_485496469.795"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485496469.796" hidden="1">"'&amp;amp;gt;MFPR01006570&amp;amp;lt;/RightHandSideExpression&amp;amp;gt;&amp;amp;lt;IsSubquery&amp;amp;gt;False&amp;amp;lt;/IsSubquery&amp;amp;gt;&amp;amp;lt;SubqueryTemplateName /&amp;amp;gt;&amp;amp;lt;/RHSItem&amp;amp;gt;&amp;amp;lt;RHSItem&amp;amp;gt;&amp;amp;lt;RHSType&amp;amp;gt;EXPRESSION&amp;amp;lt;/RHSTyp'"</definedName>
    <definedName name="_AMO_ContentDefinition_485496469.797" hidden="1">"'e&amp;amp;gt;&amp;amp;lt;AddQuotes&amp;amp;gt;True&amp;amp;lt;/AddQuotes&amp;amp;gt;&amp;amp;lt;DateFormat&amp;amp;gt;None&amp;amp;lt;/DateFormat&amp;amp;gt;&amp;amp;lt;RightHandSideExpression&amp;amp;gt;MFPR01006571&amp;amp;lt;/RightHandSideExpression&amp;amp;gt;&amp;amp;lt;IsSubquery&amp;amp;gt;False&amp;amp;lt;'"</definedName>
    <definedName name="_AMO_ContentDefinition_485496469.798"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485496469.799" hidden="1">"'lt;/DateFormat&amp;amp;gt;&amp;amp;lt;RightHandSideExpression&amp;amp;gt;MFPR01006572&amp;amp;lt;/RightHandSideExpression&amp;amp;gt;&amp;amp;lt;IsSubquery&amp;amp;gt;False&amp;amp;lt;/IsSubquery&amp;amp;gt;&amp;amp;lt;SubqueryTemplateName /&amp;amp;gt;&amp;amp;lt;/RHSItem&amp;amp;gt;&amp;amp;lt;RHSItem&amp;am'"</definedName>
    <definedName name="_AMO_ContentDefinition_485496469.8" hidden="1">"',&amp;#xD;&amp;#xA;'MFMSUP000028',&amp;#xD;&amp;#xA;'MFMSUP000029',&amp;#xD;&amp;#xA;'MFMSUP000030',&amp;#xD;&amp;#xA;'MFMSUP000031',&amp;#xD;&amp;#xA;'MFMSUP000032',&amp;#xD;&amp;#xA;'MFMSUP000033',&amp;#xD;&amp;#xA;'MFMSUP000034',&amp;#xD;&amp;#xA;'MFMSUP000035',&amp;#xD;&amp;#xA;'MFMSUP000036',&amp;#xD;&amp;#xA;'MFMSUP000037','"</definedName>
    <definedName name="_AMO_ContentDefinition_485496469.80" hidden="1">"'64',&amp;#xD;&amp;#xA;'MFPR01007065',&amp;#xD;&amp;#xA;'MFPR01007066',&amp;#xD;&amp;#xA;'MFPR01007067',&amp;#xD;&amp;#xA;'MFPR01007068',&amp;#xD;&amp;#xA;'MFPR01007069',&amp;#xD;&amp;#xA;'MFPR01007070',&amp;#xD;&amp;#xA;'MFPR01007071',&amp;#xD;&amp;#xA;'MFPR01007072',&amp;#xD;&amp;#xA;'MFPR01007073',&amp;#xD;&amp;#xA;'MFPR0100707'"</definedName>
    <definedName name="_AMO_ContentDefinition_485496469.800" hidden="1">"'p;gt;&amp;amp;lt;RHSType&amp;amp;gt;EXPRESSION&amp;amp;lt;/RHSType&amp;amp;gt;&amp;amp;lt;AddQuotes&amp;amp;gt;True&amp;amp;lt;/AddQuotes&amp;amp;gt;&amp;amp;lt;DateFormat&amp;amp;gt;None&amp;amp;lt;/DateFormat&amp;amp;gt;&amp;amp;lt;RightHandSideExpression&amp;amp;gt;MFPR01006573&amp;amp;lt;/RightHandSideExpr'"</definedName>
    <definedName name="_AMO_ContentDefinition_485496469.801"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802" hidden="1">"'/AddQuotes&amp;amp;gt;&amp;amp;lt;DateFormat&amp;amp;gt;None&amp;amp;lt;/DateFormat&amp;amp;gt;&amp;amp;lt;RightHandSideExpression&amp;amp;gt;MFPR01006574&amp;amp;lt;/RightHandSideExpression&amp;amp;gt;&amp;amp;lt;IsSubquery&amp;amp;gt;False&amp;amp;lt;/IsSubquery&amp;amp;gt;&amp;amp;lt;SubqueryTemplateNam'"</definedName>
    <definedName name="_AMO_ContentDefinition_485496469.803"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485496469.804" hidden="1">"'ression&amp;amp;gt;MFPR01006575&amp;amp;lt;/RightHandSideExpression&amp;amp;gt;&amp;amp;lt;IsSubquery&amp;amp;gt;False&amp;amp;lt;/IsSubquery&amp;amp;gt;&amp;amp;lt;SubqueryTemplateName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805" hidden="1">"'/RHSType&amp;amp;gt;&amp;amp;lt;AddQuotes&amp;amp;gt;True&amp;amp;lt;/AddQuotes&amp;amp;gt;&amp;amp;lt;DateFormat&amp;amp;gt;None&amp;amp;lt;/DateFormat&amp;amp;gt;&amp;amp;lt;RightHandSideExpression&amp;amp;gt;MFPR01006576&amp;amp;lt;/RightHandSideExpression&amp;amp;gt;&amp;amp;lt;IsSubquery&amp;amp;gt;False&amp;'"</definedName>
    <definedName name="_AMO_ContentDefinition_485496469.806"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485496469.807" hidden="1">"'ne&amp;amp;lt;/DateFormat&amp;amp;gt;&amp;amp;lt;RightHandSideExpression&amp;amp;gt;MFPR01006577&amp;amp;lt;/RightHandSideExpression&amp;amp;gt;&amp;amp;lt;IsSubquery&amp;amp;gt;False&amp;amp;lt;/IsSubquery&amp;amp;gt;&amp;amp;lt;SubqueryTemplateName /&amp;amp;gt;&amp;amp;lt;/RHSItem&amp;amp;gt;&amp;amp;lt;RHS'"</definedName>
    <definedName name="_AMO_ContentDefinition_485496469.808" hidden="1">"'Item&amp;amp;gt;&amp;amp;lt;RHSType&amp;amp;gt;EXPRESSION&amp;amp;lt;/RHSType&amp;amp;gt;&amp;amp;lt;AddQuotes&amp;amp;gt;True&amp;amp;lt;/AddQuotes&amp;amp;gt;&amp;amp;lt;DateFormat&amp;amp;gt;None&amp;amp;lt;/DateFormat&amp;amp;gt;&amp;amp;lt;RightHandSideExpression&amp;amp;gt;MFPR01006578&amp;amp;lt;/RightHandS'"</definedName>
    <definedName name="_AMO_ContentDefinition_485496469.809"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485496469.81" hidden="1">"'4',&amp;#xD;&amp;#xA;'MFPR01007075',&amp;#xD;&amp;#xA;'MFPR01007076',&amp;#xD;&amp;#xA;'MFPR01007077',&amp;#xD;&amp;#xA;'MFPR01007078',&amp;#xD;&amp;#xA;'MFPR01007079',&amp;#xD;&amp;#xA;'MFPR01007080',&amp;#xD;&amp;#xA;'MFPR01007081',&amp;#xD;&amp;#xA;'MFPR01007082',&amp;#xD;&amp;#xA;'MFPR01007083',&amp;#xD;&amp;#xA;'MFPR01007084'"</definedName>
    <definedName name="_AMO_ContentDefinition_485496469.810" hidden="1">"'amp;lt;/AddQuotes&amp;amp;gt;&amp;amp;lt;DateFormat&amp;amp;gt;None&amp;amp;lt;/DateFormat&amp;amp;gt;&amp;amp;lt;RightHandSideExpression&amp;amp;gt;MFPR01006579&amp;amp;lt;/RightHandSideExpression&amp;amp;gt;&amp;amp;lt;IsSubquery&amp;amp;gt;False&amp;amp;lt;/IsSubquery&amp;amp;gt;&amp;amp;lt;SubqueryTemp'"</definedName>
    <definedName name="_AMO_ContentDefinition_485496469.811"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485496469.812" hidden="1">"'SideExpression&amp;amp;gt;MFPR01006580&amp;amp;lt;/RightHandSideExpression&amp;amp;gt;&amp;amp;lt;IsSubquery&amp;amp;gt;False&amp;amp;lt;/IsSubquery&amp;amp;gt;&amp;amp;lt;SubqueryTemplateName /&amp;amp;gt;&amp;amp;lt;/RHSItem&amp;amp;gt;&amp;amp;lt;RHSItem&amp;amp;gt;&amp;amp;lt;RHSType&amp;amp;gt;EXPRESSION&amp;'"</definedName>
    <definedName name="_AMO_ContentDefinition_485496469.813" hidden="1">"'amp;lt;/RHSType&amp;amp;gt;&amp;amp;lt;AddQuotes&amp;amp;gt;True&amp;amp;lt;/AddQuotes&amp;amp;gt;&amp;amp;lt;DateFormat&amp;amp;gt;None&amp;amp;lt;/DateFormat&amp;amp;gt;&amp;amp;lt;RightHandSideExpression&amp;amp;gt;MFPR01006581&amp;amp;lt;/RightHandSideExpression&amp;amp;gt;&amp;amp;lt;IsSubquery&amp;amp;gt'"</definedName>
    <definedName name="_AMO_ContentDefinition_485496469.814"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485496469.815" hidden="1">"'p;gt;None&amp;amp;lt;/DateFormat&amp;amp;gt;&amp;amp;lt;RightHandSideExpression&amp;amp;gt;MFPR01006582&amp;amp;lt;/RightHandSideExpression&amp;amp;gt;&amp;amp;lt;IsSubquery&amp;amp;gt;False&amp;amp;lt;/IsSubquery&amp;amp;gt;&amp;amp;lt;SubqueryTemplateName /&amp;amp;gt;&amp;amp;lt;/RHSItem&amp;amp;gt;&amp;amp'"</definedName>
    <definedName name="_AMO_ContentDefinition_485496469.816" hidden="1">"';lt;RHSItem&amp;amp;gt;&amp;amp;lt;RHSType&amp;amp;gt;EXPRESSION&amp;amp;lt;/RHSType&amp;amp;gt;&amp;amp;lt;AddQuotes&amp;amp;gt;True&amp;amp;lt;/AddQuotes&amp;amp;gt;&amp;amp;lt;DateFormat&amp;amp;gt;None&amp;amp;lt;/DateFormat&amp;amp;gt;&amp;amp;lt;RightHandSideExpression&amp;amp;gt;MFPR01006583&amp;amp;lt;/Rig'"</definedName>
    <definedName name="_AMO_ContentDefinition_485496469.817"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485496469.818" hidden="1">"'t;True&amp;amp;lt;/AddQuotes&amp;amp;gt;&amp;amp;lt;DateFormat&amp;amp;gt;None&amp;amp;lt;/DateFormat&amp;amp;gt;&amp;amp;lt;RightHandSideExpression&amp;amp;gt;MFPR01006584&amp;amp;lt;/RightHandSideExpression&amp;amp;gt;&amp;amp;lt;IsSubquery&amp;amp;gt;False&amp;amp;lt;/IsSubquery&amp;amp;gt;&amp;amp;lt;Subqu'"</definedName>
    <definedName name="_AMO_ContentDefinition_485496469.819"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485496469.82" hidden="1">"'',&amp;#xD;&amp;#xA;'MFPR01007085',&amp;#xD;&amp;#xA;'MFPR01007086',&amp;#xD;&amp;#xA;'MFPR01007087',&amp;#xD;&amp;#xA;'MFPR01007088',&amp;#xD;&amp;#xA;'MFPR01007089',&amp;#xD;&amp;#xA;'MFPR01007090',&amp;#xD;&amp;#xA;'MFPR01007091',&amp;#xD;&amp;#xA;'MFPR01007092',&amp;#xD;&amp;#xA;'MFPR01007093',&amp;#xD;&amp;#xA;'MFPR01007094''"</definedName>
    <definedName name="_AMO_ContentDefinition_485496469.820" hidden="1">"'ghtHandSideExpression&amp;amp;gt;MFPR01006585&amp;amp;lt;/RightHandSideExpression&amp;amp;gt;&amp;amp;lt;IsSubquery&amp;amp;gt;False&amp;amp;lt;/IsSubquery&amp;amp;gt;&amp;amp;lt;SubqueryTemplateName /&amp;amp;gt;&amp;amp;lt;/RHSItem&amp;amp;gt;&amp;amp;lt;RHSItem&amp;amp;gt;&amp;amp;lt;RHSType&amp;amp;gt;EXPR'"</definedName>
    <definedName name="_AMO_ContentDefinition_485496469.821" hidden="1">"'ESSION&amp;amp;lt;/RHSType&amp;amp;gt;&amp;amp;lt;AddQuotes&amp;amp;gt;True&amp;amp;lt;/AddQuotes&amp;amp;gt;&amp;amp;lt;DateFormat&amp;amp;gt;None&amp;amp;lt;/DateFormat&amp;amp;gt;&amp;amp;lt;RightHandSideExpression&amp;amp;gt;MFPR01006586&amp;amp;lt;/RightHandSideExpression&amp;amp;gt;&amp;amp;lt;IsSubquery'"</definedName>
    <definedName name="_AMO_ContentDefinition_485496469.822"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485496469.823" hidden="1">"'rmat&amp;amp;gt;None&amp;amp;lt;/DateFormat&amp;amp;gt;&amp;amp;lt;RightHandSideExpression&amp;amp;gt;MFPR01006587&amp;amp;lt;/RightHandSideExpression&amp;amp;gt;&amp;amp;lt;IsSubquery&amp;amp;gt;False&amp;amp;lt;/IsSubquery&amp;amp;gt;&amp;amp;lt;SubqueryTemplateName /&amp;amp;gt;&amp;amp;lt;/RHSItem&amp;amp;'"</definedName>
    <definedName name="_AMO_ContentDefinition_485496469.824" hidden="1">"'gt;&amp;amp;lt;RHSItem&amp;amp;gt;&amp;amp;lt;RHSType&amp;amp;gt;EXPRESSION&amp;amp;lt;/RHSType&amp;amp;gt;&amp;amp;lt;AddQuotes&amp;amp;gt;True&amp;amp;lt;/AddQuotes&amp;amp;gt;&amp;amp;lt;DateFormat&amp;amp;gt;None&amp;amp;lt;/DateFormat&amp;amp;gt;&amp;amp;lt;RightHandSideExpression&amp;amp;gt;MFPR01006588&amp;amp;'"</definedName>
    <definedName name="_AMO_ContentDefinition_485496469.825"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485496469.826" hidden="1">"'s&amp;amp;gt;True&amp;amp;lt;/AddQuotes&amp;amp;gt;&amp;amp;lt;DateFormat&amp;amp;gt;None&amp;amp;lt;/DateFormat&amp;amp;gt;&amp;amp;lt;RightHandSideExpression&amp;amp;gt;MFPR01006589&amp;amp;lt;/RightHandSideExpression&amp;amp;gt;&amp;amp;lt;IsSubquery&amp;amp;gt;False&amp;amp;lt;/IsSubquery&amp;amp;gt;&amp;amp;l'"</definedName>
    <definedName name="_AMO_ContentDefinition_485496469.827"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485496469.828" hidden="1">"'p;lt;RightHandSideExpression&amp;amp;gt;MFPR01006590&amp;amp;lt;/RightHandSideExpression&amp;amp;gt;&amp;amp;lt;IsSubquery&amp;amp;gt;False&amp;amp;lt;/IsSubquery&amp;amp;gt;&amp;amp;lt;SubqueryTemplateName /&amp;amp;gt;&amp;amp;lt;/RHSItem&amp;amp;gt;&amp;amp;lt;RHSItem&amp;amp;gt;&amp;amp;lt;RHSType&amp;amp;'"</definedName>
    <definedName name="_AMO_ContentDefinition_485496469.829" hidden="1">"'gt;EXPRESSION&amp;amp;lt;/RHSType&amp;amp;gt;&amp;amp;lt;AddQuotes&amp;amp;gt;True&amp;amp;lt;/AddQuotes&amp;amp;gt;&amp;amp;lt;DateFormat&amp;amp;gt;None&amp;amp;lt;/DateFormat&amp;amp;gt;&amp;amp;lt;RightHandSideExpression&amp;amp;gt;MFPR01006591&amp;amp;lt;/RightHandSideExpression&amp;amp;gt;&amp;amp;lt;IsS'"</definedName>
    <definedName name="_AMO_ContentDefinition_485496469.83" hidden="1">"',&amp;#xD;&amp;#xA;'MFPR01007095',&amp;#xD;&amp;#xA;'MFPR01007096',&amp;#xD;&amp;#xA;'MFPR01007097',&amp;#xD;&amp;#xA;'MFPR01007098',&amp;#xD;&amp;#xA;'MFPR01007099',&amp;#xD;&amp;#xA;'MFPR01007100',&amp;#xD;&amp;#xA;'MFPR01007101',&amp;#xD;&amp;#xA;'MFPR01007102',&amp;#xD;&amp;#xA;'MFPR01007103',&amp;#xD;&amp;#xA;'MFPR01007104','"</definedName>
    <definedName name="_AMO_ContentDefinition_485496469.830"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831" hidden="1">"';DateFormat&amp;amp;gt;None&amp;amp;lt;/DateFormat&amp;amp;gt;&amp;amp;lt;RightHandSideExpression&amp;amp;gt;MFPR01006592&amp;amp;lt;/RightHandSideExpression&amp;amp;gt;&amp;amp;lt;IsSubquery&amp;amp;gt;False&amp;amp;lt;/IsSubquery&amp;amp;gt;&amp;amp;lt;SubqueryTemplateName /&amp;amp;gt;&amp;amp;lt;/RHSIt'"</definedName>
    <definedName name="_AMO_ContentDefinition_485496469.832" hidden="1">"'em&amp;amp;gt;&amp;amp;lt;RHSItem&amp;amp;gt;&amp;amp;lt;RHSType&amp;amp;gt;EXPRESSION&amp;amp;lt;/RHSType&amp;amp;gt;&amp;amp;lt;AddQuotes&amp;amp;gt;True&amp;amp;lt;/AddQuotes&amp;amp;gt;&amp;amp;lt;DateFormat&amp;amp;gt;None&amp;amp;lt;/DateFormat&amp;amp;gt;&amp;amp;lt;RightHandSideExpression&amp;amp;gt;MFPR010065'"</definedName>
    <definedName name="_AMO_ContentDefinition_485496469.833" hidden="1">"'93&amp;amp;lt;/RightHandSideExpression&amp;amp;gt;&amp;amp;lt;IsSubquery&amp;amp;gt;False&amp;amp;lt;/IsSubquery&amp;amp;gt;&amp;amp;lt;SubqueryTemplateName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485496469.834" hidden="1">"'ddQuotes&amp;amp;gt;True&amp;amp;lt;/AddQuotes&amp;amp;gt;&amp;amp;lt;DateFormat&amp;amp;gt;None&amp;amp;lt;/DateFormat&amp;amp;gt;&amp;amp;lt;RightHandSideExpression&amp;amp;gt;MFPR01006594&amp;amp;lt;/RightHandSideExpression&amp;amp;gt;&amp;amp;lt;IsSubquery&amp;amp;gt;False&amp;amp;lt;/IsSubquery&amp;amp;gt'"</definedName>
    <definedName name="_AMO_ContentDefinition_485496469.835"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836" hidden="1">"';gt;&amp;amp;lt;RightHandSideExpression&amp;amp;gt;MFPR01006595&amp;amp;lt;/RightHandSideExpression&amp;amp;gt;&amp;amp;lt;IsSubquery&amp;amp;gt;False&amp;amp;lt;/IsSubquery&amp;amp;gt;&amp;amp;lt;SubqueryTemplateName /&amp;amp;gt;&amp;amp;lt;/RHSItem&amp;amp;gt;&amp;amp;lt;RHSItem&amp;amp;gt;&amp;amp;lt;RHSTy'"</definedName>
    <definedName name="_AMO_ContentDefinition_485496469.837" hidden="1">"'pe&amp;amp;gt;EXPRESSION&amp;amp;lt;/RHSType&amp;amp;gt;&amp;amp;lt;AddQuotes&amp;amp;gt;True&amp;amp;lt;/AddQuotes&amp;amp;gt;&amp;amp;lt;DateFormat&amp;amp;gt;None&amp;amp;lt;/DateFormat&amp;amp;gt;&amp;amp;lt;RightHandSideExpression&amp;amp;gt;MFPR01006596&amp;amp;lt;/RightHandSideExpression&amp;amp;gt;&amp;amp'"</definedName>
    <definedName name="_AMO_ContentDefinition_485496469.838"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485496469.839" hidden="1">"'&amp;amp;lt;DateFormat&amp;amp;gt;None&amp;amp;lt;/DateFormat&amp;amp;gt;&amp;amp;lt;RightHandSideExpression&amp;amp;gt;MFPR01006597&amp;amp;lt;/RightHandSideExpression&amp;amp;gt;&amp;amp;lt;IsSubquery&amp;amp;gt;False&amp;amp;lt;/IsSubquery&amp;amp;gt;&amp;amp;lt;SubqueryTemplateName /&amp;amp;gt;&amp;amp;lt'"</definedName>
    <definedName name="_AMO_ContentDefinition_485496469.84" hidden="1">"'&amp;#xD;&amp;#xA;'MFPR01007105',&amp;#xD;&amp;#xA;'MFPR01007106',&amp;#xD;&amp;#xA;'MFPR01007107',&amp;#xD;&amp;#xA;'MFPR01007108',&amp;#xD;&amp;#xA;'MFPR01007109',&amp;#xD;&amp;#xA;'MFPR01007110',&amp;#xD;&amp;#xA;'MFPR01007111',&amp;#xD;&amp;#xA;'MFPR01007112',&amp;#xD;&amp;#xA;'MFPR01007113',&amp;#xD;&amp;#xA;'MFPR01007114',&amp;'"</definedName>
    <definedName name="_AMO_ContentDefinition_485496469.840" hidden="1">"';/RHSItem&amp;amp;gt;&amp;amp;lt;RHSItem&amp;amp;gt;&amp;amp;lt;RHSType&amp;amp;gt;EXPRESSION&amp;amp;lt;/RHSType&amp;amp;gt;&amp;amp;lt;AddQuotes&amp;amp;gt;True&amp;amp;lt;/AddQuotes&amp;amp;gt;&amp;amp;lt;DateFormat&amp;amp;gt;None&amp;amp;lt;/DateFormat&amp;amp;gt;&amp;amp;lt;RightHandSideExpression&amp;amp;gt;MFP'"</definedName>
    <definedName name="_AMO_ContentDefinition_485496469.841" hidden="1">"'R01006598&amp;amp;lt;/RightHandSideExpression&amp;amp;gt;&amp;amp;lt;IsSubquery&amp;amp;gt;False&amp;amp;lt;/IsSubquery&amp;amp;gt;&amp;amp;lt;SubqueryTemplateName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485496469.842" hidden="1">"'mp;lt;AddQuotes&amp;amp;gt;True&amp;amp;lt;/AddQuotes&amp;amp;gt;&amp;amp;lt;DateFormat&amp;amp;gt;None&amp;amp;lt;/DateFormat&amp;amp;gt;&amp;amp;lt;RightHandSideExpression&amp;amp;gt;MFPR01006599&amp;amp;lt;/RightHandSideExpression&amp;amp;gt;&amp;amp;lt;IsSubquery&amp;amp;gt;False&amp;amp;lt;/IsSubquery'"</definedName>
    <definedName name="_AMO_ContentDefinition_485496469.843"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485496469.844" hidden="1">"'mat&amp;amp;gt;&amp;amp;lt;RightHandSideExpression&amp;amp;gt;MFPR01006600&amp;amp;lt;/RightHandSideExpression&amp;amp;gt;&amp;amp;lt;IsSubquery&amp;amp;gt;False&amp;amp;lt;/IsSubquery&amp;amp;gt;&amp;amp;lt;SubqueryTemplateName /&amp;amp;gt;&amp;amp;lt;/RHSItem&amp;amp;gt;&amp;amp;lt;RHSItem&amp;amp;gt;&amp;amp;l'"</definedName>
    <definedName name="_AMO_ContentDefinition_485496469.845" hidden="1">"'t;RHSType&amp;amp;gt;EXPRESSION&amp;amp;lt;/RHSType&amp;amp;gt;&amp;amp;lt;AddQuotes&amp;amp;gt;True&amp;amp;lt;/AddQuotes&amp;amp;gt;&amp;amp;lt;DateFormat&amp;amp;gt;None&amp;amp;lt;/DateFormat&amp;amp;gt;&amp;amp;lt;RightHandSideExpression&amp;amp;gt;MFPR01006601&amp;amp;lt;/RightHandSideExpression&amp;amp;'"</definedName>
    <definedName name="_AMO_ContentDefinition_485496469.846"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485496469.847" hidden="1">"'amp;gt;&amp;amp;lt;DateFormat&amp;amp;gt;None&amp;amp;lt;/DateFormat&amp;amp;gt;&amp;amp;lt;RightHandSideExpression&amp;amp;gt;MFPR01006602&amp;amp;lt;/RightHandSideExpression&amp;amp;gt;&amp;amp;lt;IsSubquery&amp;amp;gt;False&amp;amp;lt;/IsSubquery&amp;amp;gt;&amp;amp;lt;SubqueryTemplateName /&amp;amp;gt;'"</definedName>
    <definedName name="_AMO_ContentDefinition_485496469.848" hidden="1">"'&amp;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849" hidden="1">"';gt;MFPR01006603&amp;amp;lt;/RightHandSideExpression&amp;amp;gt;&amp;amp;lt;IsSubquery&amp;amp;gt;False&amp;amp;lt;/IsSubquery&amp;amp;gt;&amp;amp;lt;SubqueryTemplateName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485496469.85" hidden="1">"'#xD;&amp;#xA;'MFPR01007115',&amp;#xD;&amp;#xA;'MFPR01007116',&amp;#xD;&amp;#xA;'MFPR01007117',&amp;#xD;&amp;#xA;'MFPR01007118',&amp;#xD;&amp;#xA;'MFPR01007119',&amp;#xD;&amp;#xA;'MFPR01007120',&amp;#xD;&amp;#xA;'MFPR01007121',&amp;#xD;&amp;#xA;'MFPR01007122',&amp;#xD;&amp;#xA;'MFPR01007123',&amp;#xD;&amp;#xA;'MFPR01007124',&amp;#'"</definedName>
    <definedName name="_AMO_ContentDefinition_485496469.850" hidden="1">"'p;gt;&amp;amp;lt;AddQuotes&amp;amp;gt;True&amp;amp;lt;/AddQuotes&amp;amp;gt;&amp;amp;lt;DateFormat&amp;amp;gt;None&amp;amp;lt;/DateFormat&amp;amp;gt;&amp;amp;lt;RightHandSideExpression&amp;amp;gt;MFPR01006604&amp;amp;lt;/RightHandSideExpression&amp;amp;gt;&amp;amp;lt;IsSubquery&amp;amp;gt;False&amp;amp;lt;/IsS'"</definedName>
    <definedName name="_AMO_ContentDefinition_485496469.851"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485496469.852" hidden="1">"'DateFormat&amp;amp;gt;&amp;amp;lt;RightHandSideExpression&amp;amp;gt;MFPR01006605&amp;amp;lt;/RightHandSideExpression&amp;amp;gt;&amp;amp;lt;IsSubquery&amp;amp;gt;False&amp;amp;lt;/IsSubquery&amp;amp;gt;&amp;amp;lt;SubqueryTemplateName /&amp;amp;gt;&amp;amp;lt;/RHSItem&amp;amp;gt;&amp;amp;lt;RHSItem&amp;amp;gt'"</definedName>
    <definedName name="_AMO_ContentDefinition_485496469.853" hidden="1">"';&amp;amp;lt;RHSType&amp;amp;gt;EXPRESSION&amp;amp;lt;/RHSType&amp;amp;gt;&amp;amp;lt;AddQuotes&amp;amp;gt;True&amp;amp;lt;/AddQuotes&amp;amp;gt;&amp;amp;lt;DateFormat&amp;amp;gt;None&amp;amp;lt;/DateFormat&amp;amp;gt;&amp;amp;lt;RightHandSideExpression&amp;amp;gt;MFPR01006606&amp;amp;lt;/RightHandSideExpressi'"</definedName>
    <definedName name="_AMO_ContentDefinition_485496469.854"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485496469.855" hidden="1">"'Quotes&amp;amp;gt;&amp;amp;lt;DateFormat&amp;amp;gt;None&amp;amp;lt;/DateFormat&amp;amp;gt;&amp;amp;lt;RightHandSideExpression&amp;amp;gt;MFPR01006607&amp;amp;lt;/RightHandSideExpression&amp;amp;gt;&amp;amp;lt;IsSubquery&amp;amp;gt;False&amp;amp;lt;/IsSubquery&amp;amp;gt;&amp;amp;lt;SubqueryTemplateName /&amp;'"</definedName>
    <definedName name="_AMO_ContentDefinition_485496469.856"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485496469.857" hidden="1">"'ion&amp;amp;gt;MFPR01006608&amp;amp;lt;/RightHandSideExpression&amp;amp;gt;&amp;amp;lt;IsSubquery&amp;amp;gt;False&amp;amp;lt;/IsSubquery&amp;amp;gt;&amp;amp;lt;SubqueryTemplateName /&amp;amp;gt;&amp;amp;lt;/RHSItem&amp;amp;gt;&amp;amp;lt;RHSItem&amp;amp;gt;&amp;amp;lt;RHSType&amp;amp;gt;EXPRESSION&amp;amp;lt;/RHS'"</definedName>
    <definedName name="_AMO_ContentDefinition_485496469.858" hidden="1">"'Type&amp;amp;gt;&amp;amp;lt;AddQuotes&amp;amp;gt;True&amp;amp;lt;/AddQuotes&amp;amp;gt;&amp;amp;lt;DateFormat&amp;amp;gt;None&amp;amp;lt;/DateFormat&amp;amp;gt;&amp;amp;lt;RightHandSideExpression&amp;amp;gt;MFPR01006609&amp;amp;lt;/RightHandSideExpression&amp;amp;gt;&amp;amp;lt;IsSubquery&amp;amp;gt;False&amp;amp;'"</definedName>
    <definedName name="_AMO_ContentDefinition_485496469.859"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485496469.86" hidden="1">"'xD;&amp;#xA;'MFPR01007125',&amp;#xD;&amp;#xA;'MFPR01007126',&amp;#xD;&amp;#xA;'MFPR01007127',&amp;#xD;&amp;#xA;'MFPR01007128',&amp;#xD;&amp;#xA;'MFPR01007129',&amp;#xD;&amp;#xA;'MFPR01007130',&amp;#xD;&amp;#xA;'MFPR01007131',&amp;#xD;&amp;#xA;'MFPR01007132',&amp;#xD;&amp;#xA;'MFPR01007133',&amp;#xD;&amp;#xA;'MFPR01007134',&amp;#x'"</definedName>
    <definedName name="_AMO_ContentDefinition_485496469.860" hidden="1">"'mp;lt;/DateFormat&amp;amp;gt;&amp;amp;lt;RightHandSideExpression&amp;amp;gt;MFPR01006610&amp;amp;lt;/RightHandSideExpression&amp;amp;gt;&amp;amp;lt;IsSubquery&amp;amp;gt;False&amp;amp;lt;/IsSubquery&amp;amp;gt;&amp;amp;lt;SubqueryTemplateName /&amp;amp;gt;&amp;amp;lt;/RHSItem&amp;amp;gt;&amp;amp;lt;RHSItem'"</definedName>
    <definedName name="_AMO_ContentDefinition_485496469.861" hidden="1">"'&amp;amp;gt;&amp;amp;lt;RHSType&amp;amp;gt;EXPRESSION&amp;amp;lt;/RHSType&amp;amp;gt;&amp;amp;lt;AddQuotes&amp;amp;gt;True&amp;amp;lt;/AddQuotes&amp;amp;gt;&amp;amp;lt;DateFormat&amp;amp;gt;None&amp;amp;lt;/DateFormat&amp;amp;gt;&amp;amp;lt;RightHandSideExpression&amp;amp;gt;MFPR01006611&amp;amp;lt;/RightHandSideE'"</definedName>
    <definedName name="_AMO_ContentDefinition_485496469.862"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485496469.863" hidden="1">"'lt;/AddQuotes&amp;amp;gt;&amp;amp;lt;DateFormat&amp;amp;gt;None&amp;amp;lt;/DateFormat&amp;amp;gt;&amp;amp;lt;RightHandSideExpression&amp;amp;gt;MFPR01006612&amp;amp;lt;/RightHandSideExpression&amp;amp;gt;&amp;amp;lt;IsSubquery&amp;amp;gt;False&amp;amp;lt;/IsSubquery&amp;amp;gt;&amp;amp;lt;SubqueryTemplate'"</definedName>
    <definedName name="_AMO_ContentDefinition_485496469.864"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485496469.865" hidden="1">"'Expression&amp;amp;gt;MFPR01006613&amp;amp;lt;/RightHandSideExpression&amp;amp;gt;&amp;amp;lt;IsSubquery&amp;amp;gt;False&amp;amp;lt;/IsSubquery&amp;amp;gt;&amp;amp;lt;SubqueryTemplateName /&amp;amp;gt;&amp;amp;lt;/RHSItem&amp;amp;gt;&amp;amp;lt;RHSItem&amp;amp;gt;&amp;amp;lt;RHSType&amp;amp;gt;EXPRESSION&amp;amp;'"</definedName>
    <definedName name="_AMO_ContentDefinition_485496469.866" hidden="1">"'lt;/RHSType&amp;amp;gt;&amp;amp;lt;AddQuotes&amp;amp;gt;True&amp;amp;lt;/AddQuotes&amp;amp;gt;&amp;amp;lt;DateFormat&amp;amp;gt;None&amp;amp;lt;/DateFormat&amp;amp;gt;&amp;amp;lt;RightHandSideExpression&amp;amp;gt;MFPR01006614&amp;amp;lt;/RightHandSideExpression&amp;amp;gt;&amp;amp;lt;IsSubquery&amp;amp;gt;Fal'"</definedName>
    <definedName name="_AMO_ContentDefinition_485496469.867"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868" hidden="1">"';None&amp;amp;lt;/DateFormat&amp;amp;gt;&amp;amp;lt;RightHandSideExpression&amp;amp;gt;MFPR01006615&amp;amp;lt;/RightHandSideExpression&amp;amp;gt;&amp;amp;lt;IsSubquery&amp;amp;gt;False&amp;amp;lt;/IsSubquery&amp;amp;gt;&amp;amp;lt;SubqueryTemplateName /&amp;amp;gt;&amp;amp;lt;/RHSItem&amp;amp;gt;&amp;amp;lt;'"</definedName>
    <definedName name="_AMO_ContentDefinition_485496469.869" hidden="1">"'RHSItem&amp;amp;gt;&amp;amp;lt;RHSType&amp;amp;gt;EXPRESSION&amp;amp;lt;/RHSType&amp;amp;gt;&amp;amp;lt;AddQuotes&amp;amp;gt;True&amp;amp;lt;/AddQuotes&amp;amp;gt;&amp;amp;lt;DateFormat&amp;amp;gt;None&amp;amp;lt;/DateFormat&amp;amp;gt;&amp;amp;lt;RightHandSideExpression&amp;amp;gt;MFPR01006616&amp;amp;lt;/RightHa'"</definedName>
    <definedName name="_AMO_ContentDefinition_485496469.87" hidden="1">"'D;&amp;#xA;'MFPR01007135',&amp;#xD;&amp;#xA;'MFPR01007136',&amp;#xD;&amp;#xA;'MFPR01007137',&amp;#xD;&amp;#xA;'MFPR01007138',&amp;#xD;&amp;#xA;'MFPR01007139',&amp;#xD;&amp;#xA;'MFPR01007140',&amp;#xD;&amp;#xA;'MFPR01007141',&amp;#xD;&amp;#xA;'MFPR01007142',&amp;#xD;&amp;#xA;'MFPR01007143',&amp;#xD;&amp;#xA;'MFPR01007144',&amp;#xD'"</definedName>
    <definedName name="_AMO_ContentDefinition_485496469.870"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485496469.871" hidden="1">"'ue&amp;amp;lt;/AddQuotes&amp;amp;gt;&amp;amp;lt;DateFormat&amp;amp;gt;None&amp;amp;lt;/DateFormat&amp;amp;gt;&amp;amp;lt;RightHandSideExpression&amp;amp;gt;MFPR01006617&amp;amp;lt;/RightHandSideExpression&amp;amp;gt;&amp;amp;lt;IsSubquery&amp;amp;gt;False&amp;amp;lt;/IsSubquery&amp;amp;gt;&amp;amp;lt;SubqueryT'"</definedName>
    <definedName name="_AMO_ContentDefinition_485496469.872"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485496469.873" hidden="1">"'andSideExpression&amp;amp;gt;MFPR01006618&amp;amp;lt;/RightHandSideExpression&amp;amp;gt;&amp;amp;lt;IsSubquery&amp;amp;gt;False&amp;amp;lt;/IsSubquery&amp;amp;gt;&amp;amp;lt;SubqueryTemplateName /&amp;amp;gt;&amp;amp;lt;/RHSItem&amp;amp;gt;&amp;amp;lt;RHSItem&amp;amp;gt;&amp;amp;lt;RHSType&amp;amp;gt;EXPRESSI'"</definedName>
    <definedName name="_AMO_ContentDefinition_485496469.874" hidden="1">"'ON&amp;amp;lt;/RHSType&amp;amp;gt;&amp;amp;lt;AddQuotes&amp;amp;gt;True&amp;amp;lt;/AddQuotes&amp;amp;gt;&amp;amp;lt;DateFormat&amp;amp;gt;None&amp;amp;lt;/DateFormat&amp;amp;gt;&amp;amp;lt;RightHandSideExpression&amp;amp;gt;MFPR01006619&amp;amp;lt;/RightHandSideExpression&amp;amp;gt;&amp;amp;lt;IsSubquery&amp;amp'"</definedName>
    <definedName name="_AMO_ContentDefinition_485496469.875"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485496469.876" hidden="1">"'&amp;amp;gt;None&amp;amp;lt;/DateFormat&amp;amp;gt;&amp;amp;lt;RightHandSideExpression&amp;amp;gt;MFPR01006620&amp;amp;lt;/RightHandSideExpression&amp;amp;gt;&amp;amp;lt;IsSubquery&amp;amp;gt;False&amp;amp;lt;/IsSubquery&amp;amp;gt;&amp;amp;lt;SubqueryTemplateName /&amp;amp;gt;&amp;amp;lt;/RHSItem&amp;amp;gt;&amp;'"</definedName>
    <definedName name="_AMO_ContentDefinition_485496469.877" hidden="1">"'amp;lt;RHSItem&amp;amp;gt;&amp;amp;lt;RHSType&amp;amp;gt;EXPRESSION&amp;amp;lt;/RHSType&amp;amp;gt;&amp;amp;lt;AddQuotes&amp;amp;gt;True&amp;amp;lt;/AddQuotes&amp;amp;gt;&amp;amp;lt;DateFormat&amp;amp;gt;None&amp;amp;lt;/DateFormat&amp;amp;gt;&amp;amp;lt;RightHandSideExpression&amp;amp;gt;MFPR01006621&amp;amp;lt;/'"</definedName>
    <definedName name="_AMO_ContentDefinition_485496469.878"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485496469.879" hidden="1">"'p;gt;True&amp;amp;lt;/AddQuotes&amp;amp;gt;&amp;amp;lt;DateFormat&amp;amp;gt;None&amp;amp;lt;/DateFormat&amp;amp;gt;&amp;amp;lt;RightHandSideExpression&amp;amp;gt;MFPR01006622&amp;amp;lt;/RightHandSideExpression&amp;amp;gt;&amp;amp;lt;IsSubquery&amp;amp;gt;False&amp;amp;lt;/IsSubquery&amp;amp;gt;&amp;amp;lt;Su'"</definedName>
    <definedName name="_AMO_ContentDefinition_485496469.88" hidden="1">"';&amp;#xA;'MFPR01007145',&amp;#xD;&amp;#xA;'MFPR01007146',&amp;#xD;&amp;#xA;'MFPR01007147',&amp;#xD;&amp;#xA;'MFPR01007148',&amp;#xD;&amp;#xA;'MFPR01007149',&amp;#xD;&amp;#xA;'MFPR01007150',&amp;#xD;&amp;#xA;'MFPR01007151',&amp;#xD;&amp;#xA;'MFPR01007152',&amp;#xD;&amp;#xA;'MFPR01007153',&amp;#xD;&amp;#xA;'MFPR01007154',&amp;#xD;'"</definedName>
    <definedName name="_AMO_ContentDefinition_485496469.880"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881" hidden="1">"';RightHandSideExpression&amp;amp;gt;MFPR01006623&amp;amp;lt;/RightHandSideExpression&amp;amp;gt;&amp;amp;lt;IsSubquery&amp;amp;gt;False&amp;amp;lt;/IsSubquery&amp;amp;gt;&amp;amp;lt;SubqueryTemplateName /&amp;amp;gt;&amp;amp;lt;/RHSItem&amp;amp;gt;&amp;amp;lt;RHSItem&amp;amp;gt;&amp;amp;lt;RHSType&amp;amp;gt;E'"</definedName>
    <definedName name="_AMO_ContentDefinition_485496469.882" hidden="1">"'XPRESSION&amp;amp;lt;/RHSType&amp;amp;gt;&amp;amp;lt;AddQuotes&amp;amp;gt;True&amp;amp;lt;/AddQuotes&amp;amp;gt;&amp;amp;lt;DateFormat&amp;amp;gt;None&amp;amp;lt;/DateFormat&amp;amp;gt;&amp;amp;lt;RightHandSideExpression&amp;amp;gt;MFPR01006624&amp;amp;lt;/RightHandSideExpression&amp;amp;gt;&amp;amp;lt;IsSubqu'"</definedName>
    <definedName name="_AMO_ContentDefinition_485496469.883"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485496469.884" hidden="1">"'eFormat&amp;amp;gt;None&amp;amp;lt;/DateFormat&amp;amp;gt;&amp;amp;lt;RightHandSideExpression&amp;amp;gt;MFPR01006625&amp;amp;lt;/RightHandSideExpression&amp;amp;gt;&amp;amp;lt;IsSubquery&amp;amp;gt;False&amp;amp;lt;/IsSubquery&amp;amp;gt;&amp;amp;lt;SubqueryTemplateName /&amp;amp;gt;&amp;amp;lt;/RHSItem&amp;a'"</definedName>
    <definedName name="_AMO_ContentDefinition_485496469.885" hidden="1">"'mp;gt;&amp;amp;lt;RHSItem&amp;amp;gt;&amp;amp;lt;RHSType&amp;amp;gt;EXPRESSION&amp;amp;lt;/RHSType&amp;amp;gt;&amp;amp;lt;AddQuotes&amp;amp;gt;True&amp;amp;lt;/AddQuotes&amp;amp;gt;&amp;amp;lt;DateFormat&amp;amp;gt;None&amp;amp;lt;/DateFormat&amp;amp;gt;&amp;amp;lt;RightHandSideExpression&amp;amp;gt;MFPR01006626&amp;a'"</definedName>
    <definedName name="_AMO_ContentDefinition_485496469.886"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485496469.887" hidden="1">"'otes&amp;amp;gt;True&amp;amp;lt;/AddQuotes&amp;amp;gt;&amp;amp;lt;DateFormat&amp;amp;gt;None&amp;amp;lt;/DateFormat&amp;amp;gt;&amp;amp;lt;RightHandSideExpression&amp;amp;gt;MFPR01006627&amp;amp;lt;/RightHandSideExpression&amp;amp;gt;&amp;amp;lt;IsSubquery&amp;amp;gt;False&amp;amp;lt;/IsSubquery&amp;amp;gt;&amp;am'"</definedName>
    <definedName name="_AMO_ContentDefinition_485496469.888"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485496469.889" hidden="1">"'&amp;amp;lt;RightHandSideExpression&amp;amp;gt;MFPR01006628&amp;amp;lt;/RightHandSideExpression&amp;amp;gt;&amp;amp;lt;IsSubquery&amp;amp;gt;False&amp;amp;lt;/IsSubquery&amp;amp;gt;&amp;amp;lt;SubqueryTemplateName /&amp;amp;gt;&amp;amp;lt;/RHSItem&amp;amp;gt;&amp;amp;lt;RHSItem&amp;amp;gt;&amp;amp;lt;RHSType&amp;a'"</definedName>
    <definedName name="_AMO_ContentDefinition_485496469.89" hidden="1">"'&amp;#xA;'MFPR01007155',&amp;#xD;&amp;#xA;'MFPR01007156',&amp;#xD;&amp;#xA;'MFPR01007157',&amp;#xD;&amp;#xA;'MFPR01007158',&amp;#xD;&amp;#xA;'MFPR01007159',&amp;#xD;&amp;#xA;'MFPR01007160',&amp;#xD;&amp;#xA;'MFPR01007161',&amp;#xD;&amp;#xA;'MFPR01007162',&amp;#xD;&amp;#xA;'MFPR01007163',&amp;#xD;&amp;#xA;'MFPR01007164',&amp;#xD;&amp;'"</definedName>
    <definedName name="_AMO_ContentDefinition_485496469.890" hidden="1">"'mp;gt;EXPRESSION&amp;amp;lt;/RHSType&amp;amp;gt;&amp;amp;lt;AddQuotes&amp;amp;gt;True&amp;amp;lt;/AddQuotes&amp;amp;gt;&amp;amp;lt;DateFormat&amp;amp;gt;None&amp;amp;lt;/DateFormat&amp;amp;gt;&amp;amp;lt;RightHandSideExpression&amp;amp;gt;MFPR01006629&amp;amp;lt;/RightHandSideExpression&amp;amp;gt;&amp;amp;lt;'"</definedName>
    <definedName name="_AMO_ContentDefinition_485496469.891"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485496469.892" hidden="1">"';lt;DateFormat&amp;amp;gt;None&amp;amp;lt;/DateFormat&amp;amp;gt;&amp;amp;lt;RightHandSideExpression&amp;amp;gt;MFPR01006630&amp;amp;lt;/RightHandSideExpression&amp;amp;gt;&amp;amp;lt;IsSubquery&amp;amp;gt;False&amp;amp;lt;/IsSubquery&amp;amp;gt;&amp;amp;lt;SubqueryTemplateName /&amp;amp;gt;&amp;amp;lt;/RH'"</definedName>
    <definedName name="_AMO_ContentDefinition_485496469.893" hidden="1">"'SItem&amp;amp;gt;&amp;amp;lt;RHSItem&amp;amp;gt;&amp;amp;lt;RHSType&amp;amp;gt;EXPRESSION&amp;amp;lt;/RHSType&amp;amp;gt;&amp;amp;lt;AddQuotes&amp;amp;gt;True&amp;amp;lt;/AddQuotes&amp;amp;gt;&amp;amp;lt;DateFormat&amp;amp;gt;None&amp;amp;lt;/DateFormat&amp;amp;gt;&amp;amp;lt;RightHandSideExpression&amp;amp;gt;MFPR010'"</definedName>
    <definedName name="_AMO_ContentDefinition_485496469.894" hidden="1">"'06631&amp;amp;lt;/RightHandSideExpression&amp;amp;gt;&amp;amp;lt;IsSubquery&amp;amp;gt;False&amp;amp;lt;/IsSubquery&amp;amp;gt;&amp;amp;lt;SubqueryTemplateName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485496469.895" hidden="1">"'t;AddQuotes&amp;amp;gt;True&amp;amp;lt;/AddQuotes&amp;amp;gt;&amp;amp;lt;DateFormat&amp;amp;gt;None&amp;amp;lt;/DateFormat&amp;amp;gt;&amp;amp;lt;RightHandSideExpression&amp;amp;gt;MFPR01006632&amp;amp;lt;/RightHandSideExpression&amp;amp;gt;&amp;amp;lt;IsSubquery&amp;amp;gt;False&amp;amp;lt;/IsSubquery&amp;amp'"</definedName>
    <definedName name="_AMO_ContentDefinition_485496469.896"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485496469.897" hidden="1">"'amp;gt;&amp;amp;lt;RightHandSideExpression&amp;amp;gt;MFPR01006633&amp;amp;lt;/RightHandSideExpression&amp;amp;gt;&amp;amp;lt;IsSubquery&amp;amp;gt;False&amp;amp;lt;/IsSubquery&amp;amp;gt;&amp;amp;lt;SubqueryTemplateName /&amp;amp;gt;&amp;amp;lt;/RHSItem&amp;amp;gt;&amp;amp;lt;RHSItem&amp;amp;gt;&amp;amp;lt;RH'"</definedName>
    <definedName name="_AMO_ContentDefinition_485496469.898" hidden="1">"'SType&amp;amp;gt;EXPRESSION&amp;amp;lt;/RHSType&amp;amp;gt;&amp;amp;lt;AddQuotes&amp;amp;gt;True&amp;amp;lt;/AddQuotes&amp;amp;gt;&amp;amp;lt;DateFormat&amp;amp;gt;None&amp;amp;lt;/DateFormat&amp;amp;gt;&amp;amp;lt;RightHandSideExpression&amp;amp;gt;MFPR01006634&amp;amp;lt;/RightHandSideExpression&amp;amp;gt;&amp;'"</definedName>
    <definedName name="_AMO_ContentDefinition_485496469.899"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485496469.9" hidden="1">"'&amp;#xD;&amp;#xA;'MFMSUP000038',&amp;#xD;&amp;#xA;'MFMSUP000039',&amp;#xD;&amp;#xA;'MFMSUP000040',&amp;#xD;&amp;#xA;'MFMSUP000041',&amp;#xD;&amp;#xA;'MFMSUP000042',&amp;#xD;&amp;#xA;'MFMSUP000043',&amp;#xD;&amp;#xA;'MFMSUP000044',&amp;#xD;&amp;#xA;'MFMSUP000045',&amp;#xD;&amp;#xA;'MFMSUP000046',&amp;#xD;&amp;#xA;'MFMSUP000047',&amp;'"</definedName>
    <definedName name="_AMO_ContentDefinition_485496469.90" hidden="1">"'#xA;'MFPR01007165',&amp;#xD;&amp;#xA;'MFPR01007166',&amp;#xD;&amp;#xA;'MFPR01007167',&amp;#xD;&amp;#xA;'MFPR01007168',&amp;#xD;&amp;#xA;'MFPR01007169',&amp;#xD;&amp;#xA;'MFPR01007170',&amp;#xD;&amp;#xA;'MFPR01007171',&amp;#xD;&amp;#xA;'MFPR01007172',&amp;#xD;&amp;#xA;'MFPR01007173',&amp;#xD;&amp;#xA;'MFPR01007174',&amp;#xD;&amp;#'"</definedName>
    <definedName name="_AMO_ContentDefinition_485496469.900" hidden="1">"'gt;&amp;amp;lt;DateFormat&amp;amp;gt;None&amp;amp;lt;/DateFormat&amp;amp;gt;&amp;amp;lt;RightHandSideExpression&amp;amp;gt;MFPR01006635&amp;amp;lt;/RightHandSideExpression&amp;amp;gt;&amp;amp;lt;IsSubquery&amp;amp;gt;False&amp;amp;lt;/IsSubquery&amp;amp;gt;&amp;amp;lt;SubqueryTemplateName /&amp;amp;gt;&amp;amp'"</definedName>
    <definedName name="_AMO_ContentDefinition_485496469.901" hidden="1">"';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485496469.902" hidden="1">"'MFPR01006636&amp;amp;lt;/RightHandSideExpression&amp;amp;gt;&amp;amp;lt;IsSubquery&amp;amp;gt;False&amp;amp;lt;/IsSubquery&amp;amp;gt;&amp;amp;lt;SubqueryTemplateName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485496469.903" hidden="1">"';&amp;amp;lt;AddQuotes&amp;amp;gt;True&amp;amp;lt;/AddQuotes&amp;amp;gt;&amp;amp;lt;DateFormat&amp;amp;gt;None&amp;amp;lt;/DateFormat&amp;amp;gt;&amp;amp;lt;RightHandSideExpression&amp;amp;gt;MFPR01006637&amp;amp;lt;/RightHandSideExpression&amp;amp;gt;&amp;amp;lt;IsSubquery&amp;amp;gt;False&amp;amp;lt;/IsSubqu'"</definedName>
    <definedName name="_AMO_ContentDefinition_485496469.904"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485496469.905" hidden="1">"'Format&amp;amp;gt;&amp;amp;lt;RightHandSideExpression&amp;amp;gt;MFPR01006638&amp;amp;lt;/RightHandSideExpression&amp;amp;gt;&amp;amp;lt;IsSubquery&amp;amp;gt;False&amp;amp;lt;/IsSubquery&amp;amp;gt;&amp;amp;lt;SubqueryTemplateName /&amp;amp;gt;&amp;amp;lt;/RHSItem&amp;amp;gt;&amp;amp;lt;RHSItem&amp;amp;gt;&amp;am'"</definedName>
    <definedName name="_AMO_ContentDefinition_485496469.906" hidden="1">"'p;lt;RHSType&amp;amp;gt;EXPRESSION&amp;amp;lt;/RHSType&amp;amp;gt;&amp;amp;lt;AddQuotes&amp;amp;gt;True&amp;amp;lt;/AddQuotes&amp;amp;gt;&amp;amp;lt;DateFormat&amp;amp;gt;None&amp;amp;lt;/DateFormat&amp;amp;gt;&amp;amp;lt;RightHandSideExpression&amp;amp;gt;MFPR01006639&amp;amp;lt;/RightHandSideExpression&amp;a'"</definedName>
    <definedName name="_AMO_ContentDefinition_485496469.907"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485496469.908" hidden="1">"'es&amp;amp;gt;&amp;amp;lt;DateFormat&amp;amp;gt;None&amp;amp;lt;/DateFormat&amp;amp;gt;&amp;amp;lt;RightHandSideExpression&amp;amp;gt;MFPR01006640&amp;amp;lt;/RightHandSideExpression&amp;amp;gt;&amp;amp;lt;IsSubquery&amp;amp;gt;False&amp;amp;lt;/IsSubquery&amp;amp;gt;&amp;amp;lt;SubqueryTemplateName /&amp;amp;'"</definedName>
    <definedName name="_AMO_ContentDefinition_485496469.909" hidden="1">"'gt;&amp;amp;lt;/RHSItem&amp;amp;gt;&amp;amp;lt;RHSItem&amp;amp;gt;&amp;amp;lt;RHSType&amp;amp;gt;EXPRESSION&amp;amp;lt;/RHSType&amp;amp;gt;&amp;amp;lt;AddQuotes&amp;amp;gt;True&amp;amp;lt;/AddQuotes&amp;amp;gt;&amp;amp;lt;DateFormat&amp;amp;gt;None&amp;amp;lt;/DateFormat&amp;amp;gt;&amp;amp;lt;RightHandSideExpression&amp;'"</definedName>
    <definedName name="_AMO_ContentDefinition_485496469.91" hidden="1">"'xA;'MFPR01007175',&amp;#xD;&amp;#xA;'MFPR01007176',&amp;#xD;&amp;#xA;'MFPR01007177',&amp;#xD;&amp;#xA;'MFPR01007178',&amp;#xD;&amp;#xA;'MFPR01007179',&amp;#xD;&amp;#xA;'MFPR01007180',&amp;#xD;&amp;#xA;'MFPR01007181',&amp;#xD;&amp;#xA;'MFPR01007182',&amp;#xD;&amp;#xA;'MFPR01007183',&amp;#xD;&amp;#xA;'MFPR01007184',&amp;#xD;&amp;#x'"</definedName>
    <definedName name="_AMO_ContentDefinition_485496469.910" hidden="1">"'amp;gt;MFPR01006641&amp;amp;lt;/RightHandSideExpression&amp;amp;gt;&amp;amp;lt;IsSubquery&amp;amp;gt;False&amp;amp;lt;/IsSubquery&amp;amp;gt;&amp;amp;lt;SubqueryTemplateName /&amp;amp;gt;&amp;amp;lt;/RHSItem&amp;amp;gt;&amp;amp;lt;RHSItem&amp;amp;gt;&amp;amp;lt;RHSType&amp;amp;gt;EXPRESSION&amp;amp;lt;/RHSType'"</definedName>
    <definedName name="_AMO_ContentDefinition_485496469.911" hidden="1">"'&amp;amp;gt;&amp;amp;lt;AddQuotes&amp;amp;gt;True&amp;amp;lt;/AddQuotes&amp;amp;gt;&amp;amp;lt;DateFormat&amp;amp;gt;None&amp;amp;lt;/DateFormat&amp;amp;gt;&amp;amp;lt;RightHandSideExpression&amp;amp;gt;MFPR01006642&amp;amp;lt;/RightHandSideExpression&amp;amp;gt;&amp;amp;lt;IsSubquery&amp;amp;gt;False&amp;amp;lt;/'"</definedName>
    <definedName name="_AMO_ContentDefinition_485496469.912"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485496469.913" hidden="1">"'t;/DateFormat&amp;amp;gt;&amp;amp;lt;RightHandSideExpression&amp;amp;gt;MFPR01006643&amp;amp;lt;/RightHandSideExpression&amp;amp;gt;&amp;amp;lt;IsSubquery&amp;amp;gt;False&amp;amp;lt;/IsSubquery&amp;amp;gt;&amp;amp;lt;SubqueryTemplateName /&amp;amp;gt;&amp;amp;lt;/RHSItem&amp;amp;gt;&amp;amp;lt;RHSItem&amp;amp'"</definedName>
    <definedName name="_AMO_ContentDefinition_485496469.914" hidden="1">"';gt;&amp;amp;lt;RHSType&amp;amp;gt;EXPRESSION&amp;amp;lt;/RHSType&amp;amp;gt;&amp;amp;lt;AddQuotes&amp;amp;gt;True&amp;amp;lt;/AddQuotes&amp;amp;gt;&amp;amp;lt;DateFormat&amp;amp;gt;None&amp;amp;lt;/DateFormat&amp;amp;gt;&amp;amp;lt;RightHandSideExpression&amp;amp;gt;MFPR01006644&amp;amp;lt;/RightHandSideExpre'"</definedName>
    <definedName name="_AMO_ContentDefinition_485496469.915"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485496469.916" hidden="1">"'AddQuotes&amp;amp;gt;&amp;amp;lt;DateFormat&amp;amp;gt;None&amp;amp;lt;/DateFormat&amp;amp;gt;&amp;amp;lt;RightHandSideExpression&amp;amp;gt;MFPR01006645&amp;amp;lt;/RightHandSideExpression&amp;amp;gt;&amp;amp;lt;IsSubquery&amp;amp;gt;False&amp;amp;lt;/IsSubquery&amp;amp;gt;&amp;amp;lt;SubqueryTemplateName'"</definedName>
    <definedName name="_AMO_ContentDefinition_485496469.917"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485496469.918" hidden="1">"'ession&amp;amp;gt;MFPR01006646&amp;amp;lt;/RightHandSideExpression&amp;amp;gt;&amp;amp;lt;IsSubquery&amp;amp;gt;False&amp;amp;lt;/IsSubquery&amp;amp;gt;&amp;amp;lt;SubqueryTemplateName /&amp;amp;gt;&amp;amp;lt;/RHSItem&amp;amp;gt;&amp;amp;lt;RHSItem&amp;amp;gt;&amp;amp;lt;RHSType&amp;amp;gt;EXPRESSION&amp;amp;lt;/'"</definedName>
    <definedName name="_AMO_ContentDefinition_485496469.919" hidden="1">"'RHSType&amp;amp;gt;&amp;amp;lt;AddQuotes&amp;amp;gt;True&amp;amp;lt;/AddQuotes&amp;amp;gt;&amp;amp;lt;DateFormat&amp;amp;gt;None&amp;amp;lt;/DateFormat&amp;amp;gt;&amp;amp;lt;RightHandSideExpression&amp;amp;gt;MFPR01006647&amp;amp;lt;/RightHandSideExpression&amp;amp;gt;&amp;amp;lt;IsSubquery&amp;amp;gt;False&amp;a'"</definedName>
    <definedName name="_AMO_ContentDefinition_485496469.92" hidden="1">"'A;'MFPR01007185',&amp;#xD;&amp;#xA;'MFPR01007186',&amp;#xD;&amp;#xA;'MFPR01007187',&amp;#xD;&amp;#xA;'MFPR01007188',&amp;#xD;&amp;#xA;'MFPR01007189',&amp;#xD;&amp;#xA;'MFPR01007190',&amp;#xD;&amp;#xA;'MFPR01007191',&amp;#xD;&amp;#xA;'MFPR01007192',&amp;#xD;&amp;#xA;'MFPR01007193',&amp;#xD;&amp;#xA;'MFPR01007194',&amp;#xD;&amp;#xA'"</definedName>
    <definedName name="_AMO_ContentDefinition_485496469.920"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485496469.921" hidden="1">"'e&amp;amp;lt;/DateFormat&amp;amp;gt;&amp;amp;lt;RightHandSideExpression&amp;amp;gt;MFPR01006648&amp;amp;lt;/RightHandSideExpression&amp;amp;gt;&amp;amp;lt;IsSubquery&amp;amp;gt;False&amp;amp;lt;/IsSubquery&amp;amp;gt;&amp;amp;lt;SubqueryTemplateName /&amp;amp;gt;&amp;amp;lt;/RHSItem&amp;amp;gt;&amp;amp;lt;RHSI'"</definedName>
    <definedName name="_AMO_ContentDefinition_485496469.922" hidden="1">"'tem&amp;amp;gt;&amp;amp;lt;RHSType&amp;amp;gt;EXPRESSION&amp;amp;lt;/RHSType&amp;amp;gt;&amp;amp;lt;AddQuotes&amp;amp;gt;True&amp;amp;lt;/AddQuotes&amp;amp;gt;&amp;amp;lt;DateFormat&amp;amp;gt;None&amp;amp;lt;/DateFormat&amp;amp;gt;&amp;amp;lt;RightHandSideExpression&amp;amp;gt;MFPR01006649&amp;amp;lt;/RightHandSi'"</definedName>
    <definedName name="_AMO_ContentDefinition_485496469.923"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485496469.924" hidden="1">"'mp;lt;/AddQuotes&amp;amp;gt;&amp;amp;lt;DateFormat&amp;amp;gt;None&amp;amp;lt;/DateFormat&amp;amp;gt;&amp;amp;lt;RightHandSideExpression&amp;amp;gt;MFPR01006650&amp;amp;lt;/RightHandSideExpression&amp;amp;gt;&amp;amp;lt;IsSubquery&amp;amp;gt;False&amp;amp;lt;/IsSubquery&amp;amp;gt;&amp;amp;lt;SubqueryTempl'"</definedName>
    <definedName name="_AMO_ContentDefinition_485496469.925"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485496469.926" hidden="1">"'ideExpression&amp;amp;gt;MFPR01006651&amp;amp;lt;/RightHandSideExpression&amp;amp;gt;&amp;amp;lt;IsSubquery&amp;amp;gt;False&amp;amp;lt;/IsSubquery&amp;amp;gt;&amp;amp;lt;SubqueryTemplateName /&amp;amp;gt;&amp;amp;lt;/RHSItem&amp;amp;gt;&amp;amp;lt;RHSItem&amp;amp;gt;&amp;amp;lt;RHSType&amp;amp;gt;EXPRESSION&amp;a'"</definedName>
    <definedName name="_AMO_ContentDefinition_485496469.927" hidden="1">"'mp;lt;/RHSType&amp;amp;gt;&amp;amp;lt;AddQuotes&amp;amp;gt;True&amp;amp;lt;/AddQuotes&amp;amp;gt;&amp;amp;lt;DateFormat&amp;amp;gt;None&amp;amp;lt;/DateFormat&amp;amp;gt;&amp;amp;lt;RightHandSideExpression&amp;amp;gt;MFPR01006652&amp;amp;lt;/RightHandSideExpression&amp;amp;gt;&amp;amp;lt;IsSubquery&amp;amp;gt;'"</definedName>
    <definedName name="_AMO_ContentDefinition_485496469.928"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485496469.929" hidden="1">"';gt;None&amp;amp;lt;/DateFormat&amp;amp;gt;&amp;amp;lt;RightHandSideExpression&amp;amp;gt;MFPR01006653&amp;amp;lt;/RightHandSideExpression&amp;amp;gt;&amp;amp;lt;IsSubquery&amp;amp;gt;False&amp;amp;lt;/IsSubquery&amp;amp;gt;&amp;amp;lt;SubqueryTemplateName /&amp;amp;gt;&amp;amp;lt;/RHSItem&amp;amp;gt;&amp;amp;'"</definedName>
    <definedName name="_AMO_ContentDefinition_485496469.93" hidden="1">"';'MFPR01007195',&amp;#xD;&amp;#xA;'MFPR01007196',&amp;#xD;&amp;#xA;'MFPR01007197',&amp;#xD;&amp;#xA;'MFPR01007198',&amp;#xD;&amp;#xA;'MFPR01007199',&amp;#xD;&amp;#xA;'MFPR01007200',&amp;#xD;&amp;#xA;'MFPR01007201',&amp;#xD;&amp;#xA;'MFPR01007202',&amp;#xD;&amp;#xA;'MFPR01007203',&amp;#xD;&amp;#xA;'MFPR01007204',&amp;#xD;&amp;#xA;'"</definedName>
    <definedName name="_AMO_ContentDefinition_485496469.930" hidden="1">"'lt;RHSItem&amp;amp;gt;&amp;amp;lt;RHSType&amp;amp;gt;EXPRESSION&amp;amp;lt;/RHSType&amp;amp;gt;&amp;amp;lt;AddQuotes&amp;amp;gt;True&amp;amp;lt;/AddQuotes&amp;amp;gt;&amp;amp;lt;DateFormat&amp;amp;gt;None&amp;amp;lt;/DateFormat&amp;amp;gt;&amp;amp;lt;RightHandSideExpression&amp;amp;gt;MFPR01006654&amp;amp;lt;/Righ'"</definedName>
    <definedName name="_AMO_ContentDefinition_485496469.931"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485496469.932" hidden="1">"';True&amp;amp;lt;/AddQuotes&amp;amp;gt;&amp;amp;lt;DateFormat&amp;amp;gt;None&amp;amp;lt;/DateFormat&amp;amp;gt;&amp;amp;lt;RightHandSideExpression&amp;amp;gt;MFPR01006655&amp;amp;lt;/RightHandSideExpression&amp;amp;gt;&amp;amp;lt;IsSubquery&amp;amp;gt;False&amp;amp;lt;/IsSubquery&amp;amp;gt;&amp;amp;lt;Subque'"</definedName>
    <definedName name="_AMO_ContentDefinition_485496469.933"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485496469.934" hidden="1">"'htHandSideExpression&amp;amp;gt;MFPR01006656&amp;amp;lt;/RightHandSideExpression&amp;amp;gt;&amp;amp;lt;IsSubquery&amp;amp;gt;False&amp;amp;lt;/IsSubquery&amp;amp;gt;&amp;amp;lt;SubqueryTemplateName /&amp;amp;gt;&amp;amp;lt;/RHSItem&amp;amp;gt;&amp;amp;lt;RHSItem&amp;amp;gt;&amp;amp;lt;RHSType&amp;amp;gt;EXPRE'"</definedName>
    <definedName name="_AMO_ContentDefinition_485496469.935" hidden="1">"'SSION&amp;amp;lt;/RHSType&amp;amp;gt;&amp;amp;lt;AddQuotes&amp;amp;gt;True&amp;amp;lt;/AddQuotes&amp;amp;gt;&amp;amp;lt;DateFormat&amp;amp;gt;None&amp;amp;lt;/DateFormat&amp;amp;gt;&amp;amp;lt;RightHandSideExpression&amp;amp;gt;MFPR01006657&amp;amp;lt;/RightHandSideExpression&amp;amp;gt;&amp;amp;lt;IsSubquery&amp;'"</definedName>
    <definedName name="_AMO_ContentDefinition_485496469.936"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485496469.937" hidden="1">"'mat&amp;amp;gt;None&amp;amp;lt;/DateFormat&amp;amp;gt;&amp;amp;lt;RightHandSideExpression&amp;amp;gt;MFPR01006658&amp;amp;lt;/RightHandSideExpression&amp;amp;gt;&amp;amp;lt;IsSubquery&amp;amp;gt;False&amp;amp;lt;/IsSubquery&amp;amp;gt;&amp;amp;lt;SubqueryTemplateName /&amp;amp;gt;&amp;amp;lt;/RHSItem&amp;amp;g'"</definedName>
    <definedName name="_AMO_ContentDefinition_485496469.938" hidden="1">"'t;&amp;amp;lt;RHSItem&amp;amp;gt;&amp;amp;lt;RHSType&amp;amp;gt;EXPRESSION&amp;amp;lt;/RHSType&amp;amp;gt;&amp;amp;lt;AddQuotes&amp;amp;gt;True&amp;amp;lt;/AddQuotes&amp;amp;gt;&amp;amp;lt;DateFormat&amp;amp;gt;None&amp;amp;lt;/DateFormat&amp;amp;gt;&amp;amp;lt;RightHandSideExpression&amp;amp;gt;MFPR01006659&amp;amp;l'"</definedName>
    <definedName name="_AMO_ContentDefinition_485496469.939"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485496469.94" hidden="1">"''MFPR01007205',&amp;#xD;&amp;#xA;'MFPR01007206',&amp;#xD;&amp;#xA;'MFPR01007207',&amp;#xD;&amp;#xA;'MFPR01007208',&amp;#xD;&amp;#xA;'MFPR01007209',&amp;#xD;&amp;#xA;'MFPR01007210',&amp;#xD;&amp;#xA;'MFPR01007211',&amp;#xD;&amp;#xA;'MFPR01007212',&amp;#xD;&amp;#xA;'MFPR01007213',&amp;#xD;&amp;#xA;'MFPR01007214',&amp;#xD;&amp;#xA;''"</definedName>
    <definedName name="_AMO_ContentDefinition_485496469.940" hidden="1">"'&amp;amp;gt;True&amp;amp;lt;/AddQuotes&amp;amp;gt;&amp;amp;lt;DateFormat&amp;amp;gt;None&amp;amp;lt;/DateFormat&amp;amp;gt;&amp;amp;lt;RightHandSideExpression&amp;amp;gt;MFPR01006660&amp;amp;lt;/RightHandSideExpression&amp;amp;gt;&amp;amp;lt;IsSubquery&amp;amp;gt;False&amp;amp;lt;/IsSubquery&amp;amp;gt;&amp;amp;lt'"</definedName>
    <definedName name="_AMO_ContentDefinition_485496469.941"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485496469.942" hidden="1">"';lt;RightHandSideExpression&amp;amp;gt;MFPR01006661&amp;amp;lt;/RightHandSideExpression&amp;amp;gt;&amp;amp;lt;IsSubquery&amp;amp;gt;False&amp;amp;lt;/IsSubquery&amp;amp;gt;&amp;amp;lt;SubqueryTemplateName /&amp;amp;gt;&amp;amp;lt;/RHSItem&amp;amp;gt;&amp;amp;lt;RHSItem&amp;amp;gt;&amp;amp;lt;RHSType&amp;amp;g'"</definedName>
    <definedName name="_AMO_ContentDefinition_485496469.943" hidden="1">"'t;EXPRESSION&amp;amp;lt;/RHSType&amp;amp;gt;&amp;amp;lt;AddQuotes&amp;amp;gt;True&amp;amp;lt;/AddQuotes&amp;amp;gt;&amp;amp;lt;DateFormat&amp;amp;gt;None&amp;amp;lt;/DateFormat&amp;amp;gt;&amp;amp;lt;RightHandSideExpression&amp;amp;gt;MFPR01006662&amp;amp;lt;/RightHandSideExpression&amp;amp;gt;&amp;amp;lt;IsSu'"</definedName>
    <definedName name="_AMO_ContentDefinition_485496469.944"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485496469.945" hidden="1">"'DateFormat&amp;amp;gt;None&amp;amp;lt;/DateFormat&amp;amp;gt;&amp;amp;lt;RightHandSideExpression&amp;amp;gt;MFPR01006663&amp;amp;lt;/RightHandSideExpression&amp;amp;gt;&amp;amp;lt;IsSubquery&amp;amp;gt;False&amp;amp;lt;/IsSubquery&amp;amp;gt;&amp;amp;lt;SubqueryTemplateName /&amp;amp;gt;&amp;amp;lt;/RHSIte'"</definedName>
    <definedName name="_AMO_ContentDefinition_485496469.946" hidden="1">"'m&amp;amp;gt;&amp;amp;lt;RHSItem&amp;amp;gt;&amp;amp;lt;RHSType&amp;amp;gt;EXPRESSION&amp;amp;lt;/RHSType&amp;amp;gt;&amp;amp;lt;AddQuotes&amp;amp;gt;True&amp;amp;lt;/AddQuotes&amp;amp;gt;&amp;amp;lt;DateFormat&amp;amp;gt;None&amp;amp;lt;/DateFormat&amp;amp;gt;&amp;amp;lt;RightHandSideExpression&amp;amp;gt;MFPR0100666'"</definedName>
    <definedName name="_AMO_ContentDefinition_485496469.947" hidden="1">"'4&amp;amp;lt;/RightHandSideExpression&amp;amp;gt;&amp;amp;lt;IsSubquery&amp;amp;gt;False&amp;amp;lt;/IsSubquery&amp;amp;gt;&amp;amp;lt;SubqueryTemplateName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485496469.948" hidden="1">"'dQuotes&amp;amp;gt;True&amp;amp;lt;/AddQuotes&amp;amp;gt;&amp;amp;lt;DateFormat&amp;amp;gt;None&amp;amp;lt;/DateFormat&amp;amp;gt;&amp;amp;lt;RightHandSideExpression&amp;amp;gt;MFPR01006665&amp;amp;lt;/RightHandSideExpression&amp;amp;gt;&amp;amp;lt;IsSubquery&amp;amp;gt;False&amp;amp;lt;/IsSubquery&amp;amp;gt;'"</definedName>
    <definedName name="_AMO_ContentDefinition_485496469.949"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485496469.95" hidden="1">"'MFPR01007215',&amp;#xD;&amp;#xA;'MFPR01007216',&amp;#xD;&amp;#xA;'MFPR01007217',&amp;#xD;&amp;#xA;'MFPR01007218',&amp;#xD;&amp;#xA;'MFPR01007219',&amp;#xD;&amp;#xA;'MFPR01007220',&amp;#xD;&amp;#xA;'MFPR01007221',&amp;#xD;&amp;#xA;'MFPR01007222',&amp;#xD;&amp;#xA;'MFPR01007223',&amp;#xD;&amp;#xA;'MFPR01007224',&amp;#xD;&amp;#xA;'M'"</definedName>
    <definedName name="_AMO_ContentDefinition_485496469.950" hidden="1">"'gt;&amp;amp;lt;RightHandSideExpression&amp;amp;gt;MFPR01006666&amp;amp;lt;/RightHandSideExpression&amp;amp;gt;&amp;amp;lt;IsSubquery&amp;amp;gt;False&amp;amp;lt;/IsSubquery&amp;amp;gt;&amp;amp;lt;SubqueryTemplateName /&amp;amp;gt;&amp;amp;lt;/RHSItem&amp;amp;gt;&amp;amp;lt;RHSItem&amp;amp;gt;&amp;amp;lt;RHSTyp'"</definedName>
    <definedName name="_AMO_ContentDefinition_485496469.951" hidden="1">"'e&amp;amp;gt;EXPRESSION&amp;amp;lt;/RHSType&amp;amp;gt;&amp;amp;lt;AddQuotes&amp;amp;gt;True&amp;amp;lt;/AddQuotes&amp;amp;gt;&amp;amp;lt;DateFormat&amp;amp;gt;None&amp;amp;lt;/DateFormat&amp;amp;gt;&amp;amp;lt;RightHandSideExpression&amp;amp;gt;MFPR01006667&amp;amp;lt;/RightHandSideExpression&amp;amp;gt;&amp;amp;'"</definedName>
    <definedName name="_AMO_ContentDefinition_485496469.952"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485496469.953" hidden="1">"'amp;lt;DateFormat&amp;amp;gt;None&amp;amp;lt;/DateFormat&amp;amp;gt;&amp;amp;lt;RightHandSideExpression&amp;amp;gt;MFPR01006668&amp;amp;lt;/RightHandSideExpression&amp;amp;gt;&amp;amp;lt;IsSubquery&amp;amp;gt;False&amp;amp;lt;/IsSubquery&amp;amp;gt;&amp;amp;lt;SubqueryTemplateName /&amp;amp;gt;&amp;amp;lt;'"</definedName>
    <definedName name="_AMO_ContentDefinition_485496469.954" hidden="1">"'/RHSItem&amp;amp;gt;&amp;amp;lt;RHSItem&amp;amp;gt;&amp;amp;lt;RHSType&amp;amp;gt;EXPRESSION&amp;amp;lt;/RHSType&amp;amp;gt;&amp;amp;lt;AddQuotes&amp;amp;gt;True&amp;amp;lt;/AddQuotes&amp;amp;gt;&amp;amp;lt;DateFormat&amp;amp;gt;None&amp;amp;lt;/DateFormat&amp;amp;gt;&amp;amp;lt;RightHandSideExpression&amp;amp;gt;MFPR'"</definedName>
    <definedName name="_AMO_ContentDefinition_485496469.955" hidden="1">"'01006669&amp;amp;lt;/RightHandSideExpression&amp;amp;gt;&amp;amp;lt;IsSubquery&amp;amp;gt;False&amp;amp;lt;/IsSubquery&amp;amp;gt;&amp;amp;lt;SubqueryTemplateName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485496469.956" hidden="1">"'p;lt;AddQuotes&amp;amp;gt;True&amp;amp;lt;/AddQuotes&amp;amp;gt;&amp;amp;lt;DateFormat&amp;amp;gt;None&amp;amp;lt;/DateFormat&amp;amp;gt;&amp;amp;lt;RightHandSideExpression&amp;amp;gt;MFPR01006670&amp;amp;lt;/RightHandSideExpression&amp;amp;gt;&amp;amp;lt;IsSubquery&amp;amp;gt;False&amp;amp;lt;/IsSubquery&amp;'"</definedName>
    <definedName name="_AMO_ContentDefinition_485496469.957"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485496469.958" hidden="1">"'at&amp;amp;gt;&amp;amp;lt;RightHandSideExpression&amp;amp;gt;MFPR01006671&amp;amp;lt;/RightHandSideExpression&amp;amp;gt;&amp;amp;lt;IsSubquery&amp;amp;gt;False&amp;amp;lt;/IsSubquery&amp;amp;gt;&amp;amp;lt;SubqueryTemplateName /&amp;amp;gt;&amp;amp;lt;/RHSItem&amp;amp;gt;&amp;amp;lt;RHSItem&amp;amp;gt;&amp;amp;lt'"</definedName>
    <definedName name="_AMO_ContentDefinition_485496469.959" hidden="1">"';RHSType&amp;amp;gt;EXPRESSION&amp;amp;lt;/RHSType&amp;amp;gt;&amp;amp;lt;AddQuotes&amp;amp;gt;True&amp;amp;lt;/AddQuotes&amp;amp;gt;&amp;amp;lt;DateFormat&amp;amp;gt;None&amp;amp;lt;/DateFormat&amp;amp;gt;&amp;amp;lt;RightHandSideExpression&amp;amp;gt;MFPR01006672&amp;amp;lt;/RightHandSideExpression&amp;amp;g'"</definedName>
    <definedName name="_AMO_ContentDefinition_485496469.96" hidden="1">"'FPR01007225',&amp;#xD;&amp;#xA;'MFPR01007226',&amp;#xD;&amp;#xA;'MFPR01007227',&amp;#xD;&amp;#xA;'MFPR01007228',&amp;#xD;&amp;#xA;'MFPR01007229',&amp;#xD;&amp;#xA;'MFPR01007230',&amp;#xD;&amp;#xA;'MFPR01007231',&amp;#xD;&amp;#xA;'MFPR01007232',&amp;#xD;&amp;#xA;'MFPR01007233',&amp;#xD;&amp;#xA;'MFPR01007234',&amp;#xD;&amp;#xA;'MF'"</definedName>
    <definedName name="_AMO_ContentDefinition_485496469.960"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485496469.961" hidden="1">"'mp;gt;&amp;amp;lt;DateFormat&amp;amp;gt;None&amp;amp;lt;/DateFormat&amp;amp;gt;&amp;amp;lt;RightHandSideExpression&amp;amp;gt;MFPR01006673&amp;amp;lt;/RightHandSideExpression&amp;amp;gt;&amp;amp;lt;IsSubquery&amp;amp;gt;False&amp;amp;lt;/IsSubquery&amp;amp;gt;&amp;amp;lt;SubqueryTemplateName /&amp;amp;gt;&amp;'"</definedName>
    <definedName name="_AMO_ContentDefinition_485496469.962" hidden="1">"'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485496469.963" hidden="1">"'gt;MFPR01006674&amp;amp;lt;/RightHandSideExpression&amp;amp;gt;&amp;amp;lt;IsSubquery&amp;amp;gt;False&amp;amp;lt;/IsSubquery&amp;amp;gt;&amp;amp;lt;SubqueryTemplateName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485496469.964" hidden="1">"';gt;&amp;amp;lt;AddQuotes&amp;amp;gt;True&amp;amp;lt;/AddQuotes&amp;amp;gt;&amp;amp;lt;DateFormat&amp;amp;gt;None&amp;amp;lt;/DateFormat&amp;amp;gt;&amp;amp;lt;RightHandSideExpression&amp;amp;gt;MFPR01006675&amp;amp;lt;/RightHandSideExpression&amp;amp;gt;&amp;amp;lt;IsSubquery&amp;amp;gt;False&amp;amp;lt;/IsSu'"</definedName>
    <definedName name="_AMO_ContentDefinition_485496469.965"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485496469.966" hidden="1">"'ateFormat&amp;amp;gt;&amp;amp;lt;RightHandSideExpression&amp;amp;gt;MFPR01006676&amp;amp;lt;/RightHandSideExpression&amp;amp;gt;&amp;amp;lt;IsSubquery&amp;amp;gt;False&amp;amp;lt;/IsSubquery&amp;amp;gt;&amp;amp;lt;SubqueryTemplateName /&amp;amp;gt;&amp;amp;lt;/RHSItem&amp;amp;gt;&amp;amp;lt;RHSItem&amp;amp;gt;'"</definedName>
    <definedName name="_AMO_ContentDefinition_485496469.967" hidden="1">"'&amp;amp;lt;RHSType&amp;amp;gt;EXPRESSION&amp;amp;lt;/RHSType&amp;amp;gt;&amp;amp;lt;AddQuotes&amp;amp;gt;True&amp;amp;lt;/AddQuotes&amp;amp;gt;&amp;amp;lt;DateFormat&amp;amp;gt;None&amp;amp;lt;/DateFormat&amp;amp;gt;&amp;amp;lt;RightHandSideExpression&amp;amp;gt;MFPR01006677&amp;amp;lt;/RightHandSideExpressio'"</definedName>
    <definedName name="_AMO_ContentDefinition_485496469.968"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485496469.969" hidden="1">"'uotes&amp;amp;gt;&amp;amp;lt;DateFormat&amp;amp;gt;None&amp;amp;lt;/DateFormat&amp;amp;gt;&amp;amp;lt;RightHandSideExpression&amp;amp;gt;MFPR01006678&amp;amp;lt;/RightHandSideExpression&amp;amp;gt;&amp;amp;lt;IsSubquery&amp;amp;gt;False&amp;amp;lt;/IsSubquery&amp;amp;gt;&amp;amp;lt;SubqueryTemplateName /&amp;a'"</definedName>
    <definedName name="_AMO_ContentDefinition_485496469.97" hidden="1">"'PR01007235',&amp;#xD;&amp;#xA;'MFPR01007236',&amp;#xD;&amp;#xA;'MFPR01007237',&amp;#xD;&amp;#xA;'MFPR01007238',&amp;#xD;&amp;#xA;'MFPR01007239',&amp;#xD;&amp;#xA;'MFPR01007240',&amp;#xD;&amp;#xA;'MFPR01007241',&amp;#xD;&amp;#xA;'MFPR01007242',&amp;#xD;&amp;#xA;'MFPR01007243',&amp;#xD;&amp;#xA;'MFPR01007244',&amp;#xD;&amp;#xA;'MFP'"</definedName>
    <definedName name="_AMO_ContentDefinition_485496469.970"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485496469.971" hidden="1">"'on&amp;amp;gt;MFPR01006679&amp;amp;lt;/RightHandSideExpression&amp;amp;gt;&amp;amp;lt;IsSubquery&amp;amp;gt;False&amp;amp;lt;/IsSubquery&amp;amp;gt;&amp;amp;lt;SubqueryTemplateName /&amp;amp;gt;&amp;amp;lt;/RHSItem&amp;amp;gt;&amp;amp;lt;RHSItem&amp;amp;gt;&amp;amp;lt;RHSType&amp;amp;gt;EXPRESSION&amp;amp;lt;/RHST'"</definedName>
    <definedName name="_AMO_ContentDefinition_485496469.972" hidden="1">"'ype&amp;amp;gt;&amp;amp;lt;AddQuotes&amp;amp;gt;True&amp;amp;lt;/AddQuotes&amp;amp;gt;&amp;amp;lt;DateFormat&amp;amp;gt;None&amp;amp;lt;/DateFormat&amp;amp;gt;&amp;amp;lt;RightHandSideExpression&amp;amp;gt;MFPR01006680&amp;amp;lt;/RightHandSideExpression&amp;amp;gt;&amp;amp;lt;IsSubquery&amp;amp;gt;False&amp;amp;l'"</definedName>
    <definedName name="_AMO_ContentDefinition_485496469.973"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485496469.974" hidden="1">"'p;lt;/DateFormat&amp;amp;gt;&amp;amp;lt;RightHandSideExpression&amp;amp;gt;MFPR01006681&amp;amp;lt;/RightHandSideExpression&amp;amp;gt;&amp;amp;lt;IsSubquery&amp;amp;gt;False&amp;amp;lt;/IsSubquery&amp;amp;gt;&amp;amp;lt;SubqueryTemplateName /&amp;amp;gt;&amp;amp;lt;/RHSItem&amp;amp;gt;&amp;amp;lt;RHSItem&amp;'"</definedName>
    <definedName name="_AMO_ContentDefinition_485496469.975" hidden="1">"'amp;gt;&amp;amp;lt;RHSType&amp;amp;gt;EXPRESSION&amp;amp;lt;/RHSType&amp;amp;gt;&amp;amp;lt;AddQuotes&amp;amp;gt;True&amp;amp;lt;/AddQuotes&amp;amp;gt;&amp;amp;lt;DateFormat&amp;amp;gt;None&amp;amp;lt;/DateFormat&amp;amp;gt;&amp;amp;lt;RightHandSideExpression&amp;amp;gt;MFPR01006682&amp;amp;lt;/RightHandSideEx'"</definedName>
    <definedName name="_AMO_ContentDefinition_485496469.976"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485496469.977" hidden="1">"'t;/AddQuotes&amp;amp;gt;&amp;amp;lt;DateFormat&amp;amp;gt;None&amp;amp;lt;/DateFormat&amp;amp;gt;&amp;amp;lt;RightHandSideExpression&amp;amp;gt;MFPR01006683&amp;amp;lt;/RightHandSideExpression&amp;amp;gt;&amp;amp;lt;IsSubquery&amp;amp;gt;False&amp;amp;lt;/IsSubquery&amp;amp;gt;&amp;amp;lt;SubqueryTemplateN'"</definedName>
    <definedName name="_AMO_ContentDefinition_485496469.978"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485496469.979" hidden="1">"'xpression&amp;amp;gt;MFPR01006684&amp;amp;lt;/RightHandSideExpression&amp;amp;gt;&amp;amp;lt;IsSubquery&amp;amp;gt;False&amp;amp;lt;/IsSubquery&amp;amp;gt;&amp;amp;lt;SubqueryTemplateName /&amp;amp;gt;&amp;amp;lt;/RHSItem&amp;amp;gt;&amp;amp;lt;RHSItem&amp;amp;gt;&amp;amp;lt;RHSType&amp;amp;gt;EXPRESSION&amp;amp;l'"</definedName>
    <definedName name="_AMO_ContentDefinition_485496469.98" hidden="1">"'R01007245',&amp;#xD;&amp;#xA;'MFPR01007246',&amp;#xD;&amp;#xA;'MFPR01007247',&amp;#xD;&amp;#xA;'MFPR01007248',&amp;#xD;&amp;#xA;'MFPR01007249',&amp;#xD;&amp;#xA;'MFPR01007250',&amp;#xD;&amp;#xA;'MFPR01007251',&amp;#xD;&amp;#xA;'MFPR01007252',&amp;#xD;&amp;#xA;'MFPR01007253',&amp;#xD;&amp;#xA;'MFPR01007254',&amp;#xD;&amp;#xA;'MFPR'"</definedName>
    <definedName name="_AMO_ContentDefinition_485496469.980" hidden="1">"'t;/RHSType&amp;amp;gt;&amp;amp;lt;AddQuotes&amp;amp;gt;True&amp;amp;lt;/AddQuotes&amp;amp;gt;&amp;amp;lt;DateFormat&amp;amp;gt;None&amp;amp;lt;/DateFormat&amp;amp;gt;&amp;amp;lt;RightHandSideExpression&amp;amp;gt;MFPR01006685&amp;amp;lt;/RightHandSideExpression&amp;amp;gt;&amp;amp;lt;IsSubquery&amp;amp;gt;Fals'"</definedName>
    <definedName name="_AMO_ContentDefinition_485496469.981"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485496469.982" hidden="1">"'None&amp;amp;lt;/DateFormat&amp;amp;gt;&amp;amp;lt;RightHandSideExpression&amp;amp;gt;MFPR01006686&amp;amp;lt;/RightHandSideExpression&amp;amp;gt;&amp;amp;lt;IsSubquery&amp;amp;gt;False&amp;amp;lt;/IsSubquery&amp;amp;gt;&amp;amp;lt;SubqueryTemplateName /&amp;amp;gt;&amp;amp;lt;/RHSItem&amp;amp;gt;&amp;amp;lt;R'"</definedName>
    <definedName name="_AMO_ContentDefinition_485496469.983" hidden="1">"'HSItem&amp;amp;gt;&amp;amp;lt;RHSType&amp;amp;gt;EXPRESSION&amp;amp;lt;/RHSType&amp;amp;gt;&amp;amp;lt;AddQuotes&amp;amp;gt;True&amp;amp;lt;/AddQuotes&amp;amp;gt;&amp;amp;lt;DateFormat&amp;amp;gt;None&amp;amp;lt;/DateFormat&amp;amp;gt;&amp;amp;lt;RightHandSideExpression&amp;amp;gt;MFPR01006687&amp;amp;lt;/RightHan'"</definedName>
    <definedName name="_AMO_ContentDefinition_485496469.984"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485496469.985" hidden="1">"'e&amp;amp;lt;/AddQuotes&amp;amp;gt;&amp;amp;lt;DateFormat&amp;amp;gt;None&amp;amp;lt;/DateFormat&amp;amp;gt;&amp;amp;lt;RightHandSideExpression&amp;amp;gt;MFPR01006688&amp;amp;lt;/RightHandSideExpression&amp;amp;gt;&amp;amp;lt;IsSubquery&amp;amp;gt;False&amp;amp;lt;/IsSubquery&amp;amp;gt;&amp;amp;lt;SubqueryTe'"</definedName>
    <definedName name="_AMO_ContentDefinition_485496469.986"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485496469.987" hidden="1">"'ndSideExpression&amp;amp;gt;MFPR01006689&amp;amp;lt;/RightHandSideExpression&amp;amp;gt;&amp;amp;lt;IsSubquery&amp;amp;gt;False&amp;amp;lt;/IsSubquery&amp;amp;gt;&amp;amp;lt;SubqueryTemplateName /&amp;amp;gt;&amp;amp;lt;/RHSItem&amp;amp;gt;&amp;amp;lt;RHSItem&amp;amp;gt;&amp;amp;lt;RHSType&amp;amp;gt;EXPRESSIO'"</definedName>
    <definedName name="_AMO_ContentDefinition_485496469.988" hidden="1">"'N&amp;amp;lt;/RHSType&amp;amp;gt;&amp;amp;lt;AddQuotes&amp;amp;gt;True&amp;amp;lt;/AddQuotes&amp;amp;gt;&amp;amp;lt;DateFormat&amp;amp;gt;None&amp;amp;lt;/DateFormat&amp;amp;gt;&amp;amp;lt;RightHandSideExpression&amp;amp;gt;MFPR01006690&amp;amp;lt;/RightHandSideExpression&amp;amp;gt;&amp;amp;lt;IsSubquery&amp;amp;'"</definedName>
    <definedName name="_AMO_ContentDefinition_485496469.989"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485496469.99" hidden="1">"'01007255',&amp;#xD;&amp;#xA;'MFPR01007256',&amp;#xD;&amp;#xA;'MFPR01007257',&amp;#xD;&amp;#xA;'MFPR01007258',&amp;#xD;&amp;#xA;'MFPR01007259',&amp;#xD;&amp;#xA;'MFPR01007260',&amp;#xD;&amp;#xA;'MFPR01007261',&amp;#xD;&amp;#xA;'MFPR01007262',&amp;#xD;&amp;#xA;'MFPR01007263',&amp;#xD;&amp;#xA;'MFPR01007264',&amp;#xD;&amp;#xA;'MFPR0'"</definedName>
    <definedName name="_AMO_ContentDefinition_485496469.990" hidden="1">"'amp;gt;None&amp;amp;lt;/DateFormat&amp;amp;gt;&amp;amp;lt;RightHandSideExpression&amp;amp;gt;MFPR01006691&amp;amp;lt;/RightHandSideExpression&amp;amp;gt;&amp;amp;lt;IsSubquery&amp;amp;gt;False&amp;amp;lt;/IsSubquery&amp;amp;gt;&amp;amp;lt;SubqueryTemplateName /&amp;amp;gt;&amp;amp;lt;/RHSItem&amp;amp;gt;&amp;a'"</definedName>
    <definedName name="_AMO_ContentDefinition_485496469.991" hidden="1">"'mp;lt;RHSItem&amp;amp;gt;&amp;amp;lt;RHSType&amp;amp;gt;EXPRESSION&amp;amp;lt;/RHSType&amp;amp;gt;&amp;amp;lt;AddQuotes&amp;amp;gt;True&amp;amp;lt;/AddQuotes&amp;amp;gt;&amp;amp;lt;DateFormat&amp;amp;gt;None&amp;amp;lt;/DateFormat&amp;amp;gt;&amp;amp;lt;RightHandSideExpression&amp;amp;gt;MFPR01006692&amp;amp;lt;/R'"</definedName>
    <definedName name="_AMO_ContentDefinition_485496469.992"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485496469.993" hidden="1">"';gt;True&amp;amp;lt;/AddQuotes&amp;amp;gt;&amp;amp;lt;DateFormat&amp;amp;gt;None&amp;amp;lt;/DateFormat&amp;amp;gt;&amp;amp;lt;RightHandSideExpression&amp;amp;gt;MFPR01006693&amp;amp;lt;/RightHandSideExpression&amp;amp;gt;&amp;amp;lt;IsSubquery&amp;amp;gt;False&amp;amp;lt;/IsSubquery&amp;amp;gt;&amp;amp;lt;Sub'"</definedName>
    <definedName name="_AMO_ContentDefinition_485496469.994"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485496469.995" hidden="1">"'RightHandSideExpression&amp;amp;gt;MFPR01006694&amp;amp;lt;/RightHandSideExpression&amp;amp;gt;&amp;amp;lt;IsSubquery&amp;amp;gt;False&amp;amp;lt;/IsSubquery&amp;amp;gt;&amp;amp;lt;SubqueryTemplateName /&amp;amp;gt;&amp;amp;lt;/RHSItem&amp;amp;gt;&amp;amp;lt;RHSItem&amp;amp;gt;&amp;amp;lt;RHSType&amp;amp;gt;EX'"</definedName>
    <definedName name="_AMO_ContentDefinition_485496469.996" hidden="1">"'PRESSION&amp;amp;lt;/RHSType&amp;amp;gt;&amp;amp;lt;AddQuotes&amp;amp;gt;True&amp;amp;lt;/AddQuotes&amp;amp;gt;&amp;amp;lt;DateFormat&amp;amp;gt;None&amp;amp;lt;/DateFormat&amp;amp;gt;&amp;amp;lt;RightHandSideExpression&amp;amp;gt;MFPR01006695&amp;amp;lt;/RightHandSideExpression&amp;amp;gt;&amp;amp;lt;IsSubque'"</definedName>
    <definedName name="_AMO_ContentDefinition_485496469.997"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485496469.998" hidden="1">"'Format&amp;amp;gt;None&amp;amp;lt;/DateFormat&amp;amp;gt;&amp;amp;lt;RightHandSideExpression&amp;amp;gt;MFPR01006696&amp;amp;lt;/RightHandSideExpression&amp;amp;gt;&amp;amp;lt;IsSubquery&amp;amp;gt;False&amp;amp;lt;/IsSubquery&amp;amp;gt;&amp;amp;lt;SubqueryTemplateName /&amp;amp;gt;&amp;amp;lt;/RHSItem&amp;am'"</definedName>
    <definedName name="_AMO_ContentDefinition_485496469.999" hidden="1">"'p;gt;&amp;amp;lt;RHSItem&amp;amp;gt;&amp;amp;lt;RHSType&amp;amp;gt;EXPRESSION&amp;amp;lt;/RHSType&amp;amp;gt;&amp;amp;lt;AddQuotes&amp;amp;gt;True&amp;amp;lt;/AddQuotes&amp;amp;gt;&amp;amp;lt;DateFormat&amp;amp;gt;None&amp;amp;lt;/DateFormat&amp;amp;gt;&amp;amp;lt;RightHandSideExpression&amp;amp;gt;MFPR01006697&amp;am'"</definedName>
    <definedName name="_AMO_ContentDefinition_540236810" hidden="1">"'Partitions:320'"</definedName>
    <definedName name="_AMO_ContentDefinition_540236810.0" hidden="1">"'&lt;ContentDefinition name=""SASApp:METRICS.validation_metrics_prior10_view"" rsid=""540236810"" type=""DataSet"" format=""ReportXml"" imgfmt=""ActiveX"" created=""06/04/2020 19:57:36"" modifed=""12/24/2020 08:34:15"" user=""Samora Cherebin"" apply=""F'"</definedName>
    <definedName name="_AMO_ContentDefinition_540236810.1" hidden="1">"'alse"" css=""C:\Program Files (x86)\SASHome\x86\SASAddInforMicrosoftOffice\8\Styles\AMODefault.css"" range=""SASApp_METRICS_validation_metric_2"" auto=""False"" xTime=""00:00:00.0139192"" rTime=""00:00:05.8185539"" bgnew=""False"" nFmt=""False"" grp'"</definedName>
    <definedName name="_AMO_ContentDefinition_540236810.10" hidden="1">"'MFPR02000254',&amp;#xD;&amp;#xA;'MFPR02000381',&amp;#xD;&amp;#xA;'MFPR02000508',&amp;#xD;&amp;#xA;'MFPR02000635',&amp;#xD;&amp;#xA;'MFPR02000762',&amp;#xD;&amp;#xA;'MFPR02000892',&amp;#xD;&amp;#xA;'MFPR02000893',&amp;#xD;&amp;#xA;'MFPR02000903',&amp;#xD;&amp;#xA;'MFPR02000904',&amp;#xD;&amp;#xA;'MFPR02000907',&amp;#xD;&amp;#xA;'M'"</definedName>
    <definedName name="_AMO_ContentDefinition_540236810.100" hidden="1">"';MFPR01005145&amp;amp;lt;/RightHandSideExpression&amp;amp;gt;&amp;amp;lt;IsSubquery&amp;amp;gt;False&amp;amp;lt;/IsSubquery&amp;amp;gt;&amp;amp;lt;SubqueryTemplateName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540236810.101" hidden="1">"'t;&amp;amp;lt;AddQuotes&amp;amp;gt;True&amp;amp;lt;/AddQuotes&amp;amp;gt;&amp;amp;lt;DateFormat&amp;amp;gt;None&amp;amp;lt;/DateFormat&amp;amp;gt;&amp;amp;lt;RightHandSideExpression&amp;amp;gt;MFPR01005146&amp;amp;lt;/RightHandSideExpression&amp;amp;gt;&amp;amp;lt;IsSubquery&amp;amp;gt;False&amp;amp;lt;/IsSubq'"</definedName>
    <definedName name="_AMO_ContentDefinition_540236810.102"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540236810.103" hidden="1">"'eFormat&amp;amp;gt;&amp;amp;lt;RightHandSideExpression&amp;amp;gt;MFPR01005147&amp;amp;lt;/RightHandSideExpression&amp;amp;gt;&amp;amp;lt;IsSubquery&amp;amp;gt;False&amp;amp;lt;/IsSubquery&amp;amp;gt;&amp;amp;lt;SubqueryTemplateName /&amp;amp;gt;&amp;amp;lt;/RHSItem&amp;amp;gt;&amp;amp;lt;RHSItem&amp;amp;gt;&amp;a'"</definedName>
    <definedName name="_AMO_ContentDefinition_540236810.104" hidden="1">"'mp;lt;RHSType&amp;amp;gt;EXPRESSION&amp;amp;lt;/RHSType&amp;amp;gt;&amp;amp;lt;AddQuotes&amp;amp;gt;True&amp;amp;lt;/AddQuotes&amp;amp;gt;&amp;amp;lt;DateFormat&amp;amp;gt;None&amp;amp;lt;/DateFormat&amp;amp;gt;&amp;amp;lt;RightHandSideExpression&amp;amp;gt;MFPR01005152&amp;amp;lt;/RightHandSideExpression&amp;'"</definedName>
    <definedName name="_AMO_ContentDefinition_540236810.105"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540236810.106" hidden="1">"'tes&amp;amp;gt;&amp;amp;lt;DateFormat&amp;amp;gt;None&amp;amp;lt;/DateFormat&amp;amp;gt;&amp;amp;lt;RightHandSideExpression&amp;amp;gt;MFPR01005171&amp;amp;lt;/RightHandSideExpression&amp;amp;gt;&amp;amp;lt;IsSubquery&amp;amp;gt;False&amp;amp;lt;/IsSubquery&amp;amp;gt;&amp;amp;lt;SubqueryTemplateName /&amp;amp'"</definedName>
    <definedName name="_AMO_ContentDefinition_540236810.107"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540236810.108" hidden="1">"'&amp;amp;gt;MFPR01005173&amp;amp;lt;/RightHandSideExpression&amp;amp;gt;&amp;amp;lt;IsSubquery&amp;amp;gt;False&amp;amp;lt;/IsSubquery&amp;amp;gt;&amp;amp;lt;SubqueryTemplateName /&amp;amp;gt;&amp;amp;lt;/RHSItem&amp;amp;gt;&amp;amp;lt;RHSItem&amp;amp;gt;&amp;amp;lt;RHSType&amp;amp;gt;EXPRESSION&amp;amp;lt;/RHSTyp'"</definedName>
    <definedName name="_AMO_ContentDefinition_540236810.109" hidden="1">"'e&amp;amp;gt;&amp;amp;lt;AddQuotes&amp;amp;gt;True&amp;amp;lt;/AddQuotes&amp;amp;gt;&amp;amp;lt;DateFormat&amp;amp;gt;None&amp;amp;lt;/DateFormat&amp;amp;gt;&amp;amp;lt;RightHandSideExpression&amp;amp;gt;MFPR01005180&amp;amp;lt;/RightHandSideExpression&amp;amp;gt;&amp;amp;lt;IsSubquery&amp;amp;gt;False&amp;amp;lt;'"</definedName>
    <definedName name="_AMO_ContentDefinition_540236810.11" hidden="1">"'FPR02000908',&amp;#xD;&amp;#xA;'MFPR02000934',&amp;#xD;&amp;#xA;'MFPR02000938',&amp;#xD;&amp;#xA;'MFPR02000941',&amp;#xD;&amp;#xA;'MFPR02000942',&amp;#xD;&amp;#xA;'MFPR02000943',&amp;#xD;&amp;#xA;'MFPR02000944',&amp;#xD;&amp;#xA;'MFPR02000949',&amp;#xD;&amp;#xA;'MFPR02000950',&amp;#xD;&amp;#xA;'MFPR02000954',&amp;#xD;&amp;#xA;'MF'"</definedName>
    <definedName name="_AMO_ContentDefinition_540236810.110"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540236810.111" hidden="1">"'lt;/DateFormat&amp;amp;gt;&amp;amp;lt;RightHandSideExpression&amp;amp;gt;MFPR01005181&amp;amp;lt;/RightHandSideExpression&amp;amp;gt;&amp;amp;lt;IsSubquery&amp;amp;gt;False&amp;amp;lt;/IsSubquery&amp;amp;gt;&amp;amp;lt;SubqueryTemplateName /&amp;amp;gt;&amp;amp;lt;/RHSItem&amp;amp;gt;&amp;amp;lt;RHSItem&amp;am'"</definedName>
    <definedName name="_AMO_ContentDefinition_540236810.112" hidden="1">"'p;gt;&amp;amp;lt;RHSType&amp;amp;gt;EXPRESSION&amp;amp;lt;/RHSType&amp;amp;gt;&amp;amp;lt;AddQuotes&amp;amp;gt;True&amp;amp;lt;/AddQuotes&amp;amp;gt;&amp;amp;lt;DateFormat&amp;amp;gt;None&amp;amp;lt;/DateFormat&amp;amp;gt;&amp;amp;lt;RightHandSideExpression&amp;amp;gt;MFPR01005182&amp;amp;lt;/RightHandSideExpr'"</definedName>
    <definedName name="_AMO_ContentDefinition_540236810.113"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540236810.114" hidden="1">"'/AddQuotes&amp;amp;gt;&amp;amp;lt;DateFormat&amp;amp;gt;None&amp;amp;lt;/DateFormat&amp;amp;gt;&amp;amp;lt;RightHandSideExpression&amp;amp;gt;MFPR01005187&amp;amp;lt;/RightHandSideExpression&amp;amp;gt;&amp;amp;lt;IsSubquery&amp;amp;gt;False&amp;amp;lt;/IsSubquery&amp;amp;gt;&amp;amp;lt;SubqueryTemplateNam'"</definedName>
    <definedName name="_AMO_ContentDefinition_540236810.115"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540236810.116" hidden="1">"'ression&amp;amp;gt;MFPR01006303&amp;amp;lt;/RightHandSideExpression&amp;amp;gt;&amp;amp;lt;IsSubquery&amp;amp;gt;False&amp;amp;lt;/IsSubquery&amp;amp;gt;&amp;amp;lt;SubqueryTemplateName /&amp;amp;gt;&amp;amp;lt;/RHSItem&amp;amp;gt;&amp;amp;lt;RHSItem&amp;amp;gt;&amp;amp;lt;RHSType&amp;amp;gt;EXPRESSION&amp;amp;lt;'"</definedName>
    <definedName name="_AMO_ContentDefinition_540236810.117" hidden="1">"'/RHSType&amp;amp;gt;&amp;amp;lt;AddQuotes&amp;amp;gt;True&amp;amp;lt;/AddQuotes&amp;amp;gt;&amp;amp;lt;DateFormat&amp;amp;gt;None&amp;amp;lt;/DateFormat&amp;amp;gt;&amp;amp;lt;RightHandSideExpression&amp;amp;gt;MFPR01006304&amp;amp;lt;/RightHandSideExpression&amp;amp;gt;&amp;amp;lt;IsSubquery&amp;amp;gt;False&amp;'"</definedName>
    <definedName name="_AMO_ContentDefinition_540236810.118"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540236810.119" hidden="1">"'ne&amp;amp;lt;/DateFormat&amp;amp;gt;&amp;amp;lt;RightHandSideExpression&amp;amp;gt;MFPR01006307&amp;amp;lt;/RightHandSideExpression&amp;amp;gt;&amp;amp;lt;IsSubquery&amp;amp;gt;False&amp;amp;lt;/IsSubquery&amp;amp;gt;&amp;amp;lt;SubqueryTemplateName /&amp;amp;gt;&amp;amp;lt;/RHSItem&amp;amp;gt;&amp;amp;lt;RHS'"</definedName>
    <definedName name="_AMO_ContentDefinition_540236810.12" hidden="1">"'PR02000960',&amp;#xD;&amp;#xA;'MFPR02000963',&amp;#xD;&amp;#xA;'MFPR02000970',&amp;#xD;&amp;#xA;'MFPR02000974',&amp;#xD;&amp;#xA;'MFPR02000975',&amp;#xD;&amp;#xA;'MFPR02000976',&amp;#xD;&amp;#xA;'MFPR02000977',&amp;#xD;&amp;#xA;'MFPR02000978',&amp;#xD;&amp;#xA;'MFPR02000979',&amp;#xD;&amp;#xA;'MFPR02000980',&amp;#xD;&amp;#xA;'MFP'"</definedName>
    <definedName name="_AMO_ContentDefinition_540236810.120" hidden="1">"'Item&amp;amp;gt;&amp;amp;lt;RHSType&amp;amp;gt;EXPRESSION&amp;amp;lt;/RHSType&amp;amp;gt;&amp;amp;lt;AddQuotes&amp;amp;gt;True&amp;amp;lt;/AddQuotes&amp;amp;gt;&amp;amp;lt;DateFormat&amp;amp;gt;None&amp;amp;lt;/DateFormat&amp;amp;gt;&amp;amp;lt;RightHandSideExpression&amp;amp;gt;MFPR01006308&amp;amp;lt;/RightHandS'"</definedName>
    <definedName name="_AMO_ContentDefinition_540236810.121"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540236810.122" hidden="1">"'amp;lt;/AddQuotes&amp;amp;gt;&amp;amp;lt;DateFormat&amp;amp;gt;None&amp;amp;lt;/DateFormat&amp;amp;gt;&amp;amp;lt;RightHandSideExpression&amp;amp;gt;MFPR01006311&amp;amp;lt;/RightHandSideExpression&amp;amp;gt;&amp;amp;lt;IsSubquery&amp;amp;gt;False&amp;amp;lt;/IsSubquery&amp;amp;gt;&amp;amp;lt;SubqueryTemp'"</definedName>
    <definedName name="_AMO_ContentDefinition_540236810.123"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540236810.124" hidden="1">"'SideExpression&amp;amp;gt;MFPR01006312&amp;amp;lt;/RightHandSideExpression&amp;amp;gt;&amp;amp;lt;IsSubquery&amp;amp;gt;False&amp;amp;lt;/IsSubquery&amp;amp;gt;&amp;amp;lt;SubqueryTemplateName /&amp;amp;gt;&amp;amp;lt;/RHSItem&amp;amp;gt;&amp;amp;lt;RHSItem&amp;amp;gt;&amp;amp;lt;RHSType&amp;amp;gt;EXPRESSION&amp;'"</definedName>
    <definedName name="_AMO_ContentDefinition_540236810.125" hidden="1">"'amp;lt;/RHSType&amp;amp;gt;&amp;amp;lt;AddQuotes&amp;amp;gt;True&amp;amp;lt;/AddQuotes&amp;amp;gt;&amp;amp;lt;DateFormat&amp;amp;gt;None&amp;amp;lt;/DateFormat&amp;amp;gt;&amp;amp;lt;RightHandSideExpression&amp;amp;gt;MFPR01006313&amp;amp;lt;/RightHandSideExpression&amp;amp;gt;&amp;amp;lt;IsSubquery&amp;amp;gt'"</definedName>
    <definedName name="_AMO_ContentDefinition_540236810.126"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540236810.127" hidden="1">"'p;gt;None&amp;amp;lt;/DateFormat&amp;amp;gt;&amp;amp;lt;RightHandSideExpression&amp;amp;gt;MFPR01006315&amp;amp;lt;/RightHandSideExpression&amp;amp;gt;&amp;amp;lt;IsSubquery&amp;amp;gt;False&amp;amp;lt;/IsSubquery&amp;amp;gt;&amp;amp;lt;SubqueryTemplateName /&amp;amp;gt;&amp;amp;lt;/RHSItem&amp;amp;gt;&amp;amp'"</definedName>
    <definedName name="_AMO_ContentDefinition_540236810.128" hidden="1">"';lt;RHSItem&amp;amp;gt;&amp;amp;lt;RHSType&amp;amp;gt;EXPRESSION&amp;amp;lt;/RHSType&amp;amp;gt;&amp;amp;lt;AddQuotes&amp;amp;gt;True&amp;amp;lt;/AddQuotes&amp;amp;gt;&amp;amp;lt;DateFormat&amp;amp;gt;None&amp;amp;lt;/DateFormat&amp;amp;gt;&amp;amp;lt;RightHandSideExpression&amp;amp;gt;MFPR01006316&amp;amp;lt;/Rig'"</definedName>
    <definedName name="_AMO_ContentDefinition_540236810.129"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540236810.13" hidden="1">"'R02000988',&amp;#xD;&amp;#xA;'MFPR02000995',&amp;#xD;&amp;#xA;'MFPR02000996',&amp;#xD;&amp;#xA;'MFPR02000999',&amp;#xD;&amp;#xA;'MFPR02001003',&amp;#xD;&amp;#xA;'MFPR02001008',&amp;#xD;&amp;#xA;'MFPR02001012',&amp;#xD;&amp;#xA;'MFPR02001013',&amp;#xD;&amp;#xA;'MFPR02001014',&amp;#xD;&amp;#xA;'MFPR02001015',&amp;#xD;&amp;#xA;'MFPR'"</definedName>
    <definedName name="_AMO_ContentDefinition_540236810.130" hidden="1">"'t;True&amp;amp;lt;/AddQuotes&amp;amp;gt;&amp;amp;lt;DateFormat&amp;amp;gt;None&amp;amp;lt;/DateFormat&amp;amp;gt;&amp;amp;lt;RightHandSideExpression&amp;amp;gt;MFPR01006317&amp;amp;lt;/RightHandSideExpression&amp;amp;gt;&amp;amp;lt;IsSubquery&amp;amp;gt;False&amp;amp;lt;/IsSubquery&amp;amp;gt;&amp;amp;lt;Subqu'"</definedName>
    <definedName name="_AMO_ContentDefinition_540236810.131"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540236810.132" hidden="1">"'ghtHandSideExpression&amp;amp;gt;MFPR01006318&amp;amp;lt;/RightHandSideExpression&amp;amp;gt;&amp;amp;lt;IsSubquery&amp;amp;gt;False&amp;amp;lt;/IsSubquery&amp;amp;gt;&amp;amp;lt;SubqueryTemplateName /&amp;amp;gt;&amp;amp;lt;/RHSItem&amp;amp;gt;&amp;amp;lt;RHSItem&amp;amp;gt;&amp;amp;lt;RHSType&amp;amp;gt;EXPR'"</definedName>
    <definedName name="_AMO_ContentDefinition_540236810.133" hidden="1">"'ESSION&amp;amp;lt;/RHSType&amp;amp;gt;&amp;amp;lt;AddQuotes&amp;amp;gt;True&amp;amp;lt;/AddQuotes&amp;amp;gt;&amp;amp;lt;DateFormat&amp;amp;gt;None&amp;amp;lt;/DateFormat&amp;amp;gt;&amp;amp;lt;RightHandSideExpression&amp;amp;gt;MFPR01006319&amp;amp;lt;/RightHandSideExpression&amp;amp;gt;&amp;amp;lt;IsSubquery'"</definedName>
    <definedName name="_AMO_ContentDefinition_540236810.134"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540236810.135" hidden="1">"'rmat&amp;amp;gt;None&amp;amp;lt;/DateFormat&amp;amp;gt;&amp;amp;lt;RightHandSideExpression&amp;amp;gt;MFPR01006320&amp;amp;lt;/RightHandSideExpression&amp;amp;gt;&amp;amp;lt;IsSubquery&amp;amp;gt;False&amp;amp;lt;/IsSubquery&amp;amp;gt;&amp;amp;lt;SubqueryTemplateName /&amp;amp;gt;&amp;amp;lt;/RHSItem&amp;amp;'"</definedName>
    <definedName name="_AMO_ContentDefinition_540236810.136" hidden="1">"'gt;&amp;amp;lt;RHSItem&amp;amp;gt;&amp;amp;lt;RHSType&amp;amp;gt;EXPRESSION&amp;amp;lt;/RHSType&amp;amp;gt;&amp;amp;lt;AddQuotes&amp;amp;gt;True&amp;amp;lt;/AddQuotes&amp;amp;gt;&amp;amp;lt;DateFormat&amp;amp;gt;None&amp;amp;lt;/DateFormat&amp;amp;gt;&amp;amp;lt;RightHandSideExpression&amp;amp;gt;MFPR01006321&amp;amp;'"</definedName>
    <definedName name="_AMO_ContentDefinition_540236810.137"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540236810.138" hidden="1">"'s&amp;amp;gt;True&amp;amp;lt;/AddQuotes&amp;amp;gt;&amp;amp;lt;DateFormat&amp;amp;gt;None&amp;amp;lt;/DateFormat&amp;amp;gt;&amp;amp;lt;RightHandSideExpression&amp;amp;gt;MFPR02000127&amp;amp;lt;/RightHandSideExpression&amp;amp;gt;&amp;amp;lt;IsSubquery&amp;amp;gt;False&amp;amp;lt;/IsSubquery&amp;amp;gt;&amp;amp;l'"</definedName>
    <definedName name="_AMO_ContentDefinition_540236810.139"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540236810.14" hidden="1">"'02001016',&amp;#xD;&amp;#xA;'MFPR02001017',&amp;#xD;&amp;#xA;'MFPR02001018',&amp;#xD;&amp;#xA;'MFPR04004612',&amp;#xD;&amp;#xA;'MFPR04004613',&amp;#xD;&amp;#xA;'MFPR04004614',&amp;#xD;&amp;#xA;'MFPR04004617',&amp;#xD;&amp;#xA;'MFPR04004618',&amp;#xD;&amp;#xA;'MFPR04004619',&amp;#xD;&amp;#xA;'MFPR04004622',&amp;#xD;&amp;#xA;'MFPR0'"</definedName>
    <definedName name="_AMO_ContentDefinition_540236810.140" hidden="1">"'p;lt;RightHandSideExpression&amp;amp;gt;MFPR02000254&amp;amp;lt;/RightHandSideExpression&amp;amp;gt;&amp;amp;lt;IsSubquery&amp;amp;gt;False&amp;amp;lt;/IsSubquery&amp;amp;gt;&amp;amp;lt;SubqueryTemplateName /&amp;amp;gt;&amp;amp;lt;/RHSItem&amp;amp;gt;&amp;amp;lt;RHSItem&amp;amp;gt;&amp;amp;lt;RHSType&amp;amp;'"</definedName>
    <definedName name="_AMO_ContentDefinition_540236810.141" hidden="1">"'gt;EXPRESSION&amp;amp;lt;/RHSType&amp;amp;gt;&amp;amp;lt;AddQuotes&amp;amp;gt;True&amp;amp;lt;/AddQuotes&amp;amp;gt;&amp;amp;lt;DateFormat&amp;amp;gt;None&amp;amp;lt;/DateFormat&amp;amp;gt;&amp;amp;lt;RightHandSideExpression&amp;amp;gt;MFPR02000381&amp;amp;lt;/RightHandSideExpression&amp;amp;gt;&amp;amp;lt;IsS'"</definedName>
    <definedName name="_AMO_ContentDefinition_540236810.142"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540236810.143" hidden="1">"';DateFormat&amp;amp;gt;None&amp;amp;lt;/DateFormat&amp;amp;gt;&amp;amp;lt;RightHandSideExpression&amp;amp;gt;MFPR02000508&amp;amp;lt;/RightHandSideExpression&amp;amp;gt;&amp;amp;lt;IsSubquery&amp;amp;gt;False&amp;amp;lt;/IsSubquery&amp;amp;gt;&amp;amp;lt;SubqueryTemplateName /&amp;amp;gt;&amp;amp;lt;/RHSIt'"</definedName>
    <definedName name="_AMO_ContentDefinition_540236810.144" hidden="1">"'em&amp;amp;gt;&amp;amp;lt;RHSItem&amp;amp;gt;&amp;amp;lt;RHSType&amp;amp;gt;EXPRESSION&amp;amp;lt;/RHSType&amp;amp;gt;&amp;amp;lt;AddQuotes&amp;amp;gt;True&amp;amp;lt;/AddQuotes&amp;amp;gt;&amp;amp;lt;DateFormat&amp;amp;gt;None&amp;amp;lt;/DateFormat&amp;amp;gt;&amp;amp;lt;RightHandSideExpression&amp;amp;gt;MFPR020006'"</definedName>
    <definedName name="_AMO_ContentDefinition_540236810.145" hidden="1">"'35&amp;amp;lt;/RightHandSideExpression&amp;amp;gt;&amp;amp;lt;IsSubquery&amp;amp;gt;False&amp;amp;lt;/IsSubquery&amp;amp;gt;&amp;amp;lt;SubqueryTemplateName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540236810.146" hidden="1">"'ddQuotes&amp;amp;gt;True&amp;amp;lt;/AddQuotes&amp;amp;gt;&amp;amp;lt;DateFormat&amp;amp;gt;None&amp;amp;lt;/DateFormat&amp;amp;gt;&amp;amp;lt;RightHandSideExpression&amp;amp;gt;MFPR02000762&amp;amp;lt;/RightHandSideExpression&amp;amp;gt;&amp;amp;lt;IsSubquery&amp;amp;gt;False&amp;amp;lt;/IsSubquery&amp;amp;gt'"</definedName>
    <definedName name="_AMO_ContentDefinition_540236810.147"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540236810.148" hidden="1">"';gt;&amp;amp;lt;RightHandSideExpression&amp;amp;gt;MFPR02000892&amp;amp;lt;/RightHandSideExpression&amp;amp;gt;&amp;amp;lt;IsSubquery&amp;amp;gt;False&amp;amp;lt;/IsSubquery&amp;amp;gt;&amp;amp;lt;SubqueryTemplateName /&amp;amp;gt;&amp;amp;lt;/RHSItem&amp;amp;gt;&amp;amp;lt;RHSItem&amp;amp;gt;&amp;amp;lt;RHSTy'"</definedName>
    <definedName name="_AMO_ContentDefinition_540236810.149" hidden="1">"'pe&amp;amp;gt;EXPRESSION&amp;amp;lt;/RHSType&amp;amp;gt;&amp;amp;lt;AddQuotes&amp;amp;gt;True&amp;amp;lt;/AddQuotes&amp;amp;gt;&amp;amp;lt;DateFormat&amp;amp;gt;None&amp;amp;lt;/DateFormat&amp;amp;gt;&amp;amp;lt;RightHandSideExpression&amp;amp;gt;MFPR02000893&amp;amp;lt;/RightHandSideExpression&amp;amp;gt;&amp;amp'"</definedName>
    <definedName name="_AMO_ContentDefinition_540236810.15" hidden="1">"'4004623',&amp;#xD;&amp;#xA;'MFPR04004624',&amp;#xD;&amp;#xA;'MFPR04004627',&amp;#xD;&amp;#xA;'MFPR04004628',&amp;#xD;&amp;#xA;'MFPR04004629',&amp;#xD;&amp;#xA;'MFPR04004632',&amp;#xD;&amp;#xA;'MFPR04004633',&amp;#xD;&amp;#xA;'MFPR04004634',&amp;#xD;&amp;#xA;'MFPR04004637',&amp;#xD;&amp;#xA;'MFPR04004638',&amp;#xD;&amp;#xA;'MFPR04'"</definedName>
    <definedName name="_AMO_ContentDefinition_540236810.150"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540236810.151" hidden="1">"'&amp;amp;lt;DateFormat&amp;amp;gt;None&amp;amp;lt;/DateFormat&amp;amp;gt;&amp;amp;lt;RightHandSideExpression&amp;amp;gt;MFPR02000903&amp;amp;lt;/RightHandSideExpression&amp;amp;gt;&amp;amp;lt;IsSubquery&amp;amp;gt;False&amp;amp;lt;/IsSubquery&amp;amp;gt;&amp;amp;lt;SubqueryTemplateName /&amp;amp;gt;&amp;amp;lt'"</definedName>
    <definedName name="_AMO_ContentDefinition_540236810.152" hidden="1">"';/RHSItem&amp;amp;gt;&amp;amp;lt;RHSItem&amp;amp;gt;&amp;amp;lt;RHSType&amp;amp;gt;EXPRESSION&amp;amp;lt;/RHSType&amp;amp;gt;&amp;amp;lt;AddQuotes&amp;amp;gt;True&amp;amp;lt;/AddQuotes&amp;amp;gt;&amp;amp;lt;DateFormat&amp;amp;gt;None&amp;amp;lt;/DateFormat&amp;amp;gt;&amp;amp;lt;RightHandSideExpression&amp;amp;gt;MFP'"</definedName>
    <definedName name="_AMO_ContentDefinition_540236810.153" hidden="1">"'R02000904&amp;amp;lt;/RightHandSideExpression&amp;amp;gt;&amp;amp;lt;IsSubquery&amp;amp;gt;False&amp;amp;lt;/IsSubquery&amp;amp;gt;&amp;amp;lt;SubqueryTemplateName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540236810.154" hidden="1">"'mp;lt;AddQuotes&amp;amp;gt;True&amp;amp;lt;/AddQuotes&amp;amp;gt;&amp;amp;lt;DateFormat&amp;amp;gt;None&amp;amp;lt;/DateFormat&amp;amp;gt;&amp;amp;lt;RightHandSideExpression&amp;amp;gt;MFPR02000907&amp;amp;lt;/RightHandSideExpression&amp;amp;gt;&amp;amp;lt;IsSubquery&amp;amp;gt;False&amp;amp;lt;/IsSubquery'"</definedName>
    <definedName name="_AMO_ContentDefinition_540236810.155"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540236810.156" hidden="1">"'mat&amp;amp;gt;&amp;amp;lt;RightHandSideExpression&amp;amp;gt;MFPR02000908&amp;amp;lt;/RightHandSideExpression&amp;amp;gt;&amp;amp;lt;IsSubquery&amp;amp;gt;False&amp;amp;lt;/IsSubquery&amp;amp;gt;&amp;amp;lt;SubqueryTemplateName /&amp;amp;gt;&amp;amp;lt;/RHSItem&amp;amp;gt;&amp;amp;lt;RHSItem&amp;amp;gt;&amp;amp;l'"</definedName>
    <definedName name="_AMO_ContentDefinition_540236810.157" hidden="1">"'t;RHSType&amp;amp;gt;EXPRESSION&amp;amp;lt;/RHSType&amp;amp;gt;&amp;amp;lt;AddQuotes&amp;amp;gt;True&amp;amp;lt;/AddQuotes&amp;amp;gt;&amp;amp;lt;DateFormat&amp;amp;gt;None&amp;amp;lt;/DateFormat&amp;amp;gt;&amp;amp;lt;RightHandSideExpression&amp;amp;gt;MFPR02000934&amp;amp;lt;/RightHandSideExpression&amp;amp;'"</definedName>
    <definedName name="_AMO_ContentDefinition_540236810.158"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540236810.159" hidden="1">"'amp;gt;&amp;amp;lt;DateFormat&amp;amp;gt;None&amp;amp;lt;/DateFormat&amp;amp;gt;&amp;amp;lt;RightHandSideExpression&amp;amp;gt;MFPR02000938&amp;amp;lt;/RightHandSideExpression&amp;amp;gt;&amp;amp;lt;IsSubquery&amp;amp;gt;False&amp;amp;lt;/IsSubquery&amp;amp;gt;&amp;amp;lt;SubqueryTemplateName /&amp;amp;gt;'"</definedName>
    <definedName name="_AMO_ContentDefinition_540236810.16" hidden="1">"'004639',&amp;#xD;&amp;#xA;'MFPR04004643',&amp;#xD;&amp;#xA;'MFPR04004644',&amp;#xD;&amp;#xA;'MFPR04004645',&amp;#xD;&amp;#xA;'MFPR04001368',&amp;#xD;&amp;#xA;'MFPR04001437',&amp;#xD;&amp;#xA;'MFPR04001506',&amp;#xD;&amp;#xA;'MFPR04001575',&amp;#xD;&amp;#xA;'MFPR04001644',&amp;#xD;&amp;#xA;'MFPR04001713',&amp;#xD;&amp;#xA;'MFPR040'"</definedName>
    <definedName name="_AMO_ContentDefinition_540236810.160" hidden="1">"'&amp;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540236810.161" hidden="1">"';gt;MFPR02000941&amp;amp;lt;/RightHandSideExpression&amp;amp;gt;&amp;amp;lt;IsSubquery&amp;amp;gt;False&amp;amp;lt;/IsSubquery&amp;amp;gt;&amp;amp;lt;SubqueryTemplateName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540236810.162" hidden="1">"'p;gt;&amp;amp;lt;AddQuotes&amp;amp;gt;True&amp;amp;lt;/AddQuotes&amp;amp;gt;&amp;amp;lt;DateFormat&amp;amp;gt;None&amp;amp;lt;/DateFormat&amp;amp;gt;&amp;amp;lt;RightHandSideExpression&amp;amp;gt;MFPR02000942&amp;amp;lt;/RightHandSideExpression&amp;amp;gt;&amp;amp;lt;IsSubquery&amp;amp;gt;False&amp;amp;lt;/IsS'"</definedName>
    <definedName name="_AMO_ContentDefinition_540236810.163"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540236810.164" hidden="1">"'DateFormat&amp;amp;gt;&amp;amp;lt;RightHandSideExpression&amp;amp;gt;MFPR02000943&amp;amp;lt;/RightHandSideExpression&amp;amp;gt;&amp;amp;lt;IsSubquery&amp;amp;gt;False&amp;amp;lt;/IsSubquery&amp;amp;gt;&amp;amp;lt;SubqueryTemplateName /&amp;amp;gt;&amp;amp;lt;/RHSItem&amp;amp;gt;&amp;amp;lt;RHSItem&amp;amp;gt'"</definedName>
    <definedName name="_AMO_ContentDefinition_540236810.165" hidden="1">"';&amp;amp;lt;RHSType&amp;amp;gt;EXPRESSION&amp;amp;lt;/RHSType&amp;amp;gt;&amp;amp;lt;AddQuotes&amp;amp;gt;True&amp;amp;lt;/AddQuotes&amp;amp;gt;&amp;amp;lt;DateFormat&amp;amp;gt;None&amp;amp;lt;/DateFormat&amp;amp;gt;&amp;amp;lt;RightHandSideExpression&amp;amp;gt;MFPR02000944&amp;amp;lt;/RightHandSideExpressi'"</definedName>
    <definedName name="_AMO_ContentDefinition_540236810.166"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540236810.167" hidden="1">"'Quotes&amp;amp;gt;&amp;amp;lt;DateFormat&amp;amp;gt;None&amp;amp;lt;/DateFormat&amp;amp;gt;&amp;amp;lt;RightHandSideExpression&amp;amp;gt;MFPR02000949&amp;amp;lt;/RightHandSideExpression&amp;amp;gt;&amp;amp;lt;IsSubquery&amp;amp;gt;False&amp;amp;lt;/IsSubquery&amp;amp;gt;&amp;amp;lt;SubqueryTemplateName /&amp;'"</definedName>
    <definedName name="_AMO_ContentDefinition_540236810.168"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540236810.169" hidden="1">"'ion&amp;amp;gt;MFPR02000950&amp;amp;lt;/RightHandSideExpression&amp;amp;gt;&amp;amp;lt;IsSubquery&amp;amp;gt;False&amp;amp;lt;/IsSubquery&amp;amp;gt;&amp;amp;lt;SubqueryTemplateName /&amp;amp;gt;&amp;amp;lt;/RHSItem&amp;amp;gt;&amp;amp;lt;RHSItem&amp;amp;gt;&amp;amp;lt;RHSType&amp;amp;gt;EXPRESSION&amp;amp;lt;/RHS'"</definedName>
    <definedName name="_AMO_ContentDefinition_540236810.17" hidden="1">"'01782',&amp;#xD;&amp;#xA;'MFPR04001851',&amp;#xD;&amp;#xA;'MFPR04003576',&amp;#xD;&amp;#xA;'MFPR04003645',&amp;#xD;&amp;#xA;'MFPR04003714',&amp;#xD;&amp;#xA;'MFPR04003783',&amp;#xD;&amp;#xA;'MFPR04003852',&amp;#xD;&amp;#xA;'MFPR04003921',&amp;#xD;&amp;#xA;'MFPR04003990',&amp;#xD;&amp;#xA;'MFPR04004059',&amp;#xD;&amp;#xA;'MFPR0400'"</definedName>
    <definedName name="_AMO_ContentDefinition_540236810.170" hidden="1">"'Type&amp;amp;gt;&amp;amp;lt;AddQuotes&amp;amp;gt;True&amp;amp;lt;/AddQuotes&amp;amp;gt;&amp;amp;lt;DateFormat&amp;amp;gt;None&amp;amp;lt;/DateFormat&amp;amp;gt;&amp;amp;lt;RightHandSideExpression&amp;amp;gt;MFPR02000954&amp;amp;lt;/RightHandSideExpression&amp;amp;gt;&amp;amp;lt;IsSubquery&amp;amp;gt;False&amp;amp;'"</definedName>
    <definedName name="_AMO_ContentDefinition_540236810.171"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540236810.172" hidden="1">"'mp;lt;/DateFormat&amp;amp;gt;&amp;amp;lt;RightHandSideExpression&amp;amp;gt;MFPR02000960&amp;amp;lt;/RightHandSideExpression&amp;amp;gt;&amp;amp;lt;IsSubquery&amp;amp;gt;False&amp;amp;lt;/IsSubquery&amp;amp;gt;&amp;amp;lt;SubqueryTemplateName /&amp;amp;gt;&amp;amp;lt;/RHSItem&amp;amp;gt;&amp;amp;lt;RHSItem'"</definedName>
    <definedName name="_AMO_ContentDefinition_540236810.173" hidden="1">"'&amp;amp;gt;&amp;amp;lt;RHSType&amp;amp;gt;EXPRESSION&amp;amp;lt;/RHSType&amp;amp;gt;&amp;amp;lt;AddQuotes&amp;amp;gt;True&amp;amp;lt;/AddQuotes&amp;amp;gt;&amp;amp;lt;DateFormat&amp;amp;gt;None&amp;amp;lt;/DateFormat&amp;amp;gt;&amp;amp;lt;RightHandSideExpression&amp;amp;gt;MFPR02000963&amp;amp;lt;/RightHandSideE'"</definedName>
    <definedName name="_AMO_ContentDefinition_540236810.174"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540236810.175" hidden="1">"'lt;/AddQuotes&amp;amp;gt;&amp;amp;lt;DateFormat&amp;amp;gt;None&amp;amp;lt;/DateFormat&amp;amp;gt;&amp;amp;lt;RightHandSideExpression&amp;amp;gt;MFPR02000970&amp;amp;lt;/RightHandSideExpression&amp;amp;gt;&amp;amp;lt;IsSubquery&amp;amp;gt;False&amp;amp;lt;/IsSubquery&amp;amp;gt;&amp;amp;lt;SubqueryTemplate'"</definedName>
    <definedName name="_AMO_ContentDefinition_540236810.176"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540236810.177" hidden="1">"'Expression&amp;amp;gt;MFPR02000974&amp;amp;lt;/RightHandSideExpression&amp;amp;gt;&amp;amp;lt;IsSubquery&amp;amp;gt;False&amp;amp;lt;/IsSubquery&amp;amp;gt;&amp;amp;lt;SubqueryTemplateName /&amp;amp;gt;&amp;amp;lt;/RHSItem&amp;amp;gt;&amp;amp;lt;RHSItem&amp;amp;gt;&amp;amp;lt;RHSType&amp;amp;gt;EXPRESSION&amp;amp;'"</definedName>
    <definedName name="_AMO_ContentDefinition_540236810.178" hidden="1">"'lt;/RHSType&amp;amp;gt;&amp;amp;lt;AddQuotes&amp;amp;gt;True&amp;amp;lt;/AddQuotes&amp;amp;gt;&amp;amp;lt;DateFormat&amp;amp;gt;None&amp;amp;lt;/DateFormat&amp;amp;gt;&amp;amp;lt;RightHandSideExpression&amp;amp;gt;MFPR02000975&amp;amp;lt;/RightHandSideExpression&amp;amp;gt;&amp;amp;lt;IsSubquery&amp;amp;gt;Fal'"</definedName>
    <definedName name="_AMO_ContentDefinition_540236810.179"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540236810.18" hidden="1">"'0264',&amp;#xD;&amp;#xA;'MFPR04000333',&amp;#xD;&amp;#xA;'MFPR04000402',&amp;#xD;&amp;#xA;'MFPR04000471',&amp;#xD;&amp;#xA;'MFPR04000540',&amp;#xD;&amp;#xA;'MFPR04000609',&amp;#xD;&amp;#xA;'MFPR04000678',&amp;#xD;&amp;#xA;'MFPR04000747',&amp;#xD;&amp;#xA;'MFPR04002472',&amp;#xD;&amp;#xA;'MFPR04002541',&amp;#xD;&amp;#xA;'MFPR04002'"</definedName>
    <definedName name="_AMO_ContentDefinition_540236810.180" hidden="1">"';None&amp;amp;lt;/DateFormat&amp;amp;gt;&amp;amp;lt;RightHandSideExpression&amp;amp;gt;MFPR02000976&amp;amp;lt;/RightHandSideExpression&amp;amp;gt;&amp;amp;lt;IsSubquery&amp;amp;gt;False&amp;amp;lt;/IsSubquery&amp;amp;gt;&amp;amp;lt;SubqueryTemplateName /&amp;amp;gt;&amp;amp;lt;/RHSItem&amp;amp;gt;&amp;amp;lt;'"</definedName>
    <definedName name="_AMO_ContentDefinition_540236810.181" hidden="1">"'RHSItem&amp;amp;gt;&amp;amp;lt;RHSType&amp;amp;gt;EXPRESSION&amp;amp;lt;/RHSType&amp;amp;gt;&amp;amp;lt;AddQuotes&amp;amp;gt;True&amp;amp;lt;/AddQuotes&amp;amp;gt;&amp;amp;lt;DateFormat&amp;amp;gt;None&amp;amp;lt;/DateFormat&amp;amp;gt;&amp;amp;lt;RightHandSideExpression&amp;amp;gt;MFPR02000977&amp;amp;lt;/RightHa'"</definedName>
    <definedName name="_AMO_ContentDefinition_540236810.182"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540236810.183" hidden="1">"'ue&amp;amp;lt;/AddQuotes&amp;amp;gt;&amp;amp;lt;DateFormat&amp;amp;gt;None&amp;amp;lt;/DateFormat&amp;amp;gt;&amp;amp;lt;RightHandSideExpression&amp;amp;gt;MFPR02000978&amp;amp;lt;/RightHandSideExpression&amp;amp;gt;&amp;amp;lt;IsSubquery&amp;amp;gt;False&amp;amp;lt;/IsSubquery&amp;amp;gt;&amp;amp;lt;SubqueryT'"</definedName>
    <definedName name="_AMO_ContentDefinition_540236810.184"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540236810.185" hidden="1">"'andSideExpression&amp;amp;gt;MFPR02000979&amp;amp;lt;/RightHandSideExpression&amp;amp;gt;&amp;amp;lt;IsSubquery&amp;amp;gt;False&amp;amp;lt;/IsSubquery&amp;amp;gt;&amp;amp;lt;SubqueryTemplateName /&amp;amp;gt;&amp;amp;lt;/RHSItem&amp;amp;gt;&amp;amp;lt;RHSItem&amp;amp;gt;&amp;amp;lt;RHSType&amp;amp;gt;EXPRESSI'"</definedName>
    <definedName name="_AMO_ContentDefinition_540236810.186" hidden="1">"'ON&amp;amp;lt;/RHSType&amp;amp;gt;&amp;amp;lt;AddQuotes&amp;amp;gt;True&amp;amp;lt;/AddQuotes&amp;amp;gt;&amp;amp;lt;DateFormat&amp;amp;gt;None&amp;amp;lt;/DateFormat&amp;amp;gt;&amp;amp;lt;RightHandSideExpression&amp;amp;gt;MFPR02000980&amp;amp;lt;/RightHandSideExpression&amp;amp;gt;&amp;amp;lt;IsSubquery&amp;amp'"</definedName>
    <definedName name="_AMO_ContentDefinition_540236810.187"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540236810.188" hidden="1">"'&amp;amp;gt;None&amp;amp;lt;/DateFormat&amp;amp;gt;&amp;amp;lt;RightHandSideExpression&amp;amp;gt;MFPR02000988&amp;amp;lt;/RightHandSideExpression&amp;amp;gt;&amp;amp;lt;IsSubquery&amp;amp;gt;False&amp;amp;lt;/IsSubquery&amp;amp;gt;&amp;amp;lt;SubqueryTemplateName /&amp;amp;gt;&amp;amp;lt;/RHSItem&amp;amp;gt;&amp;'"</definedName>
    <definedName name="_AMO_ContentDefinition_540236810.189" hidden="1">"'amp;lt;RHSItem&amp;amp;gt;&amp;amp;lt;RHSType&amp;amp;gt;EXPRESSION&amp;amp;lt;/RHSType&amp;amp;gt;&amp;amp;lt;AddQuotes&amp;amp;gt;True&amp;amp;lt;/AddQuotes&amp;amp;gt;&amp;amp;lt;DateFormat&amp;amp;gt;None&amp;amp;lt;/DateFormat&amp;amp;gt;&amp;amp;lt;RightHandSideExpression&amp;amp;gt;MFPR02000995&amp;amp;lt;/'"</definedName>
    <definedName name="_AMO_ContentDefinition_540236810.19" hidden="1">"'610',&amp;#xD;&amp;#xA;'MFPR04002679',&amp;#xD;&amp;#xA;'MFPR04002748',&amp;#xD;&amp;#xA;'MFPR04002817',&amp;#xD;&amp;#xA;'MFPR04002886',&amp;#xD;&amp;#xA;'MFPR04002955'&amp;#xD;&amp;#xA;)"" /&gt;_x000D_
  &lt;param n=""MoreSheetsForRows"" v=""True"" /&gt;_x000D_
  &lt;param n=""PageSize"" v=""5"" /&gt;_x000D_
  &lt;param n=""ShowRo'"</definedName>
    <definedName name="_AMO_ContentDefinition_540236810.190"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540236810.191" hidden="1">"'p;gt;True&amp;amp;lt;/AddQuotes&amp;amp;gt;&amp;amp;lt;DateFormat&amp;amp;gt;None&amp;amp;lt;/DateFormat&amp;amp;gt;&amp;amp;lt;RightHandSideExpression&amp;amp;gt;MFPR02000996&amp;amp;lt;/RightHandSideExpression&amp;amp;gt;&amp;amp;lt;IsSubquery&amp;amp;gt;False&amp;amp;lt;/IsSubquery&amp;amp;gt;&amp;amp;lt;Su'"</definedName>
    <definedName name="_AMO_ContentDefinition_540236810.192"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540236810.193" hidden="1">"';RightHandSideExpression&amp;amp;gt;MFPR02000999&amp;amp;lt;/RightHandSideExpression&amp;amp;gt;&amp;amp;lt;IsSubquery&amp;amp;gt;False&amp;amp;lt;/IsSubquery&amp;amp;gt;&amp;amp;lt;SubqueryTemplateName /&amp;amp;gt;&amp;amp;lt;/RHSItem&amp;amp;gt;&amp;amp;lt;RHSItem&amp;amp;gt;&amp;amp;lt;RHSType&amp;amp;gt;E'"</definedName>
    <definedName name="_AMO_ContentDefinition_540236810.194" hidden="1">"'XPRESSION&amp;amp;lt;/RHSType&amp;amp;gt;&amp;amp;lt;AddQuotes&amp;amp;gt;True&amp;amp;lt;/AddQuotes&amp;amp;gt;&amp;amp;lt;DateFormat&amp;amp;gt;None&amp;amp;lt;/DateFormat&amp;amp;gt;&amp;amp;lt;RightHandSideExpression&amp;amp;gt;MFPR02001003&amp;amp;lt;/RightHandSideExpression&amp;amp;gt;&amp;amp;lt;IsSubqu'"</definedName>
    <definedName name="_AMO_ContentDefinition_540236810.195"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540236810.196" hidden="1">"'eFormat&amp;amp;gt;None&amp;amp;lt;/DateFormat&amp;amp;gt;&amp;amp;lt;RightHandSideExpression&amp;amp;gt;MFPR02001008&amp;amp;lt;/RightHandSideExpression&amp;amp;gt;&amp;amp;lt;IsSubquery&amp;amp;gt;False&amp;amp;lt;/IsSubquery&amp;amp;gt;&amp;amp;lt;SubqueryTemplateName /&amp;amp;gt;&amp;amp;lt;/RHSItem&amp;a'"</definedName>
    <definedName name="_AMO_ContentDefinition_540236810.197" hidden="1">"'mp;gt;&amp;amp;lt;RHSItem&amp;amp;gt;&amp;amp;lt;RHSType&amp;amp;gt;EXPRESSION&amp;amp;lt;/RHSType&amp;amp;gt;&amp;amp;lt;AddQuotes&amp;amp;gt;True&amp;amp;lt;/AddQuotes&amp;amp;gt;&amp;amp;lt;DateFormat&amp;amp;gt;None&amp;amp;lt;/DateFormat&amp;amp;gt;&amp;amp;lt;RightHandSideExpression&amp;amp;gt;MFPR02001012&amp;a'"</definedName>
    <definedName name="_AMO_ContentDefinition_540236810.198"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540236810.199" hidden="1">"'otes&amp;amp;gt;True&amp;amp;lt;/AddQuotes&amp;amp;gt;&amp;amp;lt;DateFormat&amp;amp;gt;None&amp;amp;lt;/DateFormat&amp;amp;gt;&amp;amp;lt;RightHandSideExpression&amp;amp;gt;MFPR02001013&amp;amp;lt;/RightHandSideExpression&amp;amp;gt;&amp;amp;lt;IsSubquery&amp;amp;gt;False&amp;amp;lt;/IsSubquery&amp;amp;gt;&amp;am'"</definedName>
    <definedName name="_AMO_ContentDefinition_540236810.2" hidden="1">"'hSet=""True"" imgY=""0"" imgX=""0"" redirect=""False""&gt;_x000D_
  &lt;files /&gt;_x000D_
  &lt;parents /&gt;_x000D_
  &lt;children /&gt;_x000D_
  &lt;param n=""DisplayName"" v=""SASApp:METRICS.validation_metrics_prior10_view"" /&gt;_x000D_
  &lt;param n=""DisplayType"" v=""Data Set"" /&gt;_x000D_
  &lt;param n=""AMO_'"</definedName>
    <definedName name="_AMO_ContentDefinition_540236810.20" hidden="1">"'wNumbers"" v=""False"" /&gt;_x000D_
  &lt;param n=""ShowInfoInSheet"" v=""False"" /&gt;_x000D_
  &lt;param n=""CredKey"" v=""VALIDATION_METRICS_PRIOR10_VIEW&amp;#x1;SASApp&amp;#x1;Metrics Data"" /&gt;_x000D_
  &lt;param n=""ClassName"" v=""SAS.OfficeAddin.DataViewItem"" /&gt;_x000D_
  &lt;param n=""Serv'"</definedName>
    <definedName name="_AMO_ContentDefinition_540236810.200"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540236810.201" hidden="1">"'&amp;amp;lt;RightHandSideExpression&amp;amp;gt;MFPR02001014&amp;amp;lt;/RightHandSideExpression&amp;amp;gt;&amp;amp;lt;IsSubquery&amp;amp;gt;False&amp;amp;lt;/IsSubquery&amp;amp;gt;&amp;amp;lt;SubqueryTemplateName /&amp;amp;gt;&amp;amp;lt;/RHSItem&amp;amp;gt;&amp;amp;lt;RHSItem&amp;amp;gt;&amp;amp;lt;RHSType&amp;a'"</definedName>
    <definedName name="_AMO_ContentDefinition_540236810.202" hidden="1">"'mp;gt;EXPRESSION&amp;amp;lt;/RHSType&amp;amp;gt;&amp;amp;lt;AddQuotes&amp;amp;gt;True&amp;amp;lt;/AddQuotes&amp;amp;gt;&amp;amp;lt;DateFormat&amp;amp;gt;None&amp;amp;lt;/DateFormat&amp;amp;gt;&amp;amp;lt;RightHandSideExpression&amp;amp;gt;MFPR02001015&amp;amp;lt;/RightHandSideExpression&amp;amp;gt;&amp;amp;lt;'"</definedName>
    <definedName name="_AMO_ContentDefinition_540236810.203"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540236810.204" hidden="1">"';lt;DateFormat&amp;amp;gt;None&amp;amp;lt;/DateFormat&amp;amp;gt;&amp;amp;lt;RightHandSideExpression&amp;amp;gt;MFPR02001016&amp;amp;lt;/RightHandSideExpression&amp;amp;gt;&amp;amp;lt;IsSubquery&amp;amp;gt;False&amp;amp;lt;/IsSubquery&amp;amp;gt;&amp;amp;lt;SubqueryTemplateName /&amp;amp;gt;&amp;amp;lt;/RH'"</definedName>
    <definedName name="_AMO_ContentDefinition_540236810.205" hidden="1">"'SItem&amp;amp;gt;&amp;amp;lt;RHSItem&amp;amp;gt;&amp;amp;lt;RHSType&amp;amp;gt;EXPRESSION&amp;amp;lt;/RHSType&amp;amp;gt;&amp;amp;lt;AddQuotes&amp;amp;gt;True&amp;amp;lt;/AddQuotes&amp;amp;gt;&amp;amp;lt;DateFormat&amp;amp;gt;None&amp;amp;lt;/DateFormat&amp;amp;gt;&amp;amp;lt;RightHandSideExpression&amp;amp;gt;MFPR020'"</definedName>
    <definedName name="_AMO_ContentDefinition_540236810.206" hidden="1">"'01017&amp;amp;lt;/RightHandSideExpression&amp;amp;gt;&amp;amp;lt;IsSubquery&amp;amp;gt;False&amp;amp;lt;/IsSubquery&amp;amp;gt;&amp;amp;lt;SubqueryTemplateName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540236810.207" hidden="1">"'t;AddQuotes&amp;amp;gt;True&amp;amp;lt;/AddQuotes&amp;amp;gt;&amp;amp;lt;DateFormat&amp;amp;gt;None&amp;amp;lt;/DateFormat&amp;amp;gt;&amp;amp;lt;RightHandSideExpression&amp;amp;gt;MFPR02001018&amp;amp;lt;/RightHandSideExpression&amp;amp;gt;&amp;amp;lt;IsSubquery&amp;amp;gt;False&amp;amp;lt;/IsSubquery&amp;amp'"</definedName>
    <definedName name="_AMO_ContentDefinition_540236810.208"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540236810.209" hidden="1">"'amp;gt;&amp;amp;lt;RightHandSideExpression&amp;amp;gt;MFPR04004612&amp;amp;lt;/RightHandSideExpression&amp;amp;gt;&amp;amp;lt;IsSubquery&amp;amp;gt;False&amp;amp;lt;/IsSubquery&amp;amp;gt;&amp;amp;lt;SubqueryTemplateName /&amp;amp;gt;&amp;amp;lt;/RHSItem&amp;amp;gt;&amp;amp;lt;RHSItem&amp;amp;gt;&amp;amp;lt;RH'"</definedName>
    <definedName name="_AMO_ContentDefinition_540236810.21" hidden="1">"'erName"" v=""SASApp"" /&gt;_x000D_
  &lt;param n=""DataSource"" v=""&amp;lt;SasDataSource Version=&amp;quot;4.2&amp;quot; Type=&amp;quot;SAS.Servers.Dataset&amp;quot; Svr=&amp;quot;SASApp&amp;quot; Lib=&amp;quot;METRICS&amp;quot; Libname=&amp;quot;Metrics Data&amp;quot; Filter=&amp;quot;entity_submitter_type I'"</definedName>
    <definedName name="_AMO_ContentDefinition_540236810.210" hidden="1">"'SType&amp;amp;gt;EXPRESSION&amp;amp;lt;/RHSType&amp;amp;gt;&amp;amp;lt;AddQuotes&amp;amp;gt;True&amp;amp;lt;/AddQuotes&amp;amp;gt;&amp;amp;lt;DateFormat&amp;amp;gt;None&amp;amp;lt;/DateFormat&amp;amp;gt;&amp;amp;lt;RightHandSideExpression&amp;amp;gt;MFPR04004613&amp;amp;lt;/RightHandSideExpression&amp;amp;gt;&amp;'"</definedName>
    <definedName name="_AMO_ContentDefinition_540236810.211"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540236810.212" hidden="1">"'gt;&amp;amp;lt;DateFormat&amp;amp;gt;None&amp;amp;lt;/DateFormat&amp;amp;gt;&amp;amp;lt;RightHandSideExpression&amp;amp;gt;MFPR04004614&amp;amp;lt;/RightHandSideExpression&amp;amp;gt;&amp;amp;lt;IsSubquery&amp;amp;gt;False&amp;amp;lt;/IsSubquery&amp;amp;gt;&amp;amp;lt;SubqueryTemplateName /&amp;amp;gt;&amp;amp'"</definedName>
    <definedName name="_AMO_ContentDefinition_540236810.213" hidden="1">"';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540236810.214" hidden="1">"'MFPR04004617&amp;amp;lt;/RightHandSideExpression&amp;amp;gt;&amp;amp;lt;IsSubquery&amp;amp;gt;False&amp;amp;lt;/IsSubquery&amp;amp;gt;&amp;amp;lt;SubqueryTemplateName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540236810.215" hidden="1">"';&amp;amp;lt;AddQuotes&amp;amp;gt;True&amp;amp;lt;/AddQuotes&amp;amp;gt;&amp;amp;lt;DateFormat&amp;amp;gt;None&amp;amp;lt;/DateFormat&amp;amp;gt;&amp;amp;lt;RightHandSideExpression&amp;amp;gt;MFPR04004618&amp;amp;lt;/RightHandSideExpression&amp;amp;gt;&amp;amp;lt;IsSubquery&amp;amp;gt;False&amp;amp;lt;/IsSubqu'"</definedName>
    <definedName name="_AMO_ContentDefinition_540236810.216"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540236810.217" hidden="1">"'Format&amp;amp;gt;&amp;amp;lt;RightHandSideExpression&amp;amp;gt;MFPR04004619&amp;amp;lt;/RightHandSideExpression&amp;amp;gt;&amp;amp;lt;IsSubquery&amp;amp;gt;False&amp;amp;lt;/IsSubquery&amp;amp;gt;&amp;amp;lt;SubqueryTemplateName /&amp;amp;gt;&amp;amp;lt;/RHSItem&amp;amp;gt;&amp;amp;lt;RHSItem&amp;amp;gt;&amp;am'"</definedName>
    <definedName name="_AMO_ContentDefinition_540236810.218" hidden="1">"'p;lt;RHSType&amp;amp;gt;EXPRESSION&amp;amp;lt;/RHSType&amp;amp;gt;&amp;amp;lt;AddQuotes&amp;amp;gt;True&amp;amp;lt;/AddQuotes&amp;amp;gt;&amp;amp;lt;DateFormat&amp;amp;gt;None&amp;amp;lt;/DateFormat&amp;amp;gt;&amp;amp;lt;RightHandSideExpression&amp;amp;gt;MFPR04004622&amp;amp;lt;/RightHandSideExpression&amp;a'"</definedName>
    <definedName name="_AMO_ContentDefinition_540236810.219"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540236810.22" hidden="1">"'N &amp;amp;#xD;&amp;amp;#xA;(&amp;amp;#xD;&amp;amp;#xA;'Country'&amp;amp;#xD;&amp;amp;#xA;) AND date_dt &amp;amp;gt;= '31Mar2019'd AND frequency_cd IN &amp;amp;#xD;&amp;amp;#xA;(&amp;amp;#xD;&amp;amp;#xA;'Q'&amp;amp;#xD;&amp;amp;#xA;) AND entity_id CONTAINS 'ECCU' AND indicator_id IN &amp;amp;#xD;&amp;amp;#xA;'"</definedName>
    <definedName name="_AMO_ContentDefinition_540236810.220" hidden="1">"'es&amp;amp;gt;&amp;amp;lt;DateFormat&amp;amp;gt;None&amp;amp;lt;/DateFormat&amp;amp;gt;&amp;amp;lt;RightHandSideExpression&amp;amp;gt;MFPR04004623&amp;amp;lt;/RightHandSideExpression&amp;amp;gt;&amp;amp;lt;IsSubquery&amp;amp;gt;False&amp;amp;lt;/IsSubquery&amp;amp;gt;&amp;amp;lt;SubqueryTemplateName /&amp;amp;'"</definedName>
    <definedName name="_AMO_ContentDefinition_540236810.221" hidden="1">"'gt;&amp;amp;lt;/RHSItem&amp;amp;gt;&amp;amp;lt;RHSItem&amp;amp;gt;&amp;amp;lt;RHSType&amp;amp;gt;EXPRESSION&amp;amp;lt;/RHSType&amp;amp;gt;&amp;amp;lt;AddQuotes&amp;amp;gt;True&amp;amp;lt;/AddQuotes&amp;amp;gt;&amp;amp;lt;DateFormat&amp;amp;gt;None&amp;amp;lt;/DateFormat&amp;amp;gt;&amp;amp;lt;RightHandSideExpression&amp;'"</definedName>
    <definedName name="_AMO_ContentDefinition_540236810.222" hidden="1">"'amp;gt;MFPR04004624&amp;amp;lt;/RightHandSideExpression&amp;amp;gt;&amp;amp;lt;IsSubquery&amp;amp;gt;False&amp;amp;lt;/IsSubquery&amp;amp;gt;&amp;amp;lt;SubqueryTemplateName /&amp;amp;gt;&amp;amp;lt;/RHSItem&amp;amp;gt;&amp;amp;lt;RHSItem&amp;amp;gt;&amp;amp;lt;RHSType&amp;amp;gt;EXPRESSION&amp;amp;lt;/RHSType'"</definedName>
    <definedName name="_AMO_ContentDefinition_540236810.223" hidden="1">"'&amp;amp;gt;&amp;amp;lt;AddQuotes&amp;amp;gt;True&amp;amp;lt;/AddQuotes&amp;amp;gt;&amp;amp;lt;DateFormat&amp;amp;gt;None&amp;amp;lt;/DateFormat&amp;amp;gt;&amp;amp;lt;RightHandSideExpression&amp;amp;gt;MFPR04004627&amp;amp;lt;/RightHandSideExpression&amp;amp;gt;&amp;amp;lt;IsSubquery&amp;amp;gt;False&amp;amp;lt;/'"</definedName>
    <definedName name="_AMO_ContentDefinition_540236810.224"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540236810.225" hidden="1">"'t;/DateFormat&amp;amp;gt;&amp;amp;lt;RightHandSideExpression&amp;amp;gt;MFPR04004628&amp;amp;lt;/RightHandSideExpression&amp;amp;gt;&amp;amp;lt;IsSubquery&amp;amp;gt;False&amp;amp;lt;/IsSubquery&amp;amp;gt;&amp;amp;lt;SubqueryTemplateName /&amp;amp;gt;&amp;amp;lt;/RHSItem&amp;amp;gt;&amp;amp;lt;RHSItem&amp;amp'"</definedName>
    <definedName name="_AMO_ContentDefinition_540236810.226" hidden="1">"';gt;&amp;amp;lt;RHSType&amp;amp;gt;EXPRESSION&amp;amp;lt;/RHSType&amp;amp;gt;&amp;amp;lt;AddQuotes&amp;amp;gt;True&amp;amp;lt;/AddQuotes&amp;amp;gt;&amp;amp;lt;DateFormat&amp;amp;gt;None&amp;amp;lt;/DateFormat&amp;amp;gt;&amp;amp;lt;RightHandSideExpression&amp;amp;gt;MFPR04004629&amp;amp;lt;/RightHandSideExpre'"</definedName>
    <definedName name="_AMO_ContentDefinition_540236810.227"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540236810.228" hidden="1">"'AddQuotes&amp;amp;gt;&amp;amp;lt;DateFormat&amp;amp;gt;None&amp;amp;lt;/DateFormat&amp;amp;gt;&amp;amp;lt;RightHandSideExpression&amp;amp;gt;MFPR04004632&amp;amp;lt;/RightHandSideExpression&amp;amp;gt;&amp;amp;lt;IsSubquery&amp;amp;gt;False&amp;amp;lt;/IsSubquery&amp;amp;gt;&amp;amp;lt;SubqueryTemplateName'"</definedName>
    <definedName name="_AMO_ContentDefinition_540236810.229"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540236810.23" hidden="1">"'(&amp;amp;#xD;&amp;amp;#xA;'MFBS01000001',&amp;amp;#xD;&amp;amp;#xA;'MFBS01000012',&amp;amp;#xD;&amp;amp;#xA;'MFBS01000063',&amp;amp;#xD;&amp;amp;#xA;'MFBS01000090',&amp;amp;#xD;&amp;amp;#xA;'MFBS01000121',&amp;amp;#xD;&amp;amp;#xA;'MFBS01000160',&amp;amp;#xD;&amp;amp;#xA;'MFBS01000739',&amp;amp;#xD;&amp;amp;#xA;''"</definedName>
    <definedName name="_AMO_ContentDefinition_540236810.230" hidden="1">"'ession&amp;amp;gt;MFPR04004633&amp;amp;lt;/RightHandSideExpression&amp;amp;gt;&amp;amp;lt;IsSubquery&amp;amp;gt;False&amp;amp;lt;/IsSubquery&amp;amp;gt;&amp;amp;lt;SubqueryTemplateName /&amp;amp;gt;&amp;amp;lt;/RHSItem&amp;amp;gt;&amp;amp;lt;RHSItem&amp;amp;gt;&amp;amp;lt;RHSType&amp;amp;gt;EXPRESSION&amp;amp;lt;/'"</definedName>
    <definedName name="_AMO_ContentDefinition_540236810.231" hidden="1">"'RHSType&amp;amp;gt;&amp;amp;lt;AddQuotes&amp;amp;gt;True&amp;amp;lt;/AddQuotes&amp;amp;gt;&amp;amp;lt;DateFormat&amp;amp;gt;None&amp;amp;lt;/DateFormat&amp;amp;gt;&amp;amp;lt;RightHandSideExpression&amp;amp;gt;MFPR04004634&amp;amp;lt;/RightHandSideExpression&amp;amp;gt;&amp;amp;lt;IsSubquery&amp;amp;gt;False&amp;a'"</definedName>
    <definedName name="_AMO_ContentDefinition_540236810.232"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540236810.233" hidden="1">"'e&amp;amp;lt;/DateFormat&amp;amp;gt;&amp;amp;lt;RightHandSideExpression&amp;amp;gt;MFPR04004637&amp;amp;lt;/RightHandSideExpression&amp;amp;gt;&amp;amp;lt;IsSubquery&amp;amp;gt;False&amp;amp;lt;/IsSubquery&amp;amp;gt;&amp;amp;lt;SubqueryTemplateName /&amp;amp;gt;&amp;amp;lt;/RHSItem&amp;amp;gt;&amp;amp;lt;RHSI'"</definedName>
    <definedName name="_AMO_ContentDefinition_540236810.234" hidden="1">"'tem&amp;amp;gt;&amp;amp;lt;RHSType&amp;amp;gt;EXPRESSION&amp;amp;lt;/RHSType&amp;amp;gt;&amp;amp;lt;AddQuotes&amp;amp;gt;True&amp;amp;lt;/AddQuotes&amp;amp;gt;&amp;amp;lt;DateFormat&amp;amp;gt;None&amp;amp;lt;/DateFormat&amp;amp;gt;&amp;amp;lt;RightHandSideExpression&amp;amp;gt;MFPR04004638&amp;amp;lt;/RightHandSi'"</definedName>
    <definedName name="_AMO_ContentDefinition_540236810.235"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540236810.236" hidden="1">"'mp;lt;/AddQuotes&amp;amp;gt;&amp;amp;lt;DateFormat&amp;amp;gt;None&amp;amp;lt;/DateFormat&amp;amp;gt;&amp;amp;lt;RightHandSideExpression&amp;amp;gt;MFPR04004639&amp;amp;lt;/RightHandSideExpression&amp;amp;gt;&amp;amp;lt;IsSubquery&amp;amp;gt;False&amp;amp;lt;/IsSubquery&amp;amp;gt;&amp;amp;lt;SubqueryTempl'"</definedName>
    <definedName name="_AMO_ContentDefinition_540236810.237"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540236810.238" hidden="1">"'ideExpression&amp;amp;gt;MFPR04004643&amp;amp;lt;/RightHandSideExpression&amp;amp;gt;&amp;amp;lt;IsSubquery&amp;amp;gt;False&amp;amp;lt;/IsSubquery&amp;amp;gt;&amp;amp;lt;SubqueryTemplateName /&amp;amp;gt;&amp;amp;lt;/RHSItem&amp;amp;gt;&amp;amp;lt;RHSItem&amp;amp;gt;&amp;amp;lt;RHSType&amp;amp;gt;EXPRESSION&amp;a'"</definedName>
    <definedName name="_AMO_ContentDefinition_540236810.239" hidden="1">"'mp;lt;/RHSType&amp;amp;gt;&amp;amp;lt;AddQuotes&amp;amp;gt;True&amp;amp;lt;/AddQuotes&amp;amp;gt;&amp;amp;lt;DateFormat&amp;amp;gt;None&amp;amp;lt;/DateFormat&amp;amp;gt;&amp;amp;lt;RightHandSideExpression&amp;amp;gt;MFPR04004644&amp;amp;lt;/RightHandSideExpression&amp;amp;gt;&amp;amp;lt;IsSubquery&amp;amp;gt;'"</definedName>
    <definedName name="_AMO_ContentDefinition_540236810.24" hidden="1">"'MFBS01000740',&amp;amp;#xD;&amp;amp;#xA;'MFBS01000742',&amp;amp;#xD;&amp;amp;#xA;'MFBS01000746',&amp;amp;#xD;&amp;amp;#xA;'MFBS01000958',&amp;amp;#xD;&amp;amp;#xA;'MFBS01000959',&amp;amp;#xD;&amp;amp;#xA;'MFBS01000960',&amp;amp;#xD;&amp;amp;#xA;'MFBS01000961',&amp;amp;#xD;&amp;amp;#xA;'MFBS01000962',&amp;amp;#'"</definedName>
    <definedName name="_AMO_ContentDefinition_540236810.240"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540236810.241" hidden="1">"';gt;None&amp;amp;lt;/DateFormat&amp;amp;gt;&amp;amp;lt;RightHandSideExpression&amp;amp;gt;MFPR04004645&amp;amp;lt;/RightHandSideExpression&amp;amp;gt;&amp;amp;lt;IsSubquery&amp;amp;gt;False&amp;amp;lt;/IsSubquery&amp;amp;gt;&amp;amp;lt;SubqueryTemplateName /&amp;amp;gt;&amp;amp;lt;/RHSItem&amp;amp;gt;&amp;amp;'"</definedName>
    <definedName name="_AMO_ContentDefinition_540236810.242" hidden="1">"'lt;RHSItem&amp;amp;gt;&amp;amp;lt;RHSType&amp;amp;gt;EXPRESSION&amp;amp;lt;/RHSType&amp;amp;gt;&amp;amp;lt;AddQuotes&amp;amp;gt;True&amp;amp;lt;/AddQuotes&amp;amp;gt;&amp;amp;lt;DateFormat&amp;amp;gt;None&amp;amp;lt;/DateFormat&amp;amp;gt;&amp;amp;lt;RightHandSideExpression&amp;amp;gt;MFPR04001368&amp;amp;lt;/Righ'"</definedName>
    <definedName name="_AMO_ContentDefinition_540236810.243"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540236810.244" hidden="1">"';True&amp;amp;lt;/AddQuotes&amp;amp;gt;&amp;amp;lt;DateFormat&amp;amp;gt;None&amp;amp;lt;/DateFormat&amp;amp;gt;&amp;amp;lt;RightHandSideExpression&amp;amp;gt;MFPR04001437&amp;amp;lt;/RightHandSideExpression&amp;amp;gt;&amp;amp;lt;IsSubquery&amp;amp;gt;False&amp;amp;lt;/IsSubquery&amp;amp;gt;&amp;amp;lt;Subque'"</definedName>
    <definedName name="_AMO_ContentDefinition_540236810.245"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540236810.246" hidden="1">"'htHandSideExpression&amp;amp;gt;MFPR04001506&amp;amp;lt;/RightHandSideExpression&amp;amp;gt;&amp;amp;lt;IsSubquery&amp;amp;gt;False&amp;amp;lt;/IsSubquery&amp;amp;gt;&amp;amp;lt;SubqueryTemplateName /&amp;amp;gt;&amp;amp;lt;/RHSItem&amp;amp;gt;&amp;amp;lt;RHSItem&amp;amp;gt;&amp;amp;lt;RHSType&amp;amp;gt;EXPRE'"</definedName>
    <definedName name="_AMO_ContentDefinition_540236810.247" hidden="1">"'SSION&amp;amp;lt;/RHSType&amp;amp;gt;&amp;amp;lt;AddQuotes&amp;amp;gt;True&amp;amp;lt;/AddQuotes&amp;amp;gt;&amp;amp;lt;DateFormat&amp;amp;gt;None&amp;amp;lt;/DateFormat&amp;amp;gt;&amp;amp;lt;RightHandSideExpression&amp;amp;gt;MFPR04001575&amp;amp;lt;/RightHandSideExpression&amp;amp;gt;&amp;amp;lt;IsSubquery&amp;'"</definedName>
    <definedName name="_AMO_ContentDefinition_540236810.248"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540236810.249" hidden="1">"'mat&amp;amp;gt;None&amp;amp;lt;/DateFormat&amp;amp;gt;&amp;amp;lt;RightHandSideExpression&amp;amp;gt;MFPR04001644&amp;amp;lt;/RightHandSideExpression&amp;amp;gt;&amp;amp;lt;IsSubquery&amp;amp;gt;False&amp;amp;lt;/IsSubquery&amp;amp;gt;&amp;amp;lt;SubqueryTemplateName /&amp;amp;gt;&amp;amp;lt;/RHSItem&amp;amp;g'"</definedName>
    <definedName name="_AMO_ContentDefinition_540236810.25" hidden="1">"'xD;&amp;amp;#xA;'MFBS01000963',&amp;amp;#xD;&amp;amp;#xA;'MFBS01000964',&amp;amp;#xD;&amp;amp;#xA;'MFBS01000965',&amp;amp;#xD;&amp;amp;#xA;'MFBS01001003',&amp;amp;#xD;&amp;amp;#xA;'MFBS01001004',&amp;amp;#xD;&amp;amp;#xA;'MFPR01000001',&amp;amp;#xD;&amp;amp;#xA;'MFPR01000016',&amp;amp;#xD;&amp;amp;#xA;'MFPR010'"</definedName>
    <definedName name="_AMO_ContentDefinition_540236810.250" hidden="1">"'t;&amp;amp;lt;RHSItem&amp;amp;gt;&amp;amp;lt;RHSType&amp;amp;gt;EXPRESSION&amp;amp;lt;/RHSType&amp;amp;gt;&amp;amp;lt;AddQuotes&amp;amp;gt;True&amp;amp;lt;/AddQuotes&amp;amp;gt;&amp;amp;lt;DateFormat&amp;amp;gt;None&amp;amp;lt;/DateFormat&amp;amp;gt;&amp;amp;lt;RightHandSideExpression&amp;amp;gt;MFPR04001713&amp;amp;l'"</definedName>
    <definedName name="_AMO_ContentDefinition_540236810.251"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540236810.252" hidden="1">"'&amp;amp;gt;True&amp;amp;lt;/AddQuotes&amp;amp;gt;&amp;amp;lt;DateFormat&amp;amp;gt;None&amp;amp;lt;/DateFormat&amp;amp;gt;&amp;amp;lt;RightHandSideExpression&amp;amp;gt;MFPR04001782&amp;amp;lt;/RightHandSideExpression&amp;amp;gt;&amp;amp;lt;IsSubquery&amp;amp;gt;False&amp;amp;lt;/IsSubquery&amp;amp;gt;&amp;amp;lt'"</definedName>
    <definedName name="_AMO_ContentDefinition_540236810.253"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540236810.254" hidden="1">"';lt;RightHandSideExpression&amp;amp;gt;MFPR04001851&amp;amp;lt;/RightHandSideExpression&amp;amp;gt;&amp;amp;lt;IsSubquery&amp;amp;gt;False&amp;amp;lt;/IsSubquery&amp;amp;gt;&amp;amp;lt;SubqueryTemplateName /&amp;amp;gt;&amp;amp;lt;/RHSItem&amp;amp;gt;&amp;amp;lt;RHSItem&amp;amp;gt;&amp;amp;lt;RHSType&amp;amp;g'"</definedName>
    <definedName name="_AMO_ContentDefinition_540236810.255" hidden="1">"'t;EXPRESSION&amp;amp;lt;/RHSType&amp;amp;gt;&amp;amp;lt;AddQuotes&amp;amp;gt;True&amp;amp;lt;/AddQuotes&amp;amp;gt;&amp;amp;lt;DateFormat&amp;amp;gt;None&amp;amp;lt;/DateFormat&amp;amp;gt;&amp;amp;lt;RightHandSideExpression&amp;amp;gt;MFPR04003576&amp;amp;lt;/RightHandSideExpression&amp;amp;gt;&amp;amp;lt;IsSu'"</definedName>
    <definedName name="_AMO_ContentDefinition_540236810.256"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540236810.257" hidden="1">"'DateFormat&amp;amp;gt;None&amp;amp;lt;/DateFormat&amp;amp;gt;&amp;amp;lt;RightHandSideExpression&amp;amp;gt;MFPR04003645&amp;amp;lt;/RightHandSideExpression&amp;amp;gt;&amp;amp;lt;IsSubquery&amp;amp;gt;False&amp;amp;lt;/IsSubquery&amp;amp;gt;&amp;amp;lt;SubqueryTemplateName /&amp;amp;gt;&amp;amp;lt;/RHSIte'"</definedName>
    <definedName name="_AMO_ContentDefinition_540236810.258" hidden="1">"'m&amp;amp;gt;&amp;amp;lt;RHSItem&amp;amp;gt;&amp;amp;lt;RHSType&amp;amp;gt;EXPRESSION&amp;amp;lt;/RHSType&amp;amp;gt;&amp;amp;lt;AddQuotes&amp;amp;gt;True&amp;amp;lt;/AddQuotes&amp;amp;gt;&amp;amp;lt;DateFormat&amp;amp;gt;None&amp;amp;lt;/DateFormat&amp;amp;gt;&amp;amp;lt;RightHandSideExpression&amp;amp;gt;MFPR0400371'"</definedName>
    <definedName name="_AMO_ContentDefinition_540236810.259" hidden="1">"'4&amp;amp;lt;/RightHandSideExpression&amp;amp;gt;&amp;amp;lt;IsSubquery&amp;amp;gt;False&amp;amp;lt;/IsSubquery&amp;amp;gt;&amp;amp;lt;SubqueryTemplateName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540236810.26" hidden="1">"'00161',&amp;amp;#xD;&amp;amp;#xA;'MFPR01000163',&amp;amp;#xD;&amp;amp;#xA;'MFPR01000232',&amp;amp;#xD;&amp;amp;#xA;'MFPR01000307',&amp;amp;#xD;&amp;amp;#xA;'MFPR01000403',&amp;amp;#xD;&amp;amp;#xA;'MFPR01005136',&amp;amp;#xD;&amp;amp;#xA;'MFPR01005138',&amp;amp;#xD;&amp;amp;#xA;'MFPR01005145',&amp;amp;#xD;&amp;amp'"</definedName>
    <definedName name="_AMO_ContentDefinition_540236810.260" hidden="1">"'dQuotes&amp;amp;gt;True&amp;amp;lt;/AddQuotes&amp;amp;gt;&amp;amp;lt;DateFormat&amp;amp;gt;None&amp;amp;lt;/DateFormat&amp;amp;gt;&amp;amp;lt;RightHandSideExpression&amp;amp;gt;MFPR04003783&amp;amp;lt;/RightHandSideExpression&amp;amp;gt;&amp;amp;lt;IsSubquery&amp;amp;gt;False&amp;amp;lt;/IsSubquery&amp;amp;gt;'"</definedName>
    <definedName name="_AMO_ContentDefinition_540236810.261"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540236810.262" hidden="1">"'gt;&amp;amp;lt;RightHandSideExpression&amp;amp;gt;MFPR04003852&amp;amp;lt;/RightHandSideExpression&amp;amp;gt;&amp;amp;lt;IsSubquery&amp;amp;gt;False&amp;amp;lt;/IsSubquery&amp;amp;gt;&amp;amp;lt;SubqueryTemplateName /&amp;amp;gt;&amp;amp;lt;/RHSItem&amp;amp;gt;&amp;amp;lt;RHSItem&amp;amp;gt;&amp;amp;lt;RHSTyp'"</definedName>
    <definedName name="_AMO_ContentDefinition_540236810.263" hidden="1">"'e&amp;amp;gt;EXPRESSION&amp;amp;lt;/RHSType&amp;amp;gt;&amp;amp;lt;AddQuotes&amp;amp;gt;True&amp;amp;lt;/AddQuotes&amp;amp;gt;&amp;amp;lt;DateFormat&amp;amp;gt;None&amp;amp;lt;/DateFormat&amp;amp;gt;&amp;amp;lt;RightHandSideExpression&amp;amp;gt;MFPR04003921&amp;amp;lt;/RightHandSideExpression&amp;amp;gt;&amp;amp;'"</definedName>
    <definedName name="_AMO_ContentDefinition_540236810.264"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540236810.265" hidden="1">"'amp;lt;DateFormat&amp;amp;gt;None&amp;amp;lt;/DateFormat&amp;amp;gt;&amp;amp;lt;RightHandSideExpression&amp;amp;gt;MFPR04003990&amp;amp;lt;/RightHandSideExpression&amp;amp;gt;&amp;amp;lt;IsSubquery&amp;amp;gt;False&amp;amp;lt;/IsSubquery&amp;amp;gt;&amp;amp;lt;SubqueryTemplateName /&amp;amp;gt;&amp;amp;lt;'"</definedName>
    <definedName name="_AMO_ContentDefinition_540236810.266" hidden="1">"'/RHSItem&amp;amp;gt;&amp;amp;lt;RHSItem&amp;amp;gt;&amp;amp;lt;RHSType&amp;amp;gt;EXPRESSION&amp;amp;lt;/RHSType&amp;amp;gt;&amp;amp;lt;AddQuotes&amp;amp;gt;True&amp;amp;lt;/AddQuotes&amp;amp;gt;&amp;amp;lt;DateFormat&amp;amp;gt;None&amp;amp;lt;/DateFormat&amp;amp;gt;&amp;amp;lt;RightHandSideExpression&amp;amp;gt;MFPR'"</definedName>
    <definedName name="_AMO_ContentDefinition_540236810.267" hidden="1">"'04004059&amp;amp;lt;/RightHandSideExpression&amp;amp;gt;&amp;amp;lt;IsSubquery&amp;amp;gt;False&amp;amp;lt;/IsSubquery&amp;amp;gt;&amp;amp;lt;SubqueryTemplateName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540236810.268" hidden="1">"'p;lt;AddQuotes&amp;amp;gt;True&amp;amp;lt;/AddQuotes&amp;amp;gt;&amp;amp;lt;DateFormat&amp;amp;gt;None&amp;amp;lt;/DateFormat&amp;amp;gt;&amp;amp;lt;RightHandSideExpression&amp;amp;gt;MFPR04000264&amp;amp;lt;/RightHandSideExpression&amp;amp;gt;&amp;amp;lt;IsSubquery&amp;amp;gt;False&amp;amp;lt;/IsSubquery&amp;'"</definedName>
    <definedName name="_AMO_ContentDefinition_540236810.269"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540236810.27" hidden="1">"';#xA;'MFPR01005146',&amp;amp;#xD;&amp;amp;#xA;'MFPR01005147',&amp;amp;#xD;&amp;amp;#xA;'MFPR01005152',&amp;amp;#xD;&amp;amp;#xA;'MFPR01005171',&amp;amp;#xD;&amp;amp;#xA;'MFPR01005173',&amp;amp;#xD;&amp;amp;#xA;'MFPR01005180',&amp;amp;#xD;&amp;amp;#xA;'MFPR01005181',&amp;amp;#xD;&amp;amp;#xA;'MFPR01005182','"</definedName>
    <definedName name="_AMO_ContentDefinition_540236810.270" hidden="1">"'at&amp;amp;gt;&amp;amp;lt;RightHandSideExpression&amp;amp;gt;MFPR04000333&amp;amp;lt;/RightHandSideExpression&amp;amp;gt;&amp;amp;lt;IsSubquery&amp;amp;gt;False&amp;amp;lt;/IsSubquery&amp;amp;gt;&amp;amp;lt;SubqueryTemplateName /&amp;amp;gt;&amp;amp;lt;/RHSItem&amp;amp;gt;&amp;amp;lt;RHSItem&amp;amp;gt;&amp;amp;lt'"</definedName>
    <definedName name="_AMO_ContentDefinition_540236810.271" hidden="1">"';RHSType&amp;amp;gt;EXPRESSION&amp;amp;lt;/RHSType&amp;amp;gt;&amp;amp;lt;AddQuotes&amp;amp;gt;True&amp;amp;lt;/AddQuotes&amp;amp;gt;&amp;amp;lt;DateFormat&amp;amp;gt;None&amp;amp;lt;/DateFormat&amp;amp;gt;&amp;amp;lt;RightHandSideExpression&amp;amp;gt;MFPR04000402&amp;amp;lt;/RightHandSideExpression&amp;amp;g'"</definedName>
    <definedName name="_AMO_ContentDefinition_540236810.272"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540236810.273" hidden="1">"'mp;gt;&amp;amp;lt;DateFormat&amp;amp;gt;None&amp;amp;lt;/DateFormat&amp;amp;gt;&amp;amp;lt;RightHandSideExpression&amp;amp;gt;MFPR04000471&amp;amp;lt;/RightHandSideExpression&amp;amp;gt;&amp;amp;lt;IsSubquery&amp;amp;gt;False&amp;amp;lt;/IsSubquery&amp;amp;gt;&amp;amp;lt;SubqueryTemplateName /&amp;amp;gt;&amp;'"</definedName>
    <definedName name="_AMO_ContentDefinition_540236810.274" hidden="1">"'amp;lt;/RHSItem&amp;amp;gt;&amp;amp;lt;RHSItem&amp;amp;gt;&amp;amp;lt;RHSType&amp;amp;gt;EXPRESSION&amp;amp;lt;/RHSType&amp;amp;gt;&amp;amp;lt;AddQuotes&amp;amp;gt;True&amp;amp;lt;/AddQuotes&amp;amp;gt;&amp;amp;lt;DateFormat&amp;amp;gt;None&amp;amp;lt;/DateFormat&amp;amp;gt;&amp;amp;lt;RightHandSideExpression&amp;amp;'"</definedName>
    <definedName name="_AMO_ContentDefinition_540236810.275" hidden="1">"'gt;MFPR04000540&amp;amp;lt;/RightHandSideExpression&amp;amp;gt;&amp;amp;lt;IsSubquery&amp;amp;gt;False&amp;amp;lt;/IsSubquery&amp;amp;gt;&amp;amp;lt;SubqueryTemplateName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540236810.276" hidden="1">"';gt;&amp;amp;lt;AddQuotes&amp;amp;gt;True&amp;amp;lt;/AddQuotes&amp;amp;gt;&amp;amp;lt;DateFormat&amp;amp;gt;None&amp;amp;lt;/DateFormat&amp;amp;gt;&amp;amp;lt;RightHandSideExpression&amp;amp;gt;MFPR04000609&amp;amp;lt;/RightHandSideExpression&amp;amp;gt;&amp;amp;lt;IsSubquery&amp;amp;gt;False&amp;amp;lt;/IsSu'"</definedName>
    <definedName name="_AMO_ContentDefinition_540236810.277"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540236810.278" hidden="1">"'ateFormat&amp;amp;gt;&amp;amp;lt;RightHandSideExpression&amp;amp;gt;MFPR04000678&amp;amp;lt;/RightHandSideExpression&amp;amp;gt;&amp;amp;lt;IsSubquery&amp;amp;gt;False&amp;amp;lt;/IsSubquery&amp;amp;gt;&amp;amp;lt;SubqueryTemplateName /&amp;amp;gt;&amp;amp;lt;/RHSItem&amp;amp;gt;&amp;amp;lt;RHSItem&amp;amp;gt;'"</definedName>
    <definedName name="_AMO_ContentDefinition_540236810.279" hidden="1">"'&amp;amp;lt;RHSType&amp;amp;gt;EXPRESSION&amp;amp;lt;/RHSType&amp;amp;gt;&amp;amp;lt;AddQuotes&amp;amp;gt;True&amp;amp;lt;/AddQuotes&amp;amp;gt;&amp;amp;lt;DateFormat&amp;amp;gt;None&amp;amp;lt;/DateFormat&amp;amp;gt;&amp;amp;lt;RightHandSideExpression&amp;amp;gt;MFPR04000747&amp;amp;lt;/RightHandSideExpressio'"</definedName>
    <definedName name="_AMO_ContentDefinition_540236810.28" hidden="1">"'&amp;amp;#xD;&amp;amp;#xA;'MFPR01005187',&amp;amp;#xD;&amp;amp;#xA;'MFPR01006303',&amp;amp;#xD;&amp;amp;#xA;'MFPR01006304',&amp;amp;#xD;&amp;amp;#xA;'MFPR01006307',&amp;amp;#xD;&amp;amp;#xA;'MFPR01006308',&amp;amp;#xD;&amp;amp;#xA;'MFPR01006311',&amp;amp;#xD;&amp;amp;#xA;'MFPR01006312',&amp;amp;#xD;&amp;amp;#xA;'M'"</definedName>
    <definedName name="_AMO_ContentDefinition_540236810.280"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540236810.281" hidden="1">"'uotes&amp;amp;gt;&amp;amp;lt;DateFormat&amp;amp;gt;None&amp;amp;lt;/DateFormat&amp;amp;gt;&amp;amp;lt;RightHandSideExpression&amp;amp;gt;MFPR04002472&amp;amp;lt;/RightHandSideExpression&amp;amp;gt;&amp;amp;lt;IsSubquery&amp;amp;gt;False&amp;amp;lt;/IsSubquery&amp;amp;gt;&amp;amp;lt;SubqueryTemplateName /&amp;a'"</definedName>
    <definedName name="_AMO_ContentDefinition_540236810.282"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540236810.283" hidden="1">"'on&amp;amp;gt;MFPR04002541&amp;amp;lt;/RightHandSideExpression&amp;amp;gt;&amp;amp;lt;IsSubquery&amp;amp;gt;False&amp;amp;lt;/IsSubquery&amp;amp;gt;&amp;amp;lt;SubqueryTemplateName /&amp;amp;gt;&amp;amp;lt;/RHSItem&amp;amp;gt;&amp;amp;lt;RHSItem&amp;amp;gt;&amp;amp;lt;RHSType&amp;amp;gt;EXPRESSION&amp;amp;lt;/RHST'"</definedName>
    <definedName name="_AMO_ContentDefinition_540236810.284" hidden="1">"'ype&amp;amp;gt;&amp;amp;lt;AddQuotes&amp;amp;gt;True&amp;amp;lt;/AddQuotes&amp;amp;gt;&amp;amp;lt;DateFormat&amp;amp;gt;None&amp;amp;lt;/DateFormat&amp;amp;gt;&amp;amp;lt;RightHandSideExpression&amp;amp;gt;MFPR04002610&amp;amp;lt;/RightHandSideExpression&amp;amp;gt;&amp;amp;lt;IsSubquery&amp;amp;gt;False&amp;amp;l'"</definedName>
    <definedName name="_AMO_ContentDefinition_540236810.285"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540236810.286" hidden="1">"'p;lt;/DateFormat&amp;amp;gt;&amp;amp;lt;RightHandSideExpression&amp;amp;gt;MFPR04002679&amp;amp;lt;/RightHandSideExpression&amp;amp;gt;&amp;amp;lt;IsSubquery&amp;amp;gt;False&amp;amp;lt;/IsSubquery&amp;amp;gt;&amp;amp;lt;SubqueryTemplateName /&amp;amp;gt;&amp;amp;lt;/RHSItem&amp;amp;gt;&amp;amp;lt;RHSItem&amp;'"</definedName>
    <definedName name="_AMO_ContentDefinition_540236810.287" hidden="1">"'amp;gt;&amp;amp;lt;RHSType&amp;amp;gt;EXPRESSION&amp;amp;lt;/RHSType&amp;amp;gt;&amp;amp;lt;AddQuotes&amp;amp;gt;True&amp;amp;lt;/AddQuotes&amp;amp;gt;&amp;amp;lt;DateFormat&amp;amp;gt;None&amp;amp;lt;/DateFormat&amp;amp;gt;&amp;amp;lt;RightHandSideExpression&amp;amp;gt;MFPR04002748&amp;amp;lt;/RightHandSideEx'"</definedName>
    <definedName name="_AMO_ContentDefinition_540236810.288"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540236810.289" hidden="1">"'t;/AddQuotes&amp;amp;gt;&amp;amp;lt;DateFormat&amp;amp;gt;None&amp;amp;lt;/DateFormat&amp;amp;gt;&amp;amp;lt;RightHandSideExpression&amp;amp;gt;MFPR04002817&amp;amp;lt;/RightHandSideExpression&amp;amp;gt;&amp;amp;lt;IsSubquery&amp;amp;gt;False&amp;amp;lt;/IsSubquery&amp;amp;gt;&amp;amp;lt;SubqueryTemplateN'"</definedName>
    <definedName name="_AMO_ContentDefinition_540236810.29" hidden="1">"'FPR01006313',&amp;amp;#xD;&amp;amp;#xA;'MFPR01006315',&amp;amp;#xD;&amp;amp;#xA;'MFPR01006316',&amp;amp;#xD;&amp;amp;#xA;'MFPR01006317',&amp;amp;#xD;&amp;amp;#xA;'MFPR01006318',&amp;amp;#xD;&amp;amp;#xA;'MFPR01006319',&amp;amp;#xD;&amp;amp;#xA;'MFPR01006320',&amp;amp;#xD;&amp;amp;#xA;'MFPR01006321',&amp;amp;#x'"</definedName>
    <definedName name="_AMO_ContentDefinition_540236810.290"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540236810.291" hidden="1">"'xpression&amp;amp;gt;MFPR04002886&amp;amp;lt;/RightHandSideExpression&amp;amp;gt;&amp;amp;lt;IsSubquery&amp;amp;gt;False&amp;amp;lt;/IsSubquery&amp;amp;gt;&amp;amp;lt;SubqueryTemplateName /&amp;amp;gt;&amp;amp;lt;/RHSItem&amp;amp;gt;&amp;amp;lt;RHSItem&amp;amp;gt;&amp;amp;lt;RHSType&amp;amp;gt;EXPRESSION&amp;amp;l'"</definedName>
    <definedName name="_AMO_ContentDefinition_540236810.292" hidden="1">"'t;/RHSType&amp;amp;gt;&amp;amp;lt;AddQuotes&amp;amp;gt;True&amp;amp;lt;/AddQuotes&amp;amp;gt;&amp;amp;lt;DateFormat&amp;amp;gt;None&amp;amp;lt;/DateFormat&amp;amp;gt;&amp;amp;lt;RightHandSideExpression&amp;amp;gt;MFPR04002955&amp;amp;lt;/RightHandSideExpression&amp;amp;gt;&amp;amp;lt;IsSubquery&amp;amp;gt;Fals'"</definedName>
    <definedName name="_AMO_ContentDefinition_540236810.293" hidden="1">"'e&amp;amp;lt;/IsSubquery&amp;amp;gt;&amp;amp;lt;SubqueryTemplateName /&amp;amp;gt;&amp;amp;lt;/RHSItem&amp;amp;gt;&amp;amp;lt;/RightHandSideItems&amp;amp;gt;&amp;amp;lt;/RightHandSide&amp;amp;gt;&amp;amp;lt;IsCaseSensitive&amp;amp;gt;True&amp;amp;lt;/IsCaseSensitive&amp;amp;gt;&amp;amp;lt;/Node&amp;amp;gt;&amp;amp;lt;'"</definedName>
    <definedName name="_AMO_ContentDefinition_540236810.294" hidden="1">"'/SiblingLink&amp;amp;gt;&amp;amp;lt;Operator&amp;amp;gt;CONTAINS&amp;amp;lt;/Operator&amp;amp;gt;&amp;amp;lt;UseMacroFunction&amp;amp;gt;False&amp;amp;lt;/UseMacroFunction&amp;amp;gt;&amp;amp;lt;Not&amp;amp;gt;False&amp;amp;lt;/Not&amp;amp;gt;&amp;amp;lt;Label /&amp;amp;gt;&amp;amp;lt;RightHandSide&amp;amp;gt;&amp;amp;lt;'"</definedName>
    <definedName name="_AMO_ContentDefinition_540236810.295" hidden="1">"'RightHandSideNumType&amp;amp;gt;SINGLE&amp;amp;lt;/RightHandSideNumType&amp;amp;gt;&amp;amp;lt;RightHandSideItems&amp;amp;gt;&amp;amp;lt;RHSItem&amp;amp;gt;&amp;amp;lt;RHSType&amp;amp;gt;EXPRESSION&amp;amp;lt;/RHSType&amp;amp;gt;&amp;amp;lt;AddQuotes&amp;amp;gt;True&amp;amp;lt;/AddQuotes&amp;amp;gt;&amp;amp;lt;Dat'"</definedName>
    <definedName name="_AMO_ContentDefinition_540236810.296" hidden="1">"'eFormat&amp;amp;gt;None&amp;amp;lt;/DateFormat&amp;amp;gt;&amp;amp;lt;RightHandSideExpression&amp;amp;gt;ECCU&amp;amp;lt;/RightHandSideExpression&amp;amp;gt;&amp;amp;lt;IsSubquery&amp;amp;gt;False&amp;amp;lt;/IsSubquery&amp;amp;gt;&amp;amp;lt;SubqueryTemplateName /&amp;amp;gt;&amp;amp;lt;/RHSItem&amp;amp;gt;&amp;a'"</definedName>
    <definedName name="_AMO_ContentDefinition_540236810.297" hidden="1">"'mp;lt;/RightHandSideItems&amp;amp;gt;&amp;amp;lt;/RightHandSide&amp;amp;gt;&amp;amp;lt;IsCaseSensitive&amp;amp;gt;True&amp;amp;lt;/IsCaseSensitive&amp;amp;gt;&amp;amp;lt;/Node&amp;amp;gt;&amp;amp;lt;/SiblingLink&amp;amp;gt;&amp;amp;lt;Operator&amp;amp;gt;IN&amp;amp;lt;/Operator&amp;amp;gt;&amp;amp;lt;UseMacroFunct'"</definedName>
    <definedName name="_AMO_ContentDefinition_540236810.298" hidden="1">"'ion&amp;amp;gt;False&amp;amp;lt;/UseMacroFunction&amp;amp;gt;&amp;amp;lt;Not&amp;amp;gt;False&amp;amp;lt;/Not&amp;amp;gt;&amp;amp;lt;Label /&amp;amp;gt;&amp;amp;lt;RightHandSide&amp;amp;gt;&amp;amp;lt;RightHandSideNumType&amp;amp;gt;LIST&amp;amp;lt;/RightHandSideNumType&amp;amp;gt;&amp;amp;lt;RightHandSideItems&amp;am'"</definedName>
    <definedName name="_AMO_ContentDefinition_540236810.299" hidden="1">"'p;gt;&amp;amp;lt;RHSItem&amp;amp;gt;&amp;amp;lt;RHSType&amp;amp;gt;EXPRESSION&amp;amp;lt;/RHSType&amp;amp;gt;&amp;amp;lt;AddQuotes&amp;amp;gt;True&amp;amp;lt;/AddQuotes&amp;amp;gt;&amp;amp;lt;DateFormat&amp;amp;gt;None&amp;amp;lt;/DateFormat&amp;amp;gt;&amp;amp;lt;RightHandSideExpression&amp;amp;gt;Q&amp;amp;lt;/Right'"</definedName>
    <definedName name="_AMO_ContentDefinition_540236810.3" hidden="1">"'Version"" v=""8.0"" /&gt;_x000D_
  &lt;param n=""ServerHostName"" v=""sasprdmetadata.eccb-centralbank.org"" /&gt;_x000D_
  &lt;param n=""DataSourceType"" v=""SAS DATASET"" /&gt;_x000D_
  &lt;param n=""SASFilter"" v=""entity_submitter_type IN &amp;#xD;&amp;#xA;(&amp;#xD;&amp;#xA;'Country'&amp;#xD;&amp;#xA;) AND'"</definedName>
    <definedName name="_AMO_ContentDefinition_540236810.30" hidden="1">"'D;&amp;amp;#xA;'MFPR02000127',&amp;amp;#xD;&amp;amp;#xA;'MFPR02000254',&amp;amp;#xD;&amp;amp;#xA;'MFPR02000381',&amp;amp;#xD;&amp;amp;#xA;'MFPR02000508',&amp;amp;#xD;&amp;amp;#xA;'MFPR02000635',&amp;amp;#xD;&amp;amp;#xA;'MFPR02000762',&amp;amp;#xD;&amp;amp;#xA;'MFPR02000892',&amp;amp;#xD;&amp;amp;#xA;'MFPR0200'"</definedName>
    <definedName name="_AMO_ContentDefinition_540236810.300" hidden="1">"'HandSideExpression&amp;amp;gt;&amp;amp;lt;IsSubquery&amp;amp;gt;False&amp;amp;lt;/IsSubquery&amp;amp;gt;&amp;amp;lt;SubqueryTemplateName /&amp;amp;gt;&amp;amp;lt;/RHSItem&amp;amp;gt;&amp;amp;lt;/RightHandSideItems&amp;amp;gt;&amp;amp;lt;/RightHandSide&amp;amp;gt;&amp;amp;lt;IsCaseSensitive&amp;amp;gt;True&amp;amp;'"</definedName>
    <definedName name="_AMO_ContentDefinition_540236810.301" hidden="1">"'lt;/IsCaseSensitive&amp;amp;gt;&amp;amp;lt;/Node&amp;amp;gt;&amp;amp;lt;/SiblingLink&amp;amp;gt;&amp;amp;lt;Operator&amp;amp;gt;&amp;amp;amp;gt;=&amp;amp;lt;/Operator&amp;amp;gt;&amp;amp;lt;UseMacroFunction&amp;amp;gt;False&amp;amp;lt;/UseMacroFunction&amp;amp;gt;&amp;amp;lt;Not&amp;amp;gt;False&amp;amp;lt;/Not&amp;amp;gt'"</definedName>
    <definedName name="_AMO_ContentDefinition_540236810.302" hidden="1">"';&amp;amp;lt;Label /&amp;amp;gt;&amp;amp;lt;RightHandSide&amp;amp;gt;&amp;amp;lt;RightHandSideNumType&amp;amp;gt;SINGLE&amp;amp;lt;/RightHandSideNumType&amp;amp;gt;&amp;amp;lt;RightHandSideItems&amp;amp;gt;&amp;amp;lt;RHSItem&amp;amp;gt;&amp;amp;lt;RHSType&amp;amp;gt;EXPRESSION&amp;amp;lt;/RHSType&amp;amp;gt;&amp;amp;'"</definedName>
    <definedName name="_AMO_ContentDefinition_540236810.303" hidden="1">"'lt;AddQuotes&amp;amp;gt;False&amp;amp;lt;/AddQuotes&amp;amp;gt;&amp;amp;lt;DateFormat&amp;amp;gt;Literal&amp;amp;lt;/DateFormat&amp;amp;gt;&amp;amp;lt;RightHandSideExpression&amp;amp;gt;03/31/2019&amp;amp;lt;/RightHandSideExpression&amp;amp;gt;&amp;amp;lt;IsSubquery&amp;amp;gt;False&amp;amp;lt;/IsSubquery&amp;'"</definedName>
    <definedName name="_AMO_ContentDefinition_540236810.304" hidden="1">"'amp;gt;&amp;amp;lt;SubqueryTemplateName /&amp;amp;gt;&amp;amp;lt;/RHSItem&amp;amp;gt;&amp;amp;lt;/RightHandSideItems&amp;amp;gt;&amp;amp;lt;/RightHandSide&amp;amp;gt;&amp;amp;lt;IsCaseSensitive&amp;amp;gt;True&amp;amp;lt;/IsCaseSensitive&amp;amp;gt;&amp;amp;lt;/Node&amp;amp;gt;&amp;amp;lt;/SiblingLink&amp;amp;gt;&amp;'"</definedName>
    <definedName name="_AMO_ContentDefinition_540236810.305" hidden="1">"'amp;lt;Operator&amp;amp;gt;IN&amp;amp;lt;/Operator&amp;amp;gt;&amp;amp;lt;UseMacroFunction&amp;amp;gt;False&amp;amp;lt;/UseMacroFunction&amp;amp;gt;&amp;amp;lt;Not&amp;amp;gt;False&amp;amp;lt;/Not&amp;amp;gt;&amp;amp;lt;Label /&amp;amp;gt;&amp;amp;lt;RightHandSide&amp;amp;gt;&amp;amp;lt;RightHandSideNumType&amp;amp;gt'"</definedName>
    <definedName name="_AMO_ContentDefinition_540236810.306" hidden="1">"';LIST&amp;amp;lt;/RightHandSideNumType&amp;amp;gt;&amp;amp;lt;RightHandSideItems&amp;amp;gt;&amp;amp;lt;RHSItem&amp;amp;gt;&amp;amp;lt;RHSType&amp;amp;gt;EXPRESSION&amp;amp;lt;/RHSType&amp;amp;gt;&amp;amp;lt;AddQuotes&amp;amp;gt;True&amp;amp;lt;/AddQuotes&amp;amp;gt;&amp;amp;lt;DateFormat&amp;amp;gt;None&amp;amp;lt;/D'"</definedName>
    <definedName name="_AMO_ContentDefinition_540236810.307" hidden="1">"'ateFormat&amp;amp;gt;&amp;amp;lt;RightHandSideExpression&amp;amp;gt;Country&amp;amp;lt;/RightHandSideExpression&amp;amp;gt;&amp;amp;lt;IsSubquery&amp;amp;gt;False&amp;amp;lt;/IsSubquery&amp;amp;gt;&amp;amp;lt;SubqueryTemplateName /&amp;amp;gt;&amp;amp;lt;/RHSItem&amp;amp;gt;&amp;amp;lt;/RightHandSideItems&amp;'"</definedName>
    <definedName name="_AMO_ContentDefinition_540236810.308" hidden="1">"'amp;gt;&amp;amp;lt;/RightHandSide&amp;amp;gt;&amp;amp;lt;IsCaseSensitive&amp;amp;gt;True&amp;amp;lt;/IsCaseSensitive&amp;amp;gt;&amp;amp;lt;/TreeRoot&amp;amp;gt;&amp;amp;lt;/FilterTree&amp;amp;gt;&amp;quot; Sort=&amp;quot;country_cd DESC,  entity_id ASC,  indicator_id ASC,  submitted_dttm DESC&amp;quot'"</definedName>
    <definedName name="_AMO_ContentDefinition_540236810.309" hidden="1">"'; ColSelFlg=&amp;quot;0&amp;quot; DNA=&amp;quot;&amp;amp;lt;DNA&amp;amp;gt;&amp;amp;#xD;&amp;amp;#xA;  &amp;amp;lt;Type&amp;amp;gt;Dataset&amp;amp;lt;/Type&amp;amp;gt;&amp;amp;#xD;&amp;amp;#xA;  &amp;amp;lt;Name&amp;amp;gt;validation_metrics_prior10_view&amp;amp;lt;/Name&amp;amp;gt;&amp;amp;#xD;&amp;amp;#xA;  &amp;amp;lt;Version&amp;'"</definedName>
    <definedName name="_AMO_ContentDefinition_540236810.31" hidden="1">"'0893',&amp;amp;#xD;&amp;amp;#xA;'MFPR02000903',&amp;amp;#xD;&amp;amp;#xA;'MFPR02000904',&amp;amp;#xD;&amp;amp;#xA;'MFPR02000907',&amp;amp;#xD;&amp;amp;#xA;'MFPR02000908',&amp;amp;#xD;&amp;amp;#xA;'MFPR02000934',&amp;amp;#xD;&amp;amp;#xA;'MFPR02000938',&amp;amp;#xD;&amp;amp;#xA;'MFPR02000941',&amp;amp;#xD;&amp;amp;'"</definedName>
    <definedName name="_AMO_ContentDefinition_540236810.310" hidden="1">"'amp;gt;1&amp;amp;lt;/Version&amp;amp;gt;&amp;amp;#xD;&amp;amp;#xA;  &amp;amp;lt;Assembly&amp;amp;gt;SAS.EG.SDS.Model&amp;amp;lt;/Assembly&amp;amp;gt;&amp;amp;#xD;&amp;amp;#xA;  &amp;amp;lt;Factory&amp;amp;gt;SAS.EG.SDS.Model.Creator&amp;amp;lt;/Factory&amp;amp;gt;&amp;amp;#xD;&amp;amp;#xA;  &amp;amp;lt;ParentName&amp;amp;'"</definedName>
    <definedName name="_AMO_ContentDefinition_540236810.311" hidden="1">"'gt;Metrics Data&amp;amp;lt;/ParentName&amp;amp;gt;&amp;amp;#xD;&amp;amp;#xA;  &amp;amp;lt;Server&amp;amp;gt;SASApp&amp;amp;lt;/Server&amp;amp;gt;&amp;amp;#xD;&amp;amp;#xA;  &amp;amp;lt;Library&amp;amp;gt;Metrics Data&amp;amp;lt;/Library&amp;amp;gt;&amp;amp;#xD;&amp;amp;#xA;&amp;amp;lt;/DNA&amp;amp;gt;&amp;quot; Name=&amp;quot;val'"</definedName>
    <definedName name="_AMO_ContentDefinition_540236810.312" hidden="1">"'idation_metrics_prior10_view&amp;quot;&amp;gt;&amp;#xD;&amp;#xA;&amp;lt;Cols&amp;gt;&amp;#xD;&amp;#xA;&amp;lt;cn&amp;gt;entity_id&amp;lt;/cn&amp;gt;&amp;#xD;&amp;#xA;&amp;lt;cn&amp;gt;entity_short_nm&amp;lt;/cn&amp;gt;&amp;#xD;&amp;#xA;&amp;lt;cn&amp;gt;indicator_id&amp;lt;/cn&amp;gt;&amp;#xD;&amp;#xA;&amp;lt;cn&amp;gt;output_label&amp;lt;/cn&amp;gt;&amp;#xD;&amp;#xA;&amp;lt;cn&amp;gt'"</definedName>
    <definedName name="_AMO_ContentDefinition_540236810.313" hidden="1">"';reporting_amount&amp;lt;/cn&amp;gt;&amp;#xD;&amp;#xA;&amp;lt;cn&amp;gt;date_dt&amp;lt;/cn&amp;gt;&amp;#xD;&amp;#xA;&amp;lt;/Cols&amp;gt;&amp;#xD;&amp;#xA;&amp;lt;ColOrd&amp;gt;&amp;#xD;&amp;#xA;&amp;lt;cn&amp;gt;entity_id&amp;lt;/cn&amp;gt;&amp;#xD;&amp;#xA;&amp;lt;cn&amp;gt;entity_short_nm&amp;lt;/cn&amp;gt;&amp;#xD;&amp;#xA;&amp;lt;cn&amp;gt;indicator_id&amp;lt;/cn&amp;gt;&amp;#xD;&amp;#xA'"</definedName>
    <definedName name="_AMO_ContentDefinition_540236810.314" hidden="1">"';&amp;lt;cn&amp;gt;output_label&amp;lt;/cn&amp;gt;&amp;#xD;&amp;#xA;&amp;lt;cn&amp;gt;reporting_amount&amp;lt;/cn&amp;gt;&amp;#xD;&amp;#xA;&amp;lt;cn&amp;gt;date_dt&amp;lt;/cn&amp;gt;&amp;#xD;&amp;#xA;&amp;lt;cn&amp;gt;frequency_nm&amp;lt;/cn&amp;gt;&amp;#xD;&amp;#xA;&amp;lt;cn&amp;gt;frequency_cd&amp;lt;/cn&amp;gt;&amp;#xD;&amp;#xA;&amp;lt;cn&amp;gt;status_cd&amp;lt;/cn&amp;gt;&amp;#xD;&amp;'"</definedName>
    <definedName name="_AMO_ContentDefinition_540236810.315" hidden="1">"'#xA;&amp;lt;cn&amp;gt;submitted_dttm&amp;lt;/cn&amp;gt;&amp;#xD;&amp;#xA;&amp;lt;cn&amp;gt;macro_data_cd&amp;lt;/cn&amp;gt;&amp;#xD;&amp;#xA;&amp;lt;cn&amp;gt;unit&amp;lt;/cn&amp;gt;&amp;#xD;&amp;#xA;&amp;lt;cn&amp;gt;type&amp;lt;/cn&amp;gt;&amp;#xD;&amp;#xA;&amp;lt;cn&amp;gt;year_quarter_nm&amp;lt;/cn&amp;gt;&amp;#xD;&amp;#xA;&amp;lt;cn&amp;gt;year_month_nm&amp;lt;/cn&amp;gt;&amp;#xD;&amp;#x'"</definedName>
    <definedName name="_AMO_ContentDefinition_540236810.316" hidden="1">"'A;&amp;lt;cn&amp;gt;calendar_date_sas&amp;lt;/cn&amp;gt;&amp;#xD;&amp;#xA;&amp;lt;cn&amp;gt;country_cd&amp;lt;/cn&amp;gt;&amp;#xD;&amp;#xA;&amp;lt;cn&amp;gt;entity_submitter_type&amp;lt;/cn&amp;gt;&amp;#xD;&amp;#xA;&amp;lt;cn&amp;gt;vgroup_fl&amp;lt;/cn&amp;gt;&amp;#xD;&amp;#xA;&amp;lt;cn&amp;gt;fiscal_year_end_mo&amp;lt;/cn&amp;gt;&amp;#xD;&amp;#xA;&amp;lt;cn&amp;gt;country_n'"</definedName>
    <definedName name="_AMO_ContentDefinition_540236810.317" hidden="1">"'m&amp;lt;/cn&amp;gt;&amp;#xD;&amp;#xA;&amp;lt;cn&amp;gt;form_id&amp;lt;/cn&amp;gt;&amp;#xD;&amp;#xA;&amp;lt;cn&amp;gt;form_nm&amp;lt;/cn&amp;gt;&amp;#xD;&amp;#xA;&amp;lt;/ColOrd&amp;gt;&amp;#xD;&amp;#xA;&amp;lt;/SasDataSource&amp;gt;"" /&gt;_x000D_
  &lt;param n=""ExcelTableColumnCount"" v=""6"" /&gt;_x000D_
  &lt;param n=""ExcelTableRowCount"" v=""4138"" /&gt;_x000D_
 '"</definedName>
    <definedName name="_AMO_ContentDefinition_540236810.318" hidden="1">"' &lt;param n=""DataRowCount"" v=""4138"" /&gt;_x000D_
  &lt;param n=""DataColCount"" v=""6"" /&gt;_x000D_
  &lt;param n=""ObsColumn"" v=""false"" /&gt;_x000D_
  &lt;param n=""ExcelFormattingHash"" v=""-2075364781"" /&gt;_x000D_
  &lt;param n=""ExcelFormatting"" v=""Automatic"" /&gt;_x000D_
  &lt;ExcelXMLOptions'"</definedName>
    <definedName name="_AMO_ContentDefinition_540236810.319" hidden="1">"' AdjColWidths=""True"" RowOpt=""InsertCells"" ColOpt=""InsertCells"" /&gt;_x000D_
&lt;/ContentDefinition&gt;'"</definedName>
    <definedName name="_AMO_ContentDefinition_540236810.32" hidden="1">"'#xA;'MFPR02000942',&amp;amp;#xD;&amp;amp;#xA;'MFPR02000943',&amp;amp;#xD;&amp;amp;#xA;'MFPR02000944',&amp;amp;#xD;&amp;amp;#xA;'MFPR02000949',&amp;amp;#xD;&amp;amp;#xA;'MFPR02000950',&amp;amp;#xD;&amp;amp;#xA;'MFPR02000954',&amp;amp;#xD;&amp;amp;#xA;'MFPR02000960',&amp;amp;#xD;&amp;amp;#xA;'MFPR02000963',&amp;'"</definedName>
    <definedName name="_AMO_ContentDefinition_540236810.320" hidden="1">"'ubquery&amp;amp;gt;&amp;amp;lt;SubqueryTemplateName /&amp;amp;gt;&amp;amp;lt;/RHSItem&amp;amp;gt;&amp;amp;lt;/RightHandSideItems&amp;amp;gt;&amp;amp;lt;/RightHandSide&amp;amp;gt;&amp;amp;lt;IsCaseSensitive&amp;amp;gt;True&amp;amp;lt;/IsCaseSensitive&amp;amp;gt;&amp;amp;lt;/Node&amp;amp;gt;&amp;amp;lt;/SiblingLink&amp;'"</definedName>
    <definedName name="_AMO_ContentDefinition_540236810.321" hidden="1">"'amp;gt;&amp;amp;lt;Operator&amp;amp;gt;IN&amp;amp;lt;/Operator&amp;amp;gt;&amp;amp;lt;UseMacroFunction&amp;amp;gt;False&amp;amp;lt;/UseMacroFunction&amp;amp;gt;&amp;amp;lt;Not&amp;amp;gt;False&amp;amp;lt;/Not&amp;amp;gt;&amp;amp;lt;Label /&amp;amp;gt;&amp;amp;lt;RightHandSide&amp;amp;gt;&amp;amp;lt;RightHandSideNumTyp'"</definedName>
    <definedName name="_AMO_ContentDefinition_540236810.322" hidden="1">"'e&amp;amp;gt;LIST&amp;amp;lt;/RightHandSideNumType&amp;amp;gt;&amp;amp;lt;RightHandSideItems&amp;amp;gt;&amp;amp;lt;RHSItem&amp;amp;gt;&amp;amp;lt;RHSType&amp;amp;gt;EXPRESSION&amp;amp;lt;/RHSType&amp;amp;gt;&amp;amp;lt;AddQuotes&amp;amp;gt;True&amp;amp;lt;/AddQuotes&amp;amp;gt;&amp;amp;lt;DateFormat&amp;amp;gt;None&amp;a'"</definedName>
    <definedName name="_AMO_ContentDefinition_540236810.323" hidden="1">"'mp;lt;/DateFormat&amp;amp;gt;&amp;amp;lt;RightHandSideExpression xml:space=&amp;amp;quot;preserve&amp;amp;quot;&amp;amp;gt;Q&amp;amp;lt;/RightHandSideExpression&amp;amp;gt;&amp;amp;lt;IsSubquery&amp;amp;gt;False&amp;amp;lt;/IsSubquery&amp;amp;gt;&amp;amp;lt;SubqueryTemplateName /&amp;amp;gt;&amp;amp;lt;/RH'"</definedName>
    <definedName name="_AMO_ContentDefinition_540236810.324" hidden="1">"'SItem&amp;amp;gt;&amp;amp;lt;/RightHandSideItems&amp;amp;gt;&amp;amp;lt;/RightHandSide&amp;amp;gt;&amp;amp;lt;IsCaseSensitive&amp;amp;gt;True&amp;amp;lt;/IsCaseSensitive&amp;amp;gt;&amp;amp;lt;/Node&amp;amp;gt;&amp;amp;lt;/SiblingLink&amp;amp;gt;&amp;amp;lt;Operator&amp;amp;gt;&amp;amp;amp;gt;=&amp;amp;lt;/Operator&amp;am'"</definedName>
    <definedName name="_AMO_ContentDefinition_540236810.325" hidden="1">"'p;gt;&amp;amp;lt;UseMacroFunction&amp;amp;gt;False&amp;amp;lt;/UseMacroFunction&amp;amp;gt;&amp;amp;lt;Not&amp;amp;gt;False&amp;amp;lt;/Not&amp;amp;gt;&amp;amp;lt;Label /&amp;amp;gt;&amp;amp;lt;RightHandSide&amp;amp;gt;&amp;amp;lt;RightHandSideNumType&amp;amp;gt;SINGLE&amp;amp;lt;/RightHandSideNumType&amp;amp;gt;&amp;'"</definedName>
    <definedName name="_AMO_ContentDefinition_540236810.326" hidden="1">"'amp;lt;RightHandSideItems&amp;amp;gt;&amp;amp;lt;RHSItem&amp;amp;gt;&amp;amp;lt;RHSType&amp;amp;gt;EXPRESSION&amp;amp;lt;/RHSType&amp;amp;gt;&amp;amp;lt;AddQuotes&amp;amp;gt;False&amp;amp;lt;/AddQuotes&amp;amp;gt;&amp;amp;lt;DateFormat&amp;amp;gt;Literal&amp;amp;lt;/DateFormat&amp;amp;gt;&amp;amp;lt;RightHandSideE'"</definedName>
    <definedName name="_AMO_ContentDefinition_540236810.327" hidden="1">"'xpression xml:space=&amp;amp;quot;preserve&amp;amp;quot;&amp;amp;gt;03/31/2019&amp;amp;lt;/RightHandSideExpression&amp;amp;gt;&amp;amp;lt;IsSubquery&amp;amp;gt;False&amp;amp;lt;/IsSubquery&amp;amp;gt;&amp;amp;lt;SubqueryTemplateName /&amp;amp;gt;&amp;amp;lt;/RHSItem&amp;amp;gt;&amp;amp;lt;/RightHandSideIte'"</definedName>
    <definedName name="_AMO_ContentDefinition_540236810.328" hidden="1">"'ms&amp;amp;gt;&amp;amp;lt;/RightHandSide&amp;amp;gt;&amp;amp;lt;IsCaseSensitive&amp;amp;gt;True&amp;amp;lt;/IsCaseSensitive&amp;amp;gt;&amp;amp;lt;/Node&amp;amp;gt;&amp;amp;lt;/SiblingLink&amp;amp;gt;&amp;amp;lt;Operator&amp;amp;gt;IN&amp;amp;lt;/Operator&amp;amp;gt;&amp;amp;lt;UseMacroFunction&amp;amp;gt;False&amp;amp;lt'"</definedName>
    <definedName name="_AMO_ContentDefinition_540236810.329" hidden="1">"';/UseMacroFunction&amp;amp;gt;&amp;amp;lt;Not&amp;amp;gt;False&amp;amp;lt;/Not&amp;amp;gt;&amp;amp;lt;Label /&amp;amp;gt;&amp;amp;lt;RightHandSide&amp;amp;gt;&amp;amp;lt;RightHandSideNumType&amp;amp;gt;LIST&amp;amp;lt;/RightHandSideNumType&amp;amp;gt;&amp;amp;lt;RightHandSideItems&amp;amp;gt;&amp;amp;lt;RHSItem&amp;am'"</definedName>
    <definedName name="_AMO_ContentDefinition_540236810.33" hidden="1">"'amp;#xD;&amp;amp;#xA;'MFPR02000970',&amp;amp;#xD;&amp;amp;#xA;'MFPR02000974',&amp;amp;#xD;&amp;amp;#xA;'MFPR02000975',&amp;amp;#xD;&amp;amp;#xA;'MFPR02000976',&amp;amp;#xD;&amp;amp;#xA;'MFPR02000977',&amp;amp;#xD;&amp;amp;#xA;'MFPR02000978',&amp;amp;#xD;&amp;amp;#xA;'MFPR02000979',&amp;amp;#xD;&amp;amp;#xA;'MF'"</definedName>
    <definedName name="_AMO_ContentDefinition_540236810.330"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540236810.331" hidden="1">"';Country&amp;amp;lt;/RightHandSideExpression&amp;amp;gt;&amp;amp;lt;IsSubquery&amp;amp;gt;False&amp;amp;lt;/IsSubquery&amp;amp;gt;&amp;amp;lt;SubqueryTemplateName /&amp;amp;gt;&amp;amp;lt;/RHSItem&amp;amp;gt;&amp;amp;lt;/RightHandSideItems&amp;amp;gt;&amp;amp;lt;/RightHandSide&amp;amp;gt;&amp;amp;lt;IsCaseSens'"</definedName>
    <definedName name="_AMO_ContentDefinition_540236810.332" hidden="1">"'itive&amp;amp;gt;True&amp;amp;lt;/IsCaseSensitive&amp;amp;gt;&amp;amp;lt;/TreeRoot&amp;amp;gt;&amp;amp;lt;/FilterTree&amp;amp;gt;&amp;quot; Sort=&amp;quot;country_cd DESC,  entity_id ASC,  indicator_id ASC,  submitted_dttm DESC&amp;quot; ColSelFlg=&amp;quot;0&amp;quot; DNA=&amp;quot;&amp;amp;lt;DNA&amp;amp;gt;'"</definedName>
    <definedName name="_AMO_ContentDefinition_540236810.333" hidden="1">"'&amp;amp;#xD;&amp;amp;#xA;  &amp;amp;lt;Type&amp;amp;gt;Dataset&amp;amp;lt;/Type&amp;amp;gt;&amp;amp;#xD;&amp;amp;#xA;  &amp;amp;lt;Name&amp;amp;gt;validation_metrics_prior10_view&amp;amp;lt;/Name&amp;amp;gt;&amp;amp;#xD;&amp;amp;#xA;  &amp;amp;lt;Version&amp;amp;gt;1&amp;amp;lt;/Version&amp;amp;gt;&amp;amp;#xD;&amp;amp;#xA;  &amp;am'"</definedName>
    <definedName name="_AMO_ContentDefinition_540236810.334" hidden="1">"'p;lt;Assembly&amp;amp;gt;SAS.EG.SDS.Model&amp;amp;lt;/Assembly&amp;amp;gt;&amp;amp;#xD;&amp;amp;#xA;  &amp;amp;lt;Factory&amp;amp;gt;SAS.EG.SDS.Model.Creator&amp;amp;lt;/Factory&amp;amp;gt;&amp;amp;#xD;&amp;amp;#xA;  &amp;amp;lt;ParentName&amp;amp;gt;Metrics Data&amp;amp;lt;/ParentName&amp;amp;gt;&amp;amp;#xD;&amp;amp'"</definedName>
    <definedName name="_AMO_ContentDefinition_540236810.335" hidden="1">"';#xA;  &amp;amp;lt;Server&amp;amp;gt;SASApp&amp;amp;lt;/Server&amp;amp;gt;&amp;amp;#xD;&amp;amp;#xA;  &amp;amp;lt;Library&amp;amp;gt;Metrics Data&amp;amp;lt;/Library&amp;amp;gt;&amp;amp;#xD;&amp;amp;#xA;  &amp;amp;lt;ParentDNA&amp;amp;gt;&amp;amp;amp;lt;DNA&amp;amp;amp;gt;&amp;amp;#xD;&amp;amp;#xA;  &amp;amp;amp;lt;Type&amp;amp;a'"</definedName>
    <definedName name="_AMO_ContentDefinition_540236810.336" hidden="1">"'mp;gt;Library&amp;amp;amp;lt;/Type&amp;amp;amp;gt;&amp;amp;#xD;&amp;amp;#xA;  &amp;amp;amp;lt;Name&amp;amp;amp;gt;Metrics Data&amp;amp;amp;lt;/Name&amp;amp;amp;gt;&amp;amp;#xD;&amp;amp;#xA;  &amp;amp;amp;lt;Version&amp;amp;amp;gt;1&amp;amp;amp;lt;/Version&amp;amp;amp;gt;&amp;amp;#xD;&amp;amp;#xA;  &amp;amp;amp;lt;Asse'"</definedName>
    <definedName name="_AMO_ContentDefinition_540236810.337" hidden="1">"'mbly&amp;amp;amp;gt;SAS.EG.SDS.Model&amp;amp;amp;lt;/Assembly&amp;amp;amp;gt;&amp;amp;#xD;&amp;amp;#xA;  &amp;amp;amp;lt;Factory&amp;amp;amp;gt;SAS.EG.SDS.Model.Creator&amp;amp;amp;lt;/Factory&amp;amp;amp;gt;&amp;amp;#xD;&amp;amp;#xA;  &amp;amp;amp;lt;ParentName&amp;amp;amp;gt;SASApp&amp;amp;amp;lt;/Parent'"</definedName>
    <definedName name="_AMO_ContentDefinition_540236810.338" hidden="1">"'Name&amp;amp;amp;gt;&amp;amp;#xD;&amp;amp;#xA;  &amp;amp;amp;lt;DisplayName&amp;amp;amp;gt;Metrics Data&amp;amp;amp;lt;/DisplayName&amp;amp;amp;gt;&amp;amp;#xD;&amp;amp;#xA;  &amp;amp;amp;lt;Server&amp;amp;amp;gt;SASApp&amp;amp;amp;lt;/Server&amp;amp;amp;gt;&amp;amp;#xD;&amp;amp;#xA;&amp;amp;amp;lt;/DNA&amp;amp;amp;gt'"</definedName>
    <definedName name="_AMO_ContentDefinition_540236810.339" hidden="1">"';&amp;amp;lt;/ParentDNA&amp;amp;gt;&amp;amp;#xD;&amp;amp;#xA;&amp;amp;lt;/DNA&amp;amp;gt;&amp;quot; Name=&amp;quot;validation_metrics_prior10_view&amp;quot;&amp;gt;&amp;#xD;&amp;#xA;&amp;lt;Cols&amp;gt;&amp;#xD;&amp;#xA;&amp;lt;cn&amp;gt;entity_id&amp;lt;/cn&amp;gt;&amp;#xD;&amp;#xA;&amp;lt;cn&amp;gt;entity_short_nm&amp;lt;/cn&amp;gt;&amp;#xD;&amp;#xA;&amp;lt;cn&amp;gt'"</definedName>
    <definedName name="_AMO_ContentDefinition_540236810.34" hidden="1">"'PR02000980',&amp;amp;#xD;&amp;amp;#xA;'MFPR02000988',&amp;amp;#xD;&amp;amp;#xA;'MFPR02000995',&amp;amp;#xD;&amp;amp;#xA;'MFPR02000996',&amp;amp;#xD;&amp;amp;#xA;'MFPR02000999',&amp;amp;#xD;&amp;amp;#xA;'MFPR02001003',&amp;amp;#xD;&amp;amp;#xA;'MFPR02001008',&amp;amp;#xD;&amp;amp;#xA;'MFPR02001012',&amp;amp;#xD'"</definedName>
    <definedName name="_AMO_ContentDefinition_540236810.340" hidden="1">"';indicator_id&amp;lt;/cn&amp;gt;&amp;#xD;&amp;#xA;&amp;lt;cn&amp;gt;output_label&amp;lt;/cn&amp;gt;&amp;#xD;&amp;#xA;&amp;lt;cn&amp;gt;reporting_amount&amp;lt;/cn&amp;gt;&amp;#xD;&amp;#xA;&amp;lt;cn&amp;gt;date_dt&amp;lt;/cn&amp;gt;&amp;#xD;&amp;#xA;&amp;lt;/Cols&amp;gt;&amp;#xD;&amp;#xA;&amp;lt;ColOrd&amp;gt;&amp;#xD;&amp;#xA;&amp;lt;cn&amp;gt;entity_id&amp;lt;/cn&amp;gt;&amp;#xD;&amp;#xA;&amp;l'"</definedName>
    <definedName name="_AMO_ContentDefinition_540236810.341" hidden="1">"'t;cn&amp;gt;entity_short_nm&amp;lt;/cn&amp;gt;&amp;#xD;&amp;#xA;&amp;lt;cn&amp;gt;indicator_id&amp;lt;/cn&amp;gt;&amp;#xD;&amp;#xA;&amp;lt;cn&amp;gt;output_label&amp;lt;/cn&amp;gt;&amp;#xD;&amp;#xA;&amp;lt;cn&amp;gt;reporting_amount&amp;lt;/cn&amp;gt;&amp;#xD;&amp;#xA;&amp;lt;cn&amp;gt;date_dt&amp;lt;/cn&amp;gt;&amp;#xD;&amp;#xA;&amp;lt;cn&amp;gt;frequency_nm&amp;lt;/cn&amp;gt;&amp;#x'"</definedName>
    <definedName name="_AMO_ContentDefinition_540236810.342" hidden="1">"'D;&amp;#xA;&amp;lt;cn&amp;gt;frequency_cd&amp;lt;/cn&amp;gt;&amp;#xD;&amp;#xA;&amp;lt;cn&amp;gt;status_cd&amp;lt;/cn&amp;gt;&amp;#xD;&amp;#xA;&amp;lt;cn&amp;gt;submitted_dttm&amp;lt;/cn&amp;gt;&amp;#xD;&amp;#xA;&amp;lt;cn&amp;gt;macro_data_cd&amp;lt;/cn&amp;gt;&amp;#xD;&amp;#xA;&amp;lt;cn&amp;gt;unit&amp;lt;/cn&amp;gt;&amp;#xD;&amp;#xA;&amp;lt;cn&amp;gt;type&amp;lt;/cn&amp;gt;&amp;#xD;&amp;#xA;&amp;l'"</definedName>
    <definedName name="_AMO_ContentDefinition_540236810.343" hidden="1">"'t;cn&amp;gt;year_quarter_nm&amp;lt;/cn&amp;gt;&amp;#xD;&amp;#xA;&amp;lt;cn&amp;gt;year_month_nm&amp;lt;/cn&amp;gt;&amp;#xD;&amp;#xA;&amp;lt;cn&amp;gt;calendar_date_sas&amp;lt;/cn&amp;gt;&amp;#xD;&amp;#xA;&amp;lt;cn&amp;gt;country_cd&amp;lt;/cn&amp;gt;&amp;#xD;&amp;#xA;&amp;lt;cn&amp;gt;entity_submitter_type&amp;lt;/cn&amp;gt;&amp;#xD;&amp;#xA;&amp;lt;cn&amp;gt;vgroup_fl&amp;lt'"</definedName>
    <definedName name="_AMO_ContentDefinition_540236810.344" hidden="1">"';/cn&amp;gt;&amp;#xD;&amp;#xA;&amp;lt;cn&amp;gt;fiscal_year_end_mo&amp;lt;/cn&amp;gt;&amp;#xD;&amp;#xA;&amp;lt;cn&amp;gt;country_nm&amp;lt;/cn&amp;gt;&amp;#xD;&amp;#xA;&amp;lt;cn&amp;gt;form_id&amp;lt;/cn&amp;gt;&amp;#xD;&amp;#xA;&amp;lt;cn&amp;gt;form_nm&amp;lt;/cn&amp;gt;&amp;#xD;&amp;#xA;&amp;lt;/ColOrd&amp;gt;&amp;#xD;&amp;#xA;&amp;lt;/SasDataSource&amp;gt;"" /&gt;_x000D_
  &lt;param n=""'"</definedName>
    <definedName name="_AMO_ContentDefinition_540236810.345" hidden="1">"'ExcelTableColumnCount"" v=""6"" /&gt;_x000D_
  &lt;param n=""ExcelTableRowCount"" v=""4138"" /&gt;_x000D_
  &lt;param n=""DataRowCount"" v=""4138"" /&gt;_x000D_
  &lt;param n=""DataColCount"" v=""6"" /&gt;_x000D_
  &lt;param n=""ObsColumn"" v=""false"" /&gt;_x000D_
  &lt;param n=""ExcelFormattingHash"" v=""-2'"</definedName>
    <definedName name="_AMO_ContentDefinition_540236810.346" hidden="1">"'075364781"" /&gt;_x000D_
  &lt;param n=""ExcelFormatting"" v=""Automatic"" /&gt;_x000D_
  &lt;ExcelXMLOptions AdjColWidths=""True"" RowOpt=""InsertCells"" ColOpt=""InsertCells"" /&gt;_x000D_
&lt;/ContentDefinition&gt;'"</definedName>
    <definedName name="_AMO_ContentDefinition_540236810.35" hidden="1">"';&amp;amp;#xA;'MFPR02001013',&amp;amp;#xD;&amp;amp;#xA;'MFPR02001014',&amp;amp;#xD;&amp;amp;#xA;'MFPR02001015',&amp;amp;#xD;&amp;amp;#xA;'MFPR02001016',&amp;amp;#xD;&amp;amp;#xA;'MFPR02001017',&amp;amp;#xD;&amp;amp;#xA;'MFPR02001018',&amp;amp;#xD;&amp;amp;#xA;'MFPR04004612',&amp;amp;#xD;&amp;amp;#xA;'MFPR04004'"</definedName>
    <definedName name="_AMO_ContentDefinition_540236810.36" hidden="1">"'613',&amp;amp;#xD;&amp;amp;#xA;'MFPR04004614',&amp;amp;#xD;&amp;amp;#xA;'MFPR04004617',&amp;amp;#xD;&amp;amp;#xA;'MFPR04004618',&amp;amp;#xD;&amp;amp;#xA;'MFPR04004619',&amp;amp;#xD;&amp;amp;#xA;'MFPR04004622',&amp;amp;#xD;&amp;amp;#xA;'MFPR04004623',&amp;amp;#xD;&amp;amp;#xA;'MFPR04004624',&amp;amp;#xD;&amp;amp;#'"</definedName>
    <definedName name="_AMO_ContentDefinition_540236810.37" hidden="1">"'xA;'MFPR04004627',&amp;amp;#xD;&amp;amp;#xA;'MFPR04004628',&amp;amp;#xD;&amp;amp;#xA;'MFPR04004629',&amp;amp;#xD;&amp;amp;#xA;'MFPR04004632',&amp;amp;#xD;&amp;amp;#xA;'MFPR04004633',&amp;amp;#xD;&amp;amp;#xA;'MFPR04004634',&amp;amp;#xD;&amp;amp;#xA;'MFPR04004637',&amp;amp;#xD;&amp;amp;#xA;'MFPR04004638',&amp;a'"</definedName>
    <definedName name="_AMO_ContentDefinition_540236810.38" hidden="1">"'mp;#xD;&amp;amp;#xA;'MFPR04004639',&amp;amp;#xD;&amp;amp;#xA;'MFPR04004643',&amp;amp;#xD;&amp;amp;#xA;'MFPR04004644',&amp;amp;#xD;&amp;amp;#xA;'MFPR04004645',&amp;amp;#xD;&amp;amp;#xA;'MFPR04001368',&amp;amp;#xD;&amp;amp;#xA;'MFPR04001437',&amp;amp;#xD;&amp;amp;#xA;'MFPR04001506',&amp;amp;#xD;&amp;amp;#xA;'MFP'"</definedName>
    <definedName name="_AMO_ContentDefinition_540236810.39" hidden="1">"'R04001575',&amp;amp;#xD;&amp;amp;#xA;'MFPR04001644',&amp;amp;#xD;&amp;amp;#xA;'MFPR04001713',&amp;amp;#xD;&amp;amp;#xA;'MFPR04001782',&amp;amp;#xD;&amp;amp;#xA;'MFPR04001851',&amp;amp;#xD;&amp;amp;#xA;'MFPR04003576',&amp;amp;#xD;&amp;amp;#xA;'MFPR04003645',&amp;amp;#xD;&amp;amp;#xA;'MFPR04003714',&amp;amp;#xD;'"</definedName>
    <definedName name="_AMO_ContentDefinition_540236810.4" hidden="1">"' date_dt &amp;gt;= '31Mar2019'd AND frequency_cd IN &amp;#xD;&amp;#xA;(&amp;#xD;&amp;#xA;'Q'&amp;#xD;&amp;#xA;) AND entity_id CONTAINS 'ECCU' AND indicator_id IN &amp;#xD;&amp;#xA;(&amp;#xD;&amp;#xA;'MFBS01000001',&amp;#xD;&amp;#xA;'MFBS01000012',&amp;#xD;&amp;#xA;'MFBS01000063',&amp;#xD;&amp;#xA;'MFBS01000090',&amp;#xD;&amp;'"</definedName>
    <definedName name="_AMO_ContentDefinition_540236810.40" hidden="1">"'&amp;amp;#xA;'MFPR04003783',&amp;amp;#xD;&amp;amp;#xA;'MFPR04003852',&amp;amp;#xD;&amp;amp;#xA;'MFPR04003921',&amp;amp;#xD;&amp;amp;#xA;'MFPR04003990',&amp;amp;#xD;&amp;amp;#xA;'MFPR04004059',&amp;amp;#xD;&amp;amp;#xA;'MFPR04000264',&amp;amp;#xD;&amp;amp;#xA;'MFPR04000333',&amp;amp;#xD;&amp;amp;#xA;'MFPR040004'"</definedName>
    <definedName name="_AMO_ContentDefinition_540236810.41" hidden="1">"'02',&amp;amp;#xD;&amp;amp;#xA;'MFPR04000471',&amp;amp;#xD;&amp;amp;#xA;'MFPR04000540',&amp;amp;#xD;&amp;amp;#xA;'MFPR04000609',&amp;amp;#xD;&amp;amp;#xA;'MFPR04000678',&amp;amp;#xD;&amp;amp;#xA;'MFPR04000747',&amp;amp;#xD;&amp;amp;#xA;'MFPR04002472',&amp;amp;#xD;&amp;amp;#xA;'MFPR04002541',&amp;amp;#xD;&amp;amp;#x'"</definedName>
    <definedName name="_AMO_ContentDefinition_540236810.42" hidden="1">"'A;'MFPR04002610',&amp;amp;#xD;&amp;amp;#xA;'MFPR04002679',&amp;amp;#xD;&amp;amp;#xA;'MFPR04002748',&amp;amp;#xD;&amp;amp;#xA;'MFPR04002817',&amp;amp;#xD;&amp;amp;#xA;'MFPR04002886',&amp;amp;#xD;&amp;amp;#xA;'MFPR04002955'&amp;amp;#xD;&amp;amp;#xA;)&amp;quot; FilterDS=&amp;quot;&amp;amp;lt;?xml version=&amp;amp;quo'"</definedName>
    <definedName name="_AMO_ContentDefinition_540236810.43" hidden="1">"'t;1.0&amp;amp;quot; encoding=&amp;amp;quot;utf-16&amp;amp;quot;?&amp;amp;gt;&amp;amp;lt;FilterTree&amp;amp;gt;&amp;amp;lt;TreeRoot&amp;amp;gt;&amp;amp;lt;ID&amp;amp;gt;6a6e6aef-9566-4580-a928-e3fddbdfbefd&amp;amp;lt;/ID&amp;amp;gt;&amp;amp;lt;FilterType&amp;amp;gt;COLUMN&amp;amp;lt;/FilterType&amp;amp;gt;&amp;amp;lt;T'"</definedName>
    <definedName name="_AMO_ContentDefinition_540236810.44" hidden="1">"'ableID /&amp;amp;gt;&amp;amp;lt;ColumnName&amp;amp;gt;entity_submitter_type&amp;amp;lt;/ColumnName&amp;amp;gt;&amp;amp;lt;ColumnType&amp;amp;gt;Character&amp;amp;lt;/ColumnType&amp;amp;gt;&amp;amp;lt;GroupLevel /&amp;amp;gt;&amp;amp;lt;SiblingLink&amp;amp;gt;&amp;amp;lt;LinkType&amp;amp;gt;AND&amp;amp;lt;/LinkType'"</definedName>
    <definedName name="_AMO_ContentDefinition_540236810.45" hidden="1">"'&amp;amp;gt;&amp;amp;lt;Node&amp;amp;gt;&amp;amp;lt;ID&amp;amp;gt;8b0e465c-5e82-4aee-86bf-fc1b668b3144&amp;amp;lt;/ID&amp;amp;gt;&amp;amp;lt;FilterType&amp;amp;gt;COLUMN&amp;amp;lt;/FilterType&amp;amp;gt;&amp;amp;lt;TableID /&amp;amp;gt;&amp;amp;lt;ColumnName&amp;amp;gt;date_dt&amp;amp;lt;/ColumnName&amp;amp;gt;&amp;amp;l'"</definedName>
    <definedName name="_AMO_ContentDefinition_540236810.46" hidden="1">"'t;ColumnType&amp;amp;gt;Date&amp;amp;lt;/ColumnType&amp;amp;gt;&amp;amp;lt;GroupLevel /&amp;amp;gt;&amp;amp;lt;SiblingLink&amp;amp;gt;&amp;amp;lt;LinkType&amp;amp;gt;AND&amp;amp;lt;/LinkType&amp;amp;gt;&amp;amp;lt;Node&amp;amp;gt;&amp;amp;lt;ID&amp;amp;gt;273f27df-e698-4df3-bccf-7ca19b01f7e0&amp;amp;lt;/ID&amp;amp;gt;'"</definedName>
    <definedName name="_AMO_ContentDefinition_540236810.47" hidden="1">"'&amp;amp;lt;FilterType&amp;amp;gt;COLUMN&amp;amp;lt;/FilterType&amp;amp;gt;&amp;amp;lt;TableID /&amp;amp;gt;&amp;amp;lt;ColumnName&amp;amp;gt;frequency_cd&amp;amp;lt;/ColumnName&amp;amp;gt;&amp;amp;lt;ColumnType&amp;amp;gt;Character&amp;amp;lt;/ColumnType&amp;amp;gt;&amp;amp;lt;GroupLevel /&amp;amp;gt;&amp;amp;lt;Sibl'"</definedName>
    <definedName name="_AMO_ContentDefinition_540236810.48" hidden="1">"'ingLink&amp;amp;gt;&amp;amp;lt;LinkType&amp;amp;gt;AND&amp;amp;lt;/LinkType&amp;amp;gt;&amp;amp;lt;Node&amp;amp;gt;&amp;amp;lt;ID&amp;amp;gt;2f03cdc4-9f9f-4ba5-8454-97282d9a23b2&amp;amp;lt;/ID&amp;amp;gt;&amp;amp;lt;FilterType&amp;amp;gt;COLUMN&amp;amp;lt;/FilterType&amp;amp;gt;&amp;amp;lt;TableID /&amp;amp;gt;&amp;amp;lt'"</definedName>
    <definedName name="_AMO_ContentDefinition_540236810.49" hidden="1">"';ColumnName&amp;amp;gt;entity_id&amp;amp;lt;/ColumnName&amp;amp;gt;&amp;amp;lt;ColumnType&amp;amp;gt;Character&amp;amp;lt;/ColumnType&amp;amp;gt;&amp;amp;lt;GroupLevel /&amp;amp;gt;&amp;amp;lt;SiblingLink&amp;amp;gt;&amp;amp;lt;LinkType&amp;amp;gt;AND&amp;amp;lt;/LinkType&amp;amp;gt;&amp;amp;lt;Node&amp;amp;gt;&amp;amp;lt'"</definedName>
    <definedName name="_AMO_ContentDefinition_540236810.5" hidden="1">"'#xA;'MFBS01000121',&amp;#xD;&amp;#xA;'MFBS01000160',&amp;#xD;&amp;#xA;'MFBS01000739',&amp;#xD;&amp;#xA;'MFBS01000740',&amp;#xD;&amp;#xA;'MFBS01000742',&amp;#xD;&amp;#xA;'MFBS01000746',&amp;#xD;&amp;#xA;'MFBS01000958',&amp;#xD;&amp;#xA;'MFBS01000959',&amp;#xD;&amp;#xA;'MFBS01000960',&amp;#xD;&amp;#xA;'MFBS01000961',&amp;#xD;&amp;#'"</definedName>
    <definedName name="_AMO_ContentDefinition_540236810.50" hidden="1">"';ID&amp;amp;gt;dd7454df-9aad-42f1-a1d0-901f29bfe02f&amp;amp;lt;/ID&amp;amp;gt;&amp;amp;lt;FilterType&amp;amp;gt;COLUMN&amp;amp;lt;/FilterType&amp;amp;gt;&amp;amp;lt;TableID /&amp;amp;gt;&amp;amp;lt;ColumnName&amp;amp;gt;indicator_id&amp;amp;lt;/ColumnName&amp;amp;gt;&amp;amp;lt;ColumnType&amp;amp;gt;Character&amp;'"</definedName>
    <definedName name="_AMO_ContentDefinition_540236810.51" hidden="1">"'amp;lt;/ColumnType&amp;amp;gt;&amp;amp;lt;GroupLevel /&amp;amp;gt;&amp;amp;lt;Operator&amp;amp;gt;IN&amp;amp;lt;/Operator&amp;amp;gt;&amp;amp;lt;UseMacroFunction&amp;amp;gt;False&amp;amp;lt;/UseMacroFunction&amp;amp;gt;&amp;amp;lt;Not&amp;amp;gt;False&amp;amp;lt;/Not&amp;amp;gt;&amp;amp;lt;Label /&amp;amp;gt;&amp;amp;lt;R'"</definedName>
    <definedName name="_AMO_ContentDefinition_540236810.52" hidden="1">"'ightHandSide&amp;amp;gt;&amp;amp;lt;RightHandSideNumType&amp;amp;gt;LIST&amp;amp;lt;/RightHandSideNumType&amp;amp;gt;&amp;amp;lt;RightHandSideItems&amp;amp;gt;&amp;amp;lt;RHSItem&amp;amp;gt;&amp;amp;lt;RHSType&amp;amp;gt;EXPRESSION&amp;amp;lt;/RHSType&amp;amp;gt;&amp;amp;lt;AddQuotes&amp;amp;gt;True&amp;amp;lt;/Ad'"</definedName>
    <definedName name="_AMO_ContentDefinition_540236810.53" hidden="1">"'dQuotes&amp;amp;gt;&amp;amp;lt;DateFormat&amp;amp;gt;None&amp;amp;lt;/DateFormat&amp;amp;gt;&amp;amp;lt;RightHandSideExpression&amp;amp;gt;MFBS01000001&amp;amp;lt;/RightHandSideExpression&amp;amp;gt;&amp;amp;lt;IsSubquery&amp;amp;gt;False&amp;amp;lt;/IsSubquery&amp;amp;gt;&amp;amp;lt;SubqueryTemplateName /'"</definedName>
    <definedName name="_AMO_ContentDefinition_540236810.54"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540236810.55" hidden="1">"'sion&amp;amp;gt;MFBS01000012&amp;amp;lt;/RightHandSideExpression&amp;amp;gt;&amp;amp;lt;IsSubquery&amp;amp;gt;False&amp;amp;lt;/IsSubquery&amp;amp;gt;&amp;amp;lt;SubqueryTemplateName /&amp;amp;gt;&amp;amp;lt;/RHSItem&amp;amp;gt;&amp;amp;lt;RHSItem&amp;amp;gt;&amp;amp;lt;RHSType&amp;amp;gt;EXPRESSION&amp;amp;lt;/RH'"</definedName>
    <definedName name="_AMO_ContentDefinition_540236810.56" hidden="1">"'SType&amp;amp;gt;&amp;amp;lt;AddQuotes&amp;amp;gt;True&amp;amp;lt;/AddQuotes&amp;amp;gt;&amp;amp;lt;DateFormat&amp;amp;gt;None&amp;amp;lt;/DateFormat&amp;amp;gt;&amp;amp;lt;RightHandSideExpression&amp;amp;gt;MFBS01000063&amp;amp;lt;/RightHandSideExpression&amp;amp;gt;&amp;amp;lt;IsSubquery&amp;amp;gt;False&amp;amp'"</definedName>
    <definedName name="_AMO_ContentDefinition_540236810.57"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540236810.58" hidden="1">"'amp;lt;/DateFormat&amp;amp;gt;&amp;amp;lt;RightHandSideExpression&amp;amp;gt;MFBS01000090&amp;amp;lt;/RightHandSideExpression&amp;amp;gt;&amp;amp;lt;IsSubquery&amp;amp;gt;False&amp;amp;lt;/IsSubquery&amp;amp;gt;&amp;amp;lt;SubqueryTemplateName /&amp;amp;gt;&amp;amp;lt;/RHSItem&amp;amp;gt;&amp;amp;lt;RHSIte'"</definedName>
    <definedName name="_AMO_ContentDefinition_540236810.59" hidden="1">"'m&amp;amp;gt;&amp;amp;lt;RHSType&amp;amp;gt;EXPRESSION&amp;amp;lt;/RHSType&amp;amp;gt;&amp;amp;lt;AddQuotes&amp;amp;gt;True&amp;amp;lt;/AddQuotes&amp;amp;gt;&amp;amp;lt;DateFormat&amp;amp;gt;None&amp;amp;lt;/DateFormat&amp;amp;gt;&amp;amp;lt;RightHandSideExpression&amp;amp;gt;MFBS01000121&amp;amp;lt;/RightHandSide'"</definedName>
    <definedName name="_AMO_ContentDefinition_540236810.6" hidden="1">"'xA;'MFBS01000962',&amp;#xD;&amp;#xA;'MFBS01000963',&amp;#xD;&amp;#xA;'MFBS01000964',&amp;#xD;&amp;#xA;'MFBS01000965',&amp;#xD;&amp;#xA;'MFBS01001003',&amp;#xD;&amp;#xA;'MFBS01001004',&amp;#xD;&amp;#xA;'MFPR01000001',&amp;#xD;&amp;#xA;'MFPR01000016',&amp;#xD;&amp;#xA;'MFPR01000161',&amp;#xD;&amp;#xA;'MFPR01000163',&amp;#xD;&amp;#x'"</definedName>
    <definedName name="_AMO_ContentDefinition_540236810.60"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540236810.61" hidden="1">"';lt;/AddQuotes&amp;amp;gt;&amp;amp;lt;DateFormat&amp;amp;gt;None&amp;amp;lt;/DateFormat&amp;amp;gt;&amp;amp;lt;RightHandSideExpression&amp;amp;gt;MFBS01000160&amp;amp;lt;/RightHandSideExpression&amp;amp;gt;&amp;amp;lt;IsSubquery&amp;amp;gt;False&amp;amp;lt;/IsSubquery&amp;amp;gt;&amp;amp;lt;SubqueryTemplat'"</definedName>
    <definedName name="_AMO_ContentDefinition_540236810.62"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540236810.63" hidden="1">"'eExpression&amp;amp;gt;MFBS01000739&amp;amp;lt;/RightHandSideExpression&amp;amp;gt;&amp;amp;lt;IsSubquery&amp;amp;gt;False&amp;amp;lt;/IsSubquery&amp;amp;gt;&amp;amp;lt;SubqueryTemplateName /&amp;amp;gt;&amp;amp;lt;/RHSItem&amp;amp;gt;&amp;amp;lt;RHSItem&amp;amp;gt;&amp;amp;lt;RHSType&amp;amp;gt;EXPRESSION&amp;amp'"</definedName>
    <definedName name="_AMO_ContentDefinition_540236810.64" hidden="1">"';lt;/RHSType&amp;amp;gt;&amp;amp;lt;AddQuotes&amp;amp;gt;True&amp;amp;lt;/AddQuotes&amp;amp;gt;&amp;amp;lt;DateFormat&amp;amp;gt;None&amp;amp;lt;/DateFormat&amp;amp;gt;&amp;amp;lt;RightHandSideExpression&amp;amp;gt;MFBS01000740&amp;amp;lt;/RightHandSideExpression&amp;amp;gt;&amp;amp;lt;IsSubquery&amp;amp;gt;Fa'"</definedName>
    <definedName name="_AMO_ContentDefinition_540236810.65"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540236810.66" hidden="1">"'t;None&amp;amp;lt;/DateFormat&amp;amp;gt;&amp;amp;lt;RightHandSideExpression&amp;amp;gt;MFBS01000742&amp;amp;lt;/RightHandSideExpression&amp;amp;gt;&amp;amp;lt;IsSubquery&amp;amp;gt;False&amp;amp;lt;/IsSubquery&amp;amp;gt;&amp;amp;lt;SubqueryTemplateName /&amp;amp;gt;&amp;amp;lt;/RHSItem&amp;amp;gt;&amp;amp;lt'"</definedName>
    <definedName name="_AMO_ContentDefinition_540236810.67" hidden="1">"';RHSItem&amp;amp;gt;&amp;amp;lt;RHSType&amp;amp;gt;EXPRESSION&amp;amp;lt;/RHSType&amp;amp;gt;&amp;amp;lt;AddQuotes&amp;amp;gt;True&amp;amp;lt;/AddQuotes&amp;amp;gt;&amp;amp;lt;DateFormat&amp;amp;gt;None&amp;amp;lt;/DateFormat&amp;amp;gt;&amp;amp;lt;RightHandSideExpression&amp;amp;gt;MFBS01000746&amp;amp;lt;/RightH'"</definedName>
    <definedName name="_AMO_ContentDefinition_540236810.68"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540236810.69" hidden="1">"'rue&amp;amp;lt;/AddQuotes&amp;amp;gt;&amp;amp;lt;DateFormat&amp;amp;gt;None&amp;amp;lt;/DateFormat&amp;amp;gt;&amp;amp;lt;RightHandSideExpression&amp;amp;gt;MFBS01000958&amp;amp;lt;/RightHandSideExpression&amp;amp;gt;&amp;amp;lt;IsSubquery&amp;amp;gt;False&amp;amp;lt;/IsSubquery&amp;amp;gt;&amp;amp;lt;Subquery'"</definedName>
    <definedName name="_AMO_ContentDefinition_540236810.7" hidden="1">"'A;'MFPR01000232',&amp;#xD;&amp;#xA;'MFPR01000307',&amp;#xD;&amp;#xA;'MFPR01000403',&amp;#xD;&amp;#xA;'MFPR01005136',&amp;#xD;&amp;#xA;'MFPR01005138',&amp;#xD;&amp;#xA;'MFPR01005145',&amp;#xD;&amp;#xA;'MFPR01005146',&amp;#xD;&amp;#xA;'MFPR01005147',&amp;#xD;&amp;#xA;'MFPR01005152',&amp;#xD;&amp;#xA;'MFPR01005171',&amp;#xD;&amp;#xA'"</definedName>
    <definedName name="_AMO_ContentDefinition_540236810.70"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540236810.71" hidden="1">"'HandSideExpression&amp;amp;gt;MFBS01000959&amp;amp;lt;/RightHandSideExpression&amp;amp;gt;&amp;amp;lt;IsSubquery&amp;amp;gt;False&amp;amp;lt;/IsSubquery&amp;amp;gt;&amp;amp;lt;SubqueryTemplateName /&amp;amp;gt;&amp;amp;lt;/RHSItem&amp;amp;gt;&amp;amp;lt;RHSItem&amp;amp;gt;&amp;amp;lt;RHSType&amp;amp;gt;EXPRESS'"</definedName>
    <definedName name="_AMO_ContentDefinition_540236810.72" hidden="1">"'ION&amp;amp;lt;/RHSType&amp;amp;gt;&amp;amp;lt;AddQuotes&amp;amp;gt;True&amp;amp;lt;/AddQuotes&amp;amp;gt;&amp;amp;lt;DateFormat&amp;amp;gt;None&amp;amp;lt;/DateFormat&amp;amp;gt;&amp;amp;lt;RightHandSideExpression&amp;amp;gt;MFBS01000960&amp;amp;lt;/RightHandSideExpression&amp;amp;gt;&amp;amp;lt;IsSubquery&amp;am'"</definedName>
    <definedName name="_AMO_ContentDefinition_540236810.73"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540236810.74" hidden="1">"'t&amp;amp;gt;None&amp;amp;lt;/DateFormat&amp;amp;gt;&amp;amp;lt;RightHandSideExpression&amp;amp;gt;MFBS01000961&amp;amp;lt;/RightHandSideExpression&amp;amp;gt;&amp;amp;lt;IsSubquery&amp;amp;gt;False&amp;amp;lt;/IsSubquery&amp;amp;gt;&amp;amp;lt;SubqueryTemplateName /&amp;amp;gt;&amp;amp;lt;/RHSItem&amp;amp;gt;'"</definedName>
    <definedName name="_AMO_ContentDefinition_540236810.75" hidden="1">"'&amp;amp;lt;RHSItem&amp;amp;gt;&amp;amp;lt;RHSType&amp;amp;gt;EXPRESSION&amp;amp;lt;/RHSType&amp;amp;gt;&amp;amp;lt;AddQuotes&amp;amp;gt;True&amp;amp;lt;/AddQuotes&amp;amp;gt;&amp;amp;lt;DateFormat&amp;amp;gt;None&amp;amp;lt;/DateFormat&amp;amp;gt;&amp;amp;lt;RightHandSideExpression&amp;amp;gt;MFBS01000962&amp;amp;lt;'"</definedName>
    <definedName name="_AMO_ContentDefinition_540236810.76"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540236810.77" hidden="1">"'mp;gt;True&amp;amp;lt;/AddQuotes&amp;amp;gt;&amp;amp;lt;DateFormat&amp;amp;gt;None&amp;amp;lt;/DateFormat&amp;amp;gt;&amp;amp;lt;RightHandSideExpression&amp;amp;gt;MFBS01000963&amp;amp;lt;/RightHandSideExpression&amp;amp;gt;&amp;amp;lt;IsSubquery&amp;amp;gt;False&amp;amp;lt;/IsSubquery&amp;amp;gt;&amp;amp;lt;S'"</definedName>
    <definedName name="_AMO_ContentDefinition_540236810.78"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540236810.79" hidden="1">"'t;RightHandSideExpression&amp;amp;gt;MFBS01000964&amp;amp;lt;/RightHandSideExpression&amp;amp;gt;&amp;amp;lt;IsSubquery&amp;amp;gt;False&amp;amp;lt;/IsSubquery&amp;amp;gt;&amp;amp;lt;SubqueryTemplateName /&amp;amp;gt;&amp;amp;lt;/RHSItem&amp;amp;gt;&amp;amp;lt;RHSItem&amp;amp;gt;&amp;amp;lt;RHSType&amp;amp;gt;'"</definedName>
    <definedName name="_AMO_ContentDefinition_540236810.8" hidden="1">"';'MFPR01005173',&amp;#xD;&amp;#xA;'MFPR01005180',&amp;#xD;&amp;#xA;'MFPR01005181',&amp;#xD;&amp;#xA;'MFPR01005182',&amp;#xD;&amp;#xA;'MFPR01005187',&amp;#xD;&amp;#xA;'MFPR01006303',&amp;#xD;&amp;#xA;'MFPR01006304',&amp;#xD;&amp;#xA;'MFPR01006307',&amp;#xD;&amp;#xA;'MFPR01006308',&amp;#xD;&amp;#xA;'MFPR01006311',&amp;#xD;&amp;#xA;'"</definedName>
    <definedName name="_AMO_ContentDefinition_540236810.80" hidden="1">"'EXPRESSION&amp;amp;lt;/RHSType&amp;amp;gt;&amp;amp;lt;AddQuotes&amp;amp;gt;True&amp;amp;lt;/AddQuotes&amp;amp;gt;&amp;amp;lt;DateFormat&amp;amp;gt;None&amp;amp;lt;/DateFormat&amp;amp;gt;&amp;amp;lt;RightHandSideExpression&amp;amp;gt;MFBS01000965&amp;amp;lt;/RightHandSideExpression&amp;amp;gt;&amp;amp;lt;IsSubq'"</definedName>
    <definedName name="_AMO_ContentDefinition_540236810.81"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540236810.82" hidden="1">"'teFormat&amp;amp;gt;None&amp;amp;lt;/DateFormat&amp;amp;gt;&amp;amp;lt;RightHandSideExpression&amp;amp;gt;MFBS01001003&amp;amp;lt;/RightHandSideExpression&amp;amp;gt;&amp;amp;lt;IsSubquery&amp;amp;gt;False&amp;amp;lt;/IsSubquery&amp;amp;gt;&amp;amp;lt;SubqueryTemplateName /&amp;amp;gt;&amp;amp;lt;/RHSItem&amp;'"</definedName>
    <definedName name="_AMO_ContentDefinition_540236810.83" hidden="1">"'amp;gt;&amp;amp;lt;RHSItem&amp;amp;gt;&amp;amp;lt;RHSType&amp;amp;gt;EXPRESSION&amp;amp;lt;/RHSType&amp;amp;gt;&amp;amp;lt;AddQuotes&amp;amp;gt;True&amp;amp;lt;/AddQuotes&amp;amp;gt;&amp;amp;lt;DateFormat&amp;amp;gt;None&amp;amp;lt;/DateFormat&amp;amp;gt;&amp;amp;lt;RightHandSideExpression&amp;amp;gt;MFBS01001004&amp;'"</definedName>
    <definedName name="_AMO_ContentDefinition_540236810.84"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540236810.85" hidden="1">"'uotes&amp;amp;gt;True&amp;amp;lt;/AddQuotes&amp;amp;gt;&amp;amp;lt;DateFormat&amp;amp;gt;None&amp;amp;lt;/DateFormat&amp;amp;gt;&amp;amp;lt;RightHandSideExpression&amp;amp;gt;MFPR01000001&amp;amp;lt;/RightHandSideExpression&amp;amp;gt;&amp;amp;lt;IsSubquery&amp;amp;gt;False&amp;amp;lt;/IsSubquery&amp;amp;gt;&amp;a'"</definedName>
    <definedName name="_AMO_ContentDefinition_540236810.86"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540236810.87" hidden="1">"';&amp;amp;lt;RightHandSideExpression&amp;amp;gt;MFPR01000016&amp;amp;lt;/RightHandSideExpression&amp;amp;gt;&amp;amp;lt;IsSubquery&amp;amp;gt;False&amp;amp;lt;/IsSubquery&amp;amp;gt;&amp;amp;lt;SubqueryTemplateName /&amp;amp;gt;&amp;amp;lt;/RHSItem&amp;amp;gt;&amp;amp;lt;RHSItem&amp;amp;gt;&amp;amp;lt;RHSType&amp;'"</definedName>
    <definedName name="_AMO_ContentDefinition_540236810.88" hidden="1">"'amp;gt;EXPRESSION&amp;amp;lt;/RHSType&amp;amp;gt;&amp;amp;lt;AddQuotes&amp;amp;gt;True&amp;amp;lt;/AddQuotes&amp;amp;gt;&amp;amp;lt;DateFormat&amp;amp;gt;None&amp;amp;lt;/DateFormat&amp;amp;gt;&amp;amp;lt;RightHandSideExpression&amp;amp;gt;MFPR01000161&amp;amp;lt;/RightHandSideExpression&amp;amp;gt;&amp;amp;lt'"</definedName>
    <definedName name="_AMO_ContentDefinition_540236810.89"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540236810.9" hidden="1">"''MFPR01006312',&amp;#xD;&amp;#xA;'MFPR01006313',&amp;#xD;&amp;#xA;'MFPR01006315',&amp;#xD;&amp;#xA;'MFPR01006316',&amp;#xD;&amp;#xA;'MFPR01006317',&amp;#xD;&amp;#xA;'MFPR01006318',&amp;#xD;&amp;#xA;'MFPR01006319',&amp;#xD;&amp;#xA;'MFPR01006320',&amp;#xD;&amp;#xA;'MFPR01006321',&amp;#xD;&amp;#xA;'MFPR02000127',&amp;#xD;&amp;#xA;''"</definedName>
    <definedName name="_AMO_ContentDefinition_540236810.90" hidden="1">"'p;lt;DateFormat&amp;amp;gt;None&amp;amp;lt;/DateFormat&amp;amp;gt;&amp;amp;lt;RightHandSideExpression&amp;amp;gt;MFPR01000163&amp;amp;lt;/RightHandSideExpression&amp;amp;gt;&amp;amp;lt;IsSubquery&amp;amp;gt;False&amp;amp;lt;/IsSubquery&amp;amp;gt;&amp;amp;lt;SubqueryTemplateName /&amp;amp;gt;&amp;amp;lt;/R'"</definedName>
    <definedName name="_AMO_ContentDefinition_540236810.91" hidden="1">"'HSItem&amp;amp;gt;&amp;amp;lt;RHSItem&amp;amp;gt;&amp;amp;lt;RHSType&amp;amp;gt;EXPRESSION&amp;amp;lt;/RHSType&amp;amp;gt;&amp;amp;lt;AddQuotes&amp;amp;gt;True&amp;amp;lt;/AddQuotes&amp;amp;gt;&amp;amp;lt;DateFormat&amp;amp;gt;None&amp;amp;lt;/DateFormat&amp;amp;gt;&amp;amp;lt;RightHandSideExpression&amp;amp;gt;MFPR01'"</definedName>
    <definedName name="_AMO_ContentDefinition_540236810.92" hidden="1">"'000232&amp;amp;lt;/RightHandSideExpression&amp;amp;gt;&amp;amp;lt;IsSubquery&amp;amp;gt;False&amp;amp;lt;/IsSubquery&amp;amp;gt;&amp;amp;lt;SubqueryTemplateName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540236810.93" hidden="1">"'lt;AddQuotes&amp;amp;gt;True&amp;amp;lt;/AddQuotes&amp;amp;gt;&amp;amp;lt;DateFormat&amp;amp;gt;None&amp;amp;lt;/DateFormat&amp;amp;gt;&amp;amp;lt;RightHandSideExpression&amp;amp;gt;MFPR01000307&amp;amp;lt;/RightHandSideExpression&amp;amp;gt;&amp;amp;lt;IsSubquery&amp;amp;gt;False&amp;amp;lt;/IsSubquery&amp;am'"</definedName>
    <definedName name="_AMO_ContentDefinition_540236810.94"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540236810.95" hidden="1">"'&amp;amp;gt;&amp;amp;lt;RightHandSideExpression&amp;amp;gt;MFPR01000403&amp;amp;lt;/RightHandSideExpression&amp;amp;gt;&amp;amp;lt;IsSubquery&amp;amp;gt;False&amp;amp;lt;/IsSubquery&amp;amp;gt;&amp;amp;lt;SubqueryTemplateName /&amp;amp;gt;&amp;amp;lt;/RHSItem&amp;amp;gt;&amp;amp;lt;RHSItem&amp;amp;gt;&amp;amp;lt;R'"</definedName>
    <definedName name="_AMO_ContentDefinition_540236810.96" hidden="1">"'HSType&amp;amp;gt;EXPRESSION&amp;amp;lt;/RHSType&amp;amp;gt;&amp;amp;lt;AddQuotes&amp;amp;gt;True&amp;amp;lt;/AddQuotes&amp;amp;gt;&amp;amp;lt;DateFormat&amp;amp;gt;None&amp;amp;lt;/DateFormat&amp;amp;gt;&amp;amp;lt;RightHandSideExpression&amp;amp;gt;MFPR01005136&amp;amp;lt;/RightHandSideExpression&amp;amp;gt;'"</definedName>
    <definedName name="_AMO_ContentDefinition_540236810.97"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540236810.98" hidden="1">"';gt;&amp;amp;lt;DateFormat&amp;amp;gt;None&amp;amp;lt;/DateFormat&amp;amp;gt;&amp;amp;lt;RightHandSideExpression&amp;amp;gt;MFPR01005138&amp;amp;lt;/RightHandSideExpression&amp;amp;gt;&amp;amp;lt;IsSubquery&amp;amp;gt;False&amp;amp;lt;/IsSubquery&amp;amp;gt;&amp;amp;lt;SubqueryTemplateName /&amp;amp;gt;&amp;am'"</definedName>
    <definedName name="_AMO_ContentDefinition_540236810.99" hidden="1">"'p;lt;/RHSItem&amp;amp;gt;&amp;amp;lt;RHSItem&amp;amp;gt;&amp;amp;lt;RHSType&amp;amp;gt;EXPRESSION&amp;amp;lt;/RHSType&amp;amp;gt;&amp;amp;lt;AddQuotes&amp;amp;gt;True&amp;amp;lt;/AddQuotes&amp;amp;gt;&amp;amp;lt;DateFormat&amp;amp;gt;None&amp;amp;lt;/DateFormat&amp;amp;gt;&amp;amp;lt;RightHandSideExpression&amp;amp;gt'"</definedName>
    <definedName name="_AMO_ContentDefinition_597026022" hidden="1">"'Partitions:17'"</definedName>
    <definedName name="_AMO_ContentDefinition_597026022.0" hidden="1">"'&lt;ContentDefinition name=""Reports"" rsid=""597026022"" type=""StoredProcess"" format=""ReportXml"" imgfmt=""ActiveX"" created=""02/10/2017 11:24:17"" modifed=""02/10/2017 15:29:23"" user=""Prunela Charles-Williams"" apply=""False"" css=""C:\SASHOME94\'"</definedName>
    <definedName name="_AMO_ContentDefinition_597026022.1" hidden="1">"'x86\SASAddinforMicrosoftOffice\7.1\Styles\AMODefault.css"" range=""Reports_2"" auto=""False"" xTime=""00:00:23.5021841"" rTime=""00:00:01.0782560"" bgnew=""False"" nFmt=""False"" grphSet=""True"" imgY=""0"" imgX=""0"" redirect=""False""&gt;_x000D_
  &lt;files&gt;C:\'"</definedName>
    <definedName name="_AMO_ContentDefinition_597026022.10" hidden="1">"'&amp;quot; /&amp;gt;&amp;lt;/Value&amp;gt;&amp;lt;/PromptDefinitionReference&amp;gt;&amp;lt;PromptDefinitionReference obj=&amp;quot;p12&amp;quot; promptId=&amp;quot;PromptDef_1396631155476_538837&amp;quot; name=&amp;quot;report_frequency_desc&amp;quot; definitionType=&amp;quot;TextDefinition&amp;quot; selectio'"</definedName>
    <definedName name="_AMO_ContentDefinition_597026022.11" hidden="1">"'nType=&amp;quot;Single&amp;quot;&amp;gt;&amp;lt;Value&amp;gt;&amp;lt;String obj=&amp;quot;p13&amp;quot; value=&amp;quot;Annual&amp;quot; /&amp;gt;&amp;lt;/Value&amp;gt;&amp;lt;/PromptDefinitionReference&amp;gt;&amp;lt;/DefinitionReferencesAndValues&amp;gt;&amp;lt;/PromptValues&amp;gt;"" /&gt;_x000D_
  &lt;param n=""HasPrompts"" v=""True'"</definedName>
    <definedName name="_AMO_ContentDefinition_597026022.12" hidden="1">"'"" /&gt;_x000D_
  &lt;param n=""DNA"" v=""&amp;lt;DNA&amp;gt;&amp;#xD;&amp;#xA;  &amp;lt;Type&amp;gt;StoredProcess&amp;lt;/Type&amp;gt;&amp;#xD;&amp;#xA;  &amp;lt;Name&amp;gt;Reports&amp;lt;/Name&amp;gt;&amp;#xD;&amp;#xA;  &amp;lt;Version&amp;gt;1&amp;lt;/Version&amp;gt;&amp;#xD;&amp;#xA;  &amp;lt;Assembly&amp;gt;SAS.EG.SDS.Model&amp;lt;/Assembly&amp;gt;&amp;#xD;&amp;#xA; '"</definedName>
    <definedName name="_AMO_ContentDefinition_597026022.13" hidden="1">"' &amp;lt;Factory&amp;gt;SAS.EG.SDS.Model.Creator&amp;lt;/Factory&amp;gt;&amp;#xD;&amp;#xA;  &amp;lt;ParentName&amp;gt;Excel Reports&amp;lt;/ParentName&amp;gt;&amp;#xD;&amp;#xA;  &amp;lt;DisplayName&amp;gt;Reports&amp;lt;/DisplayName&amp;gt;&amp;#xD;&amp;#xA;  &amp;lt;SBIP&amp;gt;/ECCB/EBI/StoredProcesses/Excel Reports/Reports&amp;lt;'"</definedName>
    <definedName name="_AMO_ContentDefinition_597026022.14" hidden="1">"'/SBIP&amp;gt;&amp;#xD;&amp;#xA;  &amp;lt;SBIPFull&amp;gt;/ECCB/EBI/StoredProcesses/Excel Reports/Reports(StoredProcess)&amp;lt;/SBIPFull&amp;gt;&amp;#xD;&amp;#xA;  &amp;lt;Path&amp;gt;/ECCB/EBI/StoredProcesses/Excel Reports/Reports&amp;lt;/Path&amp;gt;&amp;#xD;&amp;#xA;&amp;lt;/DNA&amp;gt;"" /&gt;_x000D_
  &lt;param n=""ServerNa'"</definedName>
    <definedName name="_AMO_ContentDefinition_597026022.15" hidden="1">"'me"" v=""SASApp"" /&gt;_x000D_
  &lt;param n=""ClassName"" v=""SAS.OfficeAddin.StoredProcess"" /&gt;_x000D_
  &lt;param n=""XlNative"" v=""False"" /&gt;_x000D_
  &lt;param n=""UnselectedIds"" v="""" /&gt;_x000D_
  &lt;param n=""_ROM_Version_"" v=""1.3"" /&gt;_x000D_
  &lt;param n=""_ROM_Application_"" v=""OD'"</definedName>
    <definedName name="_AMO_ContentDefinition_597026022.16" hidden="1">"'S"" /&gt;_x000D_
  &lt;param n=""_ROM_AppVersion_"" v=""9.4"" /&gt;_x000D_
  &lt;param n=""maxReportCols"" v=""17"" /&gt;_x000D_
  &lt;fids n=""main.srx"" v=""0"" /&gt;_x000D_
  &lt;ExcelXMLOptions AdjColWidths=""True"" RowOpt=""InsertEntire"" ColOpt=""InsertCells"" /&gt;_x000D_
&lt;/ContentDefinition&gt;'"</definedName>
    <definedName name="_AMO_ContentDefinition_597026022.2" hidden="1">"'Users\pwilliam\Documents\My SAS Files\Add-In for Microsoft Office\_SOA_A5MZAGEV.BH0004N2_688635956\main.srx&lt;/files&gt;_x000D_
  &lt;parents /&gt;_x000D_
  &lt;children /&gt;_x000D_
  &lt;param n=""DisplayName"" v=""Reports"" /&gt;_x000D_
  &lt;param n=""DisplayType"" v=""Stored Process"" /&gt;_x000D_
  &lt;pa'"</definedName>
    <definedName name="_AMO_ContentDefinition_597026022.3" hidden="1">"'ram n=""RawValues"" v=""True"" /&gt;_x000D_
  &lt;param n=""AMO_Version"" v=""7.1"" /&gt;_x000D_
  &lt;param n=""Prompts"" v=""&amp;lt;PromptValues obj=&amp;quot;p1&amp;quot; version=&amp;quot;1.0&amp;quot;&amp;gt;&amp;lt;DefinitionReferencesAndValues&amp;gt;&amp;lt;PromptDefinitionReference obj=&amp;quot;p2&amp;quot;'"</definedName>
    <definedName name="_AMO_ContentDefinition_597026022.4" hidden="1">"' promptId=&amp;quot;PromptDef_1391180368913_306480&amp;quot; name=&amp;quot;date&amp;quot; definitionType=&amp;quot;TextDefinition&amp;quot; selectionType=&amp;quot;Single&amp;quot;&amp;gt;&amp;lt;Value&amp;gt;&amp;lt;String obj=&amp;quot;p3&amp;quot; value=&amp;quot;Dec16&amp;quot; /&amp;gt;&amp;lt;/Value&amp;gt;&amp;lt;/PromptD'"</definedName>
    <definedName name="_AMO_ContentDefinition_597026022.5" hidden="1">"'efinitionReference&amp;gt;&amp;lt;PromptDefinitionReference obj=&amp;quot;p4&amp;quot; promptId=&amp;quot;PromptDef_1394727130779_470040&amp;quot; name=&amp;quot;report_id&amp;quot; definitionType=&amp;quot;TextDefinition&amp;quot; selectionType=&amp;quot;Single&amp;quot;&amp;gt;&amp;lt;Value&amp;gt;&amp;lt;String'"</definedName>
    <definedName name="_AMO_ContentDefinition_597026022.6" hidden="1">"' obj=&amp;quot;p5&amp;quot; value=&amp;quot;EFR_DMS&amp;quot; /&amp;gt;&amp;lt;/Value&amp;gt;&amp;lt;/PromptDefinitionReference&amp;gt;&amp;lt;PromptDefinitionReference obj=&amp;quot;p6&amp;quot; promptId=&amp;quot;PromptDef_1391180368912_96654&amp;quot; name=&amp;quot;country_cd&amp;quot; definitionType=&amp;quot;Tex'"</definedName>
    <definedName name="_AMO_ContentDefinition_597026022.7" hidden="1">"'tDefinition&amp;quot; selectionType=&amp;quot;Single&amp;quot;&amp;gt;&amp;lt;Value&amp;gt;&amp;lt;String obj=&amp;quot;p7&amp;quot; value=&amp;quot;362&amp;quot; /&amp;gt;&amp;lt;/Value&amp;gt;&amp;lt;/PromptDefinitionReference&amp;gt;&amp;lt;PromptDefinitionReference obj=&amp;quot;p8&amp;quot; promptId=&amp;quot;PromptDef_14043'"</definedName>
    <definedName name="_AMO_ContentDefinition_597026022.8" hidden="1">"'19188301_915893&amp;quot; name=&amp;quot;bank_id&amp;quot; definitionType=&amp;quot;TextDefinition&amp;quot; selectionType=&amp;quot;Single&amp;quot;&amp;gt;&amp;lt;Value&amp;gt;&amp;lt;NullValue obj=&amp;quot;p9&amp;quot; /&amp;gt;&amp;lt;/Value&amp;gt;&amp;lt;/PromptDefinitionReference&amp;gt;&amp;lt;PromptDefinitionReferen'"</definedName>
    <definedName name="_AMO_ContentDefinition_597026022.9" hidden="1">"'ce obj=&amp;quot;p10&amp;quot; promptId=&amp;quot;PromptDef_1396896333577_379099&amp;quot; name=&amp;quot;report_cons_group&amp;quot; definitionType=&amp;quot;TextDefinition&amp;quot; selectionType=&amp;quot;Single&amp;quot;&amp;gt;&amp;lt;Value&amp;gt;&amp;lt;String obj=&amp;quot;p11&amp;quot; value=&amp;quot;Country'"</definedName>
    <definedName name="_AMO_ContentDefinition_781078101" hidden="1">"'Partitions:1065'"</definedName>
    <definedName name="_AMO_ContentDefinition_781078101.0" hidden="1">"'&lt;ContentDefinition name=""SASApp:STAGE.indicator"" rsid=""781078101"" type=""DataSet"" format=""ReportXml"" imgfmt=""ActiveX"" created=""09/09/2020 11:23:47"" modifed=""12/03/2020 14:00:49"" user="""" apply=""False"" css=""C:\SASHOME94\x86\SASAddInfor'"</definedName>
    <definedName name="_AMO_ContentDefinition_781078101.1" hidden="1">"'MicrosoftOffice\8\Styles\AMODefault.css"" range=""SASApp_STAGE_indicator"" auto=""False"" xTime=""00:00:00.0235026"" rTime=""00:00:09.5035617"" bgnew=""False"" nFmt=""False"" grphSet=""True"" imgY=""0"" imgX=""0"" redirect=""False""&gt;_x000D_
  &lt;files /&gt;_x000D_
  &lt;'"</definedName>
    <definedName name="_AMO_ContentDefinition_781078101.10" hidden="1">"'',&amp;#xD;&amp;#xA;'MFPR01006378',&amp;#xD;&amp;#xA;'MFPR01006379',&amp;#xD;&amp;#xA;'MFPR01006380',&amp;#xD;&amp;#xA;'MFPR01006381',&amp;#xD;&amp;#xA;'MFPR01006382',&amp;#xD;&amp;#xA;'MFPR01006383',&amp;#xD;&amp;#xA;'MFPR01006384',&amp;#xD;&amp;#xA;'MFPR01006385',&amp;#xD;&amp;#xA;'MFPR01006386',&amp;#xD;&amp;#xA;'MFPR01006387''"</definedName>
    <definedName name="_AMO_ContentDefinition_781078101.100" hidden="1">"';#xA;'MFPR01002704',&amp;amp;#xD;&amp;amp;#xA;'MFPR01002705',&amp;amp;#xD;&amp;amp;#xA;'MFPR01002709',&amp;amp;#xD;&amp;amp;#xA;'MFPR01002715',&amp;amp;#xD;&amp;amp;#xA;'MFPR01002719',&amp;amp;#xD;&amp;amp;#xA;'MFPR01002720',&amp;amp;#xD;&amp;amp;#xA;'MFPR01002721',&amp;amp;#xD;&amp;amp;#xA;'MFPR01002766','"</definedName>
    <definedName name="_AMO_ContentDefinition_781078101.1000"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781078101.1001" hidden="1">"';&amp;amp;lt;RightHandSideExpression xml:space=&amp;amp;quot;preserve&amp;amp;quot;&amp;amp;gt;MFPR01003258&amp;amp;lt;/RightHandSideExpression&amp;amp;gt;&amp;amp;lt;IsSubquery&amp;amp;gt;False&amp;amp;lt;/IsSubquery&amp;amp;gt;&amp;amp;lt;SubqueryTemplateName /&amp;amp;gt;&amp;amp;lt;/RHSItem&amp;amp;gt;'"</definedName>
    <definedName name="_AMO_ContentDefinition_781078101.1002" hidden="1">"'&amp;amp;lt;RHSItem&amp;amp;gt;&amp;amp;lt;RHSType&amp;amp;gt;EXPRESSION&amp;amp;lt;/RHSType&amp;amp;gt;&amp;amp;lt;AddQuotes&amp;amp;gt;True&amp;amp;lt;/AddQuotes&amp;amp;gt;&amp;amp;lt;DateFormat&amp;amp;gt;None&amp;amp;lt;/DateFormat&amp;amp;gt;&amp;amp;lt;RightHandSideExpression xml:space=&amp;amp;quot;preserv'"</definedName>
    <definedName name="_AMO_ContentDefinition_781078101.1003" hidden="1">"'e&amp;amp;quot;&amp;amp;gt;MFPR01003265&amp;amp;lt;/RightHandSideExpression&amp;amp;gt;&amp;amp;lt;IsSubquery&amp;amp;gt;False&amp;amp;lt;/IsSubquery&amp;amp;gt;&amp;amp;lt;SubqueryTemplateName /&amp;amp;gt;&amp;amp;lt;/RHSItem&amp;amp;gt;&amp;amp;lt;RHSItem&amp;amp;gt;&amp;amp;lt;RHSType&amp;amp;gt;EXPRESSION&amp;amp'"</definedName>
    <definedName name="_AMO_ContentDefinition_781078101.1004" hidden="1">"';lt;/RHSType&amp;amp;gt;&amp;amp;lt;AddQuotes&amp;amp;gt;True&amp;amp;lt;/AddQuotes&amp;amp;gt;&amp;amp;lt;DateFormat&amp;amp;gt;None&amp;amp;lt;/DateFormat&amp;amp;gt;&amp;amp;lt;RightHandSideExpression xml:space=&amp;amp;quot;preserve&amp;amp;quot;&amp;amp;gt;MFPR01003333&amp;amp;lt;/RightHandSideExpress'"</definedName>
    <definedName name="_AMO_ContentDefinition_781078101.1005"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781078101.1006" hidden="1">"'dQuotes&amp;amp;gt;&amp;amp;lt;DateFormat&amp;amp;gt;None&amp;amp;lt;/DateFormat&amp;amp;gt;&amp;amp;lt;RightHandSideExpression xml:space=&amp;amp;quot;preserve&amp;amp;quot;&amp;amp;gt;MFPR01003340&amp;amp;lt;/RightHandSideExpression&amp;amp;gt;&amp;amp;lt;IsSubquery&amp;amp;gt;False&amp;amp;lt;/IsSubquer'"</definedName>
    <definedName name="_AMO_ContentDefinition_781078101.1007"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781078101.1008" hidden="1">"'rmat&amp;amp;gt;&amp;amp;lt;RightHandSideExpression xml:space=&amp;amp;quot;preserve&amp;amp;quot;&amp;amp;gt;MFPR01003408&amp;amp;lt;/RightHandSideExpression&amp;amp;gt;&amp;amp;lt;IsSubquery&amp;amp;gt;False&amp;amp;lt;/IsSubquery&amp;amp;gt;&amp;amp;lt;SubqueryTemplateName /&amp;amp;gt;&amp;amp;lt;/RHSI'"</definedName>
    <definedName name="_AMO_ContentDefinition_781078101.1009" hidden="1">"'tem&amp;amp;gt;&amp;amp;lt;RHSItem&amp;amp;gt;&amp;amp;lt;RHSType&amp;amp;gt;EXPRESSION&amp;amp;lt;/RHSType&amp;amp;gt;&amp;amp;lt;AddQuotes&amp;amp;gt;True&amp;amp;lt;/AddQuotes&amp;amp;gt;&amp;amp;lt;DateFormat&amp;amp;gt;None&amp;amp;lt;/DateFormat&amp;amp;gt;&amp;amp;lt;RightHandSideExpression xml:space=&amp;amp;q'"</definedName>
    <definedName name="_AMO_ContentDefinition_781078101.101" hidden="1">"'&amp;amp;#xD;&amp;amp;#xA;'MFPR01002769',&amp;amp;#xD;&amp;amp;#xA;'MFPR01002770',&amp;amp;#xD;&amp;amp;#xA;'MFPR01002773',&amp;amp;#xD;&amp;amp;#xA;'MFPR01002774',&amp;amp;#xD;&amp;amp;#xA;'MFPR01002778',&amp;amp;#xD;&amp;amp;#xA;'MFPR01002784',&amp;amp;#xD;&amp;amp;#xA;'MFPR01002788',&amp;amp;#xD;&amp;amp;#xA;'M'"</definedName>
    <definedName name="_AMO_ContentDefinition_781078101.1010" hidden="1">"'uot;preserve&amp;amp;quot;&amp;amp;gt;MFPR01003415&amp;amp;lt;/RightHandSideExpression&amp;amp;gt;&amp;amp;lt;IsSubquery&amp;amp;gt;False&amp;amp;lt;/IsSubquery&amp;amp;gt;&amp;amp;lt;SubqueryTemplateName /&amp;amp;gt;&amp;amp;lt;/RHSItem&amp;amp;gt;&amp;amp;lt;RHSItem&amp;amp;gt;&amp;amp;lt;RHSType&amp;amp;gt;EXP'"</definedName>
    <definedName name="_AMO_ContentDefinition_781078101.1011" hidden="1">"'RESSION&amp;amp;lt;/RHSType&amp;amp;gt;&amp;amp;lt;AddQuotes&amp;amp;gt;True&amp;amp;lt;/AddQuotes&amp;amp;gt;&amp;amp;lt;DateFormat&amp;amp;gt;None&amp;amp;lt;/DateFormat&amp;amp;gt;&amp;amp;lt;RightHandSideExpression xml:space=&amp;amp;quot;preserve&amp;amp;quot;&amp;amp;gt;MFPR01003450&amp;amp;lt;/RightHand'"</definedName>
    <definedName name="_AMO_ContentDefinition_781078101.1012"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781078101.1013" hidden="1">"'&amp;amp;lt;/AddQuotes&amp;amp;gt;&amp;amp;lt;DateFormat&amp;amp;gt;None&amp;amp;lt;/DateFormat&amp;amp;gt;&amp;amp;lt;RightHandSideExpression xml:space=&amp;amp;quot;preserve&amp;amp;quot;&amp;amp;gt;MFPR01003451&amp;amp;lt;/RightHandSideExpression&amp;amp;gt;&amp;amp;lt;IsSubquery&amp;amp;gt;False&amp;amp;lt'"</definedName>
    <definedName name="_AMO_ContentDefinition_781078101.1014"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781078101.1015" hidden="1">"';lt;/DateFormat&amp;amp;gt;&amp;amp;lt;RightHandSideExpression xml:space=&amp;amp;quot;preserve&amp;amp;quot;&amp;amp;gt;MFPR01003455&amp;amp;lt;/RightHandSideExpression&amp;amp;gt;&amp;amp;lt;IsSubquery&amp;amp;gt;False&amp;amp;lt;/IsSubquery&amp;amp;gt;&amp;amp;lt;SubqueryTemplateName /&amp;amp;gt;&amp;a'"</definedName>
    <definedName name="_AMO_ContentDefinition_781078101.1016" hidden="1">"'mp;lt;/RHSItem&amp;amp;gt;&amp;amp;lt;RHSItem&amp;amp;gt;&amp;amp;lt;RHSType&amp;amp;gt;EXPRESSION&amp;amp;lt;/RHSType&amp;amp;gt;&amp;amp;lt;AddQuotes&amp;amp;gt;True&amp;amp;lt;/AddQuotes&amp;amp;gt;&amp;amp;lt;DateFormat&amp;amp;gt;None&amp;amp;lt;/DateFormat&amp;amp;gt;&amp;amp;lt;RightHandSideExpression xml:s'"</definedName>
    <definedName name="_AMO_ContentDefinition_781078101.1017" hidden="1">"'pace=&amp;amp;quot;preserve&amp;amp;quot;&amp;amp;gt;MFPR01003467&amp;amp;lt;/RightHandSideExpression&amp;amp;gt;&amp;amp;lt;IsSubquery&amp;amp;gt;False&amp;amp;lt;/IsSubquery&amp;amp;gt;&amp;amp;lt;SubqueryTemplateName /&amp;amp;gt;&amp;amp;lt;/RHSItem&amp;amp;gt;&amp;amp;lt;RHSItem&amp;amp;gt;&amp;amp;lt;RHSType'"</definedName>
    <definedName name="_AMO_ContentDefinition_781078101.1018" hidden="1">"'&amp;amp;gt;EXPRESSION&amp;amp;lt;/RHSType&amp;amp;gt;&amp;amp;lt;AddQuotes&amp;amp;gt;True&amp;amp;lt;/AddQuotes&amp;amp;gt;&amp;amp;lt;DateFormat&amp;amp;gt;None&amp;amp;lt;/DateFormat&amp;amp;gt;&amp;amp;lt;RightHandSideExpression xml:space=&amp;amp;quot;preserve&amp;amp;quot;&amp;amp;gt;MFPR01003473&amp;amp;lt'"</definedName>
    <definedName name="_AMO_ContentDefinition_781078101.1019"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781078101.102" hidden="1">"'FPR01002789',&amp;amp;#xD;&amp;amp;#xA;'MFPR01002790',&amp;amp;#xD;&amp;amp;#xA;'MFPR01002835',&amp;amp;#xD;&amp;amp;#xA;'MFPR01002836',&amp;amp;#xD;&amp;amp;#xA;'MFPR01002840',&amp;amp;#xD;&amp;amp;#xA;'MFPR01002846',&amp;amp;#xD;&amp;amp;#xA;'MFPR01002868',&amp;amp;#xD;&amp;amp;#xA;'MFPR01002871',&amp;amp;#x'"</definedName>
    <definedName name="_AMO_ContentDefinition_781078101.1020" hidden="1">"'amp;gt;True&amp;amp;lt;/AddQuotes&amp;amp;gt;&amp;amp;lt;DateFormat&amp;amp;gt;None&amp;amp;lt;/DateFormat&amp;amp;gt;&amp;amp;lt;RightHandSideExpression xml:space=&amp;amp;quot;preserve&amp;amp;quot;&amp;amp;gt;MFPR01003508&amp;amp;lt;/RightHandSideExpression&amp;amp;gt;&amp;amp;lt;IsSubquery&amp;amp;gt;F'"</definedName>
    <definedName name="_AMO_ContentDefinition_781078101.1021"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781078101.1022" hidden="1">"'gt;None&amp;amp;lt;/DateFormat&amp;amp;gt;&amp;amp;lt;RightHandSideExpression xml:space=&amp;amp;quot;preserve&amp;amp;quot;&amp;amp;gt;MFPR01003509&amp;amp;lt;/RightHandSideExpression&amp;amp;gt;&amp;amp;lt;IsSubquery&amp;amp;gt;False&amp;amp;lt;/IsSubquery&amp;amp;gt;&amp;amp;lt;SubqueryTemplateName '"</definedName>
    <definedName name="_AMO_ContentDefinition_781078101.1023"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781078101.1024" hidden="1">"'ssion xml:space=&amp;amp;quot;preserve&amp;amp;quot;&amp;amp;gt;MFPR01003514&amp;amp;lt;/RightHandSideExpression&amp;amp;gt;&amp;amp;lt;IsSubquery&amp;amp;gt;False&amp;amp;lt;/IsSubquery&amp;amp;gt;&amp;amp;lt;SubqueryTemplateName /&amp;amp;gt;&amp;amp;lt;/RHSItem&amp;amp;gt;&amp;amp;lt;RHSItem&amp;amp;gt;&amp;amp'"</definedName>
    <definedName name="_AMO_ContentDefinition_781078101.1025" hidden="1">"';lt;RHSType&amp;amp;gt;EXPRESSION&amp;amp;lt;/RHSType&amp;amp;gt;&amp;amp;lt;AddQuotes&amp;amp;gt;True&amp;amp;lt;/AddQuotes&amp;amp;gt;&amp;amp;lt;DateFormat&amp;amp;gt;None&amp;amp;lt;/DateFormat&amp;amp;gt;&amp;amp;lt;RightHandSideExpression xml:space=&amp;amp;quot;preserve&amp;amp;quot;&amp;amp;gt;MFPR0100'"</definedName>
    <definedName name="_AMO_ContentDefinition_781078101.1026" hidden="1">"'3526&amp;amp;lt;/RightHandSideExpression&amp;amp;gt;&amp;amp;lt;IsSubquery&amp;amp;gt;False&amp;amp;lt;/IsSubquery&amp;amp;gt;&amp;amp;lt;SubqueryTemplateName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781078101.1027" hidden="1">"';AddQuotes&amp;amp;gt;True&amp;amp;lt;/AddQuotes&amp;amp;gt;&amp;amp;lt;DateFormat&amp;amp;gt;None&amp;amp;lt;/DateFormat&amp;amp;gt;&amp;amp;lt;RightHandSideExpression xml:space=&amp;amp;quot;preserve&amp;amp;quot;&amp;amp;gt;MFPR01003532&amp;amp;lt;/RightHandSideExpression&amp;amp;gt;&amp;amp;lt;IsSubque'"</definedName>
    <definedName name="_AMO_ContentDefinition_781078101.1028"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781078101.1029" hidden="1">"'Format&amp;amp;gt;None&amp;amp;lt;/DateFormat&amp;amp;gt;&amp;amp;lt;RightHandSideExpression xml:space=&amp;amp;quot;preserve&amp;amp;quot;&amp;amp;gt;MFPR01003599&amp;amp;lt;/RightHandSideExpression&amp;amp;gt;&amp;amp;lt;IsSubquery&amp;amp;gt;False&amp;amp;lt;/IsSubquery&amp;amp;gt;&amp;amp;lt;SubqueryTe'"</definedName>
    <definedName name="_AMO_ContentDefinition_781078101.103" hidden="1">"'D;&amp;amp;#xA;'MFPR01002872',&amp;amp;#xD;&amp;amp;#xA;'MFPR01002875',&amp;amp;#xD;&amp;amp;#xA;'MFPR01002876',&amp;amp;#xD;&amp;amp;#xA;'MFPR01002880',&amp;amp;#xD;&amp;amp;#xA;'MFPR01002886',&amp;amp;#xD;&amp;amp;#xA;'MFPR01002890',&amp;amp;#xD;&amp;amp;#xA;'MFPR01002891',&amp;amp;#xD;&amp;amp;#xA;'MFPR0100'"</definedName>
    <definedName name="_AMO_ContentDefinition_781078101.1030"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781078101.1031" hidden="1">"'ndSideExpression xml:space=&amp;amp;quot;preserve&amp;amp;quot;&amp;amp;gt;MFPR01003606&amp;amp;lt;/RightHandSideExpression&amp;amp;gt;&amp;amp;lt;IsSubquery&amp;amp;gt;False&amp;amp;lt;/IsSubquery&amp;amp;gt;&amp;amp;lt;SubqueryTemplateName /&amp;amp;gt;&amp;amp;lt;/RHSItem&amp;amp;gt;&amp;amp;lt;RHSItem&amp;'"</definedName>
    <definedName name="_AMO_ContentDefinition_781078101.1032" hidden="1">"'amp;gt;&amp;amp;lt;RHSType&amp;amp;gt;EXPRESSION&amp;amp;lt;/RHSType&amp;amp;gt;&amp;amp;lt;AddQuotes&amp;amp;gt;True&amp;amp;lt;/AddQuotes&amp;amp;gt;&amp;amp;lt;DateFormat&amp;amp;gt;None&amp;amp;lt;/DateFormat&amp;amp;gt;&amp;amp;lt;RightHandSideExpression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781078101.1033" hidden="1">"'gt;MFFSIR001031&amp;amp;lt;/RightHandSideExpression&amp;amp;gt;&amp;amp;lt;IsSubquery&amp;amp;gt;False&amp;amp;lt;/IsSubquery&amp;amp;gt;&amp;amp;lt;SubqueryTemplateName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781078101.1034" hidden="1">"';gt;&amp;amp;lt;AddQuotes&amp;amp;gt;True&amp;amp;lt;/AddQuotes&amp;amp;gt;&amp;amp;lt;DateFormat&amp;amp;gt;None&amp;amp;lt;/DateFormat&amp;amp;gt;&amp;amp;lt;RightHandSideExpression xml:space=&amp;amp;quot;preserve&amp;amp;quot;&amp;amp;gt;MFBS01000887&amp;amp;lt;/RightHandSideExpression&amp;amp;gt;&amp;amp;'"</definedName>
    <definedName name="_AMO_ContentDefinition_781078101.1035"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781078101.1036" hidden="1">"'amp;lt;DateFormat&amp;amp;gt;None&amp;amp;lt;/DateFormat&amp;amp;gt;&amp;amp;lt;RightHandSideExpression xml:space=&amp;amp;quot;preserve&amp;amp;quot;&amp;amp;gt;MFPR01006456&amp;amp;lt;/RightHandSideExpression&amp;amp;gt;&amp;amp;lt;IsSubquery&amp;amp;gt;False&amp;amp;lt;/IsSubquery&amp;amp;gt;&amp;amp;lt'"</definedName>
    <definedName name="_AMO_ContentDefinition_781078101.1037"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781078101.1038" hidden="1">"';lt;RightHandSideExpression xml:space=&amp;amp;quot;preserve&amp;amp;quot;&amp;amp;gt;MFPR01000132&amp;amp;lt;/RightHandSideExpression&amp;amp;gt;&amp;amp;lt;IsSubquery&amp;amp;gt;False&amp;amp;lt;/IsSubquery&amp;amp;gt;&amp;amp;lt;SubqueryTemplateName /&amp;amp;gt;&amp;amp;lt;/RHSItem&amp;amp;gt;&amp;amp;'"</definedName>
    <definedName name="_AMO_ContentDefinition_781078101.1039" hidden="1">"'lt;RHSItem&amp;amp;gt;&amp;amp;lt;RHSType&amp;amp;gt;EXPRESSION&amp;amp;lt;/RHSType&amp;amp;gt;&amp;amp;lt;AddQuotes&amp;amp;gt;True&amp;amp;lt;/AddQuotes&amp;amp;gt;&amp;amp;lt;DateFormat&amp;amp;gt;None&amp;amp;lt;/DateFormat&amp;amp;gt;&amp;amp;lt;RightHandSideExpression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781078101.104" hidden="1">"'2892',&amp;amp;#xD;&amp;amp;#xA;'MFPR02000975',&amp;amp;#xD;&amp;amp;#xA;'MFPR02000977',&amp;amp;#xD;&amp;amp;#xA;'MFPR02000943',&amp;amp;#xD;&amp;amp;#xA;'MFPR02000944',&amp;amp;#xD;&amp;amp;#xA;'MFPR02000976',&amp;amp;#xD;&amp;amp;#xA;'MFPR02000978',&amp;amp;#xD;&amp;amp;#xA;'MFPR01000473',&amp;amp;#xD;&amp;amp;'"</definedName>
    <definedName name="_AMO_ContentDefinition_781078101.1040" hidden="1">"';quot;&amp;amp;gt;MFPR01000131&amp;amp;lt;/RightHandSideExpression&amp;amp;gt;&amp;amp;lt;IsSubquery&amp;amp;gt;False&amp;amp;lt;/IsSubquery&amp;amp;gt;&amp;amp;lt;SubqueryTemplateName /&amp;amp;gt;&amp;amp;lt;/RHSItem&amp;amp;gt;&amp;amp;lt;RHSItem&amp;amp;gt;&amp;amp;lt;RHSType&amp;amp;gt;EXPRESSION&amp;amp;lt;/'"</definedName>
    <definedName name="_AMO_ContentDefinition_781078101.1041" hidden="1">"'RHSType&amp;amp;gt;&amp;amp;lt;AddQuotes&amp;amp;gt;True&amp;amp;lt;/AddQuotes&amp;amp;gt;&amp;amp;lt;DateFormat&amp;amp;gt;None&amp;amp;lt;/DateFormat&amp;amp;gt;&amp;amp;lt;RightHandSideExpression xml:space=&amp;amp;quot;preserve&amp;amp;quot;&amp;amp;gt;MFBS06000686&amp;amp;lt;/RightHandSideExpression&amp;a'"</definedName>
    <definedName name="_AMO_ContentDefinition_781078101.1042"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781078101.1043" hidden="1">"'es&amp;amp;gt;&amp;amp;lt;DateFormat&amp;amp;gt;None&amp;amp;lt;/DateFormat&amp;amp;gt;&amp;amp;lt;RightHandSideExpression xml:space=&amp;amp;quot;preserve&amp;amp;quot;&amp;amp;gt;MFPR01000286&amp;amp;lt;/RightHandSideExpression&amp;amp;gt;&amp;amp;lt;IsSubquery&amp;amp;gt;False&amp;amp;lt;/IsSubquery&amp;amp'"</definedName>
    <definedName name="_AMO_ContentDefinition_781078101.1044"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781078101.1045" hidden="1">"'amp;gt;&amp;amp;lt;RightHandSideExpression xml:space=&amp;amp;quot;preserve&amp;amp;quot;&amp;amp;gt;MFBS04000156&amp;amp;lt;/RightHandSideExpression&amp;amp;gt;&amp;amp;lt;IsSubquery&amp;amp;gt;False&amp;amp;lt;/IsSubquery&amp;amp;gt;&amp;amp;lt;SubqueryTemplateName /&amp;amp;gt;&amp;amp;lt;/RHSItem&amp;a'"</definedName>
    <definedName name="_AMO_ContentDefinition_781078101.1046" hidden="1">"'mp;gt;&amp;amp;lt;RHSItem&amp;amp;gt;&amp;amp;lt;RHSType&amp;amp;gt;EXPRESSION&amp;amp;lt;/RHSType&amp;amp;gt;&amp;amp;lt;AddQuotes&amp;amp;gt;True&amp;amp;lt;/AddQuotes&amp;amp;gt;&amp;amp;lt;DateFormat&amp;amp;gt;None&amp;amp;lt;/DateFormat&amp;amp;gt;&amp;amp;lt;RightHandSideExpression xml:space=&amp;amp;quot;p'"</definedName>
    <definedName name="_AMO_ContentDefinition_781078101.1047" hidden="1">"'reserve&amp;amp;quot;&amp;amp;gt;MFBS01000895&amp;amp;lt;/RightHandSideExpression&amp;amp;gt;&amp;amp;lt;IsSubquery&amp;amp;gt;False&amp;amp;lt;/IsSubquery&amp;amp;gt;&amp;amp;lt;SubqueryTemplateName /&amp;amp;gt;&amp;amp;lt;/RHSItem&amp;amp;gt;&amp;amp;lt;RHSItem&amp;amp;gt;&amp;amp;lt;RHSType&amp;amp;gt;EXPRESSI'"</definedName>
    <definedName name="_AMO_ContentDefinition_781078101.1048" hidden="1">"'ON&amp;amp;lt;/RHSType&amp;amp;gt;&amp;amp;lt;AddQuotes&amp;amp;gt;True&amp;amp;lt;/AddQuotes&amp;amp;gt;&amp;amp;lt;DateFormat&amp;amp;gt;None&amp;amp;lt;/DateFormat&amp;amp;gt;&amp;amp;lt;RightHandSideExpression xml:space=&amp;amp;quot;preserve&amp;amp;quot;&amp;amp;gt;MFBS01000902&amp;amp;lt;/RightHandSideE'"</definedName>
    <definedName name="_AMO_ContentDefinition_781078101.1049"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781078101.105" hidden="1">"'#xA;'MFPR01000542',&amp;amp;#xD;&amp;amp;#xA;'MFPR01000611',&amp;amp;#xD;&amp;amp;#xA;'MFPR01000680',&amp;amp;#xD;&amp;amp;#xA;'MFPR01001025',&amp;amp;#xD;&amp;amp;#xA;'MFPR01001094',&amp;amp;#xD;&amp;amp;#xA;'MFPR01001163',&amp;amp;#xD;&amp;amp;#xA;'MFPR01001232',&amp;amp;#xD;&amp;amp;#xA;'MFPR01000018',&amp;'"</definedName>
    <definedName name="_AMO_ContentDefinition_781078101.1050" hidden="1">"'lt;/AddQuotes&amp;amp;gt;&amp;amp;lt;DateFormat&amp;amp;gt;None&amp;amp;lt;/DateFormat&amp;amp;gt;&amp;amp;lt;RightHandSideExpression xml:space=&amp;amp;quot;preserve&amp;amp;quot;&amp;amp;gt;MFPR06008595&amp;amp;lt;/RightHandSideExpression&amp;amp;gt;&amp;amp;lt;IsSubquery&amp;amp;gt;False&amp;amp;lt;/IsS'"</definedName>
    <definedName name="_AMO_ContentDefinition_781078101.1051"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781078101.1052" hidden="1">"'DateFormat&amp;amp;gt;&amp;amp;lt;RightHandSideExpression xml:space=&amp;amp;quot;preserve&amp;amp;quot;&amp;amp;gt;MFPR06008584&amp;amp;lt;/RightHandSideExpression&amp;amp;gt;&amp;amp;lt;IsSubquery&amp;amp;gt;False&amp;amp;lt;/IsSubquery&amp;amp;gt;&amp;amp;lt;SubqueryTemplateName /&amp;amp;gt;&amp;amp;lt'"</definedName>
    <definedName name="_AMO_ContentDefinition_781078101.1053" hidden="1">"';/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781078101.1054" hidden="1">"'&amp;amp;quot;preserve&amp;amp;quot;&amp;amp;gt;MFPR06008594&amp;amp;lt;/RightHandSideExpression&amp;amp;gt;&amp;amp;lt;IsSubquery&amp;amp;gt;False&amp;amp;lt;/IsSubquery&amp;amp;gt;&amp;amp;lt;SubqueryTemplateName /&amp;amp;gt;&amp;amp;lt;/RHSItem&amp;amp;gt;&amp;amp;lt;/RightHandSideItems&amp;amp;gt;&amp;amp;lt;'"</definedName>
    <definedName name="_AMO_ContentDefinition_781078101.1055" hidden="1">"'/RightHandSide&amp;amp;gt;&amp;amp;lt;IsCaseSensitive&amp;amp;gt;True&amp;amp;lt;/IsCaseSensitive&amp;amp;gt;&amp;amp;lt;/TreeRoot&amp;amp;gt;&amp;amp;lt;/FilterTree&amp;amp;gt;&amp;quot; Sort=&amp;quot;form_id ASC,  indicator_id ASC&amp;quot; ColSelFlg=&amp;quot;0&amp;quot; DNA=&amp;quot;&amp;amp;lt;DNA&amp;amp;gt;&amp;a'"</definedName>
    <definedName name="_AMO_ContentDefinition_781078101.1056" hidden="1">"'mp;#xD;&amp;amp;#xA;  &amp;amp;lt;Type&amp;amp;gt;Dataset&amp;amp;lt;/Type&amp;amp;gt;&amp;amp;#xD;&amp;amp;#xA;  &amp;amp;lt;Name&amp;amp;gt;indicator&amp;amp;lt;/Name&amp;amp;gt;&amp;amp;#xD;&amp;amp;#xA;  &amp;amp;lt;Version&amp;amp;gt;1&amp;amp;lt;/Version&amp;amp;gt;&amp;amp;#xD;&amp;amp;#xA;  &amp;amp;lt;Assembly&amp;amp;gt;SAS'"</definedName>
    <definedName name="_AMO_ContentDefinition_781078101.1057" hidden="1">"'.EG.SDS.Model&amp;amp;lt;/Assembly&amp;amp;gt;&amp;amp;#xD;&amp;amp;#xA;  &amp;amp;lt;Factory&amp;amp;gt;SAS.EG.SDS.Model.Creator&amp;amp;lt;/Factory&amp;amp;gt;&amp;amp;#xD;&amp;amp;#xA;  &amp;amp;lt;ParentName&amp;amp;gt;Stage Data&amp;amp;lt;/ParentName&amp;amp;gt;&amp;amp;#xD;&amp;amp;#xA;  &amp;amp;lt;Server&amp;amp;'"</definedName>
    <definedName name="_AMO_ContentDefinition_781078101.1058" hidden="1">"'gt;SASApp&amp;amp;lt;/Server&amp;amp;gt;&amp;amp;#xD;&amp;amp;#xA;  &amp;amp;lt;Library&amp;amp;gt;Stage Data&amp;amp;lt;/Library&amp;amp;gt;&amp;amp;#xD;&amp;amp;#xA;  &amp;amp;lt;ParentDNA&amp;amp;gt;&amp;amp;amp;lt;DNA&amp;amp;amp;gt;&amp;amp;#xD;&amp;amp;#xA;  &amp;amp;amp;lt;Type&amp;amp;amp;gt;Library&amp;amp;amp;lt;/Ty'"</definedName>
    <definedName name="_AMO_ContentDefinition_781078101.1059" hidden="1">"'pe&amp;amp;amp;gt;&amp;amp;#xD;&amp;amp;#xA;  &amp;amp;amp;lt;Name&amp;amp;amp;gt;Stage Data&amp;amp;amp;lt;/Name&amp;amp;amp;gt;&amp;amp;#xD;&amp;amp;#xA;  &amp;amp;amp;lt;Version&amp;amp;amp;gt;1&amp;amp;amp;lt;/Version&amp;amp;amp;gt;&amp;amp;#xD;&amp;amp;#xA;  &amp;amp;amp;lt;Assembly&amp;amp;amp;gt;SAS.EG.SDS.Mod'"</definedName>
    <definedName name="_AMO_ContentDefinition_781078101.106" hidden="1">"'amp;#xD;&amp;amp;#xA;'MFPR01000022',&amp;amp;#xD;&amp;amp;#xA;'MFPR01000023',&amp;amp;#xD;&amp;amp;#xA;'MFPR01000035',&amp;amp;#xD;&amp;amp;#xA;'MFPR01000036',&amp;amp;#xD;&amp;amp;#xA;'MFPR01000041',&amp;amp;#xD;&amp;amp;#xA;'MFPR01000043',&amp;amp;#xD;&amp;amp;#xA;'MFPR01000044',&amp;amp;#xD;&amp;amp;#xA;'MF'"</definedName>
    <definedName name="_AMO_ContentDefinition_781078101.1060" hidden="1">"'el&amp;amp;amp;lt;/Assembly&amp;amp;amp;gt;&amp;amp;#xD;&amp;amp;#xA;  &amp;amp;amp;lt;Factory&amp;amp;amp;gt;SAS.EG.SDS.Model.Creator&amp;amp;amp;lt;/Factory&amp;amp;amp;gt;&amp;amp;#xD;&amp;amp;#xA;  &amp;amp;amp;lt;ParentName&amp;amp;amp;gt;SASApp&amp;amp;amp;lt;/ParentName&amp;amp;amp;gt;&amp;amp;#xD;&amp;amp;'"</definedName>
    <definedName name="_AMO_ContentDefinition_781078101.1061" hidden="1">"'#xA;  &amp;amp;amp;lt;DisplayName&amp;amp;amp;gt;Stage Data&amp;amp;amp;lt;/DisplayName&amp;amp;amp;gt;&amp;amp;#xD;&amp;amp;#xA;  &amp;amp;amp;lt;Server&amp;amp;amp;gt;SASApp&amp;amp;amp;lt;/Server&amp;amp;amp;gt;&amp;amp;#xD;&amp;amp;#xA;&amp;amp;amp;lt;/DNA&amp;amp;amp;gt;&amp;amp;lt;/ParentDNA&amp;amp;gt;&amp;amp;'"</definedName>
    <definedName name="_AMO_ContentDefinition_781078101.1062" hidden="1">"'#xD;&amp;amp;#xA;&amp;amp;lt;/DNA&amp;amp;gt;&amp;quot; Name=&amp;quot;indicator&amp;quot; /&amp;gt;"" /&gt;_x000D_
  &lt;param n=""ExcelTableColumnCount"" v=""24"" /&gt;_x000D_
  &lt;param n=""ExcelTableRowCount"" v=""530"" /&gt;_x000D_
  &lt;param n=""DataRowCount"" v=""530"" /&gt;_x000D_
  &lt;param n=""DataColCount"" v='"</definedName>
    <definedName name="_AMO_ContentDefinition_781078101.1063" hidden="1">"'""24"" /&gt;_x000D_
  &lt;param n=""ObsColumn"" v=""false"" /&gt;_x000D_
  &lt;param n=""ExcelFormattingHash"" v=""1477591638"" /&gt;_x000D_
  &lt;param n=""ExcelFormatting"" v=""Automatic"" /&gt;_x000D_
  &lt;ExcelXMLOptions AdjColWidths=""True"" RowOpt=""InsertCells"" ColOpt=""InsertCells"" /&gt;_x000D_
'"</definedName>
    <definedName name="_AMO_ContentDefinition_781078101.1064" hidden="1">"'&lt;/ContentDefinition&gt;'"</definedName>
    <definedName name="_AMO_ContentDefinition_781078101.107" hidden="1">"'PR01000048',&amp;amp;#xD;&amp;amp;#xA;'MFPR01000052',&amp;amp;#xD;&amp;amp;#xA;'MFPR01000053',&amp;amp;#xD;&amp;amp;#xA;'MFPR01000058',&amp;amp;#xD;&amp;amp;#xA;'MFPR01000060',&amp;amp;#xD;&amp;amp;#xA;'MFPR01000061',&amp;amp;#xD;&amp;amp;#xA;'MFPR01000065',&amp;amp;#xD;&amp;amp;#xA;'MFPR01000069',&amp;amp;#xD'"</definedName>
    <definedName name="_AMO_ContentDefinition_781078101.108" hidden="1">"';&amp;amp;#xA;'MFPR01000070',&amp;amp;#xD;&amp;amp;#xA;'MFPR01000075',&amp;amp;#xD;&amp;amp;#xA;'MFPR01000077',&amp;amp;#xD;&amp;amp;#xA;'MFPR01000078',&amp;amp;#xD;&amp;amp;#xA;'MFPR01000082',&amp;amp;#xD;&amp;amp;#xA;'MFPR01000487',&amp;amp;#xD;&amp;amp;#xA;'MFPR01000556',&amp;amp;#xD;&amp;amp;#xA;'MFPR01000'"</definedName>
    <definedName name="_AMO_ContentDefinition_781078101.109" hidden="1">"'625',&amp;amp;#xD;&amp;amp;#xA;'MFPR01000694',&amp;amp;#xD;&amp;amp;#xA;'MFPR01001038',&amp;amp;#xD;&amp;amp;#xA;'MFPR01001108',&amp;amp;#xD;&amp;amp;#xA;'MFPR01001177',&amp;amp;#xD;&amp;amp;#xA;'MFPR01001246',&amp;amp;#xD;&amp;amp;#xA;'MFPR01000510',&amp;amp;#xD;&amp;amp;#xA;'MFPR01000579',&amp;amp;#xD;&amp;amp;#'"</definedName>
    <definedName name="_AMO_ContentDefinition_781078101.11" hidden="1">"',&amp;#xD;&amp;#xA;'MFPR01006388',&amp;#xD;&amp;#xA;'MFPR01006389',&amp;#xD;&amp;#xA;'MFPR01006390',&amp;#xD;&amp;#xA;'MFPR01006391',&amp;#xD;&amp;#xA;'MFPR01006392',&amp;#xD;&amp;#xA;'MFPR01006393',&amp;#xD;&amp;#xA;'MFPR01006394',&amp;#xD;&amp;#xA;'MFPR01006395',&amp;#xD;&amp;#xA;'MFPR01006396',&amp;#xD;&amp;#xA;'MFPR01006397','"</definedName>
    <definedName name="_AMO_ContentDefinition_781078101.110" hidden="1">"'xA;'MFPR01000648',&amp;amp;#xD;&amp;amp;#xA;'MFPR01000717',&amp;amp;#xD;&amp;amp;#xA;'MFPR01001062',&amp;amp;#xD;&amp;amp;#xA;'MFPR01001131',&amp;amp;#xD;&amp;amp;#xA;'MFPR01001200',&amp;amp;#xD;&amp;amp;#xA;'MFPR01001269',&amp;amp;#xD;&amp;amp;#xA;'MFPR01000502',&amp;amp;#xD;&amp;amp;#xA;'MFPR01000571',&amp;a'"</definedName>
    <definedName name="_AMO_ContentDefinition_781078101.111" hidden="1">"'mp;#xD;&amp;amp;#xA;'MFPR01000640',&amp;amp;#xD;&amp;amp;#xA;'MFPR01000709',&amp;amp;#xD;&amp;amp;#xA;'MFPR01001054',&amp;amp;#xD;&amp;amp;#xA;'MFPR01001123',&amp;amp;#xD;&amp;amp;#xA;'MFPR01001192',&amp;amp;#xD;&amp;amp;#xA;'MFPR01001261',&amp;amp;#xD;&amp;amp;#xA;'MFPR01002564',&amp;amp;#xD;&amp;amp;#xA;'MFP'"</definedName>
    <definedName name="_AMO_ContentDefinition_781078101.112" hidden="1">"'R01002565',&amp;amp;#xD;&amp;amp;#xA;'MFPR01002702',&amp;amp;#xD;&amp;amp;#xA;'MFPR01002703',&amp;amp;#xD;&amp;amp;#xA;'MFPR01002771',&amp;amp;#xD;&amp;amp;#xA;'MFPR01002772',&amp;amp;#xD;&amp;amp;#xA;'MFPR01002873',&amp;amp;#xD;&amp;amp;#xA;'MFPR01002874',&amp;amp;#xD;&amp;amp;#xA;'MFPR01002585',&amp;amp;#xD;'"</definedName>
    <definedName name="_AMO_ContentDefinition_781078101.113" hidden="1">"'&amp;amp;#xA;'MFPR01002588',&amp;amp;#xD;&amp;amp;#xA;'MFPR01002589',&amp;amp;#xD;&amp;amp;#xA;'MFPR01002723',&amp;amp;#xD;&amp;amp;#xA;'MFPR01002726',&amp;amp;#xD;&amp;amp;#xA;'MFPR01002727',&amp;amp;#xD;&amp;amp;#xA;'MFPR01002792',&amp;amp;#xD;&amp;amp;#xA;'MFPR01002795',&amp;amp;#xD;&amp;amp;#xA;'MFPR010027'"</definedName>
    <definedName name="_AMO_ContentDefinition_781078101.114" hidden="1">"'96',&amp;amp;#xD;&amp;amp;#xA;'MFPR01002894',&amp;amp;#xD;&amp;amp;#xA;'MFPR01002897',&amp;amp;#xD;&amp;amp;#xA;'MFPR01002898',&amp;amp;#xD;&amp;amp;#xA;'MFPR01000128',&amp;amp;#xD;&amp;amp;#xA;'MFPR01000113',&amp;amp;#xD;&amp;amp;#xA;'MFPR01000107',&amp;amp;#xD;&amp;amp;#xA;'MFBS01000059',&amp;amp;#xD;&amp;amp;#x'"</definedName>
    <definedName name="_AMO_ContentDefinition_781078101.115" hidden="1">"'A;'MFBS01000054',&amp;amp;#xD;&amp;amp;#xA;'MFBS01000001',&amp;amp;#xD;&amp;amp;#xA;'MFBS01000200',&amp;amp;#xD;&amp;amp;#xA;'MFBS01000231',&amp;amp;#xD;&amp;amp;#xA;'MFBS01000262',&amp;amp;#xD;&amp;amp;#xA;'MFBS01000017',&amp;amp;#xD;&amp;amp;#xA;'MFBS01000026',&amp;amp;#xD;&amp;amp;#xA;'MFBS01000022',&amp;am'"</definedName>
    <definedName name="_AMO_ContentDefinition_781078101.116" hidden="1">"'p;#xD;&amp;amp;#xA;'MFBS01000027',&amp;amp;#xD;&amp;amp;#xA;'MFBS01000014',&amp;amp;#xD;&amp;amp;#xA;'MFPR01000013',&amp;amp;#xD;&amp;amp;#xA;'MFBS01000013',&amp;amp;#xD;&amp;amp;#xA;'MFBS01000016',&amp;amp;#xD;&amp;amp;#xA;'MFBS01000020',&amp;amp;#xD;&amp;amp;#xA;'MFBS01000024',&amp;amp;#xD;&amp;amp;#xA;'MFBS'"</definedName>
    <definedName name="_AMO_ContentDefinition_781078101.117" hidden="1">"'01000021',&amp;amp;#xD;&amp;amp;#xA;'MFBS01000025',&amp;amp;#xD;&amp;amp;#xA;'MFBS01000041',&amp;amp;#xD;&amp;amp;#xA;'MFBS01000052',&amp;amp;#xD;&amp;amp;#xA;'MFBS06000195',&amp;amp;#xD;&amp;amp;#xA;'MFBS06000196',&amp;amp;#xD;&amp;amp;#xA;'MFBS06000197',&amp;amp;#xD;&amp;amp;#xA;'MFBS06000198',&amp;amp;#xD;&amp;'"</definedName>
    <definedName name="_AMO_ContentDefinition_781078101.118" hidden="1">"'amp;#xA;'MFBS06000199',&amp;amp;#xD;&amp;amp;#xA;'MFBS06000200',&amp;amp;#xD;&amp;amp;#xA;'MFPR01000016',&amp;amp;#xD;&amp;amp;#xA;'MFPR01000032',&amp;amp;#xD;&amp;amp;#xA;'MFPR01000049',&amp;amp;#xD;&amp;amp;#xA;'MFPR01000066',&amp;amp;#xD;&amp;amp;#xA;'MFPR06007328',&amp;amp;#xD;&amp;amp;#xA;'MFPR0600740'"</definedName>
    <definedName name="_AMO_ContentDefinition_781078101.119" hidden="1">"'2',&amp;amp;#xD;&amp;amp;#xA;'MFPR06007476',&amp;amp;#xD;&amp;amp;#xA;'MFPR06007550',&amp;amp;#xD;&amp;amp;#xA;'MFPR06007624',&amp;amp;#xD;&amp;amp;#xA;'MFPR06007698',&amp;amp;#xD;&amp;amp;#xA;'MFPR01000161',&amp;amp;#xD;&amp;amp;#xA;'MFPR01000162',&amp;amp;#xD;&amp;amp;#xA;'MFPR01000166',&amp;amp;#xD;&amp;amp;#xA'"</definedName>
    <definedName name="_AMO_ContentDefinition_781078101.12" hidden="1">"'&amp;#xD;&amp;#xA;'MFPR01006398',&amp;#xD;&amp;#xA;'MFPR01006399',&amp;#xD;&amp;#xA;'MFPR06008550',&amp;#xD;&amp;#xA;'MFPR06008571',&amp;#xD;&amp;#xA;'MFFSIR001021',&amp;#xD;&amp;#xA;'MFDRVD000167',&amp;#xD;&amp;#xA;'MFFSIR001028',&amp;#xD;&amp;#xA;'MFPR01006405',&amp;#xD;&amp;#xA;'MFPR01006406',&amp;#xD;&amp;#xA;'MFPR01006407',&amp;'"</definedName>
    <definedName name="_AMO_ContentDefinition_781078101.120" hidden="1">"';'MFPR01000167',&amp;amp;#xD;&amp;amp;#xA;'MFPR01000169',&amp;amp;#xD;&amp;amp;#xA;'MFPR01000170',&amp;amp;#xD;&amp;amp;#xA;'MFPR01000171',&amp;amp;#xD;&amp;amp;#xA;'MFPR01000172',&amp;amp;#xD;&amp;amp;#xA;'MFPR01000173',&amp;amp;#xD;&amp;amp;#xA;'MFPR01000184',&amp;amp;#xD;&amp;amp;#xA;'MFPR01000200',&amp;amp'"</definedName>
    <definedName name="_AMO_ContentDefinition_781078101.121" hidden="1">"';#xD;&amp;amp;#xA;'MFPR01000216',&amp;amp;#xD;&amp;amp;#xA;'MFPR01000265',&amp;amp;#xD;&amp;amp;#xA;'MFPR01000266',&amp;amp;#xD;&amp;amp;#xA;'MFPR01000270',&amp;amp;#xD;&amp;amp;#xA;'MFPR01000271',&amp;amp;#xD;&amp;amp;#xA;'MFPR01000313',&amp;amp;#xD;&amp;amp;#xA;'MFPR01003138',&amp;amp;#xD;&amp;amp;#xA;'MFPR0'"</definedName>
    <definedName name="_AMO_ContentDefinition_781078101.122" hidden="1">"'1003145',&amp;amp;#xD;&amp;amp;#xA;'MFPR01003180',&amp;amp;#xD;&amp;amp;#xA;'MFPR01003181',&amp;amp;#xD;&amp;amp;#xA;'MFPR01003185',&amp;amp;#xD;&amp;amp;#xA;'MFPR01003197',&amp;amp;#xD;&amp;amp;#xA;'MFPR01003204',&amp;amp;#xD;&amp;amp;#xA;'MFPR01003240',&amp;amp;#xD;&amp;amp;#xA;'MFPR01003241',&amp;amp;#xD;&amp;a'"</definedName>
    <definedName name="_AMO_ContentDefinition_781078101.123" hidden="1">"'mp;#xA;'MFPR01003246',&amp;amp;#xD;&amp;amp;#xA;'MFPR01003258',&amp;amp;#xD;&amp;amp;#xA;'MFPR01003265',&amp;amp;#xD;&amp;amp;#xA;'MFPR01003333',&amp;amp;#xD;&amp;amp;#xA;'MFPR01003340',&amp;amp;#xD;&amp;amp;#xA;'MFPR01003408',&amp;amp;#xD;&amp;amp;#xA;'MFPR01003415',&amp;amp;#xD;&amp;amp;#xA;'MFPR01003450'"</definedName>
    <definedName name="_AMO_ContentDefinition_781078101.124" hidden="1">"'',&amp;amp;#xD;&amp;amp;#xA;'MFPR01003451',&amp;amp;#xD;&amp;amp;#xA;'MFPR01003455',&amp;amp;#xD;&amp;amp;#xA;'MFPR01003467',&amp;amp;#xD;&amp;amp;#xA;'MFPR01003473',&amp;amp;#xD;&amp;amp;#xA;'MFPR01003508',&amp;amp;#xD;&amp;amp;#xA;'MFPR01003509',&amp;amp;#xD;&amp;amp;#xA;'MFPR01003514',&amp;amp;#xD;&amp;amp;#xA;'"</definedName>
    <definedName name="_AMO_ContentDefinition_781078101.125" hidden="1">"''MFPR01003526',&amp;amp;#xD;&amp;amp;#xA;'MFPR01003532',&amp;amp;#xD;&amp;amp;#xA;'MFPR01003599',&amp;amp;#xD;&amp;amp;#xA;'MFPR01003606',&amp;amp;#xD;&amp;amp;#xA;'MFFSIR001031',&amp;amp;#xD;&amp;amp;#xA;'MFBS01000887',&amp;amp;#xD;&amp;amp;#xA;'MFPR01006456',&amp;amp;#xD;&amp;amp;#xA;'MFPR01000132',&amp;amp;'"</definedName>
    <definedName name="_AMO_ContentDefinition_781078101.126" hidden="1">"'#xD;&amp;amp;#xA;'MFPR01000131',&amp;amp;#xD;&amp;amp;#xA;'MFBS06000686',&amp;amp;#xD;&amp;amp;#xA;'MFPR01000286',&amp;amp;#xD;&amp;amp;#xA;'MFBS04000156',&amp;amp;#xD;&amp;amp;#xA;'MFBS01000895',&amp;amp;#xD;&amp;amp;#xA;'MFBS01000902',&amp;amp;#xD;&amp;amp;#xA;'MFPR06008595',&amp;amp;#xD;&amp;amp;#xA;'MFPR06'"</definedName>
    <definedName name="_AMO_ContentDefinition_781078101.127" hidden="1">"'008584',&amp;amp;#xD;&amp;amp;#xA;'MFPR06008594'&amp;amp;#xD;&amp;amp;#xA;)&amp;quot; FilterDS=&amp;quot;&amp;amp;lt;?xml version=&amp;amp;quot;1.0&amp;amp;quot; encoding=&amp;amp;quot;utf-16&amp;amp;quot;?&amp;amp;gt;&amp;amp;lt;FilterTree&amp;amp;gt;&amp;amp;lt;TreeRoot&amp;amp;gt;&amp;amp;lt;ID&amp;amp;gt;db34a676-efcf'"</definedName>
    <definedName name="_AMO_ContentDefinition_781078101.128" hidden="1">"'-4aae-9cad-2b815076f184&amp;amp;lt;/ID&amp;amp;gt;&amp;amp;lt;FilterType&amp;amp;gt;COLUMN&amp;amp;lt;/FilterType&amp;amp;gt;&amp;amp;lt;ColumnName&amp;amp;gt;indicator_id&amp;amp;lt;/ColumnName&amp;amp;gt;&amp;amp;lt;ColumnType&amp;amp;gt;Character&amp;amp;lt;/ColumnType&amp;amp;gt;&amp;amp;lt;GroupLevel /&amp;am'"</definedName>
    <definedName name="_AMO_ContentDefinition_781078101.129" hidden="1">"'p;gt;&amp;amp;lt;Operator&amp;amp;gt;IN&amp;amp;lt;/Operator&amp;amp;gt;&amp;amp;lt;UseMacroFunction&amp;amp;gt;False&amp;amp;lt;/UseMacroFunction&amp;amp;gt;&amp;amp;lt;Not&amp;amp;gt;False&amp;amp;lt;/Not&amp;amp;gt;&amp;amp;lt;Label /&amp;amp;gt;&amp;amp;lt;RightHandSide&amp;amp;gt;&amp;amp;lt;RightHandSideNumType&amp;'"</definedName>
    <definedName name="_AMO_ContentDefinition_781078101.13" hidden="1">"'#xD;&amp;#xA;'MFPR01006408',&amp;#xD;&amp;#xA;'MFPR01006409',&amp;#xD;&amp;#xA;'MFPR01006410',&amp;#xD;&amp;#xA;'MFPR01006411',&amp;#xD;&amp;#xA;'MFPR01006412',&amp;#xD;&amp;#xA;'MFPR01006413',&amp;#xD;&amp;#xA;'MFPR01006414',&amp;#xD;&amp;#xA;'MFFSIR001012',&amp;#xD;&amp;#xA;'MFPR01006415',&amp;#xD;&amp;#xA;'MFFSIR001005',&amp;#'"</definedName>
    <definedName name="_AMO_ContentDefinition_781078101.130" hidden="1">"'amp;gt;LIST&amp;amp;lt;/RightHandSideNumType&amp;amp;gt;&amp;amp;lt;RightHandSideItems&amp;amp;gt;&amp;amp;lt;RHSItem&amp;amp;gt;&amp;amp;lt;RHSType&amp;amp;gt;EXPRESSION&amp;amp;lt;/RHSType&amp;amp;gt;&amp;amp;lt;AddQuotes&amp;amp;gt;True&amp;amp;lt;/AddQuotes&amp;amp;gt;&amp;amp;lt;DateFormat&amp;amp;gt;None&amp;amp'"</definedName>
    <definedName name="_AMO_ContentDefinition_781078101.131" hidden="1">"';lt;/DateFormat&amp;amp;gt;&amp;amp;lt;RightHandSideExpression xml:space=&amp;amp;quot;preserve&amp;amp;quot;&amp;amp;gt;MFPR06008082&amp;amp;lt;/RightHandSideExpression&amp;amp;gt;&amp;amp;lt;IsSubquery&amp;amp;gt;False&amp;amp;lt;/IsSubquery&amp;amp;gt;&amp;amp;lt;SubqueryTemplateName /&amp;amp;gt;&amp;a'"</definedName>
    <definedName name="_AMO_ContentDefinition_781078101.132" hidden="1">"'mp;lt;/RHSItem&amp;amp;gt;&amp;amp;lt;RHSItem&amp;amp;gt;&amp;amp;lt;RHSType&amp;amp;gt;EXPRESSION&amp;amp;lt;/RHSType&amp;amp;gt;&amp;amp;lt;AddQuotes&amp;amp;gt;True&amp;amp;lt;/AddQuotes&amp;amp;gt;&amp;amp;lt;DateFormat&amp;amp;gt;None&amp;amp;lt;/DateFormat&amp;amp;gt;&amp;amp;lt;RightHandSideExpression xml:s'"</definedName>
    <definedName name="_AMO_ContentDefinition_781078101.133" hidden="1">"'pace=&amp;amp;quot;preserve&amp;amp;quot;&amp;amp;gt;MFPR06008573&amp;amp;lt;/RightHandSideExpression&amp;amp;gt;&amp;amp;lt;IsSubquery&amp;amp;gt;False&amp;amp;lt;/IsSubquery&amp;amp;gt;&amp;amp;lt;SubqueryTemplateName /&amp;amp;gt;&amp;amp;lt;/RHSItem&amp;amp;gt;&amp;amp;lt;RHSItem&amp;amp;gt;&amp;amp;lt;RHSType'"</definedName>
    <definedName name="_AMO_ContentDefinition_781078101.134" hidden="1">"'&amp;amp;gt;EXPRESSION&amp;amp;lt;/RHSType&amp;amp;gt;&amp;amp;lt;AddQuotes&amp;amp;gt;True&amp;amp;lt;/AddQuotes&amp;amp;gt;&amp;amp;lt;DateFormat&amp;amp;gt;None&amp;amp;lt;/DateFormat&amp;amp;gt;&amp;amp;lt;RightHandSideExpression xml:space=&amp;amp;quot;preserve&amp;amp;quot;&amp;amp;gt;MFPR06008091&amp;amp;lt'"</definedName>
    <definedName name="_AMO_ContentDefinition_781078101.135"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781078101.136" hidden="1">"'amp;gt;True&amp;amp;lt;/AddQuotes&amp;amp;gt;&amp;amp;lt;DateFormat&amp;amp;gt;None&amp;amp;lt;/DateFormat&amp;amp;gt;&amp;amp;lt;RightHandSideExpression xml:space=&amp;amp;quot;preserve&amp;amp;quot;&amp;amp;gt;MFPR06008096&amp;amp;lt;/RightHandSideExpression&amp;amp;gt;&amp;amp;lt;IsSubquery&amp;amp;gt;F'"</definedName>
    <definedName name="_AMO_ContentDefinition_781078101.137"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781078101.138" hidden="1">"'gt;None&amp;amp;lt;/DateFormat&amp;amp;gt;&amp;amp;lt;RightHandSideExpression xml:space=&amp;amp;quot;preserve&amp;amp;quot;&amp;amp;gt;MFPR06008097&amp;amp;lt;/RightHandSideExpression&amp;amp;gt;&amp;amp;lt;IsSubquery&amp;amp;gt;False&amp;amp;lt;/IsSubquery&amp;amp;gt;&amp;amp;lt;SubqueryTemplateName '"</definedName>
    <definedName name="_AMO_ContentDefinition_781078101.139"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781078101.14" hidden="1">"'xD;&amp;#xA;'MFPR06008579',&amp;#xD;&amp;#xA;'MFPR06008585',&amp;#xD;&amp;#xA;'MFPR06008580',&amp;#xD;&amp;#xA;'MFPR01006315',&amp;#xD;&amp;#xA;'MFPR01006304',&amp;#xD;&amp;#xA;'MFPR01000307',&amp;#xD;&amp;#xA;'MFPR01006447',&amp;#xD;&amp;#xA;'MFPR01006448',&amp;#xD;&amp;#xA;'MFPR01006403',&amp;#xD;&amp;#xA;'MFPR06008553',&amp;#x'"</definedName>
    <definedName name="_AMO_ContentDefinition_781078101.140" hidden="1">"'ssion xml:space=&amp;amp;quot;preserve&amp;amp;quot;&amp;amp;gt;MFPR06008099&amp;amp;lt;/RightHandSideExpression&amp;amp;gt;&amp;amp;lt;IsSubquery&amp;amp;gt;False&amp;amp;lt;/IsSubquery&amp;amp;gt;&amp;amp;lt;SubqueryTemplateName /&amp;amp;gt;&amp;amp;lt;/RHSItem&amp;amp;gt;&amp;amp;lt;RHSItem&amp;amp;gt;&amp;amp'"</definedName>
    <definedName name="_AMO_ContentDefinition_781078101.141" hidden="1">"';lt;RHSType&amp;amp;gt;EXPRESSION&amp;amp;lt;/RHSType&amp;amp;gt;&amp;amp;lt;AddQuotes&amp;amp;gt;True&amp;amp;lt;/AddQuotes&amp;amp;gt;&amp;amp;lt;DateFormat&amp;amp;gt;None&amp;amp;lt;/DateFormat&amp;amp;gt;&amp;amp;lt;RightHandSideExpression xml:space=&amp;amp;quot;preserve&amp;amp;quot;&amp;amp;gt;MFPR0600'"</definedName>
    <definedName name="_AMO_ContentDefinition_781078101.142" hidden="1">"'8098&amp;amp;lt;/RightHandSideExpression&amp;amp;gt;&amp;amp;lt;IsSubquery&amp;amp;gt;False&amp;amp;lt;/IsSubquery&amp;amp;gt;&amp;amp;lt;SubqueryTemplateName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781078101.143" hidden="1">"';AddQuotes&amp;amp;gt;True&amp;amp;lt;/AddQuotes&amp;amp;gt;&amp;amp;lt;DateFormat&amp;amp;gt;None&amp;amp;lt;/DateFormat&amp;amp;gt;&amp;amp;lt;RightHandSideExpression xml:space=&amp;amp;quot;preserve&amp;amp;quot;&amp;amp;gt;MFPR06008574&amp;amp;lt;/RightHandSideExpression&amp;amp;gt;&amp;amp;lt;IsSubque'"</definedName>
    <definedName name="_AMO_ContentDefinition_781078101.144"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781078101.145" hidden="1">"'Format&amp;amp;gt;None&amp;amp;lt;/DateFormat&amp;amp;gt;&amp;amp;lt;RightHandSideExpression xml:space=&amp;amp;quot;preserve&amp;amp;quot;&amp;amp;gt;MFPR06008575&amp;amp;lt;/RightHandSideExpression&amp;amp;gt;&amp;amp;lt;IsSubquery&amp;amp;gt;False&amp;amp;lt;/IsSubquery&amp;amp;gt;&amp;amp;lt;SubqueryTe'"</definedName>
    <definedName name="_AMO_ContentDefinition_781078101.146"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781078101.147" hidden="1">"'ndSideExpression xml:space=&amp;amp;quot;preserve&amp;amp;quot;&amp;amp;gt;MFPR06008110&amp;amp;lt;/RightHandSideExpression&amp;amp;gt;&amp;amp;lt;IsSubquery&amp;amp;gt;False&amp;amp;lt;/IsSubquery&amp;amp;gt;&amp;amp;lt;SubqueryTemplateName /&amp;amp;gt;&amp;amp;lt;/RHSItem&amp;amp;gt;&amp;amp;lt;RHSItem&amp;'"</definedName>
    <definedName name="_AMO_ContentDefinition_781078101.148" hidden="1">"'amp;gt;&amp;amp;lt;RHSType&amp;amp;gt;EXPRESSION&amp;amp;lt;/RHSType&amp;amp;gt;&amp;amp;lt;AddQuotes&amp;amp;gt;True&amp;amp;lt;/AddQuotes&amp;amp;gt;&amp;amp;lt;DateFormat&amp;amp;gt;None&amp;amp;lt;/DateFormat&amp;amp;gt;&amp;amp;lt;RightHandSideExpression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781078101.149" hidden="1">"'gt;MFPR06008111&amp;amp;lt;/RightHandSideExpression&amp;amp;gt;&amp;amp;lt;IsSubquery&amp;amp;gt;False&amp;amp;lt;/IsSubquery&amp;amp;gt;&amp;amp;lt;SubqueryTemplateName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781078101.15" hidden="1">"'D;&amp;#xA;'MFPR06008578',&amp;#xD;&amp;#xA;'MFPR01006454',&amp;#xD;&amp;#xA;'MFPR01006455',&amp;#xD;&amp;#xA;'MFPR06008581',&amp;#xD;&amp;#xA;'MFPR04004642',&amp;#xD;&amp;#xA;'MFPR01006400',&amp;#xD;&amp;#xA;'MFPR01006451',&amp;#xD;&amp;#xA;'MFPR01006452',&amp;#xD;&amp;#xA;'MFPR02001304',&amp;#xD;&amp;#xA;'MFPR02001305',&amp;#xD'"</definedName>
    <definedName name="_AMO_ContentDefinition_781078101.150" hidden="1">"';gt;&amp;amp;lt;AddQuotes&amp;amp;gt;True&amp;amp;lt;/AddQuotes&amp;amp;gt;&amp;amp;lt;DateFormat&amp;amp;gt;None&amp;amp;lt;/DateFormat&amp;amp;gt;&amp;amp;lt;RightHandSideExpression xml:space=&amp;amp;quot;preserve&amp;amp;quot;&amp;amp;gt;MFPR06008576&amp;amp;lt;/RightHandSideExpression&amp;amp;gt;&amp;amp;'"</definedName>
    <definedName name="_AMO_ContentDefinition_781078101.151"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781078101.152" hidden="1">"'amp;lt;DateFormat&amp;amp;gt;None&amp;amp;lt;/DateFormat&amp;amp;gt;&amp;amp;lt;RightHandSideExpression xml:space=&amp;amp;quot;preserve&amp;amp;quot;&amp;amp;gt;MFPR06008113&amp;amp;lt;/RightHandSideExpression&amp;amp;gt;&amp;amp;lt;IsSubquery&amp;amp;gt;False&amp;amp;lt;/IsSubquery&amp;amp;gt;&amp;amp;lt'"</definedName>
    <definedName name="_AMO_ContentDefinition_781078101.153"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781078101.154" hidden="1">"';lt;RightHandSideExpression xml:space=&amp;amp;quot;preserve&amp;amp;quot;&amp;amp;gt;MFPR06008114&amp;amp;lt;/RightHandSideExpression&amp;amp;gt;&amp;amp;lt;IsSubquery&amp;amp;gt;False&amp;amp;lt;/IsSubquery&amp;amp;gt;&amp;amp;lt;SubqueryTemplateName /&amp;amp;gt;&amp;amp;lt;/RHSItem&amp;amp;gt;&amp;amp;'"</definedName>
    <definedName name="_AMO_ContentDefinition_781078101.155" hidden="1">"'lt;RHSItem&amp;amp;gt;&amp;amp;lt;RHSType&amp;amp;gt;EXPRESSION&amp;amp;lt;/RHSType&amp;amp;gt;&amp;amp;lt;AddQuotes&amp;amp;gt;True&amp;amp;lt;/AddQuotes&amp;amp;gt;&amp;amp;lt;DateFormat&amp;amp;gt;None&amp;amp;lt;/DateFormat&amp;amp;gt;&amp;amp;lt;RightHandSideExpression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781078101.156" hidden="1">"';quot;&amp;amp;gt;MFPR06008562&amp;amp;lt;/RightHandSideExpression&amp;amp;gt;&amp;amp;lt;IsSubquery&amp;amp;gt;False&amp;amp;lt;/IsSubquery&amp;amp;gt;&amp;amp;lt;SubqueryTemplateName /&amp;amp;gt;&amp;amp;lt;/RHSItem&amp;amp;gt;&amp;amp;lt;RHSItem&amp;amp;gt;&amp;amp;lt;RHSType&amp;amp;gt;EXPRESSION&amp;amp;lt;/'"</definedName>
    <definedName name="_AMO_ContentDefinition_781078101.157" hidden="1">"'RHSType&amp;amp;gt;&amp;amp;lt;AddQuotes&amp;amp;gt;True&amp;amp;lt;/AddQuotes&amp;amp;gt;&amp;amp;lt;DateFormat&amp;amp;gt;None&amp;amp;lt;/DateFormat&amp;amp;gt;&amp;amp;lt;RightHandSideExpression xml:space=&amp;amp;quot;preserve&amp;amp;quot;&amp;amp;gt;MFPR06008119&amp;amp;lt;/RightHandSideExpression&amp;a'"</definedName>
    <definedName name="_AMO_ContentDefinition_781078101.158"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781078101.159" hidden="1">"'es&amp;amp;gt;&amp;amp;lt;DateFormat&amp;amp;gt;None&amp;amp;lt;/DateFormat&amp;amp;gt;&amp;amp;lt;RightHandSideExpression xml:space=&amp;amp;quot;preserve&amp;amp;quot;&amp;amp;gt;MFPR06008577&amp;amp;lt;/RightHandSideExpression&amp;amp;gt;&amp;amp;lt;IsSubquery&amp;amp;gt;False&amp;amp;lt;/IsSubquery&amp;amp'"</definedName>
    <definedName name="_AMO_ContentDefinition_781078101.16" hidden="1">"';&amp;#xA;'MFBS01000041',&amp;#xD;&amp;#xA;'MFBS01000096',&amp;#xD;&amp;#xA;'MFBS01000102',&amp;#xD;&amp;#xA;'MFBS01000105',&amp;#xD;&amp;#xA;'MFBS01000114',&amp;#xD;&amp;#xA;'MFBS01000740',&amp;#xD;&amp;#xA;'MFBS01000757',&amp;#xD;&amp;#xA;'MFBS01000758',&amp;#xD;&amp;#xA;'MFBS01000879',&amp;#xD;&amp;#xA;'MFBS01000880',&amp;#xD;'"</definedName>
    <definedName name="_AMO_ContentDefinition_781078101.160"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781078101.161" hidden="1">"'amp;gt;&amp;amp;lt;RightHandSideExpression xml:space=&amp;amp;quot;preserve&amp;amp;quot;&amp;amp;gt;MFPR01006343&amp;amp;lt;/RightHandSideExpression&amp;amp;gt;&amp;amp;lt;IsSubquery&amp;amp;gt;False&amp;amp;lt;/IsSubquery&amp;amp;gt;&amp;amp;lt;SubqueryTemplateName /&amp;amp;gt;&amp;amp;lt;/RHSItem&amp;a'"</definedName>
    <definedName name="_AMO_ContentDefinition_781078101.162" hidden="1">"'mp;gt;&amp;amp;lt;RHSItem&amp;amp;gt;&amp;amp;lt;RHSType&amp;amp;gt;EXPRESSION&amp;amp;lt;/RHSType&amp;amp;gt;&amp;amp;lt;AddQuotes&amp;amp;gt;True&amp;amp;lt;/AddQuotes&amp;amp;gt;&amp;amp;lt;DateFormat&amp;amp;gt;None&amp;amp;lt;/DateFormat&amp;amp;gt;&amp;amp;lt;RightHandSideExpression xml:space=&amp;amp;quot;p'"</definedName>
    <definedName name="_AMO_ContentDefinition_781078101.163" hidden="1">"'reserve&amp;amp;quot;&amp;amp;gt;MFPR01000285&amp;amp;lt;/RightHandSideExpression&amp;amp;gt;&amp;amp;lt;IsSubquery&amp;amp;gt;False&amp;amp;lt;/IsSubquery&amp;amp;gt;&amp;amp;lt;SubqueryTemplateName /&amp;amp;gt;&amp;amp;lt;/RHSItem&amp;amp;gt;&amp;amp;lt;RHSItem&amp;amp;gt;&amp;amp;lt;RHSType&amp;amp;gt;EXPRESSI'"</definedName>
    <definedName name="_AMO_ContentDefinition_781078101.164" hidden="1">"'ON&amp;amp;lt;/RHSType&amp;amp;gt;&amp;amp;lt;AddQuotes&amp;amp;gt;True&amp;amp;lt;/AddQuotes&amp;amp;gt;&amp;amp;lt;DateFormat&amp;amp;gt;None&amp;amp;lt;/DateFormat&amp;amp;gt;&amp;amp;lt;RightHandSideExpression xml:space=&amp;amp;quot;preserve&amp;amp;quot;&amp;amp;gt;MFPR01006344&amp;amp;lt;/RightHandSideE'"</definedName>
    <definedName name="_AMO_ContentDefinition_781078101.165"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781078101.166" hidden="1">"'lt;/AddQuotes&amp;amp;gt;&amp;amp;lt;DateFormat&amp;amp;gt;None&amp;amp;lt;/DateFormat&amp;amp;gt;&amp;amp;lt;RightHandSideExpression xml:space=&amp;amp;quot;preserve&amp;amp;quot;&amp;amp;gt;MFPR01006345&amp;amp;lt;/RightHandSideExpression&amp;amp;gt;&amp;amp;lt;IsSubquery&amp;amp;gt;False&amp;amp;lt;/IsS'"</definedName>
    <definedName name="_AMO_ContentDefinition_781078101.167"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781078101.168" hidden="1">"'DateFormat&amp;amp;gt;&amp;amp;lt;RightHandSideExpression xml:space=&amp;amp;quot;preserve&amp;amp;quot;&amp;amp;gt;MFPR01006346&amp;amp;lt;/RightHandSideExpression&amp;amp;gt;&amp;amp;lt;IsSubquery&amp;amp;gt;False&amp;amp;lt;/IsSubquery&amp;amp;gt;&amp;amp;lt;SubqueryTemplateName /&amp;amp;gt;&amp;amp;lt'"</definedName>
    <definedName name="_AMO_ContentDefinition_781078101.169" hidden="1">"';/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781078101.17" hidden="1">"'&amp;#xA;'MFBS01000881',&amp;#xD;&amp;#xA;'MFBS01000882',&amp;#xD;&amp;#xA;'MFBS01000883',&amp;#xD;&amp;#xA;'MFBS01000884',&amp;#xD;&amp;#xA;'MFBS01000885',&amp;#xD;&amp;#xA;'MFBS01000886',&amp;#xD;&amp;#xA;'MFBS01000888',&amp;#xD;&amp;#xA;'MFBS01000889',&amp;#xD;&amp;#xA;'MFBS01000890',&amp;#xD;&amp;#xA;'MFBS01000891',&amp;#xD;&amp;'"</definedName>
    <definedName name="_AMO_ContentDefinition_781078101.170" hidden="1">"'&amp;amp;quot;preserve&amp;amp;quot;&amp;amp;gt;MFPR01006296&amp;amp;lt;/RightHandSideExpression&amp;amp;gt;&amp;amp;lt;IsSubquery&amp;amp;gt;False&amp;amp;lt;/IsSubquery&amp;amp;gt;&amp;amp;lt;SubqueryTemplateName /&amp;amp;gt;&amp;amp;lt;/RHSItem&amp;amp;gt;&amp;amp;lt;RHSItem&amp;amp;gt;&amp;amp;lt;RHSType&amp;amp;'"</definedName>
    <definedName name="_AMO_ContentDefinition_781078101.171" hidden="1">"'gt;EXPRESSION&amp;amp;lt;/RHSType&amp;amp;gt;&amp;amp;lt;AddQuotes&amp;amp;gt;True&amp;amp;lt;/AddQuotes&amp;amp;gt;&amp;amp;lt;DateFormat&amp;amp;gt;None&amp;amp;lt;/DateFormat&amp;amp;gt;&amp;amp;lt;RightHandSideExpression xml:space=&amp;amp;quot;preserve&amp;amp;quot;&amp;amp;gt;MFPR01006348&amp;amp;lt;/Rig'"</definedName>
    <definedName name="_AMO_ContentDefinition_781078101.172"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781078101.173" hidden="1">"'t;True&amp;amp;lt;/AddQuotes&amp;amp;gt;&amp;amp;lt;DateFormat&amp;amp;gt;None&amp;amp;lt;/DateFormat&amp;amp;gt;&amp;amp;lt;RightHandSideExpression xml:space=&amp;amp;quot;preserve&amp;amp;quot;&amp;amp;gt;MFPR01006349&amp;amp;lt;/RightHandSideExpression&amp;amp;gt;&amp;amp;lt;IsSubquery&amp;amp;gt;False&amp;'"</definedName>
    <definedName name="_AMO_ContentDefinition_781078101.174"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781078101.175" hidden="1">"'ne&amp;amp;lt;/DateFormat&amp;amp;gt;&amp;amp;lt;RightHandSideExpression xml:space=&amp;amp;quot;preserve&amp;amp;quot;&amp;amp;gt;MFPR01006350&amp;amp;lt;/RightHandSideExpression&amp;amp;gt;&amp;amp;lt;IsSubquery&amp;amp;gt;False&amp;amp;lt;/IsSubquery&amp;amp;gt;&amp;amp;lt;SubqueryTemplateName /&amp;amp'"</definedName>
    <definedName name="_AMO_ContentDefinition_781078101.176"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781078101.177" hidden="1">"' xml:space=&amp;amp;quot;preserve&amp;amp;quot;&amp;amp;gt;MFPR01006351&amp;amp;lt;/RightHandSideExpression&amp;amp;gt;&amp;amp;lt;IsSubquery&amp;amp;gt;False&amp;amp;lt;/IsSubquery&amp;amp;gt;&amp;amp;lt;SubqueryTemplateName /&amp;amp;gt;&amp;amp;lt;/RHSItem&amp;amp;gt;&amp;amp;lt;RHSItem&amp;amp;gt;&amp;amp;lt;R'"</definedName>
    <definedName name="_AMO_ContentDefinition_781078101.178" hidden="1">"'HSType&amp;amp;gt;EXPRESSION&amp;amp;lt;/RHSType&amp;amp;gt;&amp;amp;lt;AddQuotes&amp;amp;gt;True&amp;amp;lt;/AddQuotes&amp;amp;gt;&amp;amp;lt;DateFormat&amp;amp;gt;None&amp;amp;lt;/DateFormat&amp;amp;gt;&amp;amp;lt;RightHandSideExpression xml:space=&amp;amp;quot;preserve&amp;amp;quot;&amp;amp;gt;MFPR01006352&amp;'"</definedName>
    <definedName name="_AMO_ContentDefinition_781078101.179"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781078101.18" hidden="1">"'#xA;'MFBS01000892',&amp;#xD;&amp;#xA;'MFBS01000893',&amp;#xD;&amp;#xA;'MFBS01000894',&amp;#xD;&amp;#xA;'MFBS01000896',&amp;#xD;&amp;#xA;'MFBS01000897',&amp;#xD;&amp;#xA;'MFBS01000898',&amp;#xD;&amp;#xA;'MFBS01000899',&amp;#xD;&amp;#xA;'MFBS01000900',&amp;#xD;&amp;#xA;'MFBS01000901',&amp;#xD;&amp;#xA;'MFBS01000903',&amp;#xD;&amp;#'"</definedName>
    <definedName name="_AMO_ContentDefinition_781078101.180" hidden="1">"'uotes&amp;amp;gt;True&amp;amp;lt;/AddQuotes&amp;amp;gt;&amp;amp;lt;DateFormat&amp;amp;gt;None&amp;amp;lt;/DateFormat&amp;amp;gt;&amp;amp;lt;RightHandSideExpression xml:space=&amp;amp;quot;preserve&amp;amp;quot;&amp;amp;gt;MFPR01006353&amp;amp;lt;/RightHandSideExpression&amp;amp;gt;&amp;amp;lt;IsSubquery&amp;am'"</definedName>
    <definedName name="_AMO_ContentDefinition_781078101.181"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781078101.182" hidden="1">"'t&amp;amp;gt;None&amp;amp;lt;/DateFormat&amp;amp;gt;&amp;amp;lt;RightHandSideExpression xml:space=&amp;amp;quot;preserve&amp;amp;quot;&amp;amp;gt;MFPR01006354&amp;amp;lt;/RightHandSideExpression&amp;amp;gt;&amp;amp;lt;IsSubquery&amp;amp;gt;False&amp;amp;lt;/IsSubquery&amp;amp;gt;&amp;amp;lt;SubqueryTemplat'"</definedName>
    <definedName name="_AMO_ContentDefinition_781078101.183"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781078101.184" hidden="1">"'eExpression xml:space=&amp;amp;quot;preserve&amp;amp;quot;&amp;amp;gt;MFPR01006355&amp;amp;lt;/RightHandSideExpression&amp;amp;gt;&amp;amp;lt;IsSubquery&amp;amp;gt;False&amp;amp;lt;/IsSubquery&amp;amp;gt;&amp;amp;lt;SubqueryTemplateName /&amp;amp;gt;&amp;amp;lt;/RHSItem&amp;amp;gt;&amp;amp;lt;RHSItem&amp;amp;g'"</definedName>
    <definedName name="_AMO_ContentDefinition_781078101.185" hidden="1">"'t;&amp;amp;lt;RHSType&amp;amp;gt;EXPRESSION&amp;amp;lt;/RHSType&amp;amp;gt;&amp;amp;lt;AddQuotes&amp;amp;gt;True&amp;amp;lt;/AddQuotes&amp;amp;gt;&amp;amp;lt;DateFormat&amp;amp;gt;None&amp;amp;lt;/DateFormat&amp;amp;gt;&amp;amp;lt;RightHandSideExpression xml:space=&amp;amp;quot;preserve&amp;amp;quot;&amp;amp;gt;MF'"</definedName>
    <definedName name="_AMO_ContentDefinition_781078101.186" hidden="1">"'PR01006356&amp;amp;lt;/RightHandSideExpression&amp;amp;gt;&amp;amp;lt;IsSubquery&amp;amp;gt;False&amp;amp;lt;/IsSubquery&amp;amp;gt;&amp;amp;lt;SubqueryTemplateName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781078101.187" hidden="1">"'amp;lt;AddQuotes&amp;amp;gt;True&amp;amp;lt;/AddQuotes&amp;amp;gt;&amp;amp;lt;DateFormat&amp;amp;gt;None&amp;amp;lt;/DateFormat&amp;amp;gt;&amp;amp;lt;RightHandSideExpression xml:space=&amp;amp;quot;preserve&amp;amp;quot;&amp;amp;gt;MFPR01006357&amp;amp;lt;/RightHandSideExpression&amp;amp;gt;&amp;amp;lt;Is'"</definedName>
    <definedName name="_AMO_ContentDefinition_781078101.188"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781078101.189" hidden="1">"'t;DateFormat&amp;amp;gt;None&amp;amp;lt;/DateFormat&amp;amp;gt;&amp;amp;lt;RightHandSideExpression xml:space=&amp;amp;quot;preserve&amp;amp;quot;&amp;amp;gt;MFPR01000255&amp;amp;lt;/RightHandSideExpression&amp;amp;gt;&amp;amp;lt;IsSubquery&amp;amp;gt;False&amp;amp;lt;/IsSubquery&amp;amp;gt;&amp;amp;lt;Subq'"</definedName>
    <definedName name="_AMO_ContentDefinition_781078101.19" hidden="1">"'xA;'MFBS01000905',&amp;#xD;&amp;#xA;'MFBS01000906',&amp;#xD;&amp;#xA;'MFBS01000907',&amp;#xD;&amp;#xA;'MFBS01000908',&amp;#xD;&amp;#xA;'MFBS01000909',&amp;#xD;&amp;#xA;'MFBS01000910',&amp;#xD;&amp;#xA;'MFBS01000911',&amp;#xD;&amp;#xA;'MFBS01000912',&amp;#xD;&amp;#xA;'MFBS01000913',&amp;#xD;&amp;#xA;'MFBS01000914',&amp;#xD;&amp;#x'"</definedName>
    <definedName name="_AMO_ContentDefinition_781078101.190"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781078101.191" hidden="1">"'ightHandSideExpression xml:space=&amp;amp;quot;preserve&amp;amp;quot;&amp;amp;gt;MFPR01006358&amp;amp;lt;/RightHandSideExpression&amp;amp;gt;&amp;amp;lt;IsSubquery&amp;amp;gt;False&amp;amp;lt;/IsSubquery&amp;amp;gt;&amp;amp;lt;SubqueryTemplateName /&amp;amp;gt;&amp;amp;lt;/RHSItem&amp;amp;gt;&amp;amp;lt;RH'"</definedName>
    <definedName name="_AMO_ContentDefinition_781078101.192" hidden="1">"'SItem&amp;amp;gt;&amp;amp;lt;RHSType&amp;amp;gt;EXPRESSION&amp;amp;lt;/RHSType&amp;amp;gt;&amp;amp;lt;AddQuotes&amp;amp;gt;True&amp;amp;lt;/AddQuotes&amp;amp;gt;&amp;amp;lt;DateFormat&amp;amp;gt;None&amp;amp;lt;/DateFormat&amp;amp;gt;&amp;amp;lt;RightHandSideExpression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781078101.193" hidden="1">"';&amp;amp;gt;MFPR01000260&amp;amp;lt;/RightHandSideExpression&amp;amp;gt;&amp;amp;lt;IsSubquery&amp;amp;gt;False&amp;amp;lt;/IsSubquery&amp;amp;gt;&amp;amp;lt;SubqueryTemplateName /&amp;amp;gt;&amp;amp;lt;/RHSItem&amp;amp;gt;&amp;amp;lt;RHSItem&amp;amp;gt;&amp;amp;lt;RHSType&amp;amp;gt;EXPRESSION&amp;amp;lt;/RHSTy'"</definedName>
    <definedName name="_AMO_ContentDefinition_781078101.194" hidden="1">"'pe&amp;amp;gt;&amp;amp;lt;AddQuotes&amp;amp;gt;True&amp;amp;lt;/AddQuotes&amp;amp;gt;&amp;amp;lt;DateFormat&amp;amp;gt;None&amp;amp;lt;/DateFormat&amp;amp;gt;&amp;amp;lt;RightHandSideExpression xml:space=&amp;amp;quot;preserve&amp;amp;quot;&amp;amp;gt;MFPR01000279&amp;amp;lt;/RightHandSideExpression&amp;amp;gt'"</definedName>
    <definedName name="_AMO_ContentDefinition_781078101.195"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781078101.196" hidden="1">"'p;gt;&amp;amp;lt;DateFormat&amp;amp;gt;None&amp;amp;lt;/DateFormat&amp;amp;gt;&amp;amp;lt;RightHandSideExpression xml:space=&amp;amp;quot;preserve&amp;amp;quot;&amp;amp;gt;MFPR01006359&amp;amp;lt;/RightHandSideExpression&amp;amp;gt;&amp;amp;lt;IsSubquery&amp;amp;gt;False&amp;amp;lt;/IsSubquery&amp;amp;gt;&amp;'"</definedName>
    <definedName name="_AMO_ContentDefinition_781078101.197"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781078101.198" hidden="1">"'t;&amp;amp;lt;RightHandSideExpression xml:space=&amp;amp;quot;preserve&amp;amp;quot;&amp;amp;gt;MFPR01006361&amp;amp;lt;/RightHandSideExpression&amp;amp;gt;&amp;amp;lt;IsSubquery&amp;amp;gt;False&amp;amp;lt;/IsSubquery&amp;amp;gt;&amp;amp;lt;SubqueryTemplateName /&amp;amp;gt;&amp;amp;lt;/RHSItem&amp;amp;gt'"</definedName>
    <definedName name="_AMO_ContentDefinition_781078101.199" hidden="1">"';&amp;amp;lt;RHSItem&amp;amp;gt;&amp;amp;lt;RHSType&amp;amp;gt;EXPRESSION&amp;amp;lt;/RHSType&amp;amp;gt;&amp;amp;lt;AddQuotes&amp;amp;gt;True&amp;amp;lt;/AddQuotes&amp;amp;gt;&amp;amp;lt;DateFormat&amp;amp;gt;None&amp;amp;lt;/DateFormat&amp;amp;gt;&amp;amp;lt;RightHandSideExpression xml:space=&amp;amp;quot;preser'"</definedName>
    <definedName name="_AMO_ContentDefinition_781078101.2" hidden="1">"'parents /&gt;_x000D_
  &lt;children /&gt;_x000D_
  &lt;param n=""DisplayName"" v=""SASApp:STAGE.indicator"" /&gt;_x000D_
  &lt;param n=""DisplayType"" v=""Data Set"" /&gt;_x000D_
  &lt;param n=""AMO_Version"" v=""8.2"" /&gt;_x000D_
  &lt;param n=""ServerHostName"" v=""sasprdmetadata.eccb-centralbank.org"" /&gt;_x000D_'"</definedName>
    <definedName name="_AMO_ContentDefinition_781078101.20" hidden="1">"'A;'MFBS01000915',&amp;#xD;&amp;#xA;'MFBS01000916',&amp;#xD;&amp;#xA;'MFBS01000917',&amp;#xD;&amp;#xA;'MFBS01000918',&amp;#xD;&amp;#xA;'MFBS01000919',&amp;#xD;&amp;#xA;'MFBS01000920',&amp;#xD;&amp;#xA;'MFBS01000921',&amp;#xD;&amp;#xA;'MFBS01000922',&amp;#xD;&amp;#xA;'MFBS01000923',&amp;#xD;&amp;#xA;'MFBS01000924',&amp;#xD;&amp;#xA'"</definedName>
    <definedName name="_AMO_ContentDefinition_781078101.200" hidden="1">"'ve&amp;amp;quot;&amp;amp;gt;MFPR01006362&amp;amp;lt;/RightHandSideExpression&amp;amp;gt;&amp;amp;lt;IsSubquery&amp;amp;gt;False&amp;amp;lt;/IsSubquery&amp;amp;gt;&amp;amp;lt;SubqueryTemplateName /&amp;amp;gt;&amp;amp;lt;/RHSItem&amp;amp;gt;&amp;amp;lt;RHSItem&amp;amp;gt;&amp;amp;lt;RHSType&amp;amp;gt;EXPRESSION&amp;am'"</definedName>
    <definedName name="_AMO_ContentDefinition_781078101.201" hidden="1">"'p;lt;/RHSType&amp;amp;gt;&amp;amp;lt;AddQuotes&amp;amp;gt;True&amp;amp;lt;/AddQuotes&amp;amp;gt;&amp;amp;lt;DateFormat&amp;amp;gt;None&amp;amp;lt;/DateFormat&amp;amp;gt;&amp;amp;lt;RightHandSideExpression xml:space=&amp;amp;quot;preserve&amp;amp;quot;&amp;amp;gt;MFPR01006363&amp;amp;lt;/RightHandSideExpres'"</definedName>
    <definedName name="_AMO_ContentDefinition_781078101.202"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781078101.203" hidden="1">"'ddQuotes&amp;amp;gt;&amp;amp;lt;DateFormat&amp;amp;gt;None&amp;amp;lt;/DateFormat&amp;amp;gt;&amp;amp;lt;RightHandSideExpression xml:space=&amp;amp;quot;preserve&amp;amp;quot;&amp;amp;gt;MFPR01006364&amp;amp;lt;/RightHandSideExpression&amp;amp;gt;&amp;amp;lt;IsSubquery&amp;amp;gt;False&amp;amp;lt;/IsSubque'"</definedName>
    <definedName name="_AMO_ContentDefinition_781078101.204"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781078101.205" hidden="1">"'ormat&amp;amp;gt;&amp;amp;lt;RightHandSideExpression xml:space=&amp;amp;quot;preserve&amp;amp;quot;&amp;amp;gt;MFPR01006365&amp;amp;lt;/RightHandSideExpression&amp;amp;gt;&amp;amp;lt;IsSubquery&amp;amp;gt;False&amp;amp;lt;/IsSubquery&amp;amp;gt;&amp;amp;lt;SubqueryTemplateName /&amp;amp;gt;&amp;amp;lt;/RHS'"</definedName>
    <definedName name="_AMO_ContentDefinition_781078101.206" hidden="1">"'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781078101.207" hidden="1">"'quot;preserve&amp;amp;quot;&amp;amp;gt;MFPR01006366&amp;amp;lt;/RightHandSideExpression&amp;amp;gt;&amp;amp;lt;IsSubquery&amp;amp;gt;False&amp;amp;lt;/IsSubquery&amp;amp;gt;&amp;amp;lt;SubqueryTemplateName /&amp;amp;gt;&amp;amp;lt;/RHSItem&amp;amp;gt;&amp;amp;lt;RHSItem&amp;amp;gt;&amp;amp;lt;RHSType&amp;amp;gt;EX'"</definedName>
    <definedName name="_AMO_ContentDefinition_781078101.208" hidden="1">"'PRESSION&amp;amp;lt;/RHSType&amp;amp;gt;&amp;amp;lt;AddQuotes&amp;amp;gt;True&amp;amp;lt;/AddQuotes&amp;amp;gt;&amp;amp;lt;DateFormat&amp;amp;gt;None&amp;amp;lt;/DateFormat&amp;amp;gt;&amp;amp;lt;RightHandSideExpression xml:space=&amp;amp;quot;preserve&amp;amp;quot;&amp;amp;gt;MFPR01006367&amp;amp;lt;/RightHan'"</definedName>
    <definedName name="_AMO_ContentDefinition_781078101.209"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781078101.21" hidden="1">"';'MFBS01000925',&amp;#xD;&amp;#xA;'MFBS01000926',&amp;#xD;&amp;#xA;'MFBS01000928',&amp;#xD;&amp;#xA;'MFBS01001009',&amp;#xD;&amp;#xA;'MFBS01001010',&amp;#xD;&amp;#xA;'MFBS01001011',&amp;#xD;&amp;#xA;'MFBS01001012',&amp;#xD;&amp;#xA;'MFBS01001013',&amp;#xD;&amp;#xA;'MFBS01001014',&amp;#xD;&amp;#xA;'MFBS01001015',&amp;#xD;&amp;#xA;'"</definedName>
    <definedName name="_AMO_ContentDefinition_781078101.210" hidden="1">"'e&amp;amp;lt;/AddQuotes&amp;amp;gt;&amp;amp;lt;DateFormat&amp;amp;gt;None&amp;amp;lt;/DateFormat&amp;amp;gt;&amp;amp;lt;RightHandSideExpression xml:space=&amp;amp;quot;preserve&amp;amp;quot;&amp;amp;gt;MFPR01006368&amp;amp;lt;/RightHandSideExpression&amp;amp;gt;&amp;amp;lt;IsSubquery&amp;amp;gt;False&amp;amp;l'"</definedName>
    <definedName name="_AMO_ContentDefinition_781078101.211"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781078101.212" hidden="1">"'p;lt;/DateFormat&amp;amp;gt;&amp;amp;lt;RightHandSideExpression xml:space=&amp;amp;quot;preserve&amp;amp;quot;&amp;amp;gt;MFPR01006369&amp;amp;lt;/RightHandSideExpression&amp;amp;gt;&amp;amp;lt;IsSubquery&amp;amp;gt;False&amp;amp;lt;/IsSubquery&amp;amp;gt;&amp;amp;lt;SubqueryTemplateName /&amp;amp;gt;&amp;'"</definedName>
    <definedName name="_AMO_ContentDefinition_781078101.213" hidden="1">"'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781078101.214" hidden="1">"'space=&amp;amp;quot;preserve&amp;amp;quot;&amp;amp;gt;MFPR01006370&amp;amp;lt;/RightHandSideExpression&amp;amp;gt;&amp;amp;lt;IsSubquery&amp;amp;gt;False&amp;amp;lt;/IsSubquery&amp;amp;gt;&amp;amp;lt;SubqueryTemplateName /&amp;amp;gt;&amp;amp;lt;/RHSItem&amp;amp;gt;&amp;amp;lt;RHSItem&amp;amp;gt;&amp;amp;lt;RHSTyp'"</definedName>
    <definedName name="_AMO_ContentDefinition_781078101.215" hidden="1">"'e&amp;amp;gt;EXPRESSION&amp;amp;lt;/RHSType&amp;amp;gt;&amp;amp;lt;AddQuotes&amp;amp;gt;True&amp;amp;lt;/AddQuotes&amp;amp;gt;&amp;amp;lt;DateFormat&amp;amp;gt;None&amp;amp;lt;/DateFormat&amp;amp;gt;&amp;amp;lt;RightHandSideExpression xml:space=&amp;amp;quot;preserve&amp;amp;quot;&amp;amp;gt;MFPR01006371&amp;amp;l'"</definedName>
    <definedName name="_AMO_ContentDefinition_781078101.216"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781078101.217" hidden="1">"'&amp;amp;gt;True&amp;amp;lt;/AddQuotes&amp;amp;gt;&amp;amp;lt;DateFormat&amp;amp;gt;None&amp;amp;lt;/DateFormat&amp;amp;gt;&amp;amp;lt;RightHandSideExpression xml:space=&amp;amp;quot;preserve&amp;amp;quot;&amp;amp;gt;MFPR01000095&amp;amp;lt;/RightHandSideExpression&amp;amp;gt;&amp;amp;lt;IsSubquery&amp;amp;gt;'"</definedName>
    <definedName name="_AMO_ContentDefinition_781078101.218"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781078101.219" hidden="1">"';gt;None&amp;amp;lt;/DateFormat&amp;amp;gt;&amp;amp;lt;RightHandSideExpression xml:space=&amp;amp;quot;preserve&amp;amp;quot;&amp;amp;gt;MFPR01006372&amp;amp;lt;/RightHandSideExpression&amp;amp;gt;&amp;amp;lt;IsSubquery&amp;amp;gt;False&amp;amp;lt;/IsSubquery&amp;amp;gt;&amp;amp;lt;SubqueryTemplateName'"</definedName>
    <definedName name="_AMO_ContentDefinition_781078101.22" hidden="1">"''MFBS01001016',&amp;#xD;&amp;#xA;'MFBS01001017',&amp;#xD;&amp;#xA;'MFBS01001018',&amp;#xD;&amp;#xA;'MFBS01001019',&amp;#xD;&amp;#xA;'MFBS01001020',&amp;#xD;&amp;#xA;'MFBS01001021',&amp;#xD;&amp;#xA;'MFBS01001022',&amp;#xD;&amp;#xA;'MFBS01001023',&amp;#xD;&amp;#xA;'MFBS01001070',&amp;#xD;&amp;#xA;'MFBS01001103',&amp;#xD;&amp;#xA;''"</definedName>
    <definedName name="_AMO_ContentDefinition_781078101.220"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781078101.221" hidden="1">"'ession xml:space=&amp;amp;quot;preserve&amp;amp;quot;&amp;amp;gt;MFPR01006373&amp;amp;lt;/RightHandSideExpression&amp;amp;gt;&amp;amp;lt;IsSubquery&amp;amp;gt;False&amp;amp;lt;/IsSubquery&amp;amp;gt;&amp;amp;lt;SubqueryTemplateName /&amp;amp;gt;&amp;amp;lt;/RHSItem&amp;amp;gt;&amp;amp;lt;RHSItem&amp;amp;gt;&amp;am'"</definedName>
    <definedName name="_AMO_ContentDefinition_781078101.222" hidden="1">"'p;lt;RHSType&amp;amp;gt;EXPRESSION&amp;amp;lt;/RHSType&amp;amp;gt;&amp;amp;lt;AddQuotes&amp;amp;gt;True&amp;amp;lt;/AddQuotes&amp;amp;gt;&amp;amp;lt;DateFormat&amp;amp;gt;None&amp;amp;lt;/DateFormat&amp;amp;gt;&amp;amp;lt;RightHandSideExpression xml:space=&amp;amp;quot;preserve&amp;amp;quot;&amp;amp;gt;MFPR010'"</definedName>
    <definedName name="_AMO_ContentDefinition_781078101.223" hidden="1">"'06374&amp;amp;lt;/RightHandSideExpression&amp;amp;gt;&amp;amp;lt;IsSubquery&amp;amp;gt;False&amp;amp;lt;/IsSubquery&amp;amp;gt;&amp;amp;lt;SubqueryTemplateName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781078101.224" hidden="1">"'t;AddQuotes&amp;amp;gt;True&amp;amp;lt;/AddQuotes&amp;amp;gt;&amp;amp;lt;DateFormat&amp;amp;gt;None&amp;amp;lt;/DateFormat&amp;amp;gt;&amp;amp;lt;RightHandSideExpression xml:space=&amp;amp;quot;preserve&amp;amp;quot;&amp;amp;gt;MFPR06008352&amp;amp;lt;/RightHandSideExpression&amp;amp;gt;&amp;amp;lt;IsSubqu'"</definedName>
    <definedName name="_AMO_ContentDefinition_781078101.225"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781078101.226" hidden="1">"'eFormat&amp;amp;gt;None&amp;amp;lt;/DateFormat&amp;amp;gt;&amp;amp;lt;RightHandSideExpression xml:space=&amp;amp;quot;preserve&amp;amp;quot;&amp;amp;gt;MFPR06008367&amp;amp;lt;/RightHandSideExpression&amp;amp;gt;&amp;amp;lt;IsSubquery&amp;amp;gt;False&amp;amp;lt;/IsSubquery&amp;amp;gt;&amp;amp;lt;SubqueryT'"</definedName>
    <definedName name="_AMO_ContentDefinition_781078101.227"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781078101.228" hidden="1">"'andSideExpression xml:space=&amp;amp;quot;preserve&amp;amp;quot;&amp;amp;gt;MFPR06008382&amp;amp;lt;/RightHandSideExpression&amp;amp;gt;&amp;amp;lt;IsSubquery&amp;amp;gt;False&amp;amp;lt;/IsSubquery&amp;amp;gt;&amp;amp;lt;SubqueryTemplateName /&amp;amp;gt;&amp;amp;lt;/RHSItem&amp;amp;gt;&amp;amp;lt;RHSItem'"</definedName>
    <definedName name="_AMO_ContentDefinition_781078101.229" hidden="1">"'&amp;amp;gt;&amp;amp;lt;RHSType&amp;amp;gt;EXPRESSION&amp;amp;lt;/RHSType&amp;amp;gt;&amp;amp;lt;AddQuotes&amp;amp;gt;True&amp;amp;lt;/AddQuotes&amp;amp;gt;&amp;amp;lt;DateFormat&amp;amp;gt;None&amp;amp;lt;/DateFormat&amp;amp;gt;&amp;amp;lt;RightHandSideExpression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781078101.23" hidden="1">"'MFBS01001119',&amp;#xD;&amp;#xA;'MFBS01001141',&amp;#xD;&amp;#xA;'MFBS02000021',&amp;#xD;&amp;#xA;'MFBS02000030',&amp;#xD;&amp;#xA;'MFBS06000360',&amp;#xD;&amp;#xA;'MFBS06000364',&amp;#xD;&amp;#xA;'MFBS06000369',&amp;#xD;&amp;#xA;'MFBS06000370',&amp;#xD;&amp;#xA;'MFBS06000371',&amp;#xD;&amp;#xA;'MFBS06000375',&amp;#xD;&amp;#xA;'M'"</definedName>
    <definedName name="_AMO_ContentDefinition_781078101.230" hidden="1">"';gt;MFPR06008385&amp;amp;lt;/RightHandSideExpression&amp;amp;gt;&amp;amp;lt;IsSubquery&amp;amp;gt;False&amp;amp;lt;/IsSubquery&amp;amp;gt;&amp;amp;lt;SubqueryTemplateName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781078101.231" hidden="1">"'p;gt;&amp;amp;lt;AddQuotes&amp;amp;gt;True&amp;amp;lt;/AddQuotes&amp;amp;gt;&amp;amp;lt;DateFormat&amp;amp;gt;None&amp;amp;lt;/DateFormat&amp;amp;gt;&amp;amp;lt;RightHandSideExpression xml:space=&amp;amp;quot;preserve&amp;amp;quot;&amp;amp;gt;MFPR06008393&amp;amp;lt;/RightHandSideExpression&amp;amp;gt;&amp;amp'"</definedName>
    <definedName name="_AMO_ContentDefinition_781078101.232"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781078101.233" hidden="1">"'&amp;amp;lt;DateFormat&amp;amp;gt;None&amp;amp;lt;/DateFormat&amp;amp;gt;&amp;amp;lt;RightHandSideExpression xml:space=&amp;amp;quot;preserve&amp;amp;quot;&amp;amp;gt;MFPR06000081&amp;amp;lt;/RightHandSideExpression&amp;amp;gt;&amp;amp;lt;IsSubquery&amp;amp;gt;False&amp;amp;lt;/IsSubquery&amp;amp;gt;&amp;amp;l'"</definedName>
    <definedName name="_AMO_ContentDefinition_781078101.234"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781078101.235" hidden="1">"'p;lt;RightHandSideExpression xml:space=&amp;amp;quot;preserve&amp;amp;quot;&amp;amp;gt;MFPR01006375&amp;amp;lt;/RightHandSideExpression&amp;amp;gt;&amp;amp;lt;IsSubquery&amp;amp;gt;False&amp;amp;lt;/IsSubquery&amp;amp;gt;&amp;amp;lt;SubqueryTemplateName /&amp;amp;gt;&amp;amp;lt;/RHSItem&amp;amp;gt;&amp;amp'"</definedName>
    <definedName name="_AMO_ContentDefinition_781078101.236" hidden="1">"';lt;RHSItem&amp;amp;gt;&amp;amp;lt;RHSType&amp;amp;gt;EXPRESSION&amp;amp;lt;/RHSType&amp;amp;gt;&amp;amp;lt;AddQuotes&amp;amp;gt;True&amp;amp;lt;/AddQuotes&amp;amp;gt;&amp;amp;lt;DateFormat&amp;amp;gt;None&amp;amp;lt;/DateFormat&amp;amp;gt;&amp;amp;lt;RightHandSideExpression xml:space=&amp;amp;quot;preserve&amp;am'"</definedName>
    <definedName name="_AMO_ContentDefinition_781078101.237" hidden="1">"'p;quot;&amp;amp;gt;MFPR01006376&amp;amp;lt;/RightHandSideExpression&amp;amp;gt;&amp;amp;lt;IsSubquery&amp;amp;gt;False&amp;amp;lt;/IsSubquery&amp;amp;gt;&amp;amp;lt;SubqueryTemplateName /&amp;amp;gt;&amp;amp;lt;/RHSItem&amp;amp;gt;&amp;amp;lt;RHSItem&amp;amp;gt;&amp;amp;lt;RHSType&amp;amp;gt;EXPRESSION&amp;amp;lt;'"</definedName>
    <definedName name="_AMO_ContentDefinition_781078101.238" hidden="1">"'/RHSType&amp;amp;gt;&amp;amp;lt;AddQuotes&amp;amp;gt;True&amp;amp;lt;/AddQuotes&amp;amp;gt;&amp;amp;lt;DateFormat&amp;amp;gt;None&amp;amp;lt;/DateFormat&amp;amp;gt;&amp;amp;lt;RightHandSideExpression xml:space=&amp;amp;quot;preserve&amp;amp;quot;&amp;amp;gt;MFPR01006307&amp;amp;lt;/RightHandSideExpression&amp;'"</definedName>
    <definedName name="_AMO_ContentDefinition_781078101.239"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781078101.24" hidden="1">"'FBS06000379',&amp;#xD;&amp;#xA;'MFBS06000381',&amp;#xD;&amp;#xA;'MFBS06000403',&amp;#xD;&amp;#xA;'MFBS06000404',&amp;#xD;&amp;#xA;'MFBS06000406',&amp;#xD;&amp;#xA;'MFBS06000659',&amp;#xD;&amp;#xA;'MFBS06000672',&amp;#xD;&amp;#xA;'MFBS06000678',&amp;#xD;&amp;#xA;'MFBS06000679',&amp;#xD;&amp;#xA;'MFBS06000680',&amp;#xD;&amp;#xA;'MF'"</definedName>
    <definedName name="_AMO_ContentDefinition_781078101.240" hidden="1">"'tes&amp;amp;gt;&amp;amp;lt;DateFormat&amp;amp;gt;None&amp;amp;lt;/DateFormat&amp;amp;gt;&amp;amp;lt;RightHandSideExpression xml:space=&amp;amp;quot;preserve&amp;amp;quot;&amp;amp;gt;MFPR07000317&amp;amp;lt;/RightHandSideExpression&amp;amp;gt;&amp;amp;lt;IsSubquery&amp;amp;gt;False&amp;amp;lt;/IsSubquery&amp;am'"</definedName>
    <definedName name="_AMO_ContentDefinition_781078101.241"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781078101.242" hidden="1">"'&amp;amp;gt;&amp;amp;lt;RightHandSideExpression xml:space=&amp;amp;quot;preserve&amp;amp;quot;&amp;amp;gt;MFPR02001300&amp;amp;lt;/RightHandSideExpression&amp;amp;gt;&amp;amp;lt;IsSubquery&amp;amp;gt;False&amp;amp;lt;/IsSubquery&amp;amp;gt;&amp;amp;lt;SubqueryTemplateName /&amp;amp;gt;&amp;amp;lt;/RHSItem&amp;'"</definedName>
    <definedName name="_AMO_ContentDefinition_781078101.243" hidden="1">"'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781078101.244" hidden="1">"'preserve&amp;amp;quot;&amp;amp;gt;MFPR02001301&amp;amp;lt;/RightHandSideExpression&amp;amp;gt;&amp;amp;lt;IsSubquery&amp;amp;gt;False&amp;amp;lt;/IsSubquery&amp;amp;gt;&amp;amp;lt;SubqueryTemplateName /&amp;amp;gt;&amp;amp;lt;/RHSItem&amp;amp;gt;&amp;amp;lt;RHSItem&amp;amp;gt;&amp;amp;lt;RHSType&amp;amp;gt;EXPRESS'"</definedName>
    <definedName name="_AMO_ContentDefinition_781078101.245" hidden="1">"'ION&amp;amp;lt;/RHSType&amp;amp;gt;&amp;amp;lt;AddQuotes&amp;amp;gt;True&amp;amp;lt;/AddQuotes&amp;amp;gt;&amp;amp;lt;DateFormat&amp;amp;gt;None&amp;amp;lt;/DateFormat&amp;amp;gt;&amp;amp;lt;RightHandSideExpression xml:space=&amp;amp;quot;preserve&amp;amp;quot;&amp;amp;gt;MFPR01000244&amp;amp;lt;/RightHandSide'"</definedName>
    <definedName name="_AMO_ContentDefinition_781078101.246"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781078101.247" hidden="1">"';lt;/AddQuotes&amp;amp;gt;&amp;amp;lt;DateFormat&amp;amp;gt;None&amp;amp;lt;/DateFormat&amp;amp;gt;&amp;amp;lt;RightHandSideExpression xml:space=&amp;amp;quot;preserve&amp;amp;quot;&amp;amp;gt;MFPR01006378&amp;amp;lt;/RightHandSideExpression&amp;amp;gt;&amp;amp;lt;IsSubquery&amp;amp;gt;False&amp;amp;lt;/Is'"</definedName>
    <definedName name="_AMO_ContentDefinition_781078101.248"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781078101.249" hidden="1">"'/DateFormat&amp;amp;gt;&amp;amp;lt;RightHandSideExpression xml:space=&amp;amp;quot;preserve&amp;amp;quot;&amp;amp;gt;MFPR01006379&amp;amp;lt;/RightHandSideExpression&amp;amp;gt;&amp;amp;lt;IsSubquery&amp;amp;gt;False&amp;amp;lt;/IsSubquery&amp;amp;gt;&amp;amp;lt;SubqueryTemplateName /&amp;amp;gt;&amp;amp;l'"</definedName>
    <definedName name="_AMO_ContentDefinition_781078101.25" hidden="1">"'BS06000681',&amp;#xD;&amp;#xA;'MFBS06000682',&amp;#xD;&amp;#xA;'MFBS06000683',&amp;#xD;&amp;#xA;'MFBS06000684',&amp;#xD;&amp;#xA;'MFBS06000685',&amp;#xD;&amp;#xA;'MFBS06000687',&amp;#xD;&amp;#xA;'MFBS06000731',&amp;#xD;&amp;#xA;'MFBS06000734',&amp;#xD;&amp;#xA;'MFBS06000737',&amp;#xD;&amp;#xA;'MFBS06000744',&amp;#xD;&amp;#xA;'MFB'"</definedName>
    <definedName name="_AMO_ContentDefinition_781078101.250" hidden="1">"'t;/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781078101.251" hidden="1">"'=&amp;amp;quot;preserve&amp;amp;quot;&amp;amp;gt;MFPR01006380&amp;amp;lt;/RightHandSideExpression&amp;amp;gt;&amp;amp;lt;IsSubquery&amp;amp;gt;False&amp;amp;lt;/IsSubquery&amp;amp;gt;&amp;amp;lt;SubqueryTemplateName /&amp;amp;gt;&amp;amp;lt;/RHSItem&amp;amp;gt;&amp;amp;lt;RHSItem&amp;amp;gt;&amp;amp;lt;RHSType&amp;amp'"</definedName>
    <definedName name="_AMO_ContentDefinition_781078101.252" hidden="1">"';gt;EXPRESSION&amp;amp;lt;/RHSType&amp;amp;gt;&amp;amp;lt;AddQuotes&amp;amp;gt;True&amp;amp;lt;/AddQuotes&amp;amp;gt;&amp;amp;lt;DateFormat&amp;amp;gt;None&amp;amp;lt;/DateFormat&amp;amp;gt;&amp;amp;lt;RightHandSideExpression xml:space=&amp;amp;quot;preserve&amp;amp;quot;&amp;amp;gt;MFPR01006381&amp;amp;lt;/Ri'"</definedName>
    <definedName name="_AMO_ContentDefinition_781078101.253"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781078101.254" hidden="1">"'gt;True&amp;amp;lt;/AddQuotes&amp;amp;gt;&amp;amp;lt;DateFormat&amp;amp;gt;None&amp;amp;lt;/DateFormat&amp;amp;gt;&amp;amp;lt;RightHandSideExpression xml:space=&amp;amp;quot;preserve&amp;amp;quot;&amp;amp;gt;MFPR01006382&amp;amp;lt;/RightHandSideExpression&amp;amp;gt;&amp;amp;lt;IsSubquery&amp;amp;gt;False'"</definedName>
    <definedName name="_AMO_ContentDefinition_781078101.255"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781078101.256" hidden="1">"'one&amp;amp;lt;/DateFormat&amp;amp;gt;&amp;amp;lt;RightHandSideExpression xml:space=&amp;amp;quot;preserve&amp;amp;quot;&amp;amp;gt;MFPR01006383&amp;amp;lt;/RightHandSideExpression&amp;amp;gt;&amp;amp;lt;IsSubquery&amp;amp;gt;False&amp;amp;lt;/IsSubquery&amp;amp;gt;&amp;amp;lt;SubqueryTemplateName /&amp;am'"</definedName>
    <definedName name="_AMO_ContentDefinition_781078101.257"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781078101.258" hidden="1">"'n xml:space=&amp;amp;quot;preserve&amp;amp;quot;&amp;amp;gt;MFPR01006384&amp;amp;lt;/RightHandSideExpression&amp;amp;gt;&amp;amp;lt;IsSubquery&amp;amp;gt;False&amp;amp;lt;/IsSubquery&amp;amp;gt;&amp;amp;lt;SubqueryTemplateName /&amp;amp;gt;&amp;amp;lt;/RHSItem&amp;amp;gt;&amp;amp;lt;RHSItem&amp;amp;gt;&amp;amp;lt;'"</definedName>
    <definedName name="_AMO_ContentDefinition_781078101.259" hidden="1">"'RHSType&amp;amp;gt;EXPRESSION&amp;amp;lt;/RHSType&amp;amp;gt;&amp;amp;lt;AddQuotes&amp;amp;gt;True&amp;amp;lt;/AddQuotes&amp;amp;gt;&amp;amp;lt;DateFormat&amp;amp;gt;None&amp;amp;lt;/DateFormat&amp;amp;gt;&amp;amp;lt;RightHandSideExpression xml:space=&amp;amp;quot;preserve&amp;amp;quot;&amp;amp;gt;MFPR01006385'"</definedName>
    <definedName name="_AMO_ContentDefinition_781078101.26" hidden="1">"'S06000745',&amp;#xD;&amp;#xA;'MFBS06000746',&amp;#xD;&amp;#xA;'MFDRVD000145',&amp;#xD;&amp;#xA;'MFFSIR000190',&amp;#xD;&amp;#xA;'MFFSIR000209',&amp;#xD;&amp;#xA;'MFFSIR000915',&amp;#xD;&amp;#xA;'MFFSIR000916',&amp;#xD;&amp;#xA;'MFFSIR000924',&amp;#xD;&amp;#xA;'MFFSIR000925',&amp;#xD;&amp;#xA;'MFPR01000285',&amp;#xD;&amp;#xA;'MFPR'"</definedName>
    <definedName name="_AMO_ContentDefinition_781078101.260"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781078101.261" hidden="1">"'Quotes&amp;amp;gt;True&amp;amp;lt;/AddQuotes&amp;amp;gt;&amp;amp;lt;DateFormat&amp;amp;gt;None&amp;amp;lt;/DateFormat&amp;amp;gt;&amp;amp;lt;RightHandSideExpression xml:space=&amp;amp;quot;preserve&amp;amp;quot;&amp;amp;gt;MFPR01006386&amp;amp;lt;/RightHandSideExpression&amp;amp;gt;&amp;amp;lt;IsSubquery&amp;a'"</definedName>
    <definedName name="_AMO_ContentDefinition_781078101.262"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781078101.263" hidden="1">"'at&amp;amp;gt;None&amp;amp;lt;/DateFormat&amp;amp;gt;&amp;amp;lt;RightHandSideExpression xml:space=&amp;amp;quot;preserve&amp;amp;quot;&amp;amp;gt;MFPR01006387&amp;amp;lt;/RightHandSideExpression&amp;amp;gt;&amp;amp;lt;IsSubquery&amp;amp;gt;False&amp;amp;lt;/IsSubquery&amp;amp;gt;&amp;amp;lt;SubqueryTempla'"</definedName>
    <definedName name="_AMO_ContentDefinition_781078101.264"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781078101.265" hidden="1">"'deExpression xml:space=&amp;amp;quot;preserve&amp;amp;quot;&amp;amp;gt;MFPR01006388&amp;amp;lt;/RightHandSideExpression&amp;amp;gt;&amp;amp;lt;IsSubquery&amp;amp;gt;False&amp;amp;lt;/IsSubquery&amp;amp;gt;&amp;amp;lt;SubqueryTemplateName /&amp;amp;gt;&amp;amp;lt;/RHSItem&amp;amp;gt;&amp;amp;lt;RHSItem&amp;amp;'"</definedName>
    <definedName name="_AMO_ContentDefinition_781078101.266" hidden="1">"'gt;&amp;amp;lt;RHSType&amp;amp;gt;EXPRESSION&amp;amp;lt;/RHSType&amp;amp;gt;&amp;amp;lt;AddQuotes&amp;amp;gt;True&amp;amp;lt;/AddQuotes&amp;amp;gt;&amp;amp;lt;DateFormat&amp;amp;gt;None&amp;amp;lt;/DateFormat&amp;amp;gt;&amp;amp;lt;RightHandSideExpression xml:space=&amp;amp;quot;preserve&amp;amp;quot;&amp;amp;gt;M'"</definedName>
    <definedName name="_AMO_ContentDefinition_781078101.267" hidden="1">"'FPR01006389&amp;amp;lt;/RightHandSideExpression&amp;amp;gt;&amp;amp;lt;IsSubquery&amp;amp;gt;False&amp;amp;lt;/IsSubquery&amp;amp;gt;&amp;amp;lt;SubqueryTemplateName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781078101.268" hidden="1">"'&amp;amp;lt;AddQuotes&amp;amp;gt;True&amp;amp;lt;/AddQuotes&amp;amp;gt;&amp;amp;lt;DateFormat&amp;amp;gt;None&amp;amp;lt;/DateFormat&amp;amp;gt;&amp;amp;lt;RightHandSideExpression xml:space=&amp;amp;quot;preserve&amp;amp;quot;&amp;amp;gt;MFPR01006390&amp;amp;lt;/RightHandSideExpression&amp;amp;gt;&amp;amp;lt;I'"</definedName>
    <definedName name="_AMO_ContentDefinition_781078101.269"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781078101.27" hidden="1">"'01000160',&amp;#xD;&amp;#xA;'MFPR01000165',&amp;#xD;&amp;#xA;'MFPR01000169',&amp;#xD;&amp;#xA;'MFPR01000170',&amp;#xD;&amp;#xA;'MFPR01000171',&amp;#xD;&amp;#xA;'MFPR01000172',&amp;#xD;&amp;#xA;'MFPR01000173',&amp;#xD;&amp;#xA;'MFPR01000178',&amp;#xD;&amp;#xA;'MFPR01000179',&amp;#xD;&amp;#xA;'MFPR01000180',&amp;#xD;&amp;#xA;'MFPR0'"</definedName>
    <definedName name="_AMO_ContentDefinition_781078101.270" hidden="1">"'lt;DateFormat&amp;amp;gt;None&amp;amp;lt;/DateFormat&amp;amp;gt;&amp;amp;lt;RightHandSideExpression xml:space=&amp;amp;quot;preserve&amp;amp;quot;&amp;amp;gt;MFPR01006391&amp;amp;lt;/RightHandSideExpression&amp;amp;gt;&amp;amp;lt;IsSubquery&amp;amp;gt;False&amp;amp;lt;/IsSubquery&amp;amp;gt;&amp;amp;lt;Sub'"</definedName>
    <definedName name="_AMO_ContentDefinition_781078101.271"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781078101.272" hidden="1">"'RightHandSideExpression xml:space=&amp;amp;quot;preserve&amp;amp;quot;&amp;amp;gt;MFPR01006392&amp;amp;lt;/RightHandSideExpression&amp;amp;gt;&amp;amp;lt;IsSubquery&amp;amp;gt;False&amp;amp;lt;/IsSubquery&amp;amp;gt;&amp;amp;lt;SubqueryTemplateName /&amp;amp;gt;&amp;amp;lt;/RHSItem&amp;amp;gt;&amp;amp;lt;R'"</definedName>
    <definedName name="_AMO_ContentDefinition_781078101.273" hidden="1">"'HSItem&amp;amp;gt;&amp;amp;lt;RHSType&amp;amp;gt;EXPRESSION&amp;amp;lt;/RHSType&amp;amp;gt;&amp;amp;lt;AddQuotes&amp;amp;gt;True&amp;amp;lt;/AddQuotes&amp;amp;gt;&amp;amp;lt;DateFormat&amp;amp;gt;None&amp;amp;lt;/DateFormat&amp;amp;gt;&amp;amp;lt;RightHandSideExpression xml:space=&amp;amp;quot;preserve&amp;amp;quo'"</definedName>
    <definedName name="_AMO_ContentDefinition_781078101.274" hidden="1">"'t;&amp;amp;gt;MFPR01006393&amp;amp;lt;/RightHandSideExpression&amp;amp;gt;&amp;amp;lt;IsSubquery&amp;amp;gt;False&amp;amp;lt;/IsSubquery&amp;amp;gt;&amp;amp;lt;SubqueryTemplateName /&amp;amp;gt;&amp;amp;lt;/RHSItem&amp;amp;gt;&amp;amp;lt;RHSItem&amp;amp;gt;&amp;amp;lt;RHSType&amp;amp;gt;EXPRESSION&amp;amp;lt;/RHST'"</definedName>
    <definedName name="_AMO_ContentDefinition_781078101.275" hidden="1">"'ype&amp;amp;gt;&amp;amp;lt;AddQuotes&amp;amp;gt;True&amp;amp;lt;/AddQuotes&amp;amp;gt;&amp;amp;lt;DateFormat&amp;amp;gt;None&amp;amp;lt;/DateFormat&amp;amp;gt;&amp;amp;lt;RightHandSideExpression xml:space=&amp;amp;quot;preserve&amp;amp;quot;&amp;amp;gt;MFPR01006394&amp;amp;lt;/RightHandSideExpression&amp;amp;g'"</definedName>
    <definedName name="_AMO_ContentDefinition_781078101.276"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781078101.277" hidden="1">"'mp;gt;&amp;amp;lt;DateFormat&amp;amp;gt;None&amp;amp;lt;/DateFormat&amp;amp;gt;&amp;amp;lt;RightHandSideExpression xml:space=&amp;amp;quot;preserve&amp;amp;quot;&amp;amp;gt;MFPR01006395&amp;amp;lt;/RightHandSideExpression&amp;amp;gt;&amp;amp;lt;IsSubquery&amp;amp;gt;False&amp;amp;lt;/IsSubquery&amp;amp;gt;'"</definedName>
    <definedName name="_AMO_ContentDefinition_781078101.278"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781078101.279" hidden="1">"'gt;&amp;amp;lt;RightHandSideExpression xml:space=&amp;amp;quot;preserve&amp;amp;quot;&amp;amp;gt;MFPR01006396&amp;amp;lt;/RightHandSideExpression&amp;amp;gt;&amp;amp;lt;IsSubquery&amp;amp;gt;False&amp;amp;lt;/IsSubquery&amp;amp;gt;&amp;amp;lt;SubqueryTemplateName /&amp;amp;gt;&amp;amp;lt;/RHSItem&amp;amp;g'"</definedName>
    <definedName name="_AMO_ContentDefinition_781078101.28" hidden="1">"'1000181',&amp;#xD;&amp;#xA;'MFPR01000182',&amp;#xD;&amp;#xA;'MFPR01000183',&amp;#xD;&amp;#xA;'MFPR01000187',&amp;#xD;&amp;#xA;'MFPR01000188',&amp;#xD;&amp;#xA;'MFPR01000189',&amp;#xD;&amp;#xA;'MFPR01000190',&amp;#xD;&amp;#xA;'MFPR01000191',&amp;#xD;&amp;#xA;'MFPR01000192',&amp;#xD;&amp;#xA;'MFPR01000194',&amp;#xD;&amp;#xA;'MFPR01'"</definedName>
    <definedName name="_AMO_ContentDefinition_781078101.280" hidden="1">"'t;&amp;amp;lt;RHSItem&amp;amp;gt;&amp;amp;lt;RHSType&amp;amp;gt;EXPRESSION&amp;amp;lt;/RHSType&amp;amp;gt;&amp;amp;lt;AddQuotes&amp;amp;gt;True&amp;amp;lt;/AddQuotes&amp;amp;gt;&amp;amp;lt;DateFormat&amp;amp;gt;None&amp;amp;lt;/DateFormat&amp;amp;gt;&amp;amp;lt;RightHandSideExpression xml:space=&amp;amp;quot;prese'"</definedName>
    <definedName name="_AMO_ContentDefinition_781078101.281" hidden="1">"'rve&amp;amp;quot;&amp;amp;gt;MFPR01006397&amp;amp;lt;/RightHandSideExpression&amp;amp;gt;&amp;amp;lt;IsSubquery&amp;amp;gt;False&amp;amp;lt;/IsSubquery&amp;amp;gt;&amp;amp;lt;SubqueryTemplateName /&amp;amp;gt;&amp;amp;lt;/RHSItem&amp;amp;gt;&amp;amp;lt;RHSItem&amp;amp;gt;&amp;amp;lt;RHSType&amp;amp;gt;EXPRESSION&amp;a'"</definedName>
    <definedName name="_AMO_ContentDefinition_781078101.282" hidden="1">"'mp;lt;/RHSType&amp;amp;gt;&amp;amp;lt;AddQuotes&amp;amp;gt;True&amp;amp;lt;/AddQuotes&amp;amp;gt;&amp;amp;lt;DateFormat&amp;amp;gt;None&amp;amp;lt;/DateFormat&amp;amp;gt;&amp;amp;lt;RightHandSideExpression xml:space=&amp;amp;quot;preserve&amp;amp;quot;&amp;amp;gt;MFPR01006398&amp;amp;lt;/RightHandSideExpre'"</definedName>
    <definedName name="_AMO_ContentDefinition_781078101.283"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781078101.284" hidden="1">"'AddQuotes&amp;amp;gt;&amp;amp;lt;DateFormat&amp;amp;gt;None&amp;amp;lt;/DateFormat&amp;amp;gt;&amp;amp;lt;RightHandSideExpression xml:space=&amp;amp;quot;preserve&amp;amp;quot;&amp;amp;gt;MFPR01006399&amp;amp;lt;/RightHandSideExpression&amp;amp;gt;&amp;amp;lt;IsSubquery&amp;amp;gt;False&amp;amp;lt;/IsSubqu'"</definedName>
    <definedName name="_AMO_ContentDefinition_781078101.285"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781078101.286" hidden="1">"'Format&amp;amp;gt;&amp;amp;lt;RightHandSideExpression xml:space=&amp;amp;quot;preserve&amp;amp;quot;&amp;amp;gt;MFPR06008550&amp;amp;lt;/RightHandSideExpression&amp;amp;gt;&amp;amp;lt;IsSubquery&amp;amp;gt;False&amp;amp;lt;/IsSubquery&amp;amp;gt;&amp;amp;lt;SubqueryTemplateName /&amp;amp;gt;&amp;amp;lt;/RH'"</definedName>
    <definedName name="_AMO_ContentDefinition_781078101.287" hidden="1">"'S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781078101.288" hidden="1">"';quot;preserve&amp;amp;quot;&amp;amp;gt;MFPR06008571&amp;amp;lt;/RightHandSideExpression&amp;amp;gt;&amp;amp;lt;IsSubquery&amp;amp;gt;False&amp;amp;lt;/IsSubquery&amp;amp;gt;&amp;amp;lt;SubqueryTemplateName /&amp;amp;gt;&amp;amp;lt;/RHSItem&amp;amp;gt;&amp;amp;lt;RHSItem&amp;amp;gt;&amp;amp;lt;RHSType&amp;amp;gt;E'"</definedName>
    <definedName name="_AMO_ContentDefinition_781078101.289" hidden="1">"'XPRESSION&amp;amp;lt;/RHSType&amp;amp;gt;&amp;amp;lt;AddQuotes&amp;amp;gt;True&amp;amp;lt;/AddQuotes&amp;amp;gt;&amp;amp;lt;DateFormat&amp;amp;gt;None&amp;amp;lt;/DateFormat&amp;amp;gt;&amp;amp;lt;RightHandSideExpression xml:space=&amp;amp;quot;preserve&amp;amp;quot;&amp;amp;gt;MFFSIR001021&amp;amp;lt;/RightHa'"</definedName>
    <definedName name="_AMO_ContentDefinition_781078101.29" hidden="1">"'000195',&amp;#xD;&amp;#xA;'MFPR01000196',&amp;#xD;&amp;#xA;'MFPR01000197',&amp;#xD;&amp;#xA;'MFPR01000198',&amp;#xD;&amp;#xA;'MFPR01000199',&amp;#xD;&amp;#xA;'MFPR01000203',&amp;#xD;&amp;#xA;'MFPR01000204',&amp;#xD;&amp;#xA;'MFPR01000205',&amp;#xD;&amp;#xA;'MFPR01000206',&amp;#xD;&amp;#xA;'MFPR01000207',&amp;#xD;&amp;#xA;'MFPR010'"</definedName>
    <definedName name="_AMO_ContentDefinition_781078101.290"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781078101.291" hidden="1">"'ue&amp;amp;lt;/AddQuotes&amp;amp;gt;&amp;amp;lt;DateFormat&amp;amp;gt;None&amp;amp;lt;/DateFormat&amp;amp;gt;&amp;amp;lt;RightHandSideExpression xml:space=&amp;amp;quot;preserve&amp;amp;quot;&amp;amp;gt;MFDRVD000167&amp;amp;lt;/RightHandSideExpression&amp;amp;gt;&amp;amp;lt;IsSubquery&amp;amp;gt;False&amp;amp;'"</definedName>
    <definedName name="_AMO_ContentDefinition_781078101.292"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781078101.293" hidden="1">"'mp;lt;/DateFormat&amp;amp;gt;&amp;amp;lt;RightHandSideExpression xml:space=&amp;amp;quot;preserve&amp;amp;quot;&amp;amp;gt;MFFSIR001028&amp;amp;lt;/RightHandSideExpression&amp;amp;gt;&amp;amp;lt;IsSubquery&amp;amp;gt;False&amp;amp;lt;/IsSubquery&amp;amp;gt;&amp;amp;lt;SubqueryTemplateName /&amp;amp;gt;'"</definedName>
    <definedName name="_AMO_ContentDefinition_781078101.294" hidden="1">"'&amp;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781078101.295" hidden="1">"':space=&amp;amp;quot;preserve&amp;amp;quot;&amp;amp;gt;MFPR01006405&amp;amp;lt;/RightHandSideExpression&amp;amp;gt;&amp;amp;lt;IsSubquery&amp;amp;gt;False&amp;amp;lt;/IsSubquery&amp;amp;gt;&amp;amp;lt;SubqueryTemplateName /&amp;amp;gt;&amp;amp;lt;/RHSItem&amp;amp;gt;&amp;amp;lt;RHSItem&amp;amp;gt;&amp;amp;lt;RHSTy'"</definedName>
    <definedName name="_AMO_ContentDefinition_781078101.296" hidden="1">"'pe&amp;amp;gt;EXPRESSION&amp;amp;lt;/RHSType&amp;amp;gt;&amp;amp;lt;AddQuotes&amp;amp;gt;True&amp;amp;lt;/AddQuotes&amp;amp;gt;&amp;amp;lt;DateFormat&amp;amp;gt;None&amp;amp;lt;/DateFormat&amp;amp;gt;&amp;amp;lt;RightHandSideExpression xml:space=&amp;amp;quot;preserve&amp;amp;quot;&amp;amp;gt;MFPR01006406&amp;amp;'"</definedName>
    <definedName name="_AMO_ContentDefinition_781078101.297"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781078101.298" hidden="1">"'s&amp;amp;gt;True&amp;amp;lt;/AddQuotes&amp;amp;gt;&amp;amp;lt;DateFormat&amp;amp;gt;None&amp;amp;lt;/DateFormat&amp;amp;gt;&amp;amp;lt;RightHandSideExpression xml:space=&amp;amp;quot;preserve&amp;amp;quot;&amp;amp;gt;MFPR01006407&amp;amp;lt;/RightHandSideExpression&amp;amp;gt;&amp;amp;lt;IsSubquery&amp;amp;gt'"</definedName>
    <definedName name="_AMO_ContentDefinition_781078101.299"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781078101.3" hidden="1">"'
  &lt;param n=""DataSourceType"" v=""SAS DATASET"" /&gt;_x000D_
  &lt;param n=""SASFilter"" v=""indicator_id IN &amp;#xD;&amp;#xA;(&amp;#xD;&amp;#xA;'MFPR06008082',&amp;#xD;&amp;#xA;'MFPR06008573',&amp;#xD;&amp;#xA;'MFPR06008091',&amp;#xD;&amp;#xA;'MFPR06008096',&amp;#xD;&amp;#xA;'MFPR06008097',&amp;#xD;&amp;#xA;'MFPR06'"</definedName>
    <definedName name="_AMO_ContentDefinition_781078101.30" hidden="1">"'00208',&amp;#xD;&amp;#xA;'MFPR01000210',&amp;#xD;&amp;#xA;'MFPR01000211',&amp;#xD;&amp;#xA;'MFPR01000212',&amp;#xD;&amp;#xA;'MFPR01000213',&amp;#xD;&amp;#xA;'MFPR01000214',&amp;#xD;&amp;#xA;'MFPR01000215',&amp;#xD;&amp;#xA;'MFPR01000219',&amp;#xD;&amp;#xA;'MFPR01000220',&amp;#xD;&amp;#xA;'MFPR01000221',&amp;#xD;&amp;#xA;'MFPR0100'"</definedName>
    <definedName name="_AMO_ContentDefinition_781078101.300" hidden="1">"'p;gt;None&amp;amp;lt;/DateFormat&amp;amp;gt;&amp;amp;lt;RightHandSideExpression xml:space=&amp;amp;quot;preserve&amp;amp;quot;&amp;amp;gt;MFPR01006408&amp;amp;lt;/RightHandSideExpression&amp;amp;gt;&amp;amp;lt;IsSubquery&amp;amp;gt;False&amp;amp;lt;/IsSubquery&amp;amp;gt;&amp;amp;lt;SubqueryTemplateNam'"</definedName>
    <definedName name="_AMO_ContentDefinition_781078101.301"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781078101.302" hidden="1">"'ression xml:space=&amp;amp;quot;preserve&amp;amp;quot;&amp;amp;gt;MFPR01006409&amp;amp;lt;/RightHandSideExpression&amp;amp;gt;&amp;amp;lt;IsSubquery&amp;amp;gt;False&amp;amp;lt;/IsSubquery&amp;amp;gt;&amp;amp;lt;SubqueryTemplateName /&amp;amp;gt;&amp;amp;lt;/RHSItem&amp;amp;gt;&amp;amp;lt;RHSItem&amp;amp;gt;&amp;a'"</definedName>
    <definedName name="_AMO_ContentDefinition_781078101.303" hidden="1">"'mp;lt;RHSType&amp;amp;gt;EXPRESSION&amp;amp;lt;/RHSType&amp;amp;gt;&amp;amp;lt;AddQuotes&amp;amp;gt;True&amp;amp;lt;/AddQuotes&amp;amp;gt;&amp;amp;lt;DateFormat&amp;amp;gt;None&amp;amp;lt;/DateFormat&amp;amp;gt;&amp;amp;lt;RightHandSideExpression xml:space=&amp;amp;quot;preserve&amp;amp;quot;&amp;amp;gt;MFPR01'"</definedName>
    <definedName name="_AMO_ContentDefinition_781078101.304" hidden="1">"'006410&amp;amp;lt;/RightHandSideExpression&amp;amp;gt;&amp;amp;lt;IsSubquery&amp;amp;gt;False&amp;amp;lt;/IsSubquery&amp;amp;gt;&amp;amp;lt;SubqueryTemplateName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781078101.305" hidden="1">"'lt;AddQuotes&amp;amp;gt;True&amp;amp;lt;/AddQuotes&amp;amp;gt;&amp;amp;lt;DateFormat&amp;amp;gt;None&amp;amp;lt;/DateFormat&amp;amp;gt;&amp;amp;lt;RightHandSideExpression xml:space=&amp;amp;quot;preserve&amp;amp;quot;&amp;amp;gt;MFPR01006411&amp;amp;lt;/RightHandSideExpression&amp;amp;gt;&amp;amp;lt;IsSubq'"</definedName>
    <definedName name="_AMO_ContentDefinition_781078101.306"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781078101.307" hidden="1">"'teFormat&amp;amp;gt;None&amp;amp;lt;/DateFormat&amp;amp;gt;&amp;amp;lt;RightHandSideExpression xml:space=&amp;amp;quot;preserve&amp;amp;quot;&amp;amp;gt;MFPR01006412&amp;amp;lt;/RightHandSideExpression&amp;amp;gt;&amp;amp;lt;IsSubquery&amp;amp;gt;False&amp;amp;lt;/IsSubquery&amp;amp;gt;&amp;amp;lt;Subquery'"</definedName>
    <definedName name="_AMO_ContentDefinition_781078101.308"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781078101.309" hidden="1">"'HandSideExpression xml:space=&amp;amp;quot;preserve&amp;amp;quot;&amp;amp;gt;MFPR01006413&amp;amp;lt;/RightHandSideExpression&amp;amp;gt;&amp;amp;lt;IsSubquery&amp;amp;gt;False&amp;amp;lt;/IsSubquery&amp;amp;gt;&amp;amp;lt;SubqueryTemplateName /&amp;amp;gt;&amp;amp;lt;/RHSItem&amp;amp;gt;&amp;amp;lt;RHSIte'"</definedName>
    <definedName name="_AMO_ContentDefinition_781078101.31" hidden="1">"'0222',&amp;#xD;&amp;#xA;'MFPR01000223',&amp;#xD;&amp;#xA;'MFPR01000224',&amp;#xD;&amp;#xA;'MFPR01000226',&amp;#xD;&amp;#xA;'MFPR01000227',&amp;#xD;&amp;#xA;'MFPR01000228',&amp;#xD;&amp;#xA;'MFPR01000229',&amp;#xD;&amp;#xA;'MFPR01000230',&amp;#xD;&amp;#xA;'MFPR01000231',&amp;#xD;&amp;#xA;'MFPR01000255',&amp;#xD;&amp;#xA;'MFPR01000'"</definedName>
    <definedName name="_AMO_ContentDefinition_781078101.310" hidden="1">"'m&amp;amp;gt;&amp;amp;lt;RHSType&amp;amp;gt;EXPRESSION&amp;amp;lt;/RHSType&amp;amp;gt;&amp;amp;lt;AddQuotes&amp;amp;gt;True&amp;amp;lt;/AddQuotes&amp;amp;gt;&amp;amp;lt;DateFormat&amp;amp;gt;None&amp;amp;lt;/DateFormat&amp;amp;gt;&amp;amp;lt;RightHandSideExpression xml:space=&amp;amp;quot;preserve&amp;amp;quot;&amp;am'"</definedName>
    <definedName name="_AMO_ContentDefinition_781078101.311" hidden="1">"'p;gt;MFPR01006414&amp;amp;lt;/RightHandSideExpression&amp;amp;gt;&amp;amp;lt;IsSubquery&amp;amp;gt;False&amp;amp;lt;/IsSubquery&amp;amp;gt;&amp;amp;lt;SubqueryTemplateName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781078101.312" hidden="1">"'mp;gt;&amp;amp;lt;AddQuotes&amp;amp;gt;True&amp;amp;lt;/AddQuotes&amp;amp;gt;&amp;amp;lt;DateFormat&amp;amp;gt;None&amp;amp;lt;/DateFormat&amp;amp;gt;&amp;amp;lt;RightHandSideExpression xml:space=&amp;amp;quot;preserve&amp;amp;quot;&amp;amp;gt;MFFSIR001012&amp;amp;lt;/RightHandSideExpression&amp;amp;gt;&amp;am'"</definedName>
    <definedName name="_AMO_ContentDefinition_781078101.313"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781078101.314" hidden="1">"';&amp;amp;lt;DateFormat&amp;amp;gt;None&amp;amp;lt;/DateFormat&amp;amp;gt;&amp;amp;lt;RightHandSideExpression xml:space=&amp;amp;quot;preserve&amp;amp;quot;&amp;amp;gt;MFPR01006415&amp;amp;lt;/RightHandSideExpression&amp;amp;gt;&amp;amp;lt;IsSubquery&amp;amp;gt;False&amp;amp;lt;/IsSubquery&amp;amp;gt;&amp;amp;'"</definedName>
    <definedName name="_AMO_ContentDefinition_781078101.315"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781078101.316" hidden="1">"'mp;lt;RightHandSideExpression xml:space=&amp;amp;quot;preserve&amp;amp;quot;&amp;amp;gt;MFFSIR001005&amp;amp;lt;/RightHandSideExpression&amp;amp;gt;&amp;amp;lt;IsSubquery&amp;amp;gt;False&amp;amp;lt;/IsSubquery&amp;amp;gt;&amp;amp;lt;SubqueryTemplateName /&amp;amp;gt;&amp;amp;lt;/RHSItem&amp;amp;gt;&amp;am'"</definedName>
    <definedName name="_AMO_ContentDefinition_781078101.317" hidden="1">"'p;lt;RHSItem&amp;amp;gt;&amp;amp;lt;RHSType&amp;amp;gt;EXPRESSION&amp;amp;lt;/RHSType&amp;amp;gt;&amp;amp;lt;AddQuotes&amp;amp;gt;True&amp;amp;lt;/AddQuotes&amp;amp;gt;&amp;amp;lt;DateFormat&amp;amp;gt;None&amp;amp;lt;/DateFormat&amp;amp;gt;&amp;amp;lt;RightHandSideExpression xml:space=&amp;amp;quot;preserve&amp;a'"</definedName>
    <definedName name="_AMO_ContentDefinition_781078101.318" hidden="1">"'mp;quot;&amp;amp;gt;MFPR06008579&amp;amp;lt;/RightHandSideExpression&amp;amp;gt;&amp;amp;lt;IsSubquery&amp;amp;gt;False&amp;amp;lt;/IsSubquery&amp;amp;gt;&amp;amp;lt;SubqueryTemplateName /&amp;amp;gt;&amp;amp;lt;/RHSItem&amp;amp;gt;&amp;amp;lt;RHSItem&amp;amp;gt;&amp;amp;lt;RHSType&amp;amp;gt;EXPRESSION&amp;amp;lt'"</definedName>
    <definedName name="_AMO_ContentDefinition_781078101.319" hidden="1">"';/RHSType&amp;amp;gt;&amp;amp;lt;AddQuotes&amp;amp;gt;True&amp;amp;lt;/AddQuotes&amp;amp;gt;&amp;amp;lt;DateFormat&amp;amp;gt;None&amp;amp;lt;/DateFormat&amp;amp;gt;&amp;amp;lt;RightHandSideExpression xml:space=&amp;amp;quot;preserve&amp;amp;quot;&amp;amp;gt;MFPR06008585&amp;amp;lt;/RightHandSideExpression'"</definedName>
    <definedName name="_AMO_ContentDefinition_781078101.32" hidden="1">"'256',&amp;#xD;&amp;#xA;'MFPR01000257',&amp;#xD;&amp;#xA;'MFPR01000260',&amp;#xD;&amp;#xA;'MFPR01000261',&amp;#xD;&amp;#xA;'MFPR01000262',&amp;#xD;&amp;#xA;'MFPR01000263',&amp;#xD;&amp;#xA;'MFPR01000263',&amp;#xD;&amp;#xA;'MFPR01000274',&amp;#xD;&amp;#xA;'MFPR01000275',&amp;#xD;&amp;#xA;'MFPR01000276',&amp;#xD;&amp;#xA;'MFPR010002'"</definedName>
    <definedName name="_AMO_ContentDefinition_781078101.320"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781078101.321" hidden="1">"'otes&amp;amp;gt;&amp;amp;lt;DateFormat&amp;amp;gt;None&amp;amp;lt;/DateFormat&amp;amp;gt;&amp;amp;lt;RightHandSideExpression xml:space=&amp;amp;quot;preserve&amp;amp;quot;&amp;amp;gt;MFPR06008580&amp;amp;lt;/RightHandSideExpression&amp;amp;gt;&amp;amp;lt;IsSubquery&amp;amp;gt;False&amp;amp;lt;/IsSubquery&amp;a'"</definedName>
    <definedName name="_AMO_ContentDefinition_781078101.322"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781078101.323" hidden="1">"'t&amp;amp;gt;&amp;amp;lt;RightHandSideExpression xml:space=&amp;amp;quot;preserve&amp;amp;quot;&amp;amp;gt;MFPR01006315&amp;amp;lt;/RightHandSideExpression&amp;amp;gt;&amp;amp;lt;IsSubquery&amp;amp;gt;False&amp;amp;lt;/IsSubquery&amp;amp;gt;&amp;amp;lt;SubqueryTemplateName /&amp;amp;gt;&amp;amp;lt;/RHSItem'"</definedName>
    <definedName name="_AMO_ContentDefinition_781078101.324" hidden="1">"'&amp;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781078101.325" hidden="1">"';preserve&amp;amp;quot;&amp;amp;gt;MFPR01006304&amp;amp;lt;/RightHandSideExpression&amp;amp;gt;&amp;amp;lt;IsSubquery&amp;amp;gt;False&amp;amp;lt;/IsSubquery&amp;amp;gt;&amp;amp;lt;SubqueryTemplateName /&amp;amp;gt;&amp;amp;lt;/RHSItem&amp;amp;gt;&amp;amp;lt;RHSItem&amp;amp;gt;&amp;amp;lt;RHSType&amp;amp;gt;EXPRES'"</definedName>
    <definedName name="_AMO_ContentDefinition_781078101.326" hidden="1">"'SION&amp;amp;lt;/RHSType&amp;amp;gt;&amp;amp;lt;AddQuotes&amp;amp;gt;True&amp;amp;lt;/AddQuotes&amp;amp;gt;&amp;amp;lt;DateFormat&amp;amp;gt;None&amp;amp;lt;/DateFormat&amp;amp;gt;&amp;amp;lt;RightHandSideExpression xml:space=&amp;amp;quot;preserve&amp;amp;quot;&amp;amp;gt;MFPR01000307&amp;amp;lt;/RightHandSid'"</definedName>
    <definedName name="_AMO_ContentDefinition_781078101.327"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781078101.328" hidden="1">"'p;lt;/AddQuotes&amp;amp;gt;&amp;amp;lt;DateFormat&amp;amp;gt;None&amp;amp;lt;/DateFormat&amp;amp;gt;&amp;amp;lt;RightHandSideExpression xml:space=&amp;amp;quot;preserve&amp;amp;quot;&amp;amp;gt;MFPR01006447&amp;amp;lt;/RightHandSideExpression&amp;amp;gt;&amp;amp;lt;IsSubquery&amp;amp;gt;False&amp;amp;lt;/I'"</definedName>
    <definedName name="_AMO_ContentDefinition_781078101.329"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781078101.33" hidden="1">"'77',&amp;#xD;&amp;#xA;'MFPR01000278',&amp;#xD;&amp;#xA;'MFPR01000279',&amp;#xD;&amp;#xA;'MFPR01000285',&amp;#xD;&amp;#xA;'MFPR01000295',&amp;#xD;&amp;#xA;'MFPR01002559',&amp;#xD;&amp;#xA;'MFPR01002562',&amp;#xD;&amp;#xA;'MFPR01002563',&amp;#xD;&amp;#xA;'MFPR01002566',&amp;#xD;&amp;#xA;'MFPR01002567',&amp;#xD;&amp;#xA;'MFPR0100257'"</definedName>
    <definedName name="_AMO_ContentDefinition_781078101.330" hidden="1">"';/DateFormat&amp;amp;gt;&amp;amp;lt;RightHandSideExpression xml:space=&amp;amp;quot;preserve&amp;amp;quot;&amp;amp;gt;MFPR01006448&amp;amp;lt;/RightHandSideExpression&amp;amp;gt;&amp;amp;lt;IsSubquery&amp;amp;gt;False&amp;amp;lt;/IsSubquery&amp;amp;gt;&amp;amp;lt;SubqueryTemplateName /&amp;amp;gt;&amp;amp;'"</definedName>
    <definedName name="_AMO_ContentDefinition_781078101.331" hidden="1">"'lt;/RHSItem&amp;amp;gt;&amp;amp;lt;RHSItem&amp;amp;gt;&amp;amp;lt;RHSType&amp;amp;gt;EXPRESSION&amp;amp;lt;/RHSType&amp;amp;gt;&amp;amp;lt;AddQuotes&amp;amp;gt;True&amp;amp;lt;/AddQuotes&amp;amp;gt;&amp;amp;lt;DateFormat&amp;amp;gt;None&amp;amp;lt;/DateFormat&amp;amp;gt;&amp;amp;lt;RightHandSideExpression xml:spac'"</definedName>
    <definedName name="_AMO_ContentDefinition_781078101.332" hidden="1">"'e=&amp;amp;quot;preserve&amp;amp;quot;&amp;amp;gt;MFPR01006403&amp;amp;lt;/RightHandSideExpression&amp;amp;gt;&amp;amp;lt;IsSubquery&amp;amp;gt;False&amp;amp;lt;/IsSubquery&amp;amp;gt;&amp;amp;lt;SubqueryTemplateName /&amp;amp;gt;&amp;amp;lt;/RHSItem&amp;amp;gt;&amp;amp;lt;RHSItem&amp;amp;gt;&amp;amp;lt;RHSType&amp;am'"</definedName>
    <definedName name="_AMO_ContentDefinition_781078101.333" hidden="1">"'p;gt;EXPRESSION&amp;amp;lt;/RHSType&amp;amp;gt;&amp;amp;lt;AddQuotes&amp;amp;gt;True&amp;amp;lt;/AddQuotes&amp;amp;gt;&amp;amp;lt;DateFormat&amp;amp;gt;None&amp;amp;lt;/DateFormat&amp;amp;gt;&amp;amp;lt;RightHandSideExpression xml:space=&amp;amp;quot;preserve&amp;amp;quot;&amp;amp;gt;MFPR06008553&amp;amp;lt;/R'"</definedName>
    <definedName name="_AMO_ContentDefinition_781078101.334"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781078101.335" hidden="1">"';gt;True&amp;amp;lt;/AddQuotes&amp;amp;gt;&amp;amp;lt;DateFormat&amp;amp;gt;None&amp;amp;lt;/DateFormat&amp;amp;gt;&amp;amp;lt;RightHandSideExpression xml:space=&amp;amp;quot;preserve&amp;amp;quot;&amp;amp;gt;MFPR06008578&amp;amp;lt;/RightHandSideExpression&amp;amp;gt;&amp;amp;lt;IsSubquery&amp;amp;gt;Fals'"</definedName>
    <definedName name="_AMO_ContentDefinition_781078101.336"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781078101.337" hidden="1">"'None&amp;amp;lt;/DateFormat&amp;amp;gt;&amp;amp;lt;RightHandSideExpression xml:space=&amp;amp;quot;preserve&amp;amp;quot;&amp;amp;gt;MFPR01006454&amp;amp;lt;/RightHandSideExpression&amp;amp;gt;&amp;amp;lt;IsSubquery&amp;amp;gt;False&amp;amp;lt;/IsSubquery&amp;amp;gt;&amp;amp;lt;SubqueryTemplateName /&amp;a'"</definedName>
    <definedName name="_AMO_ContentDefinition_781078101.338"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781078101.339" hidden="1">"'on xml:space=&amp;amp;quot;preserve&amp;amp;quot;&amp;amp;gt;MFPR01006455&amp;amp;lt;/RightHandSideExpression&amp;amp;gt;&amp;amp;lt;IsSubquery&amp;amp;gt;False&amp;amp;lt;/IsSubquery&amp;amp;gt;&amp;amp;lt;SubqueryTemplateName /&amp;amp;gt;&amp;amp;lt;/RHSItem&amp;amp;gt;&amp;amp;lt;RHSItem&amp;amp;gt;&amp;amp;lt'"</definedName>
    <definedName name="_AMO_ContentDefinition_781078101.34" hidden="1">"'1',&amp;#xD;&amp;#xA;'MFPR01002577',&amp;#xD;&amp;#xA;'MFPR01002581',&amp;#xD;&amp;#xA;'MFPR01002582',&amp;#xD;&amp;#xA;'MFPR01002583',&amp;#xD;&amp;#xA;'MFPR01002635',&amp;#xD;&amp;#xA;'MFPR01002636',&amp;#xD;&amp;#xA;'MFPR01002640',&amp;#xD;&amp;#xA;'MFPR01002652',&amp;#xD;&amp;#xA;'MFPR01002697',&amp;#xD;&amp;#xA;'MFPR01002700'"</definedName>
    <definedName name="_AMO_ContentDefinition_781078101.340" hidden="1">"';RHSType&amp;amp;gt;EXPRESSION&amp;amp;lt;/RHSType&amp;amp;gt;&amp;amp;lt;AddQuotes&amp;amp;gt;True&amp;amp;lt;/AddQuotes&amp;amp;gt;&amp;amp;lt;DateFormat&amp;amp;gt;None&amp;amp;lt;/DateFormat&amp;amp;gt;&amp;amp;lt;RightHandSideExpression xml:space=&amp;amp;quot;preserve&amp;amp;quot;&amp;amp;gt;MFPR0600858'"</definedName>
    <definedName name="_AMO_ContentDefinition_781078101.341" hidden="1">"'1&amp;amp;lt;/RightHandSideExpression&amp;amp;gt;&amp;amp;lt;IsSubquery&amp;amp;gt;False&amp;amp;lt;/IsSubquery&amp;amp;gt;&amp;amp;lt;SubqueryTemplateName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781078101.342" hidden="1">"'dQuotes&amp;amp;gt;True&amp;amp;lt;/AddQuotes&amp;amp;gt;&amp;amp;lt;DateFormat&amp;amp;gt;None&amp;amp;lt;/DateFormat&amp;amp;gt;&amp;amp;lt;RightHandSideExpression xml:space=&amp;amp;quot;preserve&amp;amp;quot;&amp;amp;gt;MFPR04004642&amp;amp;lt;/RightHandSideExpression&amp;amp;gt;&amp;amp;lt;IsSubquery&amp;'"</definedName>
    <definedName name="_AMO_ContentDefinition_781078101.343"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781078101.344" hidden="1">"'mat&amp;amp;gt;None&amp;amp;lt;/DateFormat&amp;amp;gt;&amp;amp;lt;RightHandSideExpression xml:space=&amp;amp;quot;preserve&amp;amp;quot;&amp;amp;gt;MFPR01006400&amp;amp;lt;/RightHandSideExpression&amp;amp;gt;&amp;amp;lt;IsSubquery&amp;amp;gt;False&amp;amp;lt;/IsSubquery&amp;amp;gt;&amp;amp;lt;SubqueryTempl'"</definedName>
    <definedName name="_AMO_ContentDefinition_781078101.345"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781078101.346" hidden="1">"'ideExpression xml:space=&amp;amp;quot;preserve&amp;amp;quot;&amp;amp;gt;MFPR01006451&amp;amp;lt;/RightHandSideExpression&amp;amp;gt;&amp;amp;lt;IsSubquery&amp;amp;gt;False&amp;amp;lt;/IsSubquery&amp;amp;gt;&amp;amp;lt;SubqueryTemplateName /&amp;amp;gt;&amp;amp;lt;/RHSItem&amp;amp;gt;&amp;amp;lt;RHSItem&amp;amp'"</definedName>
    <definedName name="_AMO_ContentDefinition_781078101.347" hidden="1">"';gt;&amp;amp;lt;RHSType&amp;amp;gt;EXPRESSION&amp;amp;lt;/RHSType&amp;amp;gt;&amp;amp;lt;AddQuotes&amp;amp;gt;True&amp;amp;lt;/AddQuotes&amp;amp;gt;&amp;amp;lt;DateFormat&amp;amp;gt;None&amp;amp;lt;/DateFormat&amp;amp;gt;&amp;amp;lt;RightHandSideExpression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781078101.348" hidden="1">"'MFPR01006452&amp;amp;lt;/RightHandSideExpression&amp;amp;gt;&amp;amp;lt;IsSubquery&amp;amp;gt;False&amp;amp;lt;/IsSubquery&amp;amp;gt;&amp;amp;lt;SubqueryTemplateName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781078101.349" hidden="1">"';&amp;amp;lt;AddQuotes&amp;amp;gt;True&amp;amp;lt;/AddQuotes&amp;amp;gt;&amp;amp;lt;DateFormat&amp;amp;gt;None&amp;amp;lt;/DateFormat&amp;amp;gt;&amp;amp;lt;RightHandSideExpression xml:space=&amp;amp;quot;preserve&amp;amp;quot;&amp;amp;gt;MFPR02001304&amp;amp;lt;/RightHandSideExpression&amp;amp;gt;&amp;amp;lt;'"</definedName>
    <definedName name="_AMO_ContentDefinition_781078101.35" hidden="1">"'',&amp;#xD;&amp;#xA;'MFPR01002701',&amp;#xD;&amp;#xA;'MFPR01002704',&amp;#xD;&amp;#xA;'MFPR01002705',&amp;#xD;&amp;#xA;'MFPR01002709',&amp;#xD;&amp;#xA;'MFPR01002715',&amp;#xD;&amp;#xA;'MFPR01002719',&amp;#xD;&amp;#xA;'MFPR01002720',&amp;#xD;&amp;#xA;'MFPR01002721',&amp;#xD;&amp;#xA;'MFPR01002766',&amp;#xD;&amp;#xA;'MFPR01002769''"</definedName>
    <definedName name="_AMO_ContentDefinition_781078101.350"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781078101.351" hidden="1">"';lt;DateFormat&amp;amp;gt;None&amp;amp;lt;/DateFormat&amp;amp;gt;&amp;amp;lt;RightHandSideExpression xml:space=&amp;amp;quot;preserve&amp;amp;quot;&amp;amp;gt;MFPR02001305&amp;amp;lt;/RightHandSideExpression&amp;amp;gt;&amp;amp;lt;IsSubquery&amp;amp;gt;False&amp;amp;lt;/IsSubquery&amp;amp;gt;&amp;amp;lt;Su'"</definedName>
    <definedName name="_AMO_ContentDefinition_781078101.352"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781078101.353" hidden="1">"';RightHandSideExpression xml:space=&amp;amp;quot;preserve&amp;amp;quot;&amp;amp;gt;MFBS01000041&amp;amp;lt;/RightHandSideExpression&amp;amp;gt;&amp;amp;lt;IsSubquery&amp;amp;gt;False&amp;amp;lt;/IsSubquery&amp;amp;gt;&amp;amp;lt;SubqueryTemplateName /&amp;amp;gt;&amp;amp;lt;/RHSItem&amp;amp;gt;&amp;amp;lt;'"</definedName>
    <definedName name="_AMO_ContentDefinition_781078101.354" hidden="1">"'RHSItem&amp;amp;gt;&amp;amp;lt;RHSType&amp;amp;gt;EXPRESSION&amp;amp;lt;/RHSType&amp;amp;gt;&amp;amp;lt;AddQuotes&amp;amp;gt;True&amp;amp;lt;/AddQuotes&amp;amp;gt;&amp;amp;lt;DateFormat&amp;amp;gt;None&amp;amp;lt;/DateFormat&amp;amp;gt;&amp;amp;lt;RightHandSideExpression xml:space=&amp;amp;quot;preserve&amp;amp;qu'"</definedName>
    <definedName name="_AMO_ContentDefinition_781078101.355" hidden="1">"'ot;&amp;amp;gt;MFBS01000096&amp;amp;lt;/RightHandSideExpression&amp;amp;gt;&amp;amp;lt;IsSubquery&amp;amp;gt;False&amp;amp;lt;/IsSubquery&amp;amp;gt;&amp;amp;lt;SubqueryTemplateName /&amp;amp;gt;&amp;amp;lt;/RHSItem&amp;amp;gt;&amp;amp;lt;RHSItem&amp;amp;gt;&amp;amp;lt;RHSType&amp;amp;gt;EXPRESSION&amp;amp;lt;/RHS'"</definedName>
    <definedName name="_AMO_ContentDefinition_781078101.356" hidden="1">"'Type&amp;amp;gt;&amp;amp;lt;AddQuotes&amp;amp;gt;True&amp;amp;lt;/AddQuotes&amp;amp;gt;&amp;amp;lt;DateFormat&amp;amp;gt;None&amp;amp;lt;/DateFormat&amp;amp;gt;&amp;amp;lt;RightHandSideExpression xml:space=&amp;amp;quot;preserve&amp;amp;quot;&amp;amp;gt;MFBS01000102&amp;amp;lt;/RightHandSideExpression&amp;amp;'"</definedName>
    <definedName name="_AMO_ContentDefinition_781078101.357"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781078101.358" hidden="1">"'amp;gt;&amp;amp;lt;DateFormat&amp;amp;gt;None&amp;amp;lt;/DateFormat&amp;amp;gt;&amp;amp;lt;RightHandSideExpression xml:space=&amp;amp;quot;preserve&amp;amp;quot;&amp;amp;gt;MFBS01000105&amp;amp;lt;/RightHandSideExpression&amp;amp;gt;&amp;amp;lt;IsSubquery&amp;amp;gt;False&amp;amp;lt;/IsSubquery&amp;amp;gt'"</definedName>
    <definedName name="_AMO_ContentDefinition_781078101.359"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781078101.36" hidden="1">"',&amp;#xD;&amp;#xA;'MFPR01002770',&amp;#xD;&amp;#xA;'MFPR01002773',&amp;#xD;&amp;#xA;'MFPR01002774',&amp;#xD;&amp;#xA;'MFPR01002778',&amp;#xD;&amp;#xA;'MFPR01002784',&amp;#xD;&amp;#xA;'MFPR01002788',&amp;#xD;&amp;#xA;'MFPR01002789',&amp;#xD;&amp;#xA;'MFPR01002790',&amp;#xD;&amp;#xA;'MFPR01002835',&amp;#xD;&amp;#xA;'MFPR01002836','"</definedName>
    <definedName name="_AMO_ContentDefinition_781078101.360" hidden="1">"';gt;&amp;amp;lt;RightHandSideExpression xml:space=&amp;amp;quot;preserve&amp;amp;quot;&amp;amp;gt;MFBS01000114&amp;amp;lt;/RightHandSideExpression&amp;amp;gt;&amp;amp;lt;IsSubquery&amp;amp;gt;False&amp;amp;lt;/IsSubquery&amp;amp;gt;&amp;amp;lt;SubqueryTemplateName /&amp;amp;gt;&amp;amp;lt;/RHSItem&amp;amp;'"</definedName>
    <definedName name="_AMO_ContentDefinition_781078101.361" hidden="1">"'gt;&amp;amp;lt;RHSItem&amp;amp;gt;&amp;amp;lt;RHSType&amp;amp;gt;EXPRESSION&amp;amp;lt;/RHSType&amp;amp;gt;&amp;amp;lt;AddQuotes&amp;amp;gt;True&amp;amp;lt;/AddQuotes&amp;amp;gt;&amp;amp;lt;DateFormat&amp;amp;gt;None&amp;amp;lt;/DateFormat&amp;amp;gt;&amp;amp;lt;RightHandSideExpression xml:space=&amp;amp;quot;pres'"</definedName>
    <definedName name="_AMO_ContentDefinition_781078101.362" hidden="1">"'erve&amp;amp;quot;&amp;amp;gt;MFBS01000740&amp;amp;lt;/RightHandSideExpression&amp;amp;gt;&amp;amp;lt;IsSubquery&amp;amp;gt;False&amp;amp;lt;/IsSubquery&amp;amp;gt;&amp;amp;lt;SubqueryTemplateName /&amp;amp;gt;&amp;amp;lt;/RHSItem&amp;amp;gt;&amp;amp;lt;RHSItem&amp;amp;gt;&amp;amp;lt;RHSType&amp;amp;gt;EXPRESSION&amp;'"</definedName>
    <definedName name="_AMO_ContentDefinition_781078101.363" hidden="1">"'amp;lt;/RHSType&amp;amp;gt;&amp;amp;lt;AddQuotes&amp;amp;gt;True&amp;amp;lt;/AddQuotes&amp;amp;gt;&amp;amp;lt;DateFormat&amp;amp;gt;None&amp;amp;lt;/DateFormat&amp;amp;gt;&amp;amp;lt;RightHandSideExpression xml:space=&amp;amp;quot;preserve&amp;amp;quot;&amp;amp;gt;MFBS01000757&amp;amp;lt;/RightHandSideExpr'"</definedName>
    <definedName name="_AMO_ContentDefinition_781078101.364"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781078101.365" hidden="1">"'/AddQuotes&amp;amp;gt;&amp;amp;lt;DateFormat&amp;amp;gt;None&amp;amp;lt;/DateFormat&amp;amp;gt;&amp;amp;lt;RightHandSideExpression xml:space=&amp;amp;quot;preserve&amp;amp;quot;&amp;amp;gt;MFBS01000758&amp;amp;lt;/RightHandSideExpression&amp;amp;gt;&amp;amp;lt;IsSubquery&amp;amp;gt;False&amp;amp;lt;/IsSubq'"</definedName>
    <definedName name="_AMO_ContentDefinition_781078101.366"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781078101.367" hidden="1">"'eFormat&amp;amp;gt;&amp;amp;lt;RightHandSideExpression xml:space=&amp;amp;quot;preserve&amp;amp;quot;&amp;amp;gt;MFBS01000879&amp;amp;lt;/RightHandSideExpression&amp;amp;gt;&amp;amp;lt;IsSubquery&amp;amp;gt;False&amp;amp;lt;/IsSubquery&amp;amp;gt;&amp;amp;lt;SubqueryTemplateName /&amp;amp;gt;&amp;amp;lt;/R'"</definedName>
    <definedName name="_AMO_ContentDefinition_781078101.368" hidden="1">"'HSItem&amp;amp;gt;&amp;amp;lt;RHSItem&amp;amp;gt;&amp;amp;lt;RHSType&amp;amp;gt;EXPRESSION&amp;amp;lt;/RHSType&amp;amp;gt;&amp;amp;lt;AddQuotes&amp;amp;gt;True&amp;amp;lt;/AddQuotes&amp;amp;gt;&amp;amp;lt;DateFormat&amp;amp;gt;None&amp;amp;lt;/DateFormat&amp;amp;gt;&amp;amp;lt;RightHandSideExpression xml:space=&amp;am'"</definedName>
    <definedName name="_AMO_ContentDefinition_781078101.369" hidden="1">"'p;quot;preserve&amp;amp;quot;&amp;amp;gt;MFBS01000880&amp;amp;lt;/RightHandSideExpression&amp;amp;gt;&amp;amp;lt;IsSubquery&amp;amp;gt;False&amp;amp;lt;/IsSubquery&amp;amp;gt;&amp;amp;lt;SubqueryTemplateName /&amp;amp;gt;&amp;amp;lt;/RHSItem&amp;amp;gt;&amp;amp;lt;RHSItem&amp;amp;gt;&amp;amp;lt;RHSType&amp;amp;gt;'"</definedName>
    <definedName name="_AMO_ContentDefinition_781078101.37" hidden="1">"'&amp;#xD;&amp;#xA;'MFPR01002840',&amp;#xD;&amp;#xA;'MFPR01002846',&amp;#xD;&amp;#xA;'MFPR01002868',&amp;#xD;&amp;#xA;'MFPR01002871',&amp;#xD;&amp;#xA;'MFPR01002872',&amp;#xD;&amp;#xA;'MFPR01002875',&amp;#xD;&amp;#xA;'MFPR01002876',&amp;#xD;&amp;#xA;'MFPR01002880',&amp;#xD;&amp;#xA;'MFPR01002886',&amp;#xD;&amp;#xA;'MFPR01002890',&amp;'"</definedName>
    <definedName name="_AMO_ContentDefinition_781078101.370" hidden="1">"'EXPRESSION&amp;amp;lt;/RHSType&amp;amp;gt;&amp;amp;lt;AddQuotes&amp;amp;gt;True&amp;amp;lt;/AddQuotes&amp;amp;gt;&amp;amp;lt;DateFormat&amp;amp;gt;None&amp;amp;lt;/DateFormat&amp;amp;gt;&amp;amp;lt;RightHandSideExpression xml:space=&amp;amp;quot;preserve&amp;amp;quot;&amp;amp;gt;MFBS01000881&amp;amp;lt;/RightH'"</definedName>
    <definedName name="_AMO_ContentDefinition_781078101.371"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781078101.372" hidden="1">"'rue&amp;amp;lt;/AddQuotes&amp;amp;gt;&amp;amp;lt;DateFormat&amp;amp;gt;None&amp;amp;lt;/DateFormat&amp;amp;gt;&amp;amp;lt;RightHandSideExpression xml:space=&amp;amp;quot;preserve&amp;amp;quot;&amp;amp;gt;MFBS01000882&amp;amp;lt;/RightHandSideExpression&amp;amp;gt;&amp;amp;lt;IsSubquery&amp;amp;gt;False&amp;amp'"</definedName>
    <definedName name="_AMO_ContentDefinition_781078101.373"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781078101.374" hidden="1">"'amp;lt;/DateFormat&amp;amp;gt;&amp;amp;lt;RightHandSideExpression xml:space=&amp;amp;quot;preserve&amp;amp;quot;&amp;amp;gt;MFBS01000883&amp;amp;lt;/RightHandSideExpression&amp;amp;gt;&amp;amp;lt;IsSubquery&amp;amp;gt;False&amp;amp;lt;/IsSubquery&amp;amp;gt;&amp;amp;lt;SubqueryTemplateName /&amp;amp;gt'"</definedName>
    <definedName name="_AMO_ContentDefinition_781078101.375" hidden="1">"';&amp;amp;lt;/RHSItem&amp;amp;gt;&amp;amp;lt;RHSItem&amp;amp;gt;&amp;amp;lt;RHSType&amp;amp;gt;EXPRESSION&amp;amp;lt;/RHSType&amp;amp;gt;&amp;amp;lt;AddQuotes&amp;amp;gt;True&amp;amp;lt;/AddQuotes&amp;amp;gt;&amp;amp;lt;DateFormat&amp;amp;gt;None&amp;amp;lt;/DateFormat&amp;amp;gt;&amp;amp;lt;RightHandSideExpression xm'"</definedName>
    <definedName name="_AMO_ContentDefinition_781078101.376" hidden="1">"'l:space=&amp;amp;quot;preserve&amp;amp;quot;&amp;amp;gt;MFBS01000884&amp;amp;lt;/RightHandSideExpression&amp;amp;gt;&amp;amp;lt;IsSubquery&amp;amp;gt;False&amp;amp;lt;/IsSubquery&amp;amp;gt;&amp;amp;lt;SubqueryTemplateName /&amp;amp;gt;&amp;amp;lt;/RHSItem&amp;amp;gt;&amp;amp;lt;RHSItem&amp;amp;gt;&amp;amp;lt;RHST'"</definedName>
    <definedName name="_AMO_ContentDefinition_781078101.377" hidden="1">"'ype&amp;amp;gt;EXPRESSION&amp;amp;lt;/RHSType&amp;amp;gt;&amp;amp;lt;AddQuotes&amp;amp;gt;True&amp;amp;lt;/AddQuotes&amp;amp;gt;&amp;amp;lt;DateFormat&amp;amp;gt;None&amp;amp;lt;/DateFormat&amp;amp;gt;&amp;amp;lt;RightHandSideExpression xml:space=&amp;amp;quot;preserve&amp;amp;quot;&amp;amp;gt;MFBS01000885&amp;amp'"</definedName>
    <definedName name="_AMO_ContentDefinition_781078101.378"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781078101.379" hidden="1">"'es&amp;amp;gt;True&amp;amp;lt;/AddQuotes&amp;amp;gt;&amp;amp;lt;DateFormat&amp;amp;gt;None&amp;amp;lt;/DateFormat&amp;amp;gt;&amp;amp;lt;RightHandSideExpression xml:space=&amp;amp;quot;preserve&amp;amp;quot;&amp;amp;gt;MFBS01000886&amp;amp;lt;/RightHandSideExpression&amp;amp;gt;&amp;amp;lt;IsSubquery&amp;amp;g'"</definedName>
    <definedName name="_AMO_ContentDefinition_781078101.38" hidden="1">"'#xD;&amp;#xA;'MFPR01002891',&amp;#xD;&amp;#xA;'MFPR01002892',&amp;#xD;&amp;#xA;'MFPR02000975',&amp;#xD;&amp;#xA;'MFPR02000977',&amp;#xD;&amp;#xA;'MFPR02000943',&amp;#xD;&amp;#xA;'MFPR02000944',&amp;#xD;&amp;#xA;'MFPR02000976',&amp;#xD;&amp;#xA;'MFPR02000978',&amp;#xD;&amp;#xA;'MFPR01000473',&amp;#xD;&amp;#xA;'MFPR01000542',&amp;#'"</definedName>
    <definedName name="_AMO_ContentDefinition_781078101.380"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781078101.381" hidden="1">"'mp;gt;None&amp;amp;lt;/DateFormat&amp;amp;gt;&amp;amp;lt;RightHandSideExpression xml:space=&amp;amp;quot;preserve&amp;amp;quot;&amp;amp;gt;MFBS01000888&amp;amp;lt;/RightHandSideExpression&amp;amp;gt;&amp;amp;lt;IsSubquery&amp;amp;gt;False&amp;amp;lt;/IsSubquery&amp;amp;gt;&amp;amp;lt;SubqueryTemplateNa'"</definedName>
    <definedName name="_AMO_ContentDefinition_781078101.382"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781078101.383" hidden="1">"'pression xml:space=&amp;amp;quot;preserve&amp;amp;quot;&amp;amp;gt;MFBS01000889&amp;amp;lt;/RightHandSideExpression&amp;amp;gt;&amp;amp;lt;IsSubquery&amp;amp;gt;False&amp;amp;lt;/IsSubquery&amp;amp;gt;&amp;amp;lt;SubqueryTemplateName /&amp;amp;gt;&amp;amp;lt;/RHSItem&amp;amp;gt;&amp;amp;lt;RHSItem&amp;amp;gt;&amp;'"</definedName>
    <definedName name="_AMO_ContentDefinition_781078101.384" hidden="1">"'amp;lt;RHSType&amp;amp;gt;EXPRESSION&amp;amp;lt;/RHSType&amp;amp;gt;&amp;amp;lt;AddQuotes&amp;amp;gt;True&amp;amp;lt;/AddQuotes&amp;amp;gt;&amp;amp;lt;DateFormat&amp;amp;gt;None&amp;amp;lt;/DateFormat&amp;amp;gt;&amp;amp;lt;RightHandSideExpression xml:space=&amp;amp;quot;preserve&amp;amp;quot;&amp;amp;gt;MFBS0'"</definedName>
    <definedName name="_AMO_ContentDefinition_781078101.385" hidden="1">"'1000890&amp;amp;lt;/RightHandSideExpression&amp;amp;gt;&amp;amp;lt;IsSubquery&amp;amp;gt;False&amp;amp;lt;/IsSubquery&amp;amp;gt;&amp;amp;lt;SubqueryTemplateName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781078101.386" hidden="1">"';lt;AddQuotes&amp;amp;gt;True&amp;amp;lt;/AddQuotes&amp;amp;gt;&amp;amp;lt;DateFormat&amp;amp;gt;None&amp;amp;lt;/DateFormat&amp;amp;gt;&amp;amp;lt;RightHandSideExpression xml:space=&amp;amp;quot;preserve&amp;amp;quot;&amp;amp;gt;MFBS01000891&amp;amp;lt;/RightHandSideExpression&amp;amp;gt;&amp;amp;lt;IsSub'"</definedName>
    <definedName name="_AMO_ContentDefinition_781078101.387"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781078101.388" hidden="1">"'ateFormat&amp;amp;gt;None&amp;amp;lt;/DateFormat&amp;amp;gt;&amp;amp;lt;RightHandSideExpression xml:space=&amp;amp;quot;preserve&amp;amp;quot;&amp;amp;gt;MFBS01000892&amp;amp;lt;/RightHandSideExpression&amp;amp;gt;&amp;amp;lt;IsSubquery&amp;amp;gt;False&amp;amp;lt;/IsSubquery&amp;amp;gt;&amp;amp;lt;Subquer'"</definedName>
    <definedName name="_AMO_ContentDefinition_781078101.389"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781078101.39" hidden="1">"'xD;&amp;#xA;'MFPR01000611',&amp;#xD;&amp;#xA;'MFPR01000680',&amp;#xD;&amp;#xA;'MFPR01001025',&amp;#xD;&amp;#xA;'MFPR01001094',&amp;#xD;&amp;#xA;'MFPR01001163',&amp;#xD;&amp;#xA;'MFPR01001232',&amp;#xD;&amp;#xA;'MFPR01000018',&amp;#xD;&amp;#xA;'MFPR01000022',&amp;#xD;&amp;#xA;'MFPR01000023',&amp;#xD;&amp;#xA;'MFPR01000035',&amp;#x'"</definedName>
    <definedName name="_AMO_ContentDefinition_781078101.390" hidden="1">"'tHandSideExpression xml:space=&amp;amp;quot;preserve&amp;amp;quot;&amp;amp;gt;MFBS01000893&amp;amp;lt;/RightHandSideExpression&amp;amp;gt;&amp;amp;lt;IsSubquery&amp;amp;gt;False&amp;amp;lt;/IsSubquery&amp;amp;gt;&amp;amp;lt;SubqueryTemplateName /&amp;amp;gt;&amp;amp;lt;/RHSItem&amp;amp;gt;&amp;amp;lt;RHSIt'"</definedName>
    <definedName name="_AMO_ContentDefinition_781078101.391" hidden="1">"'em&amp;amp;gt;&amp;amp;lt;RHSType&amp;amp;gt;EXPRESSION&amp;amp;lt;/RHSType&amp;amp;gt;&amp;amp;lt;AddQuotes&amp;amp;gt;True&amp;amp;lt;/AddQuotes&amp;amp;gt;&amp;amp;lt;DateFormat&amp;amp;gt;None&amp;amp;lt;/DateFormat&amp;amp;gt;&amp;amp;lt;RightHandSideExpression xml:space=&amp;amp;quot;preserve&amp;amp;quot;&amp;a'"</definedName>
    <definedName name="_AMO_ContentDefinition_781078101.392" hidden="1">"'mp;gt;MFBS01000894&amp;amp;lt;/RightHandSideExpression&amp;amp;gt;&amp;amp;lt;IsSubquery&amp;amp;gt;False&amp;amp;lt;/IsSubquery&amp;amp;gt;&amp;amp;lt;SubqueryTemplateName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781078101.393" hidden="1">"'amp;gt;&amp;amp;lt;AddQuotes&amp;amp;gt;True&amp;amp;lt;/AddQuotes&amp;amp;gt;&amp;amp;lt;DateFormat&amp;amp;gt;None&amp;amp;lt;/DateFormat&amp;amp;gt;&amp;amp;lt;RightHandSideExpression xml:space=&amp;amp;quot;preserve&amp;amp;quot;&amp;amp;gt;MFBS01000896&amp;amp;lt;/RightHandSideExpression&amp;amp;gt;&amp;a'"</definedName>
    <definedName name="_AMO_ContentDefinition_781078101.394"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781078101.395" hidden="1">"'t;&amp;amp;lt;DateFormat&amp;amp;gt;None&amp;amp;lt;/DateFormat&amp;amp;gt;&amp;amp;lt;RightHandSideExpression xml:space=&amp;amp;quot;preserve&amp;amp;quot;&amp;amp;gt;MFBS01000897&amp;amp;lt;/RightHandSideExpression&amp;amp;gt;&amp;amp;lt;IsSubquery&amp;amp;gt;False&amp;amp;lt;/IsSubquery&amp;amp;gt;&amp;amp'"</definedName>
    <definedName name="_AMO_ContentDefinition_781078101.396"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781078101.397" hidden="1">"'amp;lt;RightHandSideExpression xml:space=&amp;amp;quot;preserve&amp;amp;quot;&amp;amp;gt;MFBS01000898&amp;amp;lt;/RightHandSideExpression&amp;amp;gt;&amp;amp;lt;IsSubquery&amp;amp;gt;False&amp;amp;lt;/IsSubquery&amp;amp;gt;&amp;amp;lt;SubqueryTemplateName /&amp;amp;gt;&amp;amp;lt;/RHSItem&amp;amp;gt;&amp;a'"</definedName>
    <definedName name="_AMO_ContentDefinition_781078101.398" hidden="1">"'mp;lt;RHSItem&amp;amp;gt;&amp;amp;lt;RHSType&amp;amp;gt;EXPRESSION&amp;amp;lt;/RHSType&amp;amp;gt;&amp;amp;lt;AddQuotes&amp;amp;gt;True&amp;amp;lt;/AddQuotes&amp;amp;gt;&amp;amp;lt;DateFormat&amp;amp;gt;None&amp;amp;lt;/DateFormat&amp;amp;gt;&amp;amp;lt;RightHandSideExpression xml:space=&amp;amp;quot;preserve&amp;'"</definedName>
    <definedName name="_AMO_ContentDefinition_781078101.399" hidden="1">"'amp;quot;&amp;amp;gt;MFBS01000899&amp;amp;lt;/RightHandSideExpression&amp;amp;gt;&amp;amp;lt;IsSubquery&amp;amp;gt;False&amp;amp;lt;/IsSubquery&amp;amp;gt;&amp;amp;lt;SubqueryTemplateName /&amp;amp;gt;&amp;amp;lt;/RHSItem&amp;amp;gt;&amp;amp;lt;RHSItem&amp;amp;gt;&amp;amp;lt;RHSType&amp;amp;gt;EXPRESSION&amp;amp;l'"</definedName>
    <definedName name="_AMO_ContentDefinition_781078101.4" hidden="1">"'008099',&amp;#xD;&amp;#xA;'MFPR06008098',&amp;#xD;&amp;#xA;'MFPR06008574',&amp;#xD;&amp;#xA;'MFPR06008575',&amp;#xD;&amp;#xA;'MFPR06008110',&amp;#xD;&amp;#xA;'MFPR06008111',&amp;#xD;&amp;#xA;'MFPR06008576',&amp;#xD;&amp;#xA;'MFPR06008113',&amp;#xD;&amp;#xA;'MFPR06008114',&amp;#xD;&amp;#xA;'MFPR06008562',&amp;#xD;&amp;#xA;'MFPR060'"</definedName>
    <definedName name="_AMO_ContentDefinition_781078101.40" hidden="1">"'D;&amp;#xA;'MFPR01000036',&amp;#xD;&amp;#xA;'MFPR01000041',&amp;#xD;&amp;#xA;'MFPR01000043',&amp;#xD;&amp;#xA;'MFPR01000044',&amp;#xD;&amp;#xA;'MFPR01000048',&amp;#xD;&amp;#xA;'MFPR01000052',&amp;#xD;&amp;#xA;'MFPR01000053',&amp;#xD;&amp;#xA;'MFPR01000058',&amp;#xD;&amp;#xA;'MFPR01000060',&amp;#xD;&amp;#xA;'MFPR01000061',&amp;#xD'"</definedName>
    <definedName name="_AMO_ContentDefinition_781078101.400" hidden="1">"'t;/RHSType&amp;amp;gt;&amp;amp;lt;AddQuotes&amp;amp;gt;True&amp;amp;lt;/AddQuotes&amp;amp;gt;&amp;amp;lt;DateFormat&amp;amp;gt;None&amp;amp;lt;/DateFormat&amp;amp;gt;&amp;amp;lt;RightHandSideExpression xml:space=&amp;amp;quot;preserve&amp;amp;quot;&amp;amp;gt;MFBS01000900&amp;amp;lt;/RightHandSideExpressio'"</definedName>
    <definedName name="_AMO_ContentDefinition_781078101.401"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781078101.402" hidden="1">"'uotes&amp;amp;gt;&amp;amp;lt;DateFormat&amp;amp;gt;None&amp;amp;lt;/DateFormat&amp;amp;gt;&amp;amp;lt;RightHandSideExpression xml:space=&amp;amp;quot;preserve&amp;amp;quot;&amp;amp;gt;MFBS01000901&amp;amp;lt;/RightHandSideExpression&amp;amp;gt;&amp;amp;lt;IsSubquery&amp;amp;gt;False&amp;amp;lt;/IsSubquery&amp;'"</definedName>
    <definedName name="_AMO_ContentDefinition_781078101.403"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781078101.404" hidden="1">"'at&amp;amp;gt;&amp;amp;lt;RightHandSideExpression xml:space=&amp;amp;quot;preserve&amp;amp;quot;&amp;amp;gt;MFBS01000903&amp;amp;lt;/RightHandSideExpression&amp;amp;gt;&amp;amp;lt;IsSubquery&amp;amp;gt;False&amp;amp;lt;/IsSubquery&amp;amp;gt;&amp;amp;lt;SubqueryTemplateName /&amp;amp;gt;&amp;amp;lt;/RHSIte'"</definedName>
    <definedName name="_AMO_ContentDefinition_781078101.405" hidden="1">"'m&amp;amp;gt;&amp;amp;lt;RHSItem&amp;amp;gt;&amp;amp;lt;RHSType&amp;amp;gt;EXPRESSION&amp;amp;lt;/RHSType&amp;amp;gt;&amp;amp;lt;AddQuotes&amp;amp;gt;True&amp;amp;lt;/AddQuotes&amp;amp;gt;&amp;amp;lt;DateFormat&amp;amp;gt;None&amp;amp;lt;/DateFormat&amp;amp;gt;&amp;amp;lt;RightHandSideExpression xml:space=&amp;amp;quo'"</definedName>
    <definedName name="_AMO_ContentDefinition_781078101.406" hidden="1">"'t;preserve&amp;amp;quot;&amp;amp;gt;MFBS01000905&amp;amp;lt;/RightHandSideExpression&amp;amp;gt;&amp;amp;lt;IsSubquery&amp;amp;gt;False&amp;amp;lt;/IsSubquery&amp;amp;gt;&amp;amp;lt;SubqueryTemplateName /&amp;amp;gt;&amp;amp;lt;/RHSItem&amp;amp;gt;&amp;amp;lt;RHSItem&amp;amp;gt;&amp;amp;lt;RHSType&amp;amp;gt;EXPRE'"</definedName>
    <definedName name="_AMO_ContentDefinition_781078101.407" hidden="1">"'SSION&amp;amp;lt;/RHSType&amp;amp;gt;&amp;amp;lt;AddQuotes&amp;amp;gt;True&amp;amp;lt;/AddQuotes&amp;amp;gt;&amp;amp;lt;DateFormat&amp;amp;gt;None&amp;amp;lt;/DateFormat&amp;amp;gt;&amp;amp;lt;RightHandSideExpression xml:space=&amp;amp;quot;preserve&amp;amp;quot;&amp;amp;gt;MFBS01000906&amp;amp;lt;/RightHandSi'"</definedName>
    <definedName name="_AMO_ContentDefinition_781078101.408"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781078101.409" hidden="1">"'mp;lt;/AddQuotes&amp;amp;gt;&amp;amp;lt;DateFormat&amp;amp;gt;None&amp;amp;lt;/DateFormat&amp;amp;gt;&amp;amp;lt;RightHandSideExpression xml:space=&amp;amp;quot;preserve&amp;amp;quot;&amp;amp;gt;MFBS01000907&amp;amp;lt;/RightHandSideExpression&amp;amp;gt;&amp;amp;lt;IsSubquery&amp;amp;gt;False&amp;amp;lt;/'"</definedName>
    <definedName name="_AMO_ContentDefinition_781078101.41" hidden="1">"';&amp;#xA;'MFPR01000065',&amp;#xD;&amp;#xA;'MFPR01000069',&amp;#xD;&amp;#xA;'MFPR01000070',&amp;#xD;&amp;#xA;'MFPR01000075',&amp;#xD;&amp;#xA;'MFPR01000077',&amp;#xD;&amp;#xA;'MFPR01000078',&amp;#xD;&amp;#xA;'MFPR01000082',&amp;#xD;&amp;#xA;'MFPR01000487',&amp;#xD;&amp;#xA;'MFPR01000556',&amp;#xD;&amp;#xA;'MFPR01000625',&amp;#xD;'"</definedName>
    <definedName name="_AMO_ContentDefinition_781078101.410"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781078101.411" hidden="1">"'t;/DateFormat&amp;amp;gt;&amp;amp;lt;RightHandSideExpression xml:space=&amp;amp;quot;preserve&amp;amp;quot;&amp;amp;gt;MFBS01000908&amp;amp;lt;/RightHandSideExpression&amp;amp;gt;&amp;amp;lt;IsSubquery&amp;amp;gt;False&amp;amp;lt;/IsSubquery&amp;amp;gt;&amp;amp;lt;SubqueryTemplateName /&amp;amp;gt;&amp;amp'"</definedName>
    <definedName name="_AMO_ContentDefinition_781078101.412" hidden="1">"';lt;/RHSItem&amp;amp;gt;&amp;amp;lt;RHSItem&amp;amp;gt;&amp;amp;lt;RHSType&amp;amp;gt;EXPRESSION&amp;amp;lt;/RHSType&amp;amp;gt;&amp;amp;lt;AddQuotes&amp;amp;gt;True&amp;amp;lt;/AddQuotes&amp;amp;gt;&amp;amp;lt;DateFormat&amp;amp;gt;None&amp;amp;lt;/DateFormat&amp;amp;gt;&amp;amp;lt;RightHandSideExpression xml:spa'"</definedName>
    <definedName name="_AMO_ContentDefinition_781078101.413" hidden="1">"'ce=&amp;amp;quot;preserve&amp;amp;quot;&amp;amp;gt;MFBS01000909&amp;amp;lt;/RightHandSideExpression&amp;amp;gt;&amp;amp;lt;IsSubquery&amp;amp;gt;False&amp;amp;lt;/IsSubquery&amp;amp;gt;&amp;amp;lt;SubqueryTemplateName /&amp;amp;gt;&amp;amp;lt;/RHSItem&amp;amp;gt;&amp;amp;lt;RHSItem&amp;amp;gt;&amp;amp;lt;RHSType&amp;a'"</definedName>
    <definedName name="_AMO_ContentDefinition_781078101.414" hidden="1">"'mp;gt;EXPRESSION&amp;amp;lt;/RHSType&amp;amp;gt;&amp;amp;lt;AddQuotes&amp;amp;gt;True&amp;amp;lt;/AddQuotes&amp;amp;gt;&amp;amp;lt;DateFormat&amp;amp;gt;None&amp;amp;lt;/DateFormat&amp;amp;gt;&amp;amp;lt;RightHandSideExpression xml:space=&amp;amp;quot;preserve&amp;amp;quot;&amp;amp;gt;MFBS01000910&amp;amp;lt;/'"</definedName>
    <definedName name="_AMO_ContentDefinition_781078101.415"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781078101.416" hidden="1">"'p;gt;True&amp;amp;lt;/AddQuotes&amp;amp;gt;&amp;amp;lt;DateFormat&amp;amp;gt;None&amp;amp;lt;/DateFormat&amp;amp;gt;&amp;amp;lt;RightHandSideExpression xml:space=&amp;amp;quot;preserve&amp;amp;quot;&amp;amp;gt;MFBS01000911&amp;amp;lt;/RightHandSideExpression&amp;amp;gt;&amp;amp;lt;IsSubquery&amp;amp;gt;Fal'"</definedName>
    <definedName name="_AMO_ContentDefinition_781078101.417"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781078101.418" hidden="1">"';None&amp;amp;lt;/DateFormat&amp;amp;gt;&amp;amp;lt;RightHandSideExpression xml:space=&amp;amp;quot;preserve&amp;amp;quot;&amp;amp;gt;MFBS01000912&amp;amp;lt;/RightHandSideExpression&amp;amp;gt;&amp;amp;lt;IsSubquery&amp;amp;gt;False&amp;amp;lt;/IsSubquery&amp;amp;gt;&amp;amp;lt;SubqueryTemplateName /&amp;'"</definedName>
    <definedName name="_AMO_ContentDefinition_781078101.419"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781078101.42" hidden="1">"'&amp;#xA;'MFPR01000694',&amp;#xD;&amp;#xA;'MFPR01001038',&amp;#xD;&amp;#xA;'MFPR01001108',&amp;#xD;&amp;#xA;'MFPR01001177',&amp;#xD;&amp;#xA;'MFPR01001246',&amp;#xD;&amp;#xA;'MFPR01000510',&amp;#xD;&amp;#xA;'MFPR01000579',&amp;#xD;&amp;#xA;'MFPR01000648',&amp;#xD;&amp;#xA;'MFPR01000717',&amp;#xD;&amp;#xA;'MFPR01001062',&amp;#xD;&amp;'"</definedName>
    <definedName name="_AMO_ContentDefinition_781078101.420" hidden="1">"'ion xml:space=&amp;amp;quot;preserve&amp;amp;quot;&amp;amp;gt;MFBS01000913&amp;amp;lt;/RightHandSideExpression&amp;amp;gt;&amp;amp;lt;IsSubquery&amp;amp;gt;False&amp;amp;lt;/IsSubquery&amp;amp;gt;&amp;amp;lt;SubqueryTemplateName /&amp;amp;gt;&amp;amp;lt;/RHSItem&amp;amp;gt;&amp;amp;lt;RHSItem&amp;amp;gt;&amp;amp;l'"</definedName>
    <definedName name="_AMO_ContentDefinition_781078101.421" hidden="1">"'t;RHSType&amp;amp;gt;EXPRESSION&amp;amp;lt;/RHSType&amp;amp;gt;&amp;amp;lt;AddQuotes&amp;amp;gt;True&amp;amp;lt;/AddQuotes&amp;amp;gt;&amp;amp;lt;DateFormat&amp;amp;gt;None&amp;amp;lt;/DateFormat&amp;amp;gt;&amp;amp;lt;RightHandSideExpression xml:space=&amp;amp;quot;preserve&amp;amp;quot;&amp;amp;gt;MFBS010009'"</definedName>
    <definedName name="_AMO_ContentDefinition_781078101.422" hidden="1">"'14&amp;amp;lt;/RightHandSideExpression&amp;amp;gt;&amp;amp;lt;IsSubquery&amp;amp;gt;False&amp;amp;lt;/IsSubquery&amp;amp;gt;&amp;amp;lt;SubqueryTemplateName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781078101.423" hidden="1">"'ddQuotes&amp;amp;gt;True&amp;amp;lt;/AddQuotes&amp;amp;gt;&amp;amp;lt;DateFormat&amp;amp;gt;None&amp;amp;lt;/DateFormat&amp;amp;gt;&amp;amp;lt;RightHandSideExpression xml:space=&amp;amp;quot;preserve&amp;amp;quot;&amp;amp;gt;MFBS01000915&amp;amp;lt;/RightHandSideExpression&amp;amp;gt;&amp;amp;lt;IsSubquery'"</definedName>
    <definedName name="_AMO_ContentDefinition_781078101.424"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781078101.425" hidden="1">"'rmat&amp;amp;gt;None&amp;amp;lt;/DateFormat&amp;amp;gt;&amp;amp;lt;RightHandSideExpression xml:space=&amp;amp;quot;preserve&amp;amp;quot;&amp;amp;gt;MFBS01000916&amp;amp;lt;/RightHandSideExpression&amp;amp;gt;&amp;amp;lt;IsSubquery&amp;amp;gt;False&amp;amp;lt;/IsSubquery&amp;amp;gt;&amp;amp;lt;SubqueryTemp'"</definedName>
    <definedName name="_AMO_ContentDefinition_781078101.426"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781078101.427" hidden="1">"'SideExpression xml:space=&amp;amp;quot;preserve&amp;amp;quot;&amp;amp;gt;MFBS01000917&amp;amp;lt;/RightHandSideExpression&amp;amp;gt;&amp;amp;lt;IsSubquery&amp;amp;gt;False&amp;amp;lt;/IsSubquery&amp;amp;gt;&amp;amp;lt;SubqueryTemplateName /&amp;amp;gt;&amp;amp;lt;/RHSItem&amp;amp;gt;&amp;amp;lt;RHSItem&amp;am'"</definedName>
    <definedName name="_AMO_ContentDefinition_781078101.428"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781078101.429" hidden="1">"';MFBS01000918&amp;amp;lt;/RightHandSideExpression&amp;amp;gt;&amp;amp;lt;IsSubquery&amp;amp;gt;False&amp;amp;lt;/IsSubquery&amp;amp;gt;&amp;amp;lt;SubqueryTemplateName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781078101.43" hidden="1">"'#xA;'MFPR01001131',&amp;#xD;&amp;#xA;'MFPR01001200',&amp;#xD;&amp;#xA;'MFPR01001269',&amp;#xD;&amp;#xA;'MFPR01000502',&amp;#xD;&amp;#xA;'MFPR01000571',&amp;#xD;&amp;#xA;'MFPR01000640',&amp;#xD;&amp;#xA;'MFPR01000709',&amp;#xD;&amp;#xA;'MFPR01001054',&amp;#xD;&amp;#xA;'MFPR01001123',&amp;#xD;&amp;#xA;'MFPR01001192',&amp;#xD;&amp;#'"</definedName>
    <definedName name="_AMO_ContentDefinition_781078101.430" hidden="1">"'t;&amp;amp;lt;AddQuotes&amp;amp;gt;True&amp;amp;lt;/AddQuotes&amp;amp;gt;&amp;amp;lt;DateFormat&amp;amp;gt;None&amp;amp;lt;/DateFormat&amp;amp;gt;&amp;amp;lt;RightHandSideExpression xml:space=&amp;amp;quot;preserve&amp;amp;quot;&amp;amp;gt;MFBS01000919&amp;amp;lt;/RightHandSideExpression&amp;amp;gt;&amp;amp;lt'"</definedName>
    <definedName name="_AMO_ContentDefinition_781078101.431"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781078101.432" hidden="1">"'p;lt;DateFormat&amp;amp;gt;None&amp;amp;lt;/DateFormat&amp;amp;gt;&amp;amp;lt;RightHandSideExpression xml:space=&amp;amp;quot;preserve&amp;amp;quot;&amp;amp;gt;MFBS01000920&amp;amp;lt;/RightHandSideExpression&amp;amp;gt;&amp;amp;lt;IsSubquery&amp;amp;gt;False&amp;amp;lt;/IsSubquery&amp;amp;gt;&amp;amp;lt;S'"</definedName>
    <definedName name="_AMO_ContentDefinition_781078101.433"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781078101.434" hidden="1">"'t;RightHandSideExpression xml:space=&amp;amp;quot;preserve&amp;amp;quot;&amp;amp;gt;MFBS01000921&amp;amp;lt;/RightHandSideExpression&amp;amp;gt;&amp;amp;lt;IsSubquery&amp;amp;gt;False&amp;amp;lt;/IsSubquery&amp;amp;gt;&amp;amp;lt;SubqueryTemplateName /&amp;amp;gt;&amp;amp;lt;/RHSItem&amp;amp;gt;&amp;amp;lt'"</definedName>
    <definedName name="_AMO_ContentDefinition_781078101.435" hidden="1">"';RHSItem&amp;amp;gt;&amp;amp;lt;RHSType&amp;amp;gt;EXPRESSION&amp;amp;lt;/RHSType&amp;amp;gt;&amp;amp;lt;AddQuotes&amp;amp;gt;True&amp;amp;lt;/AddQuotes&amp;amp;gt;&amp;amp;lt;DateFormat&amp;amp;gt;None&amp;amp;lt;/DateFormat&amp;amp;gt;&amp;amp;lt;RightHandSideExpression xml:space=&amp;amp;quot;preserve&amp;amp;q'"</definedName>
    <definedName name="_AMO_ContentDefinition_781078101.436" hidden="1">"'uot;&amp;amp;gt;MFBS01000922&amp;amp;lt;/RightHandSideExpression&amp;amp;gt;&amp;amp;lt;IsSubquery&amp;amp;gt;False&amp;amp;lt;/IsSubquery&amp;amp;gt;&amp;amp;lt;SubqueryTemplateName /&amp;amp;gt;&amp;amp;lt;/RHSItem&amp;amp;gt;&amp;amp;lt;RHSItem&amp;amp;gt;&amp;amp;lt;RHSType&amp;amp;gt;EXPRESSION&amp;amp;lt;/RH'"</definedName>
    <definedName name="_AMO_ContentDefinition_781078101.437" hidden="1">"'SType&amp;amp;gt;&amp;amp;lt;AddQuotes&amp;amp;gt;True&amp;amp;lt;/AddQuotes&amp;amp;gt;&amp;amp;lt;DateFormat&amp;amp;gt;None&amp;amp;lt;/DateFormat&amp;amp;gt;&amp;amp;lt;RightHandSideExpression xml:space=&amp;amp;quot;preserve&amp;amp;quot;&amp;amp;gt;MFBS01000923&amp;amp;lt;/RightHandSideExpression&amp;amp'"</definedName>
    <definedName name="_AMO_ContentDefinition_781078101.438"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781078101.439" hidden="1">"'&amp;amp;gt;&amp;amp;lt;DateFormat&amp;amp;gt;None&amp;amp;lt;/DateFormat&amp;amp;gt;&amp;amp;lt;RightHandSideExpression xml:space=&amp;amp;quot;preserve&amp;amp;quot;&amp;amp;gt;MFBS01000924&amp;amp;lt;/RightHandSideExpression&amp;amp;gt;&amp;amp;lt;IsSubquery&amp;amp;gt;False&amp;amp;lt;/IsSubquery&amp;amp;g'"</definedName>
    <definedName name="_AMO_ContentDefinition_781078101.44" hidden="1">"'xA;'MFPR01001261',&amp;#xD;&amp;#xA;'MFPR01002564',&amp;#xD;&amp;#xA;'MFPR01002565',&amp;#xD;&amp;#xA;'MFPR01002702',&amp;#xD;&amp;#xA;'MFPR01002703',&amp;#xD;&amp;#xA;'MFPR01002771',&amp;#xD;&amp;#xA;'MFPR01002772',&amp;#xD;&amp;#xA;'MFPR01002873',&amp;#xD;&amp;#xA;'MFPR01002874',&amp;#xD;&amp;#xA;'MFPR01002585',&amp;#xD;&amp;#x'"</definedName>
    <definedName name="_AMO_ContentDefinition_781078101.440"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781078101.441" hidden="1">"'p;gt;&amp;amp;lt;RightHandSideExpression xml:space=&amp;amp;quot;preserve&amp;amp;quot;&amp;amp;gt;MFBS01000925&amp;amp;lt;/RightHandSideExpression&amp;amp;gt;&amp;amp;lt;IsSubquery&amp;amp;gt;False&amp;amp;lt;/IsSubquery&amp;amp;gt;&amp;amp;lt;SubqueryTemplateName /&amp;amp;gt;&amp;amp;lt;/RHSItem&amp;amp'"</definedName>
    <definedName name="_AMO_ContentDefinition_781078101.442" hidden="1">"';gt;&amp;amp;lt;RHSItem&amp;amp;gt;&amp;amp;lt;RHSType&amp;amp;gt;EXPRESSION&amp;amp;lt;/RHSType&amp;amp;gt;&amp;amp;lt;AddQuotes&amp;amp;gt;True&amp;amp;lt;/AddQuotes&amp;amp;gt;&amp;amp;lt;DateFormat&amp;amp;gt;None&amp;amp;lt;/DateFormat&amp;amp;gt;&amp;amp;lt;RightHandSideExpression xml:space=&amp;amp;quot;pre'"</definedName>
    <definedName name="_AMO_ContentDefinition_781078101.443" hidden="1">"'serve&amp;amp;quot;&amp;amp;gt;MFBS01000926&amp;amp;lt;/RightHandSideExpression&amp;amp;gt;&amp;amp;lt;IsSubquery&amp;amp;gt;False&amp;amp;lt;/IsSubquery&amp;amp;gt;&amp;amp;lt;SubqueryTemplateName /&amp;amp;gt;&amp;amp;lt;/RHSItem&amp;amp;gt;&amp;amp;lt;RHSItem&amp;amp;gt;&amp;amp;lt;RHSType&amp;amp;gt;EXPRESSION'"</definedName>
    <definedName name="_AMO_ContentDefinition_781078101.444" hidden="1">"'&amp;amp;lt;/RHSType&amp;amp;gt;&amp;amp;lt;AddQuotes&amp;amp;gt;True&amp;amp;lt;/AddQuotes&amp;amp;gt;&amp;amp;lt;DateFormat&amp;amp;gt;None&amp;amp;lt;/DateFormat&amp;amp;gt;&amp;amp;lt;RightHandSideExpression xml:space=&amp;amp;quot;preserve&amp;amp;quot;&amp;amp;gt;MFBS01000928&amp;amp;lt;/RightHandSideExp'"</definedName>
    <definedName name="_AMO_ContentDefinition_781078101.445"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781078101.446" hidden="1">"';/AddQuotes&amp;amp;gt;&amp;amp;lt;DateFormat&amp;amp;gt;None&amp;amp;lt;/DateFormat&amp;amp;gt;&amp;amp;lt;RightHandSideExpression xml:space=&amp;amp;quot;preserve&amp;amp;quot;&amp;amp;gt;MFBS01001009&amp;amp;lt;/RightHandSideExpression&amp;amp;gt;&amp;amp;lt;IsSubquery&amp;amp;gt;False&amp;amp;lt;/IsSub'"</definedName>
    <definedName name="_AMO_ContentDefinition_781078101.447"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781078101.448" hidden="1">"'teFormat&amp;amp;gt;&amp;amp;lt;RightHandSideExpression xml:space=&amp;amp;quot;preserve&amp;amp;quot;&amp;amp;gt;MFBS01001010&amp;amp;lt;/RightHandSideExpression&amp;amp;gt;&amp;amp;lt;IsSubquery&amp;amp;gt;False&amp;amp;lt;/IsSubquery&amp;amp;gt;&amp;amp;lt;SubqueryTemplateName /&amp;amp;gt;&amp;amp;lt;/'"</definedName>
    <definedName name="_AMO_ContentDefinition_781078101.449" hidden="1">"'RHSItem&amp;amp;gt;&amp;amp;lt;RHSItem&amp;amp;gt;&amp;amp;lt;RHSType&amp;amp;gt;EXPRESSION&amp;amp;lt;/RHSType&amp;amp;gt;&amp;amp;lt;AddQuotes&amp;amp;gt;True&amp;amp;lt;/AddQuotes&amp;amp;gt;&amp;amp;lt;DateFormat&amp;amp;gt;None&amp;amp;lt;/DateFormat&amp;amp;gt;&amp;amp;lt;RightHandSideExpression xml:space=&amp;a'"</definedName>
    <definedName name="_AMO_ContentDefinition_781078101.45" hidden="1">"'A;'MFPR01002588',&amp;#xD;&amp;#xA;'MFPR01002589',&amp;#xD;&amp;#xA;'MFPR01002723',&amp;#xD;&amp;#xA;'MFPR01002726',&amp;#xD;&amp;#xA;'MFPR01002727',&amp;#xD;&amp;#xA;'MFPR01002792',&amp;#xD;&amp;#xA;'MFPR01002795',&amp;#xD;&amp;#xA;'MFPR01002796',&amp;#xD;&amp;#xA;'MFPR01002894',&amp;#xD;&amp;#xA;'MFPR01002897',&amp;#xD;&amp;#xA'"</definedName>
    <definedName name="_AMO_ContentDefinition_781078101.450" hidden="1">"'mp;quot;preserve&amp;amp;quot;&amp;amp;gt;MFBS01001011&amp;amp;lt;/RightHandSideExpression&amp;amp;gt;&amp;amp;lt;IsSubquery&amp;amp;gt;False&amp;amp;lt;/IsSubquery&amp;amp;gt;&amp;amp;lt;SubqueryTemplateName /&amp;amp;gt;&amp;amp;lt;/RHSItem&amp;amp;gt;&amp;amp;lt;RHSItem&amp;amp;gt;&amp;amp;lt;RHSType&amp;amp;gt'"</definedName>
    <definedName name="_AMO_ContentDefinition_781078101.451" hidden="1">"';EXPRESSION&amp;amp;lt;/RHSType&amp;amp;gt;&amp;amp;lt;AddQuotes&amp;amp;gt;True&amp;amp;lt;/AddQuotes&amp;amp;gt;&amp;amp;lt;DateFormat&amp;amp;gt;None&amp;amp;lt;/DateFormat&amp;amp;gt;&amp;amp;lt;RightHandSideExpression xml:space=&amp;amp;quot;preserve&amp;amp;quot;&amp;amp;gt;MFBS01001012&amp;amp;lt;/Right'"</definedName>
    <definedName name="_AMO_ContentDefinition_781078101.452"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781078101.453" hidden="1">"'True&amp;amp;lt;/AddQuotes&amp;amp;gt;&amp;amp;lt;DateFormat&amp;amp;gt;None&amp;amp;lt;/DateFormat&amp;amp;gt;&amp;amp;lt;RightHandSideExpression xml:space=&amp;amp;quot;preserve&amp;amp;quot;&amp;amp;gt;MFBS01001013&amp;amp;lt;/RightHandSideExpression&amp;amp;gt;&amp;amp;lt;IsSubquery&amp;amp;gt;False&amp;am'"</definedName>
    <definedName name="_AMO_ContentDefinition_781078101.454"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781078101.455" hidden="1">"'&amp;amp;lt;/DateFormat&amp;amp;gt;&amp;amp;lt;RightHandSideExpression xml:space=&amp;amp;quot;preserve&amp;amp;quot;&amp;amp;gt;MFBS01001014&amp;amp;lt;/RightHandSideExpression&amp;amp;gt;&amp;amp;lt;IsSubquery&amp;amp;gt;False&amp;amp;lt;/IsSubquery&amp;amp;gt;&amp;amp;lt;SubqueryTemplateName /&amp;amp;g'"</definedName>
    <definedName name="_AMO_ContentDefinition_781078101.456" hidden="1">"'t;&amp;amp;lt;/RHSItem&amp;amp;gt;&amp;amp;lt;RHSItem&amp;amp;gt;&amp;amp;lt;RHSType&amp;amp;gt;EXPRESSION&amp;amp;lt;/RHSType&amp;amp;gt;&amp;amp;lt;AddQuotes&amp;amp;gt;True&amp;amp;lt;/AddQuotes&amp;amp;gt;&amp;amp;lt;DateFormat&amp;amp;gt;None&amp;amp;lt;/DateFormat&amp;amp;gt;&amp;amp;lt;RightHandSideExpression x'"</definedName>
    <definedName name="_AMO_ContentDefinition_781078101.457" hidden="1">"'ml:space=&amp;amp;quot;preserve&amp;amp;quot;&amp;amp;gt;MFBS01001015&amp;amp;lt;/RightHandSideExpression&amp;amp;gt;&amp;amp;lt;IsSubquery&amp;amp;gt;False&amp;amp;lt;/IsSubquery&amp;amp;gt;&amp;amp;lt;SubqueryTemplateName /&amp;amp;gt;&amp;amp;lt;/RHSItem&amp;amp;gt;&amp;amp;lt;RHSItem&amp;amp;gt;&amp;amp;lt;RHS'"</definedName>
    <definedName name="_AMO_ContentDefinition_781078101.458" hidden="1">"'Type&amp;amp;gt;EXPRESSION&amp;amp;lt;/RHSType&amp;amp;gt;&amp;amp;lt;AddQuotes&amp;amp;gt;True&amp;amp;lt;/AddQuotes&amp;amp;gt;&amp;amp;lt;DateFormat&amp;amp;gt;None&amp;amp;lt;/DateFormat&amp;amp;gt;&amp;amp;lt;RightHandSideExpression xml:space=&amp;amp;quot;preserve&amp;amp;quot;&amp;amp;gt;MFBS01001016&amp;am'"</definedName>
    <definedName name="_AMO_ContentDefinition_781078101.459"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781078101.46" hidden="1">"';'MFPR01002898',&amp;#xD;&amp;#xA;'MFPR01000128',&amp;#xD;&amp;#xA;'MFPR01000113',&amp;#xD;&amp;#xA;'MFPR01000107',&amp;#xD;&amp;#xA;'MFBS01000059',&amp;#xD;&amp;#xA;'MFBS01000054',&amp;#xD;&amp;#xA;'MFBS01000001',&amp;#xD;&amp;#xA;'MFBS01000200',&amp;#xD;&amp;#xA;'MFBS01000231',&amp;#xD;&amp;#xA;'MFBS01000262',&amp;#xD;&amp;#xA;'"</definedName>
    <definedName name="_AMO_ContentDefinition_781078101.460" hidden="1">"'tes&amp;amp;gt;True&amp;amp;lt;/AddQuotes&amp;amp;gt;&amp;amp;lt;DateFormat&amp;amp;gt;None&amp;amp;lt;/DateFormat&amp;amp;gt;&amp;amp;lt;RightHandSideExpression xml:space=&amp;amp;quot;preserve&amp;amp;quot;&amp;amp;gt;MFBS01001017&amp;amp;lt;/RightHandSideExpression&amp;amp;gt;&amp;amp;lt;IsSubquery&amp;amp;'"</definedName>
    <definedName name="_AMO_ContentDefinition_781078101.461"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781078101.462" hidden="1">"'amp;gt;None&amp;amp;lt;/DateFormat&amp;amp;gt;&amp;amp;lt;RightHandSideExpression xml:space=&amp;amp;quot;preserve&amp;amp;quot;&amp;amp;gt;MFBS01001018&amp;amp;lt;/RightHandSideExpression&amp;amp;gt;&amp;amp;lt;IsSubquery&amp;amp;gt;False&amp;amp;lt;/IsSubquery&amp;amp;gt;&amp;amp;lt;SubqueryTemplateN'"</definedName>
    <definedName name="_AMO_ContentDefinition_781078101.463"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781078101.464" hidden="1">"'xpression xml:space=&amp;amp;quot;preserve&amp;amp;quot;&amp;amp;gt;MFBS01001019&amp;amp;lt;/RightHandSideExpression&amp;amp;gt;&amp;amp;lt;IsSubquery&amp;amp;gt;False&amp;amp;lt;/IsSubquery&amp;amp;gt;&amp;amp;lt;SubqueryTemplateName /&amp;amp;gt;&amp;amp;lt;/RHSItem&amp;amp;gt;&amp;amp;lt;RHSItem&amp;amp;gt;'"</definedName>
    <definedName name="_AMO_ContentDefinition_781078101.465" hidden="1">"'&amp;amp;lt;RHSType&amp;amp;gt;EXPRESSION&amp;amp;lt;/RHSType&amp;amp;gt;&amp;amp;lt;AddQuotes&amp;amp;gt;True&amp;amp;lt;/AddQuotes&amp;amp;gt;&amp;amp;lt;DateFormat&amp;amp;gt;None&amp;amp;lt;/DateFormat&amp;amp;gt;&amp;amp;lt;RightHandSideExpression xml:space=&amp;amp;quot;preserve&amp;amp;quot;&amp;amp;gt;MFBS'"</definedName>
    <definedName name="_AMO_ContentDefinition_781078101.466" hidden="1">"'01001020&amp;amp;lt;/RightHandSideExpression&amp;amp;gt;&amp;amp;lt;IsSubquery&amp;amp;gt;False&amp;amp;lt;/IsSubquery&amp;amp;gt;&amp;amp;lt;SubqueryTemplateName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781078101.467" hidden="1">"'p;lt;AddQuotes&amp;amp;gt;True&amp;amp;lt;/AddQuotes&amp;amp;gt;&amp;amp;lt;DateFormat&amp;amp;gt;None&amp;amp;lt;/DateFormat&amp;amp;gt;&amp;amp;lt;RightHandSideExpression xml:space=&amp;amp;quot;preserve&amp;amp;quot;&amp;amp;gt;MFBS01001021&amp;amp;lt;/RightHandSideExpression&amp;amp;gt;&amp;amp;lt;IsSu'"</definedName>
    <definedName name="_AMO_ContentDefinition_781078101.468"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781078101.469" hidden="1">"'DateFormat&amp;amp;gt;None&amp;amp;lt;/DateFormat&amp;amp;gt;&amp;amp;lt;RightHandSideExpression xml:space=&amp;amp;quot;preserve&amp;amp;quot;&amp;amp;gt;MFBS01001022&amp;amp;lt;/RightHandSideExpression&amp;amp;gt;&amp;amp;lt;IsSubquery&amp;amp;gt;False&amp;amp;lt;/IsSubquery&amp;amp;gt;&amp;amp;lt;Subque'"</definedName>
    <definedName name="_AMO_ContentDefinition_781078101.47" hidden="1">"''MFBS01000017',&amp;#xD;&amp;#xA;'MFBS01000026',&amp;#xD;&amp;#xA;'MFBS01000022',&amp;#xD;&amp;#xA;'MFBS01000027',&amp;#xD;&amp;#xA;'MFBS01000014',&amp;#xD;&amp;#xA;'MFPR01000013',&amp;#xD;&amp;#xA;'MFBS01000013',&amp;#xD;&amp;#xA;'MFBS01000016',&amp;#xD;&amp;#xA;'MFBS01000020',&amp;#xD;&amp;#xA;'MFBS01000024',&amp;#xD;&amp;#xA;''"</definedName>
    <definedName name="_AMO_ContentDefinition_781078101.470"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781078101.471" hidden="1">"'htHandSideExpression xml:space=&amp;amp;quot;preserve&amp;amp;quot;&amp;amp;gt;MFBS01001023&amp;amp;lt;/RightHandSideExpression&amp;amp;gt;&amp;amp;lt;IsSubquery&amp;amp;gt;False&amp;amp;lt;/IsSubquery&amp;amp;gt;&amp;amp;lt;SubqueryTemplateName /&amp;amp;gt;&amp;amp;lt;/RHSItem&amp;amp;gt;&amp;amp;lt;RHSI'"</definedName>
    <definedName name="_AMO_ContentDefinition_781078101.472" hidden="1">"'tem&amp;amp;gt;&amp;amp;lt;RHSType&amp;amp;gt;EXPRESSION&amp;amp;lt;/RHSType&amp;amp;gt;&amp;amp;lt;AddQuotes&amp;amp;gt;True&amp;amp;lt;/AddQuotes&amp;amp;gt;&amp;amp;lt;DateFormat&amp;amp;gt;None&amp;amp;lt;/DateFormat&amp;amp;gt;&amp;amp;lt;RightHandSideExpression xml:space=&amp;amp;quot;preserve&amp;amp;quot;&amp;'"</definedName>
    <definedName name="_AMO_ContentDefinition_781078101.473" hidden="1">"'amp;gt;MFBS01001070&amp;amp;lt;/RightHandSideExpression&amp;amp;gt;&amp;amp;lt;IsSubquery&amp;amp;gt;False&amp;amp;lt;/IsSubquery&amp;amp;gt;&amp;amp;lt;SubqueryTemplateName /&amp;amp;gt;&amp;amp;lt;/RHSItem&amp;amp;gt;&amp;amp;lt;RHSItem&amp;amp;gt;&amp;amp;lt;RHSType&amp;amp;gt;EXPRESSION&amp;amp;lt;/RHSType'"</definedName>
    <definedName name="_AMO_ContentDefinition_781078101.474" hidden="1">"'&amp;amp;gt;&amp;amp;lt;AddQuotes&amp;amp;gt;True&amp;amp;lt;/AddQuotes&amp;amp;gt;&amp;amp;lt;DateFormat&amp;amp;gt;None&amp;amp;lt;/DateFormat&amp;amp;gt;&amp;amp;lt;RightHandSideExpression xml:space=&amp;amp;quot;preserve&amp;amp;quot;&amp;amp;gt;MFBS01001103&amp;amp;lt;/RightHandSideExpression&amp;amp;gt;&amp;'"</definedName>
    <definedName name="_AMO_ContentDefinition_781078101.475"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781078101.476" hidden="1">"'gt;&amp;amp;lt;DateFormat&amp;amp;gt;None&amp;amp;lt;/DateFormat&amp;amp;gt;&amp;amp;lt;RightHandSideExpression xml:space=&amp;amp;quot;preserve&amp;amp;quot;&amp;amp;gt;MFBS01001119&amp;amp;lt;/RightHandSideExpression&amp;amp;gt;&amp;amp;lt;IsSubquery&amp;amp;gt;False&amp;amp;lt;/IsSubquery&amp;amp;gt;&amp;am'"</definedName>
    <definedName name="_AMO_ContentDefinition_781078101.477"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781078101.478" hidden="1">"'&amp;amp;lt;RightHandSideExpression xml:space=&amp;amp;quot;preserve&amp;amp;quot;&amp;amp;gt;MFBS01001141&amp;amp;lt;/RightHandSideExpression&amp;amp;gt;&amp;amp;lt;IsSubquery&amp;amp;gt;False&amp;amp;lt;/IsSubquery&amp;amp;gt;&amp;amp;lt;SubqueryTemplateName /&amp;amp;gt;&amp;amp;lt;/RHSItem&amp;amp;gt;&amp;'"</definedName>
    <definedName name="_AMO_ContentDefinition_781078101.479"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781078101.48" hidden="1">"'MFBS01000021',&amp;#xD;&amp;#xA;'MFBS01000025',&amp;#xD;&amp;#xA;'MFBS01000041',&amp;#xD;&amp;#xA;'MFBS01000052',&amp;#xD;&amp;#xA;'MFBS06000195',&amp;#xD;&amp;#xA;'MFBS06000196',&amp;#xD;&amp;#xA;'MFBS06000197',&amp;#xD;&amp;#xA;'MFBS06000198',&amp;#xD;&amp;#xA;'MFBS06000199',&amp;#xD;&amp;#xA;'MFBS06000200',&amp;#xD;&amp;#xA;'M'"</definedName>
    <definedName name="_AMO_ContentDefinition_781078101.480" hidden="1">"'&amp;amp;quot;&amp;amp;gt;MFBS02000021&amp;amp;lt;/RightHandSideExpression&amp;amp;gt;&amp;amp;lt;IsSubquery&amp;amp;gt;False&amp;amp;lt;/IsSubquery&amp;amp;gt;&amp;amp;lt;SubqueryTemplateName /&amp;amp;gt;&amp;amp;lt;/RHSItem&amp;amp;gt;&amp;amp;lt;RHSItem&amp;amp;gt;&amp;amp;lt;RHSType&amp;amp;gt;EXPRESSION&amp;amp;'"</definedName>
    <definedName name="_AMO_ContentDefinition_781078101.481" hidden="1">"'lt;/RHSType&amp;amp;gt;&amp;amp;lt;AddQuotes&amp;amp;gt;True&amp;amp;lt;/AddQuotes&amp;amp;gt;&amp;amp;lt;DateFormat&amp;amp;gt;None&amp;amp;lt;/DateFormat&amp;amp;gt;&amp;amp;lt;RightHandSideExpression xml:space=&amp;amp;quot;preserve&amp;amp;quot;&amp;amp;gt;MFBS02000030&amp;amp;lt;/RightHandSideExpressi'"</definedName>
    <definedName name="_AMO_ContentDefinition_781078101.482"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781078101.483" hidden="1">"'Quotes&amp;amp;gt;&amp;amp;lt;DateFormat&amp;amp;gt;None&amp;amp;lt;/DateFormat&amp;amp;gt;&amp;amp;lt;RightHandSideExpression xml:space=&amp;amp;quot;preserve&amp;amp;quot;&amp;amp;gt;MFBS06000360&amp;amp;lt;/RightHandSideExpression&amp;amp;gt;&amp;amp;lt;IsSubquery&amp;amp;gt;False&amp;amp;lt;/IsSubquery'"</definedName>
    <definedName name="_AMO_ContentDefinition_781078101.484"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781078101.485" hidden="1">"'mat&amp;amp;gt;&amp;amp;lt;RightHandSideExpression xml:space=&amp;amp;quot;preserve&amp;amp;quot;&amp;amp;gt;MFBS06000364&amp;amp;lt;/RightHandSideExpression&amp;amp;gt;&amp;amp;lt;IsSubquery&amp;amp;gt;False&amp;amp;lt;/IsSubquery&amp;amp;gt;&amp;amp;lt;SubqueryTemplateName /&amp;amp;gt;&amp;amp;lt;/RHSIt'"</definedName>
    <definedName name="_AMO_ContentDefinition_781078101.486" hidden="1">"'em&amp;amp;gt;&amp;amp;lt;RHSItem&amp;amp;gt;&amp;amp;lt;RHSType&amp;amp;gt;EXPRESSION&amp;amp;lt;/RHSType&amp;amp;gt;&amp;amp;lt;AddQuotes&amp;amp;gt;True&amp;amp;lt;/AddQuotes&amp;amp;gt;&amp;amp;lt;DateFormat&amp;amp;gt;None&amp;amp;lt;/DateFormat&amp;amp;gt;&amp;amp;lt;RightHandSideExpression xml:space=&amp;amp;qu'"</definedName>
    <definedName name="_AMO_ContentDefinition_781078101.487" hidden="1">"'ot;preserve&amp;amp;quot;&amp;amp;gt;MFBS06000369&amp;amp;lt;/RightHandSideExpression&amp;amp;gt;&amp;amp;lt;IsSubquery&amp;amp;gt;False&amp;amp;lt;/IsSubquery&amp;amp;gt;&amp;amp;lt;SubqueryTemplateName /&amp;amp;gt;&amp;amp;lt;/RHSItem&amp;amp;gt;&amp;amp;lt;RHSItem&amp;amp;gt;&amp;amp;lt;RHSType&amp;amp;gt;EXPR'"</definedName>
    <definedName name="_AMO_ContentDefinition_781078101.488" hidden="1">"'ESSION&amp;amp;lt;/RHSType&amp;amp;gt;&amp;amp;lt;AddQuotes&amp;amp;gt;True&amp;amp;lt;/AddQuotes&amp;amp;gt;&amp;amp;lt;DateFormat&amp;amp;gt;None&amp;amp;lt;/DateFormat&amp;amp;gt;&amp;amp;lt;RightHandSideExpression xml:space=&amp;amp;quot;preserve&amp;amp;quot;&amp;amp;gt;MFBS06000370&amp;amp;lt;/RightHandS'"</definedName>
    <definedName name="_AMO_ContentDefinition_781078101.489"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781078101.49" hidden="1">"'FPR01000016',&amp;#xD;&amp;#xA;'MFPR01000032',&amp;#xD;&amp;#xA;'MFPR01000049',&amp;#xD;&amp;#xA;'MFPR01000066',&amp;#xD;&amp;#xA;'MFPR06007328',&amp;#xD;&amp;#xA;'MFPR06007402',&amp;#xD;&amp;#xA;'MFPR06007476',&amp;#xD;&amp;#xA;'MFPR06007550',&amp;#xD;&amp;#xA;'MFPR06007624',&amp;#xD;&amp;#xA;'MFPR06007698',&amp;#xD;&amp;#xA;'MF'"</definedName>
    <definedName name="_AMO_ContentDefinition_781078101.490" hidden="1">"'amp;lt;/AddQuotes&amp;amp;gt;&amp;amp;lt;DateFormat&amp;amp;gt;None&amp;amp;lt;/DateFormat&amp;amp;gt;&amp;amp;lt;RightHandSideExpression xml:space=&amp;amp;quot;preserve&amp;amp;quot;&amp;amp;gt;MFBS06000371&amp;amp;lt;/RightHandSideExpression&amp;amp;gt;&amp;amp;lt;IsSubquery&amp;amp;gt;False&amp;amp;lt;'"</definedName>
    <definedName name="_AMO_ContentDefinition_781078101.491"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781078101.492" hidden="1">"'lt;/DateFormat&amp;amp;gt;&amp;amp;lt;RightHandSideExpression xml:space=&amp;amp;quot;preserve&amp;amp;quot;&amp;amp;gt;MFBS06000375&amp;amp;lt;/RightHandSideExpression&amp;amp;gt;&amp;amp;lt;IsSubquery&amp;amp;gt;False&amp;amp;lt;/IsSubquery&amp;amp;gt;&amp;amp;lt;SubqueryTemplateName /&amp;amp;gt;&amp;am'"</definedName>
    <definedName name="_AMO_ContentDefinition_781078101.493" hidden="1">"'p;lt;/RHSItem&amp;amp;gt;&amp;amp;lt;RHSItem&amp;amp;gt;&amp;amp;lt;RHSType&amp;amp;gt;EXPRESSION&amp;amp;lt;/RHSType&amp;amp;gt;&amp;amp;lt;AddQuotes&amp;amp;gt;True&amp;amp;lt;/AddQuotes&amp;amp;gt;&amp;amp;lt;DateFormat&amp;amp;gt;None&amp;amp;lt;/DateFormat&amp;amp;gt;&amp;amp;lt;RightHandSideExpression xml:sp'"</definedName>
    <definedName name="_AMO_ContentDefinition_781078101.494" hidden="1">"'ace=&amp;amp;quot;preserve&amp;amp;quot;&amp;amp;gt;MFBS06000379&amp;amp;lt;/RightHandSideExpression&amp;amp;gt;&amp;amp;lt;IsSubquery&amp;amp;gt;False&amp;amp;lt;/IsSubquery&amp;amp;gt;&amp;amp;lt;SubqueryTemplateName /&amp;amp;gt;&amp;amp;lt;/RHSItem&amp;amp;gt;&amp;amp;lt;RHSItem&amp;amp;gt;&amp;amp;lt;RHSType&amp;'"</definedName>
    <definedName name="_AMO_ContentDefinition_781078101.495" hidden="1">"'amp;gt;EXPRESSION&amp;amp;lt;/RHSType&amp;amp;gt;&amp;amp;lt;AddQuotes&amp;amp;gt;True&amp;amp;lt;/AddQuotes&amp;amp;gt;&amp;amp;lt;DateFormat&amp;amp;gt;None&amp;amp;lt;/DateFormat&amp;amp;gt;&amp;amp;lt;RightHandSideExpression xml:space=&amp;amp;quot;preserve&amp;amp;quot;&amp;amp;gt;MFBS06000381&amp;amp;lt;'"</definedName>
    <definedName name="_AMO_ContentDefinition_781078101.496"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781078101.497" hidden="1">"'mp;gt;True&amp;amp;lt;/AddQuotes&amp;amp;gt;&amp;amp;lt;DateFormat&amp;amp;gt;None&amp;amp;lt;/DateFormat&amp;amp;gt;&amp;amp;lt;RightHandSideExpression xml:space=&amp;amp;quot;preserve&amp;amp;quot;&amp;amp;gt;MFBS06000403&amp;amp;lt;/RightHandSideExpression&amp;amp;gt;&amp;amp;lt;IsSubquery&amp;amp;gt;Fa'"</definedName>
    <definedName name="_AMO_ContentDefinition_781078101.498"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781078101.499" hidden="1">"'t;None&amp;amp;lt;/DateFormat&amp;amp;gt;&amp;amp;lt;RightHandSideExpression xml:space=&amp;amp;quot;preserve&amp;amp;quot;&amp;amp;gt;MFBS06000404&amp;amp;lt;/RightHandSideExpression&amp;amp;gt;&amp;amp;lt;IsSubquery&amp;amp;gt;False&amp;amp;lt;/IsSubquery&amp;amp;gt;&amp;amp;lt;SubqueryTemplateName /'"</definedName>
    <definedName name="_AMO_ContentDefinition_781078101.5" hidden="1">"'08119',&amp;#xD;&amp;#xA;'MFPR06008577',&amp;#xD;&amp;#xA;'MFPR01006343',&amp;#xD;&amp;#xA;'MFPR01000285',&amp;#xD;&amp;#xA;'MFPR01006344',&amp;#xD;&amp;#xA;'MFPR01006345',&amp;#xD;&amp;#xA;'MFPR01006346',&amp;#xD;&amp;#xA;'MFPR01006296',&amp;#xD;&amp;#xA;'MFPR01006348',&amp;#xD;&amp;#xA;'MFPR01006349',&amp;#xD;&amp;#xA;'MFPR0100'"</definedName>
    <definedName name="_AMO_ContentDefinition_781078101.50" hidden="1">"'PR01000161',&amp;#xD;&amp;#xA;'MFPR01000162',&amp;#xD;&amp;#xA;'MFPR01000166',&amp;#xD;&amp;#xA;'MFPR01000167',&amp;#xD;&amp;#xA;'MFPR01000169',&amp;#xD;&amp;#xA;'MFPR01000170',&amp;#xD;&amp;#xA;'MFPR01000171',&amp;#xD;&amp;#xA;'MFPR01000172',&amp;#xD;&amp;#xA;'MFPR01000173',&amp;#xD;&amp;#xA;'MFPR01000184',&amp;#xD;&amp;#xA;'MFP'"</definedName>
    <definedName name="_AMO_ContentDefinition_781078101.500"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781078101.501" hidden="1">"'sion xml:space=&amp;amp;quot;preserve&amp;amp;quot;&amp;amp;gt;MFBS06000406&amp;amp;lt;/RightHandSideExpression&amp;amp;gt;&amp;amp;lt;IsSubquery&amp;amp;gt;False&amp;amp;lt;/IsSubquery&amp;amp;gt;&amp;amp;lt;SubqueryTemplateName /&amp;amp;gt;&amp;amp;lt;/RHSItem&amp;amp;gt;&amp;amp;lt;RHSItem&amp;amp;gt;&amp;amp;'"</definedName>
    <definedName name="_AMO_ContentDefinition_781078101.502" hidden="1">"'lt;RHSType&amp;amp;gt;EXPRESSION&amp;amp;lt;/RHSType&amp;amp;gt;&amp;amp;lt;AddQuotes&amp;amp;gt;True&amp;amp;lt;/AddQuotes&amp;amp;gt;&amp;amp;lt;DateFormat&amp;amp;gt;None&amp;amp;lt;/DateFormat&amp;amp;gt;&amp;amp;lt;RightHandSideExpression xml:space=&amp;amp;quot;preserve&amp;amp;quot;&amp;amp;gt;MFBS06000'"</definedName>
    <definedName name="_AMO_ContentDefinition_781078101.503" hidden="1">"'659&amp;amp;lt;/RightHandSideExpression&amp;amp;gt;&amp;amp;lt;IsSubquery&amp;amp;gt;False&amp;amp;lt;/IsSubquery&amp;amp;gt;&amp;amp;lt;SubqueryTemplateName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781078101.504" hidden="1">"'AddQuotes&amp;amp;gt;True&amp;amp;lt;/AddQuotes&amp;amp;gt;&amp;amp;lt;DateFormat&amp;amp;gt;None&amp;amp;lt;/DateFormat&amp;amp;gt;&amp;amp;lt;RightHandSideExpression xml:space=&amp;amp;quot;preserve&amp;amp;quot;&amp;amp;gt;MFBS06000672&amp;amp;lt;/RightHandSideExpression&amp;amp;gt;&amp;amp;lt;IsSubquer'"</definedName>
    <definedName name="_AMO_ContentDefinition_781078101.505"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781078101.506" hidden="1">"'ormat&amp;amp;gt;None&amp;amp;lt;/DateFormat&amp;amp;gt;&amp;amp;lt;RightHandSideExpression xml:space=&amp;amp;quot;preserve&amp;amp;quot;&amp;amp;gt;MFBS06000678&amp;amp;lt;/RightHandSideExpression&amp;amp;gt;&amp;amp;lt;IsSubquery&amp;amp;gt;False&amp;amp;lt;/IsSubquery&amp;amp;gt;&amp;amp;lt;SubqueryTem'"</definedName>
    <definedName name="_AMO_ContentDefinition_781078101.507"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781078101.508" hidden="1">"'dSideExpression xml:space=&amp;amp;quot;preserve&amp;amp;quot;&amp;amp;gt;MFBS06000679&amp;amp;lt;/RightHandSideExpression&amp;amp;gt;&amp;amp;lt;IsSubquery&amp;amp;gt;False&amp;amp;lt;/IsSubquery&amp;amp;gt;&amp;amp;lt;SubqueryTemplateName /&amp;amp;gt;&amp;amp;lt;/RHSItem&amp;amp;gt;&amp;amp;lt;RHSItem&amp;a'"</definedName>
    <definedName name="_AMO_ContentDefinition_781078101.509"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781078101.51" hidden="1">"'R01000200',&amp;#xD;&amp;#xA;'MFPR01000216',&amp;#xD;&amp;#xA;'MFPR01000265',&amp;#xD;&amp;#xA;'MFPR01000266',&amp;#xD;&amp;#xA;'MFPR01000270',&amp;#xD;&amp;#xA;'MFPR01000271',&amp;#xD;&amp;#xA;'MFPR01000313',&amp;#xD;&amp;#xA;'MFPR01003138',&amp;#xD;&amp;#xA;'MFPR01003145',&amp;#xD;&amp;#xA;'MFPR01003180',&amp;#xD;&amp;#xA;'MFPR'"</definedName>
    <definedName name="_AMO_ContentDefinition_781078101.510" hidden="1">"'t;MFBS06000680&amp;amp;lt;/RightHandSideExpression&amp;amp;gt;&amp;amp;lt;IsSubquery&amp;amp;gt;False&amp;amp;lt;/IsSubquery&amp;amp;gt;&amp;amp;lt;SubqueryTemplateName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781078101.511" hidden="1">"'gt;&amp;amp;lt;AddQuotes&amp;amp;gt;True&amp;amp;lt;/AddQuotes&amp;amp;gt;&amp;amp;lt;DateFormat&amp;amp;gt;None&amp;amp;lt;/DateFormat&amp;amp;gt;&amp;amp;lt;RightHandSideExpression xml:space=&amp;amp;quot;preserve&amp;amp;quot;&amp;amp;gt;MFBS06000681&amp;amp;lt;/RightHandSideExpression&amp;amp;gt;&amp;amp;l'"</definedName>
    <definedName name="_AMO_ContentDefinition_781078101.512"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781078101.513" hidden="1">"'mp;lt;DateFormat&amp;amp;gt;None&amp;amp;lt;/DateFormat&amp;amp;gt;&amp;amp;lt;RightHandSideExpression xml:space=&amp;amp;quot;preserve&amp;amp;quot;&amp;amp;gt;MFBS06000682&amp;amp;lt;/RightHandSideExpression&amp;amp;gt;&amp;amp;lt;IsSubquery&amp;amp;gt;False&amp;amp;lt;/IsSubquery&amp;amp;gt;&amp;amp;lt;'"</definedName>
    <definedName name="_AMO_ContentDefinition_781078101.514"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781078101.515" hidden="1">"'lt;RightHandSideExpression xml:space=&amp;amp;quot;preserve&amp;amp;quot;&amp;amp;gt;MFBS06000683&amp;amp;lt;/RightHandSideExpression&amp;amp;gt;&amp;amp;lt;IsSubquery&amp;amp;gt;False&amp;amp;lt;/IsSubquery&amp;amp;gt;&amp;amp;lt;SubqueryTemplateName /&amp;amp;gt;&amp;amp;lt;/RHSItem&amp;amp;gt;&amp;amp;l'"</definedName>
    <definedName name="_AMO_ContentDefinition_781078101.516" hidden="1">"'t;RHSItem&amp;amp;gt;&amp;amp;lt;RHSType&amp;amp;gt;EXPRESSION&amp;amp;lt;/RHSType&amp;amp;gt;&amp;amp;lt;AddQuotes&amp;amp;gt;True&amp;amp;lt;/AddQuotes&amp;amp;gt;&amp;amp;lt;DateFormat&amp;amp;gt;None&amp;amp;lt;/DateFormat&amp;amp;gt;&amp;amp;lt;RightHandSideExpression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781078101.517" hidden="1">"'quot;&amp;amp;gt;MFBS06000684&amp;amp;lt;/RightHandSideExpression&amp;amp;gt;&amp;amp;lt;IsSubquery&amp;amp;gt;False&amp;amp;lt;/IsSubquery&amp;amp;gt;&amp;amp;lt;SubqueryTemplateName /&amp;amp;gt;&amp;amp;lt;/RHSItem&amp;amp;gt;&amp;amp;lt;RHSItem&amp;amp;gt;&amp;amp;lt;RHSType&amp;amp;gt;EXPRESSION&amp;amp;lt;/R'"</definedName>
    <definedName name="_AMO_ContentDefinition_781078101.518" hidden="1">"'HSType&amp;amp;gt;&amp;amp;lt;AddQuotes&amp;amp;gt;True&amp;amp;lt;/AddQuotes&amp;amp;gt;&amp;amp;lt;DateFormat&amp;amp;gt;None&amp;amp;lt;/DateFormat&amp;amp;gt;&amp;amp;lt;RightHandSideExpression xml:space=&amp;amp;quot;preserve&amp;amp;quot;&amp;amp;gt;MFBS06000685&amp;amp;lt;/RightHandSideExpression&amp;am'"</definedName>
    <definedName name="_AMO_ContentDefinition_781078101.519"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781078101.52" hidden="1">"'01003181',&amp;#xD;&amp;#xA;'MFPR01003185',&amp;#xD;&amp;#xA;'MFPR01003197',&amp;#xD;&amp;#xA;'MFPR01003204',&amp;#xD;&amp;#xA;'MFPR01003240',&amp;#xD;&amp;#xA;'MFPR01003241',&amp;#xD;&amp;#xA;'MFPR01003246',&amp;#xD;&amp;#xA;'MFPR01003258',&amp;#xD;&amp;#xA;'MFPR01003265',&amp;#xD;&amp;#xA;'MFPR01003333',&amp;#xD;&amp;#xA;'MFPR0'"</definedName>
    <definedName name="_AMO_ContentDefinition_781078101.520" hidden="1">"'s&amp;amp;gt;&amp;amp;lt;DateFormat&amp;amp;gt;None&amp;amp;lt;/DateFormat&amp;amp;gt;&amp;amp;lt;RightHandSideExpression xml:space=&amp;amp;quot;preserve&amp;amp;quot;&amp;amp;gt;MFBS06000687&amp;amp;lt;/RightHandSideExpression&amp;amp;gt;&amp;amp;lt;IsSubquery&amp;amp;gt;False&amp;amp;lt;/IsSubquery&amp;amp;'"</definedName>
    <definedName name="_AMO_ContentDefinition_781078101.521"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781078101.522" hidden="1">"'mp;gt;&amp;amp;lt;RightHandSideExpression xml:space=&amp;amp;quot;preserve&amp;amp;quot;&amp;amp;gt;MFBS06000731&amp;amp;lt;/RightHandSideExpression&amp;amp;gt;&amp;amp;lt;IsSubquery&amp;amp;gt;False&amp;amp;lt;/IsSubquery&amp;amp;gt;&amp;amp;lt;SubqueryTemplateName /&amp;amp;gt;&amp;amp;lt;/RHSItem&amp;am'"</definedName>
    <definedName name="_AMO_ContentDefinition_781078101.523" hidden="1">"'p;gt;&amp;amp;lt;RHSItem&amp;amp;gt;&amp;amp;lt;RHSType&amp;amp;gt;EXPRESSION&amp;amp;lt;/RHSType&amp;amp;gt;&amp;amp;lt;AddQuotes&amp;amp;gt;True&amp;amp;lt;/AddQuotes&amp;amp;gt;&amp;amp;lt;DateFormat&amp;amp;gt;None&amp;amp;lt;/DateFormat&amp;amp;gt;&amp;amp;lt;RightHandSideExpression xml:space=&amp;amp;quot;pr'"</definedName>
    <definedName name="_AMO_ContentDefinition_781078101.524" hidden="1">"'eserve&amp;amp;quot;&amp;amp;gt;MFBS06000734&amp;amp;lt;/RightHandSideExpression&amp;amp;gt;&amp;amp;lt;IsSubquery&amp;amp;gt;False&amp;amp;lt;/IsSubquery&amp;amp;gt;&amp;amp;lt;SubqueryTemplateName /&amp;amp;gt;&amp;amp;lt;/RHSItem&amp;amp;gt;&amp;amp;lt;RHSItem&amp;amp;gt;&amp;amp;lt;RHSType&amp;amp;gt;EXPRESSIO'"</definedName>
    <definedName name="_AMO_ContentDefinition_781078101.525" hidden="1">"'N&amp;amp;lt;/RHSType&amp;amp;gt;&amp;amp;lt;AddQuotes&amp;amp;gt;True&amp;amp;lt;/AddQuotes&amp;amp;gt;&amp;amp;lt;DateFormat&amp;amp;gt;None&amp;amp;lt;/DateFormat&amp;amp;gt;&amp;amp;lt;RightHandSideExpression xml:space=&amp;amp;quot;preserve&amp;amp;quot;&amp;amp;gt;MFBS06000737&amp;amp;lt;/RightHandSideEx'"</definedName>
    <definedName name="_AMO_ContentDefinition_781078101.526"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781078101.527" hidden="1">"'t;/AddQuotes&amp;amp;gt;&amp;amp;lt;DateFormat&amp;amp;gt;None&amp;amp;lt;/DateFormat&amp;amp;gt;&amp;amp;lt;RightHandSideExpression xml:space=&amp;amp;quot;preserve&amp;amp;quot;&amp;amp;gt;MFBS06000744&amp;amp;lt;/RightHandSideExpression&amp;amp;gt;&amp;amp;lt;IsSubquery&amp;amp;gt;False&amp;amp;lt;/IsSu'"</definedName>
    <definedName name="_AMO_ContentDefinition_781078101.528"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781078101.529" hidden="1">"'ateFormat&amp;amp;gt;&amp;amp;lt;RightHandSideExpression xml:space=&amp;amp;quot;preserve&amp;amp;quot;&amp;amp;gt;MFBS06000745&amp;amp;lt;/RightHandSideExpression&amp;amp;gt;&amp;amp;lt;IsSubquery&amp;amp;gt;False&amp;amp;lt;/IsSubquery&amp;amp;gt;&amp;amp;lt;SubqueryTemplateName /&amp;amp;gt;&amp;amp;lt;'"</definedName>
    <definedName name="_AMO_ContentDefinition_781078101.53" hidden="1">"'1003340',&amp;#xD;&amp;#xA;'MFPR01003408',&amp;#xD;&amp;#xA;'MFPR01003415',&amp;#xD;&amp;#xA;'MFPR01003450',&amp;#xD;&amp;#xA;'MFPR01003451',&amp;#xD;&amp;#xA;'MFPR01003455',&amp;#xD;&amp;#xA;'MFPR01003467',&amp;#xD;&amp;#xA;'MFPR01003473',&amp;#xD;&amp;#xA;'MFPR01003508',&amp;#xD;&amp;#xA;'MFPR01003509',&amp;#xD;&amp;#xA;'MFPR01'"</definedName>
    <definedName name="_AMO_ContentDefinition_781078101.530" hidden="1">"'/RHSItem&amp;amp;gt;&amp;amp;lt;RHSItem&amp;amp;gt;&amp;amp;lt;RHSType&amp;amp;gt;EXPRESSION&amp;amp;lt;/RHSType&amp;amp;gt;&amp;amp;lt;AddQuotes&amp;amp;gt;True&amp;amp;lt;/AddQuotes&amp;amp;gt;&amp;amp;lt;DateFormat&amp;amp;gt;None&amp;amp;lt;/DateFormat&amp;amp;gt;&amp;amp;lt;RightHandSideExpression xml:space=&amp;'"</definedName>
    <definedName name="_AMO_ContentDefinition_781078101.531" hidden="1">"'amp;quot;preserve&amp;amp;quot;&amp;amp;gt;MFBS06000746&amp;amp;lt;/RightHandSideExpression&amp;amp;gt;&amp;amp;lt;IsSubquery&amp;amp;gt;False&amp;amp;lt;/IsSubquery&amp;amp;gt;&amp;amp;lt;SubqueryTemplateName /&amp;amp;gt;&amp;amp;lt;/RHSItem&amp;amp;gt;&amp;amp;lt;RHSItem&amp;amp;gt;&amp;amp;lt;RHSType&amp;amp;g'"</definedName>
    <definedName name="_AMO_ContentDefinition_781078101.532" hidden="1">"'t;EXPRESSION&amp;amp;lt;/RHSType&amp;amp;gt;&amp;amp;lt;AddQuotes&amp;amp;gt;True&amp;amp;lt;/AddQuotes&amp;amp;gt;&amp;amp;lt;DateFormat&amp;amp;gt;None&amp;amp;lt;/DateFormat&amp;amp;gt;&amp;amp;lt;RightHandSideExpression xml:space=&amp;amp;quot;preserve&amp;amp;quot;&amp;amp;gt;MFDRVD000145&amp;amp;lt;/Righ'"</definedName>
    <definedName name="_AMO_ContentDefinition_781078101.533"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781078101.534" hidden="1">"';True&amp;amp;lt;/AddQuotes&amp;amp;gt;&amp;amp;lt;DateFormat&amp;amp;gt;None&amp;amp;lt;/DateFormat&amp;amp;gt;&amp;amp;lt;RightHandSideExpression xml:space=&amp;amp;quot;preserve&amp;amp;quot;&amp;amp;gt;MFFSIR000190&amp;amp;lt;/RightHandSideExpression&amp;amp;gt;&amp;amp;lt;IsSubquery&amp;amp;gt;False&amp;a'"</definedName>
    <definedName name="_AMO_ContentDefinition_781078101.535"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781078101.536" hidden="1">"'e&amp;amp;lt;/DateFormat&amp;amp;gt;&amp;amp;lt;RightHandSideExpression xml:space=&amp;amp;quot;preserve&amp;amp;quot;&amp;amp;gt;MFFSIR000209&amp;amp;lt;/RightHandSideExpression&amp;amp;gt;&amp;amp;lt;IsSubquery&amp;amp;gt;False&amp;amp;lt;/IsSubquery&amp;amp;gt;&amp;amp;lt;SubqueryTemplateName /&amp;amp;'"</definedName>
    <definedName name="_AMO_ContentDefinition_781078101.537" hidden="1">"'gt;&amp;amp;lt;/RHSItem&amp;amp;gt;&amp;amp;lt;RHSItem&amp;amp;gt;&amp;amp;lt;RHSType&amp;amp;gt;EXPRESSION&amp;amp;lt;/RHSType&amp;amp;gt;&amp;amp;lt;AddQuotes&amp;amp;gt;True&amp;amp;lt;/AddQuotes&amp;amp;gt;&amp;amp;lt;DateFormat&amp;amp;gt;None&amp;amp;lt;/DateFormat&amp;amp;gt;&amp;amp;lt;RightHandSideExpression '"</definedName>
    <definedName name="_AMO_ContentDefinition_781078101.538" hidden="1">"'xml:space=&amp;amp;quot;preserve&amp;amp;quot;&amp;amp;gt;MFFSIR000915&amp;amp;lt;/RightHandSideExpression&amp;amp;gt;&amp;amp;lt;IsSubquery&amp;amp;gt;False&amp;amp;lt;/IsSubquery&amp;amp;gt;&amp;amp;lt;SubqueryTemplateName /&amp;amp;gt;&amp;amp;lt;/RHSItem&amp;amp;gt;&amp;amp;lt;RHSItem&amp;amp;gt;&amp;amp;lt;RH'"</definedName>
    <definedName name="_AMO_ContentDefinition_781078101.539" hidden="1">"'SType&amp;amp;gt;EXPRESSION&amp;amp;lt;/RHSType&amp;amp;gt;&amp;amp;lt;AddQuotes&amp;amp;gt;True&amp;amp;lt;/AddQuotes&amp;amp;gt;&amp;amp;lt;DateFormat&amp;amp;gt;None&amp;amp;lt;/DateFormat&amp;amp;gt;&amp;amp;lt;RightHandSideExpression xml:space=&amp;amp;quot;preserve&amp;amp;quot;&amp;amp;gt;MFFSIR000916&amp;a'"</definedName>
    <definedName name="_AMO_ContentDefinition_781078101.54" hidden="1">"'003514',&amp;#xD;&amp;#xA;'MFPR01003526',&amp;#xD;&amp;#xA;'MFPR01003532',&amp;#xD;&amp;#xA;'MFPR01003599',&amp;#xD;&amp;#xA;'MFPR01003606',&amp;#xD;&amp;#xA;'MFFSIR001031',&amp;#xD;&amp;#xA;'MFBS01000887',&amp;#xD;&amp;#xA;'MFPR01006456',&amp;#xD;&amp;#xA;'MFPR01000132',&amp;#xD;&amp;#xA;'MFPR01000131',&amp;#xD;&amp;#xA;'MFBS060'"</definedName>
    <definedName name="_AMO_ContentDefinition_781078101.540"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781078101.541" hidden="1">"'otes&amp;amp;gt;True&amp;amp;lt;/AddQuotes&amp;amp;gt;&amp;amp;lt;DateFormat&amp;amp;gt;None&amp;amp;lt;/DateFormat&amp;amp;gt;&amp;amp;lt;RightHandSideExpression xml:space=&amp;amp;quot;preserve&amp;amp;quot;&amp;amp;gt;MFFSIR000924&amp;amp;lt;/RightHandSideExpression&amp;amp;gt;&amp;amp;lt;IsSubquery&amp;amp'"</definedName>
    <definedName name="_AMO_ContentDefinition_781078101.542"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781078101.543" hidden="1">"'&amp;amp;gt;None&amp;amp;lt;/DateFormat&amp;amp;gt;&amp;amp;lt;RightHandSideExpression xml:space=&amp;amp;quot;preserve&amp;amp;quot;&amp;amp;gt;MFFSIR000925&amp;amp;lt;/RightHandSideExpression&amp;amp;gt;&amp;amp;lt;IsSubquery&amp;amp;gt;False&amp;amp;lt;/IsSubquery&amp;amp;gt;&amp;amp;lt;SubqueryTemplate'"</definedName>
    <definedName name="_AMO_ContentDefinition_781078101.544"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781078101.545" hidden="1">"'Expression xml:space=&amp;amp;quot;preserve&amp;amp;quot;&amp;amp;gt;MFPR01000285&amp;amp;lt;/RightHandSideExpression&amp;amp;gt;&amp;amp;lt;IsSubquery&amp;amp;gt;False&amp;amp;lt;/IsSubquery&amp;amp;gt;&amp;amp;lt;SubqueryTemplateName /&amp;amp;gt;&amp;amp;lt;/RHSItem&amp;amp;gt;&amp;amp;lt;RHSItem&amp;amp;gt'"</definedName>
    <definedName name="_AMO_ContentDefinition_781078101.546" hidden="1">"';&amp;amp;lt;RHSType&amp;amp;gt;EXPRESSION&amp;amp;lt;/RHSType&amp;amp;gt;&amp;amp;lt;AddQuotes&amp;amp;gt;True&amp;amp;lt;/AddQuotes&amp;amp;gt;&amp;amp;lt;DateFormat&amp;amp;gt;None&amp;amp;lt;/DateFormat&amp;amp;gt;&amp;amp;lt;RightHandSideExpression xml:space=&amp;amp;quot;preserve&amp;amp;quot;&amp;amp;gt;MFP'"</definedName>
    <definedName name="_AMO_ContentDefinition_781078101.547" hidden="1">"'R01000160&amp;amp;lt;/RightHandSideExpression&amp;amp;gt;&amp;amp;lt;IsSubquery&amp;amp;gt;False&amp;amp;lt;/IsSubquery&amp;amp;gt;&amp;amp;lt;SubqueryTemplateName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781078101.548" hidden="1">"'mp;lt;AddQuotes&amp;amp;gt;True&amp;amp;lt;/AddQuotes&amp;amp;gt;&amp;amp;lt;DateFormat&amp;amp;gt;None&amp;amp;lt;/DateFormat&amp;amp;gt;&amp;amp;lt;RightHandSideExpression xml:space=&amp;amp;quot;preserve&amp;amp;quot;&amp;amp;gt;MFPR01000165&amp;amp;lt;/RightHandSideExpression&amp;amp;gt;&amp;amp;lt;IsS'"</definedName>
    <definedName name="_AMO_ContentDefinition_781078101.549"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781078101.55" hidden="1">"'00686',&amp;#xD;&amp;#xA;'MFPR01000286',&amp;#xD;&amp;#xA;'MFBS04000156',&amp;#xD;&amp;#xA;'MFBS01000895',&amp;#xD;&amp;#xA;'MFBS01000902',&amp;#xD;&amp;#xA;'MFPR06008595',&amp;#xD;&amp;#xA;'MFPR06008584',&amp;#xD;&amp;#xA;'MFPR06008594'&amp;#xD;&amp;#xA;)"" /&gt;_x000D_
  &lt;param n=""MoreSheetsForRows"" v=""True"" /&gt;_x000D_
  &lt;p'"</definedName>
    <definedName name="_AMO_ContentDefinition_781078101.550" hidden="1">"';DateFormat&amp;amp;gt;None&amp;amp;lt;/DateFormat&amp;amp;gt;&amp;amp;lt;RightHandSideExpression xml:space=&amp;amp;quot;preserve&amp;amp;quot;&amp;amp;gt;MFPR01000169&amp;amp;lt;/RightHandSideExpression&amp;amp;gt;&amp;amp;lt;IsSubquery&amp;amp;gt;False&amp;amp;lt;/IsSubquery&amp;amp;gt;&amp;amp;lt;Subqu'"</definedName>
    <definedName name="_AMO_ContentDefinition_781078101.551"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781078101.552" hidden="1">"'ghtHandSideExpression xml:space=&amp;amp;quot;preserve&amp;amp;quot;&amp;amp;gt;MFPR01000170&amp;amp;lt;/RightHandSideExpression&amp;amp;gt;&amp;amp;lt;IsSubquery&amp;amp;gt;False&amp;amp;lt;/IsSubquery&amp;amp;gt;&amp;amp;lt;SubqueryTemplateName /&amp;amp;gt;&amp;amp;lt;/RHSItem&amp;amp;gt;&amp;amp;lt;RHS'"</definedName>
    <definedName name="_AMO_ContentDefinition_781078101.553" hidden="1">"'Item&amp;amp;gt;&amp;amp;lt;RHSType&amp;amp;gt;EXPRESSION&amp;amp;lt;/RHSType&amp;amp;gt;&amp;amp;lt;AddQuotes&amp;amp;gt;True&amp;amp;lt;/AddQuotes&amp;amp;gt;&amp;amp;lt;DateFormat&amp;amp;gt;None&amp;amp;lt;/DateFormat&amp;amp;gt;&amp;amp;lt;RightHandSideExpression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781078101.554" hidden="1">"'&amp;amp;gt;MFPR01000171&amp;amp;lt;/RightHandSideExpression&amp;amp;gt;&amp;amp;lt;IsSubquery&amp;amp;gt;False&amp;amp;lt;/IsSubquery&amp;amp;gt;&amp;amp;lt;SubqueryTemplateName /&amp;amp;gt;&amp;amp;lt;/RHSItem&amp;amp;gt;&amp;amp;lt;RHSItem&amp;amp;gt;&amp;amp;lt;RHSType&amp;amp;gt;EXPRESSION&amp;amp;lt;/RHSTyp'"</definedName>
    <definedName name="_AMO_ContentDefinition_781078101.555" hidden="1">"'e&amp;amp;gt;&amp;amp;lt;AddQuotes&amp;amp;gt;True&amp;amp;lt;/AddQuotes&amp;amp;gt;&amp;amp;lt;DateFormat&amp;amp;gt;None&amp;amp;lt;/DateFormat&amp;amp;gt;&amp;amp;lt;RightHandSideExpression xml:space=&amp;amp;quot;preserve&amp;amp;quot;&amp;amp;gt;MFPR01000172&amp;amp;lt;/RightHandSideExpression&amp;amp;gt;'"</definedName>
    <definedName name="_AMO_ContentDefinition_781078101.556"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781078101.557" hidden="1">"';gt;&amp;amp;lt;DateFormat&amp;amp;gt;None&amp;amp;lt;/DateFormat&amp;amp;gt;&amp;amp;lt;RightHandSideExpression xml:space=&amp;amp;quot;preserve&amp;amp;quot;&amp;amp;gt;MFPR01000173&amp;amp;lt;/RightHandSideExpression&amp;amp;gt;&amp;amp;lt;IsSubquery&amp;amp;gt;False&amp;amp;lt;/IsSubquery&amp;amp;gt;&amp;a'"</definedName>
    <definedName name="_AMO_ContentDefinition_781078101.558"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781078101.559" hidden="1">"';&amp;amp;lt;RightHandSideExpression xml:space=&amp;amp;quot;preserve&amp;amp;quot;&amp;amp;gt;MFPR01000178&amp;amp;lt;/RightHandSideExpression&amp;amp;gt;&amp;amp;lt;IsSubquery&amp;amp;gt;False&amp;amp;lt;/IsSubquery&amp;amp;gt;&amp;amp;lt;SubqueryTemplateName /&amp;amp;gt;&amp;amp;lt;/RHSItem&amp;amp;gt;'"</definedName>
    <definedName name="_AMO_ContentDefinition_781078101.56" hidden="1">"'aram n=""PageSize"" v=""500"" /&gt;_x000D_
  &lt;param n=""ShowRowNumbers"" v=""False"" /&gt;_x000D_
  &lt;param n=""ShowInfoInSheet"" v=""False"" /&gt;_x000D_
  &lt;param n=""CredKey"" v=""INDICATOR&amp;#x1;SASApp&amp;#x1;Stage Data"" /&gt;_x000D_
  &lt;param n=""ClassName"" v=""SAS.OfficeAddin.DataViewI'"</definedName>
    <definedName name="_AMO_ContentDefinition_781078101.560" hidden="1">"'&amp;amp;lt;RHSItem&amp;amp;gt;&amp;amp;lt;RHSType&amp;amp;gt;EXPRESSION&amp;amp;lt;/RHSType&amp;amp;gt;&amp;amp;lt;AddQuotes&amp;amp;gt;True&amp;amp;lt;/AddQuotes&amp;amp;gt;&amp;amp;lt;DateFormat&amp;amp;gt;None&amp;amp;lt;/DateFormat&amp;amp;gt;&amp;amp;lt;RightHandSideExpression xml:space=&amp;amp;quot;preserv'"</definedName>
    <definedName name="_AMO_ContentDefinition_781078101.561" hidden="1">"'e&amp;amp;quot;&amp;amp;gt;MFPR01000179&amp;amp;lt;/RightHandSideExpression&amp;amp;gt;&amp;amp;lt;IsSubquery&amp;amp;gt;False&amp;amp;lt;/IsSubquery&amp;amp;gt;&amp;amp;lt;SubqueryTemplateName /&amp;amp;gt;&amp;amp;lt;/RHSItem&amp;amp;gt;&amp;amp;lt;RHSItem&amp;amp;gt;&amp;amp;lt;RHSType&amp;amp;gt;EXPRESSION&amp;amp'"</definedName>
    <definedName name="_AMO_ContentDefinition_781078101.562" hidden="1">"';lt;/RHSType&amp;amp;gt;&amp;amp;lt;AddQuotes&amp;amp;gt;True&amp;amp;lt;/AddQuotes&amp;amp;gt;&amp;amp;lt;DateFormat&amp;amp;gt;None&amp;amp;lt;/DateFormat&amp;amp;gt;&amp;amp;lt;RightHandSideExpression xml:space=&amp;amp;quot;preserve&amp;amp;quot;&amp;amp;gt;MFPR01000180&amp;amp;lt;/RightHandSideExpress'"</definedName>
    <definedName name="_AMO_ContentDefinition_781078101.563"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781078101.564" hidden="1">"'dQuotes&amp;amp;gt;&amp;amp;lt;DateFormat&amp;amp;gt;None&amp;amp;lt;/DateFormat&amp;amp;gt;&amp;amp;lt;RightHandSideExpression xml:space=&amp;amp;quot;preserve&amp;amp;quot;&amp;amp;gt;MFPR01000181&amp;amp;lt;/RightHandSideExpression&amp;amp;gt;&amp;amp;lt;IsSubquery&amp;amp;gt;False&amp;amp;lt;/IsSubquer'"</definedName>
    <definedName name="_AMO_ContentDefinition_781078101.565"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781078101.566" hidden="1">"'rmat&amp;amp;gt;&amp;amp;lt;RightHandSideExpression xml:space=&amp;amp;quot;preserve&amp;amp;quot;&amp;amp;gt;MFPR01000182&amp;amp;lt;/RightHandSideExpression&amp;amp;gt;&amp;amp;lt;IsSubquery&amp;amp;gt;False&amp;amp;lt;/IsSubquery&amp;amp;gt;&amp;amp;lt;SubqueryTemplateName /&amp;amp;gt;&amp;amp;lt;/RHSI'"</definedName>
    <definedName name="_AMO_ContentDefinition_781078101.567" hidden="1">"'tem&amp;amp;gt;&amp;amp;lt;RHSItem&amp;amp;gt;&amp;amp;lt;RHSType&amp;amp;gt;EXPRESSION&amp;amp;lt;/RHSType&amp;amp;gt;&amp;amp;lt;AddQuotes&amp;amp;gt;True&amp;amp;lt;/AddQuotes&amp;amp;gt;&amp;amp;lt;DateFormat&amp;amp;gt;None&amp;amp;lt;/DateFormat&amp;amp;gt;&amp;amp;lt;RightHandSideExpression xml:space=&amp;amp;q'"</definedName>
    <definedName name="_AMO_ContentDefinition_781078101.568" hidden="1">"'uot;preserve&amp;amp;quot;&amp;amp;gt;MFPR01000183&amp;amp;lt;/RightHandSideExpression&amp;amp;gt;&amp;amp;lt;IsSubquery&amp;amp;gt;False&amp;amp;lt;/IsSubquery&amp;amp;gt;&amp;amp;lt;SubqueryTemplateName /&amp;amp;gt;&amp;amp;lt;/RHSItem&amp;amp;gt;&amp;amp;lt;RHSItem&amp;amp;gt;&amp;amp;lt;RHSType&amp;amp;gt;EXP'"</definedName>
    <definedName name="_AMO_ContentDefinition_781078101.569" hidden="1">"'RESSION&amp;amp;lt;/RHSType&amp;amp;gt;&amp;amp;lt;AddQuotes&amp;amp;gt;True&amp;amp;lt;/AddQuotes&amp;amp;gt;&amp;amp;lt;DateFormat&amp;amp;gt;None&amp;amp;lt;/DateFormat&amp;amp;gt;&amp;amp;lt;RightHandSideExpression xml:space=&amp;amp;quot;preserve&amp;amp;quot;&amp;amp;gt;MFPR01000187&amp;amp;lt;/RightHand'"</definedName>
    <definedName name="_AMO_ContentDefinition_781078101.57" hidden="1">"'tem"" /&gt;_x000D_
  &lt;param n=""ServerName"" v=""SASApp"" /&gt;_x000D_
  &lt;param n=""DataSource"" v=""&amp;lt;SasDataSource Version=&amp;quot;4.2&amp;quot; Type=&amp;quot;SAS.Servers.Dataset&amp;quot; Svr=&amp;quot;SASApp&amp;quot; Lib=&amp;quot;STAGE&amp;quot; Libname=&amp;quot;Stage Data&amp;quot; Filter=&amp;quot;'"</definedName>
    <definedName name="_AMO_ContentDefinition_781078101.570"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781078101.571" hidden="1">"'&amp;amp;lt;/AddQuotes&amp;amp;gt;&amp;amp;lt;DateFormat&amp;amp;gt;None&amp;amp;lt;/DateFormat&amp;amp;gt;&amp;amp;lt;RightHandSideExpression xml:space=&amp;amp;quot;preserve&amp;amp;quot;&amp;amp;gt;MFPR01000188&amp;amp;lt;/RightHandSideExpression&amp;amp;gt;&amp;amp;lt;IsSubquery&amp;amp;gt;False&amp;amp;lt'"</definedName>
    <definedName name="_AMO_ContentDefinition_781078101.572"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781078101.573" hidden="1">"';lt;/DateFormat&amp;amp;gt;&amp;amp;lt;RightHandSideExpression xml:space=&amp;amp;quot;preserve&amp;amp;quot;&amp;amp;gt;MFPR01000189&amp;amp;lt;/RightHandSideExpression&amp;amp;gt;&amp;amp;lt;IsSubquery&amp;amp;gt;False&amp;amp;lt;/IsSubquery&amp;amp;gt;&amp;amp;lt;SubqueryTemplateName /&amp;amp;gt;&amp;a'"</definedName>
    <definedName name="_AMO_ContentDefinition_781078101.574" hidden="1">"'mp;lt;/RHSItem&amp;amp;gt;&amp;amp;lt;RHSItem&amp;amp;gt;&amp;amp;lt;RHSType&amp;amp;gt;EXPRESSION&amp;amp;lt;/RHSType&amp;amp;gt;&amp;amp;lt;AddQuotes&amp;amp;gt;True&amp;amp;lt;/AddQuotes&amp;amp;gt;&amp;amp;lt;DateFormat&amp;amp;gt;None&amp;amp;lt;/DateFormat&amp;amp;gt;&amp;amp;lt;RightHandSideExpression xml:s'"</definedName>
    <definedName name="_AMO_ContentDefinition_781078101.575" hidden="1">"'pace=&amp;amp;quot;preserve&amp;amp;quot;&amp;amp;gt;MFPR01000190&amp;amp;lt;/RightHandSideExpression&amp;amp;gt;&amp;amp;lt;IsSubquery&amp;amp;gt;False&amp;amp;lt;/IsSubquery&amp;amp;gt;&amp;amp;lt;SubqueryTemplateName /&amp;amp;gt;&amp;amp;lt;/RHSItem&amp;amp;gt;&amp;amp;lt;RHSItem&amp;amp;gt;&amp;amp;lt;RHSType'"</definedName>
    <definedName name="_AMO_ContentDefinition_781078101.576" hidden="1">"'&amp;amp;gt;EXPRESSION&amp;amp;lt;/RHSType&amp;amp;gt;&amp;amp;lt;AddQuotes&amp;amp;gt;True&amp;amp;lt;/AddQuotes&amp;amp;gt;&amp;amp;lt;DateFormat&amp;amp;gt;None&amp;amp;lt;/DateFormat&amp;amp;gt;&amp;amp;lt;RightHandSideExpression xml:space=&amp;amp;quot;preserve&amp;amp;quot;&amp;amp;gt;MFPR01000191&amp;amp;lt'"</definedName>
    <definedName name="_AMO_ContentDefinition_781078101.577"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781078101.578" hidden="1">"'amp;gt;True&amp;amp;lt;/AddQuotes&amp;amp;gt;&amp;amp;lt;DateFormat&amp;amp;gt;None&amp;amp;lt;/DateFormat&amp;amp;gt;&amp;amp;lt;RightHandSideExpression xml:space=&amp;amp;quot;preserve&amp;amp;quot;&amp;amp;gt;MFPR01000192&amp;amp;lt;/RightHandSideExpression&amp;amp;gt;&amp;amp;lt;IsSubquery&amp;amp;gt;F'"</definedName>
    <definedName name="_AMO_ContentDefinition_781078101.579"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781078101.58" hidden="1">"'indicator_id IN &amp;amp;#xD;&amp;amp;#xA;(&amp;amp;#xD;&amp;amp;#xA;'MFPR06008082',&amp;amp;#xD;&amp;amp;#xA;'MFPR06008573',&amp;amp;#xD;&amp;amp;#xA;'MFPR06008091',&amp;amp;#xD;&amp;amp;#xA;'MFPR06008096',&amp;amp;#xD;&amp;amp;#xA;'MFPR06008097',&amp;amp;#xD;&amp;amp;#xA;'MFPR06008099',&amp;amp;#xD;&amp;amp;#xA;'"</definedName>
    <definedName name="_AMO_ContentDefinition_781078101.580" hidden="1">"'gt;None&amp;amp;lt;/DateFormat&amp;amp;gt;&amp;amp;lt;RightHandSideExpression xml:space=&amp;amp;quot;preserve&amp;amp;quot;&amp;amp;gt;MFPR01000194&amp;amp;lt;/RightHandSideExpression&amp;amp;gt;&amp;amp;lt;IsSubquery&amp;amp;gt;False&amp;amp;lt;/IsSubquery&amp;amp;gt;&amp;amp;lt;SubqueryTemplateName '"</definedName>
    <definedName name="_AMO_ContentDefinition_781078101.581"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781078101.582" hidden="1">"'ssion xml:space=&amp;amp;quot;preserve&amp;amp;quot;&amp;amp;gt;MFPR01000195&amp;amp;lt;/RightHandSideExpression&amp;amp;gt;&amp;amp;lt;IsSubquery&amp;amp;gt;False&amp;amp;lt;/IsSubquery&amp;amp;gt;&amp;amp;lt;SubqueryTemplateName /&amp;amp;gt;&amp;amp;lt;/RHSItem&amp;amp;gt;&amp;amp;lt;RHSItem&amp;amp;gt;&amp;amp'"</definedName>
    <definedName name="_AMO_ContentDefinition_781078101.583" hidden="1">"';lt;RHSType&amp;amp;gt;EXPRESSION&amp;amp;lt;/RHSType&amp;amp;gt;&amp;amp;lt;AddQuotes&amp;amp;gt;True&amp;amp;lt;/AddQuotes&amp;amp;gt;&amp;amp;lt;DateFormat&amp;amp;gt;None&amp;amp;lt;/DateFormat&amp;amp;gt;&amp;amp;lt;RightHandSideExpression xml:space=&amp;amp;quot;preserve&amp;amp;quot;&amp;amp;gt;MFPR0100'"</definedName>
    <definedName name="_AMO_ContentDefinition_781078101.584" hidden="1">"'0196&amp;amp;lt;/RightHandSideExpression&amp;amp;gt;&amp;amp;lt;IsSubquery&amp;amp;gt;False&amp;amp;lt;/IsSubquery&amp;amp;gt;&amp;amp;lt;SubqueryTemplateName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781078101.585" hidden="1">"';AddQuotes&amp;amp;gt;True&amp;amp;lt;/AddQuotes&amp;amp;gt;&amp;amp;lt;DateFormat&amp;amp;gt;None&amp;amp;lt;/DateFormat&amp;amp;gt;&amp;amp;lt;RightHandSideExpression xml:space=&amp;amp;quot;preserve&amp;amp;quot;&amp;amp;gt;MFPR01000197&amp;amp;lt;/RightHandSideExpression&amp;amp;gt;&amp;amp;lt;IsSubque'"</definedName>
    <definedName name="_AMO_ContentDefinition_781078101.586"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781078101.587" hidden="1">"'Format&amp;amp;gt;None&amp;amp;lt;/DateFormat&amp;amp;gt;&amp;amp;lt;RightHandSideExpression xml:space=&amp;amp;quot;preserve&amp;amp;quot;&amp;amp;gt;MFPR01000198&amp;amp;lt;/RightHandSideExpression&amp;amp;gt;&amp;amp;lt;IsSubquery&amp;amp;gt;False&amp;amp;lt;/IsSubquery&amp;amp;gt;&amp;amp;lt;SubqueryTe'"</definedName>
    <definedName name="_AMO_ContentDefinition_781078101.588"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781078101.589" hidden="1">"'ndSideExpression xml:space=&amp;amp;quot;preserve&amp;amp;quot;&amp;amp;gt;MFPR01000199&amp;amp;lt;/RightHandSideExpression&amp;amp;gt;&amp;amp;lt;IsSubquery&amp;amp;gt;False&amp;amp;lt;/IsSubquery&amp;amp;gt;&amp;amp;lt;SubqueryTemplateName /&amp;amp;gt;&amp;amp;lt;/RHSItem&amp;amp;gt;&amp;amp;lt;RHSItem&amp;'"</definedName>
    <definedName name="_AMO_ContentDefinition_781078101.59" hidden="1">"''MFPR06008098',&amp;amp;#xD;&amp;amp;#xA;'MFPR06008574',&amp;amp;#xD;&amp;amp;#xA;'MFPR06008575',&amp;amp;#xD;&amp;amp;#xA;'MFPR06008110',&amp;amp;#xD;&amp;amp;#xA;'MFPR06008111',&amp;amp;#xD;&amp;amp;#xA;'MFPR06008576',&amp;amp;#xD;&amp;amp;#xA;'MFPR06008113',&amp;amp;#xD;&amp;amp;#xA;'MFPR06008114',&amp;amp;'"</definedName>
    <definedName name="_AMO_ContentDefinition_781078101.590" hidden="1">"'amp;gt;&amp;amp;lt;RHSType&amp;amp;gt;EXPRESSION&amp;amp;lt;/RHSType&amp;amp;gt;&amp;amp;lt;AddQuotes&amp;amp;gt;True&amp;amp;lt;/AddQuotes&amp;amp;gt;&amp;amp;lt;DateFormat&amp;amp;gt;None&amp;amp;lt;/DateFormat&amp;amp;gt;&amp;amp;lt;RightHandSideExpression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781078101.591" hidden="1">"'gt;MFPR01000203&amp;amp;lt;/RightHandSideExpression&amp;amp;gt;&amp;amp;lt;IsSubquery&amp;amp;gt;False&amp;amp;lt;/IsSubquery&amp;amp;gt;&amp;amp;lt;SubqueryTemplateName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781078101.592" hidden="1">"';gt;&amp;amp;lt;AddQuotes&amp;amp;gt;True&amp;amp;lt;/AddQuotes&amp;amp;gt;&amp;amp;lt;DateFormat&amp;amp;gt;None&amp;amp;lt;/DateFormat&amp;amp;gt;&amp;amp;lt;RightHandSideExpression xml:space=&amp;amp;quot;preserve&amp;amp;quot;&amp;amp;gt;MFPR01000204&amp;amp;lt;/RightHandSideExpression&amp;amp;gt;&amp;amp;'"</definedName>
    <definedName name="_AMO_ContentDefinition_781078101.593"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781078101.594" hidden="1">"'amp;lt;DateFormat&amp;amp;gt;None&amp;amp;lt;/DateFormat&amp;amp;gt;&amp;amp;lt;RightHandSideExpression xml:space=&amp;amp;quot;preserve&amp;amp;quot;&amp;amp;gt;MFPR01000205&amp;amp;lt;/RightHandSideExpression&amp;amp;gt;&amp;amp;lt;IsSubquery&amp;amp;gt;False&amp;amp;lt;/IsSubquery&amp;amp;gt;&amp;amp;lt'"</definedName>
    <definedName name="_AMO_ContentDefinition_781078101.595"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781078101.596" hidden="1">"';lt;RightHandSideExpression xml:space=&amp;amp;quot;preserve&amp;amp;quot;&amp;amp;gt;MFPR01000206&amp;amp;lt;/RightHandSideExpression&amp;amp;gt;&amp;amp;lt;IsSubquery&amp;amp;gt;False&amp;amp;lt;/IsSubquery&amp;amp;gt;&amp;amp;lt;SubqueryTemplateName /&amp;amp;gt;&amp;amp;lt;/RHSItem&amp;amp;gt;&amp;amp;'"</definedName>
    <definedName name="_AMO_ContentDefinition_781078101.597" hidden="1">"'lt;RHSItem&amp;amp;gt;&amp;amp;lt;RHSType&amp;amp;gt;EXPRESSION&amp;amp;lt;/RHSType&amp;amp;gt;&amp;amp;lt;AddQuotes&amp;amp;gt;True&amp;amp;lt;/AddQuotes&amp;amp;gt;&amp;amp;lt;DateFormat&amp;amp;gt;None&amp;amp;lt;/DateFormat&amp;amp;gt;&amp;amp;lt;RightHandSideExpression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781078101.598" hidden="1">"';quot;&amp;amp;gt;MFPR01000207&amp;amp;lt;/RightHandSideExpression&amp;amp;gt;&amp;amp;lt;IsSubquery&amp;amp;gt;False&amp;amp;lt;/IsSubquery&amp;amp;gt;&amp;amp;lt;SubqueryTemplateName /&amp;amp;gt;&amp;amp;lt;/RHSItem&amp;amp;gt;&amp;amp;lt;RHSItem&amp;amp;gt;&amp;amp;lt;RHSType&amp;amp;gt;EXPRESSION&amp;amp;lt;/'"</definedName>
    <definedName name="_AMO_ContentDefinition_781078101.599" hidden="1">"'RHSType&amp;amp;gt;&amp;amp;lt;AddQuotes&amp;amp;gt;True&amp;amp;lt;/AddQuotes&amp;amp;gt;&amp;amp;lt;DateFormat&amp;amp;gt;None&amp;amp;lt;/DateFormat&amp;amp;gt;&amp;amp;lt;RightHandSideExpression xml:space=&amp;amp;quot;preserve&amp;amp;quot;&amp;amp;gt;MFPR01000208&amp;amp;lt;/RightHandSideExpression&amp;a'"</definedName>
    <definedName name="_AMO_ContentDefinition_781078101.6" hidden="1">"'6350',&amp;#xD;&amp;#xA;'MFPR01006351',&amp;#xD;&amp;#xA;'MFPR01006352',&amp;#xD;&amp;#xA;'MFPR01006353',&amp;#xD;&amp;#xA;'MFPR01006354',&amp;#xD;&amp;#xA;'MFPR01006355',&amp;#xD;&amp;#xA;'MFPR01006356',&amp;#xD;&amp;#xA;'MFPR01006357',&amp;#xD;&amp;#xA;'MFPR01000255',&amp;#xD;&amp;#xA;'MFPR01006358',&amp;#xD;&amp;#xA;'MFPR01000'"</definedName>
    <definedName name="_AMO_ContentDefinition_781078101.60" hidden="1">"'#xD;&amp;amp;#xA;'MFPR06008562',&amp;amp;#xD;&amp;amp;#xA;'MFPR06008119',&amp;amp;#xD;&amp;amp;#xA;'MFPR06008577',&amp;amp;#xD;&amp;amp;#xA;'MFPR01006343',&amp;amp;#xD;&amp;amp;#xA;'MFPR01000285',&amp;amp;#xD;&amp;amp;#xA;'MFPR01006344',&amp;amp;#xD;&amp;amp;#xA;'MFPR01006345',&amp;amp;#xD;&amp;amp;#xA;'MFPR01'"</definedName>
    <definedName name="_AMO_ContentDefinition_781078101.600"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781078101.601" hidden="1">"'es&amp;amp;gt;&amp;amp;lt;DateFormat&amp;amp;gt;None&amp;amp;lt;/DateFormat&amp;amp;gt;&amp;amp;lt;RightHandSideExpression xml:space=&amp;amp;quot;preserve&amp;amp;quot;&amp;amp;gt;MFPR01000210&amp;amp;lt;/RightHandSideExpression&amp;amp;gt;&amp;amp;lt;IsSubquery&amp;amp;gt;False&amp;amp;lt;/IsSubquery&amp;amp'"</definedName>
    <definedName name="_AMO_ContentDefinition_781078101.602"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781078101.603" hidden="1">"'amp;gt;&amp;amp;lt;RightHandSideExpression xml:space=&amp;amp;quot;preserve&amp;amp;quot;&amp;amp;gt;MFPR01000211&amp;amp;lt;/RightHandSideExpression&amp;amp;gt;&amp;amp;lt;IsSubquery&amp;amp;gt;False&amp;amp;lt;/IsSubquery&amp;amp;gt;&amp;amp;lt;SubqueryTemplateName /&amp;amp;gt;&amp;amp;lt;/RHSItem&amp;a'"</definedName>
    <definedName name="_AMO_ContentDefinition_781078101.604" hidden="1">"'mp;gt;&amp;amp;lt;RHSItem&amp;amp;gt;&amp;amp;lt;RHSType&amp;amp;gt;EXPRESSION&amp;amp;lt;/RHSType&amp;amp;gt;&amp;amp;lt;AddQuotes&amp;amp;gt;True&amp;amp;lt;/AddQuotes&amp;amp;gt;&amp;amp;lt;DateFormat&amp;amp;gt;None&amp;amp;lt;/DateFormat&amp;amp;gt;&amp;amp;lt;RightHandSideExpression xml:space=&amp;amp;quot;p'"</definedName>
    <definedName name="_AMO_ContentDefinition_781078101.605" hidden="1">"'reserve&amp;amp;quot;&amp;amp;gt;MFPR01000212&amp;amp;lt;/RightHandSideExpression&amp;amp;gt;&amp;amp;lt;IsSubquery&amp;amp;gt;False&amp;amp;lt;/IsSubquery&amp;amp;gt;&amp;amp;lt;SubqueryTemplateName /&amp;amp;gt;&amp;amp;lt;/RHSItem&amp;amp;gt;&amp;amp;lt;RHSItem&amp;amp;gt;&amp;amp;lt;RHSType&amp;amp;gt;EXPRESSI'"</definedName>
    <definedName name="_AMO_ContentDefinition_781078101.606" hidden="1">"'ON&amp;amp;lt;/RHSType&amp;amp;gt;&amp;amp;lt;AddQuotes&amp;amp;gt;True&amp;amp;lt;/AddQuotes&amp;amp;gt;&amp;amp;lt;DateFormat&amp;amp;gt;None&amp;amp;lt;/DateFormat&amp;amp;gt;&amp;amp;lt;RightHandSideExpression xml:space=&amp;amp;quot;preserve&amp;amp;quot;&amp;amp;gt;MFPR01000213&amp;amp;lt;/RightHandSideE'"</definedName>
    <definedName name="_AMO_ContentDefinition_781078101.607"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781078101.608" hidden="1">"'lt;/AddQuotes&amp;amp;gt;&amp;amp;lt;DateFormat&amp;amp;gt;None&amp;amp;lt;/DateFormat&amp;amp;gt;&amp;amp;lt;RightHandSideExpression xml:space=&amp;amp;quot;preserve&amp;amp;quot;&amp;amp;gt;MFPR01000214&amp;amp;lt;/RightHandSideExpression&amp;amp;gt;&amp;amp;lt;IsSubquery&amp;amp;gt;False&amp;amp;lt;/IsS'"</definedName>
    <definedName name="_AMO_ContentDefinition_781078101.609"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781078101.61" hidden="1">"'006346',&amp;amp;#xD;&amp;amp;#xA;'MFPR01006296',&amp;amp;#xD;&amp;amp;#xA;'MFPR01006348',&amp;amp;#xD;&amp;amp;#xA;'MFPR01006349',&amp;amp;#xD;&amp;amp;#xA;'MFPR01006350',&amp;amp;#xD;&amp;amp;#xA;'MFPR01006351',&amp;amp;#xD;&amp;amp;#xA;'MFPR01006352',&amp;amp;#xD;&amp;amp;#xA;'MFPR01006353',&amp;amp;#xD;&amp;am'"</definedName>
    <definedName name="_AMO_ContentDefinition_781078101.610" hidden="1">"'DateFormat&amp;amp;gt;&amp;amp;lt;RightHandSideExpression xml:space=&amp;amp;quot;preserve&amp;amp;quot;&amp;amp;gt;MFPR01000215&amp;amp;lt;/RightHandSideExpression&amp;amp;gt;&amp;amp;lt;IsSubquery&amp;amp;gt;False&amp;amp;lt;/IsSubquery&amp;amp;gt;&amp;amp;lt;SubqueryTemplateName /&amp;amp;gt;&amp;amp;lt'"</definedName>
    <definedName name="_AMO_ContentDefinition_781078101.611" hidden="1">"';/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781078101.612" hidden="1">"'&amp;amp;quot;preserve&amp;amp;quot;&amp;amp;gt;MFPR01000219&amp;amp;lt;/RightHandSideExpression&amp;amp;gt;&amp;amp;lt;IsSubquery&amp;amp;gt;False&amp;amp;lt;/IsSubquery&amp;amp;gt;&amp;amp;lt;SubqueryTemplateName /&amp;amp;gt;&amp;amp;lt;/RHSItem&amp;amp;gt;&amp;amp;lt;RHSItem&amp;amp;gt;&amp;amp;lt;RHSType&amp;amp;'"</definedName>
    <definedName name="_AMO_ContentDefinition_781078101.613" hidden="1">"'gt;EXPRESSION&amp;amp;lt;/RHSType&amp;amp;gt;&amp;amp;lt;AddQuotes&amp;amp;gt;True&amp;amp;lt;/AddQuotes&amp;amp;gt;&amp;amp;lt;DateFormat&amp;amp;gt;None&amp;amp;lt;/DateFormat&amp;amp;gt;&amp;amp;lt;RightHandSideExpression xml:space=&amp;amp;quot;preserve&amp;amp;quot;&amp;amp;gt;MFPR01000220&amp;amp;lt;/Rig'"</definedName>
    <definedName name="_AMO_ContentDefinition_781078101.614"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781078101.615" hidden="1">"'t;True&amp;amp;lt;/AddQuotes&amp;amp;gt;&amp;amp;lt;DateFormat&amp;amp;gt;None&amp;amp;lt;/DateFormat&amp;amp;gt;&amp;amp;lt;RightHandSideExpression xml:space=&amp;amp;quot;preserve&amp;amp;quot;&amp;amp;gt;MFPR01000221&amp;amp;lt;/RightHandSideExpression&amp;amp;gt;&amp;amp;lt;IsSubquery&amp;amp;gt;False&amp;'"</definedName>
    <definedName name="_AMO_ContentDefinition_781078101.616"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781078101.617" hidden="1">"'ne&amp;amp;lt;/DateFormat&amp;amp;gt;&amp;amp;lt;RightHandSideExpression xml:space=&amp;amp;quot;preserve&amp;amp;quot;&amp;amp;gt;MFPR01000222&amp;amp;lt;/RightHandSideExpression&amp;amp;gt;&amp;amp;lt;IsSubquery&amp;amp;gt;False&amp;amp;lt;/IsSubquery&amp;amp;gt;&amp;amp;lt;SubqueryTemplateName /&amp;amp'"</definedName>
    <definedName name="_AMO_ContentDefinition_781078101.618"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781078101.619" hidden="1">"' xml:space=&amp;amp;quot;preserve&amp;amp;quot;&amp;amp;gt;MFPR01000223&amp;amp;lt;/RightHandSideExpression&amp;amp;gt;&amp;amp;lt;IsSubquery&amp;amp;gt;False&amp;amp;lt;/IsSubquery&amp;amp;gt;&amp;amp;lt;SubqueryTemplateName /&amp;amp;gt;&amp;amp;lt;/RHSItem&amp;amp;gt;&amp;amp;lt;RHSItem&amp;amp;gt;&amp;amp;lt;R'"</definedName>
    <definedName name="_AMO_ContentDefinition_781078101.62" hidden="1">"'p;#xA;'MFPR01006354',&amp;amp;#xD;&amp;amp;#xA;'MFPR01006355',&amp;amp;#xD;&amp;amp;#xA;'MFPR01006356',&amp;amp;#xD;&amp;amp;#xA;'MFPR01006357',&amp;amp;#xD;&amp;amp;#xA;'MFPR01000255',&amp;amp;#xD;&amp;amp;#xA;'MFPR01006358',&amp;amp;#xD;&amp;amp;#xA;'MFPR01000260',&amp;amp;#xD;&amp;amp;#xA;'MFPR01000279''"</definedName>
    <definedName name="_AMO_ContentDefinition_781078101.620" hidden="1">"'HSType&amp;amp;gt;EXPRESSION&amp;amp;lt;/RHSType&amp;amp;gt;&amp;amp;lt;AddQuotes&amp;amp;gt;True&amp;amp;lt;/AddQuotes&amp;amp;gt;&amp;amp;lt;DateFormat&amp;amp;gt;None&amp;amp;lt;/DateFormat&amp;amp;gt;&amp;amp;lt;RightHandSideExpression xml:space=&amp;amp;quot;preserve&amp;amp;quot;&amp;amp;gt;MFPR01000224&amp;'"</definedName>
    <definedName name="_AMO_ContentDefinition_781078101.621"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781078101.622" hidden="1">"'uotes&amp;amp;gt;True&amp;amp;lt;/AddQuotes&amp;amp;gt;&amp;amp;lt;DateFormat&amp;amp;gt;None&amp;amp;lt;/DateFormat&amp;amp;gt;&amp;amp;lt;RightHandSideExpression xml:space=&amp;amp;quot;preserve&amp;amp;quot;&amp;amp;gt;MFPR01000226&amp;amp;lt;/RightHandSideExpression&amp;amp;gt;&amp;amp;lt;IsSubquery&amp;am'"</definedName>
    <definedName name="_AMO_ContentDefinition_781078101.623"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781078101.624" hidden="1">"'t&amp;amp;gt;None&amp;amp;lt;/DateFormat&amp;amp;gt;&amp;amp;lt;RightHandSideExpression xml:space=&amp;amp;quot;preserve&amp;amp;quot;&amp;amp;gt;MFPR01000227&amp;amp;lt;/RightHandSideExpression&amp;amp;gt;&amp;amp;lt;IsSubquery&amp;amp;gt;False&amp;amp;lt;/IsSubquery&amp;amp;gt;&amp;amp;lt;SubqueryTemplat'"</definedName>
    <definedName name="_AMO_ContentDefinition_781078101.625"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781078101.626" hidden="1">"'eExpression xml:space=&amp;amp;quot;preserve&amp;amp;quot;&amp;amp;gt;MFPR01000228&amp;amp;lt;/RightHandSideExpression&amp;amp;gt;&amp;amp;lt;IsSubquery&amp;amp;gt;False&amp;amp;lt;/IsSubquery&amp;amp;gt;&amp;amp;lt;SubqueryTemplateName /&amp;amp;gt;&amp;amp;lt;/RHSItem&amp;amp;gt;&amp;amp;lt;RHSItem&amp;amp;g'"</definedName>
    <definedName name="_AMO_ContentDefinition_781078101.627" hidden="1">"'t;&amp;amp;lt;RHSType&amp;amp;gt;EXPRESSION&amp;amp;lt;/RHSType&amp;amp;gt;&amp;amp;lt;AddQuotes&amp;amp;gt;True&amp;amp;lt;/AddQuotes&amp;amp;gt;&amp;amp;lt;DateFormat&amp;amp;gt;None&amp;amp;lt;/DateFormat&amp;amp;gt;&amp;amp;lt;RightHandSideExpression xml:space=&amp;amp;quot;preserve&amp;amp;quot;&amp;amp;gt;MF'"</definedName>
    <definedName name="_AMO_ContentDefinition_781078101.628" hidden="1">"'PR01000229&amp;amp;lt;/RightHandSideExpression&amp;amp;gt;&amp;amp;lt;IsSubquery&amp;amp;gt;False&amp;amp;lt;/IsSubquery&amp;amp;gt;&amp;amp;lt;SubqueryTemplateName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781078101.629" hidden="1">"'amp;lt;AddQuotes&amp;amp;gt;True&amp;amp;lt;/AddQuotes&amp;amp;gt;&amp;amp;lt;DateFormat&amp;amp;gt;None&amp;amp;lt;/DateFormat&amp;amp;gt;&amp;amp;lt;RightHandSideExpression xml:space=&amp;amp;quot;preserve&amp;amp;quot;&amp;amp;gt;MFPR01000230&amp;amp;lt;/RightHandSideExpression&amp;amp;gt;&amp;amp;lt;Is'"</definedName>
    <definedName name="_AMO_ContentDefinition_781078101.63" hidden="1">"',&amp;amp;#xD;&amp;amp;#xA;'MFPR01006359',&amp;amp;#xD;&amp;amp;#xA;'MFPR01006361',&amp;amp;#xD;&amp;amp;#xA;'MFPR01006362',&amp;amp;#xD;&amp;amp;#xA;'MFPR01006363',&amp;amp;#xD;&amp;amp;#xA;'MFPR01006364',&amp;amp;#xD;&amp;amp;#xA;'MFPR01006365',&amp;amp;#xD;&amp;amp;#xA;'MFPR01006366',&amp;amp;#xD;&amp;amp;#xA;''"</definedName>
    <definedName name="_AMO_ContentDefinition_781078101.630"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781078101.631" hidden="1">"'t;DateFormat&amp;amp;gt;None&amp;amp;lt;/DateFormat&amp;amp;gt;&amp;amp;lt;RightHandSideExpression xml:space=&amp;amp;quot;preserve&amp;amp;quot;&amp;amp;gt;MFPR01000231&amp;amp;lt;/RightHandSideExpression&amp;amp;gt;&amp;amp;lt;IsSubquery&amp;amp;gt;False&amp;amp;lt;/IsSubquery&amp;amp;gt;&amp;amp;lt;Subq'"</definedName>
    <definedName name="_AMO_ContentDefinition_781078101.632"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781078101.633" hidden="1">"'ightHandSideExpression xml:space=&amp;amp;quot;preserve&amp;amp;quot;&amp;amp;gt;MFPR01000255&amp;amp;lt;/RightHandSideExpression&amp;amp;gt;&amp;amp;lt;IsSubquery&amp;amp;gt;False&amp;amp;lt;/IsSubquery&amp;amp;gt;&amp;amp;lt;SubqueryTemplateName /&amp;amp;gt;&amp;amp;lt;/RHSItem&amp;amp;gt;&amp;amp;lt;RH'"</definedName>
    <definedName name="_AMO_ContentDefinition_781078101.634" hidden="1">"'SItem&amp;amp;gt;&amp;amp;lt;RHSType&amp;amp;gt;EXPRESSION&amp;amp;lt;/RHSType&amp;amp;gt;&amp;amp;lt;AddQuotes&amp;amp;gt;True&amp;amp;lt;/AddQuotes&amp;amp;gt;&amp;amp;lt;DateFormat&amp;amp;gt;None&amp;amp;lt;/DateFormat&amp;amp;gt;&amp;amp;lt;RightHandSideExpression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781078101.635" hidden="1">"';&amp;amp;gt;MFPR01000256&amp;amp;lt;/RightHandSideExpression&amp;amp;gt;&amp;amp;lt;IsSubquery&amp;amp;gt;False&amp;amp;lt;/IsSubquery&amp;amp;gt;&amp;amp;lt;SubqueryTemplateName /&amp;amp;gt;&amp;amp;lt;/RHSItem&amp;amp;gt;&amp;amp;lt;RHSItem&amp;amp;gt;&amp;amp;lt;RHSType&amp;amp;gt;EXPRESSION&amp;amp;lt;/RHSTy'"</definedName>
    <definedName name="_AMO_ContentDefinition_781078101.636" hidden="1">"'pe&amp;amp;gt;&amp;amp;lt;AddQuotes&amp;amp;gt;True&amp;amp;lt;/AddQuotes&amp;amp;gt;&amp;amp;lt;DateFormat&amp;amp;gt;None&amp;amp;lt;/DateFormat&amp;amp;gt;&amp;amp;lt;RightHandSideExpression xml:space=&amp;amp;quot;preserve&amp;amp;quot;&amp;amp;gt;MFPR01000257&amp;amp;lt;/RightHandSideExpression&amp;amp;gt'"</definedName>
    <definedName name="_AMO_ContentDefinition_781078101.637"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781078101.638" hidden="1">"'p;gt;&amp;amp;lt;DateFormat&amp;amp;gt;None&amp;amp;lt;/DateFormat&amp;amp;gt;&amp;amp;lt;RightHandSideExpression xml:space=&amp;amp;quot;preserve&amp;amp;quot;&amp;amp;gt;MFPR01000260&amp;amp;lt;/RightHandSideExpression&amp;amp;gt;&amp;amp;lt;IsSubquery&amp;amp;gt;False&amp;amp;lt;/IsSubquery&amp;amp;gt;&amp;'"</definedName>
    <definedName name="_AMO_ContentDefinition_781078101.639"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781078101.64" hidden="1">"'MFPR01006367',&amp;amp;#xD;&amp;amp;#xA;'MFPR01006368',&amp;amp;#xD;&amp;amp;#xA;'MFPR01006369',&amp;amp;#xD;&amp;amp;#xA;'MFPR01006370',&amp;amp;#xD;&amp;amp;#xA;'MFPR01006371',&amp;amp;#xD;&amp;amp;#xA;'MFPR01000095',&amp;amp;#xD;&amp;amp;#xA;'MFPR01006372',&amp;amp;#xD;&amp;amp;#xA;'MFPR01006373',&amp;amp;#'"</definedName>
    <definedName name="_AMO_ContentDefinition_781078101.640" hidden="1">"'t;&amp;amp;lt;RightHandSideExpression xml:space=&amp;amp;quot;preserve&amp;amp;quot;&amp;amp;gt;MFPR01000261&amp;amp;lt;/RightHandSideExpression&amp;amp;gt;&amp;amp;lt;IsSubquery&amp;amp;gt;False&amp;amp;lt;/IsSubquery&amp;amp;gt;&amp;amp;lt;SubqueryTemplateName /&amp;amp;gt;&amp;amp;lt;/RHSItem&amp;amp;gt'"</definedName>
    <definedName name="_AMO_ContentDefinition_781078101.641" hidden="1">"';&amp;amp;lt;RHSItem&amp;amp;gt;&amp;amp;lt;RHSType&amp;amp;gt;EXPRESSION&amp;amp;lt;/RHSType&amp;amp;gt;&amp;amp;lt;AddQuotes&amp;amp;gt;True&amp;amp;lt;/AddQuotes&amp;amp;gt;&amp;amp;lt;DateFormat&amp;amp;gt;None&amp;amp;lt;/DateFormat&amp;amp;gt;&amp;amp;lt;RightHandSideExpression xml:space=&amp;amp;quot;preser'"</definedName>
    <definedName name="_AMO_ContentDefinition_781078101.642" hidden="1">"'ve&amp;amp;quot;&amp;amp;gt;MFPR01000262&amp;amp;lt;/RightHandSideExpression&amp;amp;gt;&amp;amp;lt;IsSubquery&amp;amp;gt;False&amp;amp;lt;/IsSubquery&amp;amp;gt;&amp;amp;lt;SubqueryTemplateName /&amp;amp;gt;&amp;amp;lt;/RHSItem&amp;amp;gt;&amp;amp;lt;RHSItem&amp;amp;gt;&amp;amp;lt;RHSType&amp;amp;gt;EXPRESSION&amp;am'"</definedName>
    <definedName name="_AMO_ContentDefinition_781078101.643" hidden="1">"'p;lt;/RHSType&amp;amp;gt;&amp;amp;lt;AddQuotes&amp;amp;gt;True&amp;amp;lt;/AddQuotes&amp;amp;gt;&amp;amp;lt;DateFormat&amp;amp;gt;None&amp;amp;lt;/DateFormat&amp;amp;gt;&amp;amp;lt;RightHandSideExpression xml:space=&amp;amp;quot;preserve&amp;amp;quot;&amp;amp;gt;MFPR01000263&amp;amp;lt;/RightHandSideExpres'"</definedName>
    <definedName name="_AMO_ContentDefinition_781078101.644"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781078101.645" hidden="1">"'ddQuotes&amp;amp;gt;&amp;amp;lt;DateFormat&amp;amp;gt;None&amp;amp;lt;/DateFormat&amp;amp;gt;&amp;amp;lt;RightHandSideExpression xml:space=&amp;amp;quot;preserve&amp;amp;quot;&amp;amp;gt;MFPR01000263&amp;amp;lt;/RightHandSideExpression&amp;amp;gt;&amp;amp;lt;IsSubquery&amp;amp;gt;False&amp;amp;lt;/IsSubque'"</definedName>
    <definedName name="_AMO_ContentDefinition_781078101.646"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781078101.647" hidden="1">"'ormat&amp;amp;gt;&amp;amp;lt;RightHandSideExpression xml:space=&amp;amp;quot;preserve&amp;amp;quot;&amp;amp;gt;MFPR01000274&amp;amp;lt;/RightHandSideExpression&amp;amp;gt;&amp;amp;lt;IsSubquery&amp;amp;gt;False&amp;amp;lt;/IsSubquery&amp;amp;gt;&amp;amp;lt;SubqueryTemplateName /&amp;amp;gt;&amp;amp;lt;/RHS'"</definedName>
    <definedName name="_AMO_ContentDefinition_781078101.648" hidden="1">"'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781078101.649" hidden="1">"'quot;preserve&amp;amp;quot;&amp;amp;gt;MFPR01000275&amp;amp;lt;/RightHandSideExpression&amp;amp;gt;&amp;amp;lt;IsSubquery&amp;amp;gt;False&amp;amp;lt;/IsSubquery&amp;amp;gt;&amp;amp;lt;SubqueryTemplateName /&amp;amp;gt;&amp;amp;lt;/RHSItem&amp;amp;gt;&amp;amp;lt;RHSItem&amp;amp;gt;&amp;amp;lt;RHSType&amp;amp;gt;EX'"</definedName>
    <definedName name="_AMO_ContentDefinition_781078101.65" hidden="1">"'xD;&amp;amp;#xA;'MFPR01006374',&amp;amp;#xD;&amp;amp;#xA;'MFPR06008352',&amp;amp;#xD;&amp;amp;#xA;'MFPR06008367',&amp;amp;#xD;&amp;amp;#xA;'MFPR06008382',&amp;amp;#xD;&amp;amp;#xA;'MFPR06008385',&amp;amp;#xD;&amp;amp;#xA;'MFPR06008393',&amp;amp;#xD;&amp;amp;#xA;'MFPR06000081',&amp;amp;#xD;&amp;amp;#xA;'MFPR010'"</definedName>
    <definedName name="_AMO_ContentDefinition_781078101.650" hidden="1">"'PRESSION&amp;amp;lt;/RHSType&amp;amp;gt;&amp;amp;lt;AddQuotes&amp;amp;gt;True&amp;amp;lt;/AddQuotes&amp;amp;gt;&amp;amp;lt;DateFormat&amp;amp;gt;None&amp;amp;lt;/DateFormat&amp;amp;gt;&amp;amp;lt;RightHandSideExpression xml:space=&amp;amp;quot;preserve&amp;amp;quot;&amp;amp;gt;MFPR01000276&amp;amp;lt;/RightHan'"</definedName>
    <definedName name="_AMO_ContentDefinition_781078101.651"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781078101.652" hidden="1">"'e&amp;amp;lt;/AddQuotes&amp;amp;gt;&amp;amp;lt;DateFormat&amp;amp;gt;None&amp;amp;lt;/DateFormat&amp;amp;gt;&amp;amp;lt;RightHandSideExpression xml:space=&amp;amp;quot;preserve&amp;amp;quot;&amp;amp;gt;MFPR01000277&amp;amp;lt;/RightHandSideExpression&amp;amp;gt;&amp;amp;lt;IsSubquery&amp;amp;gt;False&amp;amp;l'"</definedName>
    <definedName name="_AMO_ContentDefinition_781078101.653"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781078101.654" hidden="1">"'p;lt;/DateFormat&amp;amp;gt;&amp;amp;lt;RightHandSideExpression xml:space=&amp;amp;quot;preserve&amp;amp;quot;&amp;amp;gt;MFPR01000278&amp;amp;lt;/RightHandSideExpression&amp;amp;gt;&amp;amp;lt;IsSubquery&amp;amp;gt;False&amp;amp;lt;/IsSubquery&amp;amp;gt;&amp;amp;lt;SubqueryTemplateName /&amp;amp;gt;&amp;'"</definedName>
    <definedName name="_AMO_ContentDefinition_781078101.655" hidden="1">"'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781078101.656" hidden="1">"'space=&amp;amp;quot;preserve&amp;amp;quot;&amp;amp;gt;MFPR01000279&amp;amp;lt;/RightHandSideExpression&amp;amp;gt;&amp;amp;lt;IsSubquery&amp;amp;gt;False&amp;amp;lt;/IsSubquery&amp;amp;gt;&amp;amp;lt;SubqueryTemplateName /&amp;amp;gt;&amp;amp;lt;/RHSItem&amp;amp;gt;&amp;amp;lt;RHSItem&amp;amp;gt;&amp;amp;lt;RHSTyp'"</definedName>
    <definedName name="_AMO_ContentDefinition_781078101.657" hidden="1">"'e&amp;amp;gt;EXPRESSION&amp;amp;lt;/RHSType&amp;amp;gt;&amp;amp;lt;AddQuotes&amp;amp;gt;True&amp;amp;lt;/AddQuotes&amp;amp;gt;&amp;amp;lt;DateFormat&amp;amp;gt;None&amp;amp;lt;/DateFormat&amp;amp;gt;&amp;amp;lt;RightHandSideExpression xml:space=&amp;amp;quot;preserve&amp;amp;quot;&amp;amp;gt;MFPR01000285&amp;amp;l'"</definedName>
    <definedName name="_AMO_ContentDefinition_781078101.658"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781078101.659" hidden="1">"'&amp;amp;gt;True&amp;amp;lt;/AddQuotes&amp;amp;gt;&amp;amp;lt;DateFormat&amp;amp;gt;None&amp;amp;lt;/DateFormat&amp;amp;gt;&amp;amp;lt;RightHandSideExpression xml:space=&amp;amp;quot;preserve&amp;amp;quot;&amp;amp;gt;MFPR01000295&amp;amp;lt;/RightHandSideExpression&amp;amp;gt;&amp;amp;lt;IsSubquery&amp;amp;gt;'"</definedName>
    <definedName name="_AMO_ContentDefinition_781078101.66" hidden="1">"'06375',&amp;amp;#xD;&amp;amp;#xA;'MFPR01006376',&amp;amp;#xD;&amp;amp;#xA;'MFPR01006307',&amp;amp;#xD;&amp;amp;#xA;'MFPR07000317',&amp;amp;#xD;&amp;amp;#xA;'MFPR02001300',&amp;amp;#xD;&amp;amp;#xA;'MFPR02001301',&amp;amp;#xD;&amp;amp;#xA;'MFPR01000244',&amp;amp;#xD;&amp;amp;#xA;'MFPR01006378',&amp;amp;#xD;&amp;amp'"</definedName>
    <definedName name="_AMO_ContentDefinition_781078101.660"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781078101.661" hidden="1">"';gt;None&amp;amp;lt;/DateFormat&amp;amp;gt;&amp;amp;lt;RightHandSideExpression xml:space=&amp;amp;quot;preserve&amp;amp;quot;&amp;amp;gt;MFPR01002559&amp;amp;lt;/RightHandSideExpression&amp;amp;gt;&amp;amp;lt;IsSubquery&amp;amp;gt;False&amp;amp;lt;/IsSubquery&amp;amp;gt;&amp;amp;lt;SubqueryTemplateName'"</definedName>
    <definedName name="_AMO_ContentDefinition_781078101.662"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781078101.663" hidden="1">"'ession xml:space=&amp;amp;quot;preserve&amp;amp;quot;&amp;amp;gt;MFPR01002562&amp;amp;lt;/RightHandSideExpression&amp;amp;gt;&amp;amp;lt;IsSubquery&amp;amp;gt;False&amp;amp;lt;/IsSubquery&amp;amp;gt;&amp;amp;lt;SubqueryTemplateName /&amp;amp;gt;&amp;amp;lt;/RHSItem&amp;amp;gt;&amp;amp;lt;RHSItem&amp;amp;gt;&amp;am'"</definedName>
    <definedName name="_AMO_ContentDefinition_781078101.664" hidden="1">"'p;lt;RHSType&amp;amp;gt;EXPRESSION&amp;amp;lt;/RHSType&amp;amp;gt;&amp;amp;lt;AddQuotes&amp;amp;gt;True&amp;amp;lt;/AddQuotes&amp;amp;gt;&amp;amp;lt;DateFormat&amp;amp;gt;None&amp;amp;lt;/DateFormat&amp;amp;gt;&amp;amp;lt;RightHandSideExpression xml:space=&amp;amp;quot;preserve&amp;amp;quot;&amp;amp;gt;MFPR010'"</definedName>
    <definedName name="_AMO_ContentDefinition_781078101.665" hidden="1">"'02563&amp;amp;lt;/RightHandSideExpression&amp;amp;gt;&amp;amp;lt;IsSubquery&amp;amp;gt;False&amp;amp;lt;/IsSubquery&amp;amp;gt;&amp;amp;lt;SubqueryTemplateName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781078101.666" hidden="1">"'t;AddQuotes&amp;amp;gt;True&amp;amp;lt;/AddQuotes&amp;amp;gt;&amp;amp;lt;DateFormat&amp;amp;gt;None&amp;amp;lt;/DateFormat&amp;amp;gt;&amp;amp;lt;RightHandSideExpression xml:space=&amp;amp;quot;preserve&amp;amp;quot;&amp;amp;gt;MFPR01002566&amp;amp;lt;/RightHandSideExpression&amp;amp;gt;&amp;amp;lt;IsSubqu'"</definedName>
    <definedName name="_AMO_ContentDefinition_781078101.667"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781078101.668" hidden="1">"'eFormat&amp;amp;gt;None&amp;amp;lt;/DateFormat&amp;amp;gt;&amp;amp;lt;RightHandSideExpression xml:space=&amp;amp;quot;preserve&amp;amp;quot;&amp;amp;gt;MFPR01002567&amp;amp;lt;/RightHandSideExpression&amp;amp;gt;&amp;amp;lt;IsSubquery&amp;amp;gt;False&amp;amp;lt;/IsSubquery&amp;amp;gt;&amp;amp;lt;SubqueryT'"</definedName>
    <definedName name="_AMO_ContentDefinition_781078101.669"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781078101.67" hidden="1">"';#xA;'MFPR01006379',&amp;amp;#xD;&amp;amp;#xA;'MFPR01006380',&amp;amp;#xD;&amp;amp;#xA;'MFPR01006381',&amp;amp;#xD;&amp;amp;#xA;'MFPR01006382',&amp;amp;#xD;&amp;amp;#xA;'MFPR01006383',&amp;amp;#xD;&amp;amp;#xA;'MFPR01006384',&amp;amp;#xD;&amp;amp;#xA;'MFPR01006385',&amp;amp;#xD;&amp;amp;#xA;'MFPR01006386','"</definedName>
    <definedName name="_AMO_ContentDefinition_781078101.670" hidden="1">"'andSideExpression xml:space=&amp;amp;quot;preserve&amp;amp;quot;&amp;amp;gt;MFPR01002571&amp;amp;lt;/RightHandSideExpression&amp;amp;gt;&amp;amp;lt;IsSubquery&amp;amp;gt;False&amp;amp;lt;/IsSubquery&amp;amp;gt;&amp;amp;lt;SubqueryTemplateName /&amp;amp;gt;&amp;amp;lt;/RHSItem&amp;amp;gt;&amp;amp;lt;RHSItem'"</definedName>
    <definedName name="_AMO_ContentDefinition_781078101.671" hidden="1">"'&amp;amp;gt;&amp;amp;lt;RHSType&amp;amp;gt;EXPRESSION&amp;amp;lt;/RHSType&amp;amp;gt;&amp;amp;lt;AddQuotes&amp;amp;gt;True&amp;amp;lt;/AddQuotes&amp;amp;gt;&amp;amp;lt;DateFormat&amp;amp;gt;None&amp;amp;lt;/DateFormat&amp;amp;gt;&amp;amp;lt;RightHandSideExpression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781078101.672" hidden="1">"';gt;MFPR01002577&amp;amp;lt;/RightHandSideExpression&amp;amp;gt;&amp;amp;lt;IsSubquery&amp;amp;gt;False&amp;amp;lt;/IsSubquery&amp;amp;gt;&amp;amp;lt;SubqueryTemplateName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781078101.673" hidden="1">"'p;gt;&amp;amp;lt;AddQuotes&amp;amp;gt;True&amp;amp;lt;/AddQuotes&amp;amp;gt;&amp;amp;lt;DateFormat&amp;amp;gt;None&amp;amp;lt;/DateFormat&amp;amp;gt;&amp;amp;lt;RightHandSideExpression xml:space=&amp;amp;quot;preserve&amp;amp;quot;&amp;amp;gt;MFPR01002581&amp;amp;lt;/RightHandSideExpression&amp;amp;gt;&amp;amp'"</definedName>
    <definedName name="_AMO_ContentDefinition_781078101.674"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781078101.675" hidden="1">"'&amp;amp;lt;DateFormat&amp;amp;gt;None&amp;amp;lt;/DateFormat&amp;amp;gt;&amp;amp;lt;RightHandSideExpression xml:space=&amp;amp;quot;preserve&amp;amp;quot;&amp;amp;gt;MFPR01002582&amp;amp;lt;/RightHandSideExpression&amp;amp;gt;&amp;amp;lt;IsSubquery&amp;amp;gt;False&amp;amp;lt;/IsSubquery&amp;amp;gt;&amp;amp;l'"</definedName>
    <definedName name="_AMO_ContentDefinition_781078101.676"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781078101.677" hidden="1">"'p;lt;RightHandSideExpression xml:space=&amp;amp;quot;preserve&amp;amp;quot;&amp;amp;gt;MFPR01002583&amp;amp;lt;/RightHandSideExpression&amp;amp;gt;&amp;amp;lt;IsSubquery&amp;amp;gt;False&amp;amp;lt;/IsSubquery&amp;amp;gt;&amp;amp;lt;SubqueryTemplateName /&amp;amp;gt;&amp;amp;lt;/RHSItem&amp;amp;gt;&amp;amp'"</definedName>
    <definedName name="_AMO_ContentDefinition_781078101.678" hidden="1">"';lt;RHSItem&amp;amp;gt;&amp;amp;lt;RHSType&amp;amp;gt;EXPRESSION&amp;amp;lt;/RHSType&amp;amp;gt;&amp;amp;lt;AddQuotes&amp;amp;gt;True&amp;amp;lt;/AddQuotes&amp;amp;gt;&amp;amp;lt;DateFormat&amp;amp;gt;None&amp;amp;lt;/DateFormat&amp;amp;gt;&amp;amp;lt;RightHandSideExpression xml:space=&amp;amp;quot;preserve&amp;am'"</definedName>
    <definedName name="_AMO_ContentDefinition_781078101.679" hidden="1">"'p;quot;&amp;amp;gt;MFPR01002635&amp;amp;lt;/RightHandSideExpression&amp;amp;gt;&amp;amp;lt;IsSubquery&amp;amp;gt;False&amp;amp;lt;/IsSubquery&amp;amp;gt;&amp;amp;lt;SubqueryTemplateName /&amp;amp;gt;&amp;amp;lt;/RHSItem&amp;amp;gt;&amp;amp;lt;RHSItem&amp;amp;gt;&amp;amp;lt;RHSType&amp;amp;gt;EXPRESSION&amp;amp;lt;'"</definedName>
    <definedName name="_AMO_ContentDefinition_781078101.68" hidden="1">"'&amp;amp;#xD;&amp;amp;#xA;'MFPR01006387',&amp;amp;#xD;&amp;amp;#xA;'MFPR01006388',&amp;amp;#xD;&amp;amp;#xA;'MFPR01006389',&amp;amp;#xD;&amp;amp;#xA;'MFPR01006390',&amp;amp;#xD;&amp;amp;#xA;'MFPR01006391',&amp;amp;#xD;&amp;amp;#xA;'MFPR01006392',&amp;amp;#xD;&amp;amp;#xA;'MFPR01006393',&amp;amp;#xD;&amp;amp;#xA;'M'"</definedName>
    <definedName name="_AMO_ContentDefinition_781078101.680" hidden="1">"'/RHSType&amp;amp;gt;&amp;amp;lt;AddQuotes&amp;amp;gt;True&amp;amp;lt;/AddQuotes&amp;amp;gt;&amp;amp;lt;DateFormat&amp;amp;gt;None&amp;amp;lt;/DateFormat&amp;amp;gt;&amp;amp;lt;RightHandSideExpression xml:space=&amp;amp;quot;preserve&amp;amp;quot;&amp;amp;gt;MFPR01002636&amp;amp;lt;/RightHandSideExpression&amp;'"</definedName>
    <definedName name="_AMO_ContentDefinition_781078101.681"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781078101.682" hidden="1">"'tes&amp;amp;gt;&amp;amp;lt;DateFormat&amp;amp;gt;None&amp;amp;lt;/DateFormat&amp;amp;gt;&amp;amp;lt;RightHandSideExpression xml:space=&amp;amp;quot;preserve&amp;amp;quot;&amp;amp;gt;MFPR01002640&amp;amp;lt;/RightHandSideExpression&amp;amp;gt;&amp;amp;lt;IsSubquery&amp;amp;gt;False&amp;amp;lt;/IsSubquery&amp;am'"</definedName>
    <definedName name="_AMO_ContentDefinition_781078101.683"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781078101.684" hidden="1">"'&amp;amp;gt;&amp;amp;lt;RightHandSideExpression xml:space=&amp;amp;quot;preserve&amp;amp;quot;&amp;amp;gt;MFPR01002652&amp;amp;lt;/RightHandSideExpression&amp;amp;gt;&amp;amp;lt;IsSubquery&amp;amp;gt;False&amp;amp;lt;/IsSubquery&amp;amp;gt;&amp;amp;lt;SubqueryTemplateName /&amp;amp;gt;&amp;amp;lt;/RHSItem&amp;'"</definedName>
    <definedName name="_AMO_ContentDefinition_781078101.685" hidden="1">"'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781078101.686" hidden="1">"'preserve&amp;amp;quot;&amp;amp;gt;MFPR01002697&amp;amp;lt;/RightHandSideExpression&amp;amp;gt;&amp;amp;lt;IsSubquery&amp;amp;gt;False&amp;amp;lt;/IsSubquery&amp;amp;gt;&amp;amp;lt;SubqueryTemplateName /&amp;amp;gt;&amp;amp;lt;/RHSItem&amp;amp;gt;&amp;amp;lt;RHSItem&amp;amp;gt;&amp;amp;lt;RHSType&amp;amp;gt;EXPRESS'"</definedName>
    <definedName name="_AMO_ContentDefinition_781078101.687" hidden="1">"'ION&amp;amp;lt;/RHSType&amp;amp;gt;&amp;amp;lt;AddQuotes&amp;amp;gt;True&amp;amp;lt;/AddQuotes&amp;amp;gt;&amp;amp;lt;DateFormat&amp;amp;gt;None&amp;amp;lt;/DateFormat&amp;amp;gt;&amp;amp;lt;RightHandSideExpression xml:space=&amp;amp;quot;preserve&amp;amp;quot;&amp;amp;gt;MFPR01002700&amp;amp;lt;/RightHandSide'"</definedName>
    <definedName name="_AMO_ContentDefinition_781078101.688"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781078101.689" hidden="1">"';lt;/AddQuotes&amp;amp;gt;&amp;amp;lt;DateFormat&amp;amp;gt;None&amp;amp;lt;/DateFormat&amp;amp;gt;&amp;amp;lt;RightHandSideExpression xml:space=&amp;amp;quot;preserve&amp;amp;quot;&amp;amp;gt;MFPR01002701&amp;amp;lt;/RightHandSideExpression&amp;amp;gt;&amp;amp;lt;IsSubquery&amp;amp;gt;False&amp;amp;lt;/Is'"</definedName>
    <definedName name="_AMO_ContentDefinition_781078101.69" hidden="1">"'FPR01006394',&amp;amp;#xD;&amp;amp;#xA;'MFPR01006395',&amp;amp;#xD;&amp;amp;#xA;'MFPR01006396',&amp;amp;#xD;&amp;amp;#xA;'MFPR01006397',&amp;amp;#xD;&amp;amp;#xA;'MFPR01006398',&amp;amp;#xD;&amp;amp;#xA;'MFPR01006399',&amp;amp;#xD;&amp;amp;#xA;'MFPR06008550',&amp;amp;#xD;&amp;amp;#xA;'MFPR06008571',&amp;amp;#x'"</definedName>
    <definedName name="_AMO_ContentDefinition_781078101.690"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781078101.691" hidden="1">"'/DateFormat&amp;amp;gt;&amp;amp;lt;RightHandSideExpression xml:space=&amp;amp;quot;preserve&amp;amp;quot;&amp;amp;gt;MFPR01002704&amp;amp;lt;/RightHandSideExpression&amp;amp;gt;&amp;amp;lt;IsSubquery&amp;amp;gt;False&amp;amp;lt;/IsSubquery&amp;amp;gt;&amp;amp;lt;SubqueryTemplateName /&amp;amp;gt;&amp;amp;l'"</definedName>
    <definedName name="_AMO_ContentDefinition_781078101.692" hidden="1">"'t;/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781078101.693" hidden="1">"'=&amp;amp;quot;preserve&amp;amp;quot;&amp;amp;gt;MFPR01002705&amp;amp;lt;/RightHandSideExpression&amp;amp;gt;&amp;amp;lt;IsSubquery&amp;amp;gt;False&amp;amp;lt;/IsSubquery&amp;amp;gt;&amp;amp;lt;SubqueryTemplateName /&amp;amp;gt;&amp;amp;lt;/RHSItem&amp;amp;gt;&amp;amp;lt;RHSItem&amp;amp;gt;&amp;amp;lt;RHSType&amp;amp'"</definedName>
    <definedName name="_AMO_ContentDefinition_781078101.694" hidden="1">"';gt;EXPRESSION&amp;amp;lt;/RHSType&amp;amp;gt;&amp;amp;lt;AddQuotes&amp;amp;gt;True&amp;amp;lt;/AddQuotes&amp;amp;gt;&amp;amp;lt;DateFormat&amp;amp;gt;None&amp;amp;lt;/DateFormat&amp;amp;gt;&amp;amp;lt;RightHandSideExpression xml:space=&amp;amp;quot;preserve&amp;amp;quot;&amp;amp;gt;MFPR01002709&amp;amp;lt;/Ri'"</definedName>
    <definedName name="_AMO_ContentDefinition_781078101.695"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781078101.696" hidden="1">"'gt;True&amp;amp;lt;/AddQuotes&amp;amp;gt;&amp;amp;lt;DateFormat&amp;amp;gt;None&amp;amp;lt;/DateFormat&amp;amp;gt;&amp;amp;lt;RightHandSideExpression xml:space=&amp;amp;quot;preserve&amp;amp;quot;&amp;amp;gt;MFPR01002715&amp;amp;lt;/RightHandSideExpression&amp;amp;gt;&amp;amp;lt;IsSubquery&amp;amp;gt;False'"</definedName>
    <definedName name="_AMO_ContentDefinition_781078101.697"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781078101.698" hidden="1">"'one&amp;amp;lt;/DateFormat&amp;amp;gt;&amp;amp;lt;RightHandSideExpression xml:space=&amp;amp;quot;preserve&amp;amp;quot;&amp;amp;gt;MFPR01002719&amp;amp;lt;/RightHandSideExpression&amp;amp;gt;&amp;amp;lt;IsSubquery&amp;amp;gt;False&amp;amp;lt;/IsSubquery&amp;amp;gt;&amp;amp;lt;SubqueryTemplateName /&amp;am'"</definedName>
    <definedName name="_AMO_ContentDefinition_781078101.699"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781078101.7" hidden="1">"'260',&amp;#xD;&amp;#xA;'MFPR01000279',&amp;#xD;&amp;#xA;'MFPR01006359',&amp;#xD;&amp;#xA;'MFPR01006361',&amp;#xD;&amp;#xA;'MFPR01006362',&amp;#xD;&amp;#xA;'MFPR01006363',&amp;#xD;&amp;#xA;'MFPR01006364',&amp;#xD;&amp;#xA;'MFPR01006365',&amp;#xD;&amp;#xA;'MFPR01006366',&amp;#xD;&amp;#xA;'MFPR01006367',&amp;#xD;&amp;#xA;'MFPR010063'"</definedName>
    <definedName name="_AMO_ContentDefinition_781078101.70" hidden="1">"'D;&amp;amp;#xA;'MFFSIR001021',&amp;amp;#xD;&amp;amp;#xA;'MFDRVD000167',&amp;amp;#xD;&amp;amp;#xA;'MFFSIR001028',&amp;amp;#xD;&amp;amp;#xA;'MFPR01006405',&amp;amp;#xD;&amp;amp;#xA;'MFPR01006406',&amp;amp;#xD;&amp;amp;#xA;'MFPR01006407',&amp;amp;#xD;&amp;amp;#xA;'MFPR01006408',&amp;amp;#xD;&amp;amp;#xA;'MFPR0100'"</definedName>
    <definedName name="_AMO_ContentDefinition_781078101.700" hidden="1">"'n xml:space=&amp;amp;quot;preserve&amp;amp;quot;&amp;amp;gt;MFPR01002720&amp;amp;lt;/RightHandSideExpression&amp;amp;gt;&amp;amp;lt;IsSubquery&amp;amp;gt;False&amp;amp;lt;/IsSubquery&amp;amp;gt;&amp;amp;lt;SubqueryTemplateName /&amp;amp;gt;&amp;amp;lt;/RHSItem&amp;amp;gt;&amp;amp;lt;RHSItem&amp;amp;gt;&amp;amp;lt;'"</definedName>
    <definedName name="_AMO_ContentDefinition_781078101.701" hidden="1">"'RHSType&amp;amp;gt;EXPRESSION&amp;amp;lt;/RHSType&amp;amp;gt;&amp;amp;lt;AddQuotes&amp;amp;gt;True&amp;amp;lt;/AddQuotes&amp;amp;gt;&amp;amp;lt;DateFormat&amp;amp;gt;None&amp;amp;lt;/DateFormat&amp;amp;gt;&amp;amp;lt;RightHandSideExpression xml:space=&amp;amp;quot;preserve&amp;amp;quot;&amp;amp;gt;MFPR01002721'"</definedName>
    <definedName name="_AMO_ContentDefinition_781078101.702"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781078101.703" hidden="1">"'Quotes&amp;amp;gt;True&amp;amp;lt;/AddQuotes&amp;amp;gt;&amp;amp;lt;DateFormat&amp;amp;gt;None&amp;amp;lt;/DateFormat&amp;amp;gt;&amp;amp;lt;RightHandSideExpression xml:space=&amp;amp;quot;preserve&amp;amp;quot;&amp;amp;gt;MFPR01002766&amp;amp;lt;/RightHandSideExpression&amp;amp;gt;&amp;amp;lt;IsSubquery&amp;a'"</definedName>
    <definedName name="_AMO_ContentDefinition_781078101.704"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781078101.705" hidden="1">"'at&amp;amp;gt;None&amp;amp;lt;/DateFormat&amp;amp;gt;&amp;amp;lt;RightHandSideExpression xml:space=&amp;amp;quot;preserve&amp;amp;quot;&amp;amp;gt;MFPR01002769&amp;amp;lt;/RightHandSideExpression&amp;amp;gt;&amp;amp;lt;IsSubquery&amp;amp;gt;False&amp;amp;lt;/IsSubquery&amp;amp;gt;&amp;amp;lt;SubqueryTempla'"</definedName>
    <definedName name="_AMO_ContentDefinition_781078101.706"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781078101.707" hidden="1">"'deExpression xml:space=&amp;amp;quot;preserve&amp;amp;quot;&amp;amp;gt;MFPR01002770&amp;amp;lt;/RightHandSideExpression&amp;amp;gt;&amp;amp;lt;IsSubquery&amp;amp;gt;False&amp;amp;lt;/IsSubquery&amp;amp;gt;&amp;amp;lt;SubqueryTemplateName /&amp;amp;gt;&amp;amp;lt;/RHSItem&amp;amp;gt;&amp;amp;lt;RHSItem&amp;amp;'"</definedName>
    <definedName name="_AMO_ContentDefinition_781078101.708" hidden="1">"'gt;&amp;amp;lt;RHSType&amp;amp;gt;EXPRESSION&amp;amp;lt;/RHSType&amp;amp;gt;&amp;amp;lt;AddQuotes&amp;amp;gt;True&amp;amp;lt;/AddQuotes&amp;amp;gt;&amp;amp;lt;DateFormat&amp;amp;gt;None&amp;amp;lt;/DateFormat&amp;amp;gt;&amp;amp;lt;RightHandSideExpression xml:space=&amp;amp;quot;preserve&amp;amp;quot;&amp;amp;gt;M'"</definedName>
    <definedName name="_AMO_ContentDefinition_781078101.709" hidden="1">"'FPR01002773&amp;amp;lt;/RightHandSideExpression&amp;amp;gt;&amp;amp;lt;IsSubquery&amp;amp;gt;False&amp;amp;lt;/IsSubquery&amp;amp;gt;&amp;amp;lt;SubqueryTemplateName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781078101.71" hidden="1">"'6409',&amp;amp;#xD;&amp;amp;#xA;'MFPR01006410',&amp;amp;#xD;&amp;amp;#xA;'MFPR01006411',&amp;amp;#xD;&amp;amp;#xA;'MFPR01006412',&amp;amp;#xD;&amp;amp;#xA;'MFPR01006413',&amp;amp;#xD;&amp;amp;#xA;'MFPR01006414',&amp;amp;#xD;&amp;amp;#xA;'MFFSIR001012',&amp;amp;#xD;&amp;amp;#xA;'MFPR01006415',&amp;amp;#xD;&amp;amp;'"</definedName>
    <definedName name="_AMO_ContentDefinition_781078101.710" hidden="1">"'&amp;amp;lt;AddQuotes&amp;amp;gt;True&amp;amp;lt;/AddQuotes&amp;amp;gt;&amp;amp;lt;DateFormat&amp;amp;gt;None&amp;amp;lt;/DateFormat&amp;amp;gt;&amp;amp;lt;RightHandSideExpression xml:space=&amp;amp;quot;preserve&amp;amp;quot;&amp;amp;gt;MFPR01002774&amp;amp;lt;/RightHandSideExpression&amp;amp;gt;&amp;amp;lt;I'"</definedName>
    <definedName name="_AMO_ContentDefinition_781078101.711"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781078101.712" hidden="1">"'lt;DateFormat&amp;amp;gt;None&amp;amp;lt;/DateFormat&amp;amp;gt;&amp;amp;lt;RightHandSideExpression xml:space=&amp;amp;quot;preserve&amp;amp;quot;&amp;amp;gt;MFPR01002778&amp;amp;lt;/RightHandSideExpression&amp;amp;gt;&amp;amp;lt;IsSubquery&amp;amp;gt;False&amp;amp;lt;/IsSubquery&amp;amp;gt;&amp;amp;lt;Sub'"</definedName>
    <definedName name="_AMO_ContentDefinition_781078101.713"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781078101.714" hidden="1">"'RightHandSideExpression xml:space=&amp;amp;quot;preserve&amp;amp;quot;&amp;amp;gt;MFPR01002784&amp;amp;lt;/RightHandSideExpression&amp;amp;gt;&amp;amp;lt;IsSubquery&amp;amp;gt;False&amp;amp;lt;/IsSubquery&amp;amp;gt;&amp;amp;lt;SubqueryTemplateName /&amp;amp;gt;&amp;amp;lt;/RHSItem&amp;amp;gt;&amp;amp;lt;R'"</definedName>
    <definedName name="_AMO_ContentDefinition_781078101.715" hidden="1">"'HSItem&amp;amp;gt;&amp;amp;lt;RHSType&amp;amp;gt;EXPRESSION&amp;amp;lt;/RHSType&amp;amp;gt;&amp;amp;lt;AddQuotes&amp;amp;gt;True&amp;amp;lt;/AddQuotes&amp;amp;gt;&amp;amp;lt;DateFormat&amp;amp;gt;None&amp;amp;lt;/DateFormat&amp;amp;gt;&amp;amp;lt;RightHandSideExpression xml:space=&amp;amp;quot;preserve&amp;amp;quo'"</definedName>
    <definedName name="_AMO_ContentDefinition_781078101.716" hidden="1">"'t;&amp;amp;gt;MFPR01002788&amp;amp;lt;/RightHandSideExpression&amp;amp;gt;&amp;amp;lt;IsSubquery&amp;amp;gt;False&amp;amp;lt;/IsSubquery&amp;amp;gt;&amp;amp;lt;SubqueryTemplateName /&amp;amp;gt;&amp;amp;lt;/RHSItem&amp;amp;gt;&amp;amp;lt;RHSItem&amp;amp;gt;&amp;amp;lt;RHSType&amp;amp;gt;EXPRESSION&amp;amp;lt;/RHST'"</definedName>
    <definedName name="_AMO_ContentDefinition_781078101.717" hidden="1">"'ype&amp;amp;gt;&amp;amp;lt;AddQuotes&amp;amp;gt;True&amp;amp;lt;/AddQuotes&amp;amp;gt;&amp;amp;lt;DateFormat&amp;amp;gt;None&amp;amp;lt;/DateFormat&amp;amp;gt;&amp;amp;lt;RightHandSideExpression xml:space=&amp;amp;quot;preserve&amp;amp;quot;&amp;amp;gt;MFPR01002789&amp;amp;lt;/RightHandSideExpression&amp;amp;g'"</definedName>
    <definedName name="_AMO_ContentDefinition_781078101.718"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781078101.719" hidden="1">"'mp;gt;&amp;amp;lt;DateFormat&amp;amp;gt;None&amp;amp;lt;/DateFormat&amp;amp;gt;&amp;amp;lt;RightHandSideExpression xml:space=&amp;amp;quot;preserve&amp;amp;quot;&amp;amp;gt;MFPR01002790&amp;amp;lt;/RightHandSideExpression&amp;amp;gt;&amp;amp;lt;IsSubquery&amp;amp;gt;False&amp;amp;lt;/IsSubquery&amp;amp;gt;'"</definedName>
    <definedName name="_AMO_ContentDefinition_781078101.72" hidden="1">"'#xA;'MFFSIR001005',&amp;amp;#xD;&amp;amp;#xA;'MFPR06008579',&amp;amp;#xD;&amp;amp;#xA;'MFPR06008585',&amp;amp;#xD;&amp;amp;#xA;'MFPR06008580',&amp;amp;#xD;&amp;amp;#xA;'MFPR01006315',&amp;amp;#xD;&amp;amp;#xA;'MFPR01006304',&amp;amp;#xD;&amp;amp;#xA;'MFPR01000307',&amp;amp;#xD;&amp;amp;#xA;'MFPR01006447',&amp;'"</definedName>
    <definedName name="_AMO_ContentDefinition_781078101.720"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781078101.721" hidden="1">"'gt;&amp;amp;lt;RightHandSideExpression xml:space=&amp;amp;quot;preserve&amp;amp;quot;&amp;amp;gt;MFPR01002835&amp;amp;lt;/RightHandSideExpression&amp;amp;gt;&amp;amp;lt;IsSubquery&amp;amp;gt;False&amp;amp;lt;/IsSubquery&amp;amp;gt;&amp;amp;lt;SubqueryTemplateName /&amp;amp;gt;&amp;amp;lt;/RHSItem&amp;amp;g'"</definedName>
    <definedName name="_AMO_ContentDefinition_781078101.722" hidden="1">"'t;&amp;amp;lt;RHSItem&amp;amp;gt;&amp;amp;lt;RHSType&amp;amp;gt;EXPRESSION&amp;amp;lt;/RHSType&amp;amp;gt;&amp;amp;lt;AddQuotes&amp;amp;gt;True&amp;amp;lt;/AddQuotes&amp;amp;gt;&amp;amp;lt;DateFormat&amp;amp;gt;None&amp;amp;lt;/DateFormat&amp;amp;gt;&amp;amp;lt;RightHandSideExpression xml:space=&amp;amp;quot;prese'"</definedName>
    <definedName name="_AMO_ContentDefinition_781078101.723" hidden="1">"'rve&amp;amp;quot;&amp;amp;gt;MFPR01002836&amp;amp;lt;/RightHandSideExpression&amp;amp;gt;&amp;amp;lt;IsSubquery&amp;amp;gt;False&amp;amp;lt;/IsSubquery&amp;amp;gt;&amp;amp;lt;SubqueryTemplateName /&amp;amp;gt;&amp;amp;lt;/RHSItem&amp;amp;gt;&amp;amp;lt;RHSItem&amp;amp;gt;&amp;amp;lt;RHSType&amp;amp;gt;EXPRESSION&amp;a'"</definedName>
    <definedName name="_AMO_ContentDefinition_781078101.724" hidden="1">"'mp;lt;/RHSType&amp;amp;gt;&amp;amp;lt;AddQuotes&amp;amp;gt;True&amp;amp;lt;/AddQuotes&amp;amp;gt;&amp;amp;lt;DateFormat&amp;amp;gt;None&amp;amp;lt;/DateFormat&amp;amp;gt;&amp;amp;lt;RightHandSideExpression xml:space=&amp;amp;quot;preserve&amp;amp;quot;&amp;amp;gt;MFPR01002840&amp;amp;lt;/RightHandSideExpre'"</definedName>
    <definedName name="_AMO_ContentDefinition_781078101.725"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781078101.726" hidden="1">"'AddQuotes&amp;amp;gt;&amp;amp;lt;DateFormat&amp;amp;gt;None&amp;amp;lt;/DateFormat&amp;amp;gt;&amp;amp;lt;RightHandSideExpression xml:space=&amp;amp;quot;preserve&amp;amp;quot;&amp;amp;gt;MFPR01002846&amp;amp;lt;/RightHandSideExpression&amp;amp;gt;&amp;amp;lt;IsSubquery&amp;amp;gt;False&amp;amp;lt;/IsSubqu'"</definedName>
    <definedName name="_AMO_ContentDefinition_781078101.727"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781078101.728" hidden="1">"'Format&amp;amp;gt;&amp;amp;lt;RightHandSideExpression xml:space=&amp;amp;quot;preserve&amp;amp;quot;&amp;amp;gt;MFPR01002868&amp;amp;lt;/RightHandSideExpression&amp;amp;gt;&amp;amp;lt;IsSubquery&amp;amp;gt;False&amp;amp;lt;/IsSubquery&amp;amp;gt;&amp;amp;lt;SubqueryTemplateName /&amp;amp;gt;&amp;amp;lt;/RH'"</definedName>
    <definedName name="_AMO_ContentDefinition_781078101.729" hidden="1">"'S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781078101.73" hidden="1">"'amp;#xD;&amp;amp;#xA;'MFPR01006448',&amp;amp;#xD;&amp;amp;#xA;'MFPR01006403',&amp;amp;#xD;&amp;amp;#xA;'MFPR06008553',&amp;amp;#xD;&amp;amp;#xA;'MFPR06008578',&amp;amp;#xD;&amp;amp;#xA;'MFPR01006454',&amp;amp;#xD;&amp;amp;#xA;'MFPR01006455',&amp;amp;#xD;&amp;amp;#xA;'MFPR06008581',&amp;amp;#xD;&amp;amp;#xA;'MF'"</definedName>
    <definedName name="_AMO_ContentDefinition_781078101.730" hidden="1">"';quot;preserve&amp;amp;quot;&amp;amp;gt;MFPR01002871&amp;amp;lt;/RightHandSideExpression&amp;amp;gt;&amp;amp;lt;IsSubquery&amp;amp;gt;False&amp;amp;lt;/IsSubquery&amp;amp;gt;&amp;amp;lt;SubqueryTemplateName /&amp;amp;gt;&amp;amp;lt;/RHSItem&amp;amp;gt;&amp;amp;lt;RHSItem&amp;amp;gt;&amp;amp;lt;RHSType&amp;amp;gt;E'"</definedName>
    <definedName name="_AMO_ContentDefinition_781078101.731" hidden="1">"'XPRESSION&amp;amp;lt;/RHSType&amp;amp;gt;&amp;amp;lt;AddQuotes&amp;amp;gt;True&amp;amp;lt;/AddQuotes&amp;amp;gt;&amp;amp;lt;DateFormat&amp;amp;gt;None&amp;amp;lt;/DateFormat&amp;amp;gt;&amp;amp;lt;RightHandSideExpression xml:space=&amp;amp;quot;preserve&amp;amp;quot;&amp;amp;gt;MFPR01002872&amp;amp;lt;/RightHa'"</definedName>
    <definedName name="_AMO_ContentDefinition_781078101.732"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781078101.733" hidden="1">"'ue&amp;amp;lt;/AddQuotes&amp;amp;gt;&amp;amp;lt;DateFormat&amp;amp;gt;None&amp;amp;lt;/DateFormat&amp;amp;gt;&amp;amp;lt;RightHandSideExpression xml:space=&amp;amp;quot;preserve&amp;amp;quot;&amp;amp;gt;MFPR01002875&amp;amp;lt;/RightHandSideExpression&amp;amp;gt;&amp;amp;lt;IsSubquery&amp;amp;gt;False&amp;amp;'"</definedName>
    <definedName name="_AMO_ContentDefinition_781078101.734"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781078101.735" hidden="1">"'mp;lt;/DateFormat&amp;amp;gt;&amp;amp;lt;RightHandSideExpression xml:space=&amp;amp;quot;preserve&amp;amp;quot;&amp;amp;gt;MFPR01002876&amp;amp;lt;/RightHandSideExpression&amp;amp;gt;&amp;amp;lt;IsSubquery&amp;amp;gt;False&amp;amp;lt;/IsSubquery&amp;amp;gt;&amp;amp;lt;SubqueryTemplateName /&amp;amp;gt;'"</definedName>
    <definedName name="_AMO_ContentDefinition_781078101.736" hidden="1">"'&amp;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781078101.737" hidden="1">"':space=&amp;amp;quot;preserve&amp;amp;quot;&amp;amp;gt;MFPR01002880&amp;amp;lt;/RightHandSideExpression&amp;amp;gt;&amp;amp;lt;IsSubquery&amp;amp;gt;False&amp;amp;lt;/IsSubquery&amp;amp;gt;&amp;amp;lt;SubqueryTemplateName /&amp;amp;gt;&amp;amp;lt;/RHSItem&amp;amp;gt;&amp;amp;lt;RHSItem&amp;amp;gt;&amp;amp;lt;RHSTy'"</definedName>
    <definedName name="_AMO_ContentDefinition_781078101.738" hidden="1">"'pe&amp;amp;gt;EXPRESSION&amp;amp;lt;/RHSType&amp;amp;gt;&amp;amp;lt;AddQuotes&amp;amp;gt;True&amp;amp;lt;/AddQuotes&amp;amp;gt;&amp;amp;lt;DateFormat&amp;amp;gt;None&amp;amp;lt;/DateFormat&amp;amp;gt;&amp;amp;lt;RightHandSideExpression xml:space=&amp;amp;quot;preserve&amp;amp;quot;&amp;amp;gt;MFPR01002886&amp;amp;'"</definedName>
    <definedName name="_AMO_ContentDefinition_781078101.739"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781078101.74" hidden="1">"'PR04004642',&amp;amp;#xD;&amp;amp;#xA;'MFPR01006400',&amp;amp;#xD;&amp;amp;#xA;'MFPR01006451',&amp;amp;#xD;&amp;amp;#xA;'MFPR01006452',&amp;amp;#xD;&amp;amp;#xA;'MFPR02001304',&amp;amp;#xD;&amp;amp;#xA;'MFPR02001305',&amp;amp;#xD;&amp;amp;#xA;'MFBS01000041',&amp;amp;#xD;&amp;amp;#xA;'MFBS01000096',&amp;amp;#xD'"</definedName>
    <definedName name="_AMO_ContentDefinition_781078101.740" hidden="1">"'s&amp;amp;gt;True&amp;amp;lt;/AddQuotes&amp;amp;gt;&amp;amp;lt;DateFormat&amp;amp;gt;None&amp;amp;lt;/DateFormat&amp;amp;gt;&amp;amp;lt;RightHandSideExpression xml:space=&amp;amp;quot;preserve&amp;amp;quot;&amp;amp;gt;MFPR01002890&amp;amp;lt;/RightHandSideExpression&amp;amp;gt;&amp;amp;lt;IsSubquery&amp;amp;gt'"</definedName>
    <definedName name="_AMO_ContentDefinition_781078101.741"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781078101.742" hidden="1">"'p;gt;None&amp;amp;lt;/DateFormat&amp;amp;gt;&amp;amp;lt;RightHandSideExpression xml:space=&amp;amp;quot;preserve&amp;amp;quot;&amp;amp;gt;MFPR01002891&amp;amp;lt;/RightHandSideExpression&amp;amp;gt;&amp;amp;lt;IsSubquery&amp;amp;gt;False&amp;amp;lt;/IsSubquery&amp;amp;gt;&amp;amp;lt;SubqueryTemplateNam'"</definedName>
    <definedName name="_AMO_ContentDefinition_781078101.743"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781078101.744" hidden="1">"'ression xml:space=&amp;amp;quot;preserve&amp;amp;quot;&amp;amp;gt;MFPR01002892&amp;amp;lt;/RightHandSideExpression&amp;amp;gt;&amp;amp;lt;IsSubquery&amp;amp;gt;False&amp;amp;lt;/IsSubquery&amp;amp;gt;&amp;amp;lt;SubqueryTemplateName /&amp;amp;gt;&amp;amp;lt;/RHSItem&amp;amp;gt;&amp;amp;lt;RHSItem&amp;amp;gt;&amp;a'"</definedName>
    <definedName name="_AMO_ContentDefinition_781078101.745" hidden="1">"'mp;lt;RHSType&amp;amp;gt;EXPRESSION&amp;amp;lt;/RHSType&amp;amp;gt;&amp;amp;lt;AddQuotes&amp;amp;gt;True&amp;amp;lt;/AddQuotes&amp;amp;gt;&amp;amp;lt;DateFormat&amp;amp;gt;None&amp;amp;lt;/DateFormat&amp;amp;gt;&amp;amp;lt;RightHandSideExpression xml:space=&amp;amp;quot;preserve&amp;amp;quot;&amp;amp;gt;MFPR02'"</definedName>
    <definedName name="_AMO_ContentDefinition_781078101.746" hidden="1">"'000975&amp;amp;lt;/RightHandSideExpression&amp;amp;gt;&amp;amp;lt;IsSubquery&amp;amp;gt;False&amp;amp;lt;/IsSubquery&amp;amp;gt;&amp;amp;lt;SubqueryTemplateName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781078101.747" hidden="1">"'lt;AddQuotes&amp;amp;gt;True&amp;amp;lt;/AddQuotes&amp;amp;gt;&amp;amp;lt;DateFormat&amp;amp;gt;None&amp;amp;lt;/DateFormat&amp;amp;gt;&amp;amp;lt;RightHandSideExpression xml:space=&amp;amp;quot;preserve&amp;amp;quot;&amp;amp;gt;MFPR02000977&amp;amp;lt;/RightHandSideExpression&amp;amp;gt;&amp;amp;lt;IsSubq'"</definedName>
    <definedName name="_AMO_ContentDefinition_781078101.748"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781078101.749" hidden="1">"'teFormat&amp;amp;gt;None&amp;amp;lt;/DateFormat&amp;amp;gt;&amp;amp;lt;RightHandSideExpression xml:space=&amp;amp;quot;preserve&amp;amp;quot;&amp;amp;gt;MFPR02000943&amp;amp;lt;/RightHandSideExpression&amp;amp;gt;&amp;amp;lt;IsSubquery&amp;amp;gt;False&amp;amp;lt;/IsSubquery&amp;amp;gt;&amp;amp;lt;Subquery'"</definedName>
    <definedName name="_AMO_ContentDefinition_781078101.75" hidden="1">"';&amp;amp;#xA;'MFBS01000102',&amp;amp;#xD;&amp;amp;#xA;'MFBS01000105',&amp;amp;#xD;&amp;amp;#xA;'MFBS01000114',&amp;amp;#xD;&amp;amp;#xA;'MFBS01000740',&amp;amp;#xD;&amp;amp;#xA;'MFBS01000757',&amp;amp;#xD;&amp;amp;#xA;'MFBS01000758',&amp;amp;#xD;&amp;amp;#xA;'MFBS01000879',&amp;amp;#xD;&amp;amp;#xA;'MFBS01000'"</definedName>
    <definedName name="_AMO_ContentDefinition_781078101.750"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781078101.751" hidden="1">"'HandSideExpression xml:space=&amp;amp;quot;preserve&amp;amp;quot;&amp;amp;gt;MFPR02000944&amp;amp;lt;/RightHandSideExpression&amp;amp;gt;&amp;amp;lt;IsSubquery&amp;amp;gt;False&amp;amp;lt;/IsSubquery&amp;amp;gt;&amp;amp;lt;SubqueryTemplateName /&amp;amp;gt;&amp;amp;lt;/RHSItem&amp;amp;gt;&amp;amp;lt;RHSIte'"</definedName>
    <definedName name="_AMO_ContentDefinition_781078101.752" hidden="1">"'m&amp;amp;gt;&amp;amp;lt;RHSType&amp;amp;gt;EXPRESSION&amp;amp;lt;/RHSType&amp;amp;gt;&amp;amp;lt;AddQuotes&amp;amp;gt;True&amp;amp;lt;/AddQuotes&amp;amp;gt;&amp;amp;lt;DateFormat&amp;amp;gt;None&amp;amp;lt;/DateFormat&amp;amp;gt;&amp;amp;lt;RightHandSideExpression xml:space=&amp;amp;quot;preserve&amp;amp;quot;&amp;am'"</definedName>
    <definedName name="_AMO_ContentDefinition_781078101.753" hidden="1">"'p;gt;MFPR02000976&amp;amp;lt;/RightHandSideExpression&amp;amp;gt;&amp;amp;lt;IsSubquery&amp;amp;gt;False&amp;amp;lt;/IsSubquery&amp;amp;gt;&amp;amp;lt;SubqueryTemplateName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781078101.754" hidden="1">"'mp;gt;&amp;amp;lt;AddQuotes&amp;amp;gt;True&amp;amp;lt;/AddQuotes&amp;amp;gt;&amp;amp;lt;DateFormat&amp;amp;gt;None&amp;amp;lt;/DateFormat&amp;amp;gt;&amp;amp;lt;RightHandSideExpression xml:space=&amp;amp;quot;preserve&amp;amp;quot;&amp;amp;gt;MFPR02000978&amp;amp;lt;/RightHandSideExpression&amp;amp;gt;&amp;am'"</definedName>
    <definedName name="_AMO_ContentDefinition_781078101.755"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781078101.756" hidden="1">"';&amp;amp;lt;DateFormat&amp;amp;gt;None&amp;amp;lt;/DateFormat&amp;amp;gt;&amp;amp;lt;RightHandSideExpression xml:space=&amp;amp;quot;preserve&amp;amp;quot;&amp;amp;gt;MFPR01000473&amp;amp;lt;/RightHandSideExpression&amp;amp;gt;&amp;amp;lt;IsSubquery&amp;amp;gt;False&amp;amp;lt;/IsSubquery&amp;amp;gt;&amp;amp;'"</definedName>
    <definedName name="_AMO_ContentDefinition_781078101.757"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781078101.758" hidden="1">"'mp;lt;RightHandSideExpression xml:space=&amp;amp;quot;preserve&amp;amp;quot;&amp;amp;gt;MFPR01000542&amp;amp;lt;/RightHandSideExpression&amp;amp;gt;&amp;amp;lt;IsSubquery&amp;amp;gt;False&amp;amp;lt;/IsSubquery&amp;amp;gt;&amp;amp;lt;SubqueryTemplateName /&amp;amp;gt;&amp;amp;lt;/RHSItem&amp;amp;gt;&amp;am'"</definedName>
    <definedName name="_AMO_ContentDefinition_781078101.759" hidden="1">"'p;lt;RHSItem&amp;amp;gt;&amp;amp;lt;RHSType&amp;amp;gt;EXPRESSION&amp;amp;lt;/RHSType&amp;amp;gt;&amp;amp;lt;AddQuotes&amp;amp;gt;True&amp;amp;lt;/AddQuotes&amp;amp;gt;&amp;amp;lt;DateFormat&amp;amp;gt;None&amp;amp;lt;/DateFormat&amp;amp;gt;&amp;amp;lt;RightHandSideExpression xml:space=&amp;amp;quot;preserve&amp;a'"</definedName>
    <definedName name="_AMO_ContentDefinition_781078101.76" hidden="1">"'880',&amp;amp;#xD;&amp;amp;#xA;'MFBS01000881',&amp;amp;#xD;&amp;amp;#xA;'MFBS01000882',&amp;amp;#xD;&amp;amp;#xA;'MFBS01000883',&amp;amp;#xD;&amp;amp;#xA;'MFBS01000884',&amp;amp;#xD;&amp;amp;#xA;'MFBS01000885',&amp;amp;#xD;&amp;amp;#xA;'MFBS01000886',&amp;amp;#xD;&amp;amp;#xA;'MFBS01000888',&amp;amp;#xD;&amp;amp;#'"</definedName>
    <definedName name="_AMO_ContentDefinition_781078101.760" hidden="1">"'mp;quot;&amp;amp;gt;MFPR01000611&amp;amp;lt;/RightHandSideExpression&amp;amp;gt;&amp;amp;lt;IsSubquery&amp;amp;gt;False&amp;amp;lt;/IsSubquery&amp;amp;gt;&amp;amp;lt;SubqueryTemplateName /&amp;amp;gt;&amp;amp;lt;/RHSItem&amp;amp;gt;&amp;amp;lt;RHSItem&amp;amp;gt;&amp;amp;lt;RHSType&amp;amp;gt;EXPRESSION&amp;amp;lt'"</definedName>
    <definedName name="_AMO_ContentDefinition_781078101.761" hidden="1">"';/RHSType&amp;amp;gt;&amp;amp;lt;AddQuotes&amp;amp;gt;True&amp;amp;lt;/AddQuotes&amp;amp;gt;&amp;amp;lt;DateFormat&amp;amp;gt;None&amp;amp;lt;/DateFormat&amp;amp;gt;&amp;amp;lt;RightHandSideExpression xml:space=&amp;amp;quot;preserve&amp;amp;quot;&amp;amp;gt;MFPR01000680&amp;amp;lt;/RightHandSideExpression'"</definedName>
    <definedName name="_AMO_ContentDefinition_781078101.762"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781078101.763" hidden="1">"'otes&amp;amp;gt;&amp;amp;lt;DateFormat&amp;amp;gt;None&amp;amp;lt;/DateFormat&amp;amp;gt;&amp;amp;lt;RightHandSideExpression xml:space=&amp;amp;quot;preserve&amp;amp;quot;&amp;amp;gt;MFPR01001025&amp;amp;lt;/RightHandSideExpression&amp;amp;gt;&amp;amp;lt;IsSubquery&amp;amp;gt;False&amp;amp;lt;/IsSubquery&amp;a'"</definedName>
    <definedName name="_AMO_ContentDefinition_781078101.764"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781078101.765" hidden="1">"'t&amp;amp;gt;&amp;amp;lt;RightHandSideExpression xml:space=&amp;amp;quot;preserve&amp;amp;quot;&amp;amp;gt;MFPR01001094&amp;amp;lt;/RightHandSideExpression&amp;amp;gt;&amp;amp;lt;IsSubquery&amp;amp;gt;False&amp;amp;lt;/IsSubquery&amp;amp;gt;&amp;amp;lt;SubqueryTemplateName /&amp;amp;gt;&amp;amp;lt;/RHSItem'"</definedName>
    <definedName name="_AMO_ContentDefinition_781078101.766" hidden="1">"'&amp;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781078101.767" hidden="1">"';preserve&amp;amp;quot;&amp;amp;gt;MFPR01001163&amp;amp;lt;/RightHandSideExpression&amp;amp;gt;&amp;amp;lt;IsSubquery&amp;amp;gt;False&amp;amp;lt;/IsSubquery&amp;amp;gt;&amp;amp;lt;SubqueryTemplateName /&amp;amp;gt;&amp;amp;lt;/RHSItem&amp;amp;gt;&amp;amp;lt;RHSItem&amp;amp;gt;&amp;amp;lt;RHSType&amp;amp;gt;EXPRES'"</definedName>
    <definedName name="_AMO_ContentDefinition_781078101.768" hidden="1">"'SION&amp;amp;lt;/RHSType&amp;amp;gt;&amp;amp;lt;AddQuotes&amp;amp;gt;True&amp;amp;lt;/AddQuotes&amp;amp;gt;&amp;amp;lt;DateFormat&amp;amp;gt;None&amp;amp;lt;/DateFormat&amp;amp;gt;&amp;amp;lt;RightHandSideExpression xml:space=&amp;amp;quot;preserve&amp;amp;quot;&amp;amp;gt;MFPR01001232&amp;amp;lt;/RightHandSid'"</definedName>
    <definedName name="_AMO_ContentDefinition_781078101.769"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781078101.77" hidden="1">"'xA;'MFBS01000889',&amp;amp;#xD;&amp;amp;#xA;'MFBS01000890',&amp;amp;#xD;&amp;amp;#xA;'MFBS01000891',&amp;amp;#xD;&amp;amp;#xA;'MFBS01000892',&amp;amp;#xD;&amp;amp;#xA;'MFBS01000893',&amp;amp;#xD;&amp;amp;#xA;'MFBS01000894',&amp;amp;#xD;&amp;amp;#xA;'MFBS01000896',&amp;amp;#xD;&amp;amp;#xA;'MFBS01000897',&amp;a'"</definedName>
    <definedName name="_AMO_ContentDefinition_781078101.770" hidden="1">"'p;lt;/AddQuotes&amp;amp;gt;&amp;amp;lt;DateFormat&amp;amp;gt;None&amp;amp;lt;/DateFormat&amp;amp;gt;&amp;amp;lt;RightHandSideExpression xml:space=&amp;amp;quot;preserve&amp;amp;quot;&amp;amp;gt;MFPR01000018&amp;amp;lt;/RightHandSideExpression&amp;amp;gt;&amp;amp;lt;IsSubquery&amp;amp;gt;False&amp;amp;lt;/I'"</definedName>
    <definedName name="_AMO_ContentDefinition_781078101.771"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781078101.772" hidden="1">"';/DateFormat&amp;amp;gt;&amp;amp;lt;RightHandSideExpression xml:space=&amp;amp;quot;preserve&amp;amp;quot;&amp;amp;gt;MFPR01000022&amp;amp;lt;/RightHandSideExpression&amp;amp;gt;&amp;amp;lt;IsSubquery&amp;amp;gt;False&amp;amp;lt;/IsSubquery&amp;amp;gt;&amp;amp;lt;SubqueryTemplateName /&amp;amp;gt;&amp;amp;'"</definedName>
    <definedName name="_AMO_ContentDefinition_781078101.773" hidden="1">"'lt;/RHSItem&amp;amp;gt;&amp;amp;lt;RHSItem&amp;amp;gt;&amp;amp;lt;RHSType&amp;amp;gt;EXPRESSION&amp;amp;lt;/RHSType&amp;amp;gt;&amp;amp;lt;AddQuotes&amp;amp;gt;True&amp;amp;lt;/AddQuotes&amp;amp;gt;&amp;amp;lt;DateFormat&amp;amp;gt;None&amp;amp;lt;/DateFormat&amp;amp;gt;&amp;amp;lt;RightHandSideExpression xml:spac'"</definedName>
    <definedName name="_AMO_ContentDefinition_781078101.774" hidden="1">"'e=&amp;amp;quot;preserve&amp;amp;quot;&amp;amp;gt;MFPR01000023&amp;amp;lt;/RightHandSideExpression&amp;amp;gt;&amp;amp;lt;IsSubquery&amp;amp;gt;False&amp;amp;lt;/IsSubquery&amp;amp;gt;&amp;amp;lt;SubqueryTemplateName /&amp;amp;gt;&amp;amp;lt;/RHSItem&amp;amp;gt;&amp;amp;lt;RHSItem&amp;amp;gt;&amp;amp;lt;RHSType&amp;am'"</definedName>
    <definedName name="_AMO_ContentDefinition_781078101.775" hidden="1">"'p;gt;EXPRESSION&amp;amp;lt;/RHSType&amp;amp;gt;&amp;amp;lt;AddQuotes&amp;amp;gt;True&amp;amp;lt;/AddQuotes&amp;amp;gt;&amp;amp;lt;DateFormat&amp;amp;gt;None&amp;amp;lt;/DateFormat&amp;amp;gt;&amp;amp;lt;RightHandSideExpression xml:space=&amp;amp;quot;preserve&amp;amp;quot;&amp;amp;gt;MFPR01000035&amp;amp;lt;/R'"</definedName>
    <definedName name="_AMO_ContentDefinition_781078101.776"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781078101.777" hidden="1">"';gt;True&amp;amp;lt;/AddQuotes&amp;amp;gt;&amp;amp;lt;DateFormat&amp;amp;gt;None&amp;amp;lt;/DateFormat&amp;amp;gt;&amp;amp;lt;RightHandSideExpression xml:space=&amp;amp;quot;preserve&amp;amp;quot;&amp;amp;gt;MFPR01000036&amp;amp;lt;/RightHandSideExpression&amp;amp;gt;&amp;amp;lt;IsSubquery&amp;amp;gt;Fals'"</definedName>
    <definedName name="_AMO_ContentDefinition_781078101.778"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781078101.779" hidden="1">"'None&amp;amp;lt;/DateFormat&amp;amp;gt;&amp;amp;lt;RightHandSideExpression xml:space=&amp;amp;quot;preserve&amp;amp;quot;&amp;amp;gt;MFPR01000041&amp;amp;lt;/RightHandSideExpression&amp;amp;gt;&amp;amp;lt;IsSubquery&amp;amp;gt;False&amp;amp;lt;/IsSubquery&amp;amp;gt;&amp;amp;lt;SubqueryTemplateName /&amp;a'"</definedName>
    <definedName name="_AMO_ContentDefinition_781078101.78" hidden="1">"'mp;#xD;&amp;amp;#xA;'MFBS01000898',&amp;amp;#xD;&amp;amp;#xA;'MFBS01000899',&amp;amp;#xD;&amp;amp;#xA;'MFBS01000900',&amp;amp;#xD;&amp;amp;#xA;'MFBS01000901',&amp;amp;#xD;&amp;amp;#xA;'MFBS01000903',&amp;amp;#xD;&amp;amp;#xA;'MFBS01000905',&amp;amp;#xD;&amp;amp;#xA;'MFBS01000906',&amp;amp;#xD;&amp;amp;#xA;'MFB'"</definedName>
    <definedName name="_AMO_ContentDefinition_781078101.780"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781078101.781" hidden="1">"'on xml:space=&amp;amp;quot;preserve&amp;amp;quot;&amp;amp;gt;MFPR01000043&amp;amp;lt;/RightHandSideExpression&amp;amp;gt;&amp;amp;lt;IsSubquery&amp;amp;gt;False&amp;amp;lt;/IsSubquery&amp;amp;gt;&amp;amp;lt;SubqueryTemplateName /&amp;amp;gt;&amp;amp;lt;/RHSItem&amp;amp;gt;&amp;amp;lt;RHSItem&amp;amp;gt;&amp;amp;lt'"</definedName>
    <definedName name="_AMO_ContentDefinition_781078101.782" hidden="1">"';RHSType&amp;amp;gt;EXPRESSION&amp;amp;lt;/RHSType&amp;amp;gt;&amp;amp;lt;AddQuotes&amp;amp;gt;True&amp;amp;lt;/AddQuotes&amp;amp;gt;&amp;amp;lt;DateFormat&amp;amp;gt;None&amp;amp;lt;/DateFormat&amp;amp;gt;&amp;amp;lt;RightHandSideExpression xml:space=&amp;amp;quot;preserve&amp;amp;quot;&amp;amp;gt;MFPR0100004'"</definedName>
    <definedName name="_AMO_ContentDefinition_781078101.783" hidden="1">"'4&amp;amp;lt;/RightHandSideExpression&amp;amp;gt;&amp;amp;lt;IsSubquery&amp;amp;gt;False&amp;amp;lt;/IsSubquery&amp;amp;gt;&amp;amp;lt;SubqueryTemplateName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781078101.784" hidden="1">"'dQuotes&amp;amp;gt;True&amp;amp;lt;/AddQuotes&amp;amp;gt;&amp;amp;lt;DateFormat&amp;amp;gt;None&amp;amp;lt;/DateFormat&amp;amp;gt;&amp;amp;lt;RightHandSideExpression xml:space=&amp;amp;quot;preserve&amp;amp;quot;&amp;amp;gt;MFPR01000048&amp;amp;lt;/RightHandSideExpression&amp;amp;gt;&amp;amp;lt;IsSubquery&amp;'"</definedName>
    <definedName name="_AMO_ContentDefinition_781078101.785"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781078101.786" hidden="1">"'mat&amp;amp;gt;None&amp;amp;lt;/DateFormat&amp;amp;gt;&amp;amp;lt;RightHandSideExpression xml:space=&amp;amp;quot;preserve&amp;amp;quot;&amp;amp;gt;MFPR01000052&amp;amp;lt;/RightHandSideExpression&amp;amp;gt;&amp;amp;lt;IsSubquery&amp;amp;gt;False&amp;amp;lt;/IsSubquery&amp;amp;gt;&amp;amp;lt;SubqueryTempl'"</definedName>
    <definedName name="_AMO_ContentDefinition_781078101.787"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781078101.788" hidden="1">"'ideExpression xml:space=&amp;amp;quot;preserve&amp;amp;quot;&amp;amp;gt;MFPR01000053&amp;amp;lt;/RightHandSideExpression&amp;amp;gt;&amp;amp;lt;IsSubquery&amp;amp;gt;False&amp;amp;lt;/IsSubquery&amp;amp;gt;&amp;amp;lt;SubqueryTemplateName /&amp;amp;gt;&amp;amp;lt;/RHSItem&amp;amp;gt;&amp;amp;lt;RHSItem&amp;amp'"</definedName>
    <definedName name="_AMO_ContentDefinition_781078101.789" hidden="1">"';gt;&amp;amp;lt;RHSType&amp;amp;gt;EXPRESSION&amp;amp;lt;/RHSType&amp;amp;gt;&amp;amp;lt;AddQuotes&amp;amp;gt;True&amp;amp;lt;/AddQuotes&amp;amp;gt;&amp;amp;lt;DateFormat&amp;amp;gt;None&amp;amp;lt;/DateFormat&amp;amp;gt;&amp;amp;lt;RightHandSideExpression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781078101.79" hidden="1">"'S01000907',&amp;amp;#xD;&amp;amp;#xA;'MFBS01000908',&amp;amp;#xD;&amp;amp;#xA;'MFBS01000909',&amp;amp;#xD;&amp;amp;#xA;'MFBS01000910',&amp;amp;#xD;&amp;amp;#xA;'MFBS01000911',&amp;amp;#xD;&amp;amp;#xA;'MFBS01000912',&amp;amp;#xD;&amp;amp;#xA;'MFBS01000913',&amp;amp;#xD;&amp;amp;#xA;'MFBS01000914',&amp;amp;#xD;'"</definedName>
    <definedName name="_AMO_ContentDefinition_781078101.790" hidden="1">"'MFPR01000058&amp;amp;lt;/RightHandSideExpression&amp;amp;gt;&amp;amp;lt;IsSubquery&amp;amp;gt;False&amp;amp;lt;/IsSubquery&amp;amp;gt;&amp;amp;lt;SubqueryTemplateName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781078101.791" hidden="1">"';&amp;amp;lt;AddQuotes&amp;amp;gt;True&amp;amp;lt;/AddQuotes&amp;amp;gt;&amp;amp;lt;DateFormat&amp;amp;gt;None&amp;amp;lt;/DateFormat&amp;amp;gt;&amp;amp;lt;RightHandSideExpression xml:space=&amp;amp;quot;preserve&amp;amp;quot;&amp;amp;gt;MFPR01000060&amp;amp;lt;/RightHandSideExpression&amp;amp;gt;&amp;amp;lt;'"</definedName>
    <definedName name="_AMO_ContentDefinition_781078101.792"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781078101.793" hidden="1">"';lt;DateFormat&amp;amp;gt;None&amp;amp;lt;/DateFormat&amp;amp;gt;&amp;amp;lt;RightHandSideExpression xml:space=&amp;amp;quot;preserve&amp;amp;quot;&amp;amp;gt;MFPR01000061&amp;amp;lt;/RightHandSideExpression&amp;amp;gt;&amp;amp;lt;IsSubquery&amp;amp;gt;False&amp;amp;lt;/IsSubquery&amp;amp;gt;&amp;amp;lt;Su'"</definedName>
    <definedName name="_AMO_ContentDefinition_781078101.794"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781078101.795" hidden="1">"';RightHandSideExpression xml:space=&amp;amp;quot;preserve&amp;amp;quot;&amp;amp;gt;MFPR01000065&amp;amp;lt;/RightHandSideExpression&amp;amp;gt;&amp;amp;lt;IsSubquery&amp;amp;gt;False&amp;amp;lt;/IsSubquery&amp;amp;gt;&amp;amp;lt;SubqueryTemplateName /&amp;amp;gt;&amp;amp;lt;/RHSItem&amp;amp;gt;&amp;amp;lt;'"</definedName>
    <definedName name="_AMO_ContentDefinition_781078101.796" hidden="1">"'RHSItem&amp;amp;gt;&amp;amp;lt;RHSType&amp;amp;gt;EXPRESSION&amp;amp;lt;/RHSType&amp;amp;gt;&amp;amp;lt;AddQuotes&amp;amp;gt;True&amp;amp;lt;/AddQuotes&amp;amp;gt;&amp;amp;lt;DateFormat&amp;amp;gt;None&amp;amp;lt;/DateFormat&amp;amp;gt;&amp;amp;lt;RightHandSideExpression xml:space=&amp;amp;quot;preserve&amp;amp;qu'"</definedName>
    <definedName name="_AMO_ContentDefinition_781078101.797" hidden="1">"'ot;&amp;amp;gt;MFPR01000069&amp;amp;lt;/RightHandSideExpression&amp;amp;gt;&amp;amp;lt;IsSubquery&amp;amp;gt;False&amp;amp;lt;/IsSubquery&amp;amp;gt;&amp;amp;lt;SubqueryTemplateName /&amp;amp;gt;&amp;amp;lt;/RHSItem&amp;amp;gt;&amp;amp;lt;RHSItem&amp;amp;gt;&amp;amp;lt;RHSType&amp;amp;gt;EXPRESSION&amp;amp;lt;/RHS'"</definedName>
    <definedName name="_AMO_ContentDefinition_781078101.798" hidden="1">"'Type&amp;amp;gt;&amp;amp;lt;AddQuotes&amp;amp;gt;True&amp;amp;lt;/AddQuotes&amp;amp;gt;&amp;amp;lt;DateFormat&amp;amp;gt;None&amp;amp;lt;/DateFormat&amp;amp;gt;&amp;amp;lt;RightHandSideExpression xml:space=&amp;amp;quot;preserve&amp;amp;quot;&amp;amp;gt;MFPR01000070&amp;amp;lt;/RightHandSideExpression&amp;amp;'"</definedName>
    <definedName name="_AMO_ContentDefinition_781078101.799"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781078101.8" hidden="1">"'68',&amp;#xD;&amp;#xA;'MFPR01006369',&amp;#xD;&amp;#xA;'MFPR01006370',&amp;#xD;&amp;#xA;'MFPR01006371',&amp;#xD;&amp;#xA;'MFPR01000095',&amp;#xD;&amp;#xA;'MFPR01006372',&amp;#xD;&amp;#xA;'MFPR01006373',&amp;#xD;&amp;#xA;'MFPR01006374',&amp;#xD;&amp;#xA;'MFPR06008352',&amp;#xD;&amp;#xA;'MFPR06008367',&amp;#xD;&amp;#xA;'MFPR0600838'"</definedName>
    <definedName name="_AMO_ContentDefinition_781078101.80" hidden="1">"'&amp;amp;#xA;'MFBS01000915',&amp;amp;#xD;&amp;amp;#xA;'MFBS01000916',&amp;amp;#xD;&amp;amp;#xA;'MFBS01000917',&amp;amp;#xD;&amp;amp;#xA;'MFBS01000918',&amp;amp;#xD;&amp;amp;#xA;'MFBS01000919',&amp;amp;#xD;&amp;amp;#xA;'MFBS01000920',&amp;amp;#xD;&amp;amp;#xA;'MFBS01000921',&amp;amp;#xD;&amp;amp;#xA;'MFBS010009'"</definedName>
    <definedName name="_AMO_ContentDefinition_781078101.800" hidden="1">"'amp;gt;&amp;amp;lt;DateFormat&amp;amp;gt;None&amp;amp;lt;/DateFormat&amp;amp;gt;&amp;amp;lt;RightHandSideExpression xml:space=&amp;amp;quot;preserve&amp;amp;quot;&amp;amp;gt;MFPR01000075&amp;amp;lt;/RightHandSideExpression&amp;amp;gt;&amp;amp;lt;IsSubquery&amp;amp;gt;False&amp;amp;lt;/IsSubquery&amp;amp;gt'"</definedName>
    <definedName name="_AMO_ContentDefinition_781078101.801"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781078101.802" hidden="1">"';gt;&amp;amp;lt;RightHandSideExpression xml:space=&amp;amp;quot;preserve&amp;amp;quot;&amp;amp;gt;MFPR01000077&amp;amp;lt;/RightHandSideExpression&amp;amp;gt;&amp;amp;lt;IsSubquery&amp;amp;gt;False&amp;amp;lt;/IsSubquery&amp;amp;gt;&amp;amp;lt;SubqueryTemplateName /&amp;amp;gt;&amp;amp;lt;/RHSItem&amp;amp;'"</definedName>
    <definedName name="_AMO_ContentDefinition_781078101.803" hidden="1">"'gt;&amp;amp;lt;RHSItem&amp;amp;gt;&amp;amp;lt;RHSType&amp;amp;gt;EXPRESSION&amp;amp;lt;/RHSType&amp;amp;gt;&amp;amp;lt;AddQuotes&amp;amp;gt;True&amp;amp;lt;/AddQuotes&amp;amp;gt;&amp;amp;lt;DateFormat&amp;amp;gt;None&amp;amp;lt;/DateFormat&amp;amp;gt;&amp;amp;lt;RightHandSideExpression xml:space=&amp;amp;quot;pres'"</definedName>
    <definedName name="_AMO_ContentDefinition_781078101.804" hidden="1">"'erve&amp;amp;quot;&amp;amp;gt;MFPR01000078&amp;amp;lt;/RightHandSideExpression&amp;amp;gt;&amp;amp;lt;IsSubquery&amp;amp;gt;False&amp;amp;lt;/IsSubquery&amp;amp;gt;&amp;amp;lt;SubqueryTemplateName /&amp;amp;gt;&amp;amp;lt;/RHSItem&amp;amp;gt;&amp;amp;lt;RHSItem&amp;amp;gt;&amp;amp;lt;RHSType&amp;amp;gt;EXPRESSION&amp;'"</definedName>
    <definedName name="_AMO_ContentDefinition_781078101.805" hidden="1">"'amp;lt;/RHSType&amp;amp;gt;&amp;amp;lt;AddQuotes&amp;amp;gt;True&amp;amp;lt;/AddQuotes&amp;amp;gt;&amp;amp;lt;DateFormat&amp;amp;gt;None&amp;amp;lt;/DateFormat&amp;amp;gt;&amp;amp;lt;RightHandSideExpression xml:space=&amp;amp;quot;preserve&amp;amp;quot;&amp;amp;gt;MFPR01000082&amp;amp;lt;/RightHandSideExpr'"</definedName>
    <definedName name="_AMO_ContentDefinition_781078101.806"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781078101.807" hidden="1">"'/AddQuotes&amp;amp;gt;&amp;amp;lt;DateFormat&amp;amp;gt;None&amp;amp;lt;/DateFormat&amp;amp;gt;&amp;amp;lt;RightHandSideExpression xml:space=&amp;amp;quot;preserve&amp;amp;quot;&amp;amp;gt;MFPR01000487&amp;amp;lt;/RightHandSideExpression&amp;amp;gt;&amp;amp;lt;IsSubquery&amp;amp;gt;False&amp;amp;lt;/IsSubq'"</definedName>
    <definedName name="_AMO_ContentDefinition_781078101.808"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781078101.809" hidden="1">"'eFormat&amp;amp;gt;&amp;amp;lt;RightHandSideExpression xml:space=&amp;amp;quot;preserve&amp;amp;quot;&amp;amp;gt;MFPR01000556&amp;amp;lt;/RightHandSideExpression&amp;amp;gt;&amp;amp;lt;IsSubquery&amp;amp;gt;False&amp;amp;lt;/IsSubquery&amp;amp;gt;&amp;amp;lt;SubqueryTemplateName /&amp;amp;gt;&amp;amp;lt;/R'"</definedName>
    <definedName name="_AMO_ContentDefinition_781078101.81" hidden="1">"'22',&amp;amp;#xD;&amp;amp;#xA;'MFBS01000923',&amp;amp;#xD;&amp;amp;#xA;'MFBS01000924',&amp;amp;#xD;&amp;amp;#xA;'MFBS01000925',&amp;amp;#xD;&amp;amp;#xA;'MFBS01000926',&amp;amp;#xD;&amp;amp;#xA;'MFBS01000928',&amp;amp;#xD;&amp;amp;#xA;'MFBS01001009',&amp;amp;#xD;&amp;amp;#xA;'MFBS01001010',&amp;amp;#xD;&amp;amp;#x'"</definedName>
    <definedName name="_AMO_ContentDefinition_781078101.810" hidden="1">"'HSItem&amp;amp;gt;&amp;amp;lt;RHSItem&amp;amp;gt;&amp;amp;lt;RHSType&amp;amp;gt;EXPRESSION&amp;amp;lt;/RHSType&amp;amp;gt;&amp;amp;lt;AddQuotes&amp;amp;gt;True&amp;amp;lt;/AddQuotes&amp;amp;gt;&amp;amp;lt;DateFormat&amp;amp;gt;None&amp;amp;lt;/DateFormat&amp;amp;gt;&amp;amp;lt;RightHandSideExpression xml:space=&amp;am'"</definedName>
    <definedName name="_AMO_ContentDefinition_781078101.811" hidden="1">"'p;quot;preserve&amp;amp;quot;&amp;amp;gt;MFPR01000625&amp;amp;lt;/RightHandSideExpression&amp;amp;gt;&amp;amp;lt;IsSubquery&amp;amp;gt;False&amp;amp;lt;/IsSubquery&amp;amp;gt;&amp;amp;lt;SubqueryTemplateName /&amp;amp;gt;&amp;amp;lt;/RHSItem&amp;amp;gt;&amp;amp;lt;RHSItem&amp;amp;gt;&amp;amp;lt;RHSType&amp;amp;gt;'"</definedName>
    <definedName name="_AMO_ContentDefinition_781078101.812" hidden="1">"'EXPRESSION&amp;amp;lt;/RHSType&amp;amp;gt;&amp;amp;lt;AddQuotes&amp;amp;gt;True&amp;amp;lt;/AddQuotes&amp;amp;gt;&amp;amp;lt;DateFormat&amp;amp;gt;None&amp;amp;lt;/DateFormat&amp;amp;gt;&amp;amp;lt;RightHandSideExpression xml:space=&amp;amp;quot;preserve&amp;amp;quot;&amp;amp;gt;MFPR01000694&amp;amp;lt;/RightH'"</definedName>
    <definedName name="_AMO_ContentDefinition_781078101.813"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781078101.814" hidden="1">"'rue&amp;amp;lt;/AddQuotes&amp;amp;gt;&amp;amp;lt;DateFormat&amp;amp;gt;None&amp;amp;lt;/DateFormat&amp;amp;gt;&amp;amp;lt;RightHandSideExpression xml:space=&amp;amp;quot;preserve&amp;amp;quot;&amp;amp;gt;MFPR01001038&amp;amp;lt;/RightHandSideExpression&amp;amp;gt;&amp;amp;lt;IsSubquery&amp;amp;gt;False&amp;amp'"</definedName>
    <definedName name="_AMO_ContentDefinition_781078101.815"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781078101.816" hidden="1">"'amp;lt;/DateFormat&amp;amp;gt;&amp;amp;lt;RightHandSideExpression xml:space=&amp;amp;quot;preserve&amp;amp;quot;&amp;amp;gt;MFPR01001108&amp;amp;lt;/RightHandSideExpression&amp;amp;gt;&amp;amp;lt;IsSubquery&amp;amp;gt;False&amp;amp;lt;/IsSubquery&amp;amp;gt;&amp;amp;lt;SubqueryTemplateName /&amp;amp;gt'"</definedName>
    <definedName name="_AMO_ContentDefinition_781078101.817" hidden="1">"';&amp;amp;lt;/RHSItem&amp;amp;gt;&amp;amp;lt;RHSItem&amp;amp;gt;&amp;amp;lt;RHSType&amp;amp;gt;EXPRESSION&amp;amp;lt;/RHSType&amp;amp;gt;&amp;amp;lt;AddQuotes&amp;amp;gt;True&amp;amp;lt;/AddQuotes&amp;amp;gt;&amp;amp;lt;DateFormat&amp;amp;gt;None&amp;amp;lt;/DateFormat&amp;amp;gt;&amp;amp;lt;RightHandSideExpression xm'"</definedName>
    <definedName name="_AMO_ContentDefinition_781078101.818" hidden="1">"'l:space=&amp;amp;quot;preserve&amp;amp;quot;&amp;amp;gt;MFPR01001177&amp;amp;lt;/RightHandSideExpression&amp;amp;gt;&amp;amp;lt;IsSubquery&amp;amp;gt;False&amp;amp;lt;/IsSubquery&amp;amp;gt;&amp;amp;lt;SubqueryTemplateName /&amp;amp;gt;&amp;amp;lt;/RHSItem&amp;amp;gt;&amp;amp;lt;RHSItem&amp;amp;gt;&amp;amp;lt;RHST'"</definedName>
    <definedName name="_AMO_ContentDefinition_781078101.819" hidden="1">"'ype&amp;amp;gt;EXPRESSION&amp;amp;lt;/RHSType&amp;amp;gt;&amp;amp;lt;AddQuotes&amp;amp;gt;True&amp;amp;lt;/AddQuotes&amp;amp;gt;&amp;amp;lt;DateFormat&amp;amp;gt;None&amp;amp;lt;/DateFormat&amp;amp;gt;&amp;amp;lt;RightHandSideExpression xml:space=&amp;amp;quot;preserve&amp;amp;quot;&amp;amp;gt;MFPR01001246&amp;amp'"</definedName>
    <definedName name="_AMO_ContentDefinition_781078101.82" hidden="1">"'A;'MFBS01001011',&amp;amp;#xD;&amp;amp;#xA;'MFBS01001012',&amp;amp;#xD;&amp;amp;#xA;'MFBS01001013',&amp;amp;#xD;&amp;amp;#xA;'MFBS01001014',&amp;amp;#xD;&amp;amp;#xA;'MFBS01001015',&amp;amp;#xD;&amp;amp;#xA;'MFBS01001016',&amp;amp;#xD;&amp;amp;#xA;'MFBS01001017',&amp;amp;#xD;&amp;amp;#xA;'MFBS01001018',&amp;am'"</definedName>
    <definedName name="_AMO_ContentDefinition_781078101.820"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781078101.821" hidden="1">"'es&amp;amp;gt;True&amp;amp;lt;/AddQuotes&amp;amp;gt;&amp;amp;lt;DateFormat&amp;amp;gt;None&amp;amp;lt;/DateFormat&amp;amp;gt;&amp;amp;lt;RightHandSideExpression xml:space=&amp;amp;quot;preserve&amp;amp;quot;&amp;amp;gt;MFPR01000510&amp;amp;lt;/RightHandSideExpression&amp;amp;gt;&amp;amp;lt;IsSubquery&amp;amp;g'"</definedName>
    <definedName name="_AMO_ContentDefinition_781078101.822"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781078101.823" hidden="1">"'mp;gt;None&amp;amp;lt;/DateFormat&amp;amp;gt;&amp;amp;lt;RightHandSideExpression xml:space=&amp;amp;quot;preserve&amp;amp;quot;&amp;amp;gt;MFPR01000579&amp;amp;lt;/RightHandSideExpression&amp;amp;gt;&amp;amp;lt;IsSubquery&amp;amp;gt;False&amp;amp;lt;/IsSubquery&amp;amp;gt;&amp;amp;lt;SubqueryTemplateNa'"</definedName>
    <definedName name="_AMO_ContentDefinition_781078101.824"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781078101.825" hidden="1">"'pression xml:space=&amp;amp;quot;preserve&amp;amp;quot;&amp;amp;gt;MFPR01000648&amp;amp;lt;/RightHandSideExpression&amp;amp;gt;&amp;amp;lt;IsSubquery&amp;amp;gt;False&amp;amp;lt;/IsSubquery&amp;amp;gt;&amp;amp;lt;SubqueryTemplateName /&amp;amp;gt;&amp;amp;lt;/RHSItem&amp;amp;gt;&amp;amp;lt;RHSItem&amp;amp;gt;&amp;'"</definedName>
    <definedName name="_AMO_ContentDefinition_781078101.826" hidden="1">"'amp;lt;RHSType&amp;amp;gt;EXPRESSION&amp;amp;lt;/RHSType&amp;amp;gt;&amp;amp;lt;AddQuotes&amp;amp;gt;True&amp;amp;lt;/AddQuotes&amp;amp;gt;&amp;amp;lt;DateFormat&amp;amp;gt;None&amp;amp;lt;/DateFormat&amp;amp;gt;&amp;amp;lt;RightHandSideExpression xml:space=&amp;amp;quot;preserve&amp;amp;quot;&amp;amp;gt;MFPR0'"</definedName>
    <definedName name="_AMO_ContentDefinition_781078101.827" hidden="1">"'1000717&amp;amp;lt;/RightHandSideExpression&amp;amp;gt;&amp;amp;lt;IsSubquery&amp;amp;gt;False&amp;amp;lt;/IsSubquery&amp;amp;gt;&amp;amp;lt;SubqueryTemplateName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781078101.828" hidden="1">"';lt;AddQuotes&amp;amp;gt;True&amp;amp;lt;/AddQuotes&amp;amp;gt;&amp;amp;lt;DateFormat&amp;amp;gt;None&amp;amp;lt;/DateFormat&amp;amp;gt;&amp;amp;lt;RightHandSideExpression xml:space=&amp;amp;quot;preserve&amp;amp;quot;&amp;amp;gt;MFPR01001062&amp;amp;lt;/RightHandSideExpression&amp;amp;gt;&amp;amp;lt;IsSub'"</definedName>
    <definedName name="_AMO_ContentDefinition_781078101.829"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781078101.83" hidden="1">"'p;#xD;&amp;amp;#xA;'MFBS01001019',&amp;amp;#xD;&amp;amp;#xA;'MFBS01001020',&amp;amp;#xD;&amp;amp;#xA;'MFBS01001021',&amp;amp;#xD;&amp;amp;#xA;'MFBS01001022',&amp;amp;#xD;&amp;amp;#xA;'MFBS01001023',&amp;amp;#xD;&amp;amp;#xA;'MFBS01001070',&amp;amp;#xD;&amp;amp;#xA;'MFBS01001103',&amp;amp;#xD;&amp;amp;#xA;'MFBS'"</definedName>
    <definedName name="_AMO_ContentDefinition_781078101.830" hidden="1">"'ateFormat&amp;amp;gt;None&amp;amp;lt;/DateFormat&amp;amp;gt;&amp;amp;lt;RightHandSideExpression xml:space=&amp;amp;quot;preserve&amp;amp;quot;&amp;amp;gt;MFPR01001131&amp;amp;lt;/RightHandSideExpression&amp;amp;gt;&amp;amp;lt;IsSubquery&amp;amp;gt;False&amp;amp;lt;/IsSubquery&amp;amp;gt;&amp;amp;lt;Subquer'"</definedName>
    <definedName name="_AMO_ContentDefinition_781078101.831"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781078101.832" hidden="1">"'tHandSideExpression xml:space=&amp;amp;quot;preserve&amp;amp;quot;&amp;amp;gt;MFPR01001200&amp;amp;lt;/RightHandSideExpression&amp;amp;gt;&amp;amp;lt;IsSubquery&amp;amp;gt;False&amp;amp;lt;/IsSubquery&amp;amp;gt;&amp;amp;lt;SubqueryTemplateName /&amp;amp;gt;&amp;amp;lt;/RHSItem&amp;amp;gt;&amp;amp;lt;RHSIt'"</definedName>
    <definedName name="_AMO_ContentDefinition_781078101.833" hidden="1">"'em&amp;amp;gt;&amp;amp;lt;RHSType&amp;amp;gt;EXPRESSION&amp;amp;lt;/RHSType&amp;amp;gt;&amp;amp;lt;AddQuotes&amp;amp;gt;True&amp;amp;lt;/AddQuotes&amp;amp;gt;&amp;amp;lt;DateFormat&amp;amp;gt;None&amp;amp;lt;/DateFormat&amp;amp;gt;&amp;amp;lt;RightHandSideExpression xml:space=&amp;amp;quot;preserve&amp;amp;quot;&amp;a'"</definedName>
    <definedName name="_AMO_ContentDefinition_781078101.834" hidden="1">"'mp;gt;MFPR01001269&amp;amp;lt;/RightHandSideExpression&amp;amp;gt;&amp;amp;lt;IsSubquery&amp;amp;gt;False&amp;amp;lt;/IsSubquery&amp;amp;gt;&amp;amp;lt;SubqueryTemplateName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781078101.835" hidden="1">"'amp;gt;&amp;amp;lt;AddQuotes&amp;amp;gt;True&amp;amp;lt;/AddQuotes&amp;amp;gt;&amp;amp;lt;DateFormat&amp;amp;gt;None&amp;amp;lt;/DateFormat&amp;amp;gt;&amp;amp;lt;RightHandSideExpression xml:space=&amp;amp;quot;preserve&amp;amp;quot;&amp;amp;gt;MFPR01000502&amp;amp;lt;/RightHandSideExpression&amp;amp;gt;&amp;a'"</definedName>
    <definedName name="_AMO_ContentDefinition_781078101.836"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781078101.837" hidden="1">"'t;&amp;amp;lt;DateFormat&amp;amp;gt;None&amp;amp;lt;/DateFormat&amp;amp;gt;&amp;amp;lt;RightHandSideExpression xml:space=&amp;amp;quot;preserve&amp;amp;quot;&amp;amp;gt;MFPR01000571&amp;amp;lt;/RightHandSideExpression&amp;amp;gt;&amp;amp;lt;IsSubquery&amp;amp;gt;False&amp;amp;lt;/IsSubquery&amp;amp;gt;&amp;amp'"</definedName>
    <definedName name="_AMO_ContentDefinition_781078101.838"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781078101.839" hidden="1">"'amp;lt;RightHandSideExpression xml:space=&amp;amp;quot;preserve&amp;amp;quot;&amp;amp;gt;MFPR01000640&amp;amp;lt;/RightHandSideExpression&amp;amp;gt;&amp;amp;lt;IsSubquery&amp;amp;gt;False&amp;amp;lt;/IsSubquery&amp;amp;gt;&amp;amp;lt;SubqueryTemplateName /&amp;amp;gt;&amp;amp;lt;/RHSItem&amp;amp;gt;&amp;a'"</definedName>
    <definedName name="_AMO_ContentDefinition_781078101.84" hidden="1">"'01001119',&amp;amp;#xD;&amp;amp;#xA;'MFBS01001141',&amp;amp;#xD;&amp;amp;#xA;'MFBS02000021',&amp;amp;#xD;&amp;amp;#xA;'MFBS02000030',&amp;amp;#xD;&amp;amp;#xA;'MFBS06000360',&amp;amp;#xD;&amp;amp;#xA;'MFBS06000364',&amp;amp;#xD;&amp;amp;#xA;'MFBS06000369',&amp;amp;#xD;&amp;amp;#xA;'MFBS06000370',&amp;amp;#xD;&amp;'"</definedName>
    <definedName name="_AMO_ContentDefinition_781078101.840" hidden="1">"'mp;lt;RHSItem&amp;amp;gt;&amp;amp;lt;RHSType&amp;amp;gt;EXPRESSION&amp;amp;lt;/RHSType&amp;amp;gt;&amp;amp;lt;AddQuotes&amp;amp;gt;True&amp;amp;lt;/AddQuotes&amp;amp;gt;&amp;amp;lt;DateFormat&amp;amp;gt;None&amp;amp;lt;/DateFormat&amp;amp;gt;&amp;amp;lt;RightHandSideExpression xml:space=&amp;amp;quot;preserve&amp;'"</definedName>
    <definedName name="_AMO_ContentDefinition_781078101.841" hidden="1">"'amp;quot;&amp;amp;gt;MFPR01000709&amp;amp;lt;/RightHandSideExpression&amp;amp;gt;&amp;amp;lt;IsSubquery&amp;amp;gt;False&amp;amp;lt;/IsSubquery&amp;amp;gt;&amp;amp;lt;SubqueryTemplateName /&amp;amp;gt;&amp;amp;lt;/RHSItem&amp;amp;gt;&amp;amp;lt;RHSItem&amp;amp;gt;&amp;amp;lt;RHSType&amp;amp;gt;EXPRESSION&amp;amp;l'"</definedName>
    <definedName name="_AMO_ContentDefinition_781078101.842" hidden="1">"'t;/RHSType&amp;amp;gt;&amp;amp;lt;AddQuotes&amp;amp;gt;True&amp;amp;lt;/AddQuotes&amp;amp;gt;&amp;amp;lt;DateFormat&amp;amp;gt;None&amp;amp;lt;/DateFormat&amp;amp;gt;&amp;amp;lt;RightHandSideExpression xml:space=&amp;amp;quot;preserve&amp;amp;quot;&amp;amp;gt;MFPR01001054&amp;amp;lt;/RightHandSideExpressio'"</definedName>
    <definedName name="_AMO_ContentDefinition_781078101.843"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781078101.844" hidden="1">"'uotes&amp;amp;gt;&amp;amp;lt;DateFormat&amp;amp;gt;None&amp;amp;lt;/DateFormat&amp;amp;gt;&amp;amp;lt;RightHandSideExpression xml:space=&amp;amp;quot;preserve&amp;amp;quot;&amp;amp;gt;MFPR01001123&amp;amp;lt;/RightHandSideExpression&amp;amp;gt;&amp;amp;lt;IsSubquery&amp;amp;gt;False&amp;amp;lt;/IsSubquery&amp;'"</definedName>
    <definedName name="_AMO_ContentDefinition_781078101.845"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781078101.846" hidden="1">"'at&amp;amp;gt;&amp;amp;lt;RightHandSideExpression xml:space=&amp;amp;quot;preserve&amp;amp;quot;&amp;amp;gt;MFPR01001192&amp;amp;lt;/RightHandSideExpression&amp;amp;gt;&amp;amp;lt;IsSubquery&amp;amp;gt;False&amp;amp;lt;/IsSubquery&amp;amp;gt;&amp;amp;lt;SubqueryTemplateName /&amp;amp;gt;&amp;amp;lt;/RHSIte'"</definedName>
    <definedName name="_AMO_ContentDefinition_781078101.847" hidden="1">"'m&amp;amp;gt;&amp;amp;lt;RHSItem&amp;amp;gt;&amp;amp;lt;RHSType&amp;amp;gt;EXPRESSION&amp;amp;lt;/RHSType&amp;amp;gt;&amp;amp;lt;AddQuotes&amp;amp;gt;True&amp;amp;lt;/AddQuotes&amp;amp;gt;&amp;amp;lt;DateFormat&amp;amp;gt;None&amp;amp;lt;/DateFormat&amp;amp;gt;&amp;amp;lt;RightHandSideExpression xml:space=&amp;amp;quo'"</definedName>
    <definedName name="_AMO_ContentDefinition_781078101.848" hidden="1">"'t;preserve&amp;amp;quot;&amp;amp;gt;MFPR01001261&amp;amp;lt;/RightHandSideExpression&amp;amp;gt;&amp;amp;lt;IsSubquery&amp;amp;gt;False&amp;amp;lt;/IsSubquery&amp;amp;gt;&amp;amp;lt;SubqueryTemplateName /&amp;amp;gt;&amp;amp;lt;/RHSItem&amp;amp;gt;&amp;amp;lt;RHSItem&amp;amp;gt;&amp;amp;lt;RHSType&amp;amp;gt;EXPRE'"</definedName>
    <definedName name="_AMO_ContentDefinition_781078101.849" hidden="1">"'SSION&amp;amp;lt;/RHSType&amp;amp;gt;&amp;amp;lt;AddQuotes&amp;amp;gt;True&amp;amp;lt;/AddQuotes&amp;amp;gt;&amp;amp;lt;DateFormat&amp;amp;gt;None&amp;amp;lt;/DateFormat&amp;amp;gt;&amp;amp;lt;RightHandSideExpression xml:space=&amp;amp;quot;preserve&amp;amp;quot;&amp;amp;gt;MFPR01002564&amp;amp;lt;/RightHandSi'"</definedName>
    <definedName name="_AMO_ContentDefinition_781078101.85" hidden="1">"'amp;#xA;'MFBS06000371',&amp;amp;#xD;&amp;amp;#xA;'MFBS06000375',&amp;amp;#xD;&amp;amp;#xA;'MFBS06000379',&amp;amp;#xD;&amp;amp;#xA;'MFBS06000381',&amp;amp;#xD;&amp;amp;#xA;'MFBS06000403',&amp;amp;#xD;&amp;amp;#xA;'MFBS06000404',&amp;amp;#xD;&amp;amp;#xA;'MFBS06000406',&amp;amp;#xD;&amp;amp;#xA;'MFBS0600065'"</definedName>
    <definedName name="_AMO_ContentDefinition_781078101.850"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781078101.851" hidden="1">"'mp;lt;/AddQuotes&amp;amp;gt;&amp;amp;lt;DateFormat&amp;amp;gt;None&amp;amp;lt;/DateFormat&amp;amp;gt;&amp;amp;lt;RightHandSideExpression xml:space=&amp;amp;quot;preserve&amp;amp;quot;&amp;amp;gt;MFPR01002565&amp;amp;lt;/RightHandSideExpression&amp;amp;gt;&amp;amp;lt;IsSubquery&amp;amp;gt;False&amp;amp;lt;/'"</definedName>
    <definedName name="_AMO_ContentDefinition_781078101.852"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781078101.853" hidden="1">"'t;/DateFormat&amp;amp;gt;&amp;amp;lt;RightHandSideExpression xml:space=&amp;amp;quot;preserve&amp;amp;quot;&amp;amp;gt;MFPR01002702&amp;amp;lt;/RightHandSideExpression&amp;amp;gt;&amp;amp;lt;IsSubquery&amp;amp;gt;False&amp;amp;lt;/IsSubquery&amp;amp;gt;&amp;amp;lt;SubqueryTemplateName /&amp;amp;gt;&amp;amp'"</definedName>
    <definedName name="_AMO_ContentDefinition_781078101.854" hidden="1">"';lt;/RHSItem&amp;amp;gt;&amp;amp;lt;RHSItem&amp;amp;gt;&amp;amp;lt;RHSType&amp;amp;gt;EXPRESSION&amp;amp;lt;/RHSType&amp;amp;gt;&amp;amp;lt;AddQuotes&amp;amp;gt;True&amp;amp;lt;/AddQuotes&amp;amp;gt;&amp;amp;lt;DateFormat&amp;amp;gt;None&amp;amp;lt;/DateFormat&amp;amp;gt;&amp;amp;lt;RightHandSideExpression xml:spa'"</definedName>
    <definedName name="_AMO_ContentDefinition_781078101.855" hidden="1">"'ce=&amp;amp;quot;preserve&amp;amp;quot;&amp;amp;gt;MFPR01002703&amp;amp;lt;/RightHandSideExpression&amp;amp;gt;&amp;amp;lt;IsSubquery&amp;amp;gt;False&amp;amp;lt;/IsSubquery&amp;amp;gt;&amp;amp;lt;SubqueryTemplateName /&amp;amp;gt;&amp;amp;lt;/RHSItem&amp;amp;gt;&amp;amp;lt;RHSItem&amp;amp;gt;&amp;amp;lt;RHSType&amp;a'"</definedName>
    <definedName name="_AMO_ContentDefinition_781078101.856" hidden="1">"'mp;gt;EXPRESSION&amp;amp;lt;/RHSType&amp;amp;gt;&amp;amp;lt;AddQuotes&amp;amp;gt;True&amp;amp;lt;/AddQuotes&amp;amp;gt;&amp;amp;lt;DateFormat&amp;amp;gt;None&amp;amp;lt;/DateFormat&amp;amp;gt;&amp;amp;lt;RightHandSideExpression xml:space=&amp;amp;quot;preserve&amp;amp;quot;&amp;amp;gt;MFPR01002771&amp;amp;lt;/'"</definedName>
    <definedName name="_AMO_ContentDefinition_781078101.857"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781078101.858" hidden="1">"'p;gt;True&amp;amp;lt;/AddQuotes&amp;amp;gt;&amp;amp;lt;DateFormat&amp;amp;gt;None&amp;amp;lt;/DateFormat&amp;amp;gt;&amp;amp;lt;RightHandSideExpression xml:space=&amp;amp;quot;preserve&amp;amp;quot;&amp;amp;gt;MFPR01002772&amp;amp;lt;/RightHandSideExpression&amp;amp;gt;&amp;amp;lt;IsSubquery&amp;amp;gt;Fal'"</definedName>
    <definedName name="_AMO_ContentDefinition_781078101.859"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781078101.86" hidden="1">"'9',&amp;amp;#xD;&amp;amp;#xA;'MFBS06000672',&amp;amp;#xD;&amp;amp;#xA;'MFBS06000678',&amp;amp;#xD;&amp;amp;#xA;'MFBS06000679',&amp;amp;#xD;&amp;amp;#xA;'MFBS06000680',&amp;amp;#xD;&amp;amp;#xA;'MFBS06000681',&amp;amp;#xD;&amp;amp;#xA;'MFBS06000682',&amp;amp;#xD;&amp;amp;#xA;'MFBS06000683',&amp;amp;#xD;&amp;amp;#xA'"</definedName>
    <definedName name="_AMO_ContentDefinition_781078101.860" hidden="1">"';None&amp;amp;lt;/DateFormat&amp;amp;gt;&amp;amp;lt;RightHandSideExpression xml:space=&amp;amp;quot;preserve&amp;amp;quot;&amp;amp;gt;MFPR01002873&amp;amp;lt;/RightHandSideExpression&amp;amp;gt;&amp;amp;lt;IsSubquery&amp;amp;gt;False&amp;amp;lt;/IsSubquery&amp;amp;gt;&amp;amp;lt;SubqueryTemplateName /&amp;'"</definedName>
    <definedName name="_AMO_ContentDefinition_781078101.861"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781078101.862" hidden="1">"'ion xml:space=&amp;amp;quot;preserve&amp;amp;quot;&amp;amp;gt;MFPR01002874&amp;amp;lt;/RightHandSideExpression&amp;amp;gt;&amp;amp;lt;IsSubquery&amp;amp;gt;False&amp;amp;lt;/IsSubquery&amp;amp;gt;&amp;amp;lt;SubqueryTemplateName /&amp;amp;gt;&amp;amp;lt;/RHSItem&amp;amp;gt;&amp;amp;lt;RHSItem&amp;amp;gt;&amp;amp;l'"</definedName>
    <definedName name="_AMO_ContentDefinition_781078101.863" hidden="1">"'t;RHSType&amp;amp;gt;EXPRESSION&amp;amp;lt;/RHSType&amp;amp;gt;&amp;amp;lt;AddQuotes&amp;amp;gt;True&amp;amp;lt;/AddQuotes&amp;amp;gt;&amp;amp;lt;DateFormat&amp;amp;gt;None&amp;amp;lt;/DateFormat&amp;amp;gt;&amp;amp;lt;RightHandSideExpression xml:space=&amp;amp;quot;preserve&amp;amp;quot;&amp;amp;gt;MFPR010025'"</definedName>
    <definedName name="_AMO_ContentDefinition_781078101.864" hidden="1">"'85&amp;amp;lt;/RightHandSideExpression&amp;amp;gt;&amp;amp;lt;IsSubquery&amp;amp;gt;False&amp;amp;lt;/IsSubquery&amp;amp;gt;&amp;amp;lt;SubqueryTemplateName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781078101.865" hidden="1">"'ddQuotes&amp;amp;gt;True&amp;amp;lt;/AddQuotes&amp;amp;gt;&amp;amp;lt;DateFormat&amp;amp;gt;None&amp;amp;lt;/DateFormat&amp;amp;gt;&amp;amp;lt;RightHandSideExpression xml:space=&amp;amp;quot;preserve&amp;amp;quot;&amp;amp;gt;MFPR01002588&amp;amp;lt;/RightHandSideExpression&amp;amp;gt;&amp;amp;lt;IsSubquery'"</definedName>
    <definedName name="_AMO_ContentDefinition_781078101.866"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781078101.867" hidden="1">"'rmat&amp;amp;gt;None&amp;amp;lt;/DateFormat&amp;amp;gt;&amp;amp;lt;RightHandSideExpression xml:space=&amp;amp;quot;preserve&amp;amp;quot;&amp;amp;gt;MFPR01002589&amp;amp;lt;/RightHandSideExpression&amp;amp;gt;&amp;amp;lt;IsSubquery&amp;amp;gt;False&amp;amp;lt;/IsSubquery&amp;amp;gt;&amp;amp;lt;SubqueryTemp'"</definedName>
    <definedName name="_AMO_ContentDefinition_781078101.868"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781078101.869" hidden="1">"'SideExpression xml:space=&amp;amp;quot;preserve&amp;amp;quot;&amp;amp;gt;MFPR01002723&amp;amp;lt;/RightHandSideExpression&amp;amp;gt;&amp;amp;lt;IsSubquery&amp;amp;gt;False&amp;amp;lt;/IsSubquery&amp;amp;gt;&amp;amp;lt;SubqueryTemplateName /&amp;amp;gt;&amp;amp;lt;/RHSItem&amp;amp;gt;&amp;amp;lt;RHSItem&amp;am'"</definedName>
    <definedName name="_AMO_ContentDefinition_781078101.87" hidden="1">"';'MFBS06000684',&amp;amp;#xD;&amp;amp;#xA;'MFBS06000685',&amp;amp;#xD;&amp;amp;#xA;'MFBS06000687',&amp;amp;#xD;&amp;amp;#xA;'MFBS06000731',&amp;amp;#xD;&amp;amp;#xA;'MFBS06000734',&amp;amp;#xD;&amp;amp;#xA;'MFBS06000737',&amp;amp;#xD;&amp;amp;#xA;'MFBS06000744',&amp;amp;#xD;&amp;amp;#xA;'MFBS06000745',&amp;amp'"</definedName>
    <definedName name="_AMO_ContentDefinition_781078101.870"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781078101.871" hidden="1">"';MFPR01002726&amp;amp;lt;/RightHandSideExpression&amp;amp;gt;&amp;amp;lt;IsSubquery&amp;amp;gt;False&amp;amp;lt;/IsSubquery&amp;amp;gt;&amp;amp;lt;SubqueryTemplateName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781078101.872" hidden="1">"'t;&amp;amp;lt;AddQuotes&amp;amp;gt;True&amp;amp;lt;/AddQuotes&amp;amp;gt;&amp;amp;lt;DateFormat&amp;amp;gt;None&amp;amp;lt;/DateFormat&amp;amp;gt;&amp;amp;lt;RightHandSideExpression xml:space=&amp;amp;quot;preserve&amp;amp;quot;&amp;amp;gt;MFPR01002727&amp;amp;lt;/RightHandSideExpression&amp;amp;gt;&amp;amp;lt'"</definedName>
    <definedName name="_AMO_ContentDefinition_781078101.873"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781078101.874" hidden="1">"'p;lt;DateFormat&amp;amp;gt;None&amp;amp;lt;/DateFormat&amp;amp;gt;&amp;amp;lt;RightHandSideExpression xml:space=&amp;amp;quot;preserve&amp;amp;quot;&amp;amp;gt;MFPR01002792&amp;amp;lt;/RightHandSideExpression&amp;amp;gt;&amp;amp;lt;IsSubquery&amp;amp;gt;False&amp;amp;lt;/IsSubquery&amp;amp;gt;&amp;amp;lt;S'"</definedName>
    <definedName name="_AMO_ContentDefinition_781078101.875"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781078101.876" hidden="1">"'t;RightHandSideExpression xml:space=&amp;amp;quot;preserve&amp;amp;quot;&amp;amp;gt;MFPR01002795&amp;amp;lt;/RightHandSideExpression&amp;amp;gt;&amp;amp;lt;IsSubquery&amp;amp;gt;False&amp;amp;lt;/IsSubquery&amp;amp;gt;&amp;amp;lt;SubqueryTemplateName /&amp;amp;gt;&amp;amp;lt;/RHSItem&amp;amp;gt;&amp;amp;lt'"</definedName>
    <definedName name="_AMO_ContentDefinition_781078101.877" hidden="1">"';RHSItem&amp;amp;gt;&amp;amp;lt;RHSType&amp;amp;gt;EXPRESSION&amp;amp;lt;/RHSType&amp;amp;gt;&amp;amp;lt;AddQuotes&amp;amp;gt;True&amp;amp;lt;/AddQuotes&amp;amp;gt;&amp;amp;lt;DateFormat&amp;amp;gt;None&amp;amp;lt;/DateFormat&amp;amp;gt;&amp;amp;lt;RightHandSideExpression xml:space=&amp;amp;quot;preserve&amp;amp;q'"</definedName>
    <definedName name="_AMO_ContentDefinition_781078101.878" hidden="1">"'uot;&amp;amp;gt;MFPR01002796&amp;amp;lt;/RightHandSideExpression&amp;amp;gt;&amp;amp;lt;IsSubquery&amp;amp;gt;False&amp;amp;lt;/IsSubquery&amp;amp;gt;&amp;amp;lt;SubqueryTemplateName /&amp;amp;gt;&amp;amp;lt;/RHSItem&amp;amp;gt;&amp;amp;lt;RHSItem&amp;amp;gt;&amp;amp;lt;RHSType&amp;amp;gt;EXPRESSION&amp;amp;lt;/RH'"</definedName>
    <definedName name="_AMO_ContentDefinition_781078101.879" hidden="1">"'SType&amp;amp;gt;&amp;amp;lt;AddQuotes&amp;amp;gt;True&amp;amp;lt;/AddQuotes&amp;amp;gt;&amp;amp;lt;DateFormat&amp;amp;gt;None&amp;amp;lt;/DateFormat&amp;amp;gt;&amp;amp;lt;RightHandSideExpression xml:space=&amp;amp;quot;preserve&amp;amp;quot;&amp;amp;gt;MFPR01002894&amp;amp;lt;/RightHandSideExpression&amp;amp'"</definedName>
    <definedName name="_AMO_ContentDefinition_781078101.88" hidden="1">"';#xD;&amp;amp;#xA;'MFBS06000746',&amp;amp;#xD;&amp;amp;#xA;'MFDRVD000145',&amp;amp;#xD;&amp;amp;#xA;'MFFSIR000190',&amp;amp;#xD;&amp;amp;#xA;'MFFSIR000209',&amp;amp;#xD;&amp;amp;#xA;'MFFSIR000915',&amp;amp;#xD;&amp;amp;#xA;'MFFSIR000916',&amp;amp;#xD;&amp;amp;#xA;'MFFSIR000924',&amp;amp;#xD;&amp;amp;#xA;'MFFSI'"</definedName>
    <definedName name="_AMO_ContentDefinition_781078101.880"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781078101.881" hidden="1">"'&amp;amp;gt;&amp;amp;lt;DateFormat&amp;amp;gt;None&amp;amp;lt;/DateFormat&amp;amp;gt;&amp;amp;lt;RightHandSideExpression xml:space=&amp;amp;quot;preserve&amp;amp;quot;&amp;amp;gt;MFPR01002897&amp;amp;lt;/RightHandSideExpression&amp;amp;gt;&amp;amp;lt;IsSubquery&amp;amp;gt;False&amp;amp;lt;/IsSubquery&amp;amp;g'"</definedName>
    <definedName name="_AMO_ContentDefinition_781078101.882"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781078101.883" hidden="1">"'p;gt;&amp;amp;lt;RightHandSideExpression xml:space=&amp;amp;quot;preserve&amp;amp;quot;&amp;amp;gt;MFPR01002898&amp;amp;lt;/RightHandSideExpression&amp;amp;gt;&amp;amp;lt;IsSubquery&amp;amp;gt;False&amp;amp;lt;/IsSubquery&amp;amp;gt;&amp;amp;lt;SubqueryTemplateName /&amp;amp;gt;&amp;amp;lt;/RHSItem&amp;amp'"</definedName>
    <definedName name="_AMO_ContentDefinition_781078101.884" hidden="1">"';gt;&amp;amp;lt;RHSItem&amp;amp;gt;&amp;amp;lt;RHSType&amp;amp;gt;EXPRESSION&amp;amp;lt;/RHSType&amp;amp;gt;&amp;amp;lt;AddQuotes&amp;amp;gt;True&amp;amp;lt;/AddQuotes&amp;amp;gt;&amp;amp;lt;DateFormat&amp;amp;gt;None&amp;amp;lt;/DateFormat&amp;amp;gt;&amp;amp;lt;RightHandSideExpression xml:space=&amp;amp;quot;pre'"</definedName>
    <definedName name="_AMO_ContentDefinition_781078101.885" hidden="1">"'serve&amp;amp;quot;&amp;amp;gt;MFPR01000128&amp;amp;lt;/RightHandSideExpression&amp;amp;gt;&amp;amp;lt;IsSubquery&amp;amp;gt;False&amp;amp;lt;/IsSubquery&amp;amp;gt;&amp;amp;lt;SubqueryTemplateName /&amp;amp;gt;&amp;amp;lt;/RHSItem&amp;amp;gt;&amp;amp;lt;RHSItem&amp;amp;gt;&amp;amp;lt;RHSType&amp;amp;gt;EXPRESSION'"</definedName>
    <definedName name="_AMO_ContentDefinition_781078101.886" hidden="1">"'&amp;amp;lt;/RHSType&amp;amp;gt;&amp;amp;lt;AddQuotes&amp;amp;gt;True&amp;amp;lt;/AddQuotes&amp;amp;gt;&amp;amp;lt;DateFormat&amp;amp;gt;None&amp;amp;lt;/DateFormat&amp;amp;gt;&amp;amp;lt;RightHandSideExpression xml:space=&amp;amp;quot;preserve&amp;amp;quot;&amp;amp;gt;MFPR01000113&amp;amp;lt;/RightHandSideExp'"</definedName>
    <definedName name="_AMO_ContentDefinition_781078101.887"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781078101.888" hidden="1">"';/AddQuotes&amp;amp;gt;&amp;amp;lt;DateFormat&amp;amp;gt;None&amp;amp;lt;/DateFormat&amp;amp;gt;&amp;amp;lt;RightHandSideExpression xml:space=&amp;amp;quot;preserve&amp;amp;quot;&amp;amp;gt;MFPR01000107&amp;amp;lt;/RightHandSideExpression&amp;amp;gt;&amp;amp;lt;IsSubquery&amp;amp;gt;False&amp;amp;lt;/IsSub'"</definedName>
    <definedName name="_AMO_ContentDefinition_781078101.889"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781078101.89" hidden="1">"'R000925',&amp;amp;#xD;&amp;amp;#xA;'MFPR01000285',&amp;amp;#xD;&amp;amp;#xA;'MFPR01000160',&amp;amp;#xD;&amp;amp;#xA;'MFPR01000165',&amp;amp;#xD;&amp;amp;#xA;'MFPR01000169',&amp;amp;#xD;&amp;amp;#xA;'MFPR01000170',&amp;amp;#xD;&amp;amp;#xA;'MFPR01000171',&amp;amp;#xD;&amp;amp;#xA;'MFPR01000172',&amp;amp;#xD;&amp;a'"</definedName>
    <definedName name="_AMO_ContentDefinition_781078101.890" hidden="1">"'teFormat&amp;amp;gt;&amp;amp;lt;RightHandSideExpression xml:space=&amp;amp;quot;preserve&amp;amp;quot;&amp;amp;gt;MFBS01000059&amp;amp;lt;/RightHandSideExpression&amp;amp;gt;&amp;amp;lt;IsSubquery&amp;amp;gt;False&amp;amp;lt;/IsSubquery&amp;amp;gt;&amp;amp;lt;SubqueryTemplateName /&amp;amp;gt;&amp;amp;lt;/'"</definedName>
    <definedName name="_AMO_ContentDefinition_781078101.891" hidden="1">"'RHSItem&amp;amp;gt;&amp;amp;lt;RHSItem&amp;amp;gt;&amp;amp;lt;RHSType&amp;amp;gt;EXPRESSION&amp;amp;lt;/RHSType&amp;amp;gt;&amp;amp;lt;AddQuotes&amp;amp;gt;True&amp;amp;lt;/AddQuotes&amp;amp;gt;&amp;amp;lt;DateFormat&amp;amp;gt;None&amp;amp;lt;/DateFormat&amp;amp;gt;&amp;amp;lt;RightHandSideExpression xml:space=&amp;a'"</definedName>
    <definedName name="_AMO_ContentDefinition_781078101.892" hidden="1">"'mp;quot;preserve&amp;amp;quot;&amp;amp;gt;MFBS01000054&amp;amp;lt;/RightHandSideExpression&amp;amp;gt;&amp;amp;lt;IsSubquery&amp;amp;gt;False&amp;amp;lt;/IsSubquery&amp;amp;gt;&amp;amp;lt;SubqueryTemplateName /&amp;amp;gt;&amp;amp;lt;/RHSItem&amp;amp;gt;&amp;amp;lt;RHSItem&amp;amp;gt;&amp;amp;lt;RHSType&amp;amp;gt'"</definedName>
    <definedName name="_AMO_ContentDefinition_781078101.893" hidden="1">"';EXPRESSION&amp;amp;lt;/RHSType&amp;amp;gt;&amp;amp;lt;AddQuotes&amp;amp;gt;True&amp;amp;lt;/AddQuotes&amp;amp;gt;&amp;amp;lt;DateFormat&amp;amp;gt;None&amp;amp;lt;/DateFormat&amp;amp;gt;&amp;amp;lt;RightHandSideExpression xml:space=&amp;amp;quot;preserve&amp;amp;quot;&amp;amp;gt;MFBS01000001&amp;amp;lt;/Right'"</definedName>
    <definedName name="_AMO_ContentDefinition_781078101.894"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781078101.895" hidden="1">"'True&amp;amp;lt;/AddQuotes&amp;amp;gt;&amp;amp;lt;DateFormat&amp;amp;gt;None&amp;amp;lt;/DateFormat&amp;amp;gt;&amp;amp;lt;RightHandSideExpression xml:space=&amp;amp;quot;preserve&amp;amp;quot;&amp;amp;gt;MFBS01000200&amp;amp;lt;/RightHandSideExpression&amp;amp;gt;&amp;amp;lt;IsSubquery&amp;amp;gt;False&amp;am'"</definedName>
    <definedName name="_AMO_ContentDefinition_781078101.896"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781078101.897" hidden="1">"'&amp;amp;lt;/DateFormat&amp;amp;gt;&amp;amp;lt;RightHandSideExpression xml:space=&amp;amp;quot;preserve&amp;amp;quot;&amp;amp;gt;MFBS01000231&amp;amp;lt;/RightHandSideExpression&amp;amp;gt;&amp;amp;lt;IsSubquery&amp;amp;gt;False&amp;amp;lt;/IsSubquery&amp;amp;gt;&amp;amp;lt;SubqueryTemplateName /&amp;amp;g'"</definedName>
    <definedName name="_AMO_ContentDefinition_781078101.898" hidden="1">"'t;&amp;amp;lt;/RHSItem&amp;amp;gt;&amp;amp;lt;RHSItem&amp;amp;gt;&amp;amp;lt;RHSType&amp;amp;gt;EXPRESSION&amp;amp;lt;/RHSType&amp;amp;gt;&amp;amp;lt;AddQuotes&amp;amp;gt;True&amp;amp;lt;/AddQuotes&amp;amp;gt;&amp;amp;lt;DateFormat&amp;amp;gt;None&amp;amp;lt;/DateFormat&amp;amp;gt;&amp;amp;lt;RightHandSideExpression x'"</definedName>
    <definedName name="_AMO_ContentDefinition_781078101.899" hidden="1">"'ml:space=&amp;amp;quot;preserve&amp;amp;quot;&amp;amp;gt;MFBS01000262&amp;amp;lt;/RightHandSideExpression&amp;amp;gt;&amp;amp;lt;IsSubquery&amp;amp;gt;False&amp;amp;lt;/IsSubquery&amp;amp;gt;&amp;amp;lt;SubqueryTemplateName /&amp;amp;gt;&amp;amp;lt;/RHSItem&amp;amp;gt;&amp;amp;lt;RHSItem&amp;amp;gt;&amp;amp;lt;RHS'"</definedName>
    <definedName name="_AMO_ContentDefinition_781078101.9" hidden="1">"'2',&amp;#xD;&amp;#xA;'MFPR06008385',&amp;#xD;&amp;#xA;'MFPR06008393',&amp;#xD;&amp;#xA;'MFPR06000081',&amp;#xD;&amp;#xA;'MFPR01006375',&amp;#xD;&amp;#xA;'MFPR01006376',&amp;#xD;&amp;#xA;'MFPR01006307',&amp;#xD;&amp;#xA;'MFPR07000317',&amp;#xD;&amp;#xA;'MFPR02001300',&amp;#xD;&amp;#xA;'MFPR02001301',&amp;#xD;&amp;#xA;'MFPR01000244'"</definedName>
    <definedName name="_AMO_ContentDefinition_781078101.90" hidden="1">"'mp;#xA;'MFPR01000173',&amp;amp;#xD;&amp;amp;#xA;'MFPR01000178',&amp;amp;#xD;&amp;amp;#xA;'MFPR01000179',&amp;amp;#xD;&amp;amp;#xA;'MFPR01000180',&amp;amp;#xD;&amp;amp;#xA;'MFPR01000181',&amp;amp;#xD;&amp;amp;#xA;'MFPR01000182',&amp;amp;#xD;&amp;amp;#xA;'MFPR01000183',&amp;amp;#xD;&amp;amp;#xA;'MFPR01000187'"</definedName>
    <definedName name="_AMO_ContentDefinition_781078101.900" hidden="1">"'Type&amp;amp;gt;EXPRESSION&amp;amp;lt;/RHSType&amp;amp;gt;&amp;amp;lt;AddQuotes&amp;amp;gt;True&amp;amp;lt;/AddQuotes&amp;amp;gt;&amp;amp;lt;DateFormat&amp;amp;gt;None&amp;amp;lt;/DateFormat&amp;amp;gt;&amp;amp;lt;RightHandSideExpression xml:space=&amp;amp;quot;preserve&amp;amp;quot;&amp;amp;gt;MFBS01000017&amp;am'"</definedName>
    <definedName name="_AMO_ContentDefinition_781078101.901"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781078101.902" hidden="1">"'tes&amp;amp;gt;True&amp;amp;lt;/AddQuotes&amp;amp;gt;&amp;amp;lt;DateFormat&amp;amp;gt;None&amp;amp;lt;/DateFormat&amp;amp;gt;&amp;amp;lt;RightHandSideExpression xml:space=&amp;amp;quot;preserve&amp;amp;quot;&amp;amp;gt;MFBS01000026&amp;amp;lt;/RightHandSideExpression&amp;amp;gt;&amp;amp;lt;IsSubquery&amp;amp;'"</definedName>
    <definedName name="_AMO_ContentDefinition_781078101.903"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781078101.904" hidden="1">"'amp;gt;None&amp;amp;lt;/DateFormat&amp;amp;gt;&amp;amp;lt;RightHandSideExpression xml:space=&amp;amp;quot;preserve&amp;amp;quot;&amp;amp;gt;MFBS01000022&amp;amp;lt;/RightHandSideExpression&amp;amp;gt;&amp;amp;lt;IsSubquery&amp;amp;gt;False&amp;amp;lt;/IsSubquery&amp;amp;gt;&amp;amp;lt;SubqueryTemplateN'"</definedName>
    <definedName name="_AMO_ContentDefinition_781078101.905"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781078101.906" hidden="1">"'xpression xml:space=&amp;amp;quot;preserve&amp;amp;quot;&amp;amp;gt;MFBS01000027&amp;amp;lt;/RightHandSideExpression&amp;amp;gt;&amp;amp;lt;IsSubquery&amp;amp;gt;False&amp;amp;lt;/IsSubquery&amp;amp;gt;&amp;amp;lt;SubqueryTemplateName /&amp;amp;gt;&amp;amp;lt;/RHSItem&amp;amp;gt;&amp;amp;lt;RHSItem&amp;amp;gt;'"</definedName>
    <definedName name="_AMO_ContentDefinition_781078101.907" hidden="1">"'&amp;amp;lt;RHSType&amp;amp;gt;EXPRESSION&amp;amp;lt;/RHSType&amp;amp;gt;&amp;amp;lt;AddQuotes&amp;amp;gt;True&amp;amp;lt;/AddQuotes&amp;amp;gt;&amp;amp;lt;DateFormat&amp;amp;gt;None&amp;amp;lt;/DateFormat&amp;amp;gt;&amp;amp;lt;RightHandSideExpression xml:space=&amp;amp;quot;preserve&amp;amp;quot;&amp;amp;gt;MFBS'"</definedName>
    <definedName name="_AMO_ContentDefinition_781078101.908" hidden="1">"'01000014&amp;amp;lt;/RightHandSideExpression&amp;amp;gt;&amp;amp;lt;IsSubquery&amp;amp;gt;False&amp;amp;lt;/IsSubquery&amp;amp;gt;&amp;amp;lt;SubqueryTemplateName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781078101.909" hidden="1">"'p;lt;AddQuotes&amp;amp;gt;True&amp;amp;lt;/AddQuotes&amp;amp;gt;&amp;amp;lt;DateFormat&amp;amp;gt;None&amp;amp;lt;/DateFormat&amp;amp;gt;&amp;amp;lt;RightHandSideExpression xml:space=&amp;amp;quot;preserve&amp;amp;quot;&amp;amp;gt;MFPR01000013&amp;amp;lt;/RightHandSideExpression&amp;amp;gt;&amp;amp;lt;IsSu'"</definedName>
    <definedName name="_AMO_ContentDefinition_781078101.91" hidden="1">"'',&amp;amp;#xD;&amp;amp;#xA;'MFPR01000188',&amp;amp;#xD;&amp;amp;#xA;'MFPR01000189',&amp;amp;#xD;&amp;amp;#xA;'MFPR01000190',&amp;amp;#xD;&amp;amp;#xA;'MFPR01000191',&amp;amp;#xD;&amp;amp;#xA;'MFPR01000192',&amp;amp;#xD;&amp;amp;#xA;'MFPR01000194',&amp;amp;#xD;&amp;amp;#xA;'MFPR01000195',&amp;amp;#xD;&amp;amp;#xA;'"</definedName>
    <definedName name="_AMO_ContentDefinition_781078101.910"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781078101.911" hidden="1">"'DateFormat&amp;amp;gt;None&amp;amp;lt;/DateFormat&amp;amp;gt;&amp;amp;lt;RightHandSideExpression xml:space=&amp;amp;quot;preserve&amp;amp;quot;&amp;amp;gt;MFBS01000013&amp;amp;lt;/RightHandSideExpression&amp;amp;gt;&amp;amp;lt;IsSubquery&amp;amp;gt;False&amp;amp;lt;/IsSubquery&amp;amp;gt;&amp;amp;lt;Subque'"</definedName>
    <definedName name="_AMO_ContentDefinition_781078101.912"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781078101.913" hidden="1">"'htHandSideExpression xml:space=&amp;amp;quot;preserve&amp;amp;quot;&amp;amp;gt;MFBS01000016&amp;amp;lt;/RightHandSideExpression&amp;amp;gt;&amp;amp;lt;IsSubquery&amp;amp;gt;False&amp;amp;lt;/IsSubquery&amp;amp;gt;&amp;amp;lt;SubqueryTemplateName /&amp;amp;gt;&amp;amp;lt;/RHSItem&amp;amp;gt;&amp;amp;lt;RHSI'"</definedName>
    <definedName name="_AMO_ContentDefinition_781078101.914" hidden="1">"'tem&amp;amp;gt;&amp;amp;lt;RHSType&amp;amp;gt;EXPRESSION&amp;amp;lt;/RHSType&amp;amp;gt;&amp;amp;lt;AddQuotes&amp;amp;gt;True&amp;amp;lt;/AddQuotes&amp;amp;gt;&amp;amp;lt;DateFormat&amp;amp;gt;None&amp;amp;lt;/DateFormat&amp;amp;gt;&amp;amp;lt;RightHandSideExpression xml:space=&amp;amp;quot;preserve&amp;amp;quot;&amp;'"</definedName>
    <definedName name="_AMO_ContentDefinition_781078101.915" hidden="1">"'amp;gt;MFBS01000020&amp;amp;lt;/RightHandSideExpression&amp;amp;gt;&amp;amp;lt;IsSubquery&amp;amp;gt;False&amp;amp;lt;/IsSubquery&amp;amp;gt;&amp;amp;lt;SubqueryTemplateName /&amp;amp;gt;&amp;amp;lt;/RHSItem&amp;amp;gt;&amp;amp;lt;RHSItem&amp;amp;gt;&amp;amp;lt;RHSType&amp;amp;gt;EXPRESSION&amp;amp;lt;/RHSType'"</definedName>
    <definedName name="_AMO_ContentDefinition_781078101.916" hidden="1">"'&amp;amp;gt;&amp;amp;lt;AddQuotes&amp;amp;gt;True&amp;amp;lt;/AddQuotes&amp;amp;gt;&amp;amp;lt;DateFormat&amp;amp;gt;None&amp;amp;lt;/DateFormat&amp;amp;gt;&amp;amp;lt;RightHandSideExpression xml:space=&amp;amp;quot;preserve&amp;amp;quot;&amp;amp;gt;MFBS01000024&amp;amp;lt;/RightHandSideExpression&amp;amp;gt;&amp;'"</definedName>
    <definedName name="_AMO_ContentDefinition_781078101.917"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781078101.918" hidden="1">"'gt;&amp;amp;lt;DateFormat&amp;amp;gt;None&amp;amp;lt;/DateFormat&amp;amp;gt;&amp;amp;lt;RightHandSideExpression xml:space=&amp;amp;quot;preserve&amp;amp;quot;&amp;amp;gt;MFBS01000021&amp;amp;lt;/RightHandSideExpression&amp;amp;gt;&amp;amp;lt;IsSubquery&amp;amp;gt;False&amp;amp;lt;/IsSubquery&amp;amp;gt;&amp;am'"</definedName>
    <definedName name="_AMO_ContentDefinition_781078101.919"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781078101.92" hidden="1">"''MFPR01000196',&amp;amp;#xD;&amp;amp;#xA;'MFPR01000197',&amp;amp;#xD;&amp;amp;#xA;'MFPR01000198',&amp;amp;#xD;&amp;amp;#xA;'MFPR01000199',&amp;amp;#xD;&amp;amp;#xA;'MFPR01000203',&amp;amp;#xD;&amp;amp;#xA;'MFPR01000204',&amp;amp;#xD;&amp;amp;#xA;'MFPR01000205',&amp;amp;#xD;&amp;amp;#xA;'MFPR01000206',&amp;amp;'"</definedName>
    <definedName name="_AMO_ContentDefinition_781078101.920" hidden="1">"'&amp;amp;lt;RightHandSideExpression xml:space=&amp;amp;quot;preserve&amp;amp;quot;&amp;amp;gt;MFBS01000025&amp;amp;lt;/RightHandSideExpression&amp;amp;gt;&amp;amp;lt;IsSubquery&amp;amp;gt;False&amp;amp;lt;/IsSubquery&amp;amp;gt;&amp;amp;lt;SubqueryTemplateName /&amp;amp;gt;&amp;amp;lt;/RHSItem&amp;amp;gt;&amp;'"</definedName>
    <definedName name="_AMO_ContentDefinition_781078101.921"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781078101.922" hidden="1">"'&amp;amp;quot;&amp;amp;gt;MFBS01000041&amp;amp;lt;/RightHandSideExpression&amp;amp;gt;&amp;amp;lt;IsSubquery&amp;amp;gt;False&amp;amp;lt;/IsSubquery&amp;amp;gt;&amp;amp;lt;SubqueryTemplateName /&amp;amp;gt;&amp;amp;lt;/RHSItem&amp;amp;gt;&amp;amp;lt;RHSItem&amp;amp;gt;&amp;amp;lt;RHSType&amp;amp;gt;EXPRESSION&amp;amp;'"</definedName>
    <definedName name="_AMO_ContentDefinition_781078101.923" hidden="1">"'lt;/RHSType&amp;amp;gt;&amp;amp;lt;AddQuotes&amp;amp;gt;True&amp;amp;lt;/AddQuotes&amp;amp;gt;&amp;amp;lt;DateFormat&amp;amp;gt;None&amp;amp;lt;/DateFormat&amp;amp;gt;&amp;amp;lt;RightHandSideExpression xml:space=&amp;amp;quot;preserve&amp;amp;quot;&amp;amp;gt;MFBS01000052&amp;amp;lt;/RightHandSideExpressi'"</definedName>
    <definedName name="_AMO_ContentDefinition_781078101.924"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781078101.925" hidden="1">"'Quotes&amp;amp;gt;&amp;amp;lt;DateFormat&amp;amp;gt;None&amp;amp;lt;/DateFormat&amp;amp;gt;&amp;amp;lt;RightHandSideExpression xml:space=&amp;amp;quot;preserve&amp;amp;quot;&amp;amp;gt;MFBS06000195&amp;amp;lt;/RightHandSideExpression&amp;amp;gt;&amp;amp;lt;IsSubquery&amp;amp;gt;False&amp;amp;lt;/IsSubquery'"</definedName>
    <definedName name="_AMO_ContentDefinition_781078101.926"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781078101.927" hidden="1">"'mat&amp;amp;gt;&amp;amp;lt;RightHandSideExpression xml:space=&amp;amp;quot;preserve&amp;amp;quot;&amp;amp;gt;MFBS06000196&amp;amp;lt;/RightHandSideExpression&amp;amp;gt;&amp;amp;lt;IsSubquery&amp;amp;gt;False&amp;amp;lt;/IsSubquery&amp;amp;gt;&amp;amp;lt;SubqueryTemplateName /&amp;amp;gt;&amp;amp;lt;/RHSIt'"</definedName>
    <definedName name="_AMO_ContentDefinition_781078101.928" hidden="1">"'em&amp;amp;gt;&amp;amp;lt;RHSItem&amp;amp;gt;&amp;amp;lt;RHSType&amp;amp;gt;EXPRESSION&amp;amp;lt;/RHSType&amp;amp;gt;&amp;amp;lt;AddQuotes&amp;amp;gt;True&amp;amp;lt;/AddQuotes&amp;amp;gt;&amp;amp;lt;DateFormat&amp;amp;gt;None&amp;amp;lt;/DateFormat&amp;amp;gt;&amp;amp;lt;RightHandSideExpression xml:space=&amp;amp;qu'"</definedName>
    <definedName name="_AMO_ContentDefinition_781078101.929" hidden="1">"'ot;preserve&amp;amp;quot;&amp;amp;gt;MFBS06000197&amp;amp;lt;/RightHandSideExpression&amp;amp;gt;&amp;amp;lt;IsSubquery&amp;amp;gt;False&amp;amp;lt;/IsSubquery&amp;amp;gt;&amp;amp;lt;SubqueryTemplateName /&amp;amp;gt;&amp;amp;lt;/RHSItem&amp;amp;gt;&amp;amp;lt;RHSItem&amp;amp;gt;&amp;amp;lt;RHSType&amp;amp;gt;EXPR'"</definedName>
    <definedName name="_AMO_ContentDefinition_781078101.93" hidden="1">"'#xD;&amp;amp;#xA;'MFPR01000207',&amp;amp;#xD;&amp;amp;#xA;'MFPR01000208',&amp;amp;#xD;&amp;amp;#xA;'MFPR01000210',&amp;amp;#xD;&amp;amp;#xA;'MFPR01000211',&amp;amp;#xD;&amp;amp;#xA;'MFPR01000212',&amp;amp;#xD;&amp;amp;#xA;'MFPR01000213',&amp;amp;#xD;&amp;amp;#xA;'MFPR01000214',&amp;amp;#xD;&amp;amp;#xA;'MFPR01'"</definedName>
    <definedName name="_AMO_ContentDefinition_781078101.930" hidden="1">"'ESSION&amp;amp;lt;/RHSType&amp;amp;gt;&amp;amp;lt;AddQuotes&amp;amp;gt;True&amp;amp;lt;/AddQuotes&amp;amp;gt;&amp;amp;lt;DateFormat&amp;amp;gt;None&amp;amp;lt;/DateFormat&amp;amp;gt;&amp;amp;lt;RightHandSideExpression xml:space=&amp;amp;quot;preserve&amp;amp;quot;&amp;amp;gt;MFBS06000198&amp;amp;lt;/RightHandS'"</definedName>
    <definedName name="_AMO_ContentDefinition_781078101.931"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781078101.932" hidden="1">"'amp;lt;/AddQuotes&amp;amp;gt;&amp;amp;lt;DateFormat&amp;amp;gt;None&amp;amp;lt;/DateFormat&amp;amp;gt;&amp;amp;lt;RightHandSideExpression xml:space=&amp;amp;quot;preserve&amp;amp;quot;&amp;amp;gt;MFBS06000199&amp;amp;lt;/RightHandSideExpression&amp;amp;gt;&amp;amp;lt;IsSubquery&amp;amp;gt;False&amp;amp;lt;'"</definedName>
    <definedName name="_AMO_ContentDefinition_781078101.933"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781078101.934" hidden="1">"'lt;/DateFormat&amp;amp;gt;&amp;amp;lt;RightHandSideExpression xml:space=&amp;amp;quot;preserve&amp;amp;quot;&amp;amp;gt;MFBS06000200&amp;amp;lt;/RightHandSideExpression&amp;amp;gt;&amp;amp;lt;IsSubquery&amp;amp;gt;False&amp;amp;lt;/IsSubquery&amp;amp;gt;&amp;amp;lt;SubqueryTemplateName /&amp;amp;gt;&amp;am'"</definedName>
    <definedName name="_AMO_ContentDefinition_781078101.935" hidden="1">"'p;lt;/RHSItem&amp;amp;gt;&amp;amp;lt;RHSItem&amp;amp;gt;&amp;amp;lt;RHSType&amp;amp;gt;EXPRESSION&amp;amp;lt;/RHSType&amp;amp;gt;&amp;amp;lt;AddQuotes&amp;amp;gt;True&amp;amp;lt;/AddQuotes&amp;amp;gt;&amp;amp;lt;DateFormat&amp;amp;gt;None&amp;amp;lt;/DateFormat&amp;amp;gt;&amp;amp;lt;RightHandSideExpression xml:sp'"</definedName>
    <definedName name="_AMO_ContentDefinition_781078101.936" hidden="1">"'ace=&amp;amp;quot;preserve&amp;amp;quot;&amp;amp;gt;MFPR01000016&amp;amp;lt;/RightHandSideExpression&amp;amp;gt;&amp;amp;lt;IsSubquery&amp;amp;gt;False&amp;amp;lt;/IsSubquery&amp;amp;gt;&amp;amp;lt;SubqueryTemplateName /&amp;amp;gt;&amp;amp;lt;/RHSItem&amp;amp;gt;&amp;amp;lt;RHSItem&amp;amp;gt;&amp;amp;lt;RHSType&amp;'"</definedName>
    <definedName name="_AMO_ContentDefinition_781078101.937" hidden="1">"'amp;gt;EXPRESSION&amp;amp;lt;/RHSType&amp;amp;gt;&amp;amp;lt;AddQuotes&amp;amp;gt;True&amp;amp;lt;/AddQuotes&amp;amp;gt;&amp;amp;lt;DateFormat&amp;amp;gt;None&amp;amp;lt;/DateFormat&amp;amp;gt;&amp;amp;lt;RightHandSideExpression xml:space=&amp;amp;quot;preserve&amp;amp;quot;&amp;amp;gt;MFPR01000032&amp;amp;lt;'"</definedName>
    <definedName name="_AMO_ContentDefinition_781078101.938"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781078101.939" hidden="1">"'mp;gt;True&amp;amp;lt;/AddQuotes&amp;amp;gt;&amp;amp;lt;DateFormat&amp;amp;gt;None&amp;amp;lt;/DateFormat&amp;amp;gt;&amp;amp;lt;RightHandSideExpression xml:space=&amp;amp;quot;preserve&amp;amp;quot;&amp;amp;gt;MFPR01000049&amp;amp;lt;/RightHandSideExpression&amp;amp;gt;&amp;amp;lt;IsSubquery&amp;amp;gt;Fa'"</definedName>
    <definedName name="_AMO_ContentDefinition_781078101.94" hidden="1">"'000215',&amp;amp;#xD;&amp;amp;#xA;'MFPR01000219',&amp;amp;#xD;&amp;amp;#xA;'MFPR01000220',&amp;amp;#xD;&amp;amp;#xA;'MFPR01000221',&amp;amp;#xD;&amp;amp;#xA;'MFPR01000222',&amp;amp;#xD;&amp;amp;#xA;'MFPR01000223',&amp;amp;#xD;&amp;amp;#xA;'MFPR01000224',&amp;amp;#xD;&amp;amp;#xA;'MFPR01000226',&amp;amp;#xD;&amp;am'"</definedName>
    <definedName name="_AMO_ContentDefinition_781078101.940"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781078101.941" hidden="1">"'t;None&amp;amp;lt;/DateFormat&amp;amp;gt;&amp;amp;lt;RightHandSideExpression xml:space=&amp;amp;quot;preserve&amp;amp;quot;&amp;amp;gt;MFPR01000066&amp;amp;lt;/RightHandSideExpression&amp;amp;gt;&amp;amp;lt;IsSubquery&amp;amp;gt;False&amp;amp;lt;/IsSubquery&amp;amp;gt;&amp;amp;lt;SubqueryTemplateName /'"</definedName>
    <definedName name="_AMO_ContentDefinition_781078101.942"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781078101.943" hidden="1">"'sion xml:space=&amp;amp;quot;preserve&amp;amp;quot;&amp;amp;gt;MFPR06007328&amp;amp;lt;/RightHandSideExpression&amp;amp;gt;&amp;amp;lt;IsSubquery&amp;amp;gt;False&amp;amp;lt;/IsSubquery&amp;amp;gt;&amp;amp;lt;SubqueryTemplateName /&amp;amp;gt;&amp;amp;lt;/RHSItem&amp;amp;gt;&amp;amp;lt;RHSItem&amp;amp;gt;&amp;amp;'"</definedName>
    <definedName name="_AMO_ContentDefinition_781078101.944" hidden="1">"'lt;RHSType&amp;amp;gt;EXPRESSION&amp;amp;lt;/RHSType&amp;amp;gt;&amp;amp;lt;AddQuotes&amp;amp;gt;True&amp;amp;lt;/AddQuotes&amp;amp;gt;&amp;amp;lt;DateFormat&amp;amp;gt;None&amp;amp;lt;/DateFormat&amp;amp;gt;&amp;amp;lt;RightHandSideExpression xml:space=&amp;amp;quot;preserve&amp;amp;quot;&amp;amp;gt;MFPR06007'"</definedName>
    <definedName name="_AMO_ContentDefinition_781078101.945" hidden="1">"'402&amp;amp;lt;/RightHandSideExpression&amp;amp;gt;&amp;amp;lt;IsSubquery&amp;amp;gt;False&amp;amp;lt;/IsSubquery&amp;amp;gt;&amp;amp;lt;SubqueryTemplateName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781078101.946" hidden="1">"'AddQuotes&amp;amp;gt;True&amp;amp;lt;/AddQuotes&amp;amp;gt;&amp;amp;lt;DateFormat&amp;amp;gt;None&amp;amp;lt;/DateFormat&amp;amp;gt;&amp;amp;lt;RightHandSideExpression xml:space=&amp;amp;quot;preserve&amp;amp;quot;&amp;amp;gt;MFPR06007476&amp;amp;lt;/RightHandSideExpression&amp;amp;gt;&amp;amp;lt;IsSubquer'"</definedName>
    <definedName name="_AMO_ContentDefinition_781078101.947"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781078101.948" hidden="1">"'ormat&amp;amp;gt;None&amp;amp;lt;/DateFormat&amp;amp;gt;&amp;amp;lt;RightHandSideExpression xml:space=&amp;amp;quot;preserve&amp;amp;quot;&amp;amp;gt;MFPR06007550&amp;amp;lt;/RightHandSideExpression&amp;amp;gt;&amp;amp;lt;IsSubquery&amp;amp;gt;False&amp;amp;lt;/IsSubquery&amp;amp;gt;&amp;amp;lt;SubqueryTem'"</definedName>
    <definedName name="_AMO_ContentDefinition_781078101.949"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781078101.95" hidden="1">"'p;#xA;'MFPR01000227',&amp;amp;#xD;&amp;amp;#xA;'MFPR01000228',&amp;amp;#xD;&amp;amp;#xA;'MFPR01000229',&amp;amp;#xD;&amp;amp;#xA;'MFPR01000230',&amp;amp;#xD;&amp;amp;#xA;'MFPR01000231',&amp;amp;#xD;&amp;amp;#xA;'MFPR01000255',&amp;amp;#xD;&amp;amp;#xA;'MFPR01000256',&amp;amp;#xD;&amp;amp;#xA;'MFPR01000257''"</definedName>
    <definedName name="_AMO_ContentDefinition_781078101.950" hidden="1">"'dSideExpression xml:space=&amp;amp;quot;preserve&amp;amp;quot;&amp;amp;gt;MFPR06007624&amp;amp;lt;/RightHandSideExpression&amp;amp;gt;&amp;amp;lt;IsSubquery&amp;amp;gt;False&amp;amp;lt;/IsSubquery&amp;amp;gt;&amp;amp;lt;SubqueryTemplateName /&amp;amp;gt;&amp;amp;lt;/RHSItem&amp;amp;gt;&amp;amp;lt;RHSItem&amp;a'"</definedName>
    <definedName name="_AMO_ContentDefinition_781078101.951"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781078101.952" hidden="1">"'t;MFPR06007698&amp;amp;lt;/RightHandSideExpression&amp;amp;gt;&amp;amp;lt;IsSubquery&amp;amp;gt;False&amp;amp;lt;/IsSubquery&amp;amp;gt;&amp;amp;lt;SubqueryTemplateName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781078101.953" hidden="1">"'gt;&amp;amp;lt;AddQuotes&amp;amp;gt;True&amp;amp;lt;/AddQuotes&amp;amp;gt;&amp;amp;lt;DateFormat&amp;amp;gt;None&amp;amp;lt;/DateFormat&amp;amp;gt;&amp;amp;lt;RightHandSideExpression xml:space=&amp;amp;quot;preserve&amp;amp;quot;&amp;amp;gt;MFPR01000161&amp;amp;lt;/RightHandSideExpression&amp;amp;gt;&amp;amp;l'"</definedName>
    <definedName name="_AMO_ContentDefinition_781078101.954"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781078101.955" hidden="1">"'mp;lt;DateFormat&amp;amp;gt;None&amp;amp;lt;/DateFormat&amp;amp;gt;&amp;amp;lt;RightHandSideExpression xml:space=&amp;amp;quot;preserve&amp;amp;quot;&amp;amp;gt;MFPR01000162&amp;amp;lt;/RightHandSideExpression&amp;amp;gt;&amp;amp;lt;IsSubquery&amp;amp;gt;False&amp;amp;lt;/IsSubquery&amp;amp;gt;&amp;amp;lt;'"</definedName>
    <definedName name="_AMO_ContentDefinition_781078101.956"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781078101.957" hidden="1">"'lt;RightHandSideExpression xml:space=&amp;amp;quot;preserve&amp;amp;quot;&amp;amp;gt;MFPR01000166&amp;amp;lt;/RightHandSideExpression&amp;amp;gt;&amp;amp;lt;IsSubquery&amp;amp;gt;False&amp;amp;lt;/IsSubquery&amp;amp;gt;&amp;amp;lt;SubqueryTemplateName /&amp;amp;gt;&amp;amp;lt;/RHSItem&amp;amp;gt;&amp;amp;l'"</definedName>
    <definedName name="_AMO_ContentDefinition_781078101.958" hidden="1">"'t;RHSItem&amp;amp;gt;&amp;amp;lt;RHSType&amp;amp;gt;EXPRESSION&amp;amp;lt;/RHSType&amp;amp;gt;&amp;amp;lt;AddQuotes&amp;amp;gt;True&amp;amp;lt;/AddQuotes&amp;amp;gt;&amp;amp;lt;DateFormat&amp;amp;gt;None&amp;amp;lt;/DateFormat&amp;amp;gt;&amp;amp;lt;RightHandSideExpression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781078101.959" hidden="1">"'quot;&amp;amp;gt;MFPR01000167&amp;amp;lt;/RightHandSideExpression&amp;amp;gt;&amp;amp;lt;IsSubquery&amp;amp;gt;False&amp;amp;lt;/IsSubquery&amp;amp;gt;&amp;amp;lt;SubqueryTemplateName /&amp;amp;gt;&amp;amp;lt;/RHSItem&amp;amp;gt;&amp;amp;lt;RHSItem&amp;amp;gt;&amp;amp;lt;RHSType&amp;amp;gt;EXPRESSION&amp;amp;lt;/R'"</definedName>
    <definedName name="_AMO_ContentDefinition_781078101.96" hidden="1">"',&amp;amp;#xD;&amp;amp;#xA;'MFPR01000260',&amp;amp;#xD;&amp;amp;#xA;'MFPR01000261',&amp;amp;#xD;&amp;amp;#xA;'MFPR01000262',&amp;amp;#xD;&amp;amp;#xA;'MFPR01000263',&amp;amp;#xD;&amp;amp;#xA;'MFPR01000263',&amp;amp;#xD;&amp;amp;#xA;'MFPR01000274',&amp;amp;#xD;&amp;amp;#xA;'MFPR01000275',&amp;amp;#xD;&amp;amp;#xA;''"</definedName>
    <definedName name="_AMO_ContentDefinition_781078101.960" hidden="1">"'HSType&amp;amp;gt;&amp;amp;lt;AddQuotes&amp;amp;gt;True&amp;amp;lt;/AddQuotes&amp;amp;gt;&amp;amp;lt;DateFormat&amp;amp;gt;None&amp;amp;lt;/DateFormat&amp;amp;gt;&amp;amp;lt;RightHandSideExpression xml:space=&amp;amp;quot;preserve&amp;amp;quot;&amp;amp;gt;MFPR01000169&amp;amp;lt;/RightHandSideExpression&amp;am'"</definedName>
    <definedName name="_AMO_ContentDefinition_781078101.961"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781078101.962" hidden="1">"'s&amp;amp;gt;&amp;amp;lt;DateFormat&amp;amp;gt;None&amp;amp;lt;/DateFormat&amp;amp;gt;&amp;amp;lt;RightHandSideExpression xml:space=&amp;amp;quot;preserve&amp;amp;quot;&amp;amp;gt;MFPR01000170&amp;amp;lt;/RightHandSideExpression&amp;amp;gt;&amp;amp;lt;IsSubquery&amp;amp;gt;False&amp;amp;lt;/IsSubquery&amp;amp;'"</definedName>
    <definedName name="_AMO_ContentDefinition_781078101.963"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781078101.964" hidden="1">"'mp;gt;&amp;amp;lt;RightHandSideExpression xml:space=&amp;amp;quot;preserve&amp;amp;quot;&amp;amp;gt;MFPR01000171&amp;amp;lt;/RightHandSideExpression&amp;amp;gt;&amp;amp;lt;IsSubquery&amp;amp;gt;False&amp;amp;lt;/IsSubquery&amp;amp;gt;&amp;amp;lt;SubqueryTemplateName /&amp;amp;gt;&amp;amp;lt;/RHSItem&amp;am'"</definedName>
    <definedName name="_AMO_ContentDefinition_781078101.965" hidden="1">"'p;gt;&amp;amp;lt;RHSItem&amp;amp;gt;&amp;amp;lt;RHSType&amp;amp;gt;EXPRESSION&amp;amp;lt;/RHSType&amp;amp;gt;&amp;amp;lt;AddQuotes&amp;amp;gt;True&amp;amp;lt;/AddQuotes&amp;amp;gt;&amp;amp;lt;DateFormat&amp;amp;gt;None&amp;amp;lt;/DateFormat&amp;amp;gt;&amp;amp;lt;RightHandSideExpression xml:space=&amp;amp;quot;pr'"</definedName>
    <definedName name="_AMO_ContentDefinition_781078101.966" hidden="1">"'eserve&amp;amp;quot;&amp;amp;gt;MFPR01000172&amp;amp;lt;/RightHandSideExpression&amp;amp;gt;&amp;amp;lt;IsSubquery&amp;amp;gt;False&amp;amp;lt;/IsSubquery&amp;amp;gt;&amp;amp;lt;SubqueryTemplateName /&amp;amp;gt;&amp;amp;lt;/RHSItem&amp;amp;gt;&amp;amp;lt;RHSItem&amp;amp;gt;&amp;amp;lt;RHSType&amp;amp;gt;EXPRESSIO'"</definedName>
    <definedName name="_AMO_ContentDefinition_781078101.967" hidden="1">"'N&amp;amp;lt;/RHSType&amp;amp;gt;&amp;amp;lt;AddQuotes&amp;amp;gt;True&amp;amp;lt;/AddQuotes&amp;amp;gt;&amp;amp;lt;DateFormat&amp;amp;gt;None&amp;amp;lt;/DateFormat&amp;amp;gt;&amp;amp;lt;RightHandSideExpression xml:space=&amp;amp;quot;preserve&amp;amp;quot;&amp;amp;gt;MFPR01000173&amp;amp;lt;/RightHandSideEx'"</definedName>
    <definedName name="_AMO_ContentDefinition_781078101.968"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781078101.969" hidden="1">"'t;/AddQuotes&amp;amp;gt;&amp;amp;lt;DateFormat&amp;amp;gt;None&amp;amp;lt;/DateFormat&amp;amp;gt;&amp;amp;lt;RightHandSideExpression xml:space=&amp;amp;quot;preserve&amp;amp;quot;&amp;amp;gt;MFPR01000184&amp;amp;lt;/RightHandSideExpression&amp;amp;gt;&amp;amp;lt;IsSubquery&amp;amp;gt;False&amp;amp;lt;/IsSu'"</definedName>
    <definedName name="_AMO_ContentDefinition_781078101.97" hidden="1">"'MFPR01000276',&amp;amp;#xD;&amp;amp;#xA;'MFPR01000277',&amp;amp;#xD;&amp;amp;#xA;'MFPR01000278',&amp;amp;#xD;&amp;amp;#xA;'MFPR01000279',&amp;amp;#xD;&amp;amp;#xA;'MFPR01000285',&amp;amp;#xD;&amp;amp;#xA;'MFPR01000295',&amp;amp;#xD;&amp;amp;#xA;'MFPR01002559',&amp;amp;#xD;&amp;amp;#xA;'MFPR01002562',&amp;amp;#'"</definedName>
    <definedName name="_AMO_ContentDefinition_781078101.970"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781078101.971" hidden="1">"'ateFormat&amp;amp;gt;&amp;amp;lt;RightHandSideExpression xml:space=&amp;amp;quot;preserve&amp;amp;quot;&amp;amp;gt;MFPR01000200&amp;amp;lt;/RightHandSideExpression&amp;amp;gt;&amp;amp;lt;IsSubquery&amp;amp;gt;False&amp;amp;lt;/IsSubquery&amp;amp;gt;&amp;amp;lt;SubqueryTemplateName /&amp;amp;gt;&amp;amp;lt;'"</definedName>
    <definedName name="_AMO_ContentDefinition_781078101.972" hidden="1">"'/RHSItem&amp;amp;gt;&amp;amp;lt;RHSItem&amp;amp;gt;&amp;amp;lt;RHSType&amp;amp;gt;EXPRESSION&amp;amp;lt;/RHSType&amp;amp;gt;&amp;amp;lt;AddQuotes&amp;amp;gt;True&amp;amp;lt;/AddQuotes&amp;amp;gt;&amp;amp;lt;DateFormat&amp;amp;gt;None&amp;amp;lt;/DateFormat&amp;amp;gt;&amp;amp;lt;RightHandSideExpression xml:space=&amp;'"</definedName>
    <definedName name="_AMO_ContentDefinition_781078101.973" hidden="1">"'amp;quot;preserve&amp;amp;quot;&amp;amp;gt;MFPR01000216&amp;amp;lt;/RightHandSideExpression&amp;amp;gt;&amp;amp;lt;IsSubquery&amp;amp;gt;False&amp;amp;lt;/IsSubquery&amp;amp;gt;&amp;amp;lt;SubqueryTemplateName /&amp;amp;gt;&amp;amp;lt;/RHSItem&amp;amp;gt;&amp;amp;lt;RHSItem&amp;amp;gt;&amp;amp;lt;RHSType&amp;amp;g'"</definedName>
    <definedName name="_AMO_ContentDefinition_781078101.974" hidden="1">"'t;EXPRESSION&amp;amp;lt;/RHSType&amp;amp;gt;&amp;amp;lt;AddQuotes&amp;amp;gt;True&amp;amp;lt;/AddQuotes&amp;amp;gt;&amp;amp;lt;DateFormat&amp;amp;gt;None&amp;amp;lt;/DateFormat&amp;amp;gt;&amp;amp;lt;RightHandSideExpression xml:space=&amp;amp;quot;preserve&amp;amp;quot;&amp;amp;gt;MFPR01000265&amp;amp;lt;/Righ'"</definedName>
    <definedName name="_AMO_ContentDefinition_781078101.975"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781078101.976" hidden="1">"';True&amp;amp;lt;/AddQuotes&amp;amp;gt;&amp;amp;lt;DateFormat&amp;amp;gt;None&amp;amp;lt;/DateFormat&amp;amp;gt;&amp;amp;lt;RightHandSideExpression xml:space=&amp;amp;quot;preserve&amp;amp;quot;&amp;amp;gt;MFPR01000266&amp;amp;lt;/RightHandSideExpression&amp;amp;gt;&amp;amp;lt;IsSubquery&amp;amp;gt;False&amp;a'"</definedName>
    <definedName name="_AMO_ContentDefinition_781078101.977"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781078101.978" hidden="1">"'e&amp;amp;lt;/DateFormat&amp;amp;gt;&amp;amp;lt;RightHandSideExpression xml:space=&amp;amp;quot;preserve&amp;amp;quot;&amp;amp;gt;MFPR01000270&amp;amp;lt;/RightHandSideExpression&amp;amp;gt;&amp;amp;lt;IsSubquery&amp;amp;gt;False&amp;amp;lt;/IsSubquery&amp;amp;gt;&amp;amp;lt;SubqueryTemplateName /&amp;amp;'"</definedName>
    <definedName name="_AMO_ContentDefinition_781078101.979" hidden="1">"'gt;&amp;amp;lt;/RHSItem&amp;amp;gt;&amp;amp;lt;RHSItem&amp;amp;gt;&amp;amp;lt;RHSType&amp;amp;gt;EXPRESSION&amp;amp;lt;/RHSType&amp;amp;gt;&amp;amp;lt;AddQuotes&amp;amp;gt;True&amp;amp;lt;/AddQuotes&amp;amp;gt;&amp;amp;lt;DateFormat&amp;amp;gt;None&amp;amp;lt;/DateFormat&amp;amp;gt;&amp;amp;lt;RightHandSideExpression '"</definedName>
    <definedName name="_AMO_ContentDefinition_781078101.98" hidden="1">"'xD;&amp;amp;#xA;'MFPR01002563',&amp;amp;#xD;&amp;amp;#xA;'MFPR01002566',&amp;amp;#xD;&amp;amp;#xA;'MFPR01002567',&amp;amp;#xD;&amp;amp;#xA;'MFPR01002571',&amp;amp;#xD;&amp;amp;#xA;'MFPR01002577',&amp;amp;#xD;&amp;amp;#xA;'MFPR01002581',&amp;amp;#xD;&amp;amp;#xA;'MFPR01002582',&amp;amp;#xD;&amp;amp;#xA;'MFPR010'"</definedName>
    <definedName name="_AMO_ContentDefinition_781078101.980" hidden="1">"'xml:space=&amp;amp;quot;preserve&amp;amp;quot;&amp;amp;gt;MFPR01000271&amp;amp;lt;/RightHandSideExpression&amp;amp;gt;&amp;amp;lt;IsSubquery&amp;amp;gt;False&amp;amp;lt;/IsSubquery&amp;amp;gt;&amp;amp;lt;SubqueryTemplateName /&amp;amp;gt;&amp;amp;lt;/RHSItem&amp;amp;gt;&amp;amp;lt;RHSItem&amp;amp;gt;&amp;amp;lt;RH'"</definedName>
    <definedName name="_AMO_ContentDefinition_781078101.981" hidden="1">"'SType&amp;amp;gt;EXPRESSION&amp;amp;lt;/RHSType&amp;amp;gt;&amp;amp;lt;AddQuotes&amp;amp;gt;True&amp;amp;lt;/AddQuotes&amp;amp;gt;&amp;amp;lt;DateFormat&amp;amp;gt;None&amp;amp;lt;/DateFormat&amp;amp;gt;&amp;amp;lt;RightHandSideExpression xml:space=&amp;amp;quot;preserve&amp;amp;quot;&amp;amp;gt;MFPR01000313&amp;a'"</definedName>
    <definedName name="_AMO_ContentDefinition_781078101.982"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781078101.983" hidden="1">"'otes&amp;amp;gt;True&amp;amp;lt;/AddQuotes&amp;amp;gt;&amp;amp;lt;DateFormat&amp;amp;gt;None&amp;amp;lt;/DateFormat&amp;amp;gt;&amp;amp;lt;RightHandSideExpression xml:space=&amp;amp;quot;preserve&amp;amp;quot;&amp;amp;gt;MFPR01003138&amp;amp;lt;/RightHandSideExpression&amp;amp;gt;&amp;amp;lt;IsSubquery&amp;amp'"</definedName>
    <definedName name="_AMO_ContentDefinition_781078101.984"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781078101.985" hidden="1">"'&amp;amp;gt;None&amp;amp;lt;/DateFormat&amp;amp;gt;&amp;amp;lt;RightHandSideExpression xml:space=&amp;amp;quot;preserve&amp;amp;quot;&amp;amp;gt;MFPR01003145&amp;amp;lt;/RightHandSideExpression&amp;amp;gt;&amp;amp;lt;IsSubquery&amp;amp;gt;False&amp;amp;lt;/IsSubquery&amp;amp;gt;&amp;amp;lt;SubqueryTemplate'"</definedName>
    <definedName name="_AMO_ContentDefinition_781078101.986"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781078101.987" hidden="1">"'Expression xml:space=&amp;amp;quot;preserve&amp;amp;quot;&amp;amp;gt;MFPR01003180&amp;amp;lt;/RightHandSideExpression&amp;amp;gt;&amp;amp;lt;IsSubquery&amp;amp;gt;False&amp;amp;lt;/IsSubquery&amp;amp;gt;&amp;amp;lt;SubqueryTemplateName /&amp;amp;gt;&amp;amp;lt;/RHSItem&amp;amp;gt;&amp;amp;lt;RHSItem&amp;amp;gt'"</definedName>
    <definedName name="_AMO_ContentDefinition_781078101.988" hidden="1">"';&amp;amp;lt;RHSType&amp;amp;gt;EXPRESSION&amp;amp;lt;/RHSType&amp;amp;gt;&amp;amp;lt;AddQuotes&amp;amp;gt;True&amp;amp;lt;/AddQuotes&amp;amp;gt;&amp;amp;lt;DateFormat&amp;amp;gt;None&amp;amp;lt;/DateFormat&amp;amp;gt;&amp;amp;lt;RightHandSideExpression xml:space=&amp;amp;quot;preserve&amp;amp;quot;&amp;amp;gt;MFP'"</definedName>
    <definedName name="_AMO_ContentDefinition_781078101.989" hidden="1">"'R01003181&amp;amp;lt;/RightHandSideExpression&amp;amp;gt;&amp;amp;lt;IsSubquery&amp;amp;gt;False&amp;amp;lt;/IsSubquery&amp;amp;gt;&amp;amp;lt;SubqueryTemplateName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781078101.99" hidden="1">"'02583',&amp;amp;#xD;&amp;amp;#xA;'MFPR01002635',&amp;amp;#xD;&amp;amp;#xA;'MFPR01002636',&amp;amp;#xD;&amp;amp;#xA;'MFPR01002640',&amp;amp;#xD;&amp;amp;#xA;'MFPR01002652',&amp;amp;#xD;&amp;amp;#xA;'MFPR01002697',&amp;amp;#xD;&amp;amp;#xA;'MFPR01002700',&amp;amp;#xD;&amp;amp;#xA;'MFPR01002701',&amp;amp;#xD;&amp;amp'"</definedName>
    <definedName name="_AMO_ContentDefinition_781078101.990" hidden="1">"'mp;lt;AddQuotes&amp;amp;gt;True&amp;amp;lt;/AddQuotes&amp;amp;gt;&amp;amp;lt;DateFormat&amp;amp;gt;None&amp;amp;lt;/DateFormat&amp;amp;gt;&amp;amp;lt;RightHandSideExpression xml:space=&amp;amp;quot;preserve&amp;amp;quot;&amp;amp;gt;MFPR01003185&amp;amp;lt;/RightHandSideExpression&amp;amp;gt;&amp;amp;lt;IsS'"</definedName>
    <definedName name="_AMO_ContentDefinition_781078101.991"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781078101.992" hidden="1">"';DateFormat&amp;amp;gt;None&amp;amp;lt;/DateFormat&amp;amp;gt;&amp;amp;lt;RightHandSideExpression xml:space=&amp;amp;quot;preserve&amp;amp;quot;&amp;amp;gt;MFPR01003197&amp;amp;lt;/RightHandSideExpression&amp;amp;gt;&amp;amp;lt;IsSubquery&amp;amp;gt;False&amp;amp;lt;/IsSubquery&amp;amp;gt;&amp;amp;lt;Subqu'"</definedName>
    <definedName name="_AMO_ContentDefinition_781078101.993"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781078101.994" hidden="1">"'ghtHandSideExpression xml:space=&amp;amp;quot;preserve&amp;amp;quot;&amp;amp;gt;MFPR01003204&amp;amp;lt;/RightHandSideExpression&amp;amp;gt;&amp;amp;lt;IsSubquery&amp;amp;gt;False&amp;amp;lt;/IsSubquery&amp;amp;gt;&amp;amp;lt;SubqueryTemplateName /&amp;amp;gt;&amp;amp;lt;/RHSItem&amp;amp;gt;&amp;amp;lt;RHS'"</definedName>
    <definedName name="_AMO_ContentDefinition_781078101.995" hidden="1">"'Item&amp;amp;gt;&amp;amp;lt;RHSType&amp;amp;gt;EXPRESSION&amp;amp;lt;/RHSType&amp;amp;gt;&amp;amp;lt;AddQuotes&amp;amp;gt;True&amp;amp;lt;/AddQuotes&amp;amp;gt;&amp;amp;lt;DateFormat&amp;amp;gt;None&amp;amp;lt;/DateFormat&amp;amp;gt;&amp;amp;lt;RightHandSideExpression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781078101.996" hidden="1">"'&amp;amp;gt;MFPR01003240&amp;amp;lt;/RightHandSideExpression&amp;amp;gt;&amp;amp;lt;IsSubquery&amp;amp;gt;False&amp;amp;lt;/IsSubquery&amp;amp;gt;&amp;amp;lt;SubqueryTemplateName /&amp;amp;gt;&amp;amp;lt;/RHSItem&amp;amp;gt;&amp;amp;lt;RHSItem&amp;amp;gt;&amp;amp;lt;RHSType&amp;amp;gt;EXPRESSION&amp;amp;lt;/RHSTyp'"</definedName>
    <definedName name="_AMO_ContentDefinition_781078101.997" hidden="1">"'e&amp;amp;gt;&amp;amp;lt;AddQuotes&amp;amp;gt;True&amp;amp;lt;/AddQuotes&amp;amp;gt;&amp;amp;lt;DateFormat&amp;amp;gt;None&amp;amp;lt;/DateFormat&amp;amp;gt;&amp;amp;lt;RightHandSideExpression xml:space=&amp;amp;quot;preserve&amp;amp;quot;&amp;amp;gt;MFPR01003241&amp;amp;lt;/RightHandSideExpression&amp;amp;gt;'"</definedName>
    <definedName name="_AMO_ContentDefinition_781078101.998"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781078101.999" hidden="1">"';gt;&amp;amp;lt;DateFormat&amp;amp;gt;None&amp;amp;lt;/DateFormat&amp;amp;gt;&amp;amp;lt;RightHandSideExpression xml:space=&amp;amp;quot;preserve&amp;amp;quot;&amp;amp;gt;MFPR01003246&amp;amp;lt;/RightHandSideExpression&amp;amp;gt;&amp;amp;lt;IsSubquery&amp;amp;gt;False&amp;amp;lt;/IsSubquery&amp;amp;gt;&amp;a'"</definedName>
    <definedName name="_AMO_ContentDefinition_891553685" hidden="1">"'Partitions:616'"</definedName>
    <definedName name="_AMO_ContentDefinition_891553685.0" hidden="1">"'&lt;ContentDefinition name=""SASApp:METRICS.validation_metrics_prior10_view"" rsid=""891553685"" type=""DataSet"" format=""ReportXml"" imgfmt=""ActiveX"" created=""09/02/2020 11:41:04"" modifed=""12/24/2020 13:40:51"" user="""" apply=""False"" css=""C:\S'"</definedName>
    <definedName name="_AMO_ContentDefinition_891553685.1" hidden="1">"'ASHOME94\x86\SASAddInforMicrosoftOffice\8\Styles\AMODefault.css"" range=""SASApp_METRICS_validation_metrics_prior10_view"" auto=""False"" xTime=""00:00:00.0120007"" rTime=""00:00:48.3494847"" bgnew=""False"" nFmt=""False"" grphSet=""True"" imgY=""0'"</definedName>
    <definedName name="_AMO_ContentDefinition_891553685.10" hidden="1">"'&amp;#xD;&amp;#xA;'MFBS01000757',&amp;#xD;&amp;#xA;'MFBS01000758',&amp;#xD;&amp;#xA;'MFBS01000914',&amp;#xD;&amp;#xA;'MFBS01000915',&amp;#xD;&amp;#xA;'MFBS01000916',&amp;#xD;&amp;#xA;'MFBS01000917',&amp;#xD;&amp;#xA;'MFBS01000918',&amp;#xD;&amp;#xA;'MFBS01000919',&amp;#xD;&amp;#xA;'MFBS01000920',&amp;#xD;&amp;#xA;'MFBS01001119',&amp;'"</definedName>
    <definedName name="_AMO_ContentDefinition_891553685.100" hidden="1">"'alse&amp;amp;lt;/AddQuotes&amp;amp;gt;&amp;amp;lt;DateFormat&amp;amp;gt;Literal&amp;amp;lt;/DateFormat&amp;amp;gt;&amp;amp;lt;RightHandSideExpression xml:space=&amp;amp;quot;preserve&amp;amp;quot;&amp;amp;gt;03/31/2020&amp;amp;lt;/RightHandSideExpression&amp;amp;gt;&amp;amp;lt;IsSubquery&amp;amp;gt;False&amp;a'"</definedName>
    <definedName name="_AMO_ContentDefinition_891553685.101" hidden="1">"'mp;lt;/IsSubquery&amp;amp;gt;&amp;amp;lt;SubqueryTemplateName /&amp;amp;gt;&amp;amp;lt;/RHSItem&amp;amp;gt;&amp;amp;lt;RHSItem&amp;amp;gt;&amp;amp;lt;RHSType&amp;amp;gt;EXPRESSION&amp;amp;lt;/RHSType&amp;amp;gt;&amp;amp;lt;AddQuotes&amp;amp;gt;False&amp;amp;lt;/AddQuotes&amp;amp;gt;&amp;amp;lt;DateFormat&amp;amp;gt;Li'"</definedName>
    <definedName name="_AMO_ContentDefinition_891553685.102" hidden="1">"'teral&amp;amp;lt;/DateFormat&amp;amp;gt;&amp;amp;lt;RightHandSideExpression xml:space=&amp;amp;quot;preserve&amp;amp;quot;&amp;amp;gt;06/30/2020&amp;amp;lt;/RightHandSideExpression&amp;amp;gt;&amp;amp;lt;IsSubquery&amp;amp;gt;False&amp;amp;lt;/IsSubquery&amp;amp;gt;&amp;amp;lt;SubqueryTemplateName /&amp;am'"</definedName>
    <definedName name="_AMO_ContentDefinition_891553685.103" hidden="1">"'p;gt;&amp;amp;lt;/RHSItem&amp;amp;gt;&amp;amp;lt;RHSItem&amp;amp;gt;&amp;amp;lt;RHSType&amp;amp;gt;EXPRESSION&amp;amp;lt;/RHSType&amp;amp;gt;&amp;amp;lt;AddQuotes&amp;amp;gt;False&amp;amp;lt;/AddQuotes&amp;amp;gt;&amp;amp;lt;DateFormat&amp;amp;gt;Literal&amp;amp;lt;/DateFormat&amp;amp;gt;&amp;amp;lt;RightHandSideExpre'"</definedName>
    <definedName name="_AMO_ContentDefinition_891553685.104" hidden="1">"'ssion xml:space=&amp;amp;quot;preserve&amp;amp;quot;&amp;amp;gt;09/30/2020&amp;amp;lt;/RightHandSideExpression&amp;amp;gt;&amp;amp;lt;IsSubquery&amp;amp;gt;False&amp;amp;lt;/IsSubquery&amp;amp;gt;&amp;amp;lt;SubqueryTemplateName /&amp;amp;gt;&amp;amp;lt;/RHSItem&amp;amp;gt;&amp;amp;lt;/RightHandSideItems&amp;a'"</definedName>
    <definedName name="_AMO_ContentDefinition_891553685.105" hidden="1">"'mp;gt;&amp;amp;lt;/RightHandSide&amp;amp;gt;&amp;amp;lt;IsCaseSensitive&amp;amp;gt;True&amp;amp;lt;/IsCaseSensitive&amp;amp;gt;&amp;amp;lt;/Node&amp;amp;gt;&amp;amp;lt;/SiblingLink&amp;amp;gt;&amp;amp;lt;Operator&amp;amp;gt;IN&amp;amp;lt;/Operator&amp;amp;gt;&amp;amp;lt;UseMacroFunction&amp;amp;gt;False&amp;amp;lt;/Us'"</definedName>
    <definedName name="_AMO_ContentDefinition_891553685.106" hidden="1">"'eMacroFunction&amp;amp;gt;&amp;amp;lt;Not&amp;amp;gt;False&amp;amp;lt;/Not&amp;amp;gt;&amp;amp;lt;Label /&amp;amp;gt;&amp;amp;lt;RightHandSide&amp;amp;gt;&amp;amp;lt;RightHandSideNumType&amp;amp;gt;LIST&amp;amp;lt;/RightHandSideNumType&amp;amp;gt;&amp;amp;lt;RightHandSideItems&amp;amp;gt;&amp;amp;lt;RHSItem&amp;amp;gt'"</definedName>
    <definedName name="_AMO_ContentDefinition_891553685.107" hidden="1">"';&amp;amp;lt;RHSType&amp;amp;gt;EXPRESSION&amp;amp;lt;/RHSType&amp;amp;gt;&amp;amp;lt;AddQuotes&amp;amp;gt;True&amp;amp;lt;/AddQuotes&amp;amp;gt;&amp;amp;lt;DateFormat&amp;amp;gt;None&amp;amp;lt;/DateFormat&amp;amp;gt;&amp;amp;lt;RightHandSideExpression xml:space=&amp;amp;quot;preserve&amp;amp;quot;&amp;amp;gt;Ant'"</definedName>
    <definedName name="_AMO_ContentDefinition_891553685.108" hidden="1">"'igua and Barbuda&amp;amp;lt;/RightHandSideExpression&amp;amp;gt;&amp;amp;lt;IsSubquery&amp;amp;gt;False&amp;amp;lt;/IsSubquery&amp;amp;gt;&amp;amp;lt;SubqueryTemplateName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891553685.109" hidden="1">"'p;gt;&amp;amp;lt;AddQuotes&amp;amp;gt;True&amp;amp;lt;/AddQuotes&amp;amp;gt;&amp;amp;lt;DateFormat&amp;amp;gt;None&amp;amp;lt;/DateFormat&amp;amp;gt;&amp;amp;lt;RightHandSideExpression xml:space=&amp;amp;quot;preserve&amp;amp;quot;&amp;amp;gt;Anguilla&amp;amp;lt;/RightHandSideExpression&amp;amp;gt;&amp;amp;lt;'"</definedName>
    <definedName name="_AMO_ContentDefinition_891553685.11" hidden="1">"'#xD;&amp;#xA;'MFBS01000921',&amp;#xD;&amp;#xA;'MFBS01000922',&amp;#xD;&amp;#xA;'MFBS01000923',&amp;#xD;&amp;#xA;'MFBS01000924',&amp;#xD;&amp;#xA;'MFBS01000925',&amp;#xD;&amp;#xA;'MFBS01000928',&amp;#xD;&amp;#xA;'MFBS01001070',&amp;#xD;&amp;#xA;'MFBS01001141',&amp;#xD;&amp;#xA;'MFBS01000926',&amp;#xD;&amp;#xA;'MFPR06008082',&amp;#'"</definedName>
    <definedName name="_AMO_ContentDefinition_891553685.110"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891553685.111" hidden="1">"';lt;DateFormat&amp;amp;gt;None&amp;amp;lt;/DateFormat&amp;amp;gt;&amp;amp;lt;RightHandSideExpression xml:space=&amp;amp;quot;preserve&amp;amp;quot;&amp;amp;gt;Dominica&amp;amp;lt;/RightHandSideExpression&amp;amp;gt;&amp;amp;lt;IsSubquery&amp;amp;gt;False&amp;amp;lt;/IsSubquery&amp;amp;gt;&amp;amp;lt;Subque'"</definedName>
    <definedName name="_AMO_ContentDefinition_891553685.112"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891553685.113" hidden="1">"'htHandSideExpression xml:space=&amp;amp;quot;preserve&amp;amp;quot;&amp;amp;gt;Grenada&amp;amp;lt;/RightHandSideExpression&amp;amp;gt;&amp;amp;lt;IsSubquery&amp;amp;gt;False&amp;amp;lt;/IsSubquery&amp;amp;gt;&amp;amp;lt;SubqueryTemplateName /&amp;amp;gt;&amp;amp;lt;/RHSItem&amp;amp;gt;&amp;amp;lt;RHSItem&amp;a'"</definedName>
    <definedName name="_AMO_ContentDefinition_891553685.114"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891553685.115" hidden="1">"'t;Montserrat&amp;amp;lt;/RightHandSideExpression&amp;amp;gt;&amp;amp;lt;IsSubquery&amp;amp;gt;False&amp;amp;lt;/IsSubquery&amp;amp;gt;&amp;amp;lt;SubqueryTemplateName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891553685.116" hidden="1">"';&amp;amp;lt;AddQuotes&amp;amp;gt;True&amp;amp;lt;/AddQuotes&amp;amp;gt;&amp;amp;lt;DateFormat&amp;amp;gt;None&amp;amp;lt;/DateFormat&amp;amp;gt;&amp;amp;lt;RightHandSideExpression xml:space=&amp;amp;quot;preserve&amp;amp;quot;&amp;amp;gt;St Kitts and Nevis&amp;amp;lt;/RightHandSideExpression&amp;amp;gt;&amp;a'"</definedName>
    <definedName name="_AMO_ContentDefinition_891553685.117"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891553685.118" hidden="1">"'t;&amp;amp;lt;DateFormat&amp;amp;gt;None&amp;amp;lt;/DateFormat&amp;amp;gt;&amp;amp;lt;RightHandSideExpression xml:space=&amp;amp;quot;preserve&amp;amp;quot;&amp;amp;gt;Saint Lucia&amp;amp;lt;/RightHandSideExpression&amp;amp;gt;&amp;amp;lt;IsSubquery&amp;amp;gt;False&amp;amp;lt;/IsSubquery&amp;amp;gt;&amp;amp;'"</definedName>
    <definedName name="_AMO_ContentDefinition_891553685.119"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891553685.12" hidden="1">"'xD;&amp;#xA;'MFPR06008573',&amp;#xD;&amp;#xA;'MFPR06008091',&amp;#xD;&amp;#xA;'MFPR06008096',&amp;#xD;&amp;#xA;'MFPR06008097',&amp;#xD;&amp;#xA;'MFPR06008099',&amp;#xD;&amp;#xA;'MFPR06008098',&amp;#xD;&amp;#xA;'MFPR06008574',&amp;#xD;&amp;#xA;'MFPR06008575',&amp;#xD;&amp;#xA;'MFPR06008110',&amp;#xD;&amp;#xA;'MFPR06008111',&amp;#x'"</definedName>
    <definedName name="_AMO_ContentDefinition_891553685.120" hidden="1">"'mp;lt;RightHandSideExpression xml:space=&amp;amp;quot;preserve&amp;amp;quot;&amp;amp;gt;St Vincent and the Grenadines&amp;amp;lt;/RightHandSideExpression&amp;amp;gt;&amp;amp;lt;IsSubquery&amp;amp;gt;False&amp;amp;lt;/IsSubquery&amp;amp;gt;&amp;amp;lt;SubqueryTemplateName /&amp;amp;gt;&amp;amp;lt;/R'"</definedName>
    <definedName name="_AMO_ContentDefinition_891553685.121" hidden="1">"'HSItem&amp;amp;gt;&amp;amp;lt;RHSItem&amp;amp;gt;&amp;amp;lt;RHSType&amp;amp;gt;EXPRESSION&amp;amp;lt;/RHSType&amp;amp;gt;&amp;amp;lt;AddQuotes&amp;amp;gt;True&amp;amp;lt;/AddQuotes&amp;amp;gt;&amp;amp;lt;DateFormat&amp;amp;gt;None&amp;amp;lt;/DateFormat&amp;amp;gt;&amp;amp;lt;RightHandSideExpression xml:space=&amp;am'"</definedName>
    <definedName name="_AMO_ContentDefinition_891553685.122" hidden="1">"'p;quot;preserve&amp;amp;quot;&amp;amp;gt;ECCU&amp;amp;lt;/RightHandSideExpression&amp;amp;gt;&amp;amp;lt;IsSubquery&amp;amp;gt;False&amp;amp;lt;/IsSubquery&amp;amp;gt;&amp;amp;lt;SubqueryTemplateName /&amp;amp;gt;&amp;amp;lt;/RHSItem&amp;amp;gt;&amp;amp;lt;RHSItem&amp;amp;gt;&amp;amp;lt;RHSType&amp;amp;gt;EXPRESSI'"</definedName>
    <definedName name="_AMO_ContentDefinition_891553685.123" hidden="1">"'ON&amp;amp;lt;/RHSType&amp;amp;gt;&amp;amp;lt;AddQuotes&amp;amp;gt;True&amp;amp;lt;/AddQuotes&amp;amp;gt;&amp;amp;lt;DateFormat&amp;amp;gt;None&amp;amp;lt;/DateFormat&amp;amp;gt;&amp;amp;lt;RightHandSideExpression xml:space=&amp;amp;quot;preserve&amp;amp;quot;&amp;amp;gt;LOC AI&amp;amp;lt;/RightHandSideExpress'"</definedName>
    <definedName name="_AMO_ContentDefinition_891553685.124"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891553685.125" hidden="1">"'dQuotes&amp;amp;gt;&amp;amp;lt;DateFormat&amp;amp;gt;None&amp;amp;lt;/DateFormat&amp;amp;gt;&amp;amp;lt;RightHandSideExpression xml:space=&amp;amp;quot;preserve&amp;amp;quot;&amp;amp;gt;LOC AG&amp;amp;lt;/RightHandSideExpression&amp;amp;gt;&amp;amp;lt;IsSubquery&amp;amp;gt;False&amp;amp;lt;/IsSubquery&amp;amp;'"</definedName>
    <definedName name="_AMO_ContentDefinition_891553685.126"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891553685.127" hidden="1">"'mp;gt;&amp;amp;lt;RightHandSideExpression xml:space=&amp;amp;quot;preserve&amp;amp;quot;&amp;amp;gt;LOC DM&amp;amp;lt;/RightHandSideExpression&amp;amp;gt;&amp;amp;lt;IsSubquery&amp;amp;gt;False&amp;amp;lt;/IsSubquery&amp;amp;gt;&amp;amp;lt;SubqueryTemplateName /&amp;amp;gt;&amp;amp;lt;/RHSItem&amp;amp;gt;&amp;'"</definedName>
    <definedName name="_AMO_ContentDefinition_891553685.128"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891553685.129" hidden="1">"'&amp;amp;quot;&amp;amp;gt;LOC GD&amp;amp;lt;/RightHandSideExpression&amp;amp;gt;&amp;amp;lt;IsSubquery&amp;amp;gt;False&amp;amp;lt;/IsSubquery&amp;amp;gt;&amp;amp;lt;SubqueryTemplateName /&amp;amp;gt;&amp;amp;lt;/RHSItem&amp;amp;gt;&amp;amp;lt;RHSItem&amp;amp;gt;&amp;amp;lt;RHSType&amp;amp;gt;EXPRESSION&amp;amp;lt;/RH'"</definedName>
    <definedName name="_AMO_ContentDefinition_891553685.13" hidden="1">"'D;&amp;#xA;'MFPR06008576',&amp;#xD;&amp;#xA;'MFPR06008113',&amp;#xD;&amp;#xA;'MFPR06008114',&amp;#xD;&amp;#xA;'MFPR06008562',&amp;#xD;&amp;#xA;'MFPR06008119',&amp;#xD;&amp;#xA;'MFPR06008577',&amp;#xD;&amp;#xA;'MFPR01006343',&amp;#xD;&amp;#xA;'MFPR01000285',&amp;#xD;&amp;#xA;'MFPR01006344',&amp;#xD;&amp;#xA;'MFPR01006345',&amp;#xD'"</definedName>
    <definedName name="_AMO_ContentDefinition_891553685.130" hidden="1">"'SType&amp;amp;gt;&amp;amp;lt;AddQuotes&amp;amp;gt;True&amp;amp;lt;/AddQuotes&amp;amp;gt;&amp;amp;lt;DateFormat&amp;amp;gt;None&amp;amp;lt;/DateFormat&amp;amp;gt;&amp;amp;lt;RightHandSideExpression xml:space=&amp;amp;quot;preserve&amp;amp;quot;&amp;amp;gt;LOC MS&amp;amp;lt;/RightHandSideExpression&amp;amp;gt;&amp;a'"</definedName>
    <definedName name="_AMO_ContentDefinition_891553685.131"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891553685.132" hidden="1">"'t;&amp;amp;lt;DateFormat&amp;amp;gt;None&amp;amp;lt;/DateFormat&amp;amp;gt;&amp;amp;lt;RightHandSideExpression xml:space=&amp;amp;quot;preserve&amp;amp;quot;&amp;amp;gt;LOC KN&amp;amp;lt;/RightHandSideExpression&amp;amp;gt;&amp;amp;lt;IsSubquery&amp;amp;gt;False&amp;amp;lt;/IsSubquery&amp;amp;gt;&amp;amp;lt;Su'"</definedName>
    <definedName name="_AMO_ContentDefinition_891553685.133"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891553685.134" hidden="1">"';RightHandSideExpression xml:space=&amp;amp;quot;preserve&amp;amp;quot;&amp;amp;gt;LOC LC&amp;amp;lt;/RightHandSideExpression&amp;amp;gt;&amp;amp;lt;IsSubquery&amp;amp;gt;False&amp;amp;lt;/IsSubquery&amp;amp;gt;&amp;amp;lt;SubqueryTemplateName /&amp;amp;gt;&amp;amp;lt;/RHSItem&amp;amp;gt;&amp;amp;lt;RHSIte'"</definedName>
    <definedName name="_AMO_ContentDefinition_891553685.135" hidden="1">"'m&amp;amp;gt;&amp;amp;lt;RHSType&amp;amp;gt;EXPRESSION&amp;amp;lt;/RHSType&amp;amp;gt;&amp;amp;lt;AddQuotes&amp;amp;gt;True&amp;amp;lt;/AddQuotes&amp;amp;gt;&amp;amp;lt;DateFormat&amp;amp;gt;None&amp;amp;lt;/DateFormat&amp;amp;gt;&amp;amp;lt;RightHandSideExpression xml:space=&amp;amp;quot;preserve&amp;amp;quot;&amp;am'"</definedName>
    <definedName name="_AMO_ContentDefinition_891553685.136" hidden="1">"'p;gt;LOC VC&amp;amp;lt;/RightHandSideExpression&amp;amp;gt;&amp;amp;lt;IsSubquery&amp;amp;gt;False&amp;amp;lt;/IsSubquery&amp;amp;gt;&amp;amp;lt;SubqueryTemplateName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891553685.137" hidden="1">"'&amp;amp;lt;AddQuotes&amp;amp;gt;True&amp;amp;lt;/AddQuotes&amp;amp;gt;&amp;amp;lt;DateFormat&amp;amp;gt;None&amp;amp;lt;/DateFormat&amp;amp;gt;&amp;amp;lt;RightHandSideExpression xml:space=&amp;amp;quot;preserve&amp;amp;quot;&amp;amp;gt;LOC EC&amp;amp;lt;/RightHandSideExpression&amp;amp;gt;&amp;amp;lt;IsSubqu'"</definedName>
    <definedName name="_AMO_ContentDefinition_891553685.138" hidden="1">"'ery&amp;amp;gt;False&amp;amp;lt;/IsSubquery&amp;amp;gt;&amp;amp;lt;SubqueryTemplateName /&amp;amp;gt;&amp;amp;lt;/RHSItem&amp;amp;gt;&amp;amp;lt;/RightHandSideItems&amp;amp;gt;&amp;amp;lt;/RightHandSide&amp;amp;gt;&amp;amp;lt;IsCaseSensitive&amp;amp;gt;True&amp;amp;lt;/IsCaseSensitive&amp;amp;gt;&amp;amp;lt;/Node&amp;'"</definedName>
    <definedName name="_AMO_ContentDefinition_891553685.139" hidden="1">"'amp;gt;&amp;amp;lt;/SiblingLink&amp;amp;gt;&amp;amp;lt;Operator&amp;amp;gt;IN&amp;amp;lt;/Operator&amp;amp;gt;&amp;amp;lt;UseMacroFunction&amp;amp;gt;False&amp;amp;lt;/UseMacroFunction&amp;amp;gt;&amp;amp;lt;Not&amp;amp;gt;False&amp;amp;lt;/Not&amp;amp;gt;&amp;amp;lt;Label /&amp;amp;gt;&amp;amp;lt;RightHandSide&amp;amp;gt'"</definedName>
    <definedName name="_AMO_ContentDefinition_891553685.14" hidden="1">"';&amp;#xA;'MFPR01006346',&amp;#xD;&amp;#xA;'MFPR01006296',&amp;#xD;&amp;#xA;'MFPR01006348',&amp;#xD;&amp;#xA;'MFPR01006349',&amp;#xD;&amp;#xA;'MFPR01006350',&amp;#xD;&amp;#xA;'MFPR01006351',&amp;#xD;&amp;#xA;'MFPR01006352',&amp;#xD;&amp;#xA;'MFPR01006353',&amp;#xD;&amp;#xA;'MFPR01006354',&amp;#xD;&amp;#xA;'MFPR01006355',&amp;#xD;'"</definedName>
    <definedName name="_AMO_ContentDefinition_891553685.140" hidden="1">"';&amp;amp;lt;RightHandSideNumType&amp;amp;gt;LIST&amp;amp;lt;/RightHandSideNumType&amp;amp;gt;&amp;amp;lt;RightHandSideItems&amp;amp;gt;&amp;amp;lt;RHSItem&amp;amp;gt;&amp;amp;lt;RHSType&amp;amp;gt;EXPRESSION&amp;amp;lt;/RHSType&amp;amp;gt;&amp;amp;lt;AddQuotes&amp;amp;gt;True&amp;amp;lt;/AddQuotes&amp;amp;gt;&amp;amp'"</definedName>
    <definedName name="_AMO_ContentDefinition_891553685.141" hidden="1">"';lt;DateFormat&amp;amp;gt;None&amp;amp;lt;/DateFormat&amp;amp;gt;&amp;amp;lt;RightHandSideExpression xml:space=&amp;amp;quot;preserve&amp;amp;quot;&amp;amp;gt;MFBS06000679&amp;amp;lt;/RightHandSideExpression&amp;amp;gt;&amp;amp;lt;IsSubquery&amp;amp;gt;False&amp;amp;lt;/IsSubquery&amp;amp;gt;&amp;amp;lt;Su'"</definedName>
    <definedName name="_AMO_ContentDefinition_891553685.142"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891553685.143" hidden="1">"';RightHandSideExpression xml:space=&amp;amp;quot;preserve&amp;amp;quot;&amp;amp;gt;MFBS06000360&amp;amp;lt;/RightHandSideExpression&amp;amp;gt;&amp;amp;lt;IsSubquery&amp;amp;gt;False&amp;amp;lt;/IsSubquery&amp;amp;gt;&amp;amp;lt;SubqueryTemplateName /&amp;amp;gt;&amp;amp;lt;/RHSItem&amp;amp;gt;&amp;amp;lt;'"</definedName>
    <definedName name="_AMO_ContentDefinition_891553685.144" hidden="1">"'RHSItem&amp;amp;gt;&amp;amp;lt;RHSType&amp;amp;gt;EXPRESSION&amp;amp;lt;/RHSType&amp;amp;gt;&amp;amp;lt;AddQuotes&amp;amp;gt;True&amp;amp;lt;/AddQuotes&amp;amp;gt;&amp;amp;lt;DateFormat&amp;amp;gt;None&amp;amp;lt;/DateFormat&amp;amp;gt;&amp;amp;lt;RightHandSideExpression xml:space=&amp;amp;quot;preserve&amp;amp;qu'"</definedName>
    <definedName name="_AMO_ContentDefinition_891553685.145" hidden="1">"'ot;&amp;amp;gt;MFBS06000364&amp;amp;lt;/RightHandSideExpression&amp;amp;gt;&amp;amp;lt;IsSubquery&amp;amp;gt;False&amp;amp;lt;/IsSubquery&amp;amp;gt;&amp;amp;lt;SubqueryTemplateName /&amp;amp;gt;&amp;amp;lt;/RHSItem&amp;amp;gt;&amp;amp;lt;RHSItem&amp;amp;gt;&amp;amp;lt;RHSType&amp;amp;gt;EXPRESSION&amp;amp;lt;/RHS'"</definedName>
    <definedName name="_AMO_ContentDefinition_891553685.146" hidden="1">"'Type&amp;amp;gt;&amp;amp;lt;AddQuotes&amp;amp;gt;True&amp;amp;lt;/AddQuotes&amp;amp;gt;&amp;amp;lt;DateFormat&amp;amp;gt;None&amp;amp;lt;/DateFormat&amp;amp;gt;&amp;amp;lt;RightHandSideExpression xml:space=&amp;amp;quot;preserve&amp;amp;quot;&amp;amp;gt;MFBS06000680&amp;amp;lt;/RightHandSideExpression&amp;amp;'"</definedName>
    <definedName name="_AMO_ContentDefinition_891553685.147"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891553685.148" hidden="1">"'amp;gt;&amp;amp;lt;DateFormat&amp;amp;gt;None&amp;amp;lt;/DateFormat&amp;amp;gt;&amp;amp;lt;RightHandSideExpression xml:space=&amp;amp;quot;preserve&amp;amp;quot;&amp;amp;gt;MFBS06000369&amp;amp;lt;/RightHandSideExpression&amp;amp;gt;&amp;amp;lt;IsSubquery&amp;amp;gt;False&amp;amp;lt;/IsSubquery&amp;amp;gt'"</definedName>
    <definedName name="_AMO_ContentDefinition_891553685.149"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891553685.15" hidden="1">"'&amp;#xA;'MFPR01006356',&amp;#xD;&amp;#xA;'MFPR01006357',&amp;#xD;&amp;#xA;'MFPR01000255',&amp;#xD;&amp;#xA;'MFPR01006358',&amp;#xD;&amp;#xA;'MFPR01000260',&amp;#xD;&amp;#xA;'MFPR01000279',&amp;#xD;&amp;#xA;'MFPR01006359',&amp;#xD;&amp;#xA;'MFPR01006361',&amp;#xD;&amp;#xA;'MFPR01006362',&amp;#xD;&amp;#xA;'MFPR01006363',&amp;#xD;&amp;'"</definedName>
    <definedName name="_AMO_ContentDefinition_891553685.150" hidden="1">"';gt;&amp;amp;lt;RightHandSideExpression xml:space=&amp;amp;quot;preserve&amp;amp;quot;&amp;amp;gt;MFBS06000370&amp;amp;lt;/RightHandSideExpression&amp;amp;gt;&amp;amp;lt;IsSubquery&amp;amp;gt;False&amp;amp;lt;/IsSubquery&amp;amp;gt;&amp;amp;lt;SubqueryTemplateName /&amp;amp;gt;&amp;amp;lt;/RHSItem&amp;amp;'"</definedName>
    <definedName name="_AMO_ContentDefinition_891553685.151" hidden="1">"'gt;&amp;amp;lt;RHSItem&amp;amp;gt;&amp;amp;lt;RHSType&amp;amp;gt;EXPRESSION&amp;amp;lt;/RHSType&amp;amp;gt;&amp;amp;lt;AddQuotes&amp;amp;gt;True&amp;amp;lt;/AddQuotes&amp;amp;gt;&amp;amp;lt;DateFormat&amp;amp;gt;None&amp;amp;lt;/DateFormat&amp;amp;gt;&amp;amp;lt;RightHandSideExpression xml:space=&amp;amp;quot;pres'"</definedName>
    <definedName name="_AMO_ContentDefinition_891553685.152" hidden="1">"'erve&amp;amp;quot;&amp;amp;gt;MFBS06000371&amp;amp;lt;/RightHandSideExpression&amp;amp;gt;&amp;amp;lt;IsSubquery&amp;amp;gt;False&amp;amp;lt;/IsSubquery&amp;amp;gt;&amp;amp;lt;SubqueryTemplateName /&amp;amp;gt;&amp;amp;lt;/RHSItem&amp;amp;gt;&amp;amp;lt;RHSItem&amp;amp;gt;&amp;amp;lt;RHSType&amp;amp;gt;EXPRESSION&amp;'"</definedName>
    <definedName name="_AMO_ContentDefinition_891553685.153" hidden="1">"'amp;lt;/RHSType&amp;amp;gt;&amp;amp;lt;AddQuotes&amp;amp;gt;True&amp;amp;lt;/AddQuotes&amp;amp;gt;&amp;amp;lt;DateFormat&amp;amp;gt;None&amp;amp;lt;/DateFormat&amp;amp;gt;&amp;amp;lt;RightHandSideExpression xml:space=&amp;amp;quot;preserve&amp;amp;quot;&amp;amp;gt;MFBS06000681&amp;amp;lt;/RightHandSideExpr'"</definedName>
    <definedName name="_AMO_ContentDefinition_891553685.154" hidden="1">"'ession&amp;amp;gt;&amp;amp;lt;IsSubquery&amp;amp;gt;False&amp;amp;lt;/IsSubquery&amp;amp;gt;&amp;amp;lt;SubqueryTemplateName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891553685.155" hidden="1">"'/AddQuotes&amp;amp;gt;&amp;amp;lt;DateFormat&amp;amp;gt;None&amp;amp;lt;/DateFormat&amp;amp;gt;&amp;amp;lt;RightHandSideExpression xml:space=&amp;amp;quot;preserve&amp;amp;quot;&amp;amp;gt;MFBS06000682&amp;amp;lt;/RightHandSideExpression&amp;amp;gt;&amp;amp;lt;IsSubquery&amp;amp;gt;False&amp;amp;lt;/IsSubq'"</definedName>
    <definedName name="_AMO_ContentDefinition_891553685.156" hidden="1">"'uery&amp;amp;gt;&amp;amp;lt;SubqueryTemplateName /&amp;amp;gt;&amp;amp;lt;/RHSItem&amp;amp;gt;&amp;amp;lt;RHSItem&amp;amp;gt;&amp;amp;lt;RHSType&amp;amp;gt;EXPRESSION&amp;amp;lt;/RHSType&amp;amp;gt;&amp;amp;lt;AddQuotes&amp;amp;gt;True&amp;amp;lt;/AddQuotes&amp;amp;gt;&amp;amp;lt;DateFormat&amp;amp;gt;None&amp;amp;lt;/Dat'"</definedName>
    <definedName name="_AMO_ContentDefinition_891553685.157" hidden="1">"'eFormat&amp;amp;gt;&amp;amp;lt;RightHandSideExpression xml:space=&amp;amp;quot;preserve&amp;amp;quot;&amp;amp;gt;MFBS06000375&amp;amp;lt;/RightHandSideExpression&amp;amp;gt;&amp;amp;lt;IsSubquery&amp;amp;gt;False&amp;amp;lt;/IsSubquery&amp;amp;gt;&amp;amp;lt;SubqueryTemplateName /&amp;amp;gt;&amp;amp;lt;/R'"</definedName>
    <definedName name="_AMO_ContentDefinition_891553685.158" hidden="1">"'HSItem&amp;amp;gt;&amp;amp;lt;RHSItem&amp;amp;gt;&amp;amp;lt;RHSType&amp;amp;gt;EXPRESSION&amp;amp;lt;/RHSType&amp;amp;gt;&amp;amp;lt;AddQuotes&amp;amp;gt;True&amp;amp;lt;/AddQuotes&amp;amp;gt;&amp;amp;lt;DateFormat&amp;amp;gt;None&amp;amp;lt;/DateFormat&amp;amp;gt;&amp;amp;lt;RightHandSideExpression xml:space=&amp;am'"</definedName>
    <definedName name="_AMO_ContentDefinition_891553685.159" hidden="1">"'p;quot;preserve&amp;amp;quot;&amp;amp;gt;MFBS06000683&amp;amp;lt;/RightHandSideExpression&amp;amp;gt;&amp;amp;lt;IsSubquery&amp;amp;gt;False&amp;amp;lt;/IsSubquery&amp;amp;gt;&amp;amp;lt;SubqueryTemplateName /&amp;amp;gt;&amp;amp;lt;/RHSItem&amp;amp;gt;&amp;amp;lt;RHSItem&amp;amp;gt;&amp;amp;lt;RHSType&amp;amp;gt;'"</definedName>
    <definedName name="_AMO_ContentDefinition_891553685.16" hidden="1">"'#xA;'MFPR01006364',&amp;#xD;&amp;#xA;'MFPR01006365',&amp;#xD;&amp;#xA;'MFPR01006366',&amp;#xD;&amp;#xA;'MFPR01006367',&amp;#xD;&amp;#xA;'MFPR01006368',&amp;#xD;&amp;#xA;'MFPR01006369',&amp;#xD;&amp;#xA;'MFPR01006370',&amp;#xD;&amp;#xA;'MFPR01006371',&amp;#xD;&amp;#xA;'MFPR01000095',&amp;#xD;&amp;#xA;'MFPR01006372',&amp;#xD;&amp;#'"</definedName>
    <definedName name="_AMO_ContentDefinition_891553685.160" hidden="1">"'EXPRESSION&amp;amp;lt;/RHSType&amp;amp;gt;&amp;amp;lt;AddQuotes&amp;amp;gt;True&amp;amp;lt;/AddQuotes&amp;amp;gt;&amp;amp;lt;DateFormat&amp;amp;gt;None&amp;amp;lt;/DateFormat&amp;amp;gt;&amp;amp;lt;RightHandSideExpression xml:space=&amp;amp;quot;preserve&amp;amp;quot;&amp;amp;gt;MFBS06000684&amp;amp;lt;/RightH'"</definedName>
    <definedName name="_AMO_ContentDefinition_891553685.161" hidden="1">"'andSideExpression&amp;amp;gt;&amp;amp;lt;IsSubquery&amp;amp;gt;False&amp;amp;lt;/IsSubquery&amp;amp;gt;&amp;amp;lt;SubqueryTemplateName /&amp;amp;gt;&amp;amp;lt;/RHSItem&amp;amp;gt;&amp;amp;lt;RHSItem&amp;amp;gt;&amp;amp;lt;RHSType&amp;amp;gt;EXPRESSION&amp;amp;lt;/RHSType&amp;amp;gt;&amp;amp;lt;AddQuotes&amp;amp;gt;T'"</definedName>
    <definedName name="_AMO_ContentDefinition_891553685.162" hidden="1">"'rue&amp;amp;lt;/AddQuotes&amp;amp;gt;&amp;amp;lt;DateFormat&amp;amp;gt;None&amp;amp;lt;/DateFormat&amp;amp;gt;&amp;amp;lt;RightHandSideExpression xml:space=&amp;amp;quot;preserve&amp;amp;quot;&amp;amp;gt;MFBS06000379&amp;amp;lt;/RightHandSideExpression&amp;amp;gt;&amp;amp;lt;IsSubquery&amp;amp;gt;False&amp;amp'"</definedName>
    <definedName name="_AMO_ContentDefinition_891553685.163" hidden="1">"';lt;/IsSubquery&amp;amp;gt;&amp;amp;lt;SubqueryTemplateName /&amp;amp;gt;&amp;amp;lt;/RHSItem&amp;amp;gt;&amp;amp;lt;RHSItem&amp;amp;gt;&amp;amp;lt;RHSType&amp;amp;gt;EXPRESSION&amp;amp;lt;/RHSType&amp;amp;gt;&amp;amp;lt;AddQuotes&amp;amp;gt;True&amp;amp;lt;/AddQuotes&amp;amp;gt;&amp;amp;lt;DateFormat&amp;amp;gt;None&amp;'"</definedName>
    <definedName name="_AMO_ContentDefinition_891553685.164" hidden="1">"'amp;lt;/DateFormat&amp;amp;gt;&amp;amp;lt;RightHandSideExpression xml:space=&amp;amp;quot;preserve&amp;amp;quot;&amp;amp;gt;MFBS06000381&amp;amp;lt;/RightHandSideExpression&amp;amp;gt;&amp;amp;lt;IsSubquery&amp;amp;gt;False&amp;amp;lt;/IsSubquery&amp;amp;gt;&amp;amp;lt;SubqueryTemplateName /&amp;amp;gt'"</definedName>
    <definedName name="_AMO_ContentDefinition_891553685.165" hidden="1">"';&amp;amp;lt;/RHSItem&amp;amp;gt;&amp;amp;lt;RHSItem&amp;amp;gt;&amp;amp;lt;RHSType&amp;amp;gt;EXPRESSION&amp;amp;lt;/RHSType&amp;amp;gt;&amp;amp;lt;AddQuotes&amp;amp;gt;True&amp;amp;lt;/AddQuotes&amp;amp;gt;&amp;amp;lt;DateFormat&amp;amp;gt;None&amp;amp;lt;/DateFormat&amp;amp;gt;&amp;amp;lt;RightHandSideExpression xm'"</definedName>
    <definedName name="_AMO_ContentDefinition_891553685.166" hidden="1">"'l:space=&amp;amp;quot;preserve&amp;amp;quot;&amp;amp;gt;MFBS06000685&amp;amp;lt;/RightHandSideExpression&amp;amp;gt;&amp;amp;lt;IsSubquery&amp;amp;gt;False&amp;amp;lt;/IsSubquery&amp;amp;gt;&amp;amp;lt;SubqueryTemplateName /&amp;amp;gt;&amp;amp;lt;/RHSItem&amp;amp;gt;&amp;amp;lt;RHSItem&amp;amp;gt;&amp;amp;lt;RHST'"</definedName>
    <definedName name="_AMO_ContentDefinition_891553685.167" hidden="1">"'ype&amp;amp;gt;EXPRESSION&amp;amp;lt;/RHSType&amp;amp;gt;&amp;amp;lt;AddQuotes&amp;amp;gt;True&amp;amp;lt;/AddQuotes&amp;amp;gt;&amp;amp;lt;DateFormat&amp;amp;gt;None&amp;amp;lt;/DateFormat&amp;amp;gt;&amp;amp;lt;RightHandSideExpression xml:space=&amp;amp;quot;preserve&amp;amp;quot;&amp;amp;gt;MFBS06000686&amp;amp'"</definedName>
    <definedName name="_AMO_ContentDefinition_891553685.168" hidden="1">"';lt;/RightHandSideExpression&amp;amp;gt;&amp;amp;lt;IsSubquery&amp;amp;gt;False&amp;amp;lt;/IsSubquery&amp;amp;gt;&amp;amp;lt;SubqueryTemplateName /&amp;amp;gt;&amp;amp;lt;/RHSItem&amp;amp;gt;&amp;amp;lt;RHSItem&amp;amp;gt;&amp;amp;lt;RHSType&amp;amp;gt;EXPRESSION&amp;amp;lt;/RHSType&amp;amp;gt;&amp;amp;lt;AddQuot'"</definedName>
    <definedName name="_AMO_ContentDefinition_891553685.169" hidden="1">"'es&amp;amp;gt;True&amp;amp;lt;/AddQuotes&amp;amp;gt;&amp;amp;lt;DateFormat&amp;amp;gt;None&amp;amp;lt;/DateFormat&amp;amp;gt;&amp;amp;lt;RightHandSideExpression xml:space=&amp;amp;quot;preserve&amp;amp;quot;&amp;amp;gt;MFBS01000882&amp;amp;lt;/RightHandSideExpression&amp;amp;gt;&amp;amp;lt;IsSubquery&amp;amp;g'"</definedName>
    <definedName name="_AMO_ContentDefinition_891553685.17" hidden="1">"'xA;'MFPR01006373',&amp;#xD;&amp;#xA;'MFPR01006374',&amp;#xD;&amp;#xA;'MFPR06008352',&amp;#xD;&amp;#xA;'MFPR06008367',&amp;#xD;&amp;#xA;'MFPR06008382',&amp;#xD;&amp;#xA;'MFPR06008385',&amp;#xD;&amp;#xA;'MFPR06008393',&amp;#xD;&amp;#xA;'MFPR06000081',&amp;#xD;&amp;#xA;'MFPR01006375',&amp;#xD;&amp;#xA;'MFPR01006376',&amp;#xD;&amp;#x'"</definedName>
    <definedName name="_AMO_ContentDefinition_891553685.170" hidden="1">"'t;False&amp;amp;lt;/IsSubquery&amp;amp;gt;&amp;amp;lt;SubqueryTemplateName /&amp;amp;gt;&amp;amp;lt;/RHSItem&amp;amp;gt;&amp;amp;lt;RHSItem&amp;amp;gt;&amp;amp;lt;RHSType&amp;amp;gt;EXPRESSION&amp;amp;lt;/RHSType&amp;amp;gt;&amp;amp;lt;AddQuotes&amp;amp;gt;True&amp;amp;lt;/AddQuotes&amp;amp;gt;&amp;amp;lt;DateFormat&amp;a'"</definedName>
    <definedName name="_AMO_ContentDefinition_891553685.171" hidden="1">"'mp;gt;None&amp;amp;lt;/DateFormat&amp;amp;gt;&amp;amp;lt;RightHandSideExpression xml:space=&amp;amp;quot;preserve&amp;amp;quot;&amp;amp;gt;MFBS01000114&amp;amp;lt;/RightHandSideExpression&amp;amp;gt;&amp;amp;lt;IsSubquery&amp;amp;gt;False&amp;amp;lt;/IsSubquery&amp;amp;gt;&amp;amp;lt;SubqueryTemplateNa'"</definedName>
    <definedName name="_AMO_ContentDefinition_891553685.172" hidden="1">"'me /&amp;amp;gt;&amp;amp;lt;/RHSItem&amp;amp;gt;&amp;amp;lt;RHSItem&amp;amp;gt;&amp;amp;lt;RHSType&amp;amp;gt;EXPRESSION&amp;amp;lt;/RHSType&amp;amp;gt;&amp;amp;lt;AddQuotes&amp;amp;gt;True&amp;amp;lt;/AddQuotes&amp;amp;gt;&amp;amp;lt;DateFormat&amp;amp;gt;None&amp;amp;lt;/DateFormat&amp;amp;gt;&amp;amp;lt;RightHandSideEx'"</definedName>
    <definedName name="_AMO_ContentDefinition_891553685.173" hidden="1">"'pression xml:space=&amp;amp;quot;preserve&amp;amp;quot;&amp;amp;gt;MFBS01000889&amp;amp;lt;/RightHandSideExpression&amp;amp;gt;&amp;amp;lt;IsSubquery&amp;amp;gt;False&amp;amp;lt;/IsSubquery&amp;amp;gt;&amp;amp;lt;SubqueryTemplateName /&amp;amp;gt;&amp;amp;lt;/RHSItem&amp;amp;gt;&amp;amp;lt;RHSItem&amp;amp;gt;&amp;'"</definedName>
    <definedName name="_AMO_ContentDefinition_891553685.174" hidden="1">"'amp;lt;RHSType&amp;amp;gt;EXPRESSION&amp;amp;lt;/RHSType&amp;amp;gt;&amp;amp;lt;AddQuotes&amp;amp;gt;True&amp;amp;lt;/AddQuotes&amp;amp;gt;&amp;amp;lt;DateFormat&amp;amp;gt;None&amp;amp;lt;/DateFormat&amp;amp;gt;&amp;amp;lt;RightHandSideExpression xml:space=&amp;amp;quot;preserve&amp;amp;quot;&amp;amp;gt;MFBS0'"</definedName>
    <definedName name="_AMO_ContentDefinition_891553685.175" hidden="1">"'1001103&amp;amp;lt;/RightHandSideExpression&amp;amp;gt;&amp;amp;lt;IsSubquery&amp;amp;gt;False&amp;amp;lt;/IsSubquery&amp;amp;gt;&amp;amp;lt;SubqueryTemplateName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891553685.176" hidden="1">"';lt;AddQuotes&amp;amp;gt;True&amp;amp;lt;/AddQuotes&amp;amp;gt;&amp;amp;lt;DateFormat&amp;amp;gt;None&amp;amp;lt;/DateFormat&amp;amp;gt;&amp;amp;lt;RightHandSideExpression xml:space=&amp;amp;quot;preserve&amp;amp;quot;&amp;amp;gt;MFBS01000890&amp;amp;lt;/RightHandSideExpression&amp;amp;gt;&amp;amp;lt;IsSub'"</definedName>
    <definedName name="_AMO_ContentDefinition_891553685.177" hidden="1">"'query&amp;amp;gt;False&amp;amp;lt;/IsSubquery&amp;amp;gt;&amp;amp;lt;SubqueryTemplateName /&amp;amp;gt;&amp;amp;lt;/RHSItem&amp;amp;gt;&amp;amp;lt;RHSItem&amp;amp;gt;&amp;amp;lt;RHSType&amp;amp;gt;EXPRESSION&amp;amp;lt;/RHSType&amp;amp;gt;&amp;amp;lt;AddQuotes&amp;amp;gt;True&amp;amp;lt;/AddQuotes&amp;amp;gt;&amp;amp;lt;D'"</definedName>
    <definedName name="_AMO_ContentDefinition_891553685.178" hidden="1">"'ateFormat&amp;amp;gt;None&amp;amp;lt;/DateFormat&amp;amp;gt;&amp;amp;lt;RightHandSideExpression xml:space=&amp;amp;quot;preserve&amp;amp;quot;&amp;amp;gt;MFBS01000891&amp;amp;lt;/RightHandSideExpression&amp;amp;gt;&amp;amp;lt;IsSubquery&amp;amp;gt;False&amp;amp;lt;/IsSubquery&amp;amp;gt;&amp;amp;lt;Subquer'"</definedName>
    <definedName name="_AMO_ContentDefinition_891553685.179" hidden="1">"'yTemplateName /&amp;amp;gt;&amp;amp;lt;/RHSItem&amp;amp;gt;&amp;amp;lt;RHSItem&amp;amp;gt;&amp;amp;lt;RHSType&amp;amp;gt;EXPRESSION&amp;amp;lt;/RHSType&amp;amp;gt;&amp;amp;lt;AddQuotes&amp;amp;gt;True&amp;amp;lt;/AddQuotes&amp;amp;gt;&amp;amp;lt;DateFormat&amp;amp;gt;None&amp;amp;lt;/DateFormat&amp;amp;gt;&amp;amp;lt;Righ'"</definedName>
    <definedName name="_AMO_ContentDefinition_891553685.18" hidden="1">"'A;'MFPR01006307',&amp;#xD;&amp;#xA;'MFPR07000317',&amp;#xD;&amp;#xA;'MFPR02001300',&amp;#xD;&amp;#xA;'MFPR02001301',&amp;#xD;&amp;#xA;'MFPR01000244',&amp;#xD;&amp;#xA;'MFPR01006378',&amp;#xD;&amp;#xA;'MFPR01006379',&amp;#xD;&amp;#xA;'MFPR01006380',&amp;#xD;&amp;#xA;'MFPR01006381',&amp;#xD;&amp;#xA;'MFPR01006382',&amp;#xD;&amp;#xA'"</definedName>
    <definedName name="_AMO_ContentDefinition_891553685.180" hidden="1">"'tHandSideExpression xml:space=&amp;amp;quot;preserve&amp;amp;quot;&amp;amp;gt;MFBS01000892&amp;amp;lt;/RightHandSideExpression&amp;amp;gt;&amp;amp;lt;IsSubquery&amp;amp;gt;False&amp;amp;lt;/IsSubquery&amp;amp;gt;&amp;amp;lt;SubqueryTemplateName /&amp;amp;gt;&amp;amp;lt;/RHSItem&amp;amp;gt;&amp;amp;lt;RHSIt'"</definedName>
    <definedName name="_AMO_ContentDefinition_891553685.181" hidden="1">"'em&amp;amp;gt;&amp;amp;lt;RHSType&amp;amp;gt;EXPRESSION&amp;amp;lt;/RHSType&amp;amp;gt;&amp;amp;lt;AddQuotes&amp;amp;gt;True&amp;amp;lt;/AddQuotes&amp;amp;gt;&amp;amp;lt;DateFormat&amp;amp;gt;None&amp;amp;lt;/DateFormat&amp;amp;gt;&amp;amp;lt;RightHandSideExpression xml:space=&amp;amp;quot;preserve&amp;amp;quot;&amp;a'"</definedName>
    <definedName name="_AMO_ContentDefinition_891553685.182" hidden="1">"'mp;gt;MFBS01000893&amp;amp;lt;/RightHandSideExpression&amp;amp;gt;&amp;amp;lt;IsSubquery&amp;amp;gt;False&amp;amp;lt;/IsSubquery&amp;amp;gt;&amp;amp;lt;SubqueryTemplateName /&amp;amp;gt;&amp;amp;lt;/RHSItem&amp;amp;gt;&amp;amp;lt;RHSItem&amp;amp;gt;&amp;amp;lt;RHSType&amp;amp;gt;EXPRESSION&amp;amp;lt;/RHSType&amp;'"</definedName>
    <definedName name="_AMO_ContentDefinition_891553685.183" hidden="1">"'amp;gt;&amp;amp;lt;AddQuotes&amp;amp;gt;True&amp;amp;lt;/AddQuotes&amp;amp;gt;&amp;amp;lt;DateFormat&amp;amp;gt;None&amp;amp;lt;/DateFormat&amp;amp;gt;&amp;amp;lt;RightHandSideExpression xml:space=&amp;amp;quot;preserve&amp;amp;quot;&amp;amp;gt;MFBS01000894&amp;amp;lt;/RightHandSideExpression&amp;amp;gt;&amp;a'"</definedName>
    <definedName name="_AMO_ContentDefinition_891553685.184" hidden="1">"'mp;lt;IsSubquery&amp;amp;gt;False&amp;amp;lt;/IsSubquery&amp;amp;gt;&amp;amp;lt;SubqueryTemplateName /&amp;amp;gt;&amp;amp;lt;/RHSItem&amp;amp;gt;&amp;amp;lt;RHSItem&amp;amp;gt;&amp;amp;lt;RHSType&amp;amp;gt;EXPRESSION&amp;amp;lt;/RHSType&amp;amp;gt;&amp;amp;lt;AddQuotes&amp;amp;gt;True&amp;amp;lt;/AddQuotes&amp;amp;g'"</definedName>
    <definedName name="_AMO_ContentDefinition_891553685.185" hidden="1">"'t;&amp;amp;lt;DateFormat&amp;amp;gt;None&amp;amp;lt;/DateFormat&amp;amp;gt;&amp;amp;lt;RightHandSideExpression xml:space=&amp;amp;quot;preserve&amp;amp;quot;&amp;amp;gt;MFBS01000885&amp;amp;lt;/RightHandSideExpression&amp;amp;gt;&amp;amp;lt;IsSubquery&amp;amp;gt;False&amp;amp;lt;/IsSubquery&amp;amp;gt;&amp;amp'"</definedName>
    <definedName name="_AMO_ContentDefinition_891553685.186" hidden="1">"';lt;SubqueryTemplateName /&amp;amp;gt;&amp;amp;lt;/RHSItem&amp;amp;gt;&amp;amp;lt;RHSItem&amp;amp;gt;&amp;amp;lt;RHSType&amp;amp;gt;EXPRESSION&amp;amp;lt;/RHSType&amp;amp;gt;&amp;amp;lt;AddQuotes&amp;amp;gt;True&amp;amp;lt;/AddQuotes&amp;amp;gt;&amp;amp;lt;DateFormat&amp;amp;gt;None&amp;amp;lt;/DateFormat&amp;amp;gt;&amp;'"</definedName>
    <definedName name="_AMO_ContentDefinition_891553685.187" hidden="1">"'amp;lt;RightHandSideExpression xml:space=&amp;amp;quot;preserve&amp;amp;quot;&amp;amp;gt;MFBS01000896&amp;amp;lt;/RightHandSideExpression&amp;amp;gt;&amp;amp;lt;IsSubquery&amp;amp;gt;False&amp;amp;lt;/IsSubquery&amp;amp;gt;&amp;amp;lt;SubqueryTemplateName /&amp;amp;gt;&amp;amp;lt;/RHSItem&amp;amp;gt;&amp;a'"</definedName>
    <definedName name="_AMO_ContentDefinition_891553685.188" hidden="1">"'mp;lt;RHSItem&amp;amp;gt;&amp;amp;lt;RHSType&amp;amp;gt;EXPRESSION&amp;amp;lt;/RHSType&amp;amp;gt;&amp;amp;lt;AddQuotes&amp;amp;gt;True&amp;amp;lt;/AddQuotes&amp;amp;gt;&amp;amp;lt;DateFormat&amp;amp;gt;None&amp;amp;lt;/DateFormat&amp;amp;gt;&amp;amp;lt;RightHandSideExpression xml:space=&amp;amp;quot;preserve&amp;'"</definedName>
    <definedName name="_AMO_ContentDefinition_891553685.189" hidden="1">"'amp;quot;&amp;amp;gt;MFBS01000897&amp;amp;lt;/RightHandSideExpression&amp;amp;gt;&amp;amp;lt;IsSubquery&amp;amp;gt;False&amp;amp;lt;/IsSubquery&amp;amp;gt;&amp;amp;lt;SubqueryTemplateName /&amp;amp;gt;&amp;amp;lt;/RHSItem&amp;amp;gt;&amp;amp;lt;RHSItem&amp;amp;gt;&amp;amp;lt;RHSType&amp;amp;gt;EXPRESSION&amp;amp;l'"</definedName>
    <definedName name="_AMO_ContentDefinition_891553685.19" hidden="1">"';'MFPR01006383',&amp;#xD;&amp;#xA;'MFPR01006384',&amp;#xD;&amp;#xA;'MFPR01006385',&amp;#xD;&amp;#xA;'MFPR01006386',&amp;#xD;&amp;#xA;'MFPR01006387',&amp;#xD;&amp;#xA;'MFPR01006388',&amp;#xD;&amp;#xA;'MFPR01006389',&amp;#xD;&amp;#xA;'MFPR01006390',&amp;#xD;&amp;#xA;'MFPR01006391',&amp;#xD;&amp;#xA;'MFPR01006392',&amp;#xD;&amp;#xA;'"</definedName>
    <definedName name="_AMO_ContentDefinition_891553685.190" hidden="1">"'t;/RHSType&amp;amp;gt;&amp;amp;lt;AddQuotes&amp;amp;gt;True&amp;amp;lt;/AddQuotes&amp;amp;gt;&amp;amp;lt;DateFormat&amp;amp;gt;None&amp;amp;lt;/DateFormat&amp;amp;gt;&amp;amp;lt;RightHandSideExpression xml:space=&amp;amp;quot;preserve&amp;amp;quot;&amp;amp;gt;MFBS01000898&amp;amp;lt;/RightHandSideExpressio'"</definedName>
    <definedName name="_AMO_ContentDefinition_891553685.191" hidden="1">"'n&amp;amp;gt;&amp;amp;lt;IsSubquery&amp;amp;gt;False&amp;amp;lt;/IsSubquery&amp;amp;gt;&amp;amp;lt;SubqueryTemplateName /&amp;amp;gt;&amp;amp;lt;/RHSItem&amp;amp;gt;&amp;amp;lt;RHSItem&amp;amp;gt;&amp;amp;lt;RHSType&amp;amp;gt;EXPRESSION&amp;amp;lt;/RHSType&amp;amp;gt;&amp;amp;lt;AddQuotes&amp;amp;gt;True&amp;amp;lt;/AddQ'"</definedName>
    <definedName name="_AMO_ContentDefinition_891553685.192" hidden="1">"'uotes&amp;amp;gt;&amp;amp;lt;DateFormat&amp;amp;gt;None&amp;amp;lt;/DateFormat&amp;amp;gt;&amp;amp;lt;RightHandSideExpression xml:space=&amp;amp;quot;preserve&amp;amp;quot;&amp;amp;gt;MFBS01000899&amp;amp;lt;/RightHandSideExpression&amp;amp;gt;&amp;amp;lt;IsSubquery&amp;amp;gt;False&amp;amp;lt;/IsSubquery&amp;'"</definedName>
    <definedName name="_AMO_ContentDefinition_891553685.193" hidden="1">"'amp;gt;&amp;amp;lt;SubqueryTemplateName /&amp;amp;gt;&amp;amp;lt;/RHSItem&amp;amp;gt;&amp;amp;lt;RHSItem&amp;amp;gt;&amp;amp;lt;RHSType&amp;amp;gt;EXPRESSION&amp;amp;lt;/RHSType&amp;amp;gt;&amp;amp;lt;AddQuotes&amp;amp;gt;True&amp;amp;lt;/AddQuotes&amp;amp;gt;&amp;amp;lt;DateFormat&amp;amp;gt;None&amp;amp;lt;/DateForm'"</definedName>
    <definedName name="_AMO_ContentDefinition_891553685.194" hidden="1">"'at&amp;amp;gt;&amp;amp;lt;RightHandSideExpression xml:space=&amp;amp;quot;preserve&amp;amp;quot;&amp;amp;gt;MFBS01000900&amp;amp;lt;/RightHandSideExpression&amp;amp;gt;&amp;amp;lt;IsSubquery&amp;amp;gt;False&amp;amp;lt;/IsSubquery&amp;amp;gt;&amp;amp;lt;SubqueryTemplateName /&amp;amp;gt;&amp;amp;lt;/RHSIte'"</definedName>
    <definedName name="_AMO_ContentDefinition_891553685.195" hidden="1">"'m&amp;amp;gt;&amp;amp;lt;RHSItem&amp;amp;gt;&amp;amp;lt;RHSType&amp;amp;gt;EXPRESSION&amp;amp;lt;/RHSType&amp;amp;gt;&amp;amp;lt;AddQuotes&amp;amp;gt;True&amp;amp;lt;/AddQuotes&amp;amp;gt;&amp;amp;lt;DateFormat&amp;amp;gt;None&amp;amp;lt;/DateFormat&amp;amp;gt;&amp;amp;lt;RightHandSideExpression xml:space=&amp;amp;quo'"</definedName>
    <definedName name="_AMO_ContentDefinition_891553685.196" hidden="1">"'t;preserve&amp;amp;quot;&amp;amp;gt;MFBS01000102&amp;amp;lt;/RightHandSideExpression&amp;amp;gt;&amp;amp;lt;IsSubquery&amp;amp;gt;False&amp;amp;lt;/IsSubquery&amp;amp;gt;&amp;amp;lt;SubqueryTemplateName /&amp;amp;gt;&amp;amp;lt;/RHSItem&amp;amp;gt;&amp;amp;lt;RHSItem&amp;amp;gt;&amp;amp;lt;RHSType&amp;amp;gt;EXPRE'"</definedName>
    <definedName name="_AMO_ContentDefinition_891553685.197" hidden="1">"'SSION&amp;amp;lt;/RHSType&amp;amp;gt;&amp;amp;lt;AddQuotes&amp;amp;gt;True&amp;amp;lt;/AddQuotes&amp;amp;gt;&amp;amp;lt;DateFormat&amp;amp;gt;None&amp;amp;lt;/DateFormat&amp;amp;gt;&amp;amp;lt;RightHandSideExpression xml:space=&amp;amp;quot;preserve&amp;amp;quot;&amp;amp;gt;MFBS01000105&amp;amp;lt;/RightHandSi'"</definedName>
    <definedName name="_AMO_ContentDefinition_891553685.198" hidden="1">"'deExpression&amp;amp;gt;&amp;amp;lt;IsSubquery&amp;amp;gt;False&amp;amp;lt;/IsSubquery&amp;amp;gt;&amp;amp;lt;SubqueryTemplateName /&amp;amp;gt;&amp;amp;lt;/RHSItem&amp;amp;gt;&amp;amp;lt;RHSItem&amp;amp;gt;&amp;amp;lt;RHSType&amp;amp;gt;EXPRESSION&amp;amp;lt;/RHSType&amp;amp;gt;&amp;amp;lt;AddQuotes&amp;amp;gt;True&amp;a'"</definedName>
    <definedName name="_AMO_ContentDefinition_891553685.199" hidden="1">"'mp;lt;/AddQuotes&amp;amp;gt;&amp;amp;lt;DateFormat&amp;amp;gt;None&amp;amp;lt;/DateFormat&amp;amp;gt;&amp;amp;lt;RightHandSideExpression xml:space=&amp;amp;quot;preserve&amp;amp;quot;&amp;amp;gt;MFBS01000901&amp;amp;lt;/RightHandSideExpression&amp;amp;gt;&amp;amp;lt;IsSubquery&amp;amp;gt;False&amp;amp;lt;/'"</definedName>
    <definedName name="_AMO_ContentDefinition_891553685.2" hidden="1">"'"" imgX=""0"" redirect=""False""&gt;_x000D_
  &lt;files /&gt;_x000D_
  &lt;parents /&gt;_x000D_
  &lt;children /&gt;_x000D_
  &lt;param n=""DisplayName"" v=""SASApp:METRICS.validation_metrics_prior10_view"" /&gt;_x000D_
  &lt;param n=""DisplayType"" v=""Data Set"" /&gt;_x000D_
  &lt;param n=""AMO_Version"" v=""8.2"" /&gt;_x000D_
'"</definedName>
    <definedName name="_AMO_ContentDefinition_891553685.20" hidden="1">"''MFPR01006393',&amp;#xD;&amp;#xA;'MFPR01006394',&amp;#xD;&amp;#xA;'MFPR01006395',&amp;#xD;&amp;#xA;'MFPR01006396',&amp;#xD;&amp;#xA;'MFPR01006397',&amp;#xD;&amp;#xA;'MFPR01006398',&amp;#xD;&amp;#xA;'MFPR01006399',&amp;#xD;&amp;#xA;'MFBS06000731',&amp;#xD;&amp;#xA;'MFBS06000734',&amp;#xD;&amp;#xA;'MFFSIR000915',&amp;#xD;&amp;#xA;''"</definedName>
    <definedName name="_AMO_ContentDefinition_891553685.200" hidden="1">"'IsSubquery&amp;amp;gt;&amp;amp;lt;SubqueryTemplateName /&amp;amp;gt;&amp;amp;lt;/RHSItem&amp;amp;gt;&amp;amp;lt;RHSItem&amp;amp;gt;&amp;amp;lt;RHSType&amp;amp;gt;EXPRESSION&amp;amp;lt;/RHSType&amp;amp;gt;&amp;amp;lt;AddQuotes&amp;amp;gt;True&amp;amp;lt;/AddQuotes&amp;amp;gt;&amp;amp;lt;DateFormat&amp;amp;gt;None&amp;amp;l'"</definedName>
    <definedName name="_AMO_ContentDefinition_891553685.201" hidden="1">"'t;/DateFormat&amp;amp;gt;&amp;amp;lt;RightHandSideExpression xml:space=&amp;amp;quot;preserve&amp;amp;quot;&amp;amp;gt;MFBS01000886&amp;amp;lt;/RightHandSideExpression&amp;amp;gt;&amp;amp;lt;IsSubquery&amp;amp;gt;False&amp;amp;lt;/IsSubquery&amp;amp;gt;&amp;amp;lt;SubqueryTemplateName /&amp;amp;gt;&amp;amp'"</definedName>
    <definedName name="_AMO_ContentDefinition_891553685.202" hidden="1">"';lt;/RHSItem&amp;amp;gt;&amp;amp;lt;RHSItem&amp;amp;gt;&amp;amp;lt;RHSType&amp;amp;gt;EXPRESSION&amp;amp;lt;/RHSType&amp;amp;gt;&amp;amp;lt;AddQuotes&amp;amp;gt;True&amp;amp;lt;/AddQuotes&amp;amp;gt;&amp;amp;lt;DateFormat&amp;amp;gt;None&amp;amp;lt;/DateFormat&amp;amp;gt;&amp;amp;lt;RightHandSideExpression xml:spa'"</definedName>
    <definedName name="_AMO_ContentDefinition_891553685.203" hidden="1">"'ce=&amp;amp;quot;preserve&amp;amp;quot;&amp;amp;gt;MFBS01000903&amp;amp;lt;/RightHandSideExpression&amp;amp;gt;&amp;amp;lt;IsSubquery&amp;amp;gt;False&amp;amp;lt;/IsSubquery&amp;amp;gt;&amp;amp;lt;SubqueryTemplateName /&amp;amp;gt;&amp;amp;lt;/RHSItem&amp;amp;gt;&amp;amp;lt;RHSItem&amp;amp;gt;&amp;amp;lt;RHSType&amp;a'"</definedName>
    <definedName name="_AMO_ContentDefinition_891553685.204" hidden="1">"'mp;gt;EXPRESSION&amp;amp;lt;/RHSType&amp;amp;gt;&amp;amp;lt;AddQuotes&amp;amp;gt;True&amp;amp;lt;/AddQuotes&amp;amp;gt;&amp;amp;lt;DateFormat&amp;amp;gt;None&amp;amp;lt;/DateFormat&amp;amp;gt;&amp;amp;lt;RightHandSideExpression xml:space=&amp;amp;quot;preserve&amp;amp;quot;&amp;amp;gt;MFBS01000884&amp;amp;lt;/'"</definedName>
    <definedName name="_AMO_ContentDefinition_891553685.205" hidden="1">"'RightHandSideExpression&amp;amp;gt;&amp;amp;lt;IsSubquery&amp;amp;gt;False&amp;amp;lt;/IsSubquery&amp;amp;gt;&amp;amp;lt;SubqueryTemplateName /&amp;amp;gt;&amp;amp;lt;/RHSItem&amp;amp;gt;&amp;amp;lt;RHSItem&amp;amp;gt;&amp;amp;lt;RHSType&amp;amp;gt;EXPRESSION&amp;amp;lt;/RHSType&amp;amp;gt;&amp;amp;lt;AddQuotes&amp;am'"</definedName>
    <definedName name="_AMO_ContentDefinition_891553685.206" hidden="1">"'p;gt;True&amp;amp;lt;/AddQuotes&amp;amp;gt;&amp;amp;lt;DateFormat&amp;amp;gt;None&amp;amp;lt;/DateFormat&amp;amp;gt;&amp;amp;lt;RightHandSideExpression xml:space=&amp;amp;quot;preserve&amp;amp;quot;&amp;amp;gt;MFBS01000905&amp;amp;lt;/RightHandSideExpression&amp;amp;gt;&amp;amp;lt;IsSubquery&amp;amp;gt;Fal'"</definedName>
    <definedName name="_AMO_ContentDefinition_891553685.207" hidden="1">"'se&amp;amp;lt;/IsSubquery&amp;amp;gt;&amp;amp;lt;SubqueryTemplateName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891553685.208" hidden="1">"';None&amp;amp;lt;/DateFormat&amp;amp;gt;&amp;amp;lt;RightHandSideExpression xml:space=&amp;amp;quot;preserve&amp;amp;quot;&amp;amp;gt;MFBS01000906&amp;amp;lt;/RightHandSideExpression&amp;amp;gt;&amp;amp;lt;IsSubquery&amp;amp;gt;False&amp;amp;lt;/IsSubquery&amp;amp;gt;&amp;amp;lt;SubqueryTemplateName /&amp;'"</definedName>
    <definedName name="_AMO_ContentDefinition_891553685.209" hidden="1">"'amp;gt;&amp;amp;lt;/RHSItem&amp;amp;gt;&amp;amp;lt;RHSItem&amp;amp;gt;&amp;amp;lt;RHSType&amp;amp;gt;EXPRESSION&amp;amp;lt;/RHSType&amp;amp;gt;&amp;amp;lt;AddQuotes&amp;amp;gt;True&amp;amp;lt;/AddQuotes&amp;amp;gt;&amp;amp;lt;DateFormat&amp;amp;gt;None&amp;amp;lt;/DateFormat&amp;amp;gt;&amp;amp;lt;RightHandSideExpress'"</definedName>
    <definedName name="_AMO_ContentDefinition_891553685.21" hidden="1">"'MFDRVD000145',&amp;#xD;&amp;#xA;'MFFSIR000916',&amp;#xD;&amp;#xA;'MFBS01001009',&amp;#xD;&amp;#xA;'MFBS01000880',&amp;#xD;&amp;#xA;'MFBS01001010',&amp;#xD;&amp;#xA;'MFBS01001011',&amp;#xD;&amp;#xA;'MFBS01001012',&amp;#xD;&amp;#xA;'MFBS01001013',&amp;#xD;&amp;#xA;'MFBS01001014',&amp;#xD;&amp;#xA;'MFBS01001015',&amp;#xD;&amp;#xA;'M'"</definedName>
    <definedName name="_AMO_ContentDefinition_891553685.210" hidden="1">"'ion xml:space=&amp;amp;quot;preserve&amp;amp;quot;&amp;amp;gt;MFBS01000907&amp;amp;lt;/RightHandSideExpression&amp;amp;gt;&amp;amp;lt;IsSubquery&amp;amp;gt;False&amp;amp;lt;/IsSubquery&amp;amp;gt;&amp;amp;lt;SubqueryTemplateName /&amp;amp;gt;&amp;amp;lt;/RHSItem&amp;amp;gt;&amp;amp;lt;RHSItem&amp;amp;gt;&amp;amp;l'"</definedName>
    <definedName name="_AMO_ContentDefinition_891553685.211" hidden="1">"'t;RHSType&amp;amp;gt;EXPRESSION&amp;amp;lt;/RHSType&amp;amp;gt;&amp;amp;lt;AddQuotes&amp;amp;gt;True&amp;amp;lt;/AddQuotes&amp;amp;gt;&amp;amp;lt;DateFormat&amp;amp;gt;None&amp;amp;lt;/DateFormat&amp;amp;gt;&amp;amp;lt;RightHandSideExpression xml:space=&amp;amp;quot;preserve&amp;amp;quot;&amp;amp;gt;MFBS010009'"</definedName>
    <definedName name="_AMO_ContentDefinition_891553685.212" hidden="1">"'08&amp;amp;lt;/RightHandSideExpression&amp;amp;gt;&amp;amp;lt;IsSubquery&amp;amp;gt;False&amp;amp;lt;/IsSubquery&amp;amp;gt;&amp;amp;lt;SubqueryTemplateName /&amp;amp;gt;&amp;amp;lt;/RHSItem&amp;amp;gt;&amp;amp;lt;RHSItem&amp;amp;gt;&amp;amp;lt;RHSType&amp;amp;gt;EXPRESSION&amp;amp;lt;/RHSType&amp;amp;gt;&amp;amp;lt;A'"</definedName>
    <definedName name="_AMO_ContentDefinition_891553685.213" hidden="1">"'ddQuotes&amp;amp;gt;True&amp;amp;lt;/AddQuotes&amp;amp;gt;&amp;amp;lt;DateFormat&amp;amp;gt;None&amp;amp;lt;/DateFormat&amp;amp;gt;&amp;amp;lt;RightHandSideExpression xml:space=&amp;amp;quot;preserve&amp;amp;quot;&amp;amp;gt;MFBS01000909&amp;amp;lt;/RightHandSideExpression&amp;amp;gt;&amp;amp;lt;IsSubquery'"</definedName>
    <definedName name="_AMO_ContentDefinition_891553685.214" hidden="1">"'&amp;amp;gt;False&amp;amp;lt;/IsSubquery&amp;amp;gt;&amp;amp;lt;SubqueryTemplateName /&amp;amp;gt;&amp;amp;lt;/RHSItem&amp;amp;gt;&amp;amp;lt;RHSItem&amp;amp;gt;&amp;amp;lt;RHSType&amp;amp;gt;EXPRESSION&amp;amp;lt;/RHSType&amp;amp;gt;&amp;amp;lt;AddQuotes&amp;amp;gt;True&amp;amp;lt;/AddQuotes&amp;amp;gt;&amp;amp;lt;DateFo'"</definedName>
    <definedName name="_AMO_ContentDefinition_891553685.215" hidden="1">"'rmat&amp;amp;gt;None&amp;amp;lt;/DateFormat&amp;amp;gt;&amp;amp;lt;RightHandSideExpression xml:space=&amp;amp;quot;preserve&amp;amp;quot;&amp;amp;gt;MFBS01000041&amp;amp;lt;/RightHandSideExpression&amp;amp;gt;&amp;amp;lt;IsSubquery&amp;amp;gt;False&amp;amp;lt;/IsSubquery&amp;amp;gt;&amp;amp;lt;SubqueryTemp'"</definedName>
    <definedName name="_AMO_ContentDefinition_891553685.216" hidden="1">"'lateName /&amp;amp;gt;&amp;amp;lt;/RHSItem&amp;amp;gt;&amp;amp;lt;RHSItem&amp;amp;gt;&amp;amp;lt;RHSType&amp;amp;gt;EXPRESSION&amp;amp;lt;/RHSType&amp;amp;gt;&amp;amp;lt;AddQuotes&amp;amp;gt;True&amp;amp;lt;/AddQuotes&amp;amp;gt;&amp;amp;lt;DateFormat&amp;amp;gt;None&amp;amp;lt;/DateFormat&amp;amp;gt;&amp;amp;lt;RightHand'"</definedName>
    <definedName name="_AMO_ContentDefinition_891553685.217" hidden="1">"'SideExpression xml:space=&amp;amp;quot;preserve&amp;amp;quot;&amp;amp;gt;MFBS01000910&amp;amp;lt;/RightHandSideExpression&amp;amp;gt;&amp;amp;lt;IsSubquery&amp;amp;gt;False&amp;amp;lt;/IsSubquery&amp;amp;gt;&amp;amp;lt;SubqueryTemplateName /&amp;amp;gt;&amp;amp;lt;/RHSItem&amp;amp;gt;&amp;amp;lt;RHSItem&amp;am'"</definedName>
    <definedName name="_AMO_ContentDefinition_891553685.218" hidden="1">"'p;gt;&amp;amp;lt;RHSType&amp;amp;gt;EXPRESSION&amp;amp;lt;/RHSType&amp;amp;gt;&amp;amp;lt;AddQuotes&amp;amp;gt;True&amp;amp;lt;/AddQuotes&amp;amp;gt;&amp;amp;lt;DateFormat&amp;amp;gt;None&amp;amp;lt;/DateFormat&amp;amp;gt;&amp;amp;lt;RightHandSideExpression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891553685.219" hidden="1">"';MFBS01000911&amp;amp;lt;/RightHandSideExpression&amp;amp;gt;&amp;amp;lt;IsSubquery&amp;amp;gt;False&amp;amp;lt;/IsSubquery&amp;amp;gt;&amp;amp;lt;SubqueryTemplateName /&amp;amp;gt;&amp;amp;lt;/RHSItem&amp;amp;gt;&amp;amp;lt;RHSItem&amp;amp;gt;&amp;amp;lt;RHSType&amp;amp;gt;EXPRESSION&amp;amp;lt;/RHSType&amp;amp;g'"</definedName>
    <definedName name="_AMO_ContentDefinition_891553685.22" hidden="1">"'FBS01000881',&amp;#xD;&amp;#xA;'MFFSIR000924',&amp;#xD;&amp;#xA;'MFBS01000883',&amp;#xD;&amp;#xA;'MFFSIR000925',&amp;#xD;&amp;#xA;'MFBS01000887',&amp;#xD;&amp;#xA;'MFBS06000744',&amp;#xD;&amp;#xA;'MFBS06000745',&amp;#xD;&amp;#xA;'MFBS01001016',&amp;#xD;&amp;#xA;'MFBS01000888',&amp;#xD;&amp;#xA;'MFFSIR000209',&amp;#xD;&amp;#xA;'MF'"</definedName>
    <definedName name="_AMO_ContentDefinition_891553685.220" hidden="1">"'t;&amp;amp;lt;AddQuotes&amp;amp;gt;True&amp;amp;lt;/AddQuotes&amp;amp;gt;&amp;amp;lt;DateFormat&amp;amp;gt;None&amp;amp;lt;/DateFormat&amp;amp;gt;&amp;amp;lt;RightHandSideExpression xml:space=&amp;amp;quot;preserve&amp;amp;quot;&amp;amp;gt;MFBS01000879&amp;amp;lt;/RightHandSideExpression&amp;amp;gt;&amp;amp;lt'"</definedName>
    <definedName name="_AMO_ContentDefinition_891553685.221" hidden="1">"';IsSubquery&amp;amp;gt;False&amp;amp;lt;/IsSubquery&amp;amp;gt;&amp;amp;lt;SubqueryTemplateName /&amp;amp;gt;&amp;amp;lt;/RHSItem&amp;amp;gt;&amp;amp;lt;RHSItem&amp;amp;gt;&amp;amp;lt;RHSType&amp;amp;gt;EXPRESSION&amp;amp;lt;/RHSType&amp;amp;gt;&amp;amp;lt;AddQuotes&amp;amp;gt;True&amp;amp;lt;/AddQuotes&amp;amp;gt;&amp;am'"</definedName>
    <definedName name="_AMO_ContentDefinition_891553685.222" hidden="1">"'p;lt;DateFormat&amp;amp;gt;None&amp;amp;lt;/DateFormat&amp;amp;gt;&amp;amp;lt;RightHandSideExpression xml:space=&amp;amp;quot;preserve&amp;amp;quot;&amp;amp;gt;MFBS01000912&amp;amp;lt;/RightHandSideExpression&amp;amp;gt;&amp;amp;lt;IsSubquery&amp;amp;gt;False&amp;amp;lt;/IsSubquery&amp;amp;gt;&amp;amp;lt;S'"</definedName>
    <definedName name="_AMO_ContentDefinition_891553685.223" hidden="1">"'ubqueryTemplateName /&amp;amp;gt;&amp;amp;lt;/RHSItem&amp;amp;gt;&amp;amp;lt;RHSItem&amp;amp;gt;&amp;amp;lt;RHSType&amp;amp;gt;EXPRESSION&amp;amp;lt;/RHSType&amp;amp;gt;&amp;amp;lt;AddQuotes&amp;amp;gt;True&amp;amp;lt;/AddQuotes&amp;amp;gt;&amp;amp;lt;DateFormat&amp;amp;gt;None&amp;amp;lt;/DateFormat&amp;amp;gt;&amp;amp;l'"</definedName>
    <definedName name="_AMO_ContentDefinition_891553685.224" hidden="1">"'t;RightHandSideExpression xml:space=&amp;amp;quot;preserve&amp;amp;quot;&amp;amp;gt;MFBS01000913&amp;amp;lt;/RightHandSideExpression&amp;amp;gt;&amp;amp;lt;IsSubquery&amp;amp;gt;False&amp;amp;lt;/IsSubquery&amp;amp;gt;&amp;amp;lt;SubqueryTemplateName /&amp;amp;gt;&amp;amp;lt;/RHSItem&amp;amp;gt;&amp;amp;lt'"</definedName>
    <definedName name="_AMO_ContentDefinition_891553685.225" hidden="1">"';RHSItem&amp;amp;gt;&amp;amp;lt;RHSType&amp;amp;gt;EXPRESSION&amp;amp;lt;/RHSType&amp;amp;gt;&amp;amp;lt;AddQuotes&amp;amp;gt;True&amp;amp;lt;/AddQuotes&amp;amp;gt;&amp;amp;lt;DateFormat&amp;amp;gt;None&amp;amp;lt;/DateFormat&amp;amp;gt;&amp;amp;lt;RightHandSideExpression xml:space=&amp;amp;quot;preserve&amp;amp;q'"</definedName>
    <definedName name="_AMO_ContentDefinition_891553685.226" hidden="1">"'uot;&amp;amp;gt;MFBS06000403&amp;amp;lt;/RightHandSideExpression&amp;amp;gt;&amp;amp;lt;IsSubquery&amp;amp;gt;False&amp;amp;lt;/IsSubquery&amp;amp;gt;&amp;amp;lt;SubqueryTemplateName /&amp;amp;gt;&amp;amp;lt;/RHSItem&amp;amp;gt;&amp;amp;lt;RHSItem&amp;amp;gt;&amp;amp;lt;RHSType&amp;amp;gt;EXPRESSION&amp;amp;lt;/RH'"</definedName>
    <definedName name="_AMO_ContentDefinition_891553685.227" hidden="1">"'SType&amp;amp;gt;&amp;amp;lt;AddQuotes&amp;amp;gt;True&amp;amp;lt;/AddQuotes&amp;amp;gt;&amp;amp;lt;DateFormat&amp;amp;gt;None&amp;amp;lt;/DateFormat&amp;amp;gt;&amp;amp;lt;RightHandSideExpression xml:space=&amp;amp;quot;preserve&amp;amp;quot;&amp;amp;gt;MFBS06000687&amp;amp;lt;/RightHandSideExpression&amp;amp'"</definedName>
    <definedName name="_AMO_ContentDefinition_891553685.228" hidden="1">"';gt;&amp;amp;lt;IsSubquery&amp;amp;gt;False&amp;amp;lt;/IsSubquery&amp;amp;gt;&amp;amp;lt;SubqueryTemplateName /&amp;amp;gt;&amp;amp;lt;/RHSItem&amp;amp;gt;&amp;amp;lt;RHSItem&amp;amp;gt;&amp;amp;lt;RHSType&amp;amp;gt;EXPRESSION&amp;amp;lt;/RHSType&amp;amp;gt;&amp;amp;lt;AddQuotes&amp;amp;gt;True&amp;amp;lt;/AddQuotes'"</definedName>
    <definedName name="_AMO_ContentDefinition_891553685.229" hidden="1">"'&amp;amp;gt;&amp;amp;lt;DateFormat&amp;amp;gt;None&amp;amp;lt;/DateFormat&amp;amp;gt;&amp;amp;lt;RightHandSideExpression xml:space=&amp;amp;quot;preserve&amp;amp;quot;&amp;amp;gt;MFBS06000404&amp;amp;lt;/RightHandSideExpression&amp;amp;gt;&amp;amp;lt;IsSubquery&amp;amp;gt;False&amp;amp;lt;/IsSubquery&amp;amp;g'"</definedName>
    <definedName name="_AMO_ContentDefinition_891553685.23" hidden="1">"'BS01001017',&amp;#xD;&amp;#xA;'MFBS01001018',&amp;#xD;&amp;#xA;'MFBS06000737',&amp;#xD;&amp;#xA;'MFBS06000746',&amp;#xD;&amp;#xA;'MFFSIR000190',&amp;#xD;&amp;#xA;'MFBS01001019',&amp;#xD;&amp;#xA;'MFBS01000895',&amp;#xD;&amp;#xA;'MFBS01001020',&amp;#xD;&amp;#xA;'MFBS01001021',&amp;#xD;&amp;#xA;'MFBS01000902',&amp;#xD;&amp;#xA;'MFB'"</definedName>
    <definedName name="_AMO_ContentDefinition_891553685.230" hidden="1">"'t;&amp;amp;lt;SubqueryTemplateName /&amp;amp;gt;&amp;amp;lt;/RHSItem&amp;amp;gt;&amp;amp;lt;RHSItem&amp;amp;gt;&amp;amp;lt;RHSType&amp;amp;gt;EXPRESSION&amp;amp;lt;/RHSType&amp;amp;gt;&amp;amp;lt;AddQuotes&amp;amp;gt;True&amp;amp;lt;/AddQuotes&amp;amp;gt;&amp;amp;lt;DateFormat&amp;amp;gt;None&amp;amp;lt;/DateFormat&amp;am'"</definedName>
    <definedName name="_AMO_ContentDefinition_891553685.231" hidden="1">"'p;gt;&amp;amp;lt;RightHandSideExpression xml:space=&amp;amp;quot;preserve&amp;amp;quot;&amp;amp;gt;MFBS06000406&amp;amp;lt;/RightHandSideExpression&amp;amp;gt;&amp;amp;lt;IsSubquery&amp;amp;gt;False&amp;amp;lt;/IsSubquery&amp;amp;gt;&amp;amp;lt;SubqueryTemplateName /&amp;amp;gt;&amp;amp;lt;/RHSItem&amp;amp'"</definedName>
    <definedName name="_AMO_ContentDefinition_891553685.232" hidden="1">"';gt;&amp;amp;lt;RHSItem&amp;amp;gt;&amp;amp;lt;RHSType&amp;amp;gt;EXPRESSION&amp;amp;lt;/RHSType&amp;amp;gt;&amp;amp;lt;AddQuotes&amp;amp;gt;True&amp;amp;lt;/AddQuotes&amp;amp;gt;&amp;amp;lt;DateFormat&amp;amp;gt;None&amp;amp;lt;/DateFormat&amp;amp;gt;&amp;amp;lt;RightHandSideExpression xml:space=&amp;amp;quot;pre'"</definedName>
    <definedName name="_AMO_ContentDefinition_891553685.233" hidden="1">"'serve&amp;amp;quot;&amp;amp;gt;MFBS06000678&amp;amp;lt;/RightHandSideExpression&amp;amp;gt;&amp;amp;lt;IsSubquery&amp;amp;gt;False&amp;amp;lt;/IsSubquery&amp;amp;gt;&amp;amp;lt;SubqueryTemplateName /&amp;amp;gt;&amp;amp;lt;/RHSItem&amp;amp;gt;&amp;amp;lt;RHSItem&amp;amp;gt;&amp;amp;lt;RHSType&amp;amp;gt;EXPRESSION'"</definedName>
    <definedName name="_AMO_ContentDefinition_891553685.234" hidden="1">"'&amp;amp;lt;/RHSType&amp;amp;gt;&amp;amp;lt;AddQuotes&amp;amp;gt;True&amp;amp;lt;/AddQuotes&amp;amp;gt;&amp;amp;lt;DateFormat&amp;amp;gt;None&amp;amp;lt;/DateFormat&amp;amp;gt;&amp;amp;lt;RightHandSideExpression xml:space=&amp;amp;quot;preserve&amp;amp;quot;&amp;amp;gt;MFBS01000740&amp;amp;lt;/RightHandSideExp'"</definedName>
    <definedName name="_AMO_ContentDefinition_891553685.235" hidden="1">"'ression&amp;amp;gt;&amp;amp;lt;IsSubquery&amp;amp;gt;False&amp;amp;lt;/IsSubquery&amp;amp;gt;&amp;amp;lt;SubqueryTemplateName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891553685.236" hidden="1">"';/AddQuotes&amp;amp;gt;&amp;amp;lt;DateFormat&amp;amp;gt;None&amp;amp;lt;/DateFormat&amp;amp;gt;&amp;amp;lt;RightHandSideExpression xml:space=&amp;amp;quot;preserve&amp;amp;quot;&amp;amp;gt;MFBS06000672&amp;amp;lt;/RightHandSideExpression&amp;amp;gt;&amp;amp;lt;IsSubquery&amp;amp;gt;False&amp;amp;lt;/IsSub'"</definedName>
    <definedName name="_AMO_ContentDefinition_891553685.237" hidden="1">"'query&amp;amp;gt;&amp;amp;lt;SubqueryTemplateName /&amp;amp;gt;&amp;amp;lt;/RHSItem&amp;amp;gt;&amp;amp;lt;RHSItem&amp;amp;gt;&amp;amp;lt;RHSType&amp;amp;gt;EXPRESSION&amp;amp;lt;/RHSType&amp;amp;gt;&amp;amp;lt;AddQuotes&amp;amp;gt;True&amp;amp;lt;/AddQuotes&amp;amp;gt;&amp;amp;lt;DateFormat&amp;amp;gt;None&amp;amp;lt;/Da'"</definedName>
    <definedName name="_AMO_ContentDefinition_891553685.238" hidden="1">"'teFormat&amp;amp;gt;&amp;amp;lt;RightHandSideExpression xml:space=&amp;amp;quot;preserve&amp;amp;quot;&amp;amp;gt;MFBS06000659&amp;amp;lt;/RightHandSideExpression&amp;amp;gt;&amp;amp;lt;IsSubquery&amp;amp;gt;False&amp;amp;lt;/IsSubquery&amp;amp;gt;&amp;amp;lt;SubqueryTemplateName /&amp;amp;gt;&amp;amp;lt;/'"</definedName>
    <definedName name="_AMO_ContentDefinition_891553685.239" hidden="1">"'RHSItem&amp;amp;gt;&amp;amp;lt;RHSItem&amp;amp;gt;&amp;amp;lt;RHSType&amp;amp;gt;EXPRESSION&amp;amp;lt;/RHSType&amp;amp;gt;&amp;amp;lt;AddQuotes&amp;amp;gt;True&amp;amp;lt;/AddQuotes&amp;amp;gt;&amp;amp;lt;DateFormat&amp;amp;gt;None&amp;amp;lt;/DateFormat&amp;amp;gt;&amp;amp;lt;RightHandSideExpression xml:space=&amp;a'"</definedName>
    <definedName name="_AMO_ContentDefinition_891553685.24" hidden="1">"'S01001022',&amp;#xD;&amp;#xA;'MFBS01001023',&amp;#xD;&amp;#xA;'MFPR06008550',&amp;#xD;&amp;#xA;'MFPR06008571',&amp;#xD;&amp;#xA;'MFFSIR001021',&amp;#xD;&amp;#xA;'MFDRVD000167',&amp;#xD;&amp;#xA;'MFFSIR001028',&amp;#xD;&amp;#xA;'MFPR01006405',&amp;#xD;&amp;#xA;'MFPR01006406',&amp;#xD;&amp;#xA;'MFPR01006407',&amp;#xD;&amp;#xA;'MFPR'"</definedName>
    <definedName name="_AMO_ContentDefinition_891553685.240" hidden="1">"'mp;quot;preserve&amp;amp;quot;&amp;amp;gt;MFBS02000030&amp;amp;lt;/RightHandSideExpression&amp;amp;gt;&amp;amp;lt;IsSubquery&amp;amp;gt;False&amp;amp;lt;/IsSubquery&amp;amp;gt;&amp;amp;lt;SubqueryTemplateName /&amp;amp;gt;&amp;amp;lt;/RHSItem&amp;amp;gt;&amp;amp;lt;RHSItem&amp;amp;gt;&amp;amp;lt;RHSType&amp;amp;gt'"</definedName>
    <definedName name="_AMO_ContentDefinition_891553685.241" hidden="1">"';EXPRESSION&amp;amp;lt;/RHSType&amp;amp;gt;&amp;amp;lt;AddQuotes&amp;amp;gt;True&amp;amp;lt;/AddQuotes&amp;amp;gt;&amp;amp;lt;DateFormat&amp;amp;gt;None&amp;amp;lt;/DateFormat&amp;amp;gt;&amp;amp;lt;RightHandSideExpression xml:space=&amp;amp;quot;preserve&amp;amp;quot;&amp;amp;gt;MFBS02000021&amp;amp;lt;/Right'"</definedName>
    <definedName name="_AMO_ContentDefinition_891553685.242" hidden="1">"'HandSideExpression&amp;amp;gt;&amp;amp;lt;IsSubquery&amp;amp;gt;False&amp;amp;lt;/IsSubquery&amp;amp;gt;&amp;amp;lt;SubqueryTemplateName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891553685.243" hidden="1">"'True&amp;amp;lt;/AddQuotes&amp;amp;gt;&amp;amp;lt;DateFormat&amp;amp;gt;None&amp;amp;lt;/DateFormat&amp;amp;gt;&amp;amp;lt;RightHandSideExpression xml:space=&amp;amp;quot;preserve&amp;amp;quot;&amp;amp;gt;MFBS01000096&amp;amp;lt;/RightHandSideExpression&amp;amp;gt;&amp;amp;lt;IsSubquery&amp;amp;gt;False&amp;am'"</definedName>
    <definedName name="_AMO_ContentDefinition_891553685.244" hidden="1">"'p;lt;/IsSubquery&amp;amp;gt;&amp;amp;lt;SubqueryTemplateName /&amp;amp;gt;&amp;amp;lt;/RHSItem&amp;amp;gt;&amp;amp;lt;RHSItem&amp;amp;gt;&amp;amp;lt;RHSType&amp;amp;gt;EXPRESSION&amp;amp;lt;/RHSType&amp;amp;gt;&amp;amp;lt;AddQuotes&amp;amp;gt;True&amp;amp;lt;/AddQuotes&amp;amp;gt;&amp;amp;lt;DateFormat&amp;amp;gt;None'"</definedName>
    <definedName name="_AMO_ContentDefinition_891553685.245" hidden="1">"'&amp;amp;lt;/DateFormat&amp;amp;gt;&amp;amp;lt;RightHandSideExpression xml:space=&amp;amp;quot;preserve&amp;amp;quot;&amp;amp;gt;MFBS01000757&amp;amp;lt;/RightHandSideExpression&amp;amp;gt;&amp;amp;lt;IsSubquery&amp;amp;gt;False&amp;amp;lt;/IsSubquery&amp;amp;gt;&amp;amp;lt;SubqueryTemplateName /&amp;amp;g'"</definedName>
    <definedName name="_AMO_ContentDefinition_891553685.246" hidden="1">"'t;&amp;amp;lt;/RHSItem&amp;amp;gt;&amp;amp;lt;RHSItem&amp;amp;gt;&amp;amp;lt;RHSType&amp;amp;gt;EXPRESSION&amp;amp;lt;/RHSType&amp;amp;gt;&amp;amp;lt;AddQuotes&amp;amp;gt;True&amp;amp;lt;/AddQuotes&amp;amp;gt;&amp;amp;lt;DateFormat&amp;amp;gt;None&amp;amp;lt;/DateFormat&amp;amp;gt;&amp;amp;lt;RightHandSideExpression x'"</definedName>
    <definedName name="_AMO_ContentDefinition_891553685.247" hidden="1">"'ml:space=&amp;amp;quot;preserve&amp;amp;quot;&amp;amp;gt;MFBS01000758&amp;amp;lt;/RightHandSideExpression&amp;amp;gt;&amp;amp;lt;IsSubquery&amp;amp;gt;False&amp;amp;lt;/IsSubquery&amp;amp;gt;&amp;amp;lt;SubqueryTemplateName /&amp;amp;gt;&amp;amp;lt;/RHSItem&amp;amp;gt;&amp;amp;lt;RHSItem&amp;amp;gt;&amp;amp;lt;RHS'"</definedName>
    <definedName name="_AMO_ContentDefinition_891553685.248" hidden="1">"'Type&amp;amp;gt;EXPRESSION&amp;amp;lt;/RHSType&amp;amp;gt;&amp;amp;lt;AddQuotes&amp;amp;gt;True&amp;amp;lt;/AddQuotes&amp;amp;gt;&amp;amp;lt;DateFormat&amp;amp;gt;None&amp;amp;lt;/DateFormat&amp;amp;gt;&amp;amp;lt;RightHandSideExpression xml:space=&amp;amp;quot;preserve&amp;amp;quot;&amp;amp;gt;MFBS01000914&amp;am'"</definedName>
    <definedName name="_AMO_ContentDefinition_891553685.249" hidden="1">"'p;lt;/RightHandSideExpression&amp;amp;gt;&amp;amp;lt;IsSubquery&amp;amp;gt;False&amp;amp;lt;/IsSubquery&amp;amp;gt;&amp;amp;lt;SubqueryTemplateName /&amp;amp;gt;&amp;amp;lt;/RHSItem&amp;amp;gt;&amp;amp;lt;RHSItem&amp;amp;gt;&amp;amp;lt;RHSType&amp;amp;gt;EXPRESSION&amp;amp;lt;/RHSType&amp;amp;gt;&amp;amp;lt;AddQuo'"</definedName>
    <definedName name="_AMO_ContentDefinition_891553685.25" hidden="1">"'01006408',&amp;#xD;&amp;#xA;'MFPR01006409',&amp;#xD;&amp;#xA;'MFPR01006410',&amp;#xD;&amp;#xA;'MFPR01006411',&amp;#xD;&amp;#xA;'MFPR01006412',&amp;#xD;&amp;#xA;'MFPR01006413',&amp;#xD;&amp;#xA;'MFPR01006414',&amp;#xD;&amp;#xA;'MFFSIR001012',&amp;#xD;&amp;#xA;'MFPR01006415',&amp;#xD;&amp;#xA;'MFFSIR001005',&amp;#xD;&amp;#xA;'MFPR0'"</definedName>
    <definedName name="_AMO_ContentDefinition_891553685.250" hidden="1">"'tes&amp;amp;gt;True&amp;amp;lt;/AddQuotes&amp;amp;gt;&amp;amp;lt;DateFormat&amp;amp;gt;None&amp;amp;lt;/DateFormat&amp;amp;gt;&amp;amp;lt;RightHandSideExpression xml:space=&amp;amp;quot;preserve&amp;amp;quot;&amp;amp;gt;MFBS01000915&amp;amp;lt;/RightHandSideExpression&amp;amp;gt;&amp;amp;lt;IsSubquery&amp;amp;'"</definedName>
    <definedName name="_AMO_ContentDefinition_891553685.251" hidden="1">"'gt;False&amp;amp;lt;/IsSubquery&amp;amp;gt;&amp;amp;lt;SubqueryTemplateName /&amp;amp;gt;&amp;amp;lt;/RHSItem&amp;amp;gt;&amp;amp;lt;RHSItem&amp;amp;gt;&amp;amp;lt;RHSType&amp;amp;gt;EXPRESSION&amp;amp;lt;/RHSType&amp;amp;gt;&amp;amp;lt;AddQuotes&amp;amp;gt;True&amp;amp;lt;/AddQuotes&amp;amp;gt;&amp;amp;lt;DateFormat&amp;'"</definedName>
    <definedName name="_AMO_ContentDefinition_891553685.252" hidden="1">"'amp;gt;None&amp;amp;lt;/DateFormat&amp;amp;gt;&amp;amp;lt;RightHandSideExpression xml:space=&amp;amp;quot;preserve&amp;amp;quot;&amp;amp;gt;MFBS01000916&amp;amp;lt;/RightHandSideExpression&amp;amp;gt;&amp;amp;lt;IsSubquery&amp;amp;gt;False&amp;amp;lt;/IsSubquery&amp;amp;gt;&amp;amp;lt;SubqueryTemplateN'"</definedName>
    <definedName name="_AMO_ContentDefinition_891553685.253" hidden="1">"'ame /&amp;amp;gt;&amp;amp;lt;/RHSItem&amp;amp;gt;&amp;amp;lt;RHSItem&amp;amp;gt;&amp;amp;lt;RHSType&amp;amp;gt;EXPRESSION&amp;amp;lt;/RHSType&amp;amp;gt;&amp;amp;lt;AddQuotes&amp;amp;gt;True&amp;amp;lt;/AddQuotes&amp;amp;gt;&amp;amp;lt;DateFormat&amp;amp;gt;None&amp;amp;lt;/DateFormat&amp;amp;gt;&amp;amp;lt;RightHandSideE'"</definedName>
    <definedName name="_AMO_ContentDefinition_891553685.254" hidden="1">"'xpression xml:space=&amp;amp;quot;preserve&amp;amp;quot;&amp;amp;gt;MFBS01000917&amp;amp;lt;/RightHandSideExpression&amp;amp;gt;&amp;amp;lt;IsSubquery&amp;amp;gt;False&amp;amp;lt;/IsSubquery&amp;amp;gt;&amp;amp;lt;SubqueryTemplateName /&amp;amp;gt;&amp;amp;lt;/RHSItem&amp;amp;gt;&amp;amp;lt;RHSItem&amp;amp;gt;'"</definedName>
    <definedName name="_AMO_ContentDefinition_891553685.255" hidden="1">"'&amp;amp;lt;RHSType&amp;amp;gt;EXPRESSION&amp;amp;lt;/RHSType&amp;amp;gt;&amp;amp;lt;AddQuotes&amp;amp;gt;True&amp;amp;lt;/AddQuotes&amp;amp;gt;&amp;amp;lt;DateFormat&amp;amp;gt;None&amp;amp;lt;/DateFormat&amp;amp;gt;&amp;amp;lt;RightHandSideExpression xml:space=&amp;amp;quot;preserve&amp;amp;quot;&amp;amp;gt;MFBS'"</definedName>
    <definedName name="_AMO_ContentDefinition_891553685.256" hidden="1">"'01000918&amp;amp;lt;/RightHandSideExpression&amp;amp;gt;&amp;amp;lt;IsSubquery&amp;amp;gt;False&amp;amp;lt;/IsSubquery&amp;amp;gt;&amp;amp;lt;SubqueryTemplateName /&amp;amp;gt;&amp;amp;lt;/RHSItem&amp;amp;gt;&amp;amp;lt;RHSItem&amp;amp;gt;&amp;amp;lt;RHSType&amp;amp;gt;EXPRESSION&amp;amp;lt;/RHSType&amp;amp;gt;&amp;am'"</definedName>
    <definedName name="_AMO_ContentDefinition_891553685.257" hidden="1">"'p;lt;AddQuotes&amp;amp;gt;True&amp;amp;lt;/AddQuotes&amp;amp;gt;&amp;amp;lt;DateFormat&amp;amp;gt;None&amp;amp;lt;/DateFormat&amp;amp;gt;&amp;amp;lt;RightHandSideExpression xml:space=&amp;amp;quot;preserve&amp;amp;quot;&amp;amp;gt;MFBS01000919&amp;amp;lt;/RightHandSideExpression&amp;amp;gt;&amp;amp;lt;IsSu'"</definedName>
    <definedName name="_AMO_ContentDefinition_891553685.258"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891553685.259" hidden="1">"'DateFormat&amp;amp;gt;None&amp;amp;lt;/DateFormat&amp;amp;gt;&amp;amp;lt;RightHandSideExpression xml:space=&amp;amp;quot;preserve&amp;amp;quot;&amp;amp;gt;MFBS01000920&amp;amp;lt;/RightHandSideExpression&amp;amp;gt;&amp;amp;lt;IsSubquery&amp;amp;gt;False&amp;amp;lt;/IsSubquery&amp;amp;gt;&amp;amp;lt;Subque'"</definedName>
    <definedName name="_AMO_ContentDefinition_891553685.26" hidden="1">"'6008579',&amp;#xD;&amp;#xA;'MFPR06008585',&amp;#xD;&amp;#xA;'MFPR06008580',&amp;#xD;&amp;#xA;'MFPR01006315',&amp;#xD;&amp;#xA;'MFPR01006304',&amp;#xD;&amp;#xA;'MFPR01000307',&amp;#xD;&amp;#xA;'MFPR01006447',&amp;#xD;&amp;#xA;'MFPR01006448',&amp;#xD;&amp;#xA;'MFPR01006403',&amp;#xD;&amp;#xA;'MFPR06008553',&amp;#xD;&amp;#xA;'MFPR06'"</definedName>
    <definedName name="_AMO_ContentDefinition_891553685.260" hidden="1">"'ryTemplateName /&amp;amp;gt;&amp;amp;lt;/RHSItem&amp;amp;gt;&amp;amp;lt;RHSItem&amp;amp;gt;&amp;amp;lt;RHSType&amp;amp;gt;EXPRESSION&amp;amp;lt;/RHSType&amp;amp;gt;&amp;amp;lt;AddQuotes&amp;amp;gt;True&amp;amp;lt;/AddQuotes&amp;amp;gt;&amp;amp;lt;DateFormat&amp;amp;gt;None&amp;amp;lt;/DateFormat&amp;amp;gt;&amp;amp;lt;Rig'"</definedName>
    <definedName name="_AMO_ContentDefinition_891553685.261" hidden="1">"'htHandSideExpression xml:space=&amp;amp;quot;preserve&amp;amp;quot;&amp;amp;gt;MFBS01001119&amp;amp;lt;/RightHandSideExpression&amp;amp;gt;&amp;amp;lt;IsSubquery&amp;amp;gt;False&amp;amp;lt;/IsSubquery&amp;amp;gt;&amp;amp;lt;SubqueryTemplateName /&amp;amp;gt;&amp;amp;lt;/RHSItem&amp;amp;gt;&amp;amp;lt;RHSI'"</definedName>
    <definedName name="_AMO_ContentDefinition_891553685.262" hidden="1">"'tem&amp;amp;gt;&amp;amp;lt;RHSType&amp;amp;gt;EXPRESSION&amp;amp;lt;/RHSType&amp;amp;gt;&amp;amp;lt;AddQuotes&amp;amp;gt;True&amp;amp;lt;/AddQuotes&amp;amp;gt;&amp;amp;lt;DateFormat&amp;amp;gt;None&amp;amp;lt;/DateFormat&amp;amp;gt;&amp;amp;lt;RightHandSideExpression xml:space=&amp;amp;quot;preserve&amp;amp;quot;&amp;'"</definedName>
    <definedName name="_AMO_ContentDefinition_891553685.263" hidden="1">"'amp;gt;MFBS01000921&amp;amp;lt;/RightHandSideExpression&amp;amp;gt;&amp;amp;lt;IsSubquery&amp;amp;gt;False&amp;amp;lt;/IsSubquery&amp;amp;gt;&amp;amp;lt;SubqueryTemplateName /&amp;amp;gt;&amp;amp;lt;/RHSItem&amp;amp;gt;&amp;amp;lt;RHSItem&amp;amp;gt;&amp;amp;lt;RHSType&amp;amp;gt;EXPRESSION&amp;amp;lt;/RHSType'"</definedName>
    <definedName name="_AMO_ContentDefinition_891553685.264" hidden="1">"'&amp;amp;gt;&amp;amp;lt;AddQuotes&amp;amp;gt;True&amp;amp;lt;/AddQuotes&amp;amp;gt;&amp;amp;lt;DateFormat&amp;amp;gt;None&amp;amp;lt;/DateFormat&amp;amp;gt;&amp;amp;lt;RightHandSideExpression xml:space=&amp;amp;quot;preserve&amp;amp;quot;&amp;amp;gt;MFBS01000922&amp;amp;lt;/RightHandSideExpression&amp;amp;gt;&amp;'"</definedName>
    <definedName name="_AMO_ContentDefinition_891553685.265" hidden="1">"'amp;lt;IsSubquery&amp;amp;gt;False&amp;amp;lt;/IsSubquery&amp;amp;gt;&amp;amp;lt;SubqueryTemplateName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891553685.266" hidden="1">"'gt;&amp;amp;lt;DateFormat&amp;amp;gt;None&amp;amp;lt;/DateFormat&amp;amp;gt;&amp;amp;lt;RightHandSideExpression xml:space=&amp;amp;quot;preserve&amp;amp;quot;&amp;amp;gt;MFBS01000923&amp;amp;lt;/RightHandSideExpression&amp;amp;gt;&amp;amp;lt;IsSubquery&amp;amp;gt;False&amp;amp;lt;/IsSubquery&amp;amp;gt;&amp;am'"</definedName>
    <definedName name="_AMO_ContentDefinition_891553685.267" hidden="1">"'p;lt;SubqueryTemplateName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891553685.268" hidden="1">"'&amp;amp;lt;RightHandSideExpression xml:space=&amp;amp;quot;preserve&amp;amp;quot;&amp;amp;gt;MFBS01000924&amp;amp;lt;/RightHandSideExpression&amp;amp;gt;&amp;amp;lt;IsSubquery&amp;amp;gt;False&amp;amp;lt;/IsSubquery&amp;amp;gt;&amp;amp;lt;SubqueryTemplateName /&amp;amp;gt;&amp;amp;lt;/RHSItem&amp;amp;gt;&amp;'"</definedName>
    <definedName name="_AMO_ContentDefinition_891553685.269"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891553685.27" hidden="1">"'008578',&amp;#xD;&amp;#xA;'MFPR01006454',&amp;#xD;&amp;#xA;'MFPR01006455',&amp;#xD;&amp;#xA;'MFPR06008581',&amp;#xD;&amp;#xA;'MFPR04004642',&amp;#xD;&amp;#xA;'MFPR01006400',&amp;#xD;&amp;#xA;'MFPR01006451',&amp;#xD;&amp;#xA;'MFPR01006452',&amp;#xD;&amp;#xA;'MFPR02001304',&amp;#xD;&amp;#xA;'MFPR02001305',&amp;#xD;&amp;#xA;'MFPR010'"</definedName>
    <definedName name="_AMO_ContentDefinition_891553685.270" hidden="1">"'&amp;amp;quot;&amp;amp;gt;MFBS01000925&amp;amp;lt;/RightHandSideExpression&amp;amp;gt;&amp;amp;lt;IsSubquery&amp;amp;gt;False&amp;amp;lt;/IsSubquery&amp;amp;gt;&amp;amp;lt;SubqueryTemplateName /&amp;amp;gt;&amp;amp;lt;/RHSItem&amp;amp;gt;&amp;amp;lt;RHSItem&amp;amp;gt;&amp;amp;lt;RHSType&amp;amp;gt;EXPRESSION&amp;amp;'"</definedName>
    <definedName name="_AMO_ContentDefinition_891553685.271" hidden="1">"'lt;/RHSType&amp;amp;gt;&amp;amp;lt;AddQuotes&amp;amp;gt;True&amp;amp;lt;/AddQuotes&amp;amp;gt;&amp;amp;lt;DateFormat&amp;amp;gt;None&amp;amp;lt;/DateFormat&amp;amp;gt;&amp;amp;lt;RightHandSideExpression xml:space=&amp;amp;quot;preserve&amp;amp;quot;&amp;amp;gt;MFBS01000928&amp;amp;lt;/RightHandSideExpressi'"</definedName>
    <definedName name="_AMO_ContentDefinition_891553685.272" hidden="1">"'on&amp;amp;gt;&amp;amp;lt;IsSubquery&amp;amp;gt;False&amp;amp;lt;/IsSubquery&amp;amp;gt;&amp;amp;lt;SubqueryTemplateName /&amp;amp;gt;&amp;amp;lt;/RHSItem&amp;amp;gt;&amp;amp;lt;RHSItem&amp;amp;gt;&amp;amp;lt;RHSType&amp;amp;gt;EXPRESSION&amp;amp;lt;/RHSType&amp;amp;gt;&amp;amp;lt;AddQuotes&amp;amp;gt;True&amp;amp;lt;/Add'"</definedName>
    <definedName name="_AMO_ContentDefinition_891553685.273" hidden="1">"'Quotes&amp;amp;gt;&amp;amp;lt;DateFormat&amp;amp;gt;None&amp;amp;lt;/DateFormat&amp;amp;gt;&amp;amp;lt;RightHandSideExpression xml:space=&amp;amp;quot;preserve&amp;amp;quot;&amp;amp;gt;MFBS01001070&amp;amp;lt;/RightHandSideExpression&amp;amp;gt;&amp;amp;lt;IsSubquery&amp;amp;gt;False&amp;amp;lt;/IsSubquery'"</definedName>
    <definedName name="_AMO_ContentDefinition_891553685.274" hidden="1">"'&amp;amp;gt;&amp;amp;lt;SubqueryTemplateName /&amp;amp;gt;&amp;amp;lt;/RHSItem&amp;amp;gt;&amp;amp;lt;RHSItem&amp;amp;gt;&amp;amp;lt;RHSType&amp;amp;gt;EXPRESSION&amp;amp;lt;/RHSType&amp;amp;gt;&amp;amp;lt;AddQuotes&amp;amp;gt;True&amp;amp;lt;/AddQuotes&amp;amp;gt;&amp;amp;lt;DateFormat&amp;amp;gt;None&amp;amp;lt;/DateFor'"</definedName>
    <definedName name="_AMO_ContentDefinition_891553685.275" hidden="1">"'mat&amp;amp;gt;&amp;amp;lt;RightHandSideExpression xml:space=&amp;amp;quot;preserve&amp;amp;quot;&amp;amp;gt;MFBS01001141&amp;amp;lt;/RightHandSideExpression&amp;amp;gt;&amp;amp;lt;IsSubquery&amp;amp;gt;False&amp;amp;lt;/IsSubquery&amp;amp;gt;&amp;amp;lt;SubqueryTemplateName /&amp;amp;gt;&amp;amp;lt;/RHSIt'"</definedName>
    <definedName name="_AMO_ContentDefinition_891553685.276" hidden="1">"'em&amp;amp;gt;&amp;amp;lt;RHSItem&amp;amp;gt;&amp;amp;lt;RHSType&amp;amp;gt;EXPRESSION&amp;amp;lt;/RHSType&amp;amp;gt;&amp;amp;lt;AddQuotes&amp;amp;gt;True&amp;amp;lt;/AddQuotes&amp;amp;gt;&amp;amp;lt;DateFormat&amp;amp;gt;None&amp;amp;lt;/DateFormat&amp;amp;gt;&amp;amp;lt;RightHandSideExpression xml:space=&amp;amp;qu'"</definedName>
    <definedName name="_AMO_ContentDefinition_891553685.277" hidden="1">"'ot;preserve&amp;amp;quot;&amp;amp;gt;MFBS01000926&amp;amp;lt;/RightHandSideExpression&amp;amp;gt;&amp;amp;lt;IsSubquery&amp;amp;gt;False&amp;amp;lt;/IsSubquery&amp;amp;gt;&amp;amp;lt;SubqueryTemplateName /&amp;amp;gt;&amp;amp;lt;/RHSItem&amp;amp;gt;&amp;amp;lt;RHSItem&amp;amp;gt;&amp;amp;lt;RHSType&amp;amp;gt;EXPR'"</definedName>
    <definedName name="_AMO_ContentDefinition_891553685.278" hidden="1">"'ESSION&amp;amp;lt;/RHSType&amp;amp;gt;&amp;amp;lt;AddQuotes&amp;amp;gt;True&amp;amp;lt;/AddQuotes&amp;amp;gt;&amp;amp;lt;DateFormat&amp;amp;gt;None&amp;amp;lt;/DateFormat&amp;amp;gt;&amp;amp;lt;RightHandSideExpression xml:space=&amp;amp;quot;preserve&amp;amp;quot;&amp;amp;gt;MFPR06008082&amp;amp;lt;/RightHandS'"</definedName>
    <definedName name="_AMO_ContentDefinition_891553685.279" hidden="1">"'ideExpression&amp;amp;gt;&amp;amp;lt;IsSubquery&amp;amp;gt;False&amp;amp;lt;/IsSubquery&amp;amp;gt;&amp;amp;lt;SubqueryTemplateName /&amp;amp;gt;&amp;amp;lt;/RHSItem&amp;amp;gt;&amp;amp;lt;RHSItem&amp;amp;gt;&amp;amp;lt;RHSType&amp;amp;gt;EXPRESSION&amp;amp;lt;/RHSType&amp;amp;gt;&amp;amp;lt;AddQuotes&amp;amp;gt;True&amp;'"</definedName>
    <definedName name="_AMO_ContentDefinition_891553685.28" hidden="1">"'00286',&amp;#xD;&amp;#xA;'MFPR06008111',&amp;#xD;&amp;#xA;'MFPR06008112',&amp;#xD;&amp;#xA;'MFPR06008117',&amp;#xD;&amp;#xA;'MFPR06008118',&amp;#xD;&amp;#xA;'MFPR06008114',&amp;#xD;&amp;#xA;'MFPR06008115',&amp;#xD;&amp;#xA;'MFPR06008116',&amp;#xD;&amp;#xA;'MFPR06008096',&amp;#xD;&amp;#xA;'MFPR06008097',&amp;#xD;&amp;#xA;'MFPR0600'"</definedName>
    <definedName name="_AMO_ContentDefinition_891553685.280" hidden="1">"'amp;lt;/AddQuotes&amp;amp;gt;&amp;amp;lt;DateFormat&amp;amp;gt;None&amp;amp;lt;/DateFormat&amp;amp;gt;&amp;amp;lt;RightHandSideExpression xml:space=&amp;amp;quot;preserve&amp;amp;quot;&amp;amp;gt;MFPR06008573&amp;amp;lt;/RightHandSideExpression&amp;amp;gt;&amp;amp;lt;IsSubquery&amp;amp;gt;False&amp;amp;lt;'"</definedName>
    <definedName name="_AMO_ContentDefinition_891553685.281"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891553685.282" hidden="1">"'lt;/DateFormat&amp;amp;gt;&amp;amp;lt;RightHandSideExpression xml:space=&amp;amp;quot;preserve&amp;amp;quot;&amp;amp;gt;MFPR06008091&amp;amp;lt;/RightHandSideExpression&amp;amp;gt;&amp;amp;lt;IsSubquery&amp;amp;gt;False&amp;amp;lt;/IsSubquery&amp;amp;gt;&amp;amp;lt;SubqueryTemplateName /&amp;amp;gt;&amp;am'"</definedName>
    <definedName name="_AMO_ContentDefinition_891553685.283" hidden="1">"'p;lt;/RHSItem&amp;amp;gt;&amp;amp;lt;RHSItem&amp;amp;gt;&amp;amp;lt;RHSType&amp;amp;gt;EXPRESSION&amp;amp;lt;/RHSType&amp;amp;gt;&amp;amp;lt;AddQuotes&amp;amp;gt;True&amp;amp;lt;/AddQuotes&amp;amp;gt;&amp;amp;lt;DateFormat&amp;amp;gt;None&amp;amp;lt;/DateFormat&amp;amp;gt;&amp;amp;lt;RightHandSideExpression xml:sp'"</definedName>
    <definedName name="_AMO_ContentDefinition_891553685.284" hidden="1">"'ace=&amp;amp;quot;preserve&amp;amp;quot;&amp;amp;gt;MFPR06008096&amp;amp;lt;/RightHandSideExpression&amp;amp;gt;&amp;amp;lt;IsSubquery&amp;amp;gt;False&amp;amp;lt;/IsSubquery&amp;amp;gt;&amp;amp;lt;SubqueryTemplateName /&amp;amp;gt;&amp;amp;lt;/RHSItem&amp;amp;gt;&amp;amp;lt;RHSItem&amp;amp;gt;&amp;amp;lt;RHSType&amp;'"</definedName>
    <definedName name="_AMO_ContentDefinition_891553685.285" hidden="1">"'amp;gt;EXPRESSION&amp;amp;lt;/RHSType&amp;amp;gt;&amp;amp;lt;AddQuotes&amp;amp;gt;True&amp;amp;lt;/AddQuotes&amp;amp;gt;&amp;amp;lt;DateFormat&amp;amp;gt;None&amp;amp;lt;/DateFormat&amp;amp;gt;&amp;amp;lt;RightHandSideExpression xml:space=&amp;amp;quot;preserve&amp;amp;quot;&amp;amp;gt;MFPR06008097&amp;amp;lt;'"</definedName>
    <definedName name="_AMO_ContentDefinition_891553685.286" hidden="1">"'/RightHandSideExpression&amp;amp;gt;&amp;amp;lt;IsSubquery&amp;amp;gt;False&amp;amp;lt;/IsSubquery&amp;amp;gt;&amp;amp;lt;SubqueryTemplateName /&amp;amp;gt;&amp;amp;lt;/RHSItem&amp;amp;gt;&amp;amp;lt;RHSItem&amp;amp;gt;&amp;amp;lt;RHSType&amp;amp;gt;EXPRESSION&amp;amp;lt;/RHSType&amp;amp;gt;&amp;amp;lt;AddQuotes&amp;a'"</definedName>
    <definedName name="_AMO_ContentDefinition_891553685.287" hidden="1">"'mp;gt;True&amp;amp;lt;/AddQuotes&amp;amp;gt;&amp;amp;lt;DateFormat&amp;amp;gt;None&amp;amp;lt;/DateFormat&amp;amp;gt;&amp;amp;lt;RightHandSideExpression xml:space=&amp;amp;quot;preserve&amp;amp;quot;&amp;amp;gt;MFPR06008099&amp;amp;lt;/RightHandSideExpression&amp;amp;gt;&amp;amp;lt;IsSubquery&amp;amp;gt;Fa'"</definedName>
    <definedName name="_AMO_ContentDefinition_891553685.288" hidden="1">"'lse&amp;amp;lt;/IsSubquery&amp;amp;gt;&amp;amp;lt;SubqueryTemplateName /&amp;amp;gt;&amp;amp;lt;/RHSItem&amp;amp;gt;&amp;amp;lt;RHSItem&amp;amp;gt;&amp;amp;lt;RHSType&amp;amp;gt;EXPRESSION&amp;amp;lt;/RHSType&amp;amp;gt;&amp;amp;lt;AddQuotes&amp;amp;gt;True&amp;amp;lt;/AddQuotes&amp;amp;gt;&amp;amp;lt;DateFormat&amp;amp;g'"</definedName>
    <definedName name="_AMO_ContentDefinition_891553685.289" hidden="1">"'t;None&amp;amp;lt;/DateFormat&amp;amp;gt;&amp;amp;lt;RightHandSideExpression xml:space=&amp;amp;quot;preserve&amp;amp;quot;&amp;amp;gt;MFPR06008098&amp;amp;lt;/RightHandSideExpression&amp;amp;gt;&amp;amp;lt;IsSubquery&amp;amp;gt;False&amp;amp;lt;/IsSubquery&amp;amp;gt;&amp;amp;lt;SubqueryTemplateName /'"</definedName>
    <definedName name="_AMO_ContentDefinition_891553685.29" hidden="1">"'8594',&amp;#xD;&amp;#xA;'MFPR06008584',&amp;#xD;&amp;#xA;'MFFSIR001031',&amp;#xD;&amp;#xA;'MFPR06008595',&amp;#xD;&amp;#xA;'MFPR01000232',&amp;#xD;&amp;#xA;'MFPR01006456',&amp;#xD;&amp;#xA;'MFBS04000156'&amp;#xD;&amp;#xA;) AND entity_short_nm IN &amp;#xD;&amp;#xA;(&amp;#xD;&amp;#xA;'Antigua and Barbuda',&amp;#xD;&amp;#xA;'Anguill'"</definedName>
    <definedName name="_AMO_ContentDefinition_891553685.290" hidden="1">"'&amp;amp;gt;&amp;amp;lt;/RHSItem&amp;amp;gt;&amp;amp;lt;RHSItem&amp;amp;gt;&amp;amp;lt;RHSType&amp;amp;gt;EXPRESSION&amp;amp;lt;/RHSType&amp;amp;gt;&amp;amp;lt;AddQuotes&amp;amp;gt;True&amp;amp;lt;/AddQuotes&amp;amp;gt;&amp;amp;lt;DateFormat&amp;amp;gt;None&amp;amp;lt;/DateFormat&amp;amp;gt;&amp;amp;lt;RightHandSideExpres'"</definedName>
    <definedName name="_AMO_ContentDefinition_891553685.291" hidden="1">"'sion xml:space=&amp;amp;quot;preserve&amp;amp;quot;&amp;amp;gt;MFPR06008574&amp;amp;lt;/RightHandSideExpression&amp;amp;gt;&amp;amp;lt;IsSubquery&amp;amp;gt;False&amp;amp;lt;/IsSubquery&amp;amp;gt;&amp;amp;lt;SubqueryTemplateName /&amp;amp;gt;&amp;amp;lt;/RHSItem&amp;amp;gt;&amp;amp;lt;RHSItem&amp;amp;gt;&amp;amp;'"</definedName>
    <definedName name="_AMO_ContentDefinition_891553685.292" hidden="1">"'lt;RHSType&amp;amp;gt;EXPRESSION&amp;amp;lt;/RHSType&amp;amp;gt;&amp;amp;lt;AddQuotes&amp;amp;gt;True&amp;amp;lt;/AddQuotes&amp;amp;gt;&amp;amp;lt;DateFormat&amp;amp;gt;None&amp;amp;lt;/DateFormat&amp;amp;gt;&amp;amp;lt;RightHandSideExpression xml:space=&amp;amp;quot;preserve&amp;amp;quot;&amp;amp;gt;MFPR06008'"</definedName>
    <definedName name="_AMO_ContentDefinition_891553685.293" hidden="1">"'575&amp;amp;lt;/RightHandSideExpression&amp;amp;gt;&amp;amp;lt;IsSubquery&amp;amp;gt;False&amp;amp;lt;/IsSubquery&amp;amp;gt;&amp;amp;lt;SubqueryTemplateName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891553685.294" hidden="1">"'AddQuotes&amp;amp;gt;True&amp;amp;lt;/AddQuotes&amp;amp;gt;&amp;amp;lt;DateFormat&amp;amp;gt;None&amp;amp;lt;/DateFormat&amp;amp;gt;&amp;amp;lt;RightHandSideExpression xml:space=&amp;amp;quot;preserve&amp;amp;quot;&amp;amp;gt;MFPR06008110&amp;amp;lt;/RightHandSideExpression&amp;amp;gt;&amp;amp;lt;IsSubquer'"</definedName>
    <definedName name="_AMO_ContentDefinition_891553685.295" hidden="1">"'y&amp;amp;gt;False&amp;amp;lt;/IsSubquery&amp;amp;gt;&amp;amp;lt;SubqueryTemplateName /&amp;amp;gt;&amp;amp;lt;/RHSItem&amp;amp;gt;&amp;amp;lt;RHSItem&amp;amp;gt;&amp;amp;lt;RHSType&amp;amp;gt;EXPRESSION&amp;amp;lt;/RHSType&amp;amp;gt;&amp;amp;lt;AddQuotes&amp;amp;gt;True&amp;amp;lt;/AddQuotes&amp;amp;gt;&amp;amp;lt;DateF'"</definedName>
    <definedName name="_AMO_ContentDefinition_891553685.296" hidden="1">"'ormat&amp;amp;gt;None&amp;amp;lt;/DateFormat&amp;amp;gt;&amp;amp;lt;RightHandSideExpression xml:space=&amp;amp;quot;preserve&amp;amp;quot;&amp;amp;gt;MFPR06008111&amp;amp;lt;/RightHandSideExpression&amp;amp;gt;&amp;amp;lt;IsSubquery&amp;amp;gt;False&amp;amp;lt;/IsSubquery&amp;amp;gt;&amp;amp;lt;SubqueryTem'"</definedName>
    <definedName name="_AMO_ContentDefinition_891553685.297" hidden="1">"'plateName /&amp;amp;gt;&amp;amp;lt;/RHSItem&amp;amp;gt;&amp;amp;lt;RHSItem&amp;amp;gt;&amp;amp;lt;RHSType&amp;amp;gt;EXPRESSION&amp;amp;lt;/RHSType&amp;amp;gt;&amp;amp;lt;AddQuotes&amp;amp;gt;True&amp;amp;lt;/AddQuotes&amp;amp;gt;&amp;amp;lt;DateFormat&amp;amp;gt;None&amp;amp;lt;/DateFormat&amp;amp;gt;&amp;amp;lt;RightHan'"</definedName>
    <definedName name="_AMO_ContentDefinition_891553685.298" hidden="1">"'dSideExpression xml:space=&amp;amp;quot;preserve&amp;amp;quot;&amp;amp;gt;MFPR06008576&amp;amp;lt;/RightHandSideExpression&amp;amp;gt;&amp;amp;lt;IsSubquery&amp;amp;gt;False&amp;amp;lt;/IsSubquery&amp;amp;gt;&amp;amp;lt;SubqueryTemplateName /&amp;amp;gt;&amp;amp;lt;/RHSItem&amp;amp;gt;&amp;amp;lt;RHSItem&amp;a'"</definedName>
    <definedName name="_AMO_ContentDefinition_891553685.299" hidden="1">"'mp;gt;&amp;amp;lt;RHSType&amp;amp;gt;EXPRESSION&amp;amp;lt;/RHSType&amp;amp;gt;&amp;amp;lt;AddQuotes&amp;amp;gt;True&amp;amp;lt;/AddQuotes&amp;amp;gt;&amp;amp;lt;DateFormat&amp;amp;gt;None&amp;amp;lt;/DateFormat&amp;amp;gt;&amp;amp;lt;RightHandSideExpression xml:space=&amp;amp;quot;preserve&amp;amp;quot;&amp;amp;g'"</definedName>
    <definedName name="_AMO_ContentDefinition_891553685.3" hidden="1">"'  &lt;param n=""ServerHostName"" v=""sasprdmetadata.eccb-centralbank.org"" /&gt;_x000D_
  &lt;param n=""DataSourceType"" v=""SAS DATASET"" /&gt;_x000D_
  &lt;param n=""SASFilter"" v=""frequency_cd IN &amp;#xD;&amp;#xA;(&amp;#xD;&amp;#xA;'Q',&amp;#xD;&amp;#xA;'S',&amp;#xD;&amp;#xA;'N',&amp;#xD;&amp;#xA;'A'&amp;#xD;&amp;#xA;) '"</definedName>
    <definedName name="_AMO_ContentDefinition_891553685.30" hidden="1">"'a',&amp;#xD;&amp;#xA;'Dominica',&amp;#xD;&amp;#xA;'Grenada',&amp;#xD;&amp;#xA;'Montserrat',&amp;#xD;&amp;#xA;'St Kitts and Nevis',&amp;#xD;&amp;#xA;'Saint Lucia',&amp;#xD;&amp;#xA;'St Vincent and the Grenadines',&amp;#xD;&amp;#xA;'ECCU',&amp;#xD;&amp;#xA;'LOC AI',&amp;#xD;&amp;#xA;'LOC AG',&amp;#xD;&amp;#xA;'LOC DM',&amp;#xD;&amp;#xA;'LO'"</definedName>
    <definedName name="_AMO_ContentDefinition_891553685.300" hidden="1">"'t;MFPR06008113&amp;amp;lt;/RightHandSideExpression&amp;amp;gt;&amp;amp;lt;IsSubquery&amp;amp;gt;False&amp;amp;lt;/IsSubquery&amp;amp;gt;&amp;amp;lt;SubqueryTemplateName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891553685.301" hidden="1">"'gt;&amp;amp;lt;AddQuotes&amp;amp;gt;True&amp;amp;lt;/AddQuotes&amp;amp;gt;&amp;amp;lt;DateFormat&amp;amp;gt;None&amp;amp;lt;/DateFormat&amp;amp;gt;&amp;amp;lt;RightHandSideExpression xml:space=&amp;amp;quot;preserve&amp;amp;quot;&amp;amp;gt;MFPR06008114&amp;amp;lt;/RightHandSideExpression&amp;amp;gt;&amp;amp;l'"</definedName>
    <definedName name="_AMO_ContentDefinition_891553685.302" hidden="1">"'t;IsSubquery&amp;amp;gt;False&amp;amp;lt;/IsSubquery&amp;amp;gt;&amp;amp;lt;SubqueryTemplateName /&amp;amp;gt;&amp;amp;lt;/RHSItem&amp;amp;gt;&amp;amp;lt;RHSItem&amp;amp;gt;&amp;amp;lt;RHSType&amp;amp;gt;EXPRESSION&amp;amp;lt;/RHSType&amp;amp;gt;&amp;amp;lt;AddQuotes&amp;amp;gt;True&amp;amp;lt;/AddQuotes&amp;amp;gt;&amp;a'"</definedName>
    <definedName name="_AMO_ContentDefinition_891553685.303" hidden="1">"'mp;lt;DateFormat&amp;amp;gt;None&amp;amp;lt;/DateFormat&amp;amp;gt;&amp;amp;lt;RightHandSideExpression xml:space=&amp;amp;quot;preserve&amp;amp;quot;&amp;amp;gt;MFPR06008562&amp;amp;lt;/RightHandSideExpression&amp;amp;gt;&amp;amp;lt;IsSubquery&amp;amp;gt;False&amp;amp;lt;/IsSubquery&amp;amp;gt;&amp;amp;lt;'"</definedName>
    <definedName name="_AMO_ContentDefinition_891553685.304"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891553685.305" hidden="1">"'lt;RightHandSideExpression xml:space=&amp;amp;quot;preserve&amp;amp;quot;&amp;amp;gt;MFPR06008119&amp;amp;lt;/RightHandSideExpression&amp;amp;gt;&amp;amp;lt;IsSubquery&amp;amp;gt;False&amp;amp;lt;/IsSubquery&amp;amp;gt;&amp;amp;lt;SubqueryTemplateName /&amp;amp;gt;&amp;amp;lt;/RHSItem&amp;amp;gt;&amp;amp;l'"</definedName>
    <definedName name="_AMO_ContentDefinition_891553685.306" hidden="1">"'t;RHSItem&amp;amp;gt;&amp;amp;lt;RHSType&amp;amp;gt;EXPRESSION&amp;amp;lt;/RHSType&amp;amp;gt;&amp;amp;lt;AddQuotes&amp;amp;gt;True&amp;amp;lt;/AddQuotes&amp;amp;gt;&amp;amp;lt;DateFormat&amp;amp;gt;None&amp;amp;lt;/DateFormat&amp;amp;gt;&amp;amp;lt;RightHandSideExpression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891553685.307" hidden="1">"'quot;&amp;amp;gt;MFPR06008577&amp;amp;lt;/RightHandSideExpression&amp;amp;gt;&amp;amp;lt;IsSubquery&amp;amp;gt;False&amp;amp;lt;/IsSubquery&amp;amp;gt;&amp;amp;lt;SubqueryTemplateName /&amp;amp;gt;&amp;amp;lt;/RHSItem&amp;amp;gt;&amp;amp;lt;RHSItem&amp;amp;gt;&amp;amp;lt;RHSType&amp;amp;gt;EXPRESSION&amp;amp;lt;/R'"</definedName>
    <definedName name="_AMO_ContentDefinition_891553685.308" hidden="1">"'HSType&amp;amp;gt;&amp;amp;lt;AddQuotes&amp;amp;gt;True&amp;amp;lt;/AddQuotes&amp;amp;gt;&amp;amp;lt;DateFormat&amp;amp;gt;None&amp;amp;lt;/DateFormat&amp;amp;gt;&amp;amp;lt;RightHandSideExpression xml:space=&amp;amp;quot;preserve&amp;amp;quot;&amp;amp;gt;MFPR01006343&amp;amp;lt;/RightHandSideExpression&amp;am'"</definedName>
    <definedName name="_AMO_ContentDefinition_891553685.309" hidden="1">"'p;gt;&amp;amp;lt;IsSubquery&amp;amp;gt;False&amp;amp;lt;/IsSubquery&amp;amp;gt;&amp;amp;lt;SubqueryTemplateName /&amp;amp;gt;&amp;amp;lt;/RHSItem&amp;amp;gt;&amp;amp;lt;RHSItem&amp;amp;gt;&amp;amp;lt;RHSType&amp;amp;gt;EXPRESSION&amp;amp;lt;/RHSType&amp;amp;gt;&amp;amp;lt;AddQuotes&amp;amp;gt;True&amp;amp;lt;/AddQuote'"</definedName>
    <definedName name="_AMO_ContentDefinition_891553685.31" hidden="1">"'C GD',&amp;#xD;&amp;#xA;'LOC MS',&amp;#xD;&amp;#xA;'LOC KN',&amp;#xD;&amp;#xA;'LOC LC',&amp;#xD;&amp;#xA;'LOC VC',&amp;#xD;&amp;#xA;'LOC EC'&amp;#xD;&amp;#xA;) AND date_dt IN &amp;#xD;&amp;#xA;(&amp;#xD;&amp;#xA;'30Sep2017'd,&amp;#xD;&amp;#xA;'31Dec2017'd,&amp;#xD;&amp;#xA;'31Mar2018'd,&amp;#xD;&amp;#xA;'30Jun2018'd,&amp;#xD;&amp;#xA;'30Sep2018''"</definedName>
    <definedName name="_AMO_ContentDefinition_891553685.310" hidden="1">"'s&amp;amp;gt;&amp;amp;lt;DateFormat&amp;amp;gt;None&amp;amp;lt;/DateFormat&amp;amp;gt;&amp;amp;lt;RightHandSideExpression xml:space=&amp;amp;quot;preserve&amp;amp;quot;&amp;amp;gt;MFPR01000285&amp;amp;lt;/RightHandSideExpression&amp;amp;gt;&amp;amp;lt;IsSubquery&amp;amp;gt;False&amp;amp;lt;/IsSubquery&amp;amp;'"</definedName>
    <definedName name="_AMO_ContentDefinition_891553685.311" hidden="1">"'gt;&amp;amp;lt;SubqueryTemplateName /&amp;amp;gt;&amp;amp;lt;/RHSItem&amp;amp;gt;&amp;amp;lt;RHSItem&amp;amp;gt;&amp;amp;lt;RHSType&amp;amp;gt;EXPRESSION&amp;amp;lt;/RHSType&amp;amp;gt;&amp;amp;lt;AddQuotes&amp;amp;gt;True&amp;amp;lt;/AddQuotes&amp;amp;gt;&amp;amp;lt;DateFormat&amp;amp;gt;None&amp;amp;lt;/DateFormat&amp;a'"</definedName>
    <definedName name="_AMO_ContentDefinition_891553685.312" hidden="1">"'mp;gt;&amp;amp;lt;RightHandSideExpression xml:space=&amp;amp;quot;preserve&amp;amp;quot;&amp;amp;gt;MFPR01006344&amp;amp;lt;/RightHandSideExpression&amp;amp;gt;&amp;amp;lt;IsSubquery&amp;amp;gt;False&amp;amp;lt;/IsSubquery&amp;amp;gt;&amp;amp;lt;SubqueryTemplateName /&amp;amp;gt;&amp;amp;lt;/RHSItem&amp;am'"</definedName>
    <definedName name="_AMO_ContentDefinition_891553685.313" hidden="1">"'p;gt;&amp;amp;lt;RHSItem&amp;amp;gt;&amp;amp;lt;RHSType&amp;amp;gt;EXPRESSION&amp;amp;lt;/RHSType&amp;amp;gt;&amp;amp;lt;AddQuotes&amp;amp;gt;True&amp;amp;lt;/AddQuotes&amp;amp;gt;&amp;amp;lt;DateFormat&amp;amp;gt;None&amp;amp;lt;/DateFormat&amp;amp;gt;&amp;amp;lt;RightHandSideExpression xml:space=&amp;amp;quot;pr'"</definedName>
    <definedName name="_AMO_ContentDefinition_891553685.314" hidden="1">"'eserve&amp;amp;quot;&amp;amp;gt;MFPR01006345&amp;amp;lt;/RightHandSideExpression&amp;amp;gt;&amp;amp;lt;IsSubquery&amp;amp;gt;False&amp;amp;lt;/IsSubquery&amp;amp;gt;&amp;amp;lt;SubqueryTemplateName /&amp;amp;gt;&amp;amp;lt;/RHSItem&amp;amp;gt;&amp;amp;lt;RHSItem&amp;amp;gt;&amp;amp;lt;RHSType&amp;amp;gt;EXPRESSIO'"</definedName>
    <definedName name="_AMO_ContentDefinition_891553685.315" hidden="1">"'N&amp;amp;lt;/RHSType&amp;amp;gt;&amp;amp;lt;AddQuotes&amp;amp;gt;True&amp;amp;lt;/AddQuotes&amp;amp;gt;&amp;amp;lt;DateFormat&amp;amp;gt;None&amp;amp;lt;/DateFormat&amp;amp;gt;&amp;amp;lt;RightHandSideExpression xml:space=&amp;amp;quot;preserve&amp;amp;quot;&amp;amp;gt;MFPR01006346&amp;amp;lt;/RightHandSideEx'"</definedName>
    <definedName name="_AMO_ContentDefinition_891553685.316" hidden="1">"'pression&amp;amp;gt;&amp;amp;lt;IsSubquery&amp;amp;gt;False&amp;amp;lt;/IsSubquery&amp;amp;gt;&amp;amp;lt;SubqueryTemplateName /&amp;amp;gt;&amp;amp;lt;/RHSItem&amp;amp;gt;&amp;amp;lt;RHSItem&amp;amp;gt;&amp;amp;lt;RHSType&amp;amp;gt;EXPRESSION&amp;amp;lt;/RHSType&amp;amp;gt;&amp;amp;lt;AddQuotes&amp;amp;gt;True&amp;amp;l'"</definedName>
    <definedName name="_AMO_ContentDefinition_891553685.317" hidden="1">"'t;/AddQuotes&amp;amp;gt;&amp;amp;lt;DateFormat&amp;amp;gt;None&amp;amp;lt;/DateFormat&amp;amp;gt;&amp;amp;lt;RightHandSideExpression xml:space=&amp;amp;quot;preserve&amp;amp;quot;&amp;amp;gt;MFPR01006296&amp;amp;lt;/RightHandSideExpression&amp;amp;gt;&amp;amp;lt;IsSubquery&amp;amp;gt;False&amp;amp;lt;/IsSu'"</definedName>
    <definedName name="_AMO_ContentDefinition_891553685.318" hidden="1">"'bquery&amp;amp;gt;&amp;amp;lt;SubqueryTemplateName /&amp;amp;gt;&amp;amp;lt;/RHSItem&amp;amp;gt;&amp;amp;lt;RHSItem&amp;amp;gt;&amp;amp;lt;RHSType&amp;amp;gt;EXPRESSION&amp;amp;lt;/RHSType&amp;amp;gt;&amp;amp;lt;AddQuotes&amp;amp;gt;True&amp;amp;lt;/AddQuotes&amp;amp;gt;&amp;amp;lt;DateFormat&amp;amp;gt;None&amp;amp;lt;/D'"</definedName>
    <definedName name="_AMO_ContentDefinition_891553685.319" hidden="1">"'ateFormat&amp;amp;gt;&amp;amp;lt;RightHandSideExpression xml:space=&amp;amp;quot;preserve&amp;amp;quot;&amp;amp;gt;MFPR01006348&amp;amp;lt;/RightHandSideExpression&amp;amp;gt;&amp;amp;lt;IsSubquery&amp;amp;gt;False&amp;amp;lt;/IsSubquery&amp;amp;gt;&amp;amp;lt;SubqueryTemplateName /&amp;amp;gt;&amp;amp;lt;'"</definedName>
    <definedName name="_AMO_ContentDefinition_891553685.32" hidden="1">"'d,&amp;#xD;&amp;#xA;'31Dec2018'd,&amp;#xD;&amp;#xA;'31Mar2019'd,&amp;#xD;&amp;#xA;'30Jun2019'd,&amp;#xD;&amp;#xA;'30Sep2019'd,&amp;#xD;&amp;#xA;'31Dec2019'd,&amp;#xD;&amp;#xA;'31Mar2020'd,&amp;#xD;&amp;#xA;'30Jun2020'd,&amp;#xD;&amp;#xA;'30Sep2020'd&amp;#xD;&amp;#xA;)"" /&gt;_x000D_
  &lt;param n=""MoreSheetsForRows"" v=""True"" /&gt;_x000D_
'"</definedName>
    <definedName name="_AMO_ContentDefinition_891553685.320" hidden="1">"'/RHSItem&amp;amp;gt;&amp;amp;lt;RHSItem&amp;amp;gt;&amp;amp;lt;RHSType&amp;amp;gt;EXPRESSION&amp;amp;lt;/RHSType&amp;amp;gt;&amp;amp;lt;AddQuotes&amp;amp;gt;True&amp;amp;lt;/AddQuotes&amp;amp;gt;&amp;amp;lt;DateFormat&amp;amp;gt;None&amp;amp;lt;/DateFormat&amp;amp;gt;&amp;amp;lt;RightHandSideExpression xml:space=&amp;'"</definedName>
    <definedName name="_AMO_ContentDefinition_891553685.321" hidden="1">"'amp;quot;preserve&amp;amp;quot;&amp;amp;gt;MFPR01006349&amp;amp;lt;/RightHandSideExpression&amp;amp;gt;&amp;amp;lt;IsSubquery&amp;amp;gt;False&amp;amp;lt;/IsSubquery&amp;amp;gt;&amp;amp;lt;SubqueryTemplateName /&amp;amp;gt;&amp;amp;lt;/RHSItem&amp;amp;gt;&amp;amp;lt;RHSItem&amp;amp;gt;&amp;amp;lt;RHSType&amp;amp;g'"</definedName>
    <definedName name="_AMO_ContentDefinition_891553685.322" hidden="1">"'t;EXPRESSION&amp;amp;lt;/RHSType&amp;amp;gt;&amp;amp;lt;AddQuotes&amp;amp;gt;True&amp;amp;lt;/AddQuotes&amp;amp;gt;&amp;amp;lt;DateFormat&amp;amp;gt;None&amp;amp;lt;/DateFormat&amp;amp;gt;&amp;amp;lt;RightHandSideExpression xml:space=&amp;amp;quot;preserve&amp;amp;quot;&amp;amp;gt;MFPR01006350&amp;amp;lt;/Righ'"</definedName>
    <definedName name="_AMO_ContentDefinition_891553685.323" hidden="1">"'tHandSideExpression&amp;amp;gt;&amp;amp;lt;IsSubquery&amp;amp;gt;False&amp;amp;lt;/IsSubquery&amp;amp;gt;&amp;amp;lt;SubqueryTemplateName /&amp;amp;gt;&amp;amp;lt;/RHSItem&amp;amp;gt;&amp;amp;lt;RHSItem&amp;amp;gt;&amp;amp;lt;RHSType&amp;amp;gt;EXPRESSION&amp;amp;lt;/RHSType&amp;amp;gt;&amp;amp;lt;AddQuotes&amp;amp;gt'"</definedName>
    <definedName name="_AMO_ContentDefinition_891553685.324" hidden="1">"';True&amp;amp;lt;/AddQuotes&amp;amp;gt;&amp;amp;lt;DateFormat&amp;amp;gt;None&amp;amp;lt;/DateFormat&amp;amp;gt;&amp;amp;lt;RightHandSideExpression xml:space=&amp;amp;quot;preserve&amp;amp;quot;&amp;amp;gt;MFPR01006351&amp;amp;lt;/RightHandSideExpression&amp;amp;gt;&amp;amp;lt;IsSubquery&amp;amp;gt;False&amp;a'"</definedName>
    <definedName name="_AMO_ContentDefinition_891553685.325" hidden="1">"'mp;lt;/IsSubquery&amp;amp;gt;&amp;amp;lt;SubqueryTemplateName /&amp;amp;gt;&amp;amp;lt;/RHSItem&amp;amp;gt;&amp;amp;lt;RHSItem&amp;amp;gt;&amp;amp;lt;RHSType&amp;amp;gt;EXPRESSION&amp;amp;lt;/RHSType&amp;amp;gt;&amp;amp;lt;AddQuotes&amp;amp;gt;True&amp;amp;lt;/AddQuotes&amp;amp;gt;&amp;amp;lt;DateFormat&amp;amp;gt;Non'"</definedName>
    <definedName name="_AMO_ContentDefinition_891553685.326" hidden="1">"'e&amp;amp;lt;/DateFormat&amp;amp;gt;&amp;amp;lt;RightHandSideExpression xml:space=&amp;amp;quot;preserve&amp;amp;quot;&amp;amp;gt;MFPR01006352&amp;amp;lt;/RightHandSideExpression&amp;amp;gt;&amp;amp;lt;IsSubquery&amp;amp;gt;False&amp;amp;lt;/IsSubquery&amp;amp;gt;&amp;amp;lt;SubqueryTemplateName /&amp;amp;'"</definedName>
    <definedName name="_AMO_ContentDefinition_891553685.327" hidden="1">"'gt;&amp;amp;lt;/RHSItem&amp;amp;gt;&amp;amp;lt;RHSItem&amp;amp;gt;&amp;amp;lt;RHSType&amp;amp;gt;EXPRESSION&amp;amp;lt;/RHSType&amp;amp;gt;&amp;amp;lt;AddQuotes&amp;amp;gt;True&amp;amp;lt;/AddQuotes&amp;amp;gt;&amp;amp;lt;DateFormat&amp;amp;gt;None&amp;amp;lt;/DateFormat&amp;amp;gt;&amp;amp;lt;RightHandSideExpression '"</definedName>
    <definedName name="_AMO_ContentDefinition_891553685.328" hidden="1">"'xml:space=&amp;amp;quot;preserve&amp;amp;quot;&amp;amp;gt;MFPR01006353&amp;amp;lt;/RightHandSideExpression&amp;amp;gt;&amp;amp;lt;IsSubquery&amp;amp;gt;False&amp;amp;lt;/IsSubquery&amp;amp;gt;&amp;amp;lt;SubqueryTemplateName /&amp;amp;gt;&amp;amp;lt;/RHSItem&amp;amp;gt;&amp;amp;lt;RHSItem&amp;amp;gt;&amp;amp;lt;RH'"</definedName>
    <definedName name="_AMO_ContentDefinition_891553685.329" hidden="1">"'SType&amp;amp;gt;EXPRESSION&amp;amp;lt;/RHSType&amp;amp;gt;&amp;amp;lt;AddQuotes&amp;amp;gt;True&amp;amp;lt;/AddQuotes&amp;amp;gt;&amp;amp;lt;DateFormat&amp;amp;gt;None&amp;amp;lt;/DateFormat&amp;amp;gt;&amp;amp;lt;RightHandSideExpression xml:space=&amp;amp;quot;preserve&amp;amp;quot;&amp;amp;gt;MFPR01006354&amp;a'"</definedName>
    <definedName name="_AMO_ContentDefinition_891553685.33" hidden="1">"'  &lt;param n=""PageSize"" v=""500"" /&gt;_x000D_
  &lt;param n=""ShowRowNumbers"" v=""False"" /&gt;_x000D_
  &lt;param n=""ShowInfoInSheet"" v=""False"" /&gt;_x000D_
  &lt;param n=""CredKey"" v=""VALIDATION_METRICS_PRIOR10_VIEW&amp;#x1;SASApp&amp;#x1;Metrics Data"" /&gt;_x000D_
  &lt;param n=""ClassName"" v'"</definedName>
    <definedName name="_AMO_ContentDefinition_891553685.330" hidden="1">"'mp;lt;/RightHandSideExpression&amp;amp;gt;&amp;amp;lt;IsSubquery&amp;amp;gt;False&amp;amp;lt;/IsSubquery&amp;amp;gt;&amp;amp;lt;SubqueryTemplateName /&amp;amp;gt;&amp;amp;lt;/RHSItem&amp;amp;gt;&amp;amp;lt;RHSItem&amp;amp;gt;&amp;amp;lt;RHSType&amp;amp;gt;EXPRESSION&amp;amp;lt;/RHSType&amp;amp;gt;&amp;amp;lt;AddQu'"</definedName>
    <definedName name="_AMO_ContentDefinition_891553685.331" hidden="1">"'otes&amp;amp;gt;True&amp;amp;lt;/AddQuotes&amp;amp;gt;&amp;amp;lt;DateFormat&amp;amp;gt;None&amp;amp;lt;/DateFormat&amp;amp;gt;&amp;amp;lt;RightHandSideExpression xml:space=&amp;amp;quot;preserve&amp;amp;quot;&amp;amp;gt;MFPR01006355&amp;amp;lt;/RightHandSideExpression&amp;amp;gt;&amp;amp;lt;IsSubquery&amp;amp'"</definedName>
    <definedName name="_AMO_ContentDefinition_891553685.332" hidden="1">"';gt;False&amp;amp;lt;/IsSubquery&amp;amp;gt;&amp;amp;lt;SubqueryTemplateName /&amp;amp;gt;&amp;amp;lt;/RHSItem&amp;amp;gt;&amp;amp;lt;RHSItem&amp;amp;gt;&amp;amp;lt;RHSType&amp;amp;gt;EXPRESSION&amp;amp;lt;/RHSType&amp;amp;gt;&amp;amp;lt;AddQuotes&amp;amp;gt;True&amp;amp;lt;/AddQuotes&amp;amp;gt;&amp;amp;lt;DateFormat'"</definedName>
    <definedName name="_AMO_ContentDefinition_891553685.333" hidden="1">"'&amp;amp;gt;None&amp;amp;lt;/DateFormat&amp;amp;gt;&amp;amp;lt;RightHandSideExpression xml:space=&amp;amp;quot;preserve&amp;amp;quot;&amp;amp;gt;MFPR01006356&amp;amp;lt;/RightHandSideExpression&amp;amp;gt;&amp;amp;lt;IsSubquery&amp;amp;gt;False&amp;amp;lt;/IsSubquery&amp;amp;gt;&amp;amp;lt;SubqueryTemplate'"</definedName>
    <definedName name="_AMO_ContentDefinition_891553685.334" hidden="1">"'Name /&amp;amp;gt;&amp;amp;lt;/RHSItem&amp;amp;gt;&amp;amp;lt;RHSItem&amp;amp;gt;&amp;amp;lt;RHSType&amp;amp;gt;EXPRESSION&amp;amp;lt;/RHSType&amp;amp;gt;&amp;amp;lt;AddQuotes&amp;amp;gt;True&amp;amp;lt;/AddQuotes&amp;amp;gt;&amp;amp;lt;DateFormat&amp;amp;gt;None&amp;amp;lt;/DateFormat&amp;amp;gt;&amp;amp;lt;RightHandSide'"</definedName>
    <definedName name="_AMO_ContentDefinition_891553685.335" hidden="1">"'Expression xml:space=&amp;amp;quot;preserve&amp;amp;quot;&amp;amp;gt;MFPR01006357&amp;amp;lt;/RightHandSideExpression&amp;amp;gt;&amp;amp;lt;IsSubquery&amp;amp;gt;False&amp;amp;lt;/IsSubquery&amp;amp;gt;&amp;amp;lt;SubqueryTemplateName /&amp;amp;gt;&amp;amp;lt;/RHSItem&amp;amp;gt;&amp;amp;lt;RHSItem&amp;amp;gt'"</definedName>
    <definedName name="_AMO_ContentDefinition_891553685.336" hidden="1">"';&amp;amp;lt;RHSType&amp;amp;gt;EXPRESSION&amp;amp;lt;/RHSType&amp;amp;gt;&amp;amp;lt;AddQuotes&amp;amp;gt;True&amp;amp;lt;/AddQuotes&amp;amp;gt;&amp;amp;lt;DateFormat&amp;amp;gt;None&amp;amp;lt;/DateFormat&amp;amp;gt;&amp;amp;lt;RightHandSideExpression xml:space=&amp;amp;quot;preserve&amp;amp;quot;&amp;amp;gt;MFP'"</definedName>
    <definedName name="_AMO_ContentDefinition_891553685.337" hidden="1">"'R01000255&amp;amp;lt;/RightHandSideExpression&amp;amp;gt;&amp;amp;lt;IsSubquery&amp;amp;gt;False&amp;amp;lt;/IsSubquery&amp;amp;gt;&amp;amp;lt;SubqueryTemplateName /&amp;amp;gt;&amp;amp;lt;/RHSItem&amp;amp;gt;&amp;amp;lt;RHSItem&amp;amp;gt;&amp;amp;lt;RHSType&amp;amp;gt;EXPRESSION&amp;amp;lt;/RHSType&amp;amp;gt;&amp;a'"</definedName>
    <definedName name="_AMO_ContentDefinition_891553685.338" hidden="1">"'mp;lt;AddQuotes&amp;amp;gt;True&amp;amp;lt;/AddQuotes&amp;amp;gt;&amp;amp;lt;DateFormat&amp;amp;gt;None&amp;amp;lt;/DateFormat&amp;amp;gt;&amp;amp;lt;RightHandSideExpression xml:space=&amp;amp;quot;preserve&amp;amp;quot;&amp;amp;gt;MFPR01006358&amp;amp;lt;/RightHandSideExpression&amp;amp;gt;&amp;amp;lt;IsS'"</definedName>
    <definedName name="_AMO_ContentDefinition_891553685.339" hidden="1">"'ubquery&amp;amp;gt;False&amp;amp;lt;/IsSubquery&amp;amp;gt;&amp;amp;lt;SubqueryTemplateName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891553685.34" hidden="1">"'=""SAS.OfficeAddin.DataViewItem"" /&gt;_x000D_
  &lt;param n=""ServerName"" v=""SASApp"" /&gt;_x000D_
  &lt;param n=""DataSource"" v=""&amp;lt;SasDataSource Version=&amp;quot;4.2&amp;quot; Type=&amp;quot;SAS.Servers.Dataset&amp;quot; Svr=&amp;quot;SASApp&amp;quot; Lib=&amp;quot;METRICS&amp;quot; Libname=&amp;quot;'"</definedName>
    <definedName name="_AMO_ContentDefinition_891553685.340" hidden="1">"';DateFormat&amp;amp;gt;None&amp;amp;lt;/DateFormat&amp;amp;gt;&amp;amp;lt;RightHandSideExpression xml:space=&amp;amp;quot;preserve&amp;amp;quot;&amp;amp;gt;MFPR01000260&amp;amp;lt;/RightHandSideExpression&amp;amp;gt;&amp;amp;lt;IsSubquery&amp;amp;gt;False&amp;amp;lt;/IsSubquery&amp;amp;gt;&amp;amp;lt;Subqu'"</definedName>
    <definedName name="_AMO_ContentDefinition_891553685.341" hidden="1">"'eryTemplateName /&amp;amp;gt;&amp;amp;lt;/RHSItem&amp;amp;gt;&amp;amp;lt;RHSItem&amp;amp;gt;&amp;amp;lt;RHSType&amp;amp;gt;EXPRESSION&amp;amp;lt;/RHSType&amp;amp;gt;&amp;amp;lt;AddQuotes&amp;amp;gt;True&amp;amp;lt;/AddQuotes&amp;amp;gt;&amp;amp;lt;DateFormat&amp;amp;gt;None&amp;amp;lt;/DateFormat&amp;amp;gt;&amp;amp;lt;Ri'"</definedName>
    <definedName name="_AMO_ContentDefinition_891553685.342" hidden="1">"'ghtHandSideExpression xml:space=&amp;amp;quot;preserve&amp;amp;quot;&amp;amp;gt;MFPR01000279&amp;amp;lt;/RightHandSideExpression&amp;amp;gt;&amp;amp;lt;IsSubquery&amp;amp;gt;False&amp;amp;lt;/IsSubquery&amp;amp;gt;&amp;amp;lt;SubqueryTemplateName /&amp;amp;gt;&amp;amp;lt;/RHSItem&amp;amp;gt;&amp;amp;lt;RHS'"</definedName>
    <definedName name="_AMO_ContentDefinition_891553685.343" hidden="1">"'Item&amp;amp;gt;&amp;amp;lt;RHSType&amp;amp;gt;EXPRESSION&amp;amp;lt;/RHSType&amp;amp;gt;&amp;amp;lt;AddQuotes&amp;amp;gt;True&amp;amp;lt;/AddQuotes&amp;amp;gt;&amp;amp;lt;DateFormat&amp;amp;gt;None&amp;amp;lt;/DateFormat&amp;amp;gt;&amp;amp;lt;RightHandSideExpression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891553685.344" hidden="1">"'&amp;amp;gt;MFPR01006359&amp;amp;lt;/RightHandSideExpression&amp;amp;gt;&amp;amp;lt;IsSubquery&amp;amp;gt;False&amp;amp;lt;/IsSubquery&amp;amp;gt;&amp;amp;lt;SubqueryTemplateName /&amp;amp;gt;&amp;amp;lt;/RHSItem&amp;amp;gt;&amp;amp;lt;RHSItem&amp;amp;gt;&amp;amp;lt;RHSType&amp;amp;gt;EXPRESSION&amp;amp;lt;/RHSTyp'"</definedName>
    <definedName name="_AMO_ContentDefinition_891553685.345" hidden="1">"'e&amp;amp;gt;&amp;amp;lt;AddQuotes&amp;amp;gt;True&amp;amp;lt;/AddQuotes&amp;amp;gt;&amp;amp;lt;DateFormat&amp;amp;gt;None&amp;amp;lt;/DateFormat&amp;amp;gt;&amp;amp;lt;RightHandSideExpression xml:space=&amp;amp;quot;preserve&amp;amp;quot;&amp;amp;gt;MFPR01006361&amp;amp;lt;/RightHandSideExpression&amp;amp;gt;'"</definedName>
    <definedName name="_AMO_ContentDefinition_891553685.346" hidden="1">"'&amp;amp;lt;IsSubquery&amp;amp;gt;False&amp;amp;lt;/IsSubquery&amp;amp;gt;&amp;amp;lt;SubqueryTemplateName /&amp;amp;gt;&amp;amp;lt;/RHSItem&amp;amp;gt;&amp;amp;lt;RHSItem&amp;amp;gt;&amp;amp;lt;RHSType&amp;amp;gt;EXPRESSION&amp;amp;lt;/RHSType&amp;amp;gt;&amp;amp;lt;AddQuotes&amp;amp;gt;True&amp;amp;lt;/AddQuotes&amp;amp'"</definedName>
    <definedName name="_AMO_ContentDefinition_891553685.347" hidden="1">"';gt;&amp;amp;lt;DateFormat&amp;amp;gt;None&amp;amp;lt;/DateFormat&amp;amp;gt;&amp;amp;lt;RightHandSideExpression xml:space=&amp;amp;quot;preserve&amp;amp;quot;&amp;amp;gt;MFPR01006362&amp;amp;lt;/RightHandSideExpression&amp;amp;gt;&amp;amp;lt;IsSubquery&amp;amp;gt;False&amp;amp;lt;/IsSubquery&amp;amp;gt;&amp;a'"</definedName>
    <definedName name="_AMO_ContentDefinition_891553685.348" hidden="1">"'mp;lt;SubqueryTemplateName /&amp;amp;gt;&amp;amp;lt;/RHSItem&amp;amp;gt;&amp;amp;lt;RHSItem&amp;amp;gt;&amp;amp;lt;RHSType&amp;amp;gt;EXPRESSION&amp;amp;lt;/RHSType&amp;amp;gt;&amp;amp;lt;AddQuotes&amp;amp;gt;True&amp;amp;lt;/AddQuotes&amp;amp;gt;&amp;amp;lt;DateFormat&amp;amp;gt;None&amp;amp;lt;/DateFormat&amp;amp;gt'"</definedName>
    <definedName name="_AMO_ContentDefinition_891553685.349" hidden="1">"';&amp;amp;lt;RightHandSideExpression xml:space=&amp;amp;quot;preserve&amp;amp;quot;&amp;amp;gt;MFPR01006363&amp;amp;lt;/RightHandSideExpression&amp;amp;gt;&amp;amp;lt;IsSubquery&amp;amp;gt;False&amp;amp;lt;/IsSubquery&amp;amp;gt;&amp;amp;lt;SubqueryTemplateName /&amp;amp;gt;&amp;amp;lt;/RHSItem&amp;amp;gt;'"</definedName>
    <definedName name="_AMO_ContentDefinition_891553685.35" hidden="1">"'Metrics Data&amp;quot; Filter=&amp;quot;frequency_cd IN &amp;amp;#xD;&amp;amp;#xA;(&amp;amp;#xD;&amp;amp;#xA;'Q',&amp;amp;#xD;&amp;amp;#xA;'S',&amp;amp;#xD;&amp;amp;#xA;'N',&amp;amp;#xD;&amp;amp;#xA;'A'&amp;amp;#xD;&amp;amp;#xA;) AND indicator_id IN &amp;amp;#xD;&amp;amp;#xA;(&amp;amp;#xD;&amp;amp;#xA;'MFBS06000679',&amp;amp;'"</definedName>
    <definedName name="_AMO_ContentDefinition_891553685.350" hidden="1">"'&amp;amp;lt;RHSItem&amp;amp;gt;&amp;amp;lt;RHSType&amp;amp;gt;EXPRESSION&amp;amp;lt;/RHSType&amp;amp;gt;&amp;amp;lt;AddQuotes&amp;amp;gt;True&amp;amp;lt;/AddQuotes&amp;amp;gt;&amp;amp;lt;DateFormat&amp;amp;gt;None&amp;amp;lt;/DateFormat&amp;amp;gt;&amp;amp;lt;RightHandSideExpression xml:space=&amp;amp;quot;preserv'"</definedName>
    <definedName name="_AMO_ContentDefinition_891553685.351" hidden="1">"'e&amp;amp;quot;&amp;amp;gt;MFPR01006364&amp;amp;lt;/RightHandSideExpression&amp;amp;gt;&amp;amp;lt;IsSubquery&amp;amp;gt;False&amp;amp;lt;/IsSubquery&amp;amp;gt;&amp;amp;lt;SubqueryTemplateName /&amp;amp;gt;&amp;amp;lt;/RHSItem&amp;amp;gt;&amp;amp;lt;RHSItem&amp;amp;gt;&amp;amp;lt;RHSType&amp;amp;gt;EXPRESSION&amp;amp'"</definedName>
    <definedName name="_AMO_ContentDefinition_891553685.352" hidden="1">"';lt;/RHSType&amp;amp;gt;&amp;amp;lt;AddQuotes&amp;amp;gt;True&amp;amp;lt;/AddQuotes&amp;amp;gt;&amp;amp;lt;DateFormat&amp;amp;gt;None&amp;amp;lt;/DateFormat&amp;amp;gt;&amp;amp;lt;RightHandSideExpression xml:space=&amp;amp;quot;preserve&amp;amp;quot;&amp;amp;gt;MFPR01006365&amp;amp;lt;/RightHandSideExpress'"</definedName>
    <definedName name="_AMO_ContentDefinition_891553685.353" hidden="1">"'ion&amp;amp;gt;&amp;amp;lt;IsSubquery&amp;amp;gt;False&amp;amp;lt;/IsSubquery&amp;amp;gt;&amp;amp;lt;SubqueryTemplateName /&amp;amp;gt;&amp;amp;lt;/RHSItem&amp;amp;gt;&amp;amp;lt;RHSItem&amp;amp;gt;&amp;amp;lt;RHSType&amp;amp;gt;EXPRESSION&amp;amp;lt;/RHSType&amp;amp;gt;&amp;amp;lt;AddQuotes&amp;amp;gt;True&amp;amp;lt;/Ad'"</definedName>
    <definedName name="_AMO_ContentDefinition_891553685.354" hidden="1">"'dQuotes&amp;amp;gt;&amp;amp;lt;DateFormat&amp;amp;gt;None&amp;amp;lt;/DateFormat&amp;amp;gt;&amp;amp;lt;RightHandSideExpression xml:space=&amp;amp;quot;preserve&amp;amp;quot;&amp;amp;gt;MFPR01006366&amp;amp;lt;/RightHandSideExpression&amp;amp;gt;&amp;amp;lt;IsSubquery&amp;amp;gt;False&amp;amp;lt;/IsSubquer'"</definedName>
    <definedName name="_AMO_ContentDefinition_891553685.355" hidden="1">"'y&amp;amp;gt;&amp;amp;lt;SubqueryTemplateName /&amp;amp;gt;&amp;amp;lt;/RHSItem&amp;amp;gt;&amp;amp;lt;RHSItem&amp;amp;gt;&amp;amp;lt;RHSType&amp;amp;gt;EXPRESSION&amp;amp;lt;/RHSType&amp;amp;gt;&amp;amp;lt;AddQuotes&amp;amp;gt;True&amp;amp;lt;/AddQuotes&amp;amp;gt;&amp;amp;lt;DateFormat&amp;amp;gt;None&amp;amp;lt;/DateFo'"</definedName>
    <definedName name="_AMO_ContentDefinition_891553685.356" hidden="1">"'rmat&amp;amp;gt;&amp;amp;lt;RightHandSideExpression xml:space=&amp;amp;quot;preserve&amp;amp;quot;&amp;amp;gt;MFPR01006367&amp;amp;lt;/RightHandSideExpression&amp;amp;gt;&amp;amp;lt;IsSubquery&amp;amp;gt;False&amp;amp;lt;/IsSubquery&amp;amp;gt;&amp;amp;lt;SubqueryTemplateName /&amp;amp;gt;&amp;amp;lt;/RHSI'"</definedName>
    <definedName name="_AMO_ContentDefinition_891553685.357" hidden="1">"'tem&amp;amp;gt;&amp;amp;lt;RHSItem&amp;amp;gt;&amp;amp;lt;RHSType&amp;amp;gt;EXPRESSION&amp;amp;lt;/RHSType&amp;amp;gt;&amp;amp;lt;AddQuotes&amp;amp;gt;True&amp;amp;lt;/AddQuotes&amp;amp;gt;&amp;amp;lt;DateFormat&amp;amp;gt;None&amp;amp;lt;/DateFormat&amp;amp;gt;&amp;amp;lt;RightHandSideExpression xml:space=&amp;amp;q'"</definedName>
    <definedName name="_AMO_ContentDefinition_891553685.358" hidden="1">"'uot;preserve&amp;amp;quot;&amp;amp;gt;MFPR01006368&amp;amp;lt;/RightHandSideExpression&amp;amp;gt;&amp;amp;lt;IsSubquery&amp;amp;gt;False&amp;amp;lt;/IsSubquery&amp;amp;gt;&amp;amp;lt;SubqueryTemplateName /&amp;amp;gt;&amp;amp;lt;/RHSItem&amp;amp;gt;&amp;amp;lt;RHSItem&amp;amp;gt;&amp;amp;lt;RHSType&amp;amp;gt;EXP'"</definedName>
    <definedName name="_AMO_ContentDefinition_891553685.359" hidden="1">"'RESSION&amp;amp;lt;/RHSType&amp;amp;gt;&amp;amp;lt;AddQuotes&amp;amp;gt;True&amp;amp;lt;/AddQuotes&amp;amp;gt;&amp;amp;lt;DateFormat&amp;amp;gt;None&amp;amp;lt;/DateFormat&amp;amp;gt;&amp;amp;lt;RightHandSideExpression xml:space=&amp;amp;quot;preserve&amp;amp;quot;&amp;amp;gt;MFPR01006369&amp;amp;lt;/RightHand'"</definedName>
    <definedName name="_AMO_ContentDefinition_891553685.36" hidden="1">"'#xD;&amp;amp;#xA;'MFBS06000360',&amp;amp;#xD;&amp;amp;#xA;'MFBS06000364',&amp;amp;#xD;&amp;amp;#xA;'MFBS06000680',&amp;amp;#xD;&amp;amp;#xA;'MFBS06000369',&amp;amp;#xD;&amp;amp;#xA;'MFBS06000370',&amp;amp;#xD;&amp;amp;#xA;'MFBS06000371',&amp;amp;#xD;&amp;amp;#xA;'MFBS06000681',&amp;amp;#xD;&amp;amp;#xA;'MFBS06'"</definedName>
    <definedName name="_AMO_ContentDefinition_891553685.360" hidden="1">"'SideExpression&amp;amp;gt;&amp;amp;lt;IsSubquery&amp;amp;gt;False&amp;amp;lt;/IsSubquery&amp;amp;gt;&amp;amp;lt;SubqueryTemplateName /&amp;amp;gt;&amp;amp;lt;/RHSItem&amp;amp;gt;&amp;amp;lt;RHSItem&amp;amp;gt;&amp;amp;lt;RHSType&amp;amp;gt;EXPRESSION&amp;amp;lt;/RHSType&amp;amp;gt;&amp;amp;lt;AddQuotes&amp;amp;gt;True'"</definedName>
    <definedName name="_AMO_ContentDefinition_891553685.361" hidden="1">"'&amp;amp;lt;/AddQuotes&amp;amp;gt;&amp;amp;lt;DateFormat&amp;amp;gt;None&amp;amp;lt;/DateFormat&amp;amp;gt;&amp;amp;lt;RightHandSideExpression xml:space=&amp;amp;quot;preserve&amp;amp;quot;&amp;amp;gt;MFPR01006370&amp;amp;lt;/RightHandSideExpression&amp;amp;gt;&amp;amp;lt;IsSubquery&amp;amp;gt;False&amp;amp;lt'"</definedName>
    <definedName name="_AMO_ContentDefinition_891553685.362" hidden="1">"';/IsSubquery&amp;amp;gt;&amp;amp;lt;SubqueryTemplateName /&amp;amp;gt;&amp;amp;lt;/RHSItem&amp;amp;gt;&amp;amp;lt;RHSItem&amp;amp;gt;&amp;amp;lt;RHSType&amp;amp;gt;EXPRESSION&amp;amp;lt;/RHSType&amp;amp;gt;&amp;amp;lt;AddQuotes&amp;amp;gt;True&amp;amp;lt;/AddQuotes&amp;amp;gt;&amp;amp;lt;DateFormat&amp;amp;gt;None&amp;amp'"</definedName>
    <definedName name="_AMO_ContentDefinition_891553685.363" hidden="1">"';lt;/DateFormat&amp;amp;gt;&amp;amp;lt;RightHandSideExpression xml:space=&amp;amp;quot;preserve&amp;amp;quot;&amp;amp;gt;MFPR01006371&amp;amp;lt;/RightHandSideExpression&amp;amp;gt;&amp;amp;lt;IsSubquery&amp;amp;gt;False&amp;amp;lt;/IsSubquery&amp;amp;gt;&amp;amp;lt;SubqueryTemplateName /&amp;amp;gt;&amp;a'"</definedName>
    <definedName name="_AMO_ContentDefinition_891553685.364" hidden="1">"'mp;lt;/RHSItem&amp;amp;gt;&amp;amp;lt;RHSItem&amp;amp;gt;&amp;amp;lt;RHSType&amp;amp;gt;EXPRESSION&amp;amp;lt;/RHSType&amp;amp;gt;&amp;amp;lt;AddQuotes&amp;amp;gt;True&amp;amp;lt;/AddQuotes&amp;amp;gt;&amp;amp;lt;DateFormat&amp;amp;gt;None&amp;amp;lt;/DateFormat&amp;amp;gt;&amp;amp;lt;RightHandSideExpression xml:s'"</definedName>
    <definedName name="_AMO_ContentDefinition_891553685.365" hidden="1">"'pace=&amp;amp;quot;preserve&amp;amp;quot;&amp;amp;gt;MFPR01000095&amp;amp;lt;/RightHandSideExpression&amp;amp;gt;&amp;amp;lt;IsSubquery&amp;amp;gt;False&amp;amp;lt;/IsSubquery&amp;amp;gt;&amp;amp;lt;SubqueryTemplateName /&amp;amp;gt;&amp;amp;lt;/RHSItem&amp;amp;gt;&amp;amp;lt;RHSItem&amp;amp;gt;&amp;amp;lt;RHSType'"</definedName>
    <definedName name="_AMO_ContentDefinition_891553685.366" hidden="1">"'&amp;amp;gt;EXPRESSION&amp;amp;lt;/RHSType&amp;amp;gt;&amp;amp;lt;AddQuotes&amp;amp;gt;True&amp;amp;lt;/AddQuotes&amp;amp;gt;&amp;amp;lt;DateFormat&amp;amp;gt;None&amp;amp;lt;/DateFormat&amp;amp;gt;&amp;amp;lt;RightHandSideExpression xml:space=&amp;amp;quot;preserve&amp;amp;quot;&amp;amp;gt;MFPR01006372&amp;amp;lt'"</definedName>
    <definedName name="_AMO_ContentDefinition_891553685.367" hidden="1">"';/RightHandSideExpression&amp;amp;gt;&amp;amp;lt;IsSubquery&amp;amp;gt;False&amp;amp;lt;/IsSubquery&amp;amp;gt;&amp;amp;lt;SubqueryTemplateName /&amp;amp;gt;&amp;amp;lt;/RHSItem&amp;amp;gt;&amp;amp;lt;RHSItem&amp;amp;gt;&amp;amp;lt;RHSType&amp;amp;gt;EXPRESSION&amp;amp;lt;/RHSType&amp;amp;gt;&amp;amp;lt;AddQuotes&amp;'"</definedName>
    <definedName name="_AMO_ContentDefinition_891553685.368" hidden="1">"'amp;gt;True&amp;amp;lt;/AddQuotes&amp;amp;gt;&amp;amp;lt;DateFormat&amp;amp;gt;None&amp;amp;lt;/DateFormat&amp;amp;gt;&amp;amp;lt;RightHandSideExpression xml:space=&amp;amp;quot;preserve&amp;amp;quot;&amp;amp;gt;MFPR01006373&amp;amp;lt;/RightHandSideExpression&amp;amp;gt;&amp;amp;lt;IsSubquery&amp;amp;gt;F'"</definedName>
    <definedName name="_AMO_ContentDefinition_891553685.369" hidden="1">"'alse&amp;amp;lt;/IsSubquery&amp;amp;gt;&amp;amp;lt;SubqueryTemplateName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891553685.37" hidden="1">"'000682',&amp;amp;#xD;&amp;amp;#xA;'MFBS06000375',&amp;amp;#xD;&amp;amp;#xA;'MFBS06000683',&amp;amp;#xD;&amp;amp;#xA;'MFBS06000684',&amp;amp;#xD;&amp;amp;#xA;'MFBS06000379',&amp;amp;#xD;&amp;amp;#xA;'MFBS06000381',&amp;amp;#xD;&amp;amp;#xA;'MFBS06000685',&amp;amp;#xD;&amp;amp;#xA;'MFBS06000686',&amp;amp;#xD;&amp;am'"</definedName>
    <definedName name="_AMO_ContentDefinition_891553685.370" hidden="1">"'gt;None&amp;amp;lt;/DateFormat&amp;amp;gt;&amp;amp;lt;RightHandSideExpression xml:space=&amp;amp;quot;preserve&amp;amp;quot;&amp;amp;gt;MFPR01006374&amp;amp;lt;/RightHandSideExpression&amp;amp;gt;&amp;amp;lt;IsSubquery&amp;amp;gt;False&amp;amp;lt;/IsSubquery&amp;amp;gt;&amp;amp;lt;SubqueryTemplateName '"</definedName>
    <definedName name="_AMO_ContentDefinition_891553685.371" hidden="1">"'/&amp;amp;gt;&amp;amp;lt;/RHSItem&amp;amp;gt;&amp;amp;lt;RHSItem&amp;amp;gt;&amp;amp;lt;RHSType&amp;amp;gt;EXPRESSION&amp;amp;lt;/RHSType&amp;amp;gt;&amp;amp;lt;AddQuotes&amp;amp;gt;True&amp;amp;lt;/AddQuotes&amp;amp;gt;&amp;amp;lt;DateFormat&amp;amp;gt;None&amp;amp;lt;/DateFormat&amp;amp;gt;&amp;amp;lt;RightHandSideExpre'"</definedName>
    <definedName name="_AMO_ContentDefinition_891553685.372" hidden="1">"'ssion xml:space=&amp;amp;quot;preserve&amp;amp;quot;&amp;amp;gt;MFPR06008352&amp;amp;lt;/RightHandSideExpression&amp;amp;gt;&amp;amp;lt;IsSubquery&amp;amp;gt;False&amp;amp;lt;/IsSubquery&amp;amp;gt;&amp;amp;lt;SubqueryTemplateName /&amp;amp;gt;&amp;amp;lt;/RHSItem&amp;amp;gt;&amp;amp;lt;RHSItem&amp;amp;gt;&amp;amp'"</definedName>
    <definedName name="_AMO_ContentDefinition_891553685.373" hidden="1">"';lt;RHSType&amp;amp;gt;EXPRESSION&amp;amp;lt;/RHSType&amp;amp;gt;&amp;amp;lt;AddQuotes&amp;amp;gt;True&amp;amp;lt;/AddQuotes&amp;amp;gt;&amp;amp;lt;DateFormat&amp;amp;gt;None&amp;amp;lt;/DateFormat&amp;amp;gt;&amp;amp;lt;RightHandSideExpression xml:space=&amp;amp;quot;preserve&amp;amp;quot;&amp;amp;gt;MFPR0600'"</definedName>
    <definedName name="_AMO_ContentDefinition_891553685.374" hidden="1">"'8367&amp;amp;lt;/RightHandSideExpression&amp;amp;gt;&amp;amp;lt;IsSubquery&amp;amp;gt;False&amp;amp;lt;/IsSubquery&amp;amp;gt;&amp;amp;lt;SubqueryTemplateName /&amp;amp;gt;&amp;amp;lt;/RHSItem&amp;amp;gt;&amp;amp;lt;RHSItem&amp;amp;gt;&amp;amp;lt;RHSType&amp;amp;gt;EXPRESSION&amp;amp;lt;/RHSType&amp;amp;gt;&amp;amp;lt'"</definedName>
    <definedName name="_AMO_ContentDefinition_891553685.375" hidden="1">"';AddQuotes&amp;amp;gt;True&amp;amp;lt;/AddQuotes&amp;amp;gt;&amp;amp;lt;DateFormat&amp;amp;gt;None&amp;amp;lt;/DateFormat&amp;amp;gt;&amp;amp;lt;RightHandSideExpression xml:space=&amp;amp;quot;preserve&amp;amp;quot;&amp;amp;gt;MFPR06008382&amp;amp;lt;/RightHandSideExpression&amp;amp;gt;&amp;amp;lt;IsSubque'"</definedName>
    <definedName name="_AMO_ContentDefinition_891553685.376" hidden="1">"'ry&amp;amp;gt;False&amp;amp;lt;/IsSubquery&amp;amp;gt;&amp;amp;lt;SubqueryTemplateName /&amp;amp;gt;&amp;amp;lt;/RHSItem&amp;amp;gt;&amp;amp;lt;RHSItem&amp;amp;gt;&amp;amp;lt;RHSType&amp;amp;gt;EXPRESSION&amp;amp;lt;/RHSType&amp;amp;gt;&amp;amp;lt;AddQuotes&amp;amp;gt;True&amp;amp;lt;/AddQuotes&amp;amp;gt;&amp;amp;lt;Date'"</definedName>
    <definedName name="_AMO_ContentDefinition_891553685.377" hidden="1">"'Format&amp;amp;gt;None&amp;amp;lt;/DateFormat&amp;amp;gt;&amp;amp;lt;RightHandSideExpression xml:space=&amp;amp;quot;preserve&amp;amp;quot;&amp;amp;gt;MFPR06008385&amp;amp;lt;/RightHandSideExpression&amp;amp;gt;&amp;amp;lt;IsSubquery&amp;amp;gt;False&amp;amp;lt;/IsSubquery&amp;amp;gt;&amp;amp;lt;SubqueryTe'"</definedName>
    <definedName name="_AMO_ContentDefinition_891553685.378" hidden="1">"'mplateName /&amp;amp;gt;&amp;amp;lt;/RHSItem&amp;amp;gt;&amp;amp;lt;RHSItem&amp;amp;gt;&amp;amp;lt;RHSType&amp;amp;gt;EXPRESSION&amp;amp;lt;/RHSType&amp;amp;gt;&amp;amp;lt;AddQuotes&amp;amp;gt;True&amp;amp;lt;/AddQuotes&amp;amp;gt;&amp;amp;lt;DateFormat&amp;amp;gt;None&amp;amp;lt;/DateFormat&amp;amp;gt;&amp;amp;lt;RightHa'"</definedName>
    <definedName name="_AMO_ContentDefinition_891553685.379" hidden="1">"'ndSideExpression xml:space=&amp;amp;quot;preserve&amp;amp;quot;&amp;amp;gt;MFPR06008393&amp;amp;lt;/RightHandSideExpression&amp;amp;gt;&amp;amp;lt;IsSubquery&amp;amp;gt;False&amp;amp;lt;/IsSubquery&amp;amp;gt;&amp;amp;lt;SubqueryTemplateName /&amp;amp;gt;&amp;amp;lt;/RHSItem&amp;amp;gt;&amp;amp;lt;RHSItem&amp;'"</definedName>
    <definedName name="_AMO_ContentDefinition_891553685.38" hidden="1">"'p;#xA;'MFBS01000882',&amp;amp;#xD;&amp;amp;#xA;'MFBS01000114',&amp;amp;#xD;&amp;amp;#xA;'MFBS01000889',&amp;amp;#xD;&amp;amp;#xA;'MFBS01001103',&amp;amp;#xD;&amp;amp;#xA;'MFBS01000890',&amp;amp;#xD;&amp;amp;#xA;'MFBS01000891',&amp;amp;#xD;&amp;amp;#xA;'MFBS01000892',&amp;amp;#xD;&amp;amp;#xA;'MFBS01000893''"</definedName>
    <definedName name="_AMO_ContentDefinition_891553685.380" hidden="1">"'amp;gt;&amp;amp;lt;RHSType&amp;amp;gt;EXPRESSION&amp;amp;lt;/RHSType&amp;amp;gt;&amp;amp;lt;AddQuotes&amp;amp;gt;True&amp;amp;lt;/AddQuotes&amp;amp;gt;&amp;amp;lt;DateFormat&amp;amp;gt;None&amp;amp;lt;/DateFormat&amp;amp;gt;&amp;amp;lt;RightHandSideExpression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891553685.381" hidden="1">"'gt;MFPR06000081&amp;amp;lt;/RightHandSideExpression&amp;amp;gt;&amp;amp;lt;IsSubquery&amp;amp;gt;False&amp;amp;lt;/IsSubquery&amp;amp;gt;&amp;amp;lt;SubqueryTemplateName /&amp;amp;gt;&amp;amp;lt;/RHSItem&amp;amp;gt;&amp;amp;lt;RHSItem&amp;amp;gt;&amp;amp;lt;RHSType&amp;amp;gt;EXPRESSION&amp;amp;lt;/RHSType&amp;amp'"</definedName>
    <definedName name="_AMO_ContentDefinition_891553685.382" hidden="1">"';gt;&amp;amp;lt;AddQuotes&amp;amp;gt;True&amp;amp;lt;/AddQuotes&amp;amp;gt;&amp;amp;lt;DateFormat&amp;amp;gt;None&amp;amp;lt;/DateFormat&amp;amp;gt;&amp;amp;lt;RightHandSideExpression xml:space=&amp;amp;quot;preserve&amp;amp;quot;&amp;amp;gt;MFPR01006375&amp;amp;lt;/RightHandSideExpression&amp;amp;gt;&amp;amp;'"</definedName>
    <definedName name="_AMO_ContentDefinition_891553685.383" hidden="1">"'lt;IsSubquery&amp;amp;gt;False&amp;amp;lt;/IsSubquery&amp;amp;gt;&amp;amp;lt;SubqueryTemplateName /&amp;amp;gt;&amp;amp;lt;/RHSItem&amp;amp;gt;&amp;amp;lt;RHSItem&amp;amp;gt;&amp;amp;lt;RHSType&amp;amp;gt;EXPRESSION&amp;amp;lt;/RHSType&amp;amp;gt;&amp;amp;lt;AddQuotes&amp;amp;gt;True&amp;amp;lt;/AddQuotes&amp;amp;gt;&amp;'"</definedName>
    <definedName name="_AMO_ContentDefinition_891553685.384" hidden="1">"'amp;lt;DateFormat&amp;amp;gt;None&amp;amp;lt;/DateFormat&amp;amp;gt;&amp;amp;lt;RightHandSideExpression xml:space=&amp;amp;quot;preserve&amp;amp;quot;&amp;amp;gt;MFPR01006376&amp;amp;lt;/RightHandSideExpression&amp;amp;gt;&amp;amp;lt;IsSubquery&amp;amp;gt;False&amp;amp;lt;/IsSubquery&amp;amp;gt;&amp;amp;lt'"</definedName>
    <definedName name="_AMO_ContentDefinition_891553685.385" hidden="1">"';SubqueryTemplateName /&amp;amp;gt;&amp;amp;lt;/RHSItem&amp;amp;gt;&amp;amp;lt;RHSItem&amp;amp;gt;&amp;amp;lt;RHSType&amp;amp;gt;EXPRESSION&amp;amp;lt;/RHSType&amp;amp;gt;&amp;amp;lt;AddQuotes&amp;amp;gt;True&amp;amp;lt;/AddQuotes&amp;amp;gt;&amp;amp;lt;DateFormat&amp;amp;gt;None&amp;amp;lt;/DateFormat&amp;amp;gt;&amp;amp'"</definedName>
    <definedName name="_AMO_ContentDefinition_891553685.386" hidden="1">"';lt;RightHandSideExpression xml:space=&amp;amp;quot;preserve&amp;amp;quot;&amp;amp;gt;MFPR01006307&amp;amp;lt;/RightHandSideExpression&amp;amp;gt;&amp;amp;lt;IsSubquery&amp;amp;gt;False&amp;amp;lt;/IsSubquery&amp;amp;gt;&amp;amp;lt;SubqueryTemplateName /&amp;amp;gt;&amp;amp;lt;/RHSItem&amp;amp;gt;&amp;amp;'"</definedName>
    <definedName name="_AMO_ContentDefinition_891553685.387" hidden="1">"'lt;RHSItem&amp;amp;gt;&amp;amp;lt;RHSType&amp;amp;gt;EXPRESSION&amp;amp;lt;/RHSType&amp;amp;gt;&amp;amp;lt;AddQuotes&amp;amp;gt;True&amp;amp;lt;/AddQuotes&amp;amp;gt;&amp;amp;lt;DateFormat&amp;amp;gt;None&amp;amp;lt;/DateFormat&amp;amp;gt;&amp;amp;lt;RightHandSideExpression xml:space=&amp;amp;quot;preserve&amp;amp'"</definedName>
    <definedName name="_AMO_ContentDefinition_891553685.388" hidden="1">"';quot;&amp;amp;gt;MFPR07000317&amp;amp;lt;/RightHandSideExpression&amp;amp;gt;&amp;amp;lt;IsSubquery&amp;amp;gt;False&amp;amp;lt;/IsSubquery&amp;amp;gt;&amp;amp;lt;SubqueryTemplateName /&amp;amp;gt;&amp;amp;lt;/RHSItem&amp;amp;gt;&amp;amp;lt;RHSItem&amp;amp;gt;&amp;amp;lt;RHSType&amp;amp;gt;EXPRESSION&amp;amp;lt;/'"</definedName>
    <definedName name="_AMO_ContentDefinition_891553685.389" hidden="1">"'RHSType&amp;amp;gt;&amp;amp;lt;AddQuotes&amp;amp;gt;True&amp;amp;lt;/AddQuotes&amp;amp;gt;&amp;amp;lt;DateFormat&amp;amp;gt;None&amp;amp;lt;/DateFormat&amp;amp;gt;&amp;amp;lt;RightHandSideExpression xml:space=&amp;amp;quot;preserve&amp;amp;quot;&amp;amp;gt;MFPR02001300&amp;amp;lt;/RightHandSideExpression&amp;a'"</definedName>
    <definedName name="_AMO_ContentDefinition_891553685.39" hidden="1">"',&amp;amp;#xD;&amp;amp;#xA;'MFBS01000894',&amp;amp;#xD;&amp;amp;#xA;'MFBS01000885',&amp;amp;#xD;&amp;amp;#xA;'MFBS01000896',&amp;amp;#xD;&amp;amp;#xA;'MFBS01000897',&amp;amp;#xD;&amp;amp;#xA;'MFBS01000898',&amp;amp;#xD;&amp;amp;#xA;'MFBS01000899',&amp;amp;#xD;&amp;amp;#xA;'MFBS01000900',&amp;amp;#xD;&amp;amp;#xA;''"</definedName>
    <definedName name="_AMO_ContentDefinition_891553685.390" hidden="1">"'mp;gt;&amp;amp;lt;IsSubquery&amp;amp;gt;False&amp;amp;lt;/IsSubquery&amp;amp;gt;&amp;amp;lt;SubqueryTemplateName /&amp;amp;gt;&amp;amp;lt;/RHSItem&amp;amp;gt;&amp;amp;lt;RHSItem&amp;amp;gt;&amp;amp;lt;RHSType&amp;amp;gt;EXPRESSION&amp;amp;lt;/RHSType&amp;amp;gt;&amp;amp;lt;AddQuotes&amp;amp;gt;True&amp;amp;lt;/AddQuot'"</definedName>
    <definedName name="_AMO_ContentDefinition_891553685.391" hidden="1">"'es&amp;amp;gt;&amp;amp;lt;DateFormat&amp;amp;gt;None&amp;amp;lt;/DateFormat&amp;amp;gt;&amp;amp;lt;RightHandSideExpression xml:space=&amp;amp;quot;preserve&amp;amp;quot;&amp;amp;gt;MFPR02001301&amp;amp;lt;/RightHandSideExpression&amp;amp;gt;&amp;amp;lt;IsSubquery&amp;amp;gt;False&amp;amp;lt;/IsSubquery&amp;amp'"</definedName>
    <definedName name="_AMO_ContentDefinition_891553685.392" hidden="1">"';gt;&amp;amp;lt;SubqueryTemplateName /&amp;amp;gt;&amp;amp;lt;/RHSItem&amp;amp;gt;&amp;amp;lt;RHSItem&amp;amp;gt;&amp;amp;lt;RHSType&amp;amp;gt;EXPRESSION&amp;amp;lt;/RHSType&amp;amp;gt;&amp;amp;lt;AddQuotes&amp;amp;gt;True&amp;amp;lt;/AddQuotes&amp;amp;gt;&amp;amp;lt;DateFormat&amp;amp;gt;None&amp;amp;lt;/DateFormat&amp;'"</definedName>
    <definedName name="_AMO_ContentDefinition_891553685.393" hidden="1">"'amp;gt;&amp;amp;lt;RightHandSideExpression xml:space=&amp;amp;quot;preserve&amp;amp;quot;&amp;amp;gt;MFPR01000244&amp;amp;lt;/RightHandSideExpression&amp;amp;gt;&amp;amp;lt;IsSubquery&amp;amp;gt;False&amp;amp;lt;/IsSubquery&amp;amp;gt;&amp;amp;lt;SubqueryTemplateName /&amp;amp;gt;&amp;amp;lt;/RHSItem&amp;a'"</definedName>
    <definedName name="_AMO_ContentDefinition_891553685.394" hidden="1">"'mp;gt;&amp;amp;lt;RHSItem&amp;amp;gt;&amp;amp;lt;RHSType&amp;amp;gt;EXPRESSION&amp;amp;lt;/RHSType&amp;amp;gt;&amp;amp;lt;AddQuotes&amp;amp;gt;True&amp;amp;lt;/AddQuotes&amp;amp;gt;&amp;amp;lt;DateFormat&amp;amp;gt;None&amp;amp;lt;/DateFormat&amp;amp;gt;&amp;amp;lt;RightHandSideExpression xml:space=&amp;amp;quot;p'"</definedName>
    <definedName name="_AMO_ContentDefinition_891553685.395" hidden="1">"'reserve&amp;amp;quot;&amp;amp;gt;MFPR01006378&amp;amp;lt;/RightHandSideExpression&amp;amp;gt;&amp;amp;lt;IsSubquery&amp;amp;gt;False&amp;amp;lt;/IsSubquery&amp;amp;gt;&amp;amp;lt;SubqueryTemplateName /&amp;amp;gt;&amp;amp;lt;/RHSItem&amp;amp;gt;&amp;amp;lt;RHSItem&amp;amp;gt;&amp;amp;lt;RHSType&amp;amp;gt;EXPRESSI'"</definedName>
    <definedName name="_AMO_ContentDefinition_891553685.396" hidden="1">"'ON&amp;amp;lt;/RHSType&amp;amp;gt;&amp;amp;lt;AddQuotes&amp;amp;gt;True&amp;amp;lt;/AddQuotes&amp;amp;gt;&amp;amp;lt;DateFormat&amp;amp;gt;None&amp;amp;lt;/DateFormat&amp;amp;gt;&amp;amp;lt;RightHandSideExpression xml:space=&amp;amp;quot;preserve&amp;amp;quot;&amp;amp;gt;MFPR01006379&amp;amp;lt;/RightHandSideE'"</definedName>
    <definedName name="_AMO_ContentDefinition_891553685.397" hidden="1">"'xpression&amp;amp;gt;&amp;amp;lt;IsSubquery&amp;amp;gt;False&amp;amp;lt;/IsSubquery&amp;amp;gt;&amp;amp;lt;SubqueryTemplateName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891553685.398" hidden="1">"'lt;/AddQuotes&amp;amp;gt;&amp;amp;lt;DateFormat&amp;amp;gt;None&amp;amp;lt;/DateFormat&amp;amp;gt;&amp;amp;lt;RightHandSideExpression xml:space=&amp;amp;quot;preserve&amp;amp;quot;&amp;amp;gt;MFPR01006380&amp;amp;lt;/RightHandSideExpression&amp;amp;gt;&amp;amp;lt;IsSubquery&amp;amp;gt;False&amp;amp;lt;/IsS'"</definedName>
    <definedName name="_AMO_ContentDefinition_891553685.399" hidden="1">"'ubquery&amp;amp;gt;&amp;amp;lt;SubqueryTemplateName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891553685.4" hidden="1">"'AND indicator_id IN &amp;#xD;&amp;#xA;(&amp;#xD;&amp;#xA;'MFBS06000679',&amp;#xD;&amp;#xA;'MFBS06000360',&amp;#xD;&amp;#xA;'MFBS06000364',&amp;#xD;&amp;#xA;'MFBS06000680',&amp;#xD;&amp;#xA;'MFBS06000369',&amp;#xD;&amp;#xA;'MFBS06000370',&amp;#xD;&amp;#xA;'MFBS06000371',&amp;#xD;&amp;#xA;'MFBS06000681',&amp;#xD;&amp;#xA;'MFBS06000'"</definedName>
    <definedName name="_AMO_ContentDefinition_891553685.40" hidden="1">"'MFBS01000102',&amp;amp;#xD;&amp;amp;#xA;'MFBS01000105',&amp;amp;#xD;&amp;amp;#xA;'MFBS01000901',&amp;amp;#xD;&amp;amp;#xA;'MFBS01000886',&amp;amp;#xD;&amp;amp;#xA;'MFBS01000903',&amp;amp;#xD;&amp;amp;#xA;'MFBS01000884',&amp;amp;#xD;&amp;amp;#xA;'MFBS01000905',&amp;amp;#xD;&amp;amp;#xA;'MFBS01000906',&amp;amp;#'"</definedName>
    <definedName name="_AMO_ContentDefinition_891553685.400" hidden="1">"'DateFormat&amp;amp;gt;&amp;amp;lt;RightHandSideExpression xml:space=&amp;amp;quot;preserve&amp;amp;quot;&amp;amp;gt;MFPR01006381&amp;amp;lt;/RightHandSideExpression&amp;amp;gt;&amp;amp;lt;IsSubquery&amp;amp;gt;False&amp;amp;lt;/IsSubquery&amp;amp;gt;&amp;amp;lt;SubqueryTemplateName /&amp;amp;gt;&amp;amp;lt'"</definedName>
    <definedName name="_AMO_ContentDefinition_891553685.401" hidden="1">"';/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891553685.402" hidden="1">"'&amp;amp;quot;preserve&amp;amp;quot;&amp;amp;gt;MFPR01006382&amp;amp;lt;/RightHandSideExpression&amp;amp;gt;&amp;amp;lt;IsSubquery&amp;amp;gt;False&amp;amp;lt;/IsSubquery&amp;amp;gt;&amp;amp;lt;SubqueryTemplateName /&amp;amp;gt;&amp;amp;lt;/RHSItem&amp;amp;gt;&amp;amp;lt;RHSItem&amp;amp;gt;&amp;amp;lt;RHSType&amp;amp;'"</definedName>
    <definedName name="_AMO_ContentDefinition_891553685.403" hidden="1">"'gt;EXPRESSION&amp;amp;lt;/RHSType&amp;amp;gt;&amp;amp;lt;AddQuotes&amp;amp;gt;True&amp;amp;lt;/AddQuotes&amp;amp;gt;&amp;amp;lt;DateFormat&amp;amp;gt;None&amp;amp;lt;/DateFormat&amp;amp;gt;&amp;amp;lt;RightHandSideExpression xml:space=&amp;amp;quot;preserve&amp;amp;quot;&amp;amp;gt;MFPR01006383&amp;amp;lt;/Rig'"</definedName>
    <definedName name="_AMO_ContentDefinition_891553685.404" hidden="1">"'htHandSideExpression&amp;amp;gt;&amp;amp;lt;IsSubquery&amp;amp;gt;False&amp;amp;lt;/IsSubquery&amp;amp;gt;&amp;amp;lt;SubqueryTemplateName /&amp;amp;gt;&amp;amp;lt;/RHSItem&amp;amp;gt;&amp;amp;lt;RHSItem&amp;amp;gt;&amp;amp;lt;RHSType&amp;amp;gt;EXPRESSION&amp;amp;lt;/RHSType&amp;amp;gt;&amp;amp;lt;AddQuotes&amp;amp;g'"</definedName>
    <definedName name="_AMO_ContentDefinition_891553685.405" hidden="1">"'t;True&amp;amp;lt;/AddQuotes&amp;amp;gt;&amp;amp;lt;DateFormat&amp;amp;gt;None&amp;amp;lt;/DateFormat&amp;amp;gt;&amp;amp;lt;RightHandSideExpression xml:space=&amp;amp;quot;preserve&amp;amp;quot;&amp;amp;gt;MFPR01006384&amp;amp;lt;/RightHandSideExpression&amp;amp;gt;&amp;amp;lt;IsSubquery&amp;amp;gt;False&amp;'"</definedName>
    <definedName name="_AMO_ContentDefinition_891553685.406" hidden="1">"'amp;lt;/IsSubquery&amp;amp;gt;&amp;amp;lt;SubqueryTemplateName /&amp;amp;gt;&amp;amp;lt;/RHSItem&amp;amp;gt;&amp;amp;lt;RHSItem&amp;amp;gt;&amp;amp;lt;RHSType&amp;amp;gt;EXPRESSION&amp;amp;lt;/RHSType&amp;amp;gt;&amp;amp;lt;AddQuotes&amp;amp;gt;True&amp;amp;lt;/AddQuotes&amp;amp;gt;&amp;amp;lt;DateFormat&amp;amp;gt;No'"</definedName>
    <definedName name="_AMO_ContentDefinition_891553685.407" hidden="1">"'ne&amp;amp;lt;/DateFormat&amp;amp;gt;&amp;amp;lt;RightHandSideExpression xml:space=&amp;amp;quot;preserve&amp;amp;quot;&amp;amp;gt;MFPR01006385&amp;amp;lt;/RightHandSideExpression&amp;amp;gt;&amp;amp;lt;IsSubquery&amp;amp;gt;False&amp;amp;lt;/IsSubquery&amp;amp;gt;&amp;amp;lt;SubqueryTemplateName /&amp;amp'"</definedName>
    <definedName name="_AMO_ContentDefinition_891553685.408" hidden="1">"';gt;&amp;amp;lt;/RHSItem&amp;amp;gt;&amp;amp;lt;RHSItem&amp;amp;gt;&amp;amp;lt;RHSType&amp;amp;gt;EXPRESSION&amp;amp;lt;/RHSType&amp;amp;gt;&amp;amp;lt;AddQuotes&amp;amp;gt;True&amp;amp;lt;/AddQuotes&amp;amp;gt;&amp;amp;lt;DateFormat&amp;amp;gt;None&amp;amp;lt;/DateFormat&amp;amp;gt;&amp;amp;lt;RightHandSideExpression'"</definedName>
    <definedName name="_AMO_ContentDefinition_891553685.409" hidden="1">"' xml:space=&amp;amp;quot;preserve&amp;amp;quot;&amp;amp;gt;MFPR01006386&amp;amp;lt;/RightHandSideExpression&amp;amp;gt;&amp;amp;lt;IsSubquery&amp;amp;gt;False&amp;amp;lt;/IsSubquery&amp;amp;gt;&amp;amp;lt;SubqueryTemplateName /&amp;amp;gt;&amp;amp;lt;/RHSItem&amp;amp;gt;&amp;amp;lt;RHSItem&amp;amp;gt;&amp;amp;lt;R'"</definedName>
    <definedName name="_AMO_ContentDefinition_891553685.41" hidden="1">"'xD;&amp;amp;#xA;'MFBS01000907',&amp;amp;#xD;&amp;amp;#xA;'MFBS01000908',&amp;amp;#xD;&amp;amp;#xA;'MFBS01000909',&amp;amp;#xD;&amp;amp;#xA;'MFBS01000041',&amp;amp;#xD;&amp;amp;#xA;'MFBS01000910',&amp;amp;#xD;&amp;amp;#xA;'MFBS01000911',&amp;amp;#xD;&amp;amp;#xA;'MFBS01000879',&amp;amp;#xD;&amp;amp;#xA;'MFBS010'"</definedName>
    <definedName name="_AMO_ContentDefinition_891553685.410" hidden="1">"'HSType&amp;amp;gt;EXPRESSION&amp;amp;lt;/RHSType&amp;amp;gt;&amp;amp;lt;AddQuotes&amp;amp;gt;True&amp;amp;lt;/AddQuotes&amp;amp;gt;&amp;amp;lt;DateFormat&amp;amp;gt;None&amp;amp;lt;/DateFormat&amp;amp;gt;&amp;amp;lt;RightHandSideExpression xml:space=&amp;amp;quot;preserve&amp;amp;quot;&amp;amp;gt;MFPR01006387&amp;'"</definedName>
    <definedName name="_AMO_ContentDefinition_891553685.411" hidden="1">"'amp;lt;/RightHandSideExpression&amp;amp;gt;&amp;amp;lt;IsSubquery&amp;amp;gt;False&amp;amp;lt;/IsSubquery&amp;amp;gt;&amp;amp;lt;SubqueryTemplateName /&amp;amp;gt;&amp;amp;lt;/RHSItem&amp;amp;gt;&amp;amp;lt;RHSItem&amp;amp;gt;&amp;amp;lt;RHSType&amp;amp;gt;EXPRESSION&amp;amp;lt;/RHSType&amp;amp;gt;&amp;amp;lt;AddQ'"</definedName>
    <definedName name="_AMO_ContentDefinition_891553685.412" hidden="1">"'uotes&amp;amp;gt;True&amp;amp;lt;/AddQuotes&amp;amp;gt;&amp;amp;lt;DateFormat&amp;amp;gt;None&amp;amp;lt;/DateFormat&amp;amp;gt;&amp;amp;lt;RightHandSideExpression xml:space=&amp;amp;quot;preserve&amp;amp;quot;&amp;amp;gt;MFPR01006388&amp;amp;lt;/RightHandSideExpression&amp;amp;gt;&amp;amp;lt;IsSubquery&amp;am'"</definedName>
    <definedName name="_AMO_ContentDefinition_891553685.413" hidden="1">"'p;gt;False&amp;amp;lt;/IsSubquery&amp;amp;gt;&amp;amp;lt;SubqueryTemplateName /&amp;amp;gt;&amp;amp;lt;/RHSItem&amp;amp;gt;&amp;amp;lt;RHSItem&amp;amp;gt;&amp;amp;lt;RHSType&amp;amp;gt;EXPRESSION&amp;amp;lt;/RHSType&amp;amp;gt;&amp;amp;lt;AddQuotes&amp;amp;gt;True&amp;amp;lt;/AddQuotes&amp;amp;gt;&amp;amp;lt;DateForma'"</definedName>
    <definedName name="_AMO_ContentDefinition_891553685.414" hidden="1">"'t&amp;amp;gt;None&amp;amp;lt;/DateFormat&amp;amp;gt;&amp;amp;lt;RightHandSideExpression xml:space=&amp;amp;quot;preserve&amp;amp;quot;&amp;amp;gt;MFPR01006389&amp;amp;lt;/RightHandSideExpression&amp;amp;gt;&amp;amp;lt;IsSubquery&amp;amp;gt;False&amp;amp;lt;/IsSubquery&amp;amp;gt;&amp;amp;lt;SubqueryTemplat'"</definedName>
    <definedName name="_AMO_ContentDefinition_891553685.415" hidden="1">"'eName /&amp;amp;gt;&amp;amp;lt;/RHSItem&amp;amp;gt;&amp;amp;lt;RHSItem&amp;amp;gt;&amp;amp;lt;RHSType&amp;amp;gt;EXPRESSION&amp;amp;lt;/RHSType&amp;amp;gt;&amp;amp;lt;AddQuotes&amp;amp;gt;True&amp;amp;lt;/AddQuotes&amp;amp;gt;&amp;amp;lt;DateFormat&amp;amp;gt;None&amp;amp;lt;/DateFormat&amp;amp;gt;&amp;amp;lt;RightHandSid'"</definedName>
    <definedName name="_AMO_ContentDefinition_891553685.416" hidden="1">"'eExpression xml:space=&amp;amp;quot;preserve&amp;amp;quot;&amp;amp;gt;MFPR01006390&amp;amp;lt;/RightHandSideExpression&amp;amp;gt;&amp;amp;lt;IsSubquery&amp;amp;gt;False&amp;amp;lt;/IsSubquery&amp;amp;gt;&amp;amp;lt;SubqueryTemplateName /&amp;amp;gt;&amp;amp;lt;/RHSItem&amp;amp;gt;&amp;amp;lt;RHSItem&amp;amp;g'"</definedName>
    <definedName name="_AMO_ContentDefinition_891553685.417" hidden="1">"'t;&amp;amp;lt;RHSType&amp;amp;gt;EXPRESSION&amp;amp;lt;/RHSType&amp;amp;gt;&amp;amp;lt;AddQuotes&amp;amp;gt;True&amp;amp;lt;/AddQuotes&amp;amp;gt;&amp;amp;lt;DateFormat&amp;amp;gt;None&amp;amp;lt;/DateFormat&amp;amp;gt;&amp;amp;lt;RightHandSideExpression xml:space=&amp;amp;quot;preserve&amp;amp;quot;&amp;amp;gt;MF'"</definedName>
    <definedName name="_AMO_ContentDefinition_891553685.418" hidden="1">"'PR01006391&amp;amp;lt;/RightHandSideExpression&amp;amp;gt;&amp;amp;lt;IsSubquery&amp;amp;gt;False&amp;amp;lt;/IsSubquery&amp;amp;gt;&amp;amp;lt;SubqueryTemplateName /&amp;amp;gt;&amp;amp;lt;/RHSItem&amp;amp;gt;&amp;amp;lt;RHSItem&amp;amp;gt;&amp;amp;lt;RHSType&amp;amp;gt;EXPRESSION&amp;amp;lt;/RHSType&amp;amp;gt;&amp;'"</definedName>
    <definedName name="_AMO_ContentDefinition_891553685.419" hidden="1">"'amp;lt;AddQuotes&amp;amp;gt;True&amp;amp;lt;/AddQuotes&amp;amp;gt;&amp;amp;lt;DateFormat&amp;amp;gt;None&amp;amp;lt;/DateFormat&amp;amp;gt;&amp;amp;lt;RightHandSideExpression xml:space=&amp;amp;quot;preserve&amp;amp;quot;&amp;amp;gt;MFPR01006392&amp;amp;lt;/RightHandSideExpression&amp;amp;gt;&amp;amp;lt;Is'"</definedName>
    <definedName name="_AMO_ContentDefinition_891553685.42" hidden="1">"'00912',&amp;amp;#xD;&amp;amp;#xA;'MFBS01000913',&amp;amp;#xD;&amp;amp;#xA;'MFBS06000403',&amp;amp;#xD;&amp;amp;#xA;'MFBS06000687',&amp;amp;#xD;&amp;amp;#xA;'MFBS06000404',&amp;amp;#xD;&amp;amp;#xA;'MFBS06000406',&amp;amp;#xD;&amp;amp;#xA;'MFBS06000678',&amp;amp;#xD;&amp;amp;#xA;'MFBS01000740',&amp;amp;#xD;&amp;amp'"</definedName>
    <definedName name="_AMO_ContentDefinition_891553685.420" hidden="1">"'Subquery&amp;amp;gt;False&amp;amp;lt;/IsSubquery&amp;amp;gt;&amp;amp;lt;SubqueryTemplateName /&amp;amp;gt;&amp;amp;lt;/RHSItem&amp;amp;gt;&amp;amp;lt;RHSItem&amp;amp;gt;&amp;amp;lt;RHSType&amp;amp;gt;EXPRESSION&amp;amp;lt;/RHSType&amp;amp;gt;&amp;amp;lt;AddQuotes&amp;amp;gt;True&amp;amp;lt;/AddQuotes&amp;amp;gt;&amp;amp;l'"</definedName>
    <definedName name="_AMO_ContentDefinition_891553685.421" hidden="1">"'t;DateFormat&amp;amp;gt;None&amp;amp;lt;/DateFormat&amp;amp;gt;&amp;amp;lt;RightHandSideExpression xml:space=&amp;amp;quot;preserve&amp;amp;quot;&amp;amp;gt;MFPR01006393&amp;amp;lt;/RightHandSideExpression&amp;amp;gt;&amp;amp;lt;IsSubquery&amp;amp;gt;False&amp;amp;lt;/IsSubquery&amp;amp;gt;&amp;amp;lt;Subq'"</definedName>
    <definedName name="_AMO_ContentDefinition_891553685.422" hidden="1">"'ueryTemplateName /&amp;amp;gt;&amp;amp;lt;/RHSItem&amp;amp;gt;&amp;amp;lt;RHSItem&amp;amp;gt;&amp;amp;lt;RHSType&amp;amp;gt;EXPRESSION&amp;amp;lt;/RHSType&amp;amp;gt;&amp;amp;lt;AddQuotes&amp;amp;gt;True&amp;amp;lt;/AddQuotes&amp;amp;gt;&amp;amp;lt;DateFormat&amp;amp;gt;None&amp;amp;lt;/DateFormat&amp;amp;gt;&amp;amp;lt;R'"</definedName>
    <definedName name="_AMO_ContentDefinition_891553685.423" hidden="1">"'ightHandSideExpression xml:space=&amp;amp;quot;preserve&amp;amp;quot;&amp;amp;gt;MFPR01006394&amp;amp;lt;/RightHandSideExpression&amp;amp;gt;&amp;amp;lt;IsSubquery&amp;amp;gt;False&amp;amp;lt;/IsSubquery&amp;amp;gt;&amp;amp;lt;SubqueryTemplateName /&amp;amp;gt;&amp;amp;lt;/RHSItem&amp;amp;gt;&amp;amp;lt;RH'"</definedName>
    <definedName name="_AMO_ContentDefinition_891553685.424" hidden="1">"'SItem&amp;amp;gt;&amp;amp;lt;RHSType&amp;amp;gt;EXPRESSION&amp;amp;lt;/RHSType&amp;amp;gt;&amp;amp;lt;AddQuotes&amp;amp;gt;True&amp;amp;lt;/AddQuotes&amp;amp;gt;&amp;amp;lt;DateFormat&amp;amp;gt;None&amp;amp;lt;/DateFormat&amp;amp;gt;&amp;amp;lt;RightHandSideExpression xml:space=&amp;amp;quot;preserve&amp;amp;quot'"</definedName>
    <definedName name="_AMO_ContentDefinition_891553685.425" hidden="1">"';&amp;amp;gt;MFPR01006395&amp;amp;lt;/RightHandSideExpression&amp;amp;gt;&amp;amp;lt;IsSubquery&amp;amp;gt;False&amp;amp;lt;/IsSubquery&amp;amp;gt;&amp;amp;lt;SubqueryTemplateName /&amp;amp;gt;&amp;amp;lt;/RHSItem&amp;amp;gt;&amp;amp;lt;RHSItem&amp;amp;gt;&amp;amp;lt;RHSType&amp;amp;gt;EXPRESSION&amp;amp;lt;/RHSTy'"</definedName>
    <definedName name="_AMO_ContentDefinition_891553685.426" hidden="1">"'pe&amp;amp;gt;&amp;amp;lt;AddQuotes&amp;amp;gt;True&amp;amp;lt;/AddQuotes&amp;amp;gt;&amp;amp;lt;DateFormat&amp;amp;gt;None&amp;amp;lt;/DateFormat&amp;amp;gt;&amp;amp;lt;RightHandSideExpression xml:space=&amp;amp;quot;preserve&amp;amp;quot;&amp;amp;gt;MFPR01006396&amp;amp;lt;/RightHandSideExpression&amp;amp;gt'"</definedName>
    <definedName name="_AMO_ContentDefinition_891553685.427" hidden="1">"';&amp;amp;lt;IsSubquery&amp;amp;gt;False&amp;amp;lt;/IsSubquery&amp;amp;gt;&amp;amp;lt;SubqueryTemplateName /&amp;amp;gt;&amp;amp;lt;/RHSItem&amp;amp;gt;&amp;amp;lt;RHSItem&amp;amp;gt;&amp;amp;lt;RHSType&amp;amp;gt;EXPRESSION&amp;amp;lt;/RHSType&amp;amp;gt;&amp;amp;lt;AddQuotes&amp;amp;gt;True&amp;amp;lt;/AddQuotes&amp;am'"</definedName>
    <definedName name="_AMO_ContentDefinition_891553685.428" hidden="1">"'p;gt;&amp;amp;lt;DateFormat&amp;amp;gt;None&amp;amp;lt;/DateFormat&amp;amp;gt;&amp;amp;lt;RightHandSideExpression xml:space=&amp;amp;quot;preserve&amp;amp;quot;&amp;amp;gt;MFPR01006397&amp;amp;lt;/RightHandSideExpression&amp;amp;gt;&amp;amp;lt;IsSubquery&amp;amp;gt;False&amp;amp;lt;/IsSubquery&amp;amp;gt;&amp;'"</definedName>
    <definedName name="_AMO_ContentDefinition_891553685.429" hidden="1">"'amp;lt;SubqueryTemplateName /&amp;amp;gt;&amp;amp;lt;/RHSItem&amp;amp;gt;&amp;amp;lt;RHSItem&amp;amp;gt;&amp;amp;lt;RHSType&amp;amp;gt;EXPRESSION&amp;amp;lt;/RHSType&amp;amp;gt;&amp;amp;lt;AddQuotes&amp;amp;gt;True&amp;amp;lt;/AddQuotes&amp;amp;gt;&amp;amp;lt;DateFormat&amp;amp;gt;None&amp;amp;lt;/DateFormat&amp;amp;g'"</definedName>
    <definedName name="_AMO_ContentDefinition_891553685.43" hidden="1">"';#xA;'MFBS06000672',&amp;amp;#xD;&amp;amp;#xA;'MFBS06000659',&amp;amp;#xD;&amp;amp;#xA;'MFBS02000030',&amp;amp;#xD;&amp;amp;#xA;'MFBS02000021',&amp;amp;#xD;&amp;amp;#xA;'MFBS01000096',&amp;amp;#xD;&amp;amp;#xA;'MFBS01000757',&amp;amp;#xD;&amp;amp;#xA;'MFBS01000758',&amp;amp;#xD;&amp;amp;#xA;'MFBS01000914','"</definedName>
    <definedName name="_AMO_ContentDefinition_891553685.430" hidden="1">"'t;&amp;amp;lt;RightHandSideExpression xml:space=&amp;amp;quot;preserve&amp;amp;quot;&amp;amp;gt;MFPR01006398&amp;amp;lt;/RightHandSideExpression&amp;amp;gt;&amp;amp;lt;IsSubquery&amp;amp;gt;False&amp;amp;lt;/IsSubquery&amp;amp;gt;&amp;amp;lt;SubqueryTemplateName /&amp;amp;gt;&amp;amp;lt;/RHSItem&amp;amp;gt'"</definedName>
    <definedName name="_AMO_ContentDefinition_891553685.431" hidden="1">"';&amp;amp;lt;RHSItem&amp;amp;gt;&amp;amp;lt;RHSType&amp;amp;gt;EXPRESSION&amp;amp;lt;/RHSType&amp;amp;gt;&amp;amp;lt;AddQuotes&amp;amp;gt;True&amp;amp;lt;/AddQuotes&amp;amp;gt;&amp;amp;lt;DateFormat&amp;amp;gt;None&amp;amp;lt;/DateFormat&amp;amp;gt;&amp;amp;lt;RightHandSideExpression xml:space=&amp;amp;quot;preser'"</definedName>
    <definedName name="_AMO_ContentDefinition_891553685.432" hidden="1">"'ve&amp;amp;quot;&amp;amp;gt;MFPR01006399&amp;amp;lt;/RightHandSideExpression&amp;amp;gt;&amp;amp;lt;IsSubquery&amp;amp;gt;False&amp;amp;lt;/IsSubquery&amp;amp;gt;&amp;amp;lt;SubqueryTemplateName /&amp;amp;gt;&amp;amp;lt;/RHSItem&amp;amp;gt;&amp;amp;lt;RHSItem&amp;amp;gt;&amp;amp;lt;RHSType&amp;amp;gt;EXPRESSION&amp;am'"</definedName>
    <definedName name="_AMO_ContentDefinition_891553685.433" hidden="1">"'p;lt;/RHSType&amp;amp;gt;&amp;amp;lt;AddQuotes&amp;amp;gt;True&amp;amp;lt;/AddQuotes&amp;amp;gt;&amp;amp;lt;DateFormat&amp;amp;gt;None&amp;amp;lt;/DateFormat&amp;amp;gt;&amp;amp;lt;RightHandSideExpression xml:space=&amp;amp;quot;preserve&amp;amp;quot;&amp;amp;gt;MFBS06000731&amp;amp;lt;/RightHandSideExpres'"</definedName>
    <definedName name="_AMO_ContentDefinition_891553685.434" hidden="1">"'sion&amp;amp;gt;&amp;amp;lt;IsSubquery&amp;amp;gt;False&amp;amp;lt;/IsSubquery&amp;amp;gt;&amp;amp;lt;SubqueryTemplateName /&amp;amp;gt;&amp;amp;lt;/RHSItem&amp;amp;gt;&amp;amp;lt;RHSItem&amp;amp;gt;&amp;amp;lt;RHSType&amp;amp;gt;EXPRESSION&amp;amp;lt;/RHSType&amp;amp;gt;&amp;amp;lt;AddQuotes&amp;amp;gt;True&amp;amp;lt;/A'"</definedName>
    <definedName name="_AMO_ContentDefinition_891553685.435" hidden="1">"'ddQuotes&amp;amp;gt;&amp;amp;lt;DateFormat&amp;amp;gt;None&amp;amp;lt;/DateFormat&amp;amp;gt;&amp;amp;lt;RightHandSideExpression xml:space=&amp;amp;quot;preserve&amp;amp;quot;&amp;amp;gt;MFBS06000734&amp;amp;lt;/RightHandSideExpression&amp;amp;gt;&amp;amp;lt;IsSubquery&amp;amp;gt;False&amp;amp;lt;/IsSubque'"</definedName>
    <definedName name="_AMO_ContentDefinition_891553685.436" hidden="1">"'ry&amp;amp;gt;&amp;amp;lt;SubqueryTemplateName /&amp;amp;gt;&amp;amp;lt;/RHSItem&amp;amp;gt;&amp;amp;lt;RHSItem&amp;amp;gt;&amp;amp;lt;RHSType&amp;amp;gt;EXPRESSION&amp;amp;lt;/RHSType&amp;amp;gt;&amp;amp;lt;AddQuotes&amp;amp;gt;True&amp;amp;lt;/AddQuotes&amp;amp;gt;&amp;amp;lt;DateFormat&amp;amp;gt;None&amp;amp;lt;/DateF'"</definedName>
    <definedName name="_AMO_ContentDefinition_891553685.437" hidden="1">"'ormat&amp;amp;gt;&amp;amp;lt;RightHandSideExpression xml:space=&amp;amp;quot;preserve&amp;amp;quot;&amp;amp;gt;MFFSIR000915&amp;amp;lt;/RightHandSideExpression&amp;amp;gt;&amp;amp;lt;IsSubquery&amp;amp;gt;False&amp;amp;lt;/IsSubquery&amp;amp;gt;&amp;amp;lt;SubqueryTemplateName /&amp;amp;gt;&amp;amp;lt;/RHS'"</definedName>
    <definedName name="_AMO_ContentDefinition_891553685.438" hidden="1">"'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891553685.439" hidden="1">"'quot;preserve&amp;amp;quot;&amp;amp;gt;MFDRVD000145&amp;amp;lt;/RightHandSideExpression&amp;amp;gt;&amp;amp;lt;IsSubquery&amp;amp;gt;False&amp;amp;lt;/IsSubquery&amp;amp;gt;&amp;amp;lt;SubqueryTemplateName /&amp;amp;gt;&amp;amp;lt;/RHSItem&amp;amp;gt;&amp;amp;lt;RHSItem&amp;amp;gt;&amp;amp;lt;RHSType&amp;amp;gt;EX'"</definedName>
    <definedName name="_AMO_ContentDefinition_891553685.44" hidden="1">"'&amp;amp;#xD;&amp;amp;#xA;'MFBS01000915',&amp;amp;#xD;&amp;amp;#xA;'MFBS01000916',&amp;amp;#xD;&amp;amp;#xA;'MFBS01000917',&amp;amp;#xD;&amp;amp;#xA;'MFBS01000918',&amp;amp;#xD;&amp;amp;#xA;'MFBS01000919',&amp;amp;#xD;&amp;amp;#xA;'MFBS01000920',&amp;amp;#xD;&amp;amp;#xA;'MFBS01001119',&amp;amp;#xD;&amp;amp;#xA;'M'"</definedName>
    <definedName name="_AMO_ContentDefinition_891553685.440" hidden="1">"'PRESSION&amp;amp;lt;/RHSType&amp;amp;gt;&amp;amp;lt;AddQuotes&amp;amp;gt;True&amp;amp;lt;/AddQuotes&amp;amp;gt;&amp;amp;lt;DateFormat&amp;amp;gt;None&amp;amp;lt;/DateFormat&amp;amp;gt;&amp;amp;lt;RightHandSideExpression xml:space=&amp;amp;quot;preserve&amp;amp;quot;&amp;amp;gt;MFFSIR000916&amp;amp;lt;/RightHan'"</definedName>
    <definedName name="_AMO_ContentDefinition_891553685.441" hidden="1">"'dSideExpression&amp;amp;gt;&amp;amp;lt;IsSubquery&amp;amp;gt;False&amp;amp;lt;/IsSubquery&amp;amp;gt;&amp;amp;lt;SubqueryTemplateName /&amp;amp;gt;&amp;amp;lt;/RHSItem&amp;amp;gt;&amp;amp;lt;RHSItem&amp;amp;gt;&amp;amp;lt;RHSType&amp;amp;gt;EXPRESSION&amp;amp;lt;/RHSType&amp;amp;gt;&amp;amp;lt;AddQuotes&amp;amp;gt;Tru'"</definedName>
    <definedName name="_AMO_ContentDefinition_891553685.442" hidden="1">"'e&amp;amp;lt;/AddQuotes&amp;amp;gt;&amp;amp;lt;DateFormat&amp;amp;gt;None&amp;amp;lt;/DateFormat&amp;amp;gt;&amp;amp;lt;RightHandSideExpression xml:space=&amp;amp;quot;preserve&amp;amp;quot;&amp;amp;gt;MFBS01001009&amp;amp;lt;/RightHandSideExpression&amp;amp;gt;&amp;amp;lt;IsSubquery&amp;amp;gt;False&amp;amp;l'"</definedName>
    <definedName name="_AMO_ContentDefinition_891553685.443" hidden="1">"'t;/IsSubquery&amp;amp;gt;&amp;amp;lt;SubqueryTemplateName /&amp;amp;gt;&amp;amp;lt;/RHSItem&amp;amp;gt;&amp;amp;lt;RHSItem&amp;amp;gt;&amp;amp;lt;RHSType&amp;amp;gt;EXPRESSION&amp;amp;lt;/RHSType&amp;amp;gt;&amp;amp;lt;AddQuotes&amp;amp;gt;True&amp;amp;lt;/AddQuotes&amp;amp;gt;&amp;amp;lt;DateFormat&amp;amp;gt;None&amp;am'"</definedName>
    <definedName name="_AMO_ContentDefinition_891553685.444" hidden="1">"'p;lt;/DateFormat&amp;amp;gt;&amp;amp;lt;RightHandSideExpression xml:space=&amp;amp;quot;preserve&amp;amp;quot;&amp;amp;gt;MFBS01000880&amp;amp;lt;/RightHandSideExpression&amp;amp;gt;&amp;amp;lt;IsSubquery&amp;amp;gt;False&amp;amp;lt;/IsSubquery&amp;amp;gt;&amp;amp;lt;SubqueryTemplateName /&amp;amp;gt;&amp;'"</definedName>
    <definedName name="_AMO_ContentDefinition_891553685.445" hidden="1">"'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891553685.446" hidden="1">"'space=&amp;amp;quot;preserve&amp;amp;quot;&amp;amp;gt;MFBS01001010&amp;amp;lt;/RightHandSideExpression&amp;amp;gt;&amp;amp;lt;IsSubquery&amp;amp;gt;False&amp;amp;lt;/IsSubquery&amp;amp;gt;&amp;amp;lt;SubqueryTemplateName /&amp;amp;gt;&amp;amp;lt;/RHSItem&amp;amp;gt;&amp;amp;lt;RHSItem&amp;amp;gt;&amp;amp;lt;RHSTyp'"</definedName>
    <definedName name="_AMO_ContentDefinition_891553685.447" hidden="1">"'e&amp;amp;gt;EXPRESSION&amp;amp;lt;/RHSType&amp;amp;gt;&amp;amp;lt;AddQuotes&amp;amp;gt;True&amp;amp;lt;/AddQuotes&amp;amp;gt;&amp;amp;lt;DateFormat&amp;amp;gt;None&amp;amp;lt;/DateFormat&amp;amp;gt;&amp;amp;lt;RightHandSideExpression xml:space=&amp;amp;quot;preserve&amp;amp;quot;&amp;amp;gt;MFBS01001011&amp;amp;l'"</definedName>
    <definedName name="_AMO_ContentDefinition_891553685.448" hidden="1">"'t;/RightHandSideExpression&amp;amp;gt;&amp;amp;lt;IsSubquery&amp;amp;gt;False&amp;amp;lt;/IsSubquery&amp;amp;gt;&amp;amp;lt;SubqueryTemplateName /&amp;amp;gt;&amp;amp;lt;/RHSItem&amp;amp;gt;&amp;amp;lt;RHSItem&amp;amp;gt;&amp;amp;lt;RHSType&amp;amp;gt;EXPRESSION&amp;amp;lt;/RHSType&amp;amp;gt;&amp;amp;lt;AddQuotes'"</definedName>
    <definedName name="_AMO_ContentDefinition_891553685.449" hidden="1">"'&amp;amp;gt;True&amp;amp;lt;/AddQuotes&amp;amp;gt;&amp;amp;lt;DateFormat&amp;amp;gt;None&amp;amp;lt;/DateFormat&amp;amp;gt;&amp;amp;lt;RightHandSideExpression xml:space=&amp;amp;quot;preserve&amp;amp;quot;&amp;amp;gt;MFBS01001012&amp;amp;lt;/RightHandSideExpression&amp;amp;gt;&amp;amp;lt;IsSubquery&amp;amp;gt;'"</definedName>
    <definedName name="_AMO_ContentDefinition_891553685.45" hidden="1">"'FBS01000921',&amp;amp;#xD;&amp;amp;#xA;'MFBS01000922',&amp;amp;#xD;&amp;amp;#xA;'MFBS01000923',&amp;amp;#xD;&amp;amp;#xA;'MFBS01000924',&amp;amp;#xD;&amp;amp;#xA;'MFBS01000925',&amp;amp;#xD;&amp;amp;#xA;'MFBS01000928',&amp;amp;#xD;&amp;amp;#xA;'MFBS01001070',&amp;amp;#xD;&amp;amp;#xA;'MFBS01001141',&amp;amp;#x'"</definedName>
    <definedName name="_AMO_ContentDefinition_891553685.450" hidden="1">"'False&amp;amp;lt;/IsSubquery&amp;amp;gt;&amp;amp;lt;SubqueryTemplateName /&amp;amp;gt;&amp;amp;lt;/RHSItem&amp;amp;gt;&amp;amp;lt;RHSItem&amp;amp;gt;&amp;amp;lt;RHSType&amp;amp;gt;EXPRESSION&amp;amp;lt;/RHSType&amp;amp;gt;&amp;amp;lt;AddQuotes&amp;amp;gt;True&amp;amp;lt;/AddQuotes&amp;amp;gt;&amp;amp;lt;DateFormat&amp;amp'"</definedName>
    <definedName name="_AMO_ContentDefinition_891553685.451" hidden="1">"';gt;None&amp;amp;lt;/DateFormat&amp;amp;gt;&amp;amp;lt;RightHandSideExpression xml:space=&amp;amp;quot;preserve&amp;amp;quot;&amp;amp;gt;MFBS01001013&amp;amp;lt;/RightHandSideExpression&amp;amp;gt;&amp;amp;lt;IsSubquery&amp;amp;gt;False&amp;amp;lt;/IsSubquery&amp;amp;gt;&amp;amp;lt;SubqueryTemplateName'"</definedName>
    <definedName name="_AMO_ContentDefinition_891553685.452" hidden="1">"' /&amp;amp;gt;&amp;amp;lt;/RHSItem&amp;amp;gt;&amp;amp;lt;RHSItem&amp;amp;gt;&amp;amp;lt;RHSType&amp;amp;gt;EXPRESSION&amp;amp;lt;/RHSType&amp;amp;gt;&amp;amp;lt;AddQuotes&amp;amp;gt;True&amp;amp;lt;/AddQuotes&amp;amp;gt;&amp;amp;lt;DateFormat&amp;amp;gt;None&amp;amp;lt;/DateFormat&amp;amp;gt;&amp;amp;lt;RightHandSideExpr'"</definedName>
    <definedName name="_AMO_ContentDefinition_891553685.453" hidden="1">"'ession xml:space=&amp;amp;quot;preserve&amp;amp;quot;&amp;amp;gt;MFBS01001014&amp;amp;lt;/RightHandSideExpression&amp;amp;gt;&amp;amp;lt;IsSubquery&amp;amp;gt;False&amp;amp;lt;/IsSubquery&amp;amp;gt;&amp;amp;lt;SubqueryTemplateName /&amp;amp;gt;&amp;amp;lt;/RHSItem&amp;amp;gt;&amp;amp;lt;RHSItem&amp;amp;gt;&amp;am'"</definedName>
    <definedName name="_AMO_ContentDefinition_891553685.454" hidden="1">"'p;lt;RHSType&amp;amp;gt;EXPRESSION&amp;amp;lt;/RHSType&amp;amp;gt;&amp;amp;lt;AddQuotes&amp;amp;gt;True&amp;amp;lt;/AddQuotes&amp;amp;gt;&amp;amp;lt;DateFormat&amp;amp;gt;None&amp;amp;lt;/DateFormat&amp;amp;gt;&amp;amp;lt;RightHandSideExpression xml:space=&amp;amp;quot;preserve&amp;amp;quot;&amp;amp;gt;MFBS010'"</definedName>
    <definedName name="_AMO_ContentDefinition_891553685.455" hidden="1">"'01015&amp;amp;lt;/RightHandSideExpression&amp;amp;gt;&amp;amp;lt;IsSubquery&amp;amp;gt;False&amp;amp;lt;/IsSubquery&amp;amp;gt;&amp;amp;lt;SubqueryTemplateName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891553685.456" hidden="1">"'t;AddQuotes&amp;amp;gt;True&amp;amp;lt;/AddQuotes&amp;amp;gt;&amp;amp;lt;DateFormat&amp;amp;gt;None&amp;amp;lt;/DateFormat&amp;amp;gt;&amp;amp;lt;RightHandSideExpression xml:space=&amp;amp;quot;preserve&amp;amp;quot;&amp;amp;gt;MFBS01000881&amp;amp;lt;/RightHandSideExpression&amp;amp;gt;&amp;amp;lt;IsSubqu'"</definedName>
    <definedName name="_AMO_ContentDefinition_891553685.457" hidden="1">"'ery&amp;amp;gt;False&amp;amp;lt;/IsSubquery&amp;amp;gt;&amp;amp;lt;SubqueryTemplateName /&amp;amp;gt;&amp;amp;lt;/RHSItem&amp;amp;gt;&amp;amp;lt;RHSItem&amp;amp;gt;&amp;amp;lt;RHSType&amp;amp;gt;EXPRESSION&amp;amp;lt;/RHSType&amp;amp;gt;&amp;amp;lt;AddQuotes&amp;amp;gt;True&amp;amp;lt;/AddQuotes&amp;amp;gt;&amp;amp;lt;Dat'"</definedName>
    <definedName name="_AMO_ContentDefinition_891553685.458" hidden="1">"'eFormat&amp;amp;gt;None&amp;amp;lt;/DateFormat&amp;amp;gt;&amp;amp;lt;RightHandSideExpression xml:space=&amp;amp;quot;preserve&amp;amp;quot;&amp;amp;gt;MFFSIR000924&amp;amp;lt;/RightHandSideExpression&amp;amp;gt;&amp;amp;lt;IsSubquery&amp;amp;gt;False&amp;amp;lt;/IsSubquery&amp;amp;gt;&amp;amp;lt;SubqueryT'"</definedName>
    <definedName name="_AMO_ContentDefinition_891553685.459" hidden="1">"'emplateName /&amp;amp;gt;&amp;amp;lt;/RHSItem&amp;amp;gt;&amp;amp;lt;RHSItem&amp;amp;gt;&amp;amp;lt;RHSType&amp;amp;gt;EXPRESSION&amp;amp;lt;/RHSType&amp;amp;gt;&amp;amp;lt;AddQuotes&amp;amp;gt;True&amp;amp;lt;/AddQuotes&amp;amp;gt;&amp;amp;lt;DateFormat&amp;amp;gt;None&amp;amp;lt;/DateFormat&amp;amp;gt;&amp;amp;lt;RightH'"</definedName>
    <definedName name="_AMO_ContentDefinition_891553685.46" hidden="1">"'D;&amp;amp;#xA;'MFBS01000926',&amp;amp;#xD;&amp;amp;#xA;'MFPR06008082',&amp;amp;#xD;&amp;amp;#xA;'MFPR06008573',&amp;amp;#xD;&amp;amp;#xA;'MFPR06008091',&amp;amp;#xD;&amp;amp;#xA;'MFPR06008096',&amp;amp;#xD;&amp;amp;#xA;'MFPR06008097',&amp;amp;#xD;&amp;amp;#xA;'MFPR06008099',&amp;amp;#xD;&amp;amp;#xA;'MFPR0600'"</definedName>
    <definedName name="_AMO_ContentDefinition_891553685.460" hidden="1">"'andSideExpression xml:space=&amp;amp;quot;preserve&amp;amp;quot;&amp;amp;gt;MFBS01000883&amp;amp;lt;/RightHandSideExpression&amp;amp;gt;&amp;amp;lt;IsSubquery&amp;amp;gt;False&amp;amp;lt;/IsSubquery&amp;amp;gt;&amp;amp;lt;SubqueryTemplateName /&amp;amp;gt;&amp;amp;lt;/RHSItem&amp;amp;gt;&amp;amp;lt;RHSItem'"</definedName>
    <definedName name="_AMO_ContentDefinition_891553685.461" hidden="1">"'&amp;amp;gt;&amp;amp;lt;RHSType&amp;amp;gt;EXPRESSION&amp;amp;lt;/RHSType&amp;amp;gt;&amp;amp;lt;AddQuotes&amp;amp;gt;True&amp;amp;lt;/AddQuotes&amp;amp;gt;&amp;amp;lt;DateFormat&amp;amp;gt;None&amp;amp;lt;/DateFormat&amp;amp;gt;&amp;amp;lt;RightHandSideExpression xml:space=&amp;amp;quot;preserve&amp;amp;quot;&amp;amp'"</definedName>
    <definedName name="_AMO_ContentDefinition_891553685.462" hidden="1">"';gt;MFFSIR000925&amp;amp;lt;/RightHandSideExpression&amp;amp;gt;&amp;amp;lt;IsSubquery&amp;amp;gt;False&amp;amp;lt;/IsSubquery&amp;amp;gt;&amp;amp;lt;SubqueryTemplateName /&amp;amp;gt;&amp;amp;lt;/RHSItem&amp;amp;gt;&amp;amp;lt;RHSItem&amp;amp;gt;&amp;amp;lt;RHSType&amp;amp;gt;EXPRESSION&amp;amp;lt;/RHSType&amp;am'"</definedName>
    <definedName name="_AMO_ContentDefinition_891553685.463" hidden="1">"'p;gt;&amp;amp;lt;AddQuotes&amp;amp;gt;True&amp;amp;lt;/AddQuotes&amp;amp;gt;&amp;amp;lt;DateFormat&amp;amp;gt;None&amp;amp;lt;/DateFormat&amp;amp;gt;&amp;amp;lt;RightHandSideExpression xml:space=&amp;amp;quot;preserve&amp;amp;quot;&amp;amp;gt;MFBS01000887&amp;amp;lt;/RightHandSideExpression&amp;amp;gt;&amp;amp'"</definedName>
    <definedName name="_AMO_ContentDefinition_891553685.464" hidden="1">"';lt;IsSubquery&amp;amp;gt;False&amp;amp;lt;/IsSubquery&amp;amp;gt;&amp;amp;lt;SubqueryTemplateName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891553685.465" hidden="1">"'&amp;amp;lt;DateFormat&amp;amp;gt;None&amp;amp;lt;/DateFormat&amp;amp;gt;&amp;amp;lt;RightHandSideExpression xml:space=&amp;amp;quot;preserve&amp;amp;quot;&amp;amp;gt;MFBS06000744&amp;amp;lt;/RightHandSideExpression&amp;amp;gt;&amp;amp;lt;IsSubquery&amp;amp;gt;False&amp;amp;lt;/IsSubquery&amp;amp;gt;&amp;amp;l'"</definedName>
    <definedName name="_AMO_ContentDefinition_891553685.466" hidden="1">"'t;SubqueryTemplateName /&amp;amp;gt;&amp;amp;lt;/RHSItem&amp;amp;gt;&amp;amp;lt;RHSItem&amp;amp;gt;&amp;amp;lt;RHSType&amp;amp;gt;EXPRESSION&amp;amp;lt;/RHSType&amp;amp;gt;&amp;amp;lt;AddQuotes&amp;amp;gt;True&amp;amp;lt;/AddQuotes&amp;amp;gt;&amp;amp;lt;DateFormat&amp;amp;gt;None&amp;amp;lt;/DateFormat&amp;amp;gt;&amp;am'"</definedName>
    <definedName name="_AMO_ContentDefinition_891553685.467" hidden="1">"'p;lt;RightHandSideExpression xml:space=&amp;amp;quot;preserve&amp;amp;quot;&amp;amp;gt;MFBS06000745&amp;amp;lt;/RightHandSideExpression&amp;amp;gt;&amp;amp;lt;IsSubquery&amp;amp;gt;False&amp;amp;lt;/IsSubquery&amp;amp;gt;&amp;amp;lt;SubqueryTemplateName /&amp;amp;gt;&amp;amp;lt;/RHSItem&amp;amp;gt;&amp;amp'"</definedName>
    <definedName name="_AMO_ContentDefinition_891553685.468" hidden="1">"';lt;RHSItem&amp;amp;gt;&amp;amp;lt;RHSType&amp;amp;gt;EXPRESSION&amp;amp;lt;/RHSType&amp;amp;gt;&amp;amp;lt;AddQuotes&amp;amp;gt;True&amp;amp;lt;/AddQuotes&amp;amp;gt;&amp;amp;lt;DateFormat&amp;amp;gt;None&amp;amp;lt;/DateFormat&amp;amp;gt;&amp;amp;lt;RightHandSideExpression xml:space=&amp;amp;quot;preserve&amp;am'"</definedName>
    <definedName name="_AMO_ContentDefinition_891553685.469" hidden="1">"'p;quot;&amp;amp;gt;MFBS01001016&amp;amp;lt;/RightHandSideExpression&amp;amp;gt;&amp;amp;lt;IsSubquery&amp;amp;gt;False&amp;amp;lt;/IsSubquery&amp;amp;gt;&amp;amp;lt;SubqueryTemplateName /&amp;amp;gt;&amp;amp;lt;/RHSItem&amp;amp;gt;&amp;amp;lt;RHSItem&amp;amp;gt;&amp;amp;lt;RHSType&amp;amp;gt;EXPRESSION&amp;amp;lt;'"</definedName>
    <definedName name="_AMO_ContentDefinition_891553685.47" hidden="1">"'8098',&amp;amp;#xD;&amp;amp;#xA;'MFPR06008574',&amp;amp;#xD;&amp;amp;#xA;'MFPR06008575',&amp;amp;#xD;&amp;amp;#xA;'MFPR06008110',&amp;amp;#xD;&amp;amp;#xA;'MFPR06008111',&amp;amp;#xD;&amp;amp;#xA;'MFPR06008576',&amp;amp;#xD;&amp;amp;#xA;'MFPR06008113',&amp;amp;#xD;&amp;amp;#xA;'MFPR06008114',&amp;amp;#xD;&amp;amp;'"</definedName>
    <definedName name="_AMO_ContentDefinition_891553685.470" hidden="1">"'/RHSType&amp;amp;gt;&amp;amp;lt;AddQuotes&amp;amp;gt;True&amp;amp;lt;/AddQuotes&amp;amp;gt;&amp;amp;lt;DateFormat&amp;amp;gt;None&amp;amp;lt;/DateFormat&amp;amp;gt;&amp;amp;lt;RightHandSideExpression xml:space=&amp;amp;quot;preserve&amp;amp;quot;&amp;amp;gt;MFBS01000888&amp;amp;lt;/RightHandSideExpression&amp;'"</definedName>
    <definedName name="_AMO_ContentDefinition_891553685.471" hidden="1">"'amp;gt;&amp;amp;lt;IsSubquery&amp;amp;gt;False&amp;amp;lt;/IsSubquery&amp;amp;gt;&amp;amp;lt;SubqueryTemplateName /&amp;amp;gt;&amp;amp;lt;/RHSItem&amp;amp;gt;&amp;amp;lt;RHSItem&amp;amp;gt;&amp;amp;lt;RHSType&amp;amp;gt;EXPRESSION&amp;amp;lt;/RHSType&amp;amp;gt;&amp;amp;lt;AddQuotes&amp;amp;gt;True&amp;amp;lt;/AddQuo'"</definedName>
    <definedName name="_AMO_ContentDefinition_891553685.472" hidden="1">"'tes&amp;amp;gt;&amp;amp;lt;DateFormat&amp;amp;gt;None&amp;amp;lt;/DateFormat&amp;amp;gt;&amp;amp;lt;RightHandSideExpression xml:space=&amp;amp;quot;preserve&amp;amp;quot;&amp;amp;gt;MFFSIR000209&amp;amp;lt;/RightHandSideExpression&amp;amp;gt;&amp;amp;lt;IsSubquery&amp;amp;gt;False&amp;amp;lt;/IsSubquery&amp;am'"</definedName>
    <definedName name="_AMO_ContentDefinition_891553685.473" hidden="1">"'p;gt;&amp;amp;lt;SubqueryTemplateName /&amp;amp;gt;&amp;amp;lt;/RHSItem&amp;amp;gt;&amp;amp;lt;RHSItem&amp;amp;gt;&amp;amp;lt;RHSType&amp;amp;gt;EXPRESSION&amp;amp;lt;/RHSType&amp;amp;gt;&amp;amp;lt;AddQuotes&amp;amp;gt;True&amp;amp;lt;/AddQuotes&amp;amp;gt;&amp;amp;lt;DateFormat&amp;amp;gt;None&amp;amp;lt;/DateFormat'"</definedName>
    <definedName name="_AMO_ContentDefinition_891553685.474" hidden="1">"'&amp;amp;gt;&amp;amp;lt;RightHandSideExpression xml:space=&amp;amp;quot;preserve&amp;amp;quot;&amp;amp;gt;MFBS01001017&amp;amp;lt;/RightHandSideExpression&amp;amp;gt;&amp;amp;lt;IsSubquery&amp;amp;gt;False&amp;amp;lt;/IsSubquery&amp;amp;gt;&amp;amp;lt;SubqueryTemplateName /&amp;amp;gt;&amp;amp;lt;/RHSItem&amp;'"</definedName>
    <definedName name="_AMO_ContentDefinition_891553685.475" hidden="1">"'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891553685.476" hidden="1">"'preserve&amp;amp;quot;&amp;amp;gt;MFBS01001018&amp;amp;lt;/RightHandSideExpression&amp;amp;gt;&amp;amp;lt;IsSubquery&amp;amp;gt;False&amp;amp;lt;/IsSubquery&amp;amp;gt;&amp;amp;lt;SubqueryTemplateName /&amp;amp;gt;&amp;amp;lt;/RHSItem&amp;amp;gt;&amp;amp;lt;RHSItem&amp;amp;gt;&amp;amp;lt;RHSType&amp;amp;gt;EXPRESS'"</definedName>
    <definedName name="_AMO_ContentDefinition_891553685.477" hidden="1">"'ION&amp;amp;lt;/RHSType&amp;amp;gt;&amp;amp;lt;AddQuotes&amp;amp;gt;True&amp;amp;lt;/AddQuotes&amp;amp;gt;&amp;amp;lt;DateFormat&amp;amp;gt;None&amp;amp;lt;/DateFormat&amp;amp;gt;&amp;amp;lt;RightHandSideExpression xml:space=&amp;amp;quot;preserve&amp;amp;quot;&amp;amp;gt;MFBS06000737&amp;amp;lt;/RightHandSide'"</definedName>
    <definedName name="_AMO_ContentDefinition_891553685.478" hidden="1">"'Expression&amp;amp;gt;&amp;amp;lt;IsSubquery&amp;amp;gt;False&amp;amp;lt;/IsSubquery&amp;amp;gt;&amp;amp;lt;SubqueryTemplateName /&amp;amp;gt;&amp;amp;lt;/RHSItem&amp;amp;gt;&amp;amp;lt;RHSItem&amp;amp;gt;&amp;amp;lt;RHSType&amp;amp;gt;EXPRESSION&amp;amp;lt;/RHSType&amp;amp;gt;&amp;amp;lt;AddQuotes&amp;amp;gt;True&amp;amp'"</definedName>
    <definedName name="_AMO_ContentDefinition_891553685.479" hidden="1">"';lt;/AddQuotes&amp;amp;gt;&amp;amp;lt;DateFormat&amp;amp;gt;None&amp;amp;lt;/DateFormat&amp;amp;gt;&amp;amp;lt;RightHandSideExpression xml:space=&amp;amp;quot;preserve&amp;amp;quot;&amp;amp;gt;MFBS06000746&amp;amp;lt;/RightHandSideExpression&amp;amp;gt;&amp;amp;lt;IsSubquery&amp;amp;gt;False&amp;amp;lt;/Is'"</definedName>
    <definedName name="_AMO_ContentDefinition_891553685.48" hidden="1">"'#xA;'MFPR06008562',&amp;amp;#xD;&amp;amp;#xA;'MFPR06008119',&amp;amp;#xD;&amp;amp;#xA;'MFPR06008577',&amp;amp;#xD;&amp;amp;#xA;'MFPR01006343',&amp;amp;#xD;&amp;amp;#xA;'MFPR01000285',&amp;amp;#xD;&amp;amp;#xA;'MFPR01006344',&amp;amp;#xD;&amp;amp;#xA;'MFPR01006345',&amp;amp;#xD;&amp;amp;#xA;'MFPR01006346',&amp;'"</definedName>
    <definedName name="_AMO_ContentDefinition_891553685.480" hidden="1">"'Subquery&amp;amp;gt;&amp;amp;lt;SubqueryTemplateName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891553685.481" hidden="1">"'/DateFormat&amp;amp;gt;&amp;amp;lt;RightHandSideExpression xml:space=&amp;amp;quot;preserve&amp;amp;quot;&amp;amp;gt;MFFSIR000190&amp;amp;lt;/RightHandSideExpression&amp;amp;gt;&amp;amp;lt;IsSubquery&amp;amp;gt;False&amp;amp;lt;/IsSubquery&amp;amp;gt;&amp;amp;lt;SubqueryTemplateName /&amp;amp;gt;&amp;amp;l'"</definedName>
    <definedName name="_AMO_ContentDefinition_891553685.482" hidden="1">"'t;/RHSItem&amp;amp;gt;&amp;amp;lt;RHSItem&amp;amp;gt;&amp;amp;lt;RHSType&amp;amp;gt;EXPRESSION&amp;amp;lt;/RHSType&amp;amp;gt;&amp;amp;lt;AddQuotes&amp;amp;gt;True&amp;amp;lt;/AddQuotes&amp;amp;gt;&amp;amp;lt;DateFormat&amp;amp;gt;None&amp;amp;lt;/DateFormat&amp;amp;gt;&amp;amp;lt;RightHandSideExpression xml:space'"</definedName>
    <definedName name="_AMO_ContentDefinition_891553685.483" hidden="1">"'=&amp;amp;quot;preserve&amp;amp;quot;&amp;amp;gt;MFBS01001019&amp;amp;lt;/RightHandSideExpression&amp;amp;gt;&amp;amp;lt;IsSubquery&amp;amp;gt;False&amp;amp;lt;/IsSubquery&amp;amp;gt;&amp;amp;lt;SubqueryTemplateName /&amp;amp;gt;&amp;amp;lt;/RHSItem&amp;amp;gt;&amp;amp;lt;RHSItem&amp;amp;gt;&amp;amp;lt;RHSType&amp;amp'"</definedName>
    <definedName name="_AMO_ContentDefinition_891553685.484" hidden="1">"';gt;EXPRESSION&amp;amp;lt;/RHSType&amp;amp;gt;&amp;amp;lt;AddQuotes&amp;amp;gt;True&amp;amp;lt;/AddQuotes&amp;amp;gt;&amp;amp;lt;DateFormat&amp;amp;gt;None&amp;amp;lt;/DateFormat&amp;amp;gt;&amp;amp;lt;RightHandSideExpression xml:space=&amp;amp;quot;preserve&amp;amp;quot;&amp;amp;gt;MFBS01000895&amp;amp;lt;/Ri'"</definedName>
    <definedName name="_AMO_ContentDefinition_891553685.485" hidden="1">"'ghtHandSideExpression&amp;amp;gt;&amp;amp;lt;IsSubquery&amp;amp;gt;False&amp;amp;lt;/IsSubquery&amp;amp;gt;&amp;amp;lt;SubqueryTemplateName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891553685.486" hidden="1">"'gt;True&amp;amp;lt;/AddQuotes&amp;amp;gt;&amp;amp;lt;DateFormat&amp;amp;gt;None&amp;amp;lt;/DateFormat&amp;amp;gt;&amp;amp;lt;RightHandSideExpression xml:space=&amp;amp;quot;preserve&amp;amp;quot;&amp;amp;gt;MFBS01001020&amp;amp;lt;/RightHandSideExpression&amp;amp;gt;&amp;amp;lt;IsSubquery&amp;amp;gt;False'"</definedName>
    <definedName name="_AMO_ContentDefinition_891553685.487" hidden="1">"'&amp;amp;lt;/IsSubquery&amp;amp;gt;&amp;amp;lt;SubqueryTemplateName /&amp;amp;gt;&amp;amp;lt;/RHSItem&amp;amp;gt;&amp;amp;lt;RHSItem&amp;amp;gt;&amp;amp;lt;RHSType&amp;amp;gt;EXPRESSION&amp;amp;lt;/RHSType&amp;amp;gt;&amp;amp;lt;AddQuotes&amp;amp;gt;True&amp;amp;lt;/AddQuotes&amp;amp;gt;&amp;amp;lt;DateFormat&amp;amp;gt;N'"</definedName>
    <definedName name="_AMO_ContentDefinition_891553685.488" hidden="1">"'one&amp;amp;lt;/DateFormat&amp;amp;gt;&amp;amp;lt;RightHandSideExpression xml:space=&amp;amp;quot;preserve&amp;amp;quot;&amp;amp;gt;MFBS01001021&amp;amp;lt;/RightHandSideExpression&amp;amp;gt;&amp;amp;lt;IsSubquery&amp;amp;gt;False&amp;amp;lt;/IsSubquery&amp;amp;gt;&amp;amp;lt;SubqueryTemplateName /&amp;am'"</definedName>
    <definedName name="_AMO_ContentDefinition_891553685.489" hidden="1">"'p;gt;&amp;amp;lt;/RHSItem&amp;amp;gt;&amp;amp;lt;RHSItem&amp;amp;gt;&amp;amp;lt;RHSType&amp;amp;gt;EXPRESSION&amp;amp;lt;/RHSType&amp;amp;gt;&amp;amp;lt;AddQuotes&amp;amp;gt;True&amp;amp;lt;/AddQuotes&amp;amp;gt;&amp;amp;lt;DateFormat&amp;amp;gt;None&amp;amp;lt;/DateFormat&amp;amp;gt;&amp;amp;lt;RightHandSideExpressio'"</definedName>
    <definedName name="_AMO_ContentDefinition_891553685.49" hidden="1">"'amp;#xD;&amp;amp;#xA;'MFPR01006296',&amp;amp;#xD;&amp;amp;#xA;'MFPR01006348',&amp;amp;#xD;&amp;amp;#xA;'MFPR01006349',&amp;amp;#xD;&amp;amp;#xA;'MFPR01006350',&amp;amp;#xD;&amp;amp;#xA;'MFPR01006351',&amp;amp;#xD;&amp;amp;#xA;'MFPR01006352',&amp;amp;#xD;&amp;amp;#xA;'MFPR01006353',&amp;amp;#xD;&amp;amp;#xA;'MF'"</definedName>
    <definedName name="_AMO_ContentDefinition_891553685.490" hidden="1">"'n xml:space=&amp;amp;quot;preserve&amp;amp;quot;&amp;amp;gt;MFBS01000902&amp;amp;lt;/RightHandSideExpression&amp;amp;gt;&amp;amp;lt;IsSubquery&amp;amp;gt;False&amp;amp;lt;/IsSubquery&amp;amp;gt;&amp;amp;lt;SubqueryTemplateName /&amp;amp;gt;&amp;amp;lt;/RHSItem&amp;amp;gt;&amp;amp;lt;RHSItem&amp;amp;gt;&amp;amp;lt;'"</definedName>
    <definedName name="_AMO_ContentDefinition_891553685.491" hidden="1">"'RHSType&amp;amp;gt;EXPRESSION&amp;amp;lt;/RHSType&amp;amp;gt;&amp;amp;lt;AddQuotes&amp;amp;gt;True&amp;amp;lt;/AddQuotes&amp;amp;gt;&amp;amp;lt;DateFormat&amp;amp;gt;None&amp;amp;lt;/DateFormat&amp;amp;gt;&amp;amp;lt;RightHandSideExpression xml:space=&amp;amp;quot;preserve&amp;amp;quot;&amp;amp;gt;MFBS01001022'"</definedName>
    <definedName name="_AMO_ContentDefinition_891553685.492" hidden="1">"'&amp;amp;lt;/RightHandSideExpression&amp;amp;gt;&amp;amp;lt;IsSubquery&amp;amp;gt;False&amp;amp;lt;/IsSubquery&amp;amp;gt;&amp;amp;lt;SubqueryTemplateName /&amp;amp;gt;&amp;amp;lt;/RHSItem&amp;amp;gt;&amp;amp;lt;RHSItem&amp;amp;gt;&amp;amp;lt;RHSType&amp;amp;gt;EXPRESSION&amp;amp;lt;/RHSType&amp;amp;gt;&amp;amp;lt;Add'"</definedName>
    <definedName name="_AMO_ContentDefinition_891553685.493" hidden="1">"'Quotes&amp;amp;gt;True&amp;amp;lt;/AddQuotes&amp;amp;gt;&amp;amp;lt;DateFormat&amp;amp;gt;None&amp;amp;lt;/DateFormat&amp;amp;gt;&amp;amp;lt;RightHandSideExpression xml:space=&amp;amp;quot;preserve&amp;amp;quot;&amp;amp;gt;MFBS01001023&amp;amp;lt;/RightHandSideExpression&amp;amp;gt;&amp;amp;lt;IsSubquery&amp;a'"</definedName>
    <definedName name="_AMO_ContentDefinition_891553685.494" hidden="1">"'mp;gt;False&amp;amp;lt;/IsSubquery&amp;amp;gt;&amp;amp;lt;SubqueryTemplateName /&amp;amp;gt;&amp;amp;lt;/RHSItem&amp;amp;gt;&amp;amp;lt;RHSItem&amp;amp;gt;&amp;amp;lt;RHSType&amp;amp;gt;EXPRESSION&amp;amp;lt;/RHSType&amp;amp;gt;&amp;amp;lt;AddQuotes&amp;amp;gt;True&amp;amp;lt;/AddQuotes&amp;amp;gt;&amp;amp;lt;DateForm'"</definedName>
    <definedName name="_AMO_ContentDefinition_891553685.495" hidden="1">"'at&amp;amp;gt;None&amp;amp;lt;/DateFormat&amp;amp;gt;&amp;amp;lt;RightHandSideExpression xml:space=&amp;amp;quot;preserve&amp;amp;quot;&amp;amp;gt;MFPR06008550&amp;amp;lt;/RightHandSideExpression&amp;amp;gt;&amp;amp;lt;IsSubquery&amp;amp;gt;False&amp;amp;lt;/IsSubquery&amp;amp;gt;&amp;amp;lt;SubqueryTempla'"</definedName>
    <definedName name="_AMO_ContentDefinition_891553685.496" hidden="1">"'teName /&amp;amp;gt;&amp;amp;lt;/RHSItem&amp;amp;gt;&amp;amp;lt;RHSItem&amp;amp;gt;&amp;amp;lt;RHSType&amp;amp;gt;EXPRESSION&amp;amp;lt;/RHSType&amp;amp;gt;&amp;amp;lt;AddQuotes&amp;amp;gt;True&amp;amp;lt;/AddQuotes&amp;amp;gt;&amp;amp;lt;DateFormat&amp;amp;gt;None&amp;amp;lt;/DateFormat&amp;amp;gt;&amp;amp;lt;RightHandSi'"</definedName>
    <definedName name="_AMO_ContentDefinition_891553685.497" hidden="1">"'deExpression xml:space=&amp;amp;quot;preserve&amp;amp;quot;&amp;amp;gt;MFPR06008571&amp;amp;lt;/RightHandSideExpression&amp;amp;gt;&amp;amp;lt;IsSubquery&amp;amp;gt;False&amp;amp;lt;/IsSubquery&amp;amp;gt;&amp;amp;lt;SubqueryTemplateName /&amp;amp;gt;&amp;amp;lt;/RHSItem&amp;amp;gt;&amp;amp;lt;RHSItem&amp;amp;'"</definedName>
    <definedName name="_AMO_ContentDefinition_891553685.498" hidden="1">"'gt;&amp;amp;lt;RHSType&amp;amp;gt;EXPRESSION&amp;amp;lt;/RHSType&amp;amp;gt;&amp;amp;lt;AddQuotes&amp;amp;gt;True&amp;amp;lt;/AddQuotes&amp;amp;gt;&amp;amp;lt;DateFormat&amp;amp;gt;None&amp;amp;lt;/DateFormat&amp;amp;gt;&amp;amp;lt;RightHandSideExpression xml:space=&amp;amp;quot;preserve&amp;amp;quot;&amp;amp;gt;M'"</definedName>
    <definedName name="_AMO_ContentDefinition_891553685.499" hidden="1">"'FFSIR001021&amp;amp;lt;/RightHandSideExpression&amp;amp;gt;&amp;amp;lt;IsSubquery&amp;amp;gt;False&amp;amp;lt;/IsSubquery&amp;amp;gt;&amp;amp;lt;SubqueryTemplateName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891553685.5" hidden="1">"'682',&amp;#xD;&amp;#xA;'MFBS06000375',&amp;#xD;&amp;#xA;'MFBS06000683',&amp;#xD;&amp;#xA;'MFBS06000684',&amp;#xD;&amp;#xA;'MFBS06000379',&amp;#xD;&amp;#xA;'MFBS06000381',&amp;#xD;&amp;#xA;'MFBS06000685',&amp;#xD;&amp;#xA;'MFBS06000686',&amp;#xD;&amp;#xA;'MFBS01000882',&amp;#xD;&amp;#xA;'MFBS01000114',&amp;#xD;&amp;#xA;'MFBS010008'"</definedName>
    <definedName name="_AMO_ContentDefinition_891553685.50" hidden="1">"'PR01006354',&amp;amp;#xD;&amp;amp;#xA;'MFPR01006355',&amp;amp;#xD;&amp;amp;#xA;'MFPR01006356',&amp;amp;#xD;&amp;amp;#xA;'MFPR01006357',&amp;amp;#xD;&amp;amp;#xA;'MFPR01000255',&amp;amp;#xD;&amp;amp;#xA;'MFPR01006358',&amp;amp;#xD;&amp;amp;#xA;'MFPR01000260',&amp;amp;#xD;&amp;amp;#xA;'MFPR01000279',&amp;amp;#xD'"</definedName>
    <definedName name="_AMO_ContentDefinition_891553685.500" hidden="1">"'&amp;amp;lt;AddQuotes&amp;amp;gt;True&amp;amp;lt;/AddQuotes&amp;amp;gt;&amp;amp;lt;DateFormat&amp;amp;gt;None&amp;amp;lt;/DateFormat&amp;amp;gt;&amp;amp;lt;RightHandSideExpression xml:space=&amp;amp;quot;preserve&amp;amp;quot;&amp;amp;gt;MFDRVD000167&amp;amp;lt;/RightHandSideExpression&amp;amp;gt;&amp;amp;lt;I'"</definedName>
    <definedName name="_AMO_ContentDefinition_891553685.501" hidden="1">"'sSubquery&amp;amp;gt;False&amp;amp;lt;/IsSubquery&amp;amp;gt;&amp;amp;lt;SubqueryTemplateName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891553685.502" hidden="1">"'lt;DateFormat&amp;amp;gt;None&amp;amp;lt;/DateFormat&amp;amp;gt;&amp;amp;lt;RightHandSideExpression xml:space=&amp;amp;quot;preserve&amp;amp;quot;&amp;amp;gt;MFFSIR001028&amp;amp;lt;/RightHandSideExpression&amp;amp;gt;&amp;amp;lt;IsSubquery&amp;amp;gt;False&amp;amp;lt;/IsSubquery&amp;amp;gt;&amp;amp;lt;Sub'"</definedName>
    <definedName name="_AMO_ContentDefinition_891553685.503" hidden="1">"'queryTemplateName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891553685.504" hidden="1">"'RightHandSideExpression xml:space=&amp;amp;quot;preserve&amp;amp;quot;&amp;amp;gt;MFPR01006405&amp;amp;lt;/RightHandSideExpression&amp;amp;gt;&amp;amp;lt;IsSubquery&amp;amp;gt;False&amp;amp;lt;/IsSubquery&amp;amp;gt;&amp;amp;lt;SubqueryTemplateName /&amp;amp;gt;&amp;amp;lt;/RHSItem&amp;amp;gt;&amp;amp;lt;R'"</definedName>
    <definedName name="_AMO_ContentDefinition_891553685.505" hidden="1">"'HSItem&amp;amp;gt;&amp;amp;lt;RHSType&amp;amp;gt;EXPRESSION&amp;amp;lt;/RHSType&amp;amp;gt;&amp;amp;lt;AddQuotes&amp;amp;gt;True&amp;amp;lt;/AddQuotes&amp;amp;gt;&amp;amp;lt;DateFormat&amp;amp;gt;None&amp;amp;lt;/DateFormat&amp;amp;gt;&amp;amp;lt;RightHandSideExpression xml:space=&amp;amp;quot;preserve&amp;amp;quo'"</definedName>
    <definedName name="_AMO_ContentDefinition_891553685.506" hidden="1">"'t;&amp;amp;gt;MFPR01006406&amp;amp;lt;/RightHandSideExpression&amp;amp;gt;&amp;amp;lt;IsSubquery&amp;amp;gt;False&amp;amp;lt;/IsSubquery&amp;amp;gt;&amp;amp;lt;SubqueryTemplateName /&amp;amp;gt;&amp;amp;lt;/RHSItem&amp;amp;gt;&amp;amp;lt;RHSItem&amp;amp;gt;&amp;amp;lt;RHSType&amp;amp;gt;EXPRESSION&amp;amp;lt;/RHST'"</definedName>
    <definedName name="_AMO_ContentDefinition_891553685.507" hidden="1">"'ype&amp;amp;gt;&amp;amp;lt;AddQuotes&amp;amp;gt;True&amp;amp;lt;/AddQuotes&amp;amp;gt;&amp;amp;lt;DateFormat&amp;amp;gt;None&amp;amp;lt;/DateFormat&amp;amp;gt;&amp;amp;lt;RightHandSideExpression xml:space=&amp;amp;quot;preserve&amp;amp;quot;&amp;amp;gt;MFPR01006407&amp;amp;lt;/RightHandSideExpression&amp;amp;g'"</definedName>
    <definedName name="_AMO_ContentDefinition_891553685.508" hidden="1">"'t;&amp;amp;lt;IsSubquery&amp;amp;gt;False&amp;amp;lt;/IsSubquery&amp;amp;gt;&amp;amp;lt;SubqueryTemplateName /&amp;amp;gt;&amp;amp;lt;/RHSItem&amp;amp;gt;&amp;amp;lt;RHSItem&amp;amp;gt;&amp;amp;lt;RHSType&amp;amp;gt;EXPRESSION&amp;amp;lt;/RHSType&amp;amp;gt;&amp;amp;lt;AddQuotes&amp;amp;gt;True&amp;amp;lt;/AddQuotes&amp;a'"</definedName>
    <definedName name="_AMO_ContentDefinition_891553685.509" hidden="1">"'mp;gt;&amp;amp;lt;DateFormat&amp;amp;gt;None&amp;amp;lt;/DateFormat&amp;amp;gt;&amp;amp;lt;RightHandSideExpression xml:space=&amp;amp;quot;preserve&amp;amp;quot;&amp;amp;gt;MFPR01006408&amp;amp;lt;/RightHandSideExpression&amp;amp;gt;&amp;amp;lt;IsSubquery&amp;amp;gt;False&amp;amp;lt;/IsSubquery&amp;amp;gt;'"</definedName>
    <definedName name="_AMO_ContentDefinition_891553685.51" hidden="1">"';&amp;amp;#xA;'MFPR01006359',&amp;amp;#xD;&amp;amp;#xA;'MFPR01006361',&amp;amp;#xD;&amp;amp;#xA;'MFPR01006362',&amp;amp;#xD;&amp;amp;#xA;'MFPR01006363',&amp;amp;#xD;&amp;amp;#xA;'MFPR01006364',&amp;amp;#xD;&amp;amp;#xA;'MFPR01006365',&amp;amp;#xD;&amp;amp;#xA;'MFPR01006366',&amp;amp;#xD;&amp;amp;#xA;'MFPR01006'"</definedName>
    <definedName name="_AMO_ContentDefinition_891553685.510" hidden="1">"'&amp;amp;lt;SubqueryTemplateName /&amp;amp;gt;&amp;amp;lt;/RHSItem&amp;amp;gt;&amp;amp;lt;RHSItem&amp;amp;gt;&amp;amp;lt;RHSType&amp;amp;gt;EXPRESSION&amp;amp;lt;/RHSType&amp;amp;gt;&amp;amp;lt;AddQuotes&amp;amp;gt;True&amp;amp;lt;/AddQuotes&amp;amp;gt;&amp;amp;lt;DateFormat&amp;amp;gt;None&amp;amp;lt;/DateFormat&amp;amp;'"</definedName>
    <definedName name="_AMO_ContentDefinition_891553685.511" hidden="1">"'gt;&amp;amp;lt;RightHandSideExpression xml:space=&amp;amp;quot;preserve&amp;amp;quot;&amp;amp;gt;MFPR01006409&amp;amp;lt;/RightHandSideExpression&amp;amp;gt;&amp;amp;lt;IsSubquery&amp;amp;gt;False&amp;amp;lt;/IsSubquery&amp;amp;gt;&amp;amp;lt;SubqueryTemplateName /&amp;amp;gt;&amp;amp;lt;/RHSItem&amp;amp;g'"</definedName>
    <definedName name="_AMO_ContentDefinition_891553685.512" hidden="1">"'t;&amp;amp;lt;RHSItem&amp;amp;gt;&amp;amp;lt;RHSType&amp;amp;gt;EXPRESSION&amp;amp;lt;/RHSType&amp;amp;gt;&amp;amp;lt;AddQuotes&amp;amp;gt;True&amp;amp;lt;/AddQuotes&amp;amp;gt;&amp;amp;lt;DateFormat&amp;amp;gt;None&amp;amp;lt;/DateFormat&amp;amp;gt;&amp;amp;lt;RightHandSideExpression xml:space=&amp;amp;quot;prese'"</definedName>
    <definedName name="_AMO_ContentDefinition_891553685.513" hidden="1">"'rve&amp;amp;quot;&amp;amp;gt;MFPR01006410&amp;amp;lt;/RightHandSideExpression&amp;amp;gt;&amp;amp;lt;IsSubquery&amp;amp;gt;False&amp;amp;lt;/IsSubquery&amp;amp;gt;&amp;amp;lt;SubqueryTemplateName /&amp;amp;gt;&amp;amp;lt;/RHSItem&amp;amp;gt;&amp;amp;lt;RHSItem&amp;amp;gt;&amp;amp;lt;RHSType&amp;amp;gt;EXPRESSION&amp;a'"</definedName>
    <definedName name="_AMO_ContentDefinition_891553685.514" hidden="1">"'mp;lt;/RHSType&amp;amp;gt;&amp;amp;lt;AddQuotes&amp;amp;gt;True&amp;amp;lt;/AddQuotes&amp;amp;gt;&amp;amp;lt;DateFormat&amp;amp;gt;None&amp;amp;lt;/DateFormat&amp;amp;gt;&amp;amp;lt;RightHandSideExpression xml:space=&amp;amp;quot;preserve&amp;amp;quot;&amp;amp;gt;MFPR01006411&amp;amp;lt;/RightHandSideExpre'"</definedName>
    <definedName name="_AMO_ContentDefinition_891553685.515" hidden="1">"'ssion&amp;amp;gt;&amp;amp;lt;IsSubquery&amp;amp;gt;False&amp;amp;lt;/IsSubquery&amp;amp;gt;&amp;amp;lt;SubqueryTemplateName /&amp;amp;gt;&amp;amp;lt;/RHSItem&amp;amp;gt;&amp;amp;lt;RHSItem&amp;amp;gt;&amp;amp;lt;RHSType&amp;amp;gt;EXPRESSION&amp;amp;lt;/RHSType&amp;amp;gt;&amp;amp;lt;AddQuotes&amp;amp;gt;True&amp;amp;lt;/'"</definedName>
    <definedName name="_AMO_ContentDefinition_891553685.516" hidden="1">"'AddQuotes&amp;amp;gt;&amp;amp;lt;DateFormat&amp;amp;gt;None&amp;amp;lt;/DateFormat&amp;amp;gt;&amp;amp;lt;RightHandSideExpression xml:space=&amp;amp;quot;preserve&amp;amp;quot;&amp;amp;gt;MFPR01006412&amp;amp;lt;/RightHandSideExpression&amp;amp;gt;&amp;amp;lt;IsSubquery&amp;amp;gt;False&amp;amp;lt;/IsSubqu'"</definedName>
    <definedName name="_AMO_ContentDefinition_891553685.517" hidden="1">"'ery&amp;amp;gt;&amp;amp;lt;SubqueryTemplateName /&amp;amp;gt;&amp;amp;lt;/RHSItem&amp;amp;gt;&amp;amp;lt;RHSItem&amp;amp;gt;&amp;amp;lt;RHSType&amp;amp;gt;EXPRESSION&amp;amp;lt;/RHSType&amp;amp;gt;&amp;amp;lt;AddQuotes&amp;amp;gt;True&amp;amp;lt;/AddQuotes&amp;amp;gt;&amp;amp;lt;DateFormat&amp;amp;gt;None&amp;amp;lt;/Date'"</definedName>
    <definedName name="_AMO_ContentDefinition_891553685.518" hidden="1">"'Format&amp;amp;gt;&amp;amp;lt;RightHandSideExpression xml:space=&amp;amp;quot;preserve&amp;amp;quot;&amp;amp;gt;MFPR01006413&amp;amp;lt;/RightHandSideExpression&amp;amp;gt;&amp;amp;lt;IsSubquery&amp;amp;gt;False&amp;amp;lt;/IsSubquery&amp;amp;gt;&amp;amp;lt;SubqueryTemplateName /&amp;amp;gt;&amp;amp;lt;/RH'"</definedName>
    <definedName name="_AMO_ContentDefinition_891553685.519" hidden="1">"'SItem&amp;amp;gt;&amp;amp;lt;RHSItem&amp;amp;gt;&amp;amp;lt;RHSType&amp;amp;gt;EXPRESSION&amp;amp;lt;/RHSType&amp;amp;gt;&amp;amp;lt;AddQuotes&amp;amp;gt;True&amp;amp;lt;/AddQuotes&amp;amp;gt;&amp;amp;lt;DateFormat&amp;amp;gt;None&amp;amp;lt;/DateFormat&amp;amp;gt;&amp;amp;lt;RightHandSideExpression xml:space=&amp;amp'"</definedName>
    <definedName name="_AMO_ContentDefinition_891553685.52" hidden="1">"'367',&amp;amp;#xD;&amp;amp;#xA;'MFPR01006368',&amp;amp;#xD;&amp;amp;#xA;'MFPR01006369',&amp;amp;#xD;&amp;amp;#xA;'MFPR01006370',&amp;amp;#xD;&amp;amp;#xA;'MFPR01006371',&amp;amp;#xD;&amp;amp;#xA;'MFPR01000095',&amp;amp;#xD;&amp;amp;#xA;'MFPR01006372',&amp;amp;#xD;&amp;amp;#xA;'MFPR01006373',&amp;amp;#xD;&amp;amp;#'"</definedName>
    <definedName name="_AMO_ContentDefinition_891553685.520" hidden="1">"';quot;preserve&amp;amp;quot;&amp;amp;gt;MFPR01006414&amp;amp;lt;/RightHandSideExpression&amp;amp;gt;&amp;amp;lt;IsSubquery&amp;amp;gt;False&amp;amp;lt;/IsSubquery&amp;amp;gt;&amp;amp;lt;SubqueryTemplateName /&amp;amp;gt;&amp;amp;lt;/RHSItem&amp;amp;gt;&amp;amp;lt;RHSItem&amp;amp;gt;&amp;amp;lt;RHSType&amp;amp;gt;E'"</definedName>
    <definedName name="_AMO_ContentDefinition_891553685.521" hidden="1">"'XPRESSION&amp;amp;lt;/RHSType&amp;amp;gt;&amp;amp;lt;AddQuotes&amp;amp;gt;True&amp;amp;lt;/AddQuotes&amp;amp;gt;&amp;amp;lt;DateFormat&amp;amp;gt;None&amp;amp;lt;/DateFormat&amp;amp;gt;&amp;amp;lt;RightHandSideExpression xml:space=&amp;amp;quot;preserve&amp;amp;quot;&amp;amp;gt;MFFSIR001012&amp;amp;lt;/RightHa'"</definedName>
    <definedName name="_AMO_ContentDefinition_891553685.522" hidden="1">"'ndSideExpression&amp;amp;gt;&amp;amp;lt;IsSubquery&amp;amp;gt;False&amp;amp;lt;/IsSubquery&amp;amp;gt;&amp;amp;lt;SubqueryTemplateName /&amp;amp;gt;&amp;amp;lt;/RHSItem&amp;amp;gt;&amp;amp;lt;RHSItem&amp;amp;gt;&amp;amp;lt;RHSType&amp;amp;gt;EXPRESSION&amp;amp;lt;/RHSType&amp;amp;gt;&amp;amp;lt;AddQuotes&amp;amp;gt;Tr'"</definedName>
    <definedName name="_AMO_ContentDefinition_891553685.523" hidden="1">"'ue&amp;amp;lt;/AddQuotes&amp;amp;gt;&amp;amp;lt;DateFormat&amp;amp;gt;None&amp;amp;lt;/DateFormat&amp;amp;gt;&amp;amp;lt;RightHandSideExpression xml:space=&amp;amp;quot;preserve&amp;amp;quot;&amp;amp;gt;MFPR01006415&amp;amp;lt;/RightHandSideExpression&amp;amp;gt;&amp;amp;lt;IsSubquery&amp;amp;gt;False&amp;amp;'"</definedName>
    <definedName name="_AMO_ContentDefinition_891553685.524" hidden="1">"'lt;/IsSubquery&amp;amp;gt;&amp;amp;lt;SubqueryTemplateName /&amp;amp;gt;&amp;amp;lt;/RHSItem&amp;amp;gt;&amp;amp;lt;RHSItem&amp;amp;gt;&amp;amp;lt;RHSType&amp;amp;gt;EXPRESSION&amp;amp;lt;/RHSType&amp;amp;gt;&amp;amp;lt;AddQuotes&amp;amp;gt;True&amp;amp;lt;/AddQuotes&amp;amp;gt;&amp;amp;lt;DateFormat&amp;amp;gt;None&amp;a'"</definedName>
    <definedName name="_AMO_ContentDefinition_891553685.525" hidden="1">"'mp;lt;/DateFormat&amp;amp;gt;&amp;amp;lt;RightHandSideExpression xml:space=&amp;amp;quot;preserve&amp;amp;quot;&amp;amp;gt;MFFSIR001005&amp;amp;lt;/RightHandSideExpression&amp;amp;gt;&amp;amp;lt;IsSubquery&amp;amp;gt;False&amp;amp;lt;/IsSubquery&amp;amp;gt;&amp;amp;lt;SubqueryTemplateName /&amp;amp;gt;'"</definedName>
    <definedName name="_AMO_ContentDefinition_891553685.526" hidden="1">"'&amp;amp;lt;/RHSItem&amp;amp;gt;&amp;amp;lt;RHSItem&amp;amp;gt;&amp;amp;lt;RHSType&amp;amp;gt;EXPRESSION&amp;amp;lt;/RHSType&amp;amp;gt;&amp;amp;lt;AddQuotes&amp;amp;gt;True&amp;amp;lt;/AddQuotes&amp;amp;gt;&amp;amp;lt;DateFormat&amp;amp;gt;None&amp;amp;lt;/DateFormat&amp;amp;gt;&amp;amp;lt;RightHandSideExpression xml'"</definedName>
    <definedName name="_AMO_ContentDefinition_891553685.527" hidden="1">"':space=&amp;amp;quot;preserve&amp;amp;quot;&amp;amp;gt;MFPR06008579&amp;amp;lt;/RightHandSideExpression&amp;amp;gt;&amp;amp;lt;IsSubquery&amp;amp;gt;False&amp;amp;lt;/IsSubquery&amp;amp;gt;&amp;amp;lt;SubqueryTemplateName /&amp;amp;gt;&amp;amp;lt;/RHSItem&amp;amp;gt;&amp;amp;lt;RHSItem&amp;amp;gt;&amp;amp;lt;RHSTy'"</definedName>
    <definedName name="_AMO_ContentDefinition_891553685.528" hidden="1">"'pe&amp;amp;gt;EXPRESSION&amp;amp;lt;/RHSType&amp;amp;gt;&amp;amp;lt;AddQuotes&amp;amp;gt;True&amp;amp;lt;/AddQuotes&amp;amp;gt;&amp;amp;lt;DateFormat&amp;amp;gt;None&amp;amp;lt;/DateFormat&amp;amp;gt;&amp;amp;lt;RightHandSideExpression xml:space=&amp;amp;quot;preserve&amp;amp;quot;&amp;amp;gt;MFPR06008585&amp;amp;'"</definedName>
    <definedName name="_AMO_ContentDefinition_891553685.529" hidden="1">"'lt;/RightHandSideExpression&amp;amp;gt;&amp;amp;lt;IsSubquery&amp;amp;gt;False&amp;amp;lt;/IsSubquery&amp;amp;gt;&amp;amp;lt;SubqueryTemplateName /&amp;amp;gt;&amp;amp;lt;/RHSItem&amp;amp;gt;&amp;amp;lt;RHSItem&amp;amp;gt;&amp;amp;lt;RHSType&amp;amp;gt;EXPRESSION&amp;amp;lt;/RHSType&amp;amp;gt;&amp;amp;lt;AddQuote'"</definedName>
    <definedName name="_AMO_ContentDefinition_891553685.53" hidden="1">"'xA;'MFPR01006374',&amp;amp;#xD;&amp;amp;#xA;'MFPR06008352',&amp;amp;#xD;&amp;amp;#xA;'MFPR06008367',&amp;amp;#xD;&amp;amp;#xA;'MFPR06008382',&amp;amp;#xD;&amp;amp;#xA;'MFPR06008385',&amp;amp;#xD;&amp;amp;#xA;'MFPR06008393',&amp;amp;#xD;&amp;amp;#xA;'MFPR06000081',&amp;amp;#xD;&amp;amp;#xA;'MFPR01006375',&amp;a'"</definedName>
    <definedName name="_AMO_ContentDefinition_891553685.530" hidden="1">"'s&amp;amp;gt;True&amp;amp;lt;/AddQuotes&amp;amp;gt;&amp;amp;lt;DateFormat&amp;amp;gt;None&amp;amp;lt;/DateFormat&amp;amp;gt;&amp;amp;lt;RightHandSideExpression xml:space=&amp;amp;quot;preserve&amp;amp;quot;&amp;amp;gt;MFPR06008580&amp;amp;lt;/RightHandSideExpression&amp;amp;gt;&amp;amp;lt;IsSubquery&amp;amp;gt'"</definedName>
    <definedName name="_AMO_ContentDefinition_891553685.531" hidden="1">"';False&amp;amp;lt;/IsSubquery&amp;amp;gt;&amp;amp;lt;SubqueryTemplateName /&amp;amp;gt;&amp;amp;lt;/RHSItem&amp;amp;gt;&amp;amp;lt;RHSItem&amp;amp;gt;&amp;amp;lt;RHSType&amp;amp;gt;EXPRESSION&amp;amp;lt;/RHSType&amp;amp;gt;&amp;amp;lt;AddQuotes&amp;amp;gt;True&amp;amp;lt;/AddQuotes&amp;amp;gt;&amp;amp;lt;DateFormat&amp;am'"</definedName>
    <definedName name="_AMO_ContentDefinition_891553685.532" hidden="1">"'p;gt;None&amp;amp;lt;/DateFormat&amp;amp;gt;&amp;amp;lt;RightHandSideExpression xml:space=&amp;amp;quot;preserve&amp;amp;quot;&amp;amp;gt;MFPR01006315&amp;amp;lt;/RightHandSideExpression&amp;amp;gt;&amp;amp;lt;IsSubquery&amp;amp;gt;False&amp;amp;lt;/IsSubquery&amp;amp;gt;&amp;amp;lt;SubqueryTemplateNam'"</definedName>
    <definedName name="_AMO_ContentDefinition_891553685.533" hidden="1">"'e /&amp;amp;gt;&amp;amp;lt;/RHSItem&amp;amp;gt;&amp;amp;lt;RHSItem&amp;amp;gt;&amp;amp;lt;RHSType&amp;amp;gt;EXPRESSION&amp;amp;lt;/RHSType&amp;amp;gt;&amp;amp;lt;AddQuotes&amp;amp;gt;True&amp;amp;lt;/AddQuotes&amp;amp;gt;&amp;amp;lt;DateFormat&amp;amp;gt;None&amp;amp;lt;/DateFormat&amp;amp;gt;&amp;amp;lt;RightHandSideExp'"</definedName>
    <definedName name="_AMO_ContentDefinition_891553685.534" hidden="1">"'ression xml:space=&amp;amp;quot;preserve&amp;amp;quot;&amp;amp;gt;MFPR01006304&amp;amp;lt;/RightHandSideExpression&amp;amp;gt;&amp;amp;lt;IsSubquery&amp;amp;gt;False&amp;amp;lt;/IsSubquery&amp;amp;gt;&amp;amp;lt;SubqueryTemplateName /&amp;amp;gt;&amp;amp;lt;/RHSItem&amp;amp;gt;&amp;amp;lt;RHSItem&amp;amp;gt;&amp;a'"</definedName>
    <definedName name="_AMO_ContentDefinition_891553685.535" hidden="1">"'mp;lt;RHSType&amp;amp;gt;EXPRESSION&amp;amp;lt;/RHSType&amp;amp;gt;&amp;amp;lt;AddQuotes&amp;amp;gt;True&amp;amp;lt;/AddQuotes&amp;amp;gt;&amp;amp;lt;DateFormat&amp;amp;gt;None&amp;amp;lt;/DateFormat&amp;amp;gt;&amp;amp;lt;RightHandSideExpression xml:space=&amp;amp;quot;preserve&amp;amp;quot;&amp;amp;gt;MFPR01'"</definedName>
    <definedName name="_AMO_ContentDefinition_891553685.536" hidden="1">"'000307&amp;amp;lt;/RightHandSideExpression&amp;amp;gt;&amp;amp;lt;IsSubquery&amp;amp;gt;False&amp;amp;lt;/IsSubquery&amp;amp;gt;&amp;amp;lt;SubqueryTemplateName /&amp;amp;gt;&amp;amp;lt;/RHSItem&amp;amp;gt;&amp;amp;lt;RHSItem&amp;amp;gt;&amp;amp;lt;RHSType&amp;amp;gt;EXPRESSION&amp;amp;lt;/RHSType&amp;amp;gt;&amp;amp;'"</definedName>
    <definedName name="_AMO_ContentDefinition_891553685.537" hidden="1">"'lt;AddQuotes&amp;amp;gt;True&amp;amp;lt;/AddQuotes&amp;amp;gt;&amp;amp;lt;DateFormat&amp;amp;gt;None&amp;amp;lt;/DateFormat&amp;amp;gt;&amp;amp;lt;RightHandSideExpression xml:space=&amp;amp;quot;preserve&amp;amp;quot;&amp;amp;gt;MFPR01006447&amp;amp;lt;/RightHandSideExpression&amp;amp;gt;&amp;amp;lt;IsSubq'"</definedName>
    <definedName name="_AMO_ContentDefinition_891553685.538" hidden="1">"'uery&amp;amp;gt;False&amp;amp;lt;/IsSubquery&amp;amp;gt;&amp;amp;lt;SubqueryTemplateName /&amp;amp;gt;&amp;amp;lt;/RHSItem&amp;amp;gt;&amp;amp;lt;RHSItem&amp;amp;gt;&amp;amp;lt;RHSType&amp;amp;gt;EXPRESSION&amp;amp;lt;/RHSType&amp;amp;gt;&amp;amp;lt;AddQuotes&amp;amp;gt;True&amp;amp;lt;/AddQuotes&amp;amp;gt;&amp;amp;lt;Da'"</definedName>
    <definedName name="_AMO_ContentDefinition_891553685.539" hidden="1">"'teFormat&amp;amp;gt;None&amp;amp;lt;/DateFormat&amp;amp;gt;&amp;amp;lt;RightHandSideExpression xml:space=&amp;amp;quot;preserve&amp;amp;quot;&amp;amp;gt;MFPR01006448&amp;amp;lt;/RightHandSideExpression&amp;amp;gt;&amp;amp;lt;IsSubquery&amp;amp;gt;False&amp;amp;lt;/IsSubquery&amp;amp;gt;&amp;amp;lt;Subquery'"</definedName>
    <definedName name="_AMO_ContentDefinition_891553685.54" hidden="1">"'mp;#xD;&amp;amp;#xA;'MFPR01006376',&amp;amp;#xD;&amp;amp;#xA;'MFPR01006307',&amp;amp;#xD;&amp;amp;#xA;'MFPR07000317',&amp;amp;#xD;&amp;amp;#xA;'MFPR02001300',&amp;amp;#xD;&amp;amp;#xA;'MFPR02001301',&amp;amp;#xD;&amp;amp;#xA;'MFPR01000244',&amp;amp;#xD;&amp;amp;#xA;'MFPR01006378',&amp;amp;#xD;&amp;amp;#xA;'MFP'"</definedName>
    <definedName name="_AMO_ContentDefinition_891553685.540" hidden="1">"'TemplateName /&amp;amp;gt;&amp;amp;lt;/RHSItem&amp;amp;gt;&amp;amp;lt;RHSItem&amp;amp;gt;&amp;amp;lt;RHSType&amp;amp;gt;EXPRESSION&amp;amp;lt;/RHSType&amp;amp;gt;&amp;amp;lt;AddQuotes&amp;amp;gt;True&amp;amp;lt;/AddQuotes&amp;amp;gt;&amp;amp;lt;DateFormat&amp;amp;gt;None&amp;amp;lt;/DateFormat&amp;amp;gt;&amp;amp;lt;Right'"</definedName>
    <definedName name="_AMO_ContentDefinition_891553685.541" hidden="1">"'HandSideExpression xml:space=&amp;amp;quot;preserve&amp;amp;quot;&amp;amp;gt;MFPR01006403&amp;amp;lt;/RightHandSideExpression&amp;amp;gt;&amp;amp;lt;IsSubquery&amp;amp;gt;False&amp;amp;lt;/IsSubquery&amp;amp;gt;&amp;amp;lt;SubqueryTemplateName /&amp;amp;gt;&amp;amp;lt;/RHSItem&amp;amp;gt;&amp;amp;lt;RHSIte'"</definedName>
    <definedName name="_AMO_ContentDefinition_891553685.542" hidden="1">"'m&amp;amp;gt;&amp;amp;lt;RHSType&amp;amp;gt;EXPRESSION&amp;amp;lt;/RHSType&amp;amp;gt;&amp;amp;lt;AddQuotes&amp;amp;gt;True&amp;amp;lt;/AddQuotes&amp;amp;gt;&amp;amp;lt;DateFormat&amp;amp;gt;None&amp;amp;lt;/DateFormat&amp;amp;gt;&amp;amp;lt;RightHandSideExpression xml:space=&amp;amp;quot;preserve&amp;amp;quot;&amp;am'"</definedName>
    <definedName name="_AMO_ContentDefinition_891553685.543" hidden="1">"'p;gt;MFPR06008553&amp;amp;lt;/RightHandSideExpression&amp;amp;gt;&amp;amp;lt;IsSubquery&amp;amp;gt;False&amp;amp;lt;/IsSubquery&amp;amp;gt;&amp;amp;lt;SubqueryTemplateName /&amp;amp;gt;&amp;amp;lt;/RHSItem&amp;amp;gt;&amp;amp;lt;RHSItem&amp;amp;gt;&amp;amp;lt;RHSType&amp;amp;gt;EXPRESSION&amp;amp;lt;/RHSType&amp;a'"</definedName>
    <definedName name="_AMO_ContentDefinition_891553685.544" hidden="1">"'mp;gt;&amp;amp;lt;AddQuotes&amp;amp;gt;True&amp;amp;lt;/AddQuotes&amp;amp;gt;&amp;amp;lt;DateFormat&amp;amp;gt;None&amp;amp;lt;/DateFormat&amp;amp;gt;&amp;amp;lt;RightHandSideExpression xml:space=&amp;amp;quot;preserve&amp;amp;quot;&amp;amp;gt;MFPR06008578&amp;amp;lt;/RightHandSideExpression&amp;amp;gt;&amp;am'"</definedName>
    <definedName name="_AMO_ContentDefinition_891553685.545" hidden="1">"'p;lt;IsSubquery&amp;amp;gt;False&amp;amp;lt;/IsSubquery&amp;amp;gt;&amp;amp;lt;SubqueryTemplateName /&amp;amp;gt;&amp;amp;lt;/RHSItem&amp;amp;gt;&amp;amp;lt;RHSItem&amp;amp;gt;&amp;amp;lt;RHSType&amp;amp;gt;EXPRESSION&amp;amp;lt;/RHSType&amp;amp;gt;&amp;amp;lt;AddQuotes&amp;amp;gt;True&amp;amp;lt;/AddQuotes&amp;amp;gt'"</definedName>
    <definedName name="_AMO_ContentDefinition_891553685.546" hidden="1">"';&amp;amp;lt;DateFormat&amp;amp;gt;None&amp;amp;lt;/DateFormat&amp;amp;gt;&amp;amp;lt;RightHandSideExpression xml:space=&amp;amp;quot;preserve&amp;amp;quot;&amp;amp;gt;MFPR01006454&amp;amp;lt;/RightHandSideExpression&amp;amp;gt;&amp;amp;lt;IsSubquery&amp;amp;gt;False&amp;amp;lt;/IsSubquery&amp;amp;gt;&amp;amp;'"</definedName>
    <definedName name="_AMO_ContentDefinition_891553685.547" hidden="1">"'lt;SubqueryTemplateName /&amp;amp;gt;&amp;amp;lt;/RHSItem&amp;amp;gt;&amp;amp;lt;RHSItem&amp;amp;gt;&amp;amp;lt;RHSType&amp;amp;gt;EXPRESSION&amp;amp;lt;/RHSType&amp;amp;gt;&amp;amp;lt;AddQuotes&amp;amp;gt;True&amp;amp;lt;/AddQuotes&amp;amp;gt;&amp;amp;lt;DateFormat&amp;amp;gt;None&amp;amp;lt;/DateFormat&amp;amp;gt;&amp;a'"</definedName>
    <definedName name="_AMO_ContentDefinition_891553685.548" hidden="1">"'mp;lt;RightHandSideExpression xml:space=&amp;amp;quot;preserve&amp;amp;quot;&amp;amp;gt;MFPR01006455&amp;amp;lt;/RightHandSideExpression&amp;amp;gt;&amp;amp;lt;IsSubquery&amp;amp;gt;False&amp;amp;lt;/IsSubquery&amp;amp;gt;&amp;amp;lt;SubqueryTemplateName /&amp;amp;gt;&amp;amp;lt;/RHSItem&amp;amp;gt;&amp;am'"</definedName>
    <definedName name="_AMO_ContentDefinition_891553685.549" hidden="1">"'p;lt;RHSItem&amp;amp;gt;&amp;amp;lt;RHSType&amp;amp;gt;EXPRESSION&amp;amp;lt;/RHSType&amp;amp;gt;&amp;amp;lt;AddQuotes&amp;amp;gt;True&amp;amp;lt;/AddQuotes&amp;amp;gt;&amp;amp;lt;DateFormat&amp;amp;gt;None&amp;amp;lt;/DateFormat&amp;amp;gt;&amp;amp;lt;RightHandSideExpression xml:space=&amp;amp;quot;preserve&amp;a'"</definedName>
    <definedName name="_AMO_ContentDefinition_891553685.55" hidden="1">"'R01006379',&amp;amp;#xD;&amp;amp;#xA;'MFPR01006380',&amp;amp;#xD;&amp;amp;#xA;'MFPR01006381',&amp;amp;#xD;&amp;amp;#xA;'MFPR01006382',&amp;amp;#xD;&amp;amp;#xA;'MFPR01006383',&amp;amp;#xD;&amp;amp;#xA;'MFPR01006384',&amp;amp;#xD;&amp;amp;#xA;'MFPR01006385',&amp;amp;#xD;&amp;amp;#xA;'MFPR01006386',&amp;amp;#xD;'"</definedName>
    <definedName name="_AMO_ContentDefinition_891553685.550" hidden="1">"'mp;quot;&amp;amp;gt;MFPR06008581&amp;amp;lt;/RightHandSideExpression&amp;amp;gt;&amp;amp;lt;IsSubquery&amp;amp;gt;False&amp;amp;lt;/IsSubquery&amp;amp;gt;&amp;amp;lt;SubqueryTemplateName /&amp;amp;gt;&amp;amp;lt;/RHSItem&amp;amp;gt;&amp;amp;lt;RHSItem&amp;amp;gt;&amp;amp;lt;RHSType&amp;amp;gt;EXPRESSION&amp;amp;lt'"</definedName>
    <definedName name="_AMO_ContentDefinition_891553685.551" hidden="1">"';/RHSType&amp;amp;gt;&amp;amp;lt;AddQuotes&amp;amp;gt;True&amp;amp;lt;/AddQuotes&amp;amp;gt;&amp;amp;lt;DateFormat&amp;amp;gt;None&amp;amp;lt;/DateFormat&amp;amp;gt;&amp;amp;lt;RightHandSideExpression xml:space=&amp;amp;quot;preserve&amp;amp;quot;&amp;amp;gt;MFPR04004642&amp;amp;lt;/RightHandSideExpression'"</definedName>
    <definedName name="_AMO_ContentDefinition_891553685.552" hidden="1">"'&amp;amp;gt;&amp;amp;lt;IsSubquery&amp;amp;gt;False&amp;amp;lt;/IsSubquery&amp;amp;gt;&amp;amp;lt;SubqueryTemplateName /&amp;amp;gt;&amp;amp;lt;/RHSItem&amp;amp;gt;&amp;amp;lt;RHSItem&amp;amp;gt;&amp;amp;lt;RHSType&amp;amp;gt;EXPRESSION&amp;amp;lt;/RHSType&amp;amp;gt;&amp;amp;lt;AddQuotes&amp;amp;gt;True&amp;amp;lt;/AddQu'"</definedName>
    <definedName name="_AMO_ContentDefinition_891553685.553" hidden="1">"'otes&amp;amp;gt;&amp;amp;lt;DateFormat&amp;amp;gt;None&amp;amp;lt;/DateFormat&amp;amp;gt;&amp;amp;lt;RightHandSideExpression xml:space=&amp;amp;quot;preserve&amp;amp;quot;&amp;amp;gt;MFPR01006400&amp;amp;lt;/RightHandSideExpression&amp;amp;gt;&amp;amp;lt;IsSubquery&amp;amp;gt;False&amp;amp;lt;/IsSubquery&amp;a'"</definedName>
    <definedName name="_AMO_ContentDefinition_891553685.554" hidden="1">"'mp;gt;&amp;amp;lt;SubqueryTemplateName /&amp;amp;gt;&amp;amp;lt;/RHSItem&amp;amp;gt;&amp;amp;lt;RHSItem&amp;amp;gt;&amp;amp;lt;RHSType&amp;amp;gt;EXPRESSION&amp;amp;lt;/RHSType&amp;amp;gt;&amp;amp;lt;AddQuotes&amp;amp;gt;True&amp;amp;lt;/AddQuotes&amp;amp;gt;&amp;amp;lt;DateFormat&amp;amp;gt;None&amp;amp;lt;/DateForma'"</definedName>
    <definedName name="_AMO_ContentDefinition_891553685.555" hidden="1">"'t&amp;amp;gt;&amp;amp;lt;RightHandSideExpression xml:space=&amp;amp;quot;preserve&amp;amp;quot;&amp;amp;gt;MFPR01006451&amp;amp;lt;/RightHandSideExpression&amp;amp;gt;&amp;amp;lt;IsSubquery&amp;amp;gt;False&amp;amp;lt;/IsSubquery&amp;amp;gt;&amp;amp;lt;SubqueryTemplateName /&amp;amp;gt;&amp;amp;lt;/RHSItem'"</definedName>
    <definedName name="_AMO_ContentDefinition_891553685.556" hidden="1">"'&amp;amp;gt;&amp;amp;lt;RHSItem&amp;amp;gt;&amp;amp;lt;RHSType&amp;amp;gt;EXPRESSION&amp;amp;lt;/RHSType&amp;amp;gt;&amp;amp;lt;AddQuotes&amp;amp;gt;True&amp;amp;lt;/AddQuotes&amp;amp;gt;&amp;amp;lt;DateFormat&amp;amp;gt;None&amp;amp;lt;/DateFormat&amp;amp;gt;&amp;amp;lt;RightHandSideExpression xml:space=&amp;amp;quot'"</definedName>
    <definedName name="_AMO_ContentDefinition_891553685.557" hidden="1">"';preserve&amp;amp;quot;&amp;amp;gt;MFPR01006452&amp;amp;lt;/RightHandSideExpression&amp;amp;gt;&amp;amp;lt;IsSubquery&amp;amp;gt;False&amp;amp;lt;/IsSubquery&amp;amp;gt;&amp;amp;lt;SubqueryTemplateName /&amp;amp;gt;&amp;amp;lt;/RHSItem&amp;amp;gt;&amp;amp;lt;RHSItem&amp;amp;gt;&amp;amp;lt;RHSType&amp;amp;gt;EXPRES'"</definedName>
    <definedName name="_AMO_ContentDefinition_891553685.558" hidden="1">"'SION&amp;amp;lt;/RHSType&amp;amp;gt;&amp;amp;lt;AddQuotes&amp;amp;gt;True&amp;amp;lt;/AddQuotes&amp;amp;gt;&amp;amp;lt;DateFormat&amp;amp;gt;None&amp;amp;lt;/DateFormat&amp;amp;gt;&amp;amp;lt;RightHandSideExpression xml:space=&amp;amp;quot;preserve&amp;amp;quot;&amp;amp;gt;MFPR02001304&amp;amp;lt;/RightHandSid'"</definedName>
    <definedName name="_AMO_ContentDefinition_891553685.559" hidden="1">"'eExpression&amp;amp;gt;&amp;amp;lt;IsSubquery&amp;amp;gt;False&amp;amp;lt;/IsSubquery&amp;amp;gt;&amp;amp;lt;SubqueryTemplateName /&amp;amp;gt;&amp;amp;lt;/RHSItem&amp;amp;gt;&amp;amp;lt;RHSItem&amp;amp;gt;&amp;amp;lt;RHSType&amp;amp;gt;EXPRESSION&amp;amp;lt;/RHSType&amp;amp;gt;&amp;amp;lt;AddQuotes&amp;amp;gt;True&amp;am'"</definedName>
    <definedName name="_AMO_ContentDefinition_891553685.56" hidden="1">"'&amp;amp;#xA;'MFPR01006387',&amp;amp;#xD;&amp;amp;#xA;'MFPR01006388',&amp;amp;#xD;&amp;amp;#xA;'MFPR01006389',&amp;amp;#xD;&amp;amp;#xA;'MFPR01006390',&amp;amp;#xD;&amp;amp;#xA;'MFPR01006391',&amp;amp;#xD;&amp;amp;#xA;'MFPR01006392',&amp;amp;#xD;&amp;amp;#xA;'MFPR01006393',&amp;amp;#xD;&amp;amp;#xA;'MFPR010063'"</definedName>
    <definedName name="_AMO_ContentDefinition_891553685.560" hidden="1">"'p;lt;/AddQuotes&amp;amp;gt;&amp;amp;lt;DateFormat&amp;amp;gt;None&amp;amp;lt;/DateFormat&amp;amp;gt;&amp;amp;lt;RightHandSideExpression xml:space=&amp;amp;quot;preserve&amp;amp;quot;&amp;amp;gt;MFPR02001305&amp;amp;lt;/RightHandSideExpression&amp;amp;gt;&amp;amp;lt;IsSubquery&amp;amp;gt;False&amp;amp;lt;/I'"</definedName>
    <definedName name="_AMO_ContentDefinition_891553685.561" hidden="1">"'sSubquery&amp;amp;gt;&amp;amp;lt;SubqueryTemplateName /&amp;amp;gt;&amp;amp;lt;/RHSItem&amp;amp;gt;&amp;amp;lt;RHSItem&amp;amp;gt;&amp;amp;lt;RHSType&amp;amp;gt;EXPRESSION&amp;amp;lt;/RHSType&amp;amp;gt;&amp;amp;lt;AddQuotes&amp;amp;gt;True&amp;amp;lt;/AddQuotes&amp;amp;gt;&amp;amp;lt;DateFormat&amp;amp;gt;None&amp;amp;lt'"</definedName>
    <definedName name="_AMO_ContentDefinition_891553685.562" hidden="1">"';/DateFormat&amp;amp;gt;&amp;amp;lt;RightHandSideExpression xml:space=&amp;amp;quot;preserve&amp;amp;quot;&amp;amp;gt;MFPR01000286&amp;amp;lt;/RightHandSideExpression&amp;amp;gt;&amp;amp;lt;IsSubquery&amp;amp;gt;False&amp;amp;lt;/IsSubquery&amp;amp;gt;&amp;amp;lt;SubqueryTemplateName /&amp;amp;gt;&amp;amp;'"</definedName>
    <definedName name="_AMO_ContentDefinition_891553685.563" hidden="1">"'lt;/RHSItem&amp;amp;gt;&amp;amp;lt;RHSItem&amp;amp;gt;&amp;amp;lt;RHSType&amp;amp;gt;EXPRESSION&amp;amp;lt;/RHSType&amp;amp;gt;&amp;amp;lt;AddQuotes&amp;amp;gt;True&amp;amp;lt;/AddQuotes&amp;amp;gt;&amp;amp;lt;DateFormat&amp;amp;gt;None&amp;amp;lt;/DateFormat&amp;amp;gt;&amp;amp;lt;RightHandSideExpression xml:spac'"</definedName>
    <definedName name="_AMO_ContentDefinition_891553685.564" hidden="1">"'e=&amp;amp;quot;preserve&amp;amp;quot;&amp;amp;gt;MFPR06008111&amp;amp;lt;/RightHandSideExpression&amp;amp;gt;&amp;amp;lt;IsSubquery&amp;amp;gt;False&amp;amp;lt;/IsSubquery&amp;amp;gt;&amp;amp;lt;SubqueryTemplateName /&amp;amp;gt;&amp;amp;lt;/RHSItem&amp;amp;gt;&amp;amp;lt;RHSItem&amp;amp;gt;&amp;amp;lt;RHSType&amp;am'"</definedName>
    <definedName name="_AMO_ContentDefinition_891553685.565" hidden="1">"'p;gt;EXPRESSION&amp;amp;lt;/RHSType&amp;amp;gt;&amp;amp;lt;AddQuotes&amp;amp;gt;True&amp;amp;lt;/AddQuotes&amp;amp;gt;&amp;amp;lt;DateFormat&amp;amp;gt;None&amp;amp;lt;/DateFormat&amp;amp;gt;&amp;amp;lt;RightHandSideExpression xml:space=&amp;amp;quot;preserve&amp;amp;quot;&amp;amp;gt;MFPR06008112&amp;amp;lt;/R'"</definedName>
    <definedName name="_AMO_ContentDefinition_891553685.566" hidden="1">"'ightHandSideExpression&amp;amp;gt;&amp;amp;lt;IsSubquery&amp;amp;gt;False&amp;amp;lt;/IsSubquery&amp;amp;gt;&amp;amp;lt;SubqueryTemplateName /&amp;amp;gt;&amp;amp;lt;/RHSItem&amp;amp;gt;&amp;amp;lt;RHSItem&amp;amp;gt;&amp;amp;lt;RHSType&amp;amp;gt;EXPRESSION&amp;amp;lt;/RHSType&amp;amp;gt;&amp;amp;lt;AddQuotes&amp;amp'"</definedName>
    <definedName name="_AMO_ContentDefinition_891553685.567" hidden="1">"';gt;True&amp;amp;lt;/AddQuotes&amp;amp;gt;&amp;amp;lt;DateFormat&amp;amp;gt;None&amp;amp;lt;/DateFormat&amp;amp;gt;&amp;amp;lt;RightHandSideExpression xml:space=&amp;amp;quot;preserve&amp;amp;quot;&amp;amp;gt;MFPR06008117&amp;amp;lt;/RightHandSideExpression&amp;amp;gt;&amp;amp;lt;IsSubquery&amp;amp;gt;Fals'"</definedName>
    <definedName name="_AMO_ContentDefinition_891553685.568" hidden="1">"'e&amp;amp;lt;/IsSubquery&amp;amp;gt;&amp;amp;lt;SubqueryTemplateName /&amp;amp;gt;&amp;amp;lt;/RHSItem&amp;amp;gt;&amp;amp;lt;RHSItem&amp;amp;gt;&amp;amp;lt;RHSType&amp;amp;gt;EXPRESSION&amp;amp;lt;/RHSType&amp;amp;gt;&amp;amp;lt;AddQuotes&amp;amp;gt;True&amp;amp;lt;/AddQuotes&amp;amp;gt;&amp;amp;lt;DateFormat&amp;amp;gt;'"</definedName>
    <definedName name="_AMO_ContentDefinition_891553685.569" hidden="1">"'None&amp;amp;lt;/DateFormat&amp;amp;gt;&amp;amp;lt;RightHandSideExpression xml:space=&amp;amp;quot;preserve&amp;amp;quot;&amp;amp;gt;MFPR06008118&amp;amp;lt;/RightHandSideExpression&amp;amp;gt;&amp;amp;lt;IsSubquery&amp;amp;gt;False&amp;amp;lt;/IsSubquery&amp;amp;gt;&amp;amp;lt;SubqueryTemplateName /&amp;a'"</definedName>
    <definedName name="_AMO_ContentDefinition_891553685.57" hidden="1">"'94',&amp;amp;#xD;&amp;amp;#xA;'MFPR01006395',&amp;amp;#xD;&amp;amp;#xA;'MFPR01006396',&amp;amp;#xD;&amp;amp;#xA;'MFPR01006397',&amp;amp;#xD;&amp;amp;#xA;'MFPR01006398',&amp;amp;#xD;&amp;amp;#xA;'MFPR01006399',&amp;amp;#xD;&amp;amp;#xA;'MFBS06000731',&amp;amp;#xD;&amp;amp;#xA;'MFBS06000734',&amp;amp;#xD;&amp;amp;#x'"</definedName>
    <definedName name="_AMO_ContentDefinition_891553685.570" hidden="1">"'mp;gt;&amp;amp;lt;/RHSItem&amp;amp;gt;&amp;amp;lt;RHSItem&amp;amp;gt;&amp;amp;lt;RHSType&amp;amp;gt;EXPRESSION&amp;amp;lt;/RHSType&amp;amp;gt;&amp;amp;lt;AddQuotes&amp;amp;gt;True&amp;amp;lt;/AddQuotes&amp;amp;gt;&amp;amp;lt;DateFormat&amp;amp;gt;None&amp;amp;lt;/DateFormat&amp;amp;gt;&amp;amp;lt;RightHandSideExpressi'"</definedName>
    <definedName name="_AMO_ContentDefinition_891553685.571" hidden="1">"'on xml:space=&amp;amp;quot;preserve&amp;amp;quot;&amp;amp;gt;MFPR06008114&amp;amp;lt;/RightHandSideExpression&amp;amp;gt;&amp;amp;lt;IsSubquery&amp;amp;gt;False&amp;amp;lt;/IsSubquery&amp;amp;gt;&amp;amp;lt;SubqueryTemplateName /&amp;amp;gt;&amp;amp;lt;/RHSItem&amp;amp;gt;&amp;amp;lt;RHSItem&amp;amp;gt;&amp;amp;lt'"</definedName>
    <definedName name="_AMO_ContentDefinition_891553685.572" hidden="1">"';RHSType&amp;amp;gt;EXPRESSION&amp;amp;lt;/RHSType&amp;amp;gt;&amp;amp;lt;AddQuotes&amp;amp;gt;True&amp;amp;lt;/AddQuotes&amp;amp;gt;&amp;amp;lt;DateFormat&amp;amp;gt;None&amp;amp;lt;/DateFormat&amp;amp;gt;&amp;amp;lt;RightHandSideExpression xml:space=&amp;amp;quot;preserve&amp;amp;quot;&amp;amp;gt;MFPR0600811'"</definedName>
    <definedName name="_AMO_ContentDefinition_891553685.573" hidden="1">"'5&amp;amp;lt;/RightHandSideExpression&amp;amp;gt;&amp;amp;lt;IsSubquery&amp;amp;gt;False&amp;amp;lt;/IsSubquery&amp;amp;gt;&amp;amp;lt;SubqueryTemplateName /&amp;amp;gt;&amp;amp;lt;/RHSItem&amp;amp;gt;&amp;amp;lt;RHSItem&amp;amp;gt;&amp;amp;lt;RHSType&amp;amp;gt;EXPRESSION&amp;amp;lt;/RHSType&amp;amp;gt;&amp;amp;lt;Ad'"</definedName>
    <definedName name="_AMO_ContentDefinition_891553685.574" hidden="1">"'dQuotes&amp;amp;gt;True&amp;amp;lt;/AddQuotes&amp;amp;gt;&amp;amp;lt;DateFormat&amp;amp;gt;None&amp;amp;lt;/DateFormat&amp;amp;gt;&amp;amp;lt;RightHandSideExpression xml:space=&amp;amp;quot;preserve&amp;amp;quot;&amp;amp;gt;MFPR06008116&amp;amp;lt;/RightHandSideExpression&amp;amp;gt;&amp;amp;lt;IsSubquery&amp;'"</definedName>
    <definedName name="_AMO_ContentDefinition_891553685.575" hidden="1">"'amp;gt;False&amp;amp;lt;/IsSubquery&amp;amp;gt;&amp;amp;lt;SubqueryTemplateName /&amp;amp;gt;&amp;amp;lt;/RHSItem&amp;amp;gt;&amp;amp;lt;RHSItem&amp;amp;gt;&amp;amp;lt;RHSType&amp;amp;gt;EXPRESSION&amp;amp;lt;/RHSType&amp;amp;gt;&amp;amp;lt;AddQuotes&amp;amp;gt;True&amp;amp;lt;/AddQuotes&amp;amp;gt;&amp;amp;lt;DateFor'"</definedName>
    <definedName name="_AMO_ContentDefinition_891553685.576" hidden="1">"'mat&amp;amp;gt;None&amp;amp;lt;/DateFormat&amp;amp;gt;&amp;amp;lt;RightHandSideExpression xml:space=&amp;amp;quot;preserve&amp;amp;quot;&amp;amp;gt;MFPR06008096&amp;amp;lt;/RightHandSideExpression&amp;amp;gt;&amp;amp;lt;IsSubquery&amp;amp;gt;False&amp;amp;lt;/IsSubquery&amp;amp;gt;&amp;amp;lt;SubqueryTempl'"</definedName>
    <definedName name="_AMO_ContentDefinition_891553685.577" hidden="1">"'ateName /&amp;amp;gt;&amp;amp;lt;/RHSItem&amp;amp;gt;&amp;amp;lt;RHSItem&amp;amp;gt;&amp;amp;lt;RHSType&amp;amp;gt;EXPRESSION&amp;amp;lt;/RHSType&amp;amp;gt;&amp;amp;lt;AddQuotes&amp;amp;gt;True&amp;amp;lt;/AddQuotes&amp;amp;gt;&amp;amp;lt;DateFormat&amp;amp;gt;None&amp;amp;lt;/DateFormat&amp;amp;gt;&amp;amp;lt;RightHandS'"</definedName>
    <definedName name="_AMO_ContentDefinition_891553685.578" hidden="1">"'ideExpression xml:space=&amp;amp;quot;preserve&amp;amp;quot;&amp;amp;gt;MFPR06008097&amp;amp;lt;/RightHandSideExpression&amp;amp;gt;&amp;amp;lt;IsSubquery&amp;amp;gt;False&amp;amp;lt;/IsSubquery&amp;amp;gt;&amp;amp;lt;SubqueryTemplateName /&amp;amp;gt;&amp;amp;lt;/RHSItem&amp;amp;gt;&amp;amp;lt;RHSItem&amp;amp'"</definedName>
    <definedName name="_AMO_ContentDefinition_891553685.579" hidden="1">"';gt;&amp;amp;lt;RHSType&amp;amp;gt;EXPRESSION&amp;amp;lt;/RHSType&amp;amp;gt;&amp;amp;lt;AddQuotes&amp;amp;gt;True&amp;amp;lt;/AddQuotes&amp;amp;gt;&amp;amp;lt;DateFormat&amp;amp;gt;None&amp;amp;lt;/DateFormat&amp;amp;gt;&amp;amp;lt;RightHandSideExpression xml:space=&amp;amp;quot;preserve&amp;amp;quot;&amp;amp;gt;'"</definedName>
    <definedName name="_AMO_ContentDefinition_891553685.58" hidden="1">"'A;'MFFSIR000915',&amp;amp;#xD;&amp;amp;#xA;'MFDRVD000145',&amp;amp;#xD;&amp;amp;#xA;'MFFSIR000916',&amp;amp;#xD;&amp;amp;#xA;'MFBS01001009',&amp;amp;#xD;&amp;amp;#xA;'MFBS01000880',&amp;amp;#xD;&amp;amp;#xA;'MFBS01001010',&amp;amp;#xD;&amp;amp;#xA;'MFBS01001011',&amp;amp;#xD;&amp;amp;#xA;'MFBS01001012',&amp;am'"</definedName>
    <definedName name="_AMO_ContentDefinition_891553685.580" hidden="1">"'MFPR06008594&amp;amp;lt;/RightHandSideExpression&amp;amp;gt;&amp;amp;lt;IsSubquery&amp;amp;gt;False&amp;amp;lt;/IsSubquery&amp;amp;gt;&amp;amp;lt;SubqueryTemplateName /&amp;amp;gt;&amp;amp;lt;/RHSItem&amp;amp;gt;&amp;amp;lt;RHSItem&amp;amp;gt;&amp;amp;lt;RHSType&amp;amp;gt;EXPRESSION&amp;amp;lt;/RHSType&amp;amp;gt'"</definedName>
    <definedName name="_AMO_ContentDefinition_891553685.581" hidden="1">"';&amp;amp;lt;AddQuotes&amp;amp;gt;True&amp;amp;lt;/AddQuotes&amp;amp;gt;&amp;amp;lt;DateFormat&amp;amp;gt;None&amp;amp;lt;/DateFormat&amp;amp;gt;&amp;amp;lt;RightHandSideExpression xml:space=&amp;amp;quot;preserve&amp;amp;quot;&amp;amp;gt;MFPR06008584&amp;amp;lt;/RightHandSideExpression&amp;amp;gt;&amp;amp;lt;'"</definedName>
    <definedName name="_AMO_ContentDefinition_891553685.582" hidden="1">"'IsSubquery&amp;amp;gt;False&amp;amp;lt;/IsSubquery&amp;amp;gt;&amp;amp;lt;SubqueryTemplateName /&amp;amp;gt;&amp;amp;lt;/RHSItem&amp;amp;gt;&amp;amp;lt;RHSItem&amp;amp;gt;&amp;amp;lt;RHSType&amp;amp;gt;EXPRESSION&amp;amp;lt;/RHSType&amp;amp;gt;&amp;amp;lt;AddQuotes&amp;amp;gt;True&amp;amp;lt;/AddQuotes&amp;amp;gt;&amp;amp'"</definedName>
    <definedName name="_AMO_ContentDefinition_891553685.583" hidden="1">"';lt;DateFormat&amp;amp;gt;None&amp;amp;lt;/DateFormat&amp;amp;gt;&amp;amp;lt;RightHandSideExpression xml:space=&amp;amp;quot;preserve&amp;amp;quot;&amp;amp;gt;MFFSIR001031&amp;amp;lt;/RightHandSideExpression&amp;amp;gt;&amp;amp;lt;IsSubquery&amp;amp;gt;False&amp;amp;lt;/IsSubquery&amp;amp;gt;&amp;amp;lt;Su'"</definedName>
    <definedName name="_AMO_ContentDefinition_891553685.584" hidden="1">"'bqueryTemplateName /&amp;amp;gt;&amp;amp;lt;/RHSItem&amp;amp;gt;&amp;amp;lt;RHSItem&amp;amp;gt;&amp;amp;lt;RHSType&amp;amp;gt;EXPRESSION&amp;amp;lt;/RHSType&amp;amp;gt;&amp;amp;lt;AddQuotes&amp;amp;gt;True&amp;amp;lt;/AddQuotes&amp;amp;gt;&amp;amp;lt;DateFormat&amp;amp;gt;None&amp;amp;lt;/DateFormat&amp;amp;gt;&amp;amp;lt'"</definedName>
    <definedName name="_AMO_ContentDefinition_891553685.585" hidden="1">"';RightHandSideExpression xml:space=&amp;amp;quot;preserve&amp;amp;quot;&amp;amp;gt;MFPR06008595&amp;amp;lt;/RightHandSideExpression&amp;amp;gt;&amp;amp;lt;IsSubquery&amp;amp;gt;False&amp;amp;lt;/IsSubquery&amp;amp;gt;&amp;amp;lt;SubqueryTemplateName /&amp;amp;gt;&amp;amp;lt;/RHSItem&amp;amp;gt;&amp;amp;lt;'"</definedName>
    <definedName name="_AMO_ContentDefinition_891553685.586" hidden="1">"'RHSItem&amp;amp;gt;&amp;amp;lt;RHSType&amp;amp;gt;EXPRESSION&amp;amp;lt;/RHSType&amp;amp;gt;&amp;amp;lt;AddQuotes&amp;amp;gt;True&amp;amp;lt;/AddQuotes&amp;amp;gt;&amp;amp;lt;DateFormat&amp;amp;gt;None&amp;amp;lt;/DateFormat&amp;amp;gt;&amp;amp;lt;RightHandSideExpression xml:space=&amp;amp;quot;preserve&amp;amp;qu'"</definedName>
    <definedName name="_AMO_ContentDefinition_891553685.587" hidden="1">"'ot;&amp;amp;gt;MFPR01000232&amp;amp;lt;/RightHandSideExpression&amp;amp;gt;&amp;amp;lt;IsSubquery&amp;amp;gt;False&amp;amp;lt;/IsSubquery&amp;amp;gt;&amp;amp;lt;SubqueryTemplateName /&amp;amp;gt;&amp;amp;lt;/RHSItem&amp;amp;gt;&amp;amp;lt;RHSItem&amp;amp;gt;&amp;amp;lt;RHSType&amp;amp;gt;EXPRESSION&amp;amp;lt;/RHS'"</definedName>
    <definedName name="_AMO_ContentDefinition_891553685.588" hidden="1">"'Type&amp;amp;gt;&amp;amp;lt;AddQuotes&amp;amp;gt;True&amp;amp;lt;/AddQuotes&amp;amp;gt;&amp;amp;lt;DateFormat&amp;amp;gt;None&amp;amp;lt;/DateFormat&amp;amp;gt;&amp;amp;lt;RightHandSideExpression xml:space=&amp;amp;quot;preserve&amp;amp;quot;&amp;amp;gt;MFPR01006456&amp;amp;lt;/RightHandSideExpression&amp;amp;'"</definedName>
    <definedName name="_AMO_ContentDefinition_891553685.589" hidden="1">"'gt;&amp;amp;lt;IsSubquery&amp;amp;gt;False&amp;amp;lt;/IsSubquery&amp;amp;gt;&amp;amp;lt;SubqueryTemplateName /&amp;amp;gt;&amp;amp;lt;/RHSItem&amp;amp;gt;&amp;amp;lt;RHSItem&amp;amp;gt;&amp;amp;lt;RHSType&amp;amp;gt;EXPRESSION&amp;amp;lt;/RHSType&amp;amp;gt;&amp;amp;lt;AddQuotes&amp;amp;gt;True&amp;amp;lt;/AddQuotes&amp;'"</definedName>
    <definedName name="_AMO_ContentDefinition_891553685.59" hidden="1">"'p;#xD;&amp;amp;#xA;'MFBS01001013',&amp;amp;#xD;&amp;amp;#xA;'MFBS01001014',&amp;amp;#xD;&amp;amp;#xA;'MFBS01001015',&amp;amp;#xD;&amp;amp;#xA;'MFBS01000881',&amp;amp;#xD;&amp;amp;#xA;'MFFSIR000924',&amp;amp;#xD;&amp;amp;#xA;'MFBS01000883',&amp;amp;#xD;&amp;amp;#xA;'MFFSIR000925',&amp;amp;#xD;&amp;amp;#xA;'MFBS'"</definedName>
    <definedName name="_AMO_ContentDefinition_891553685.590" hidden="1">"'amp;gt;&amp;amp;lt;DateFormat&amp;amp;gt;None&amp;amp;lt;/DateFormat&amp;amp;gt;&amp;amp;lt;RightHandSideExpression xml:space=&amp;amp;quot;preserve&amp;amp;quot;&amp;amp;gt;MFBS04000156&amp;amp;lt;/RightHandSideExpression&amp;amp;gt;&amp;amp;lt;IsSubquery&amp;amp;gt;False&amp;amp;lt;/IsSubquery&amp;amp;gt'"</definedName>
    <definedName name="_AMO_ContentDefinition_891553685.591" hidden="1">"';&amp;amp;lt;SubqueryTemplateName /&amp;amp;gt;&amp;amp;lt;/RHSItem&amp;amp;gt;&amp;amp;lt;/RightHandSideItems&amp;amp;gt;&amp;amp;lt;/RightHandSide&amp;amp;gt;&amp;amp;lt;IsCaseSensitive&amp;amp;gt;True&amp;amp;lt;/IsCaseSensitive&amp;amp;gt;&amp;amp;lt;/Node&amp;amp;gt;&amp;amp;lt;/SiblingLink&amp;amp;gt;&amp;amp;lt'"</definedName>
    <definedName name="_AMO_ContentDefinition_891553685.592" hidden="1">"';Operator&amp;amp;gt;IN&amp;amp;lt;/Operator&amp;amp;gt;&amp;amp;lt;UseMacroFunction&amp;amp;gt;False&amp;amp;lt;/UseMacroFunction&amp;amp;gt;&amp;amp;lt;Not&amp;amp;gt;False&amp;amp;lt;/Not&amp;amp;gt;&amp;amp;lt;Label /&amp;amp;gt;&amp;amp;lt;RightHandSide&amp;amp;gt;&amp;amp;lt;RightHandSideNumType&amp;amp;gt;LIST&amp;'"</definedName>
    <definedName name="_AMO_ContentDefinition_891553685.593" hidden="1">"'amp;lt;/RightHandSideNumType&amp;amp;gt;&amp;amp;lt;RightHandSideItems&amp;amp;gt;&amp;amp;lt;RHSItem&amp;amp;gt;&amp;amp;lt;RHSType&amp;amp;gt;EXPRESSION&amp;amp;lt;/RHSType&amp;amp;gt;&amp;amp;lt;AddQuotes&amp;amp;gt;True&amp;amp;lt;/AddQuotes&amp;amp;gt;&amp;amp;lt;DateFormat&amp;amp;gt;None&amp;amp;lt;/DateFor'"</definedName>
    <definedName name="_AMO_ContentDefinition_891553685.594" hidden="1">"'mat&amp;amp;gt;&amp;amp;lt;RightHandSideExpression xml:space=&amp;amp;quot;preserve&amp;amp;quot;&amp;amp;gt;Q&amp;amp;lt;/RightHandSideExpression&amp;amp;gt;&amp;amp;lt;IsSubquery&amp;amp;gt;False&amp;amp;lt;/IsSubquery&amp;amp;gt;&amp;amp;lt;SubqueryTemplateName /&amp;amp;gt;&amp;amp;lt;/RHSItem&amp;amp;gt;&amp;'"</definedName>
    <definedName name="_AMO_ContentDefinition_891553685.595" hidden="1">"'amp;lt;RHSItem&amp;amp;gt;&amp;amp;lt;RHSType&amp;amp;gt;EXPRESSION&amp;amp;lt;/RHSType&amp;amp;gt;&amp;amp;lt;AddQuotes&amp;amp;gt;True&amp;amp;lt;/AddQuotes&amp;amp;gt;&amp;amp;lt;DateFormat&amp;amp;gt;None&amp;amp;lt;/DateFormat&amp;amp;gt;&amp;amp;lt;RightHandSideExpression xml:space=&amp;amp;quot;preserve'"</definedName>
    <definedName name="_AMO_ContentDefinition_891553685.596" hidden="1">"'&amp;amp;quot;&amp;amp;gt;S&amp;amp;lt;/RightHandSideExpression&amp;amp;gt;&amp;amp;lt;IsSubquery&amp;amp;gt;False&amp;amp;lt;/IsSubquery&amp;amp;gt;&amp;amp;lt;SubqueryTemplateName /&amp;amp;gt;&amp;amp;lt;/RHSItem&amp;amp;gt;&amp;amp;lt;RHSItem&amp;amp;gt;&amp;amp;lt;RHSType&amp;amp;gt;EXPRESSION&amp;amp;lt;/RHSType'"</definedName>
    <definedName name="_AMO_ContentDefinition_891553685.597" hidden="1">"'&amp;amp;gt;&amp;amp;lt;AddQuotes&amp;amp;gt;True&amp;amp;lt;/AddQuotes&amp;amp;gt;&amp;amp;lt;DateFormat&amp;amp;gt;None&amp;amp;lt;/DateFormat&amp;amp;gt;&amp;amp;lt;RightHandSideExpression xml:space=&amp;amp;quot;preserve&amp;amp;quot;&amp;amp;gt;N&amp;amp;lt;/RightHandSideExpression&amp;amp;gt;&amp;amp;lt;IsSu'"</definedName>
    <definedName name="_AMO_ContentDefinition_891553685.598" hidden="1">"'bquery&amp;amp;gt;False&amp;amp;lt;/IsSubquery&amp;amp;gt;&amp;amp;lt;SubqueryTemplateName /&amp;amp;gt;&amp;amp;lt;/RHSItem&amp;amp;gt;&amp;amp;lt;RHSItem&amp;amp;gt;&amp;amp;lt;RHSType&amp;amp;gt;EXPRESSION&amp;amp;lt;/RHSType&amp;amp;gt;&amp;amp;lt;AddQuotes&amp;amp;gt;True&amp;amp;lt;/AddQuotes&amp;amp;gt;&amp;amp;lt;'"</definedName>
    <definedName name="_AMO_ContentDefinition_891553685.599" hidden="1">"'DateFormat&amp;amp;gt;None&amp;amp;lt;/DateFormat&amp;amp;gt;&amp;amp;lt;RightHandSideExpression xml:space=&amp;amp;quot;preserve&amp;amp;quot;&amp;amp;gt;A&amp;amp;lt;/RightHandSideExpression&amp;amp;gt;&amp;amp;lt;IsSubquery&amp;amp;gt;False&amp;amp;lt;/IsSubquery&amp;amp;gt;&amp;amp;lt;SubqueryTemplateN'"</definedName>
    <definedName name="_AMO_ContentDefinition_891553685.6" hidden="1">"'89',&amp;#xD;&amp;#xA;'MFBS01001103',&amp;#xD;&amp;#xA;'MFBS01000890',&amp;#xD;&amp;#xA;'MFBS01000891',&amp;#xD;&amp;#xA;'MFBS01000892',&amp;#xD;&amp;#xA;'MFBS01000893',&amp;#xD;&amp;#xA;'MFBS01000894',&amp;#xD;&amp;#xA;'MFBS01000885',&amp;#xD;&amp;#xA;'MFBS01000896',&amp;#xD;&amp;#xA;'MFBS01000897',&amp;#xD;&amp;#xA;'MFBS0100089'"</definedName>
    <definedName name="_AMO_ContentDefinition_891553685.60" hidden="1">"'01000887',&amp;amp;#xD;&amp;amp;#xA;'MFBS06000744',&amp;amp;#xD;&amp;amp;#xA;'MFBS06000745',&amp;amp;#xD;&amp;amp;#xA;'MFBS01001016',&amp;amp;#xD;&amp;amp;#xA;'MFBS01000888',&amp;amp;#xD;&amp;amp;#xA;'MFFSIR000209',&amp;amp;#xD;&amp;amp;#xA;'MFBS01001017',&amp;amp;#xD;&amp;amp;#xA;'MFBS01001018',&amp;amp;#xD;&amp;'"</definedName>
    <definedName name="_AMO_ContentDefinition_891553685.600" hidden="1">"'ame /&amp;amp;gt;&amp;amp;lt;/RHSItem&amp;amp;gt;&amp;amp;lt;/RightHandSideItems&amp;amp;gt;&amp;amp;lt;/RightHandSide&amp;amp;gt;&amp;amp;lt;IsCaseSensitive&amp;amp;gt;True&amp;amp;lt;/IsCaseSensitive&amp;amp;gt;&amp;amp;lt;/TreeRoot&amp;amp;gt;&amp;amp;lt;/FilterTree&amp;amp;gt;&amp;quot; Sort=&amp;quot;date_dt ASC,'"</definedName>
    <definedName name="_AMO_ContentDefinition_891553685.601" hidden="1">"'  entity_id ASC,  indicator_id ASC,  frequency_cd ASC&amp;quot; ColSelFlg=&amp;quot;0&amp;quot; DNA=&amp;quot;&amp;amp;lt;DNA&amp;amp;gt;&amp;amp;#xD;&amp;amp;#xA;  &amp;amp;lt;Type&amp;amp;gt;Dataset&amp;amp;lt;/Type&amp;amp;gt;&amp;amp;#xD;&amp;amp;#xA;  &amp;amp;lt;Name&amp;amp;gt;validation_metrics_prior10_vie'"</definedName>
    <definedName name="_AMO_ContentDefinition_891553685.602" hidden="1">"'w&amp;amp;lt;/Name&amp;amp;gt;&amp;amp;#xD;&amp;amp;#xA;  &amp;amp;lt;Version&amp;amp;gt;1&amp;amp;lt;/Version&amp;amp;gt;&amp;amp;#xD;&amp;amp;#xA;  &amp;amp;lt;Assembly&amp;amp;gt;SAS.EG.SDS.Model&amp;amp;lt;/Assembly&amp;amp;gt;&amp;amp;#xD;&amp;amp;#xA;  &amp;amp;lt;Factory&amp;amp;gt;SAS.EG.SDS.Model.Creator&amp;amp;lt;/'"</definedName>
    <definedName name="_AMO_ContentDefinition_891553685.603" hidden="1">"'Factory&amp;amp;gt;&amp;amp;#xD;&amp;amp;#xA;  &amp;amp;lt;ParentName&amp;amp;gt;Metrics Data&amp;amp;lt;/ParentName&amp;amp;gt;&amp;amp;#xD;&amp;amp;#xA;  &amp;amp;lt;Server&amp;amp;gt;SASApp&amp;amp;lt;/Server&amp;amp;gt;&amp;amp;#xD;&amp;amp;#xA;  &amp;amp;lt;Library&amp;amp;gt;Metrics Data&amp;amp;lt;/Library&amp;amp;gt;&amp;'"</definedName>
    <definedName name="_AMO_ContentDefinition_891553685.604" hidden="1">"'amp;#xD;&amp;amp;#xA;  &amp;amp;lt;ParentDNA&amp;amp;gt;&amp;amp;amp;lt;DNA&amp;amp;amp;gt;&amp;amp;#xD;&amp;amp;#xA;  &amp;amp;amp;lt;Type&amp;amp;amp;gt;Library&amp;amp;amp;lt;/Type&amp;amp;amp;gt;&amp;amp;#xD;&amp;amp;#xA;  &amp;amp;amp;lt;Name&amp;amp;amp;gt;Metrics Data&amp;amp;amp;lt;/Name&amp;amp;amp;gt;&amp;amp;#x'"</definedName>
    <definedName name="_AMO_ContentDefinition_891553685.605" hidden="1">"'D;&amp;amp;#xA;  &amp;amp;amp;lt;Version&amp;amp;amp;gt;1&amp;amp;amp;lt;/Version&amp;amp;amp;gt;&amp;amp;#xD;&amp;amp;#xA;  &amp;amp;amp;lt;Assembly&amp;amp;amp;gt;SAS.EG.SDS.Model&amp;amp;amp;lt;/Assembly&amp;amp;amp;gt;&amp;amp;#xD;&amp;amp;#xA;  &amp;amp;amp;lt;Factory&amp;amp;amp;gt;SAS.EG.SDS.Model.Creat'"</definedName>
    <definedName name="_AMO_ContentDefinition_891553685.606" hidden="1">"'or&amp;amp;amp;lt;/Factory&amp;amp;amp;gt;&amp;amp;#xD;&amp;amp;#xA;  &amp;amp;amp;lt;ParentName&amp;amp;amp;gt;SASApp&amp;amp;amp;lt;/ParentName&amp;amp;amp;gt;&amp;amp;#xD;&amp;amp;#xA;  &amp;amp;amp;lt;DisplayName&amp;amp;amp;gt;Metrics Data&amp;amp;amp;lt;/DisplayName&amp;amp;amp;gt;&amp;amp;#xD;&amp;amp;#xA; '"</definedName>
    <definedName name="_AMO_ContentDefinition_891553685.607" hidden="1">"' &amp;amp;amp;lt;Server&amp;amp;amp;gt;SASApp&amp;amp;amp;lt;/Server&amp;amp;amp;gt;&amp;amp;#xD;&amp;amp;#xA;&amp;amp;amp;lt;/DNA&amp;amp;amp;gt;&amp;amp;lt;/ParentDNA&amp;amp;gt;&amp;amp;#xD;&amp;amp;#xA;&amp;amp;lt;/DNA&amp;amp;gt;&amp;quot; Name=&amp;quot;validation_metrics_prior10_view&amp;quot;&amp;gt;&amp;#xD;&amp;#xA;&amp;lt;'"</definedName>
    <definedName name="_AMO_ContentDefinition_891553685.608" hidden="1">"'Cols&amp;gt;&amp;#xD;&amp;#xA;&amp;lt;cn&amp;gt;entity_short_nm&amp;lt;/cn&amp;gt;&amp;#xD;&amp;#xA;&amp;lt;cn&amp;gt;indicator_id&amp;lt;/cn&amp;gt;&amp;#xD;&amp;#xA;&amp;lt;cn&amp;gt;output_label&amp;lt;/cn&amp;gt;&amp;#xD;&amp;#xA;&amp;lt;cn&amp;gt;frequency_cd&amp;lt;/cn&amp;gt;&amp;#xD;&amp;#xA;&amp;lt;cn&amp;gt;date_dt&amp;lt;/cn&amp;gt;&amp;#xD;&amp;#xA;&amp;lt;cn&amp;gt;reporting_'"</definedName>
    <definedName name="_AMO_ContentDefinition_891553685.609" hidden="1">"'amount&amp;lt;/cn&amp;gt;&amp;#xD;&amp;#xA;&amp;lt;/Cols&amp;gt;&amp;#xD;&amp;#xA;&amp;lt;ColOrd&amp;gt;&amp;#xD;&amp;#xA;&amp;lt;cn&amp;gt;entity_short_nm&amp;lt;/cn&amp;gt;&amp;#xD;&amp;#xA;&amp;lt;cn&amp;gt;indicator_id&amp;lt;/cn&amp;gt;&amp;#xD;&amp;#xA;&amp;lt;cn&amp;gt;output_label&amp;lt;/cn&amp;gt;&amp;#xD;&amp;#xA;&amp;lt;cn&amp;gt;frequency_cd&amp;lt;/cn&amp;gt;&amp;#xD;&amp;#xA;&amp;l'"</definedName>
    <definedName name="_AMO_ContentDefinition_891553685.61" hidden="1">"'amp;#xA;'MFBS06000737',&amp;amp;#xD;&amp;amp;#xA;'MFBS06000746',&amp;amp;#xD;&amp;amp;#xA;'MFFSIR000190',&amp;amp;#xD;&amp;amp;#xA;'MFBS01001019',&amp;amp;#xD;&amp;amp;#xA;'MFBS01000895',&amp;amp;#xD;&amp;amp;#xA;'MFBS01001020',&amp;amp;#xD;&amp;amp;#xA;'MFBS01001021',&amp;amp;#xD;&amp;amp;#xA;'MFBS0100090'"</definedName>
    <definedName name="_AMO_ContentDefinition_891553685.610" hidden="1">"'t;cn&amp;gt;date_dt&amp;lt;/cn&amp;gt;&amp;#xD;&amp;#xA;&amp;lt;cn&amp;gt;reporting_amount&amp;lt;/cn&amp;gt;&amp;#xD;&amp;#xA;&amp;lt;cn&amp;gt;frequency_nm&amp;lt;/cn&amp;gt;&amp;#xD;&amp;#xA;&amp;lt;cn&amp;gt;status_cd&amp;lt;/cn&amp;gt;&amp;#xD;&amp;#xA;&amp;lt;cn&amp;gt;submitted_dttm&amp;lt;/cn&amp;gt;&amp;#xD;&amp;#xA;&amp;lt;cn&amp;gt;macro_data_cd&amp;lt;/cn&amp;gt;&amp;#xD;&amp;'"</definedName>
    <definedName name="_AMO_ContentDefinition_891553685.611" hidden="1">"'#xA;&amp;lt;cn&amp;gt;unit&amp;lt;/cn&amp;gt;&amp;#xD;&amp;#xA;&amp;lt;cn&amp;gt;type&amp;lt;/cn&amp;gt;&amp;#xD;&amp;#xA;&amp;lt;cn&amp;gt;year_quarter_nm&amp;lt;/cn&amp;gt;&amp;#xD;&amp;#xA;&amp;lt;cn&amp;gt;year_month_nm&amp;lt;/cn&amp;gt;&amp;#xD;&amp;#xA;&amp;lt;cn&amp;gt;calendar_date_sas&amp;lt;/cn&amp;gt;&amp;#xD;&amp;#xA;&amp;lt;cn&amp;gt;entity_id&amp;lt;/cn&amp;gt;&amp;#xD;&amp;#xA'"</definedName>
    <definedName name="_AMO_ContentDefinition_891553685.612" hidden="1">"';&amp;lt;cn&amp;gt;country_cd&amp;lt;/cn&amp;gt;&amp;#xD;&amp;#xA;&amp;lt;cn&amp;gt;entity_submitter_type&amp;lt;/cn&amp;gt;&amp;#xD;&amp;#xA;&amp;lt;cn&amp;gt;vgroup_fl&amp;lt;/cn&amp;gt;&amp;#xD;&amp;#xA;&amp;lt;cn&amp;gt;fiscal_year_end_mo&amp;lt;/cn&amp;gt;&amp;#xD;&amp;#xA;&amp;lt;cn&amp;gt;country_nm&amp;lt;/cn&amp;gt;&amp;#xD;&amp;#xA;&amp;lt;cn&amp;gt;form_id&amp;lt;/cn&amp;gt'"</definedName>
    <definedName name="_AMO_ContentDefinition_891553685.613" hidden="1">"';&amp;#xD;&amp;#xA;&amp;lt;cn&amp;gt;form_nm&amp;lt;/cn&amp;gt;&amp;#xD;&amp;#xA;&amp;lt;/ColOrd&amp;gt;&amp;#xD;&amp;#xA;&amp;lt;/SasDataSource&amp;gt;"" /&gt;_x000D_
  &lt;param n=""ExcelTableColumnCount"" v=""6"" /&gt;_x000D_
  &lt;param n=""ExcelTableRowCount"" v=""78652"" /&gt;_x000D_
  &lt;param n=""DataRowCount"" v=""78652"" /&gt;_x000D_
  &lt;p'"</definedName>
    <definedName name="_AMO_ContentDefinition_891553685.614" hidden="1">"'aram n=""DataColCount"" v=""6"" /&gt;_x000D_
  &lt;param n=""ObsColumn"" v=""false"" /&gt;_x000D_
  &lt;param n=""ExcelFormattingHash"" v=""-1959528166"" /&gt;_x000D_
  &lt;param n=""ExcelFormatting"" v=""Automatic"" /&gt;_x000D_
  &lt;ExcelXMLOptions AdjColWidths=""True"" RowOpt=""InsertCells"" '"</definedName>
    <definedName name="_AMO_ContentDefinition_891553685.615" hidden="1">"'ColOpt=""InsertCells"" /&gt;_x000D_
&lt;/ContentDefinition&gt;'"</definedName>
    <definedName name="_AMO_ContentDefinition_891553685.62" hidden="1">"'2',&amp;amp;#xD;&amp;amp;#xA;'MFBS01001022',&amp;amp;#xD;&amp;amp;#xA;'MFBS01001023',&amp;amp;#xD;&amp;amp;#xA;'MFPR06008550',&amp;amp;#xD;&amp;amp;#xA;'MFPR06008571',&amp;amp;#xD;&amp;amp;#xA;'MFFSIR001021',&amp;amp;#xD;&amp;amp;#xA;'MFDRVD000167',&amp;amp;#xD;&amp;amp;#xA;'MFFSIR001028',&amp;amp;#xD;&amp;amp;#xA'"</definedName>
    <definedName name="_AMO_ContentDefinition_891553685.63" hidden="1">"';'MFPR01006405',&amp;amp;#xD;&amp;amp;#xA;'MFPR01006406',&amp;amp;#xD;&amp;amp;#xA;'MFPR01006407',&amp;amp;#xD;&amp;amp;#xA;'MFPR01006408',&amp;amp;#xD;&amp;amp;#xA;'MFPR01006409',&amp;amp;#xD;&amp;amp;#xA;'MFPR01006410',&amp;amp;#xD;&amp;amp;#xA;'MFPR01006411',&amp;amp;#xD;&amp;amp;#xA;'MFPR01006412',&amp;amp'"</definedName>
    <definedName name="_AMO_ContentDefinition_891553685.64" hidden="1">"';#xD;&amp;amp;#xA;'MFPR01006413',&amp;amp;#xD;&amp;amp;#xA;'MFPR01006414',&amp;amp;#xD;&amp;amp;#xA;'MFFSIR001012',&amp;amp;#xD;&amp;amp;#xA;'MFPR01006415',&amp;amp;#xD;&amp;amp;#xA;'MFFSIR001005',&amp;amp;#xD;&amp;amp;#xA;'MFPR06008579',&amp;amp;#xD;&amp;amp;#xA;'MFPR06008585',&amp;amp;#xD;&amp;amp;#xA;'MFPR0'"</definedName>
    <definedName name="_AMO_ContentDefinition_891553685.65" hidden="1">"'6008580',&amp;amp;#xD;&amp;amp;#xA;'MFPR01006315',&amp;amp;#xD;&amp;amp;#xA;'MFPR01006304',&amp;amp;#xD;&amp;amp;#xA;'MFPR01000307',&amp;amp;#xD;&amp;amp;#xA;'MFPR01006447',&amp;amp;#xD;&amp;amp;#xA;'MFPR01006448',&amp;amp;#xD;&amp;amp;#xA;'MFPR01006403',&amp;amp;#xD;&amp;amp;#xA;'MFPR06008553',&amp;amp;#xD;&amp;a'"</definedName>
    <definedName name="_AMO_ContentDefinition_891553685.66" hidden="1">"'mp;#xA;'MFPR06008578',&amp;amp;#xD;&amp;amp;#xA;'MFPR01006454',&amp;amp;#xD;&amp;amp;#xA;'MFPR01006455',&amp;amp;#xD;&amp;amp;#xA;'MFPR06008581',&amp;amp;#xD;&amp;amp;#xA;'MFPR04004642',&amp;amp;#xD;&amp;amp;#xA;'MFPR01006400',&amp;amp;#xD;&amp;amp;#xA;'MFPR01006451',&amp;amp;#xD;&amp;amp;#xA;'MFPR01006452'"</definedName>
    <definedName name="_AMO_ContentDefinition_891553685.67" hidden="1">"'',&amp;amp;#xD;&amp;amp;#xA;'MFPR02001304',&amp;amp;#xD;&amp;amp;#xA;'MFPR02001305',&amp;amp;#xD;&amp;amp;#xA;'MFPR01000286',&amp;amp;#xD;&amp;amp;#xA;'MFPR06008111',&amp;amp;#xD;&amp;amp;#xA;'MFPR06008112',&amp;amp;#xD;&amp;amp;#xA;'MFPR06008117',&amp;amp;#xD;&amp;amp;#xA;'MFPR06008118',&amp;amp;#xD;&amp;amp;#xA;'"</definedName>
    <definedName name="_AMO_ContentDefinition_891553685.68" hidden="1">"''MFPR06008114',&amp;amp;#xD;&amp;amp;#xA;'MFPR06008115',&amp;amp;#xD;&amp;amp;#xA;'MFPR06008116',&amp;amp;#xD;&amp;amp;#xA;'MFPR06008096',&amp;amp;#xD;&amp;amp;#xA;'MFPR06008097',&amp;amp;#xD;&amp;amp;#xA;'MFPR06008594',&amp;amp;#xD;&amp;amp;#xA;'MFPR06008584',&amp;amp;#xD;&amp;amp;#xA;'MFFSIR001031',&amp;amp;'"</definedName>
    <definedName name="_AMO_ContentDefinition_891553685.69" hidden="1">"'#xD;&amp;amp;#xA;'MFPR06008595',&amp;amp;#xD;&amp;amp;#xA;'MFPR01000232',&amp;amp;#xD;&amp;amp;#xA;'MFPR01006456',&amp;amp;#xD;&amp;amp;#xA;'MFBS04000156'&amp;amp;#xD;&amp;amp;#xA;) AND entity_short_nm IN &amp;amp;#xD;&amp;amp;#xA;(&amp;amp;#xD;&amp;amp;#xA;'Antigua and Barbuda',&amp;amp;#xD;&amp;amp;#xA;'Angu'"</definedName>
    <definedName name="_AMO_ContentDefinition_891553685.7" hidden="1">"'8',&amp;#xD;&amp;#xA;'MFBS01000899',&amp;#xD;&amp;#xA;'MFBS01000900',&amp;#xD;&amp;#xA;'MFBS01000102',&amp;#xD;&amp;#xA;'MFBS01000105',&amp;#xD;&amp;#xA;'MFBS01000901',&amp;#xD;&amp;#xA;'MFBS01000886',&amp;#xD;&amp;#xA;'MFBS01000903',&amp;#xD;&amp;#xA;'MFBS01000884',&amp;#xD;&amp;#xA;'MFBS01000905',&amp;#xD;&amp;#xA;'MFBS01000906'"</definedName>
    <definedName name="_AMO_ContentDefinition_891553685.70" hidden="1">"'illa',&amp;amp;#xD;&amp;amp;#xA;'Dominica',&amp;amp;#xD;&amp;amp;#xA;'Grenada',&amp;amp;#xD;&amp;amp;#xA;'Montserrat',&amp;amp;#xD;&amp;amp;#xA;'St Kitts and Nevis',&amp;amp;#xD;&amp;amp;#xA;'Saint Lucia',&amp;amp;#xD;&amp;amp;#xA;'St Vincent and the Grenadines',&amp;amp;#xD;&amp;amp;#xA;'ECCU',&amp;amp;#xD;&amp;a'"</definedName>
    <definedName name="_AMO_ContentDefinition_891553685.71" hidden="1">"'mp;#xA;'LOC AI',&amp;amp;#xD;&amp;amp;#xA;'LOC AG',&amp;amp;#xD;&amp;amp;#xA;'LOC DM',&amp;amp;#xD;&amp;amp;#xA;'LOC GD',&amp;amp;#xD;&amp;amp;#xA;'LOC MS',&amp;amp;#xD;&amp;amp;#xA;'LOC KN',&amp;amp;#xD;&amp;amp;#xA;'LOC LC',&amp;amp;#xD;&amp;amp;#xA;'LOC VC',&amp;amp;#xD;&amp;amp;#xA;'LOC EC'&amp;amp;#xD;&amp;amp;#xA;) '"</definedName>
    <definedName name="_AMO_ContentDefinition_891553685.72" hidden="1">"'AND date_dt IN &amp;amp;#xD;&amp;amp;#xA;(&amp;amp;#xD;&amp;amp;#xA;'30Sep2017'd,&amp;amp;#xD;&amp;amp;#xA;'31Dec2017'd,&amp;amp;#xD;&amp;amp;#xA;'31Mar2018'd,&amp;amp;#xD;&amp;amp;#xA;'30Jun2018'd,&amp;amp;#xD;&amp;amp;#xA;'30Sep2018'd,&amp;amp;#xD;&amp;amp;#xA;'31Dec2018'd,&amp;amp;#xD;&amp;amp;#xA;'31Mar2019'd,'"</definedName>
    <definedName name="_AMO_ContentDefinition_891553685.73" hidden="1">"'&amp;amp;#xD;&amp;amp;#xA;'30Jun2019'd,&amp;amp;#xD;&amp;amp;#xA;'30Sep2019'd,&amp;amp;#xD;&amp;amp;#xA;'31Dec2019'd,&amp;amp;#xD;&amp;amp;#xA;'31Mar2020'd,&amp;amp;#xD;&amp;amp;#xA;'30Jun2020'd,&amp;amp;#xD;&amp;amp;#xA;'30Sep2020'd&amp;amp;#xD;&amp;amp;#xA;)&amp;quot; FilterDS=&amp;quot;&amp;amp;lt;?xml version=&amp;amp'"</definedName>
    <definedName name="_AMO_ContentDefinition_891553685.74" hidden="1">"';quot;1.0&amp;amp;quot; encoding=&amp;amp;quot;utf-16&amp;amp;quot;?&amp;amp;gt;&amp;amp;lt;FilterTree&amp;amp;gt;&amp;amp;lt;TreeRoot&amp;amp;gt;&amp;amp;lt;ID&amp;amp;gt;d921dfdf-2c7f-4e09-aca7-e7b6fca01153&amp;amp;lt;/ID&amp;amp;gt;&amp;amp;lt;FilterType&amp;amp;gt;COLUMN&amp;amp;lt;/FilterType&amp;amp;gt;&amp;amp;'"</definedName>
    <definedName name="_AMO_ContentDefinition_891553685.75" hidden="1">"'lt;TableID /&amp;amp;gt;&amp;amp;lt;ColumnName&amp;amp;gt;frequency_cd&amp;amp;lt;/ColumnName&amp;amp;gt;&amp;amp;lt;ColumnType&amp;amp;gt;Character&amp;amp;lt;/ColumnType&amp;amp;gt;&amp;amp;lt;GroupLevel /&amp;amp;gt;&amp;amp;lt;SiblingLink&amp;amp;gt;&amp;amp;lt;LinkType&amp;amp;gt;AND&amp;amp;lt;/LinkType&amp;amp;'"</definedName>
    <definedName name="_AMO_ContentDefinition_891553685.76" hidden="1">"'gt;&amp;amp;lt;Node&amp;amp;gt;&amp;amp;lt;ID&amp;amp;gt;8e6f24d5-e546-4e55-916c-53bf7af683be&amp;amp;lt;/ID&amp;amp;gt;&amp;amp;lt;FilterType&amp;amp;gt;COLUMN&amp;amp;lt;/FilterType&amp;amp;gt;&amp;amp;lt;TableID /&amp;amp;gt;&amp;amp;lt;ColumnName&amp;amp;gt;indicator_id&amp;amp;lt;/ColumnName&amp;amp;gt;&amp;amp;l'"</definedName>
    <definedName name="_AMO_ContentDefinition_891553685.77" hidden="1">"'t;ColumnType&amp;amp;gt;Character&amp;amp;lt;/ColumnType&amp;amp;gt;&amp;amp;lt;GroupLevel /&amp;amp;gt;&amp;amp;lt;SiblingLink&amp;amp;gt;&amp;amp;lt;LinkType&amp;amp;gt;AND&amp;amp;lt;/LinkType&amp;amp;gt;&amp;amp;lt;Node&amp;amp;gt;&amp;amp;lt;ID&amp;amp;gt;045564f8-17eb-4e60-ac25-834933df0834&amp;amp;lt;/ID&amp;am'"</definedName>
    <definedName name="_AMO_ContentDefinition_891553685.78" hidden="1">"'p;gt;&amp;amp;lt;FilterType&amp;amp;gt;COLUMN&amp;amp;lt;/FilterType&amp;amp;gt;&amp;amp;lt;TableID /&amp;amp;gt;&amp;amp;lt;ColumnName&amp;amp;gt;entity_short_nm&amp;amp;lt;/ColumnName&amp;amp;gt;&amp;amp;lt;ColumnType&amp;amp;gt;Character&amp;amp;lt;/ColumnType&amp;amp;gt;&amp;amp;lt;GroupLevel /&amp;amp;gt;&amp;amp'"</definedName>
    <definedName name="_AMO_ContentDefinition_891553685.79" hidden="1">"';lt;SiblingLink&amp;amp;gt;&amp;amp;lt;LinkType&amp;amp;gt;AND&amp;amp;lt;/LinkType&amp;amp;gt;&amp;amp;lt;Node&amp;amp;gt;&amp;amp;lt;ID&amp;amp;gt;42a2bd1d-a997-4b2e-8021-f67885ab1a4e&amp;amp;lt;/ID&amp;amp;gt;&amp;amp;lt;FilterType&amp;amp;gt;COLUMN&amp;amp;lt;/FilterType&amp;amp;gt;&amp;amp;lt;TableID /&amp;amp;gt'"</definedName>
    <definedName name="_AMO_ContentDefinition_891553685.8" hidden="1">"'',&amp;#xD;&amp;#xA;'MFBS01000907',&amp;#xD;&amp;#xA;'MFBS01000908',&amp;#xD;&amp;#xA;'MFBS01000909',&amp;#xD;&amp;#xA;'MFBS01000041',&amp;#xD;&amp;#xA;'MFBS01000910',&amp;#xD;&amp;#xA;'MFBS01000911',&amp;#xD;&amp;#xA;'MFBS01000879',&amp;#xD;&amp;#xA;'MFBS01000912',&amp;#xD;&amp;#xA;'MFBS01000913',&amp;#xD;&amp;#xA;'MFBS06000403''"</definedName>
    <definedName name="_AMO_ContentDefinition_891553685.80" hidden="1">"';&amp;amp;lt;ColumnName&amp;amp;gt;date_dt&amp;amp;lt;/ColumnName&amp;amp;gt;&amp;amp;lt;ColumnType&amp;amp;gt;Date&amp;amp;lt;/ColumnType&amp;amp;gt;&amp;amp;lt;GroupLevel /&amp;amp;gt;&amp;amp;lt;Operator&amp;amp;gt;IN&amp;amp;lt;/Operator&amp;amp;gt;&amp;amp;lt;UseMacroFunction&amp;amp;gt;False&amp;amp;lt;/UseMacro'"</definedName>
    <definedName name="_AMO_ContentDefinition_891553685.81" hidden="1">"'Function&amp;amp;gt;&amp;amp;lt;Not&amp;amp;gt;False&amp;amp;lt;/Not&amp;amp;gt;&amp;amp;lt;Label /&amp;amp;gt;&amp;amp;lt;RightHandSide&amp;amp;gt;&amp;amp;lt;RightHandSideNumType&amp;amp;gt;LIST&amp;amp;lt;/RightHandSideNumType&amp;amp;gt;&amp;amp;lt;RightHandSideItems&amp;amp;gt;&amp;amp;lt;RHSItem&amp;amp;gt;&amp;amp;'"</definedName>
    <definedName name="_AMO_ContentDefinition_891553685.82" hidden="1">"'lt;RHSType&amp;amp;gt;EXPRESSION&amp;amp;lt;/RHSType&amp;amp;gt;&amp;amp;lt;AddQuotes&amp;amp;gt;False&amp;amp;lt;/AddQuotes&amp;amp;gt;&amp;amp;lt;DateFormat&amp;amp;gt;Literal&amp;amp;lt;/DateFormat&amp;amp;gt;&amp;amp;lt;RightHandSideExpression xml:space=&amp;amp;quot;preserve&amp;amp;quot;&amp;amp;gt;09/30'"</definedName>
    <definedName name="_AMO_ContentDefinition_891553685.83" hidden="1">"'/2017&amp;amp;lt;/RightHandSideExpression&amp;amp;gt;&amp;amp;lt;IsSubquery&amp;amp;gt;False&amp;amp;lt;/IsSubquery&amp;amp;gt;&amp;amp;lt;SubqueryTemplateName /&amp;amp;gt;&amp;amp;lt;/RHSItem&amp;amp;gt;&amp;amp;lt;RHSItem&amp;amp;gt;&amp;amp;lt;RHSType&amp;amp;gt;EXPRESSION&amp;amp;lt;/RHSType&amp;amp;gt;&amp;amp;l'"</definedName>
    <definedName name="_AMO_ContentDefinition_891553685.84" hidden="1">"'t;AddQuotes&amp;amp;gt;False&amp;amp;lt;/AddQuotes&amp;amp;gt;&amp;amp;lt;DateFormat&amp;amp;gt;Literal&amp;amp;lt;/DateFormat&amp;amp;gt;&amp;amp;lt;RightHandSideExpression xml:space=&amp;amp;quot;preserve&amp;amp;quot;&amp;amp;gt;12/31/2017&amp;amp;lt;/RightHandSideExpression&amp;amp;gt;&amp;amp;lt;IsSub'"</definedName>
    <definedName name="_AMO_ContentDefinition_891553685.85" hidden="1">"'query&amp;amp;gt;False&amp;amp;lt;/IsSubquery&amp;amp;gt;&amp;amp;lt;SubqueryTemplateName /&amp;amp;gt;&amp;amp;lt;/RHSItem&amp;amp;gt;&amp;amp;lt;RHSItem&amp;amp;gt;&amp;amp;lt;RHSType&amp;amp;gt;EXPRESSION&amp;amp;lt;/RHSType&amp;amp;gt;&amp;amp;lt;AddQuotes&amp;amp;gt;False&amp;amp;lt;/AddQuotes&amp;amp;gt;&amp;amp;lt;'"</definedName>
    <definedName name="_AMO_ContentDefinition_891553685.86" hidden="1">"'DateFormat&amp;amp;gt;Literal&amp;amp;lt;/DateFormat&amp;amp;gt;&amp;amp;lt;RightHandSideExpression xml:space=&amp;amp;quot;preserve&amp;amp;quot;&amp;amp;gt;03/31/2018&amp;amp;lt;/RightHandSideExpression&amp;amp;gt;&amp;amp;lt;IsSubquery&amp;amp;gt;False&amp;amp;lt;/IsSubquery&amp;amp;gt;&amp;amp;lt;Subqu'"</definedName>
    <definedName name="_AMO_ContentDefinition_891553685.87" hidden="1">"'eryTemplateName /&amp;amp;gt;&amp;amp;lt;/RHSItem&amp;amp;gt;&amp;amp;lt;RHSItem&amp;amp;gt;&amp;amp;lt;RHSType&amp;amp;gt;EXPRESSION&amp;amp;lt;/RHSType&amp;amp;gt;&amp;amp;lt;AddQuotes&amp;amp;gt;False&amp;amp;lt;/AddQuotes&amp;amp;gt;&amp;amp;lt;DateFormat&amp;amp;gt;Literal&amp;amp;lt;/DateFormat&amp;amp;gt;&amp;amp;l'"</definedName>
    <definedName name="_AMO_ContentDefinition_891553685.88" hidden="1">"'t;RightHandSideExpression xml:space=&amp;amp;quot;preserve&amp;amp;quot;&amp;amp;gt;06/30/2018&amp;amp;lt;/RightHandSideExpression&amp;amp;gt;&amp;amp;lt;IsSubquery&amp;amp;gt;False&amp;amp;lt;/IsSubquery&amp;amp;gt;&amp;amp;lt;SubqueryTemplateName /&amp;amp;gt;&amp;amp;lt;/RHSItem&amp;amp;gt;&amp;amp;lt;R'"</definedName>
    <definedName name="_AMO_ContentDefinition_891553685.89" hidden="1">"'HSItem&amp;amp;gt;&amp;amp;lt;RHSType&amp;amp;gt;EXPRESSION&amp;amp;lt;/RHSType&amp;amp;gt;&amp;amp;lt;AddQuotes&amp;amp;gt;False&amp;amp;lt;/AddQuotes&amp;amp;gt;&amp;amp;lt;DateFormat&amp;amp;gt;Literal&amp;amp;lt;/DateFormat&amp;amp;gt;&amp;amp;lt;RightHandSideExpression xml:space=&amp;amp;quot;preserve&amp;amp'"</definedName>
    <definedName name="_AMO_ContentDefinition_891553685.9" hidden="1">"',&amp;#xD;&amp;#xA;'MFBS06000687',&amp;#xD;&amp;#xA;'MFBS06000404',&amp;#xD;&amp;#xA;'MFBS06000406',&amp;#xD;&amp;#xA;'MFBS06000678',&amp;#xD;&amp;#xA;'MFBS01000740',&amp;#xD;&amp;#xA;'MFBS06000672',&amp;#xD;&amp;#xA;'MFBS06000659',&amp;#xD;&amp;#xA;'MFBS02000030',&amp;#xD;&amp;#xA;'MFBS02000021',&amp;#xD;&amp;#xA;'MFBS01000096','"</definedName>
    <definedName name="_AMO_ContentDefinition_891553685.90" hidden="1">"';quot;&amp;amp;gt;09/30/2018&amp;amp;lt;/RightHandSideExpression&amp;amp;gt;&amp;amp;lt;IsSubquery&amp;amp;gt;False&amp;amp;lt;/IsSubquery&amp;amp;gt;&amp;amp;lt;SubqueryTemplateName /&amp;amp;gt;&amp;amp;lt;/RHSItem&amp;amp;gt;&amp;amp;lt;RHSItem&amp;amp;gt;&amp;amp;lt;RHSType&amp;amp;gt;EXPRESSION&amp;amp;lt;/RH'"</definedName>
    <definedName name="_AMO_ContentDefinition_891553685.91" hidden="1">"'SType&amp;amp;gt;&amp;amp;lt;AddQuotes&amp;amp;gt;False&amp;amp;lt;/AddQuotes&amp;amp;gt;&amp;amp;lt;DateFormat&amp;amp;gt;Literal&amp;amp;lt;/DateFormat&amp;amp;gt;&amp;amp;lt;RightHandSideExpression xml:space=&amp;amp;quot;preserve&amp;amp;quot;&amp;amp;gt;12/31/2018&amp;amp;lt;/RightHandSideExpression&amp;a'"</definedName>
    <definedName name="_AMO_ContentDefinition_891553685.92" hidden="1">"'mp;gt;&amp;amp;lt;IsSubquery&amp;amp;gt;False&amp;amp;lt;/IsSubquery&amp;amp;gt;&amp;amp;lt;SubqueryTemplateName /&amp;amp;gt;&amp;amp;lt;/RHSItem&amp;amp;gt;&amp;amp;lt;RHSItem&amp;amp;gt;&amp;amp;lt;RHSType&amp;amp;gt;EXPRESSION&amp;amp;lt;/RHSType&amp;amp;gt;&amp;amp;lt;AddQuotes&amp;amp;gt;False&amp;amp;lt;/AddQuo'"</definedName>
    <definedName name="_AMO_ContentDefinition_891553685.93" hidden="1">"'tes&amp;amp;gt;&amp;amp;lt;DateFormat&amp;amp;gt;Literal&amp;amp;lt;/DateFormat&amp;amp;gt;&amp;amp;lt;RightHandSideExpression xml:space=&amp;amp;quot;preserve&amp;amp;quot;&amp;amp;gt;03/31/2019&amp;amp;lt;/RightHandSideExpression&amp;amp;gt;&amp;amp;lt;IsSubquery&amp;amp;gt;False&amp;amp;lt;/IsSubquery&amp;a'"</definedName>
    <definedName name="_AMO_ContentDefinition_891553685.94" hidden="1">"'mp;gt;&amp;amp;lt;SubqueryTemplateName /&amp;amp;gt;&amp;amp;lt;/RHSItem&amp;amp;gt;&amp;amp;lt;RHSItem&amp;amp;gt;&amp;amp;lt;RHSType&amp;amp;gt;EXPRESSION&amp;amp;lt;/RHSType&amp;amp;gt;&amp;amp;lt;AddQuotes&amp;amp;gt;False&amp;amp;lt;/AddQuotes&amp;amp;gt;&amp;amp;lt;DateFormat&amp;amp;gt;Literal&amp;amp;lt;/DateF'"</definedName>
    <definedName name="_AMO_ContentDefinition_891553685.95" hidden="1">"'ormat&amp;amp;gt;&amp;amp;lt;RightHandSideExpression xml:space=&amp;amp;quot;preserve&amp;amp;quot;&amp;amp;gt;06/30/2019&amp;amp;lt;/RightHandSideExpression&amp;amp;gt;&amp;amp;lt;IsSubquery&amp;amp;gt;False&amp;amp;lt;/IsSubquery&amp;amp;gt;&amp;amp;lt;SubqueryTemplateName /&amp;amp;gt;&amp;amp;lt;/RHSIt'"</definedName>
    <definedName name="_AMO_ContentDefinition_891553685.96" hidden="1">"'em&amp;amp;gt;&amp;amp;lt;RHSItem&amp;amp;gt;&amp;amp;lt;RHSType&amp;amp;gt;EXPRESSION&amp;amp;lt;/RHSType&amp;amp;gt;&amp;amp;lt;AddQuotes&amp;amp;gt;False&amp;amp;lt;/AddQuotes&amp;amp;gt;&amp;amp;lt;DateFormat&amp;amp;gt;Literal&amp;amp;lt;/DateFormat&amp;amp;gt;&amp;amp;lt;RightHandSideExpression xml:space=&amp;am'"</definedName>
    <definedName name="_AMO_ContentDefinition_891553685.97" hidden="1">"'p;quot;preserve&amp;amp;quot;&amp;amp;gt;09/30/2019&amp;amp;lt;/RightHandSideExpression&amp;amp;gt;&amp;amp;lt;IsSubquery&amp;amp;gt;False&amp;amp;lt;/IsSubquery&amp;amp;gt;&amp;amp;lt;SubqueryTemplateName /&amp;amp;gt;&amp;amp;lt;/RHSItem&amp;amp;gt;&amp;amp;lt;RHSItem&amp;amp;gt;&amp;amp;lt;RHSType&amp;amp;gt;EX'"</definedName>
    <definedName name="_AMO_ContentDefinition_891553685.98" hidden="1">"'PRESSION&amp;amp;lt;/RHSType&amp;amp;gt;&amp;amp;lt;AddQuotes&amp;amp;gt;False&amp;amp;lt;/AddQuotes&amp;amp;gt;&amp;amp;lt;DateFormat&amp;amp;gt;Literal&amp;amp;lt;/DateFormat&amp;amp;gt;&amp;amp;lt;RightHandSideExpression xml:space=&amp;amp;quot;preserve&amp;amp;quot;&amp;amp;gt;12/31/2019&amp;amp;lt;/RightH'"</definedName>
    <definedName name="_AMO_ContentDefinition_891553685.99" hidden="1">"'andSideExpression&amp;amp;gt;&amp;amp;lt;IsSubquery&amp;amp;gt;False&amp;amp;lt;/IsSubquery&amp;amp;gt;&amp;amp;lt;SubqueryTemplateName /&amp;amp;gt;&amp;amp;lt;/RHSItem&amp;amp;gt;&amp;amp;lt;RHSItem&amp;amp;gt;&amp;amp;lt;RHSType&amp;amp;gt;EXPRESSION&amp;amp;lt;/RHSType&amp;amp;gt;&amp;amp;lt;AddQuotes&amp;amp;gt;F'"</definedName>
    <definedName name="_AMO_ContentLocation_129898925_ROM_F0.SEC2.Report_1.SEC1.BDY.Detailed_and_or_summarized_report" hidden="1">"'Partitions:2'"</definedName>
    <definedName name="_AMO_ContentLocation_129898925_ROM_F0.SEC2.Report_1.SEC1.BDY.Detailed_and_or_summarized_report.0" hidden="1">"'&lt;ContentLocation path=""F0.SEC2.Report_1.SEC1.BDY.Detailed_and_or_summarized_report"" rsid=""129898925"" tag=""ROM"" fid=""0""&gt;_x000D_
  &lt;param n=""_NumRows"" v=""88"" /&gt;_x000D_
  &lt;param n=""_NumCols"" v=""16"" /&gt;_x000D_
  &lt;param n=""tableSig"" v=""R:R=88:C=16:FCR=2:F'"</definedName>
    <definedName name="_AMO_ContentLocation_129898925_ROM_F0.SEC2.Report_1.SEC1.BDY.Detailed_and_or_summarized_report.1" hidden="1">"'CC=1"" /&gt;_x000D_
  &lt;param n=""leftMargin"" v=""0"" /&gt;_x000D_
&lt;/ContentLocation&gt;'"</definedName>
    <definedName name="_AMO_ContentLocation_129898925_ROM_F0.SEC2.Report_1.SEC1.FTR.TXT1" hidden="1">"'&lt;ContentLocation path=""F0.SEC2.Report_1.SEC1.FTR.TXT1"" rsid=""129898925"" tag=""ROM"" fid=""0""&gt;_x000D_
  &lt;param n=""_NumRows"" v=""1"" /&gt;_x000D_
  &lt;param n=""_NumCols"" v=""16"" /&gt;_x000D_
&lt;/ContentLocation&gt;'"</definedName>
    <definedName name="_AMO_ContentLocation_129898925_ROM_F0.SEC2.Report_1.SEC1.FTR.TXT2" hidden="1">"'&lt;ContentLocation path=""F0.SEC2.Report_1.SEC1.FTR.TXT2"" rsid=""129898925"" tag=""ROM"" fid=""0""&gt;_x000D_
  &lt;param n=""_NumRows"" v=""1"" /&gt;_x000D_
  &lt;param n=""_NumCols"" v=""16"" /&gt;_x000D_
&lt;/ContentLocation&gt;'"</definedName>
    <definedName name="_AMO_ContentLocation_129898925_ROM_F0.SEC2.Report_1.SEC1.HDR.TXT1" hidden="1">"'&lt;ContentLocation path=""F0.SEC2.Report_1.SEC1.HDR.TXT1"" rsid=""129898925"" tag=""ROM"" fid=""0""&gt;_x000D_
  &lt;param n=""_NumRows"" v=""1"" /&gt;_x000D_
  &lt;param n=""_NumCols"" v=""16"" /&gt;_x000D_
&lt;/ContentLocation&gt;'"</definedName>
    <definedName name="_AMO_ContentLocation_129898925_ROM_F0.SEC2.Report_1.SEC1.HDR.TXT2" hidden="1">"'&lt;ContentLocation path=""F0.SEC2.Report_1.SEC1.HDR.TXT2"" rsid=""129898925"" tag=""ROM"" fid=""0""&gt;_x000D_
  &lt;param n=""_NumRows"" v=""1"" /&gt;_x000D_
  &lt;param n=""_NumCols"" v=""16"" /&gt;_x000D_
&lt;/ContentLocation&gt;'"</definedName>
    <definedName name="_AMO_ContentLocation_129898925_ROM_F0.SEC2.Report_1.SEC1.HDR.TXT3" hidden="1">"'&lt;ContentLocation path=""F0.SEC2.Report_1.SEC1.HDR.TXT3"" rsid=""129898925"" tag=""ROM"" fid=""0""&gt;_x000D_
  &lt;param n=""_NumRows"" v=""1"" /&gt;_x000D_
  &lt;param n=""_NumCols"" v=""16"" /&gt;_x000D_
&lt;/ContentLocation&gt;'"</definedName>
    <definedName name="_AMO_ContentLocation_316789590__A1" hidden="1">"'Partitions:119'"</definedName>
    <definedName name="_AMO_ContentLocation_316789590__A1.0" hidden="1">"'&lt;ContentLocation path=""A1"" rsid=""316789590"" tag="""" fid=""0""&gt;_x000D_
  &lt;param n=""_NumRows"" v=""103001"" /&gt;_x000D_
  &lt;param n=""_NumCols"" v=""6"" /&gt;_x000D_
  &lt;param n=""SASDataState"" v=""none"" /&gt;_x000D_
  &lt;param n=""SASDataStart"" v=""1"" /&gt;_x000D_
  &lt;param n=""SASDat'"</definedName>
    <definedName name="_AMO_ContentLocation_316789590__A1.1" hidden="1">"'aEnd"" v=""103000"" /&gt;_x000D_
  &lt;param n=""SASFilter"" v=""entity_submitter_type IN &amp;#xD;&amp;#xA;(&amp;#xD;&amp;#xA;'Country'&amp;#xD;&amp;#xA;) AND date_dt &amp;gt;= '31Dec2019'd AND frequency_cd IN &amp;#xD;&amp;#xA;(&amp;#xD;&amp;#xA;'M'&amp;#xD;&amp;#xA;) AND indicator_id IN &amp;#xD;&amp;#xA;(&amp;#xD;&amp;#xA;'MF'"</definedName>
    <definedName name="_AMO_ContentLocation_316789590__A1.10" hidden="1">"'55',&amp;#xD;&amp;#xA;'MFPR01000456',&amp;#xD;&amp;#xA;'MFPR01000457',&amp;#xD;&amp;#xA;'MFPR01000461',&amp;#xD;&amp;#xA;'MFPR01000467',&amp;#xD;&amp;#xA;'MFPR01000471',&amp;#xD;&amp;#xA;'MFPR01000472',&amp;#xD;&amp;#xA;'MFPR01000476',&amp;#xD;&amp;#xA;'MFPR01000477',&amp;#xD;&amp;#xA;'MFPR01000478',&amp;#xD;&amp;#xA;'MFPR0100048'"</definedName>
    <definedName name="_AMO_ContentLocation_316789590__A1.100" hidden="1">"'MFPR01003483',&amp;#xD;&amp;#xA;'MFPR01003484',&amp;#xD;&amp;#xA;'MFPR01003485',&amp;#xD;&amp;#xA;'MFPR01003486',&amp;#xD;&amp;#xA;'MFPR01003491',&amp;#xD;&amp;#xA;'MFPR01003497',&amp;#xD;&amp;#xA;'MFPR01003504',&amp;#xD;&amp;#xA;'MFPR01003506',&amp;#xD;&amp;#xA;'MFPR01003507',&amp;#xD;&amp;#xA;'MFPR01003508',&amp;#xD;&amp;#xA;'M'"</definedName>
    <definedName name="_AMO_ContentLocation_316789590__A1.101" hidden="1">"'FPR01003509',&amp;#xD;&amp;#xA;'MFPR01003514',&amp;#xD;&amp;#xA;'MFPR01003521',&amp;#xD;&amp;#xA;'MFPR01003525',&amp;#xD;&amp;#xA;'MFPR01003526',&amp;#xD;&amp;#xA;'MFPR01003532',&amp;#xD;&amp;#xA;'MFPR01003540',&amp;#xD;&amp;#xA;'MFPR01003547',&amp;#xD;&amp;#xA;'MFPR01003549',&amp;#xD;&amp;#xA;'MFPR01003550',&amp;#xD;&amp;#xA;'MF'"</definedName>
    <definedName name="_AMO_ContentLocation_316789590__A1.102" hidden="1">"'PR01003551',&amp;#xD;&amp;#xA;'MFPR01003552',&amp;#xD;&amp;#xA;'MFPR01003557',&amp;#xD;&amp;#xA;'MFPR01003563',&amp;#xD;&amp;#xA;'MFPR01003567',&amp;#xD;&amp;#xA;'MFPR01003571',&amp;#xD;&amp;#xA;'MFPR01003574',&amp;#xD;&amp;#xA;'MFPR01003577',&amp;#xD;&amp;#xA;'MFPR01003579',&amp;#xD;&amp;#xA;'MFPR01003580',&amp;#xD;&amp;#xA;'MFP'"</definedName>
    <definedName name="_AMO_ContentLocation_316789590__A1.103" hidden="1">"'R01003581',&amp;#xD;&amp;#xA;'MFPR01003582',&amp;#xD;&amp;#xA;'MFPR01003587',&amp;#xD;&amp;#xA;'MFPR01003594',&amp;#xD;&amp;#xA;'MFPR01003598',&amp;#xD;&amp;#xA;'MFPR01003599',&amp;#xD;&amp;#xA;'MFPR01003606',&amp;#xD;&amp;#xA;'MFPR01004148',&amp;#xD;&amp;#xA;'MFPR01004149',&amp;#xD;&amp;#xA;'MFPR01004150',&amp;#xD;&amp;#xA;'MFPR'"</definedName>
    <definedName name="_AMO_ContentLocation_316789590__A1.104" hidden="1">"'01004152',&amp;#xD;&amp;#xA;'MFPR01004153',&amp;#xD;&amp;#xA;'MFPR01004154',&amp;#xD;&amp;#xA;'MFPR01004155',&amp;#xD;&amp;#xA;'MFPR01004160',&amp;#xD;&amp;#xA;'MFPR01004166',&amp;#xD;&amp;#xA;'MFPR01004170',&amp;#xD;&amp;#xA;'MFPR01004171',&amp;#xD;&amp;#xA;'MFPR01004175',&amp;#xD;&amp;#xA;'MFPR01004176',&amp;#xD;&amp;#xA;'MFPR0'"</definedName>
    <definedName name="_AMO_ContentLocation_316789590__A1.105" hidden="1">"'1004177',&amp;#xD;&amp;#xA;'MFPR01004179',&amp;#xD;&amp;#xA;'MFPR01004180',&amp;#xD;&amp;#xA;'MFPR01004181',&amp;#xD;&amp;#xA;'MFPR01004182',&amp;#xD;&amp;#xA;'MFPR01004187',&amp;#xD;&amp;#xA;'MFPR01004193',&amp;#xD;&amp;#xA;'MFPR01004197',&amp;#xD;&amp;#xA;'MFPR01004198',&amp;#xD;&amp;#xA;'MFPR01004199',&amp;#xD;&amp;#xA;'MFPR01'"</definedName>
    <definedName name="_AMO_ContentLocation_316789590__A1.106" hidden="1">"'004207',&amp;#xD;&amp;#xA;'MFPR01004218',&amp;#xD;&amp;#xA;'MFPR01004219',&amp;#xD;&amp;#xA;'MFPR01004220',&amp;#xD;&amp;#xA;'MFPR01004222',&amp;#xD;&amp;#xA;'MFPR01004223',&amp;#xD;&amp;#xA;'MFPR01004224',&amp;#xD;&amp;#xA;'MFPR01004225',&amp;#xD;&amp;#xA;'MFPR01004230',&amp;#xD;&amp;#xA;'MFPR01004236',&amp;#xD;&amp;#xA;'MFPR010'"</definedName>
    <definedName name="_AMO_ContentLocation_316789590__A1.107" hidden="1">"'04240',&amp;#xD;&amp;#xA;'MFPR01004241',&amp;#xD;&amp;#xA;'MFPR01004245',&amp;#xD;&amp;#xA;'MFPR01004246',&amp;#xD;&amp;#xA;'MFPR01004247',&amp;#xD;&amp;#xA;'MFPR01004249',&amp;#xD;&amp;#xA;'MFPR01004250',&amp;#xD;&amp;#xA;'MFPR01004251',&amp;#xD;&amp;#xA;'MFPR01004252',&amp;#xD;&amp;#xA;'MFPR01004257',&amp;#xD;&amp;#xA;'MFPR0100'"</definedName>
    <definedName name="_AMO_ContentLocation_316789590__A1.108" hidden="1">"'4263',&amp;#xD;&amp;#xA;'MFPR01004267',&amp;#xD;&amp;#xA;'MFPR01004268',&amp;#xD;&amp;#xA;'MFPR01004269',&amp;#xD;&amp;#xA;'MFPR01004277',&amp;#xD;&amp;#xA;'MFPR01004288',&amp;#xD;&amp;#xA;'MFPR01004289',&amp;#xD;&amp;#xA;'MFPR01004290',&amp;#xD;&amp;#xA;'MFPR01004292',&amp;#xD;&amp;#xA;'MFPR01004293',&amp;#xD;&amp;#xA;'MFPR01004'"</definedName>
    <definedName name="_AMO_ContentLocation_316789590__A1.109" hidden="1">"'294',&amp;#xD;&amp;#xA;'MFPR01004295',&amp;#xD;&amp;#xA;'MFPR01004300',&amp;#xD;&amp;#xA;'MFPR01004306',&amp;#xD;&amp;#xA;'MFPR01004310',&amp;#xD;&amp;#xA;'MFPR01004311',&amp;#xD;&amp;#xA;'MFPR01004315',&amp;#xD;&amp;#xA;'MFPR01004316',&amp;#xD;&amp;#xA;'MFPR01004317',&amp;#xD;&amp;#xA;'MFPR01004319',&amp;#xD;&amp;#xA;'MFPR010043'"</definedName>
    <definedName name="_AMO_ContentLocation_316789590__A1.11" hidden="1">"'0',&amp;#xD;&amp;#xA;'MFPR01000481',&amp;#xD;&amp;#xA;'MFPR01000482',&amp;#xD;&amp;#xA;'MFPR01000483',&amp;#xD;&amp;#xA;'MFPR01000487',&amp;#xD;&amp;#xA;'MFPR01000494',&amp;#xD;&amp;#xA;'MFPR01000498',&amp;#xD;&amp;#xA;'MFPR01000499',&amp;#xD;&amp;#xA;'MFPR01000500',&amp;#xD;&amp;#xA;'MFPR01000508',&amp;#xD;&amp;#xA;'MFPR01000519'"</definedName>
    <definedName name="_AMO_ContentLocation_316789590__A1.110" hidden="1">"'20',&amp;#xD;&amp;#xA;'MFPR01004321',&amp;#xD;&amp;#xA;'MFPR01004322',&amp;#xD;&amp;#xA;'MFPR01004327',&amp;#xD;&amp;#xA;'MFPR01004333',&amp;#xD;&amp;#xA;'MFPR01004337',&amp;#xD;&amp;#xA;'MFPR01004338',&amp;#xD;&amp;#xA;'MFPR01004339',&amp;#xD;&amp;#xA;'MFPR01004347',&amp;#xD;&amp;#xA;'MFPR01004358',&amp;#xD;&amp;#xA;'MFPR0100435'"</definedName>
    <definedName name="_AMO_ContentLocation_316789590__A1.111" hidden="1">"'9',&amp;#xD;&amp;#xA;'MFPR01004360',&amp;#xD;&amp;#xA;'MFPR01004362',&amp;#xD;&amp;#xA;'MFPR01004363',&amp;#xD;&amp;#xA;'MFPR01004364',&amp;#xD;&amp;#xA;'MFPR01004365',&amp;#xD;&amp;#xA;'MFPR01004370',&amp;#xD;&amp;#xA;'MFPR01004376',&amp;#xD;&amp;#xA;'MFPR01004380',&amp;#xD;&amp;#xA;'MFPR01004381',&amp;#xD;&amp;#xA;'MFPR01004385'"</definedName>
    <definedName name="_AMO_ContentLocation_316789590__A1.112" hidden="1">"'',&amp;#xD;&amp;#xA;'MFPR01004386',&amp;#xD;&amp;#xA;'MFPR01004387',&amp;#xD;&amp;#xA;'MFPR01004389',&amp;#xD;&amp;#xA;'MFPR01004390',&amp;#xD;&amp;#xA;'MFPR01004391',&amp;#xD;&amp;#xA;'MFPR01004392',&amp;#xD;&amp;#xA;'MFPR01004397',&amp;#xD;&amp;#xA;'MFPR01004403',&amp;#xD;&amp;#xA;'MFPR01004407',&amp;#xD;&amp;#xA;'MFPR01004408''"</definedName>
    <definedName name="_AMO_ContentLocation_316789590__A1.113" hidden="1">"',&amp;#xD;&amp;#xA;'MFPR01004409',&amp;#xD;&amp;#xA;'MFPR01004417',&amp;#xD;&amp;#xA;'MFPR01004426',&amp;#xD;&amp;#xA;'MFPR01004428',&amp;#xD;&amp;#xA;'MFPR01004429',&amp;#xD;&amp;#xA;'MFPR01004430',&amp;#xD;&amp;#xA;'MFPR01004431',&amp;#xD;&amp;#xA;'MFPR01004432',&amp;#xD;&amp;#xA;'MFPR01004433',&amp;#xD;&amp;#xA;'MFPR01004434','"</definedName>
    <definedName name="_AMO_ContentLocation_316789590__A1.114" hidden="1">"'&amp;#xD;&amp;#xA;'MFPR01004436',&amp;#xD;&amp;#xA;'MFPR01004437',&amp;#xD;&amp;#xA;'MFPR01004438',&amp;#xD;&amp;#xA;'MFPR01004439',&amp;#xD;&amp;#xA;'MFPR01004440',&amp;#xD;&amp;#xA;'MFPR01004441',&amp;#xD;&amp;#xA;'MFPR01004442',&amp;#xD;&amp;#xA;'MFPR01004443',&amp;#xD;&amp;#xA;'MFPR01004446',&amp;#xD;&amp;#xA;'MFPR01004447',&amp;'"</definedName>
    <definedName name="_AMO_ContentLocation_316789590__A1.115" hidden="1">"'#xD;&amp;#xA;'MFPR01004448',&amp;#xD;&amp;#xA;'MFPR01004449',&amp;#xD;&amp;#xA;'MFPR01004450',&amp;#xD;&amp;#xA;'MFPR01004451',&amp;#xD;&amp;#xA;'MFPR01004454',&amp;#xD;&amp;#xA;'MFPR01004455',&amp;#xD;&amp;#xA;'MFPR01004456',&amp;#xD;&amp;#xA;'MFPR01004457',&amp;#xD;&amp;#xA;'MFPR01004458',&amp;#xD;&amp;#xA;'MFPR01004460',&amp;#'"</definedName>
    <definedName name="_AMO_ContentLocation_316789590__A1.116" hidden="1">"'xD;&amp;#xA;'MFPR01004461',&amp;#xD;&amp;#xA;'MFPR01004462',&amp;#xD;&amp;#xA;'MFPR01004463',&amp;#xD;&amp;#xA;'MFPR01004464',&amp;#xD;&amp;#xA;'MFPR01004465',&amp;#xD;&amp;#xA;'MFPR01004466',&amp;#xD;&amp;#xA;'MFPR01004468',&amp;#xD;&amp;#xA;'MFPR01004469',&amp;#xD;&amp;#xA;'MFPR01004470',&amp;#xD;&amp;#xA;'MFPR01004471',&amp;#x'"</definedName>
    <definedName name="_AMO_ContentLocation_316789590__A1.117" hidden="1">"'D;&amp;#xA;'MFPR01004472',&amp;#xD;&amp;#xA;'MFPR01004473',&amp;#xD;&amp;#xA;'MFPR01004474',&amp;#xD;&amp;#xA;'MFPR01004475',&amp;#xD;&amp;#xA;'MFPR01004478',&amp;#xD;&amp;#xA;'MFPR01004479',&amp;#xD;&amp;#xA;'MFPR01004480',&amp;#xD;&amp;#xA;'MFPR01004481',&amp;#xD;&amp;#xA;'MFPR01004482',&amp;#xD;&amp;#xA;'MFPR01004483',&amp;#xD'"</definedName>
    <definedName name="_AMO_ContentLocation_316789590__A1.118" hidden="1">"';&amp;#xA;'MFPR01004486',&amp;#xD;&amp;#xA;'MFPR01004487',&amp;#xD;&amp;#xA;'MFPR01004488',&amp;#xD;&amp;#xA;'MFPR01004489'&amp;#xD;&amp;#xA;)"" /&gt;_x000D_
&lt;/ContentLocation&gt;'"</definedName>
    <definedName name="_AMO_ContentLocation_316789590__A1.12" hidden="1">"'',&amp;#xD;&amp;#xA;'MFPR01000520',&amp;#xD;&amp;#xA;'MFPR01000521',&amp;#xD;&amp;#xA;'MFPR01000523',&amp;#xD;&amp;#xA;'MFPR01000524',&amp;#xD;&amp;#xA;'MFPR01000525',&amp;#xD;&amp;#xA;'MFPR01000526',&amp;#xD;&amp;#xA;'MFPR01000530',&amp;#xD;&amp;#xA;'MFPR01000536',&amp;#xD;&amp;#xA;'MFPR01000540',&amp;#xD;&amp;#xA;'MFPR01000541''"</definedName>
    <definedName name="_AMO_ContentLocation_316789590__A1.13" hidden="1">"',&amp;#xD;&amp;#xA;'MFPR01000545',&amp;#xD;&amp;#xA;'MFPR01000546',&amp;#xD;&amp;#xA;'MFPR01000547',&amp;#xD;&amp;#xA;'MFPR01000549',&amp;#xD;&amp;#xA;'MFPR01000550',&amp;#xD;&amp;#xA;'MFPR01000551',&amp;#xD;&amp;#xA;'MFPR01000552',&amp;#xD;&amp;#xA;'MFPR01000556',&amp;#xD;&amp;#xA;'MFPR01000563',&amp;#xD;&amp;#xA;'MFPR01000567','"</definedName>
    <definedName name="_AMO_ContentLocation_316789590__A1.14" hidden="1">"'&amp;#xD;&amp;#xA;'MFPR01000568',&amp;#xD;&amp;#xA;'MFPR01000569',&amp;#xD;&amp;#xA;'MFPR01000577',&amp;#xD;&amp;#xA;'MFPR01000588',&amp;#xD;&amp;#xA;'MFPR01000589',&amp;#xD;&amp;#xA;'MFPR01000590',&amp;#xD;&amp;#xA;'MFPR01000592',&amp;#xD;&amp;#xA;'MFPR01000593',&amp;#xD;&amp;#xA;'MFPR01000594',&amp;#xD;&amp;#xA;'MFPR01000595',&amp;'"</definedName>
    <definedName name="_AMO_ContentLocation_316789590__A1.15" hidden="1">"'#xD;&amp;#xA;'MFPR01000599',&amp;#xD;&amp;#xA;'MFPR01000605',&amp;#xD;&amp;#xA;'MFPR01000609',&amp;#xD;&amp;#xA;'MFPR01000610',&amp;#xD;&amp;#xA;'MFPR01000614',&amp;#xD;&amp;#xA;'MFPR01000615',&amp;#xD;&amp;#xA;'MFPR01000616',&amp;#xD;&amp;#xA;'MFPR01000618',&amp;#xD;&amp;#xA;'MFPR01000619',&amp;#xD;&amp;#xA;'MFPR01000620',&amp;#'"</definedName>
    <definedName name="_AMO_ContentLocation_316789590__A1.16" hidden="1">"'xD;&amp;#xA;'MFPR01000621',&amp;#xD;&amp;#xA;'MFPR01000625',&amp;#xD;&amp;#xA;'MFPR01000632',&amp;#xD;&amp;#xA;'MFPR01000636',&amp;#xD;&amp;#xA;'MFPR01000637',&amp;#xD;&amp;#xA;'MFPR01000638',&amp;#xD;&amp;#xA;'MFPR01000646',&amp;#xD;&amp;#xA;'MFPR01000657',&amp;#xD;&amp;#xA;'MFPR01000658',&amp;#xD;&amp;#xA;'MFPR01000659',&amp;#x'"</definedName>
    <definedName name="_AMO_ContentLocation_316789590__A1.17" hidden="1">"'D;&amp;#xA;'MFPR01000661',&amp;#xD;&amp;#xA;'MFPR01000662',&amp;#xD;&amp;#xA;'MFPR01000663',&amp;#xD;&amp;#xA;'MFPR01000664',&amp;#xD;&amp;#xA;'MFPR01000668',&amp;#xD;&amp;#xA;'MFPR01000674',&amp;#xD;&amp;#xA;'MFPR01000678',&amp;#xD;&amp;#xA;'MFPR01000679',&amp;#xD;&amp;#xA;'MFPR01000683',&amp;#xD;&amp;#xA;'MFPR01000684',&amp;#xD'"</definedName>
    <definedName name="_AMO_ContentLocation_316789590__A1.18" hidden="1">"';&amp;#xA;'MFPR01000685',&amp;#xD;&amp;#xA;'MFPR01000687',&amp;#xD;&amp;#xA;'MFPR01000688',&amp;#xD;&amp;#xA;'MFPR01000689',&amp;#xD;&amp;#xA;'MFPR01000690',&amp;#xD;&amp;#xA;'MFPR01000694',&amp;#xD;&amp;#xA;'MFPR01000701',&amp;#xD;&amp;#xA;'MFPR01000705',&amp;#xD;&amp;#xA;'MFPR01000706',&amp;#xD;&amp;#xA;'MFPR01000707',&amp;#xD;'"</definedName>
    <definedName name="_AMO_ContentLocation_316789590__A1.19" hidden="1">"'&amp;#xA;'MFPR01000715',&amp;#xD;&amp;#xA;'MFPR01000731',&amp;#xD;&amp;#xA;'MFPR01000732',&amp;#xD;&amp;#xA;'MFPR01000737',&amp;#xD;&amp;#xA;'MFPR01000743',&amp;#xD;&amp;#xA;'MFPR01000747',&amp;#xD;&amp;#xA;'MFPR01000748',&amp;#xD;&amp;#xA;'MFPR01000800',&amp;#xD;&amp;#xA;'MFPR01000801',&amp;#xD;&amp;#xA;'MFPR01000806',&amp;#xD;&amp;'"</definedName>
    <definedName name="_AMO_ContentLocation_316789590__A1.2" hidden="1">"'PR01000001',&amp;#xD;&amp;#xA;'MFPR01000013',&amp;#xD;&amp;#xA;'MFPR01000016',&amp;#xD;&amp;#xA;'MFPR01000018',&amp;#xD;&amp;#xA;'MFPR01000019',&amp;#xD;&amp;#xA;'MFPR01000020',&amp;#xD;&amp;#xA;'MFPR01000021',&amp;#xD;&amp;#xA;'MFPR01000022',&amp;#xD;&amp;#xA;'MFPR01000023',&amp;#xD;&amp;#xA;'MFPR01000024',&amp;#xD;&amp;#xA;'MFP'"</definedName>
    <definedName name="_AMO_ContentLocation_316789590__A1.20" hidden="1">"'#xA;'MFPR01000812',&amp;#xD;&amp;#xA;'MFPR01000816',&amp;#xD;&amp;#xA;'MFPR01000817',&amp;#xD;&amp;#xA;'MFPR01000869',&amp;#xD;&amp;#xA;'MFPR01000870',&amp;#xD;&amp;#xA;'MFPR01000875',&amp;#xD;&amp;#xA;'MFPR01000881',&amp;#xD;&amp;#xA;'MFPR01000885',&amp;#xD;&amp;#xA;'MFPR01000886',&amp;#xD;&amp;#xA;'MFPR01001002',&amp;#xD;&amp;#'"</definedName>
    <definedName name="_AMO_ContentLocation_316789590__A1.21" hidden="1">"'xA;'MFPR01001003',&amp;#xD;&amp;#xA;'MFPR01001004',&amp;#xD;&amp;#xA;'MFPR01001006',&amp;#xD;&amp;#xA;'MFPR01001007',&amp;#xD;&amp;#xA;'MFPR01001008',&amp;#xD;&amp;#xA;'MFPR01001009',&amp;#xD;&amp;#xA;'MFPR01001013',&amp;#xD;&amp;#xA;'MFPR01001019',&amp;#xD;&amp;#xA;'MFPR01001023',&amp;#xD;&amp;#xA;'MFPR01001024',&amp;#xD;&amp;#x'"</definedName>
    <definedName name="_AMO_ContentLocation_316789590__A1.22" hidden="1">"'A;'MFPR01001028',&amp;#xD;&amp;#xA;'MFPR01001029',&amp;#xD;&amp;#xA;'MFPR01001030',&amp;#xD;&amp;#xA;'MFPR01001032',&amp;#xD;&amp;#xA;'MFPR01001033',&amp;#xD;&amp;#xA;'MFPR01001034',&amp;#xD;&amp;#xA;'MFPR01001035',&amp;#xD;&amp;#xA;'MFPR01001039',&amp;#xD;&amp;#xA;'MFPR01001046',&amp;#xD;&amp;#xA;'MFPR01001050',&amp;#xD;&amp;#xA'"</definedName>
    <definedName name="_AMO_ContentLocation_316789590__A1.23" hidden="1">"';'MFPR01001051',&amp;#xD;&amp;#xA;'MFPR01001052',&amp;#xD;&amp;#xA;'MFPR01001060',&amp;#xD;&amp;#xA;'MFPR01001071',&amp;#xD;&amp;#xA;'MFPR01001072',&amp;#xD;&amp;#xA;'MFPR01001073',&amp;#xD;&amp;#xA;'MFPR01001075',&amp;#xD;&amp;#xA;'MFPR01001076',&amp;#xD;&amp;#xA;'MFPR01001077',&amp;#xD;&amp;#xA;'MFPR01001078',&amp;#xD;&amp;#xA;'"</definedName>
    <definedName name="_AMO_ContentLocation_316789590__A1.24" hidden="1">"''MFPR01001082',&amp;#xD;&amp;#xA;'MFPR01001088',&amp;#xD;&amp;#xA;'MFPR01001092',&amp;#xD;&amp;#xA;'MFPR01001093',&amp;#xD;&amp;#xA;'MFPR01001097',&amp;#xD;&amp;#xA;'MFPR01001098',&amp;#xD;&amp;#xA;'MFPR01001099',&amp;#xD;&amp;#xA;'MFPR01001101',&amp;#xD;&amp;#xA;'MFPR01001102',&amp;#xD;&amp;#xA;'MFPR01001103',&amp;#xD;&amp;#xA;''"</definedName>
    <definedName name="_AMO_ContentLocation_316789590__A1.25" hidden="1">"'MFPR01001104',&amp;#xD;&amp;#xA;'MFPR01001108',&amp;#xD;&amp;#xA;'MFPR01001115',&amp;#xD;&amp;#xA;'MFPR01001119',&amp;#xD;&amp;#xA;'MFPR01001120',&amp;#xD;&amp;#xA;'MFPR01001121',&amp;#xD;&amp;#xA;'MFPR01001129',&amp;#xD;&amp;#xA;'MFPR01001140',&amp;#xD;&amp;#xA;'MFPR01001141',&amp;#xD;&amp;#xA;'MFPR01001142',&amp;#xD;&amp;#xA;'M'"</definedName>
    <definedName name="_AMO_ContentLocation_316789590__A1.26" hidden="1">"'FPR01001144',&amp;#xD;&amp;#xA;'MFPR01001145',&amp;#xD;&amp;#xA;'MFPR01001146',&amp;#xD;&amp;#xA;'MFPR01001147',&amp;#xD;&amp;#xA;'MFPR01001151',&amp;#xD;&amp;#xA;'MFPR01001157',&amp;#xD;&amp;#xA;'MFPR01001161',&amp;#xD;&amp;#xA;'MFPR01001162',&amp;#xD;&amp;#xA;'MFPR01001166',&amp;#xD;&amp;#xA;'MFPR01001167',&amp;#xD;&amp;#xA;'MF'"</definedName>
    <definedName name="_AMO_ContentLocation_316789590__A1.27" hidden="1">"'PR01001168',&amp;#xD;&amp;#xA;'MFPR01001170',&amp;#xD;&amp;#xA;'MFPR01001171',&amp;#xD;&amp;#xA;'MFPR01001172',&amp;#xD;&amp;#xA;'MFPR01001173',&amp;#xD;&amp;#xA;'MFPR01001177',&amp;#xD;&amp;#xA;'MFPR01001184',&amp;#xD;&amp;#xA;'MFPR01001188',&amp;#xD;&amp;#xA;'MFPR01001189',&amp;#xD;&amp;#xA;'MFPR01001190',&amp;#xD;&amp;#xA;'MFP'"</definedName>
    <definedName name="_AMO_ContentLocation_316789590__A1.28" hidden="1">"'R01001198',&amp;#xD;&amp;#xA;'MFPR01001209',&amp;#xD;&amp;#xA;'MFPR01001210',&amp;#xD;&amp;#xA;'MFPR01001211',&amp;#xD;&amp;#xA;'MFPR01001213',&amp;#xD;&amp;#xA;'MFPR01001214',&amp;#xD;&amp;#xA;'MFPR01001215',&amp;#xD;&amp;#xA;'MFPR01001216',&amp;#xD;&amp;#xA;'MFPR01001220',&amp;#xD;&amp;#xA;'MFPR01001226',&amp;#xD;&amp;#xA;'MFPR'"</definedName>
    <definedName name="_AMO_ContentLocation_316789590__A1.29" hidden="1">"'01001230',&amp;#xD;&amp;#xA;'MFPR01001231',&amp;#xD;&amp;#xA;'MFPR01001235',&amp;#xD;&amp;#xA;'MFPR01001236',&amp;#xD;&amp;#xA;'MFPR01001237',&amp;#xD;&amp;#xA;'MFPR01001239',&amp;#xD;&amp;#xA;'MFPR01001240',&amp;#xD;&amp;#xA;'MFPR01001241',&amp;#xD;&amp;#xA;'MFPR01001242',&amp;#xD;&amp;#xA;'MFPR01001246',&amp;#xD;&amp;#xA;'MFPR0'"</definedName>
    <definedName name="_AMO_ContentLocation_316789590__A1.3" hidden="1">"'R01000032',&amp;#xD;&amp;#xA;'MFPR01000049',&amp;#xD;&amp;#xA;'MFPR01000066',&amp;#xD;&amp;#xA;'MFPR01000083',&amp;#xD;&amp;#xA;'MFPR01000089',&amp;#xD;&amp;#xA;'MFPR01000095',&amp;#xD;&amp;#xA;'MFPR01000101',&amp;#xD;&amp;#xA;'MFPR01000107',&amp;#xD;&amp;#xA;'MFPR01000110',&amp;#xD;&amp;#xA;'MFPR01000111',&amp;#xD;&amp;#xA;'MFPR'"</definedName>
    <definedName name="_AMO_ContentLocation_316789590__A1.30" hidden="1">"'1001253',&amp;#xD;&amp;#xA;'MFPR01001257',&amp;#xD;&amp;#xA;'MFPR01001258',&amp;#xD;&amp;#xA;'MFPR01001259',&amp;#xD;&amp;#xA;'MFPR01001267',&amp;#xD;&amp;#xA;'MFPR01001283',&amp;#xD;&amp;#xA;'MFPR01001284',&amp;#xD;&amp;#xA;'MFPR01001289',&amp;#xD;&amp;#xA;'MFPR01001295',&amp;#xD;&amp;#xA;'MFPR01001299',&amp;#xD;&amp;#xA;'MFPR01'"</definedName>
    <definedName name="_AMO_ContentLocation_316789590__A1.31" hidden="1">"'001300',&amp;#xD;&amp;#xA;'MFPR01001352',&amp;#xD;&amp;#xA;'MFPR01001353',&amp;#xD;&amp;#xA;'MFPR01001358',&amp;#xD;&amp;#xA;'MFPR01001364',&amp;#xD;&amp;#xA;'MFPR01001368',&amp;#xD;&amp;#xA;'MFPR01001369',&amp;#xD;&amp;#xA;'MFPR01001421',&amp;#xD;&amp;#xA;'MFPR01001422',&amp;#xD;&amp;#xA;'MFPR01001427',&amp;#xD;&amp;#xA;'MFPR010'"</definedName>
    <definedName name="_AMO_ContentLocation_316789590__A1.32" hidden="1">"'01433',&amp;#xD;&amp;#xA;'MFPR01001437',&amp;#xD;&amp;#xA;'MFPR01001438',&amp;#xD;&amp;#xA;'MFPR01001554',&amp;#xD;&amp;#xA;'MFPR01001555',&amp;#xD;&amp;#xA;'MFPR01001556',&amp;#xD;&amp;#xA;'MFPR01001558',&amp;#xD;&amp;#xA;'MFPR01001559',&amp;#xD;&amp;#xA;'MFPR01001560',&amp;#xD;&amp;#xA;'MFPR01001561',&amp;#xD;&amp;#xA;'MFPR0100'"</definedName>
    <definedName name="_AMO_ContentLocation_316789590__A1.33" hidden="1">"'1565',&amp;#xD;&amp;#xA;'MFPR01001571',&amp;#xD;&amp;#xA;'MFPR01001575',&amp;#xD;&amp;#xA;'MFPR01001576',&amp;#xD;&amp;#xA;'MFPR01001580',&amp;#xD;&amp;#xA;'MFPR01001581',&amp;#xD;&amp;#xA;'MFPR01001582',&amp;#xD;&amp;#xA;'MFPR01001584',&amp;#xD;&amp;#xA;'MFPR01001585',&amp;#xD;&amp;#xA;'MFPR01001586',&amp;#xD;&amp;#xA;'MFPR01001'"</definedName>
    <definedName name="_AMO_ContentLocation_316789590__A1.34" hidden="1">"'587',&amp;#xD;&amp;#xA;'MFPR01001591',&amp;#xD;&amp;#xA;'MFPR01001598',&amp;#xD;&amp;#xA;'MFPR01001602',&amp;#xD;&amp;#xA;'MFPR01001603',&amp;#xD;&amp;#xA;'MFPR01001604',&amp;#xD;&amp;#xA;'MFPR01001612',&amp;#xD;&amp;#xA;'MFPR01001623',&amp;#xD;&amp;#xA;'MFPR01001624',&amp;#xD;&amp;#xA;'MFPR01001625',&amp;#xD;&amp;#xA;'MFPR010016'"</definedName>
    <definedName name="_AMO_ContentLocation_316789590__A1.35" hidden="1">"'27',&amp;#xD;&amp;#xA;'MFPR01001628',&amp;#xD;&amp;#xA;'MFPR01001629',&amp;#xD;&amp;#xA;'MFPR01001630',&amp;#xD;&amp;#xA;'MFPR01001634',&amp;#xD;&amp;#xA;'MFPR01001640',&amp;#xD;&amp;#xA;'MFPR01001644',&amp;#xD;&amp;#xA;'MFPR01001645',&amp;#xD;&amp;#xA;'MFPR01001649',&amp;#xD;&amp;#xA;'MFPR01001650',&amp;#xD;&amp;#xA;'MFPR0100165'"</definedName>
    <definedName name="_AMO_ContentLocation_316789590__A1.36" hidden="1">"'1',&amp;#xD;&amp;#xA;'MFPR01001653',&amp;#xD;&amp;#xA;'MFPR01001654',&amp;#xD;&amp;#xA;'MFPR01001655',&amp;#xD;&amp;#xA;'MFPR01001656',&amp;#xD;&amp;#xA;'MFPR01001660',&amp;#xD;&amp;#xA;'MFPR01001667',&amp;#xD;&amp;#xA;'MFPR01001671',&amp;#xD;&amp;#xA;'MFPR01001672',&amp;#xD;&amp;#xA;'MFPR01001673',&amp;#xD;&amp;#xA;'MFPR01001681'"</definedName>
    <definedName name="_AMO_ContentLocation_316789590__A1.37" hidden="1">"'',&amp;#xD;&amp;#xA;'MFPR01001691',&amp;#xD;&amp;#xA;'MFPR01001692',&amp;#xD;&amp;#xA;'MFPR01001693',&amp;#xD;&amp;#xA;'MFPR01001694',&amp;#xD;&amp;#xA;'MFPR01001695',&amp;#xD;&amp;#xA;'MFPR01001696',&amp;#xD;&amp;#xA;'MFPR01001698',&amp;#xD;&amp;#xA;'MFPR01001699',&amp;#xD;&amp;#xA;'MFPR01001700',&amp;#xD;&amp;#xA;'MFPR01001701''"</definedName>
    <definedName name="_AMO_ContentLocation_316789590__A1.38" hidden="1">"',&amp;#xD;&amp;#xA;'MFPR01001702',&amp;#xD;&amp;#xA;'MFPR01001703',&amp;#xD;&amp;#xA;'MFPR01001705',&amp;#xD;&amp;#xA;'MFPR01001706',&amp;#xD;&amp;#xA;'MFPR01001707',&amp;#xD;&amp;#xA;'MFPR01001708',&amp;#xD;&amp;#xA;'MFPR01001709',&amp;#xD;&amp;#xA;'MFPR01001710',&amp;#xD;&amp;#xA;'MFPR01001712',&amp;#xD;&amp;#xA;'MFPR01001713','"</definedName>
    <definedName name="_AMO_ContentLocation_316789590__A1.39" hidden="1">"'&amp;#xD;&amp;#xA;'MFPR01001714',&amp;#xD;&amp;#xA;'MFPR01001715',&amp;#xD;&amp;#xA;'MFPR01001716',&amp;#xD;&amp;#xA;'MFPR01001717',&amp;#xD;&amp;#xA;'MFPR01001719',&amp;#xD;&amp;#xA;'MFPR01001720',&amp;#xD;&amp;#xA;'MFPR01001721',&amp;#xD;&amp;#xA;'MFPR01001722',&amp;#xD;&amp;#xA;'MFPR01001723',&amp;#xD;&amp;#xA;'MFPR01001724',&amp;'"</definedName>
    <definedName name="_AMO_ContentLocation_316789590__A1.4" hidden="1">"'01000112',&amp;#xD;&amp;#xA;'MFPR01000113',&amp;#xD;&amp;#xA;'MFPR01000128',&amp;#xD;&amp;#xA;'MFPR01000129',&amp;#xD;&amp;#xA;'MFPR01000130',&amp;#xD;&amp;#xA;'MFPR01000131',&amp;#xD;&amp;#xA;'MFPR01000135',&amp;#xD;&amp;#xA;'MFPR01000136',&amp;#xD;&amp;#xA;'MFPR01000137',&amp;#xD;&amp;#xA;'MFPR01000138',&amp;#xD;&amp;#xA;'MFPR0'"</definedName>
    <definedName name="_AMO_ContentLocation_316789590__A1.40" hidden="1">"'#xD;&amp;#xA;'MFPR01001726',&amp;#xD;&amp;#xA;'MFPR01001727',&amp;#xD;&amp;#xA;'MFPR01001728',&amp;#xD;&amp;#xA;'MFPR01001729',&amp;#xD;&amp;#xA;'MFPR01001730',&amp;#xD;&amp;#xA;'MFPR01001731',&amp;#xD;&amp;#xA;'MFPR01001733',&amp;#xD;&amp;#xA;'MFPR01001734',&amp;#xD;&amp;#xA;'MFPR01001735',&amp;#xD;&amp;#xA;'MFPR01001736',&amp;#'"</definedName>
    <definedName name="_AMO_ContentLocation_316789590__A1.41" hidden="1">"'xD;&amp;#xA;'MFPR01001737',&amp;#xD;&amp;#xA;'MFPR01001738',&amp;#xD;&amp;#xA;'MFPR01001740',&amp;#xD;&amp;#xA;'MFPR01001741',&amp;#xD;&amp;#xA;'MFPR01001742',&amp;#xD;&amp;#xA;'MFPR01001743',&amp;#xD;&amp;#xA;'MFPR01001744',&amp;#xD;&amp;#xA;'MFPR01001745',&amp;#xD;&amp;#xA;'MFPR01001747',&amp;#xD;&amp;#xA;'MFPR01001748',&amp;#x'"</definedName>
    <definedName name="_AMO_ContentLocation_316789590__A1.42" hidden="1">"'D;&amp;#xA;'MFPR01001749',&amp;#xD;&amp;#xA;'MFPR01001750',&amp;#xD;&amp;#xA;'MFPR01001751',&amp;#xD;&amp;#xA;'MFPR01001752',&amp;#xD;&amp;#xA;'MFPR01001754',&amp;#xD;&amp;#xA;'MFPR01001755',&amp;#xD;&amp;#xA;'MFPR01001756',&amp;#xD;&amp;#xA;'MFPR01001757',&amp;#xD;&amp;#xA;'MFPR01001758',&amp;#xD;&amp;#xA;'MFPR01001759',&amp;#xD'"</definedName>
    <definedName name="_AMO_ContentLocation_316789590__A1.43" hidden="1">"';&amp;#xA;'MFPR01001761',&amp;#xD;&amp;#xA;'MFPR01001762',&amp;#xD;&amp;#xA;'MFPR01001763',&amp;#xD;&amp;#xA;'MFPR01001764',&amp;#xD;&amp;#xA;'MFPR01001765',&amp;#xD;&amp;#xA;'MFPR01001766',&amp;#xD;&amp;#xA;'MFPR01001768',&amp;#xD;&amp;#xA;'MFPR01001769',&amp;#xD;&amp;#xA;'MFPR01001770',&amp;#xD;&amp;#xA;'MFPR01001771',&amp;#xD;'"</definedName>
    <definedName name="_AMO_ContentLocation_316789590__A1.44" hidden="1">"'&amp;#xA;'MFPR01001772',&amp;#xD;&amp;#xA;'MFPR01001773',&amp;#xD;&amp;#xA;'MFPR01001775',&amp;#xD;&amp;#xA;'MFPR01001776',&amp;#xD;&amp;#xA;'MFPR01001777',&amp;#xD;&amp;#xA;'MFPR01001778',&amp;#xD;&amp;#xA;'MFPR01001779',&amp;#xD;&amp;#xA;'MFPR01001780',&amp;#xD;&amp;#xA;'MFPR01001782',&amp;#xD;&amp;#xA;'MFPR01001783',&amp;#xD;&amp;'"</definedName>
    <definedName name="_AMO_ContentLocation_316789590__A1.45" hidden="1">"'#xA;'MFPR01001784',&amp;#xD;&amp;#xA;'MFPR01001785',&amp;#xD;&amp;#xA;'MFPR01001786',&amp;#xD;&amp;#xA;'MFPR01001787',&amp;#xD;&amp;#xA;'MFPR01001789',&amp;#xD;&amp;#xA;'MFPR01001790',&amp;#xD;&amp;#xA;'MFPR01001791',&amp;#xD;&amp;#xA;'MFPR01001792',&amp;#xD;&amp;#xA;'MFPR01001793',&amp;#xD;&amp;#xA;'MFPR01001794',&amp;#xD;&amp;#'"</definedName>
    <definedName name="_AMO_ContentLocation_316789590__A1.46" hidden="1">"'xA;'MFPR01001796',&amp;#xD;&amp;#xA;'MFPR01001797',&amp;#xD;&amp;#xA;'MFPR01001798',&amp;#xD;&amp;#xA;'MFPR01001799',&amp;#xD;&amp;#xA;'MFPR01001800',&amp;#xD;&amp;#xA;'MFPR01001801',&amp;#xD;&amp;#xA;'MFPR01001803',&amp;#xD;&amp;#xA;'MFPR01001804',&amp;#xD;&amp;#xA;'MFPR01001808',&amp;#xD;&amp;#xA;'MFPR01001816',&amp;#xD;&amp;#x'"</definedName>
    <definedName name="_AMO_ContentLocation_316789590__A1.47" hidden="1">"'A;'MFPR01001817',&amp;#xD;&amp;#xA;'MFPR01001818',&amp;#xD;&amp;#xA;'MFPR01001822',&amp;#xD;&amp;#xA;'MFPR01001830',&amp;#xD;&amp;#xA;'MFPR01001833',&amp;#xD;&amp;#xA;'MFPR01001839',&amp;#xD;&amp;#xA;'MFPR01001840',&amp;#xD;&amp;#xA;'MFPR01001841',&amp;#xD;&amp;#xA;'MFPR01001843',&amp;#xD;&amp;#xA;'MFPR01001844',&amp;#xD;&amp;#xA'"</definedName>
    <definedName name="_AMO_ContentLocation_316789590__A1.48" hidden="1">"';'MFPR01001845',&amp;#xD;&amp;#xA;'MFPR01001846',&amp;#xD;&amp;#xA;'MFPR01001850',&amp;#xD;&amp;#xA;'MFPR01001857',&amp;#xD;&amp;#xA;'MFPR01001862',&amp;#xD;&amp;#xA;'MFPR01001864',&amp;#xD;&amp;#xA;'MFPR01001865',&amp;#xD;&amp;#xA;'MFPR01001866',&amp;#xD;&amp;#xA;'MFPR01001868',&amp;#xD;&amp;#xA;'MFPR01001869',&amp;#xD;&amp;#xA;'"</definedName>
    <definedName name="_AMO_ContentLocation_316789590__A1.49" hidden="1">"''MFPR01001870',&amp;#xD;&amp;#xA;'MFPR01001871',&amp;#xD;&amp;#xA;'MFPR01001875',&amp;#xD;&amp;#xA;'MFPR01001883',&amp;#xD;&amp;#xA;'MFPR01001887',&amp;#xD;&amp;#xA;'MFPR01001893',&amp;#xD;&amp;#xA;'MFPR01001901',&amp;#xD;&amp;#xA;'MFPR01001902',&amp;#xD;&amp;#xA;'MFPR01001906',&amp;#xD;&amp;#xA;'MFPR01001915',&amp;#xD;&amp;#xA;''"</definedName>
    <definedName name="_AMO_ContentLocation_316789590__A1.5" hidden="1">"'1000139',&amp;#xD;&amp;#xA;'MFPR01000140',&amp;#xD;&amp;#xA;'MFPR01000141',&amp;#xD;&amp;#xA;'MFPR01000143',&amp;#xD;&amp;#xA;'MFPR01000144',&amp;#xD;&amp;#xA;'MFPR01000145',&amp;#xD;&amp;#xA;'MFPR01000148',&amp;#xD;&amp;#xA;'MFPR01000160',&amp;#xD;&amp;#xA;'MFPR01000161',&amp;#xD;&amp;#xA;'MFPR01000162',&amp;#xD;&amp;#xA;'MFPR01'"</definedName>
    <definedName name="_AMO_ContentLocation_316789590__A1.50" hidden="1">"'MFPR01001916',&amp;#xD;&amp;#xA;'MFPR01001920',&amp;#xD;&amp;#xA;'MFPR01001928',&amp;#xD;&amp;#xA;'MFPR01001931',&amp;#xD;&amp;#xA;'MFPR01001937',&amp;#xD;&amp;#xA;'MFPR01001938',&amp;#xD;&amp;#xA;'MFPR01001939',&amp;#xD;&amp;#xA;'MFPR01001941',&amp;#xD;&amp;#xA;'MFPR01001942',&amp;#xD;&amp;#xA;'MFPR01001943',&amp;#xD;&amp;#xA;'M'"</definedName>
    <definedName name="_AMO_ContentLocation_316789590__A1.51" hidden="1">"'FPR01001944',&amp;#xD;&amp;#xA;'MFPR01001948',&amp;#xD;&amp;#xA;'MFPR01001955',&amp;#xD;&amp;#xA;'MFPR01001962',&amp;#xD;&amp;#xA;'MFPR01001963',&amp;#xD;&amp;#xA;'MFPR01001964',&amp;#xD;&amp;#xA;'MFPR01001966',&amp;#xD;&amp;#xA;'MFPR01001967',&amp;#xD;&amp;#xA;'MFPR01001968',&amp;#xD;&amp;#xA;'MFPR01001969',&amp;#xD;&amp;#xA;'MF'"</definedName>
    <definedName name="_AMO_ContentLocation_316789590__A1.52" hidden="1">"'PR01001973',&amp;#xD;&amp;#xA;'MFPR01001981',&amp;#xD;&amp;#xA;'MFPR01001985',&amp;#xD;&amp;#xA;'MFPR01001991',&amp;#xD;&amp;#xA;'MFPR01002000',&amp;#xD;&amp;#xA;'MFPR01002001',&amp;#xD;&amp;#xA;'MFPR01002002',&amp;#xD;&amp;#xA;'MFPR01002004',&amp;#xD;&amp;#xA;'MFPR01002005',&amp;#xD;&amp;#xA;'MFPR01002006',&amp;#xD;&amp;#xA;'MFP'"</definedName>
    <definedName name="_AMO_ContentLocation_316789590__A1.53" hidden="1">"'R01002007',&amp;#xD;&amp;#xA;'MFPR01002012',&amp;#xD;&amp;#xA;'MFPR01002018',&amp;#xD;&amp;#xA;'MFPR01002022',&amp;#xD;&amp;#xA;'MFPR01002023',&amp;#xD;&amp;#xA;'MFPR01002027',&amp;#xD;&amp;#xA;'MFPR01002028',&amp;#xD;&amp;#xA;'MFPR01002029',&amp;#xD;&amp;#xA;'MFPR01002031',&amp;#xD;&amp;#xA;'MFPR01002032',&amp;#xD;&amp;#xA;'MFPR'"</definedName>
    <definedName name="_AMO_ContentLocation_316789590__A1.54" hidden="1">"'01002033',&amp;#xD;&amp;#xA;'MFPR01002034',&amp;#xD;&amp;#xA;'MFPR01002039',&amp;#xD;&amp;#xA;'MFPR01002045',&amp;#xD;&amp;#xA;'MFPR01002049',&amp;#xD;&amp;#xA;'MFPR01002050',&amp;#xD;&amp;#xA;'MFPR01002051',&amp;#xD;&amp;#xA;'MFPR01002059',&amp;#xD;&amp;#xA;'MFPR01002070',&amp;#xD;&amp;#xA;'MFPR01002071',&amp;#xD;&amp;#xA;'MFPR0'"</definedName>
    <definedName name="_AMO_ContentLocation_316789590__A1.55" hidden="1">"'1002072',&amp;#xD;&amp;#xA;'MFPR01002074',&amp;#xD;&amp;#xA;'MFPR01002075',&amp;#xD;&amp;#xA;'MFPR01002076',&amp;#xD;&amp;#xA;'MFPR01002077',&amp;#xD;&amp;#xA;'MFPR01002082',&amp;#xD;&amp;#xA;'MFPR01002088',&amp;#xD;&amp;#xA;'MFPR01002092',&amp;#xD;&amp;#xA;'MFPR01002093',&amp;#xD;&amp;#xA;'MFPR01002097',&amp;#xD;&amp;#xA;'MFPR01'"</definedName>
    <definedName name="_AMO_ContentLocation_316789590__A1.56" hidden="1">"'002098',&amp;#xD;&amp;#xA;'MFPR01002099',&amp;#xD;&amp;#xA;'MFPR01002101',&amp;#xD;&amp;#xA;'MFPR01002102',&amp;#xD;&amp;#xA;'MFPR01002103',&amp;#xD;&amp;#xA;'MFPR01002104',&amp;#xD;&amp;#xA;'MFPR01002109',&amp;#xD;&amp;#xA;'MFPR01002115',&amp;#xD;&amp;#xA;'MFPR01002119',&amp;#xD;&amp;#xA;'MFPR01002120',&amp;#xD;&amp;#xA;'MFPR010'"</definedName>
    <definedName name="_AMO_ContentLocation_316789590__A1.57" hidden="1">"'02121',&amp;#xD;&amp;#xA;'MFPR01002129',&amp;#xD;&amp;#xA;'MFPR01002140',&amp;#xD;&amp;#xA;'MFPR01002141',&amp;#xD;&amp;#xA;'MFPR01002142',&amp;#xD;&amp;#xA;'MFPR01002144',&amp;#xD;&amp;#xA;'MFPR01002145',&amp;#xD;&amp;#xA;'MFPR01002146',&amp;#xD;&amp;#xA;'MFPR01002147',&amp;#xD;&amp;#xA;'MFPR01002152',&amp;#xD;&amp;#xA;'MFPR0100'"</definedName>
    <definedName name="_AMO_ContentLocation_316789590__A1.58" hidden="1">"'2158',&amp;#xD;&amp;#xA;'MFPR01002162',&amp;#xD;&amp;#xA;'MFPR01002163',&amp;#xD;&amp;#xA;'MFPR01002167',&amp;#xD;&amp;#xA;'MFPR01002168',&amp;#xD;&amp;#xA;'MFPR01002169',&amp;#xD;&amp;#xA;'MFPR01002171',&amp;#xD;&amp;#xA;'MFPR01002172',&amp;#xD;&amp;#xA;'MFPR01002173',&amp;#xD;&amp;#xA;'MFPR01002174',&amp;#xD;&amp;#xA;'MFPR01002'"</definedName>
    <definedName name="_AMO_ContentLocation_316789590__A1.59" hidden="1">"'179',&amp;#xD;&amp;#xA;'MFPR01002185',&amp;#xD;&amp;#xA;'MFPR01002189',&amp;#xD;&amp;#xA;'MFPR01002190',&amp;#xD;&amp;#xA;'MFPR01002191',&amp;#xD;&amp;#xA;'MFPR01002199',&amp;#xD;&amp;#xA;'MFPR01002210',&amp;#xD;&amp;#xA;'MFPR01002211',&amp;#xD;&amp;#xA;'MFPR01002212',&amp;#xD;&amp;#xA;'MFPR01002214',&amp;#xD;&amp;#xA;'MFPR010022'"</definedName>
    <definedName name="_AMO_ContentLocation_316789590__A1.6" hidden="1">"'000163',&amp;#xD;&amp;#xA;'MFPR01000165',&amp;#xD;&amp;#xA;'MFPR01000168',&amp;#xD;&amp;#xA;'MFPR01000169',&amp;#xD;&amp;#xA;'MFPR01000170',&amp;#xD;&amp;#xA;'MFPR01000171',&amp;#xD;&amp;#xA;'MFPR01000172',&amp;#xD;&amp;#xA;'MFPR01000173',&amp;#xD;&amp;#xA;'MFPR01000176',&amp;#xD;&amp;#xA;'MFPR01000184',&amp;#xD;&amp;#xA;'MFPR010'"</definedName>
    <definedName name="_AMO_ContentLocation_316789590__A1.60" hidden="1">"'15',&amp;#xD;&amp;#xA;'MFPR01002216',&amp;#xD;&amp;#xA;'MFPR01002217',&amp;#xD;&amp;#xA;'MFPR01002222',&amp;#xD;&amp;#xA;'MFPR01002228',&amp;#xD;&amp;#xA;'MFPR01002232',&amp;#xD;&amp;#xA;'MFPR01002233',&amp;#xD;&amp;#xA;'MFPR01002237',&amp;#xD;&amp;#xA;'MFPR01002238',&amp;#xD;&amp;#xA;'MFPR01002239',&amp;#xD;&amp;#xA;'MFPR0100224'"</definedName>
    <definedName name="_AMO_ContentLocation_316789590__A1.61" hidden="1">"'1',&amp;#xD;&amp;#xA;'MFPR01002242',&amp;#xD;&amp;#xA;'MFPR01002243',&amp;#xD;&amp;#xA;'MFPR01002244',&amp;#xD;&amp;#xA;'MFPR01002249',&amp;#xD;&amp;#xA;'MFPR01002255',&amp;#xD;&amp;#xA;'MFPR01002259',&amp;#xD;&amp;#xA;'MFPR01002260',&amp;#xD;&amp;#xA;'MFPR01002261',&amp;#xD;&amp;#xA;'MFPR01002269',&amp;#xD;&amp;#xA;'MFPR01002280'"</definedName>
    <definedName name="_AMO_ContentLocation_316789590__A1.62" hidden="1">"'',&amp;#xD;&amp;#xA;'MFPR01002281',&amp;#xD;&amp;#xA;'MFPR01002282',&amp;#xD;&amp;#xA;'MFPR01002284',&amp;#xD;&amp;#xA;'MFPR01002285',&amp;#xD;&amp;#xA;'MFPR01002286',&amp;#xD;&amp;#xA;'MFPR01002287',&amp;#xD;&amp;#xA;'MFPR01002292',&amp;#xD;&amp;#xA;'MFPR01002298',&amp;#xD;&amp;#xA;'MFPR01002302',&amp;#xD;&amp;#xA;'MFPR01002303''"</definedName>
    <definedName name="_AMO_ContentLocation_316789590__A1.63" hidden="1">"',&amp;#xD;&amp;#xA;'MFPR01002307',&amp;#xD;&amp;#xA;'MFPR01002308',&amp;#xD;&amp;#xA;'MFPR01002309',&amp;#xD;&amp;#xA;'MFPR01002311',&amp;#xD;&amp;#xA;'MFPR01002312',&amp;#xD;&amp;#xA;'MFPR01002313',&amp;#xD;&amp;#xA;'MFPR01002314',&amp;#xD;&amp;#xA;'MFPR01002319',&amp;#xD;&amp;#xA;'MFPR01002325',&amp;#xD;&amp;#xA;'MFPR01002329','"</definedName>
    <definedName name="_AMO_ContentLocation_316789590__A1.64" hidden="1">"'&amp;#xD;&amp;#xA;'MFPR01002330',&amp;#xD;&amp;#xA;'MFPR01002331',&amp;#xD;&amp;#xA;'MFPR01002339',&amp;#xD;&amp;#xA;'MFPR01002350',&amp;#xD;&amp;#xA;'MFPR01002351',&amp;#xD;&amp;#xA;'MFPR01002352',&amp;#xD;&amp;#xA;'MFPR01002354',&amp;#xD;&amp;#xA;'MFPR01002355',&amp;#xD;&amp;#xA;'MFPR01002356',&amp;#xD;&amp;#xA;'MFPR01002357',&amp;'"</definedName>
    <definedName name="_AMO_ContentLocation_316789590__A1.65" hidden="1">"'#xD;&amp;#xA;'MFPR01002362',&amp;#xD;&amp;#xA;'MFPR01002368',&amp;#xD;&amp;#xA;'MFPR01002372',&amp;#xD;&amp;#xA;'MFPR01002373',&amp;#xD;&amp;#xA;'MFPR01002377',&amp;#xD;&amp;#xA;'MFPR01002378',&amp;#xD;&amp;#xA;'MFPR01002379',&amp;#xD;&amp;#xA;'MFPR01002381',&amp;#xD;&amp;#xA;'MFPR01002382',&amp;#xD;&amp;#xA;'MFPR01002383',&amp;#'"</definedName>
    <definedName name="_AMO_ContentLocation_316789590__A1.66" hidden="1">"'xD;&amp;#xA;'MFPR01002384',&amp;#xD;&amp;#xA;'MFPR01002389',&amp;#xD;&amp;#xA;'MFPR01002395',&amp;#xD;&amp;#xA;'MFPR01002399',&amp;#xD;&amp;#xA;'MFPR01002400',&amp;#xD;&amp;#xA;'MFPR01002401',&amp;#xD;&amp;#xA;'MFPR01002409',&amp;#xD;&amp;#xA;'MFPR01002420',&amp;#xD;&amp;#xA;'MFPR01002421',&amp;#xD;&amp;#xA;'MFPR01002422',&amp;#x'"</definedName>
    <definedName name="_AMO_ContentLocation_316789590__A1.67" hidden="1">"'D;&amp;#xA;'MFPR01002424',&amp;#xD;&amp;#xA;'MFPR01002425',&amp;#xD;&amp;#xA;'MFPR01002426',&amp;#xD;&amp;#xA;'MFPR01002427',&amp;#xD;&amp;#xA;'MFPR01002432',&amp;#xD;&amp;#xA;'MFPR01002438',&amp;#xD;&amp;#xA;'MFPR01002442',&amp;#xD;&amp;#xA;'MFPR01002443',&amp;#xD;&amp;#xA;'MFPR01002447',&amp;#xD;&amp;#xA;'MFPR01002448',&amp;#xD'"</definedName>
    <definedName name="_AMO_ContentLocation_316789590__A1.68" hidden="1">"';&amp;#xA;'MFPR01002449',&amp;#xD;&amp;#xA;'MFPR01002451',&amp;#xD;&amp;#xA;'MFPR01002452',&amp;#xD;&amp;#xA;'MFPR01002453',&amp;#xD;&amp;#xA;'MFPR01002454',&amp;#xD;&amp;#xA;'MFPR01002459',&amp;#xD;&amp;#xA;'MFPR01002465',&amp;#xD;&amp;#xA;'MFPR01002469',&amp;#xD;&amp;#xA;'MFPR01002470',&amp;#xD;&amp;#xA;'MFPR01002471',&amp;#xD;'"</definedName>
    <definedName name="_AMO_ContentLocation_316789590__A1.69" hidden="1">"'&amp;#xA;'MFPR01002479',&amp;#xD;&amp;#xA;'MFPR01002490',&amp;#xD;&amp;#xA;'MFPR01002491',&amp;#xD;&amp;#xA;'MFPR01002492',&amp;#xD;&amp;#xA;'MFPR01002494',&amp;#xD;&amp;#xA;'MFPR01002495',&amp;#xD;&amp;#xA;'MFPR01002496',&amp;#xD;&amp;#xA;'MFPR01002497',&amp;#xD;&amp;#xA;'MFPR01002502',&amp;#xD;&amp;#xA;'MFPR01002508',&amp;#xD;&amp;'"</definedName>
    <definedName name="_AMO_ContentLocation_316789590__A1.7" hidden="1">"'00200',&amp;#xD;&amp;#xA;'MFPR01000216',&amp;#xD;&amp;#xA;'MFPR01000232',&amp;#xD;&amp;#xA;'MFPR01000254',&amp;#xD;&amp;#xA;'MFPR01000255',&amp;#xD;&amp;#xA;'MFPR01000256',&amp;#xD;&amp;#xA;'MFPR01000257',&amp;#xD;&amp;#xA;'MFPR01000258',&amp;#xD;&amp;#xA;'MFPR01000279',&amp;#xD;&amp;#xA;'MFPR01000285',&amp;#xD;&amp;#xA;'MFPR0100'"</definedName>
    <definedName name="_AMO_ContentLocation_316789590__A1.70" hidden="1">"'#xA;'MFPR01002512',&amp;#xD;&amp;#xA;'MFPR01002513',&amp;#xD;&amp;#xA;'MFPR01002517',&amp;#xD;&amp;#xA;'MFPR01002518',&amp;#xD;&amp;#xA;'MFPR01002519',&amp;#xD;&amp;#xA;'MFPR01002521',&amp;#xD;&amp;#xA;'MFPR01002522',&amp;#xD;&amp;#xA;'MFPR01002523',&amp;#xD;&amp;#xA;'MFPR01002524',&amp;#xD;&amp;#xA;'MFPR01002529',&amp;#xD;&amp;#'"</definedName>
    <definedName name="_AMO_ContentLocation_316789590__A1.71" hidden="1">"'xA;'MFPR01002535',&amp;#xD;&amp;#xA;'MFPR01002539',&amp;#xD;&amp;#xA;'MFPR01002540',&amp;#xD;&amp;#xA;'MFPR01002541',&amp;#xD;&amp;#xA;'MFPR01002549',&amp;#xD;&amp;#xA;'MFPR01002560',&amp;#xD;&amp;#xA;'MFPR01002561',&amp;#xD;&amp;#xA;'MFPR01002562',&amp;#xD;&amp;#xA;'MFPR01002564',&amp;#xD;&amp;#xA;'MFPR01002565',&amp;#xD;&amp;#x'"</definedName>
    <definedName name="_AMO_ContentLocation_316789590__A1.72" hidden="1">"'A;'MFPR01002566',&amp;#xD;&amp;#xA;'MFPR01002567',&amp;#xD;&amp;#xA;'MFPR01002571',&amp;#xD;&amp;#xA;'MFPR01002577',&amp;#xD;&amp;#xA;'MFPR01002581',&amp;#xD;&amp;#xA;'MFPR01002582',&amp;#xD;&amp;#xA;'MFPR01002586',&amp;#xD;&amp;#xA;'MFPR01002587',&amp;#xD;&amp;#xA;'MFPR01002588',&amp;#xD;&amp;#xA;'MFPR01002590',&amp;#xD;&amp;#xA'"</definedName>
    <definedName name="_AMO_ContentLocation_316789590__A1.73" hidden="1">"';'MFPR01002591',&amp;#xD;&amp;#xA;'MFPR01002592',&amp;#xD;&amp;#xA;'MFPR01002593',&amp;#xD;&amp;#xA;'MFPR01002597',&amp;#xD;&amp;#xA;'MFPR01002604',&amp;#xD;&amp;#xA;'MFPR01002608',&amp;#xD;&amp;#xA;'MFPR01002609',&amp;#xD;&amp;#xA;'MFPR01002610',&amp;#xD;&amp;#xA;'MFPR01002618',&amp;#xD;&amp;#xA;'MFPR01002629',&amp;#xD;&amp;#xA;'"</definedName>
    <definedName name="_AMO_ContentLocation_316789590__A1.74" hidden="1">"''MFPR01002630',&amp;#xD;&amp;#xA;'MFPR01002631',&amp;#xD;&amp;#xA;'MFPR01002633',&amp;#xD;&amp;#xA;'MFPR01002634',&amp;#xD;&amp;#xA;'MFPR01002635',&amp;#xD;&amp;#xA;'MFPR01002636',&amp;#xD;&amp;#xA;'MFPR01002640',&amp;#xD;&amp;#xA;'MFPR01002646',&amp;#xD;&amp;#xA;'MFPR01002650',&amp;#xD;&amp;#xA;'MFPR01002651',&amp;#xD;&amp;#xA;''"</definedName>
    <definedName name="_AMO_ContentLocation_316789590__A1.75" hidden="1">"'MFPR01002655',&amp;#xD;&amp;#xA;'MFPR01002656',&amp;#xD;&amp;#xA;'MFPR01002657',&amp;#xD;&amp;#xA;'MFPR01002659',&amp;#xD;&amp;#xA;'MFPR01002660',&amp;#xD;&amp;#xA;'MFPR01002661',&amp;#xD;&amp;#xA;'MFPR01002662',&amp;#xD;&amp;#xA;'MFPR01002666',&amp;#xD;&amp;#xA;'MFPR01002673',&amp;#xD;&amp;#xA;'MFPR01002677',&amp;#xD;&amp;#xA;'M'"</definedName>
    <definedName name="_AMO_ContentLocation_316789590__A1.76" hidden="1">"'FPR01002678',&amp;#xD;&amp;#xA;'MFPR01002679',&amp;#xD;&amp;#xA;'MFPR01002687',&amp;#xD;&amp;#xA;'MFPR01002698',&amp;#xD;&amp;#xA;'MFPR01002699',&amp;#xD;&amp;#xA;'MFPR01002700',&amp;#xD;&amp;#xA;'MFPR01002702',&amp;#xD;&amp;#xA;'MFPR01002703',&amp;#xD;&amp;#xA;'MFPR01002704',&amp;#xD;&amp;#xA;'MFPR01002705',&amp;#xD;&amp;#xA;'MF'"</definedName>
    <definedName name="_AMO_ContentLocation_316789590__A1.77" hidden="1">"'PR01002709',&amp;#xD;&amp;#xA;'MFPR01002715',&amp;#xD;&amp;#xA;'MFPR01002719',&amp;#xD;&amp;#xA;'MFPR01002720',&amp;#xD;&amp;#xA;'MFPR01002724',&amp;#xD;&amp;#xA;'MFPR01002725',&amp;#xD;&amp;#xA;'MFPR01002726',&amp;#xD;&amp;#xA;'MFPR01002728',&amp;#xD;&amp;#xA;'MFPR01002729',&amp;#xD;&amp;#xA;'MFPR01002730',&amp;#xD;&amp;#xA;'MFP'"</definedName>
    <definedName name="_AMO_ContentLocation_316789590__A1.78" hidden="1">"'R01002731',&amp;#xD;&amp;#xA;'MFPR01002735',&amp;#xD;&amp;#xA;'MFPR01002742',&amp;#xD;&amp;#xA;'MFPR01002746',&amp;#xD;&amp;#xA;'MFPR01002747',&amp;#xD;&amp;#xA;'MFPR01002748',&amp;#xD;&amp;#xA;'MFPR01002756',&amp;#xD;&amp;#xA;'MFPR01002767',&amp;#xD;&amp;#xA;'MFPR01002768',&amp;#xD;&amp;#xA;'MFPR01002769',&amp;#xD;&amp;#xA;'MFPR'"</definedName>
    <definedName name="_AMO_ContentLocation_316789590__A1.79" hidden="1">"'01002771',&amp;#xD;&amp;#xA;'MFPR01002772',&amp;#xD;&amp;#xA;'MFPR01002773',&amp;#xD;&amp;#xA;'MFPR01002774',&amp;#xD;&amp;#xA;'MFPR01002778',&amp;#xD;&amp;#xA;'MFPR01002784',&amp;#xD;&amp;#xA;'MFPR01002788',&amp;#xD;&amp;#xA;'MFPR01002789',&amp;#xD;&amp;#xA;'MFPR01002793',&amp;#xD;&amp;#xA;'MFPR01002794',&amp;#xD;&amp;#xA;'MFPR0'"</definedName>
    <definedName name="_AMO_ContentLocation_316789590__A1.8" hidden="1">"'0286',&amp;#xD;&amp;#xA;'MFPR01000287',&amp;#xD;&amp;#xA;'MFPR01000290',&amp;#xD;&amp;#xA;'MFPR01000294',&amp;#xD;&amp;#xA;'MFPR01000295',&amp;#xD;&amp;#xA;'MFPR01000296',&amp;#xD;&amp;#xA;'MFPR01000297',&amp;#xD;&amp;#xA;'MFPR01000298',&amp;#xD;&amp;#xA;'MFPR01000299',&amp;#xD;&amp;#xA;'MFPR01000300',&amp;#xD;&amp;#xA;'MFPR01000'"</definedName>
    <definedName name="_AMO_ContentLocation_316789590__A1.80" hidden="1">"'1002795',&amp;#xD;&amp;#xA;'MFPR01002797',&amp;#xD;&amp;#xA;'MFPR01002798',&amp;#xD;&amp;#xA;'MFPR01002799',&amp;#xD;&amp;#xA;'MFPR01002800',&amp;#xD;&amp;#xA;'MFPR01002804',&amp;#xD;&amp;#xA;'MFPR01002811',&amp;#xD;&amp;#xA;'MFPR01002815',&amp;#xD;&amp;#xA;'MFPR01002816',&amp;#xD;&amp;#xA;'MFPR01002817',&amp;#xD;&amp;#xA;'MFPR01'"</definedName>
    <definedName name="_AMO_ContentLocation_316789590__A1.81" hidden="1">"'002825',&amp;#xD;&amp;#xA;'MFPR01002835',&amp;#xD;&amp;#xA;'MFPR01002836',&amp;#xD;&amp;#xA;'MFPR01002840',&amp;#xD;&amp;#xA;'MFPR01002848',&amp;#xD;&amp;#xA;'MFPR01002849',&amp;#xD;&amp;#xA;'MFPR01002853',&amp;#xD;&amp;#xA;'MFPR01002860',&amp;#xD;&amp;#xA;'MFPR01002863',&amp;#xD;&amp;#xA;'MFPR01002869',&amp;#xD;&amp;#xA;'MFPR010'"</definedName>
    <definedName name="_AMO_ContentLocation_316789590__A1.82" hidden="1">"'02870',&amp;#xD;&amp;#xA;'MFPR01002871',&amp;#xD;&amp;#xA;'MFPR01002873',&amp;#xD;&amp;#xA;'MFPR01002874',&amp;#xD;&amp;#xA;'MFPR01002875',&amp;#xD;&amp;#xA;'MFPR01002876',&amp;#xD;&amp;#xA;'MFPR01002880',&amp;#xD;&amp;#xA;'MFPR01002886',&amp;#xD;&amp;#xA;'MFPR01002890',&amp;#xD;&amp;#xA;'MFPR01002891',&amp;#xD;&amp;#xA;'MFPR0100'"</definedName>
    <definedName name="_AMO_ContentLocation_316789590__A1.83" hidden="1">"'2895',&amp;#xD;&amp;#xA;'MFPR01002896',&amp;#xD;&amp;#xA;'MFPR01002897',&amp;#xD;&amp;#xA;'MFPR01002899',&amp;#xD;&amp;#xA;'MFPR01002900',&amp;#xD;&amp;#xA;'MFPR01002901',&amp;#xD;&amp;#xA;'MFPR01002902',&amp;#xD;&amp;#xA;'MFPR01002906',&amp;#xD;&amp;#xA;'MFPR01002913',&amp;#xD;&amp;#xA;'MFPR01002917',&amp;#xD;&amp;#xA;'MFPR01002'"</definedName>
    <definedName name="_AMO_ContentLocation_316789590__A1.84" hidden="1">"'918',&amp;#xD;&amp;#xA;'MFPR01002919',&amp;#xD;&amp;#xA;'MFPR01002927',&amp;#xD;&amp;#xA;'MFPR01002938',&amp;#xD;&amp;#xA;'MFPR01002939',&amp;#xD;&amp;#xA;'MFPR01002940',&amp;#xD;&amp;#xA;'MFPR01002942',&amp;#xD;&amp;#xA;'MFPR01002943',&amp;#xD;&amp;#xA;'MFPR01002944',&amp;#xD;&amp;#xA;'MFPR01002945',&amp;#xD;&amp;#xA;'MFPR010029'"</definedName>
    <definedName name="_AMO_ContentLocation_316789590__A1.85" hidden="1">"'50',&amp;#xD;&amp;#xA;'MFPR01002956',&amp;#xD;&amp;#xA;'MFPR01002960',&amp;#xD;&amp;#xA;'MFPR01002961',&amp;#xD;&amp;#xA;'MFPR01002965',&amp;#xD;&amp;#xA;'MFPR01002966',&amp;#xD;&amp;#xA;'MFPR01002967',&amp;#xD;&amp;#xA;'MFPR01002969',&amp;#xD;&amp;#xA;'MFPR01002970',&amp;#xD;&amp;#xA;'MFPR01002971',&amp;#xD;&amp;#xA;'MFPR0100297'"</definedName>
    <definedName name="_AMO_ContentLocation_316789590__A1.86" hidden="1">"'2',&amp;#xD;&amp;#xA;'MFPR01002977',&amp;#xD;&amp;#xA;'MFPR01002984',&amp;#xD;&amp;#xA;'MFPR01002988',&amp;#xD;&amp;#xA;'MFPR01002989',&amp;#xD;&amp;#xA;'MFPR01002990',&amp;#xD;&amp;#xA;'MFPR01002998',&amp;#xD;&amp;#xA;'MFPR01003009',&amp;#xD;&amp;#xA;'MFPR01003010',&amp;#xD;&amp;#xA;'MFPR01003011',&amp;#xD;&amp;#xA;'MFPR01003013'"</definedName>
    <definedName name="_AMO_ContentLocation_316789590__A1.87" hidden="1">"'',&amp;#xD;&amp;#xA;'MFPR01003014',&amp;#xD;&amp;#xA;'MFPR01003015',&amp;#xD;&amp;#xA;'MFPR01003016',&amp;#xD;&amp;#xA;'MFPR01003021',&amp;#xD;&amp;#xA;'MFPR01003027',&amp;#xD;&amp;#xA;'MFPR01003031',&amp;#xD;&amp;#xA;'MFPR01003032',&amp;#xD;&amp;#xA;'MFPR01003036',&amp;#xD;&amp;#xA;'MFPR01003037',&amp;#xD;&amp;#xA;'MFPR01003038''"</definedName>
    <definedName name="_AMO_ContentLocation_316789590__A1.88" hidden="1">"',&amp;#xD;&amp;#xA;'MFPR01003040',&amp;#xD;&amp;#xA;'MFPR01003041',&amp;#xD;&amp;#xA;'MFPR01003042',&amp;#xD;&amp;#xA;'MFPR01003043',&amp;#xD;&amp;#xA;'MFPR01003048',&amp;#xD;&amp;#xA;'MFPR01003055',&amp;#xD;&amp;#xA;'MFPR01003059',&amp;#xD;&amp;#xA;'MFPR01003060',&amp;#xD;&amp;#xA;'MFPR01003061',&amp;#xD;&amp;#xA;'MFPR01003069','"</definedName>
    <definedName name="_AMO_ContentLocation_316789590__A1.89" hidden="1">"'&amp;#xD;&amp;#xA;'MFPR01003080',&amp;#xD;&amp;#xA;'MFPR01003083',&amp;#xD;&amp;#xA;'MFPR01003086',&amp;#xD;&amp;#xA;'MFPR01003088',&amp;#xD;&amp;#xA;'MFPR01003089',&amp;#xD;&amp;#xA;'MFPR01003090',&amp;#xD;&amp;#xA;'MFPR01003091',&amp;#xD;&amp;#xA;'MFPR01003096',&amp;#xD;&amp;#xA;'MFPR01003102',&amp;#xD;&amp;#xA;'MFPR01003106',&amp;'"</definedName>
    <definedName name="_AMO_ContentLocation_316789590__A1.9" hidden="1">"'301',&amp;#xD;&amp;#xA;'MFPR01000302',&amp;#xD;&amp;#xA;'MFPR01000304',&amp;#xD;&amp;#xA;'MFPR01000305',&amp;#xD;&amp;#xA;'MFPR01000306',&amp;#xD;&amp;#xA;'MFPR01000307',&amp;#xD;&amp;#xA;'MFPR01000450',&amp;#xD;&amp;#xA;'MFPR01000451',&amp;#xD;&amp;#xA;'MFPR01000452',&amp;#xD;&amp;#xA;'MFPR01000454',&amp;#xD;&amp;#xA;'MFPR010004'"</definedName>
    <definedName name="_AMO_ContentLocation_316789590__A1.90" hidden="1">"'#xD;&amp;#xA;'MFPR01003110',&amp;#xD;&amp;#xA;'MFPR01003113',&amp;#xD;&amp;#xA;'MFPR01003116',&amp;#xD;&amp;#xA;'MFPR01003118',&amp;#xD;&amp;#xA;'MFPR01003119',&amp;#xD;&amp;#xA;'MFPR01003120',&amp;#xD;&amp;#xA;'MFPR01003121',&amp;#xD;&amp;#xA;'MFPR01003126',&amp;#xD;&amp;#xA;'MFPR01003133',&amp;#xD;&amp;#xA;'MFPR01003137',&amp;#'"</definedName>
    <definedName name="_AMO_ContentLocation_316789590__A1.91" hidden="1">"'xD;&amp;#xA;'MFPR01003138',&amp;#xD;&amp;#xA;'MFPR01003145',&amp;#xD;&amp;#xA;'MFPR01003158',&amp;#xD;&amp;#xA;'MFPR01003159',&amp;#xD;&amp;#xA;'MFPR01003163',&amp;#xD;&amp;#xA;'MFPR01003169',&amp;#xD;&amp;#xA;'MFPR01003176',&amp;#xD;&amp;#xA;'MFPR01003178',&amp;#xD;&amp;#xA;'MFPR01003179',&amp;#xD;&amp;#xA;'MFPR01003180',&amp;#x'"</definedName>
    <definedName name="_AMO_ContentLocation_316789590__A1.92" hidden="1">"'D;&amp;#xA;'MFPR01003181',&amp;#xD;&amp;#xA;'MFPR01003185',&amp;#xD;&amp;#xA;'MFPR01003192',&amp;#xD;&amp;#xA;'MFPR01003196',&amp;#xD;&amp;#xA;'MFPR01003197',&amp;#xD;&amp;#xA;'MFPR01003204',&amp;#xD;&amp;#xA;'MFPR01003213',&amp;#xD;&amp;#xA;'MFPR01003215',&amp;#xD;&amp;#xA;'MFPR01003216',&amp;#xD;&amp;#xA;'MFPR01003217',&amp;#xD'"</definedName>
    <definedName name="_AMO_ContentLocation_316789590__A1.93" hidden="1">"';&amp;#xA;'MFPR01003218',&amp;#xD;&amp;#xA;'MFPR01003223',&amp;#xD;&amp;#xA;'MFPR01003229',&amp;#xD;&amp;#xA;'MFPR01003233',&amp;#xD;&amp;#xA;'MFPR01003236',&amp;#xD;&amp;#xA;'MFPR01003238',&amp;#xD;&amp;#xA;'MFPR01003239',&amp;#xD;&amp;#xA;'MFPR01003240',&amp;#xD;&amp;#xA;'MFPR01003241',&amp;#xD;&amp;#xA;'MFPR01003246',&amp;#xD;'"</definedName>
    <definedName name="_AMO_ContentLocation_316789590__A1.94" hidden="1">"'&amp;#xA;'MFPR01003253',&amp;#xD;&amp;#xA;'MFPR01003257',&amp;#xD;&amp;#xA;'MFPR01003258',&amp;#xD;&amp;#xA;'MFPR01003265',&amp;#xD;&amp;#xA;'MFPR01003274',&amp;#xD;&amp;#xA;'MFPR01003281',&amp;#xD;&amp;#xA;'MFPR01003283',&amp;#xD;&amp;#xA;'MFPR01003284',&amp;#xD;&amp;#xA;'MFPR01003285',&amp;#xD;&amp;#xA;'MFPR01003286',&amp;#xD;&amp;'"</definedName>
    <definedName name="_AMO_ContentLocation_316789590__A1.95" hidden="1">"'#xA;'MFPR01003291',&amp;#xD;&amp;#xA;'MFPR01003297',&amp;#xD;&amp;#xA;'MFPR01003301',&amp;#xD;&amp;#xA;'MFPR01003305',&amp;#xD;&amp;#xA;'MFPR01003308',&amp;#xD;&amp;#xA;'MFPR01003311',&amp;#xD;&amp;#xA;'MFPR01003313',&amp;#xD;&amp;#xA;'MFPR01003314',&amp;#xD;&amp;#xA;'MFPR01003315',&amp;#xD;&amp;#xA;'MFPR01003316',&amp;#xD;&amp;#'"</definedName>
    <definedName name="_AMO_ContentLocation_316789590__A1.96" hidden="1">"'xA;'MFPR01003321',&amp;#xD;&amp;#xA;'MFPR01003328',&amp;#xD;&amp;#xA;'MFPR01003332',&amp;#xD;&amp;#xA;'MFPR01003333',&amp;#xD;&amp;#xA;'MFPR01003340',&amp;#xD;&amp;#xA;'MFPR01003350',&amp;#xD;&amp;#xA;'MFPR01003353',&amp;#xD;&amp;#xA;'MFPR01003356',&amp;#xD;&amp;#xA;'MFPR01003358',&amp;#xD;&amp;#xA;'MFPR01003359',&amp;#xD;&amp;#x'"</definedName>
    <definedName name="_AMO_ContentLocation_316789590__A1.97" hidden="1">"'A;'MFPR01003360',&amp;#xD;&amp;#xA;'MFPR01003361',&amp;#xD;&amp;#xA;'MFPR01003366',&amp;#xD;&amp;#xA;'MFPR01003372',&amp;#xD;&amp;#xA;'MFPR01003380',&amp;#xD;&amp;#xA;'MFPR01003383',&amp;#xD;&amp;#xA;'MFPR01003386',&amp;#xD;&amp;#xA;'MFPR01003388',&amp;#xD;&amp;#xA;'MFPR01003389',&amp;#xD;&amp;#xA;'MFPR01003390',&amp;#xD;&amp;#xA'"</definedName>
    <definedName name="_AMO_ContentLocation_316789590__A1.98" hidden="1">"';'MFPR01003391',&amp;#xD;&amp;#xA;'MFPR01003396',&amp;#xD;&amp;#xA;'MFPR01003403',&amp;#xD;&amp;#xA;'MFPR01003407',&amp;#xD;&amp;#xA;'MFPR01003408',&amp;#xD;&amp;#xA;'MFPR01003415',&amp;#xD;&amp;#xA;'MFPR01003428',&amp;#xD;&amp;#xA;'MFPR01003429',&amp;#xD;&amp;#xA;'MFPR01003433',&amp;#xD;&amp;#xA;'MFPR01003446',&amp;#xD;&amp;#xA;'"</definedName>
    <definedName name="_AMO_ContentLocation_316789590__A1.99" hidden="1">"''MFPR01003448',&amp;#xD;&amp;#xA;'MFPR01003449',&amp;#xD;&amp;#xA;'MFPR01003450',&amp;#xD;&amp;#xA;'MFPR01003451',&amp;#xD;&amp;#xA;'MFPR01003455',&amp;#xD;&amp;#xA;'MFPR01003462',&amp;#xD;&amp;#xA;'MFPR01003466',&amp;#xD;&amp;#xA;'MFPR01003467',&amp;#xD;&amp;#xA;'MFPR01003473',&amp;#xD;&amp;#xA;'MFPR01003481',&amp;#xD;&amp;#xA;''"</definedName>
    <definedName name="_AMO_ContentLocation_335589001_ROM_F0.SEC2.Report_1.SEC1.BDY.Detailed_and_or_summarized_report" hidden="1">"'Partitions:2'"</definedName>
    <definedName name="_AMO_ContentLocation_335589001_ROM_F0.SEC2.Report_1.SEC1.BDY.Detailed_and_or_summarized_report.0" hidden="1">"'&lt;ContentLocation path=""F0.SEC2.Report_1.SEC1.BDY.Detailed_and_or_summarized_report"" rsid=""335589001"" tag=""ROM"" fid=""0""&gt;_x000D_
  &lt;param n=""_NumRows"" v=""32"" /&gt;_x000D_
  &lt;param n=""_NumCols"" v=""13"" /&gt;_x000D_
  &lt;param n=""tableSig"" v=""R:R=32:C=13:FCR=2:F'"</definedName>
    <definedName name="_AMO_ContentLocation_335589001_ROM_F0.SEC2.Report_1.SEC1.BDY.Detailed_and_or_summarized_report.1" hidden="1">"'CC=1"" /&gt;_x000D_
  &lt;param n=""leftMargin"" v=""0"" /&gt;_x000D_
&lt;/ContentLocation&gt;'"</definedName>
    <definedName name="_AMO_ContentLocation_335589001_ROM_F0.SEC2.Report_1.SEC1.FTR.TXT1" hidden="1">"'&lt;ContentLocation path=""F0.SEC2.Report_1.SEC1.FTR.TXT1"" rsid=""335589001"" tag=""ROM"" fid=""0""&gt;_x000D_
  &lt;param n=""_NumRows"" v=""1"" /&gt;_x000D_
  &lt;param n=""_NumCols"" v=""13"" /&gt;_x000D_
&lt;/ContentLocation&gt;'"</definedName>
    <definedName name="_AMO_ContentLocation_335589001_ROM_F0.SEC2.Report_1.SEC1.FTR.TXT2" hidden="1">"'&lt;ContentLocation path=""F0.SEC2.Report_1.SEC1.FTR.TXT2"" rsid=""335589001"" tag=""ROM"" fid=""0""&gt;_x000D_
  &lt;param n=""_NumRows"" v=""1"" /&gt;_x000D_
  &lt;param n=""_NumCols"" v=""13"" /&gt;_x000D_
&lt;/ContentLocation&gt;'"</definedName>
    <definedName name="_AMO_ContentLocation_335589001_ROM_F0.SEC2.Report_1.SEC1.HDR.TXT1" hidden="1">"'&lt;ContentLocation path=""F0.SEC2.Report_1.SEC1.HDR.TXT1"" rsid=""335589001"" tag=""ROM"" fid=""0""&gt;_x000D_
  &lt;param n=""_NumRows"" v=""1"" /&gt;_x000D_
  &lt;param n=""_NumCols"" v=""13"" /&gt;_x000D_
&lt;/ContentLocation&gt;'"</definedName>
    <definedName name="_AMO_ContentLocation_335589001_ROM_F0.SEC2.Report_1.SEC1.HDR.TXT2" hidden="1">"'&lt;ContentLocation path=""F0.SEC2.Report_1.SEC1.HDR.TXT2"" rsid=""335589001"" tag=""ROM"" fid=""0""&gt;_x000D_
  &lt;param n=""_NumRows"" v=""1"" /&gt;_x000D_
  &lt;param n=""_NumCols"" v=""13"" /&gt;_x000D_
&lt;/ContentLocation&gt;'"</definedName>
    <definedName name="_AMO_ContentLocation_335589001_ROM_F0.SEC2.Report_1.SEC1.HDR.TXT3" hidden="1">"'&lt;ContentLocation path=""F0.SEC2.Report_1.SEC1.HDR.TXT3"" rsid=""335589001"" tag=""ROM"" fid=""0""&gt;_x000D_
  &lt;param n=""_NumRows"" v=""1"" /&gt;_x000D_
  &lt;param n=""_NumCols"" v=""13"" /&gt;_x000D_
&lt;/ContentLocation&gt;'"</definedName>
    <definedName name="_AMO_ContentLocation_349290777_ROM_F0.SEC2.Report_1.SEC1.BDY.Detailed_and_or_summarized_report" hidden="1">"'Partitions:2'"</definedName>
    <definedName name="_AMO_ContentLocation_349290777_ROM_F0.SEC2.Report_1.SEC1.BDY.Detailed_and_or_summarized_report.0" hidden="1">"'&lt;ContentLocation path=""F0.SEC2.Report_1.SEC1.BDY.Detailed_and_or_summarized_report"" rsid=""349290777"" tag=""ROM"" fid=""0""&gt;_x000D_
  &lt;param n=""_NumRows"" v=""32"" /&gt;_x000D_
  &lt;param n=""_NumCols"" v=""13"" /&gt;_x000D_
  &lt;param n=""tableSig"" v=""R:R=32:C=13:FCR=2:F'"</definedName>
    <definedName name="_AMO_ContentLocation_349290777_ROM_F0.SEC2.Report_1.SEC1.BDY.Detailed_and_or_summarized_report.1" hidden="1">"'CC=1"" /&gt;_x000D_
  &lt;param n=""leftMargin"" v=""0"" /&gt;_x000D_
&lt;/ContentLocation&gt;'"</definedName>
    <definedName name="_AMO_ContentLocation_349290777_ROM_F0.SEC2.Report_1.SEC1.FTR.TXT1" hidden="1">"'&lt;ContentLocation path=""F0.SEC2.Report_1.SEC1.FTR.TXT1"" rsid=""349290777"" tag=""ROM"" fid=""0""&gt;_x000D_
  &lt;param n=""_NumRows"" v=""1"" /&gt;_x000D_
  &lt;param n=""_NumCols"" v=""13"" /&gt;_x000D_
&lt;/ContentLocation&gt;'"</definedName>
    <definedName name="_AMO_ContentLocation_349290777_ROM_F0.SEC2.Report_1.SEC1.FTR.TXT2" hidden="1">"'&lt;ContentLocation path=""F0.SEC2.Report_1.SEC1.FTR.TXT2"" rsid=""349290777"" tag=""ROM"" fid=""0""&gt;_x000D_
  &lt;param n=""_NumRows"" v=""1"" /&gt;_x000D_
  &lt;param n=""_NumCols"" v=""13"" /&gt;_x000D_
&lt;/ContentLocation&gt;'"</definedName>
    <definedName name="_AMO_ContentLocation_349290777_ROM_F0.SEC2.Report_1.SEC1.HDR.TXT1" hidden="1">"'&lt;ContentLocation path=""F0.SEC2.Report_1.SEC1.HDR.TXT1"" rsid=""349290777"" tag=""ROM"" fid=""0""&gt;_x000D_
  &lt;param n=""_NumRows"" v=""1"" /&gt;_x000D_
  &lt;param n=""_NumCols"" v=""13"" /&gt;_x000D_
&lt;/ContentLocation&gt;'"</definedName>
    <definedName name="_AMO_ContentLocation_349290777_ROM_F0.SEC2.Report_1.SEC1.HDR.TXT2" hidden="1">"'&lt;ContentLocation path=""F0.SEC2.Report_1.SEC1.HDR.TXT2"" rsid=""349290777"" tag=""ROM"" fid=""0""&gt;_x000D_
  &lt;param n=""_NumRows"" v=""1"" /&gt;_x000D_
  &lt;param n=""_NumCols"" v=""13"" /&gt;_x000D_
&lt;/ContentLocation&gt;'"</definedName>
    <definedName name="_AMO_ContentLocation_349290777_ROM_F0.SEC2.Report_1.SEC1.HDR.TXT3" hidden="1">"'&lt;ContentLocation path=""F0.SEC2.Report_1.SEC1.HDR.TXT3"" rsid=""349290777"" tag=""ROM"" fid=""0""&gt;_x000D_
  &lt;param n=""_NumRows"" v=""1"" /&gt;_x000D_
  &lt;param n=""_NumCols"" v=""13"" /&gt;_x000D_
&lt;/ContentLocation&gt;'"</definedName>
    <definedName name="_AMO_ContentLocation_485496469__A1" hidden="1">"'Partitions:155'"</definedName>
    <definedName name="_AMO_ContentLocation_485496469__A1.0" hidden="1">"'&lt;ContentLocation path=""A1"" rsid=""485496469"" tag="""" fid=""0""&gt;_x000D_
  &lt;param n=""_NumRows"" v=""133657"" /&gt;_x000D_
  &lt;param n=""_NumCols"" v=""7"" /&gt;_x000D_
  &lt;param n=""SASDataState"" v=""none"" /&gt;_x000D_
  &lt;param n=""SASDataStart"" v=""1"" /&gt;_x000D_
  &lt;param n=""SASDat'"</definedName>
    <definedName name="_AMO_ContentLocation_485496469__A1.1" hidden="1">"'aEnd"" v=""133656"" /&gt;_x000D_
  &lt;param n=""SASFilter"" v=""entity_submitter_type IN &amp;#xD;&amp;#xA;(&amp;#xD;&amp;#xA;'Country'&amp;#xD;&amp;#xA;) AND date_dt &amp;gt;= '31Jan2020'd AND frequency_cd = 'M' AND entity_id CONTAINS 'ECCU' AND indicator_id IN &amp;#xD;&amp;#xA;(&amp;#xD;&amp;#xA;'MFDRV'"</definedName>
    <definedName name="_AMO_ContentLocation_485496469__A1.10" hidden="1">"',&amp;#xD;&amp;#xA;'MFMSUP000083',&amp;#xD;&amp;#xA;'MFMSUP000084',&amp;#xD;&amp;#xA;'MFMSUP000085',&amp;#xD;&amp;#xA;'MFMSUP000086',&amp;#xD;&amp;#xA;'MFMSUP000087',&amp;#xD;&amp;#xA;'MFMSUP000088',&amp;#xD;&amp;#xA;'MFMSUP000103',&amp;#xD;&amp;#xA;'MFMSUP000104',&amp;#xD;&amp;#xA;'MFMSUP000105',&amp;#xD;&amp;#xA;'MFMSUP000106','"</definedName>
    <definedName name="_AMO_ContentLocation_485496469__A1.100" hidden="1">"'R01007290',&amp;#xD;&amp;#xA;'MFPR01007291',&amp;#xD;&amp;#xA;'MFPR01007292',&amp;#xD;&amp;#xA;'MFPR01007293',&amp;#xD;&amp;#xA;'MFPR01007294',&amp;#xD;&amp;#xA;'MFPR01007295',&amp;#xD;&amp;#xA;'MFPR01007296',&amp;#xD;&amp;#xA;'MFPR01007297',&amp;#xD;&amp;#xA;'MFPR01007298',&amp;#xD;&amp;#xA;'MFPR01007299',&amp;#xD;&amp;#xA;'MFPR'"</definedName>
    <definedName name="_AMO_ContentLocation_485496469__A1.101" hidden="1">"'01007300',&amp;#xD;&amp;#xA;'MFPR01007301',&amp;#xD;&amp;#xA;'MFPR01007302',&amp;#xD;&amp;#xA;'MFPR01007303',&amp;#xD;&amp;#xA;'MFPR01007304',&amp;#xD;&amp;#xA;'MFPR01007305',&amp;#xD;&amp;#xA;'MFPR01007306',&amp;#xD;&amp;#xA;'MFPR01007307',&amp;#xD;&amp;#xA;'MFPR01007308',&amp;#xD;&amp;#xA;'MFPR01007309',&amp;#xD;&amp;#xA;'MFPR0'"</definedName>
    <definedName name="_AMO_ContentLocation_485496469__A1.102" hidden="1">"'1007310',&amp;#xD;&amp;#xA;'MFPR01007311',&amp;#xD;&amp;#xA;'MFPR01007312',&amp;#xD;&amp;#xA;'MFPR01007313',&amp;#xD;&amp;#xA;'MFPR01007314',&amp;#xD;&amp;#xA;'MFPR01007315',&amp;#xD;&amp;#xA;'MFPR01007316',&amp;#xD;&amp;#xA;'MFPR01007317',&amp;#xD;&amp;#xA;'MFPR01007318',&amp;#xD;&amp;#xA;'MFPR01007319',&amp;#xD;&amp;#xA;'MFPR01'"</definedName>
    <definedName name="_AMO_ContentLocation_485496469__A1.103" hidden="1">"'007320',&amp;#xD;&amp;#xA;'MFPR01007321',&amp;#xD;&amp;#xA;'MFPR01007322',&amp;#xD;&amp;#xA;'MFPR01007323',&amp;#xD;&amp;#xA;'MFPR01007324',&amp;#xD;&amp;#xA;'MFPR01007325',&amp;#xD;&amp;#xA;'MFPR01007326',&amp;#xD;&amp;#xA;'MFPR01007327',&amp;#xD;&amp;#xA;'MFPR01007328',&amp;#xD;&amp;#xA;'MFPR01007329',&amp;#xD;&amp;#xA;'MFPR010'"</definedName>
    <definedName name="_AMO_ContentLocation_485496469__A1.104" hidden="1">"'07330',&amp;#xD;&amp;#xA;'MFPR01007331',&amp;#xD;&amp;#xA;'MFPR01007332',&amp;#xD;&amp;#xA;'MFPR01007333',&amp;#xD;&amp;#xA;'MFPR01007334',&amp;#xD;&amp;#xA;'MFPR01007335',&amp;#xD;&amp;#xA;'MFPR01007336',&amp;#xD;&amp;#xA;'MFPR01007337',&amp;#xD;&amp;#xA;'MFPR01007338',&amp;#xD;&amp;#xA;'MFPR01007339',&amp;#xD;&amp;#xA;'MFPR0100'"</definedName>
    <definedName name="_AMO_ContentLocation_485496469__A1.105" hidden="1">"'7340',&amp;#xD;&amp;#xA;'MFPR01007341',&amp;#xD;&amp;#xA;'MFPR01007342',&amp;#xD;&amp;#xA;'MFPR01007343',&amp;#xD;&amp;#xA;'MFPR01007344',&amp;#xD;&amp;#xA;'MFPR01007345',&amp;#xD;&amp;#xA;'MFPR01007346',&amp;#xD;&amp;#xA;'MFPR01007347',&amp;#xD;&amp;#xA;'MFPR01007348',&amp;#xD;&amp;#xA;'MFPR01007349',&amp;#xD;&amp;#xA;'MFPR01007'"</definedName>
    <definedName name="_AMO_ContentLocation_485496469__A1.106" hidden="1">"'350',&amp;#xD;&amp;#xA;'MFPR01007351',&amp;#xD;&amp;#xA;'MFPR01007352',&amp;#xD;&amp;#xA;'MFPR01007353',&amp;#xD;&amp;#xA;'MFPR01007354',&amp;#xD;&amp;#xA;'MFPR01007355',&amp;#xD;&amp;#xA;'MFPR01007356',&amp;#xD;&amp;#xA;'MFPR01007357',&amp;#xD;&amp;#xA;'MFPR01007358',&amp;#xD;&amp;#xA;'MFPR01007359',&amp;#xD;&amp;#xA;'MFPR010073'"</definedName>
    <definedName name="_AMO_ContentLocation_485496469__A1.107" hidden="1">"'60',&amp;#xD;&amp;#xA;'MFPR01007361',&amp;#xD;&amp;#xA;'MFPR01007362',&amp;#xD;&amp;#xA;'MFPR01007363',&amp;#xD;&amp;#xA;'MFPR01007364',&amp;#xD;&amp;#xA;'MFPR01007365',&amp;#xD;&amp;#xA;'MFPR01007366',&amp;#xD;&amp;#xA;'MFPR01007367',&amp;#xD;&amp;#xA;'MFPR01007368',&amp;#xD;&amp;#xA;'MFPR01007369',&amp;#xD;&amp;#xA;'MFPR0100737'"</definedName>
    <definedName name="_AMO_ContentLocation_485496469__A1.108" hidden="1">"'0',&amp;#xD;&amp;#xA;'MFPR01007371',&amp;#xD;&amp;#xA;'MFPR01007372',&amp;#xD;&amp;#xA;'MFPR01007373',&amp;#xD;&amp;#xA;'MFPR01007374',&amp;#xD;&amp;#xA;'MFPR01007375',&amp;#xD;&amp;#xA;'MFPR01007376',&amp;#xD;&amp;#xA;'MFPR01007377',&amp;#xD;&amp;#xA;'MFPR01007378',&amp;#xD;&amp;#xA;'MFPR01007379',&amp;#xD;&amp;#xA;'MFPR01007380'"</definedName>
    <definedName name="_AMO_ContentLocation_485496469__A1.109" hidden="1">"'',&amp;#xD;&amp;#xA;'MFPR01007381',&amp;#xD;&amp;#xA;'MFPR01007382',&amp;#xD;&amp;#xA;'MFPR01007383',&amp;#xD;&amp;#xA;'MFPR01007384',&amp;#xD;&amp;#xA;'MFPR01007385',&amp;#xD;&amp;#xA;'MFPR01007386',&amp;#xD;&amp;#xA;'MFPR01007387',&amp;#xD;&amp;#xA;'MFPR01007388',&amp;#xD;&amp;#xA;'MFPR01007389',&amp;#xD;&amp;#xA;'MFPR01007390''"</definedName>
    <definedName name="_AMO_ContentLocation_485496469__A1.11" hidden="1">"'&amp;#xD;&amp;#xA;'MFMSUP000107',&amp;#xD;&amp;#xA;'MFMSUP000108',&amp;#xD;&amp;#xA;'MFMSUP000109',&amp;#xD;&amp;#xA;'MFMSUP000110',&amp;#xD;&amp;#xA;'MFMSUP000111',&amp;#xD;&amp;#xA;'MFMSUP000112',&amp;#xD;&amp;#xA;'MFMSUP000113',&amp;#xD;&amp;#xA;'MFMSUP000114',&amp;#xD;&amp;#xA;'MFMSUP000115',&amp;#xD;&amp;#xA;'MFMSUP000116',&amp;'"</definedName>
    <definedName name="_AMO_ContentLocation_485496469__A1.110" hidden="1">"',&amp;#xD;&amp;#xA;'MFPR01007391',&amp;#xD;&amp;#xA;'MFPR01007392',&amp;#xD;&amp;#xA;'MFPR01007393',&amp;#xD;&amp;#xA;'MFPR01007394',&amp;#xD;&amp;#xA;'MFPR01007395',&amp;#xD;&amp;#xA;'MFPR01007396',&amp;#xD;&amp;#xA;'MFPR01007397',&amp;#xD;&amp;#xA;'MFPR01007398',&amp;#xD;&amp;#xA;'MFPR01007399',&amp;#xD;&amp;#xA;'MFPR01007400','"</definedName>
    <definedName name="_AMO_ContentLocation_485496469__A1.111" hidden="1">"'&amp;#xD;&amp;#xA;'MFPR01007401',&amp;#xD;&amp;#xA;'MFPR01007402',&amp;#xD;&amp;#xA;'MFPR01007403',&amp;#xD;&amp;#xA;'MFPR01007404',&amp;#xD;&amp;#xA;'MFPR01007405',&amp;#xD;&amp;#xA;'MFPR01007406',&amp;#xD;&amp;#xA;'MFPR01007407',&amp;#xD;&amp;#xA;'MFPR01007408',&amp;#xD;&amp;#xA;'MFPR01007409',&amp;#xD;&amp;#xA;'MFPR01007410',&amp;'"</definedName>
    <definedName name="_AMO_ContentLocation_485496469__A1.112" hidden="1">"'#xD;&amp;#xA;'MFPR01007411',&amp;#xD;&amp;#xA;'MFPR01007412',&amp;#xD;&amp;#xA;'MFPR01007413',&amp;#xD;&amp;#xA;'MFPR01007414',&amp;#xD;&amp;#xA;'MFPR01007415',&amp;#xD;&amp;#xA;'MFPR01007416',&amp;#xD;&amp;#xA;'MFPR01007417',&amp;#xD;&amp;#xA;'MFPR01007418',&amp;#xD;&amp;#xA;'MFPR01007419',&amp;#xD;&amp;#xA;'MFPR01007420',&amp;#'"</definedName>
    <definedName name="_AMO_ContentLocation_485496469__A1.113" hidden="1">"'xD;&amp;#xA;'MFPR01007421',&amp;#xD;&amp;#xA;'MFPR01007422',&amp;#xD;&amp;#xA;'MFPR01007423',&amp;#xD;&amp;#xA;'MFPR01007424',&amp;#xD;&amp;#xA;'MFPR01007425',&amp;#xD;&amp;#xA;'MFPR01007426',&amp;#xD;&amp;#xA;'MFPR01007427',&amp;#xD;&amp;#xA;'MFPR01007428',&amp;#xD;&amp;#xA;'MFPR01007429',&amp;#xD;&amp;#xA;'MFPR01007430',&amp;#x'"</definedName>
    <definedName name="_AMO_ContentLocation_485496469__A1.114" hidden="1">"'D;&amp;#xA;'MFPR01007431',&amp;#xD;&amp;#xA;'MFPR01007432',&amp;#xD;&amp;#xA;'MFPR01007433',&amp;#xD;&amp;#xA;'MFPR01007434',&amp;#xD;&amp;#xA;'MFPR01007435',&amp;#xD;&amp;#xA;'MFPR01007436',&amp;#xD;&amp;#xA;'MFPR01007437',&amp;#xD;&amp;#xA;'MFPR01007438',&amp;#xD;&amp;#xA;'MFPR01007439',&amp;#xD;&amp;#xA;'MFPR01007440',&amp;#xD'"</definedName>
    <definedName name="_AMO_ContentLocation_485496469__A1.115" hidden="1">"';&amp;#xA;'MFPR01007441',&amp;#xD;&amp;#xA;'MFPR01007442',&amp;#xD;&amp;#xA;'MFPR01007443',&amp;#xD;&amp;#xA;'MFPR01007444',&amp;#xD;&amp;#xA;'MFPR01007445',&amp;#xD;&amp;#xA;'MFPR01007446',&amp;#xD;&amp;#xA;'MFPR01007447',&amp;#xD;&amp;#xA;'MFPR01007448',&amp;#xD;&amp;#xA;'MFPR01007449',&amp;#xD;&amp;#xA;'MFPR01007450',&amp;#xD;'"</definedName>
    <definedName name="_AMO_ContentLocation_485496469__A1.116" hidden="1">"'&amp;#xA;'MFPR01007451',&amp;#xD;&amp;#xA;'MFPR01007452',&amp;#xD;&amp;#xA;'MFPR01007453',&amp;#xD;&amp;#xA;'MFPR01007454',&amp;#xD;&amp;#xA;'MFPR01007455',&amp;#xD;&amp;#xA;'MFPR01007456',&amp;#xD;&amp;#xA;'MFPR01007457',&amp;#xD;&amp;#xA;'MFPR01007458',&amp;#xD;&amp;#xA;'MFPR01007459',&amp;#xD;&amp;#xA;'MFPR01007460',&amp;#xD;&amp;'"</definedName>
    <definedName name="_AMO_ContentLocation_485496469__A1.117" hidden="1">"'#xA;'MFPR01007461',&amp;#xD;&amp;#xA;'MFPR01007462',&amp;#xD;&amp;#xA;'MFPR01007463',&amp;#xD;&amp;#xA;'MFPR01007464',&amp;#xD;&amp;#xA;'MFPR01007465',&amp;#xD;&amp;#xA;'MFPR01007466',&amp;#xD;&amp;#xA;'MFPR01007467',&amp;#xD;&amp;#xA;'MFPR01007468',&amp;#xD;&amp;#xA;'MFPR01007469',&amp;#xD;&amp;#xA;'MFPR01007470',&amp;#xD;&amp;#'"</definedName>
    <definedName name="_AMO_ContentLocation_485496469__A1.118" hidden="1">"'xA;'MFPR01007471',&amp;#xD;&amp;#xA;'MFPR01007472',&amp;#xD;&amp;#xA;'MFPR01007473',&amp;#xD;&amp;#xA;'MFPR01007474',&amp;#xD;&amp;#xA;'MFPR01007475',&amp;#xD;&amp;#xA;'MFPR01007476',&amp;#xD;&amp;#xA;'MFPR01007477',&amp;#xD;&amp;#xA;'MFPR01007478',&amp;#xD;&amp;#xA;'MFPR01007479',&amp;#xD;&amp;#xA;'MFPR01007480',&amp;#xD;&amp;#x'"</definedName>
    <definedName name="_AMO_ContentLocation_485496469__A1.119" hidden="1">"'A;'MFPR01007481',&amp;#xD;&amp;#xA;'MFPR01007482',&amp;#xD;&amp;#xA;'MFPR01007483',&amp;#xD;&amp;#xA;'MFPR01007484',&amp;#xD;&amp;#xA;'MFPR01007485',&amp;#xD;&amp;#xA;'MFPR01007486',&amp;#xD;&amp;#xA;'MFPR01007487',&amp;#xD;&amp;#xA;'MFPR01007488',&amp;#xD;&amp;#xA;'MFPR01007489',&amp;#xD;&amp;#xA;'MFPR01007490',&amp;#xD;&amp;#xA'"</definedName>
    <definedName name="_AMO_ContentLocation_485496469__A1.12" hidden="1">"'#xD;&amp;#xA;'MFMSUP000117',&amp;#xD;&amp;#xA;'MFMSUP000118',&amp;#xD;&amp;#xA;'MFMSUP000120',&amp;#xD;&amp;#xA;'MFMSUP000122',&amp;#xD;&amp;#xA;'MFPR01000161',&amp;#xD;&amp;#xA;'MFDRVD000183',&amp;#xD;&amp;#xA;'MFDRVD000184',&amp;#xD;&amp;#xA;'MFDRVD000185',&amp;#xD;&amp;#xA;'MFDRVD000186',&amp;#xD;&amp;#xA;'MFDRVD000189',&amp;#'"</definedName>
    <definedName name="_AMO_ContentLocation_485496469__A1.120" hidden="1">"';'MFPR01007491',&amp;#xD;&amp;#xA;'MFPR01007492',&amp;#xD;&amp;#xA;'MFPR01007493',&amp;#xD;&amp;#xA;'MFPR01007494',&amp;#xD;&amp;#xA;'MFPR01007495',&amp;#xD;&amp;#xA;'MFPR01007496',&amp;#xD;&amp;#xA;'MFPR01007497',&amp;#xD;&amp;#xA;'MFPR01007498',&amp;#xD;&amp;#xA;'MFPR01007499',&amp;#xD;&amp;#xA;'MFPR01007500',&amp;#xD;&amp;#xA;'"</definedName>
    <definedName name="_AMO_ContentLocation_485496469__A1.121" hidden="1">"''MFPR01007501',&amp;#xD;&amp;#xA;'MFPR01007502',&amp;#xD;&amp;#xA;'MFPR01007503',&amp;#xD;&amp;#xA;'MFPR01007504',&amp;#xD;&amp;#xA;'MFPR01007505',&amp;#xD;&amp;#xA;'MFPR01007506',&amp;#xD;&amp;#xA;'MFPR01007507',&amp;#xD;&amp;#xA;'MFPR01007508',&amp;#xD;&amp;#xA;'MFPR01007509',&amp;#xD;&amp;#xA;'MFPR01007510',&amp;#xD;&amp;#xA;''"</definedName>
    <definedName name="_AMO_ContentLocation_485496469__A1.122" hidden="1">"'MFPR01007511',&amp;#xD;&amp;#xA;'MFPR01007512',&amp;#xD;&amp;#xA;'MFPR01007513',&amp;#xD;&amp;#xA;'MFPR01007514',&amp;#xD;&amp;#xA;'MFPR01007515',&amp;#xD;&amp;#xA;'MFPR01007516',&amp;#xD;&amp;#xA;'MFPR01007517',&amp;#xD;&amp;#xA;'MFPR01007518',&amp;#xD;&amp;#xA;'MFPR01007519',&amp;#xD;&amp;#xA;'MFPR01007520',&amp;#xD;&amp;#xA;'M'"</definedName>
    <definedName name="_AMO_ContentLocation_485496469__A1.123" hidden="1">"'FPR01007521',&amp;#xD;&amp;#xA;'MFPR01007522',&amp;#xD;&amp;#xA;'MFPR01007523',&amp;#xD;&amp;#xA;'MFPR01007524',&amp;#xD;&amp;#xA;'MFPR01007525',&amp;#xD;&amp;#xA;'MFPR01007526',&amp;#xD;&amp;#xA;'MFPR01007527',&amp;#xD;&amp;#xA;'MFPR01007528',&amp;#xD;&amp;#xA;'MFPR01007529',&amp;#xD;&amp;#xA;'MFPR01007530',&amp;#xD;&amp;#xA;'MF'"</definedName>
    <definedName name="_AMO_ContentLocation_485496469__A1.124" hidden="1">"'PR01007531',&amp;#xD;&amp;#xA;'MFPR01007532',&amp;#xD;&amp;#xA;'MFPR01007533',&amp;#xD;&amp;#xA;'MFPR01007534',&amp;#xD;&amp;#xA;'MFPR01007535',&amp;#xD;&amp;#xA;'MFPR01007536',&amp;#xD;&amp;#xA;'MFPR01007537',&amp;#xD;&amp;#xA;'MFPR01007538',&amp;#xD;&amp;#xA;'MFPR01007539',&amp;#xD;&amp;#xA;'MFPR01007540',&amp;#xD;&amp;#xA;'MFP'"</definedName>
    <definedName name="_AMO_ContentLocation_485496469__A1.125" hidden="1">"'R01007541',&amp;#xD;&amp;#xA;'MFPR01007543',&amp;#xD;&amp;#xA;'MFPR01007544',&amp;#xD;&amp;#xA;'MFPR01007545',&amp;#xD;&amp;#xA;'MFPR01007546',&amp;#xD;&amp;#xA;'MFPR01007548',&amp;#xD;&amp;#xA;'MFPR01007549',&amp;#xD;&amp;#xA;'MFPR01007550',&amp;#xD;&amp;#xA;'MFPR01007551',&amp;#xD;&amp;#xA;'MFPR01007553',&amp;#xD;&amp;#xA;'MFPR'"</definedName>
    <definedName name="_AMO_ContentLocation_485496469__A1.126" hidden="1">"'01007554',&amp;#xD;&amp;#xA;'MFPR01007555',&amp;#xD;&amp;#xA;'MFPR01007556',&amp;#xD;&amp;#xA;'MFPR01007558',&amp;#xD;&amp;#xA;'MFPR01007559',&amp;#xD;&amp;#xA;'MFPR01007560',&amp;#xD;&amp;#xA;'MFPR01007561',&amp;#xD;&amp;#xA;'MFPR01007563',&amp;#xD;&amp;#xA;'MFPR01007564',&amp;#xD;&amp;#xA;'MFPR01007565',&amp;#xD;&amp;#xA;'MFPR0'"</definedName>
    <definedName name="_AMO_ContentLocation_485496469__A1.127" hidden="1">"'1007566',&amp;#xD;&amp;#xA;'MFPR01007568',&amp;#xD;&amp;#xA;'MFPR01007569',&amp;#xD;&amp;#xA;'MFPR01007570',&amp;#xD;&amp;#xA;'MFPR01007571',&amp;#xD;&amp;#xA;'MFPR01007572',&amp;#xD;&amp;#xA;'MFPR01007573',&amp;#xD;&amp;#xA;'MFPR01007574',&amp;#xD;&amp;#xA;'MFPR01007575',&amp;#xD;&amp;#xA;'MFPR01007576',&amp;#xD;&amp;#xA;'MFPR01'"</definedName>
    <definedName name="_AMO_ContentLocation_485496469__A1.128" hidden="1">"'007577',&amp;#xD;&amp;#xA;'MFPR01007578',&amp;#xD;&amp;#xA;'MFPR01007579',&amp;#xD;&amp;#xA;'MFPR01007580',&amp;#xD;&amp;#xA;'MFPR01007581',&amp;#xD;&amp;#xA;'MFPR01007582',&amp;#xD;&amp;#xA;'MFPR01007583',&amp;#xD;&amp;#xA;'MFPR01007584',&amp;#xD;&amp;#xA;'MFPR01007585',&amp;#xD;&amp;#xA;'MFPR01007586',&amp;#xD;&amp;#xA;'MFPR010'"</definedName>
    <definedName name="_AMO_ContentLocation_485496469__A1.129" hidden="1">"'07587',&amp;#xD;&amp;#xA;'MFPR01007588',&amp;#xD;&amp;#xA;'MFPR01007589',&amp;#xD;&amp;#xA;'MFPR01007590',&amp;#xD;&amp;#xA;'MFPR01007591',&amp;#xD;&amp;#xA;'MFPR01007592',&amp;#xD;&amp;#xA;'MFPR01007593',&amp;#xD;&amp;#xA;'MFPR01007594',&amp;#xD;&amp;#xA;'MFPR01007595',&amp;#xD;&amp;#xA;'MFPR01007596',&amp;#xD;&amp;#xA;'MFPR0100'"</definedName>
    <definedName name="_AMO_ContentLocation_485496469__A1.13" hidden="1">"'xD;&amp;#xA;'MFDRVD000190',&amp;#xD;&amp;#xA;'MFDRVD000191',&amp;#xD;&amp;#xA;'MFDRVD000192',&amp;#xD;&amp;#xA;'MFDRVD000193',&amp;#xD;&amp;#xA;'MFDRVD000194',&amp;#xD;&amp;#xA;'MFDRVD000195',&amp;#xD;&amp;#xA;'MFDRVD000196',&amp;#xD;&amp;#xA;'MFDRVD000197',&amp;#xD;&amp;#xA;'MFDRVD000198',&amp;#xD;&amp;#xA;'MFDRVD000199',&amp;#x'"</definedName>
    <definedName name="_AMO_ContentLocation_485496469__A1.130" hidden="1">"'7597',&amp;#xD;&amp;#xA;'MFPR01007598',&amp;#xD;&amp;#xA;'MFPR01007599',&amp;#xD;&amp;#xA;'MFPR01007600',&amp;#xD;&amp;#xA;'MFPR01007601',&amp;#xD;&amp;#xA;'MFPR01007602',&amp;#xD;&amp;#xA;'MFPR01007603',&amp;#xD;&amp;#xA;'MFPR01007604',&amp;#xD;&amp;#xA;'MFPR01007605',&amp;#xD;&amp;#xA;'MFPR01007606',&amp;#xD;&amp;#xA;'MFPR01007'"</definedName>
    <definedName name="_AMO_ContentLocation_485496469__A1.131" hidden="1">"'607',&amp;#xD;&amp;#xA;'MFPR01007608',&amp;#xD;&amp;#xA;'MFPR01007609',&amp;#xD;&amp;#xA;'MFPR01007610',&amp;#xD;&amp;#xA;'MFPR01007611',&amp;#xD;&amp;#xA;'MFPR01007612',&amp;#xD;&amp;#xA;'MFPR01007613',&amp;#xD;&amp;#xA;'MFPR01007614',&amp;#xD;&amp;#xA;'MFPR01007615',&amp;#xD;&amp;#xA;'MFPR01007616',&amp;#xD;&amp;#xA;'MFPR010076'"</definedName>
    <definedName name="_AMO_ContentLocation_485496469__A1.132" hidden="1">"'17',&amp;#xD;&amp;#xA;'MFPR01007618',&amp;#xD;&amp;#xA;'MFPR01007619',&amp;#xD;&amp;#xA;'MFPR01007620',&amp;#xD;&amp;#xA;'MFPR01007621',&amp;#xD;&amp;#xA;'MFPR01007622',&amp;#xD;&amp;#xA;'MFPR01007623',&amp;#xD;&amp;#xA;'MFPR01007624',&amp;#xD;&amp;#xA;'MFPR01007625',&amp;#xD;&amp;#xA;'MFPR01007626',&amp;#xD;&amp;#xA;'MFPR0100762'"</definedName>
    <definedName name="_AMO_ContentLocation_485496469__A1.133" hidden="1">"'7',&amp;#xD;&amp;#xA;'MFPR01007628',&amp;#xD;&amp;#xA;'MFPR01007629',&amp;#xD;&amp;#xA;'MFPR01007630',&amp;#xD;&amp;#xA;'MFPR01007631',&amp;#xD;&amp;#xA;'MFPR01007632',&amp;#xD;&amp;#xA;'MFPR01007633',&amp;#xD;&amp;#xA;'MFPR01007634',&amp;#xD;&amp;#xA;'MFPR01007635',&amp;#xD;&amp;#xA;'MFPR01007636',&amp;#xD;&amp;#xA;'MFPR01007637'"</definedName>
    <definedName name="_AMO_ContentLocation_485496469__A1.134" hidden="1">"'',&amp;#xD;&amp;#xA;'MFPR01007638',&amp;#xD;&amp;#xA;'MFPR01007639',&amp;#xD;&amp;#xA;'MFPR01007640',&amp;#xD;&amp;#xA;'MFPR01007641',&amp;#xD;&amp;#xA;'MFPR01007642',&amp;#xD;&amp;#xA;'MFPR01007643',&amp;#xD;&amp;#xA;'MFPR01007644',&amp;#xD;&amp;#xA;'MFPR01007645',&amp;#xD;&amp;#xA;'MFPR01007646',&amp;#xD;&amp;#xA;'MFPR01007647''"</definedName>
    <definedName name="_AMO_ContentLocation_485496469__A1.135" hidden="1">"',&amp;#xD;&amp;#xA;'MFPR01007648',&amp;#xD;&amp;#xA;'MFPR01007649',&amp;#xD;&amp;#xA;'MFPR01007650',&amp;#xD;&amp;#xA;'MFPR01007651',&amp;#xD;&amp;#xA;'MFPR01007652',&amp;#xD;&amp;#xA;'MFPR01007653',&amp;#xD;&amp;#xA;'MFPR01007654',&amp;#xD;&amp;#xA;'MFPR01007655',&amp;#xD;&amp;#xA;'MFPR01007656',&amp;#xD;&amp;#xA;'MFPR01007657','"</definedName>
    <definedName name="_AMO_ContentLocation_485496469__A1.136" hidden="1">"'&amp;#xD;&amp;#xA;'MFPR01007658',&amp;#xD;&amp;#xA;'MFPR01007659',&amp;#xD;&amp;#xA;'MFPR01007660',&amp;#xD;&amp;#xA;'MFPR01007661',&amp;#xD;&amp;#xA;'MFPR01007662',&amp;#xD;&amp;#xA;'MFPR01007663',&amp;#xD;&amp;#xA;'MFPR01007664',&amp;#xD;&amp;#xA;'MFPR01007665',&amp;#xD;&amp;#xA;'MFPR01007666',&amp;#xD;&amp;#xA;'MFPR01007667',&amp;'"</definedName>
    <definedName name="_AMO_ContentLocation_485496469__A1.137" hidden="1">"'#xD;&amp;#xA;'MFPR01007668',&amp;#xD;&amp;#xA;'MFPR01007669',&amp;#xD;&amp;#xA;'MFPR01007670',&amp;#xD;&amp;#xA;'MFPR01007671',&amp;#xD;&amp;#xA;'MFPR01007672',&amp;#xD;&amp;#xA;'MFPR01007673',&amp;#xD;&amp;#xA;'MFPR01007674',&amp;#xD;&amp;#xA;'MFPR01007675',&amp;#xD;&amp;#xA;'MFPR01007676',&amp;#xD;&amp;#xA;'MFPR01007677',&amp;#'"</definedName>
    <definedName name="_AMO_ContentLocation_485496469__A1.138" hidden="1">"'xD;&amp;#xA;'MFPR01007678',&amp;#xD;&amp;#xA;'MFPR01007679',&amp;#xD;&amp;#xA;'MFPR01007680',&amp;#xD;&amp;#xA;'MFPR01007681',&amp;#xD;&amp;#xA;'MFPR01007682',&amp;#xD;&amp;#xA;'MFPR01007683',&amp;#xD;&amp;#xA;'MFPR01007684',&amp;#xD;&amp;#xA;'MFPR01007685',&amp;#xD;&amp;#xA;'MFPR01007686',&amp;#xD;&amp;#xA;'MFPR01007687',&amp;#x'"</definedName>
    <definedName name="_AMO_ContentLocation_485496469__A1.139" hidden="1">"'D;&amp;#xA;'MFPR01007688',&amp;#xD;&amp;#xA;'MFPR01007689',&amp;#xD;&amp;#xA;'MFPR01007690',&amp;#xD;&amp;#xA;'MFPR01007691',&amp;#xD;&amp;#xA;'MFPR01007692',&amp;#xD;&amp;#xA;'MFPR01007693',&amp;#xD;&amp;#xA;'MFPR01007694',&amp;#xD;&amp;#xA;'MFPR01007695',&amp;#xD;&amp;#xA;'MFPR01007696',&amp;#xD;&amp;#xA;'MFPR01007697',&amp;#xD'"</definedName>
    <definedName name="_AMO_ContentLocation_485496469__A1.14" hidden="1">"'D;&amp;#xA;'MFDRVD000200',&amp;#xD;&amp;#xA;'MFDRVD000201',&amp;#xD;&amp;#xA;'MFDRVD000202',&amp;#xD;&amp;#xA;'MFDRVD000203',&amp;#xD;&amp;#xA;'MFDRVD000204',&amp;#xD;&amp;#xA;'MFDRVD000205',&amp;#xD;&amp;#xA;'MFDRVD000206',&amp;#xD;&amp;#xA;'MFDRVD000207',&amp;#xD;&amp;#xA;'MFDRVD000208',&amp;#xD;&amp;#xA;'MFDRVD000209',&amp;#xD'"</definedName>
    <definedName name="_AMO_ContentLocation_485496469__A1.140" hidden="1">"';&amp;#xA;'MFPR01007698',&amp;#xD;&amp;#xA;'MFPR01007699',&amp;#xD;&amp;#xA;'MFPR01007700',&amp;#xD;&amp;#xA;'MFPR01007701',&amp;#xD;&amp;#xA;'MFPR01007702',&amp;#xD;&amp;#xA;'MFPR01007703',&amp;#xD;&amp;#xA;'MFPR01007704',&amp;#xD;&amp;#xA;'MFPR01007705',&amp;#xD;&amp;#xA;'MFPR01007706',&amp;#xD;&amp;#xA;'MFPR01007711',&amp;#xD;'"</definedName>
    <definedName name="_AMO_ContentLocation_485496469__A1.141" hidden="1">"'&amp;#xA;'MFPR01007712',&amp;#xD;&amp;#xA;'MFPR01007713',&amp;#xD;&amp;#xA;'MFPR01007714',&amp;#xD;&amp;#xA;'MFPR01007715',&amp;#xD;&amp;#xA;'MFPR01007716',&amp;#xD;&amp;#xA;'MFPR01007717',&amp;#xD;&amp;#xA;'MFPR01007718',&amp;#xD;&amp;#xA;'MFPR01007719',&amp;#xD;&amp;#xA;'MFPR01007720',&amp;#xD;&amp;#xA;'MFPR01007721',&amp;#xD;&amp;'"</definedName>
    <definedName name="_AMO_ContentLocation_485496469__A1.142" hidden="1">"'#xA;'MFPR01007722',&amp;#xD;&amp;#xA;'MFPR01007723',&amp;#xD;&amp;#xA;'MFPR01007724',&amp;#xD;&amp;#xA;'MFPR01007725',&amp;#xD;&amp;#xA;'MFPR01007726',&amp;#xD;&amp;#xA;'MFPR01007727',&amp;#xD;&amp;#xA;'MFPR01007728',&amp;#xD;&amp;#xA;'MFPR01007729',&amp;#xD;&amp;#xA;'MFPR01007730',&amp;#xD;&amp;#xA;'MFPR01007731',&amp;#xD;&amp;#'"</definedName>
    <definedName name="_AMO_ContentLocation_485496469__A1.143" hidden="1">"'xA;'MFPR01007732',&amp;#xD;&amp;#xA;'MFPR01007733',&amp;#xD;&amp;#xA;'MFPR01007734',&amp;#xD;&amp;#xA;'MFPR01007735',&amp;#xD;&amp;#xA;'MFPR01007736',&amp;#xD;&amp;#xA;'MFPR01007737',&amp;#xD;&amp;#xA;'MFPR01007738',&amp;#xD;&amp;#xA;'MFPR01007739',&amp;#xD;&amp;#xA;'MFPR01007740',&amp;#xD;&amp;#xA;'MFPR01007741',&amp;#xD;&amp;#x'"</definedName>
    <definedName name="_AMO_ContentLocation_485496469__A1.144" hidden="1">"'A;'MFPR01007742',&amp;#xD;&amp;#xA;'MFPR01007743',&amp;#xD;&amp;#xA;'MFPR01007744',&amp;#xD;&amp;#xA;'MFPR01007745',&amp;#xD;&amp;#xA;'MFPR01007746',&amp;#xD;&amp;#xA;'MFPR01007747',&amp;#xD;&amp;#xA;'MFPR01007748',&amp;#xD;&amp;#xA;'MFPR01007749',&amp;#xD;&amp;#xA;'MFPR01007750',&amp;#xD;&amp;#xA;'MFPR01007751',&amp;#xD;&amp;#xA'"</definedName>
    <definedName name="_AMO_ContentLocation_485496469__A1.145" hidden="1">"';'MFPR01007752',&amp;#xD;&amp;#xA;'MFPR01007753',&amp;#xD;&amp;#xA;'MFPR01007754',&amp;#xD;&amp;#xA;'MFPR01007755',&amp;#xD;&amp;#xA;'MFPR01007756',&amp;#xD;&amp;#xA;'MFPR01007757',&amp;#xD;&amp;#xA;'MFPR01007758',&amp;#xD;&amp;#xA;'MFPR01007759',&amp;#xD;&amp;#xA;'MFPR01007760',&amp;#xD;&amp;#xA;'MFPR01007761',&amp;#xD;&amp;#xA;'"</definedName>
    <definedName name="_AMO_ContentLocation_485496469__A1.146" hidden="1">"''MFPR01007762',&amp;#xD;&amp;#xA;'MFPR01007763',&amp;#xD;&amp;#xA;'MFPR01007764',&amp;#xD;&amp;#xA;'MFPR01007765',&amp;#xD;&amp;#xA;'MFPR01007766',&amp;#xD;&amp;#xA;'MFPR01007767',&amp;#xD;&amp;#xA;'MFPR01007768',&amp;#xD;&amp;#xA;'MFPR01007769',&amp;#xD;&amp;#xA;'MFPR01007770',&amp;#xD;&amp;#xA;'MFPR01007771',&amp;#xD;&amp;#xA;''"</definedName>
    <definedName name="_AMO_ContentLocation_485496469__A1.147" hidden="1">"'MFPR01007772',&amp;#xD;&amp;#xA;'MFPR01007773',&amp;#xD;&amp;#xA;'MFPR01007774',&amp;#xD;&amp;#xA;'MFPR01007775',&amp;#xD;&amp;#xA;'MFPR01007776',&amp;#xD;&amp;#xA;'MFPR01007777',&amp;#xD;&amp;#xA;'MFPR01007778',&amp;#xD;&amp;#xA;'MFPR01007779',&amp;#xD;&amp;#xA;'MFPR01007780',&amp;#xD;&amp;#xA;'MFPR01007781',&amp;#xD;&amp;#xA;'M'"</definedName>
    <definedName name="_AMO_ContentLocation_485496469__A1.148" hidden="1">"'FPR01007783',&amp;#xD;&amp;#xA;'MFPR01007784',&amp;#xD;&amp;#xA;'MFPR01007785',&amp;#xD;&amp;#xA;'MFPR01007786',&amp;#xD;&amp;#xA;'MFPR01007787',&amp;#xD;&amp;#xA;'MFPR01007789',&amp;#xD;&amp;#xA;'MFPR01007790',&amp;#xD;&amp;#xA;'MFPR01007791',&amp;#xD;&amp;#xA;'MFPR01007792',&amp;#xD;&amp;#xA;'MFPR01007793',&amp;#xD;&amp;#xA;'MF'"</definedName>
    <definedName name="_AMO_ContentLocation_485496469__A1.149" hidden="1">"'PR01007794',&amp;#xD;&amp;#xA;'MFPR01007795',&amp;#xD;&amp;#xA;'MFPR01007797',&amp;#xD;&amp;#xA;'MFPR01007798',&amp;#xD;&amp;#xA;'MFPR01007799',&amp;#xD;&amp;#xA;'MFPR01007800',&amp;#xD;&amp;#xA;'MFPR01007801',&amp;#xD;&amp;#xA;'MFPR01007802',&amp;#xD;&amp;#xA;'MFPR01007803',&amp;#xD;&amp;#xA;'MFPR01007804',&amp;#xD;&amp;#xA;'MFP'"</definedName>
    <definedName name="_AMO_ContentLocation_485496469__A1.15" hidden="1">"';&amp;#xA;'MFDRVD000210',&amp;#xD;&amp;#xA;'MFDRVD000211',&amp;#xD;&amp;#xA;'MFDRVD000212',&amp;#xD;&amp;#xA;'MFDRVD000214',&amp;#xD;&amp;#xA;'MFDRVD000215',&amp;#xD;&amp;#xA;'MFDRVD000216',&amp;#xD;&amp;#xA;'MFDRVD000217',&amp;#xD;&amp;#xA;'MFDRVD000219',&amp;#xD;&amp;#xA;'MFDRVD000220',&amp;#xD;&amp;#xA;'MFDRVD000221',&amp;#xD;'"</definedName>
    <definedName name="_AMO_ContentLocation_485496469__A1.150" hidden="1">"'R01007805',&amp;#xD;&amp;#xA;'MFPR01007806',&amp;#xD;&amp;#xA;'MFPR01007807',&amp;#xD;&amp;#xA;'MFPR01007808',&amp;#xD;&amp;#xA;'MFPR01007809',&amp;#xD;&amp;#xA;'MFPR01007810',&amp;#xD;&amp;#xA;'MFPR01007811',&amp;#xD;&amp;#xA;'MFPR01007813',&amp;#xD;&amp;#xA;'MFPR01007814',&amp;#xD;&amp;#xA;'MFPR01007815',&amp;#xD;&amp;#xA;'MFPR'"</definedName>
    <definedName name="_AMO_ContentLocation_485496469__A1.151" hidden="1">"'01007816',&amp;#xD;&amp;#xA;'MFPR01007817',&amp;#xD;&amp;#xA;'MFPR01007819',&amp;#xD;&amp;#xA;'MFPR01007820',&amp;#xD;&amp;#xA;'MFPR01007821',&amp;#xD;&amp;#xA;'MFPR01007822',&amp;#xD;&amp;#xA;'MFPR01007823',&amp;#xD;&amp;#xA;'MFPR01007824',&amp;#xD;&amp;#xA;'MFPR01007825',&amp;#xD;&amp;#xA;'MFPR01007826',&amp;#xD;&amp;#xA;'MFPR0'"</definedName>
    <definedName name="_AMO_ContentLocation_485496469__A1.152" hidden="1">"'1007827',&amp;#xD;&amp;#xA;'MFPR01007828',&amp;#xD;&amp;#xA;'MFPR01007829',&amp;#xD;&amp;#xA;'MFPR01007830',&amp;#xD;&amp;#xA;'MFPR01007831',&amp;#xD;&amp;#xA;'MFPR01007832',&amp;#xD;&amp;#xA;'MFPR01007833',&amp;#xD;&amp;#xA;'MFPR01007834',&amp;#xD;&amp;#xA;'MFPR01007835',&amp;#xD;&amp;#xA;'MFPR01007836',&amp;#xD;&amp;#xA;'MFPR01'"</definedName>
    <definedName name="_AMO_ContentLocation_485496469__A1.153" hidden="1">"'007837',&amp;#xD;&amp;#xA;'MFPR01007838',&amp;#xD;&amp;#xA;'MFPR01007839',&amp;#xD;&amp;#xA;'MFPR01007840',&amp;#xD;&amp;#xA;'MFPR01007841',&amp;#xD;&amp;#xA;'MFPR01007842',&amp;#xD;&amp;#xA;'MFPR01007843',&amp;#xD;&amp;#xA;'MFPR01007844',&amp;#xD;&amp;#xA;'MFPR01007845',&amp;#xD;&amp;#xA;'MFPR01007846',&amp;#xD;&amp;#xA;'MFPR010'"</definedName>
    <definedName name="_AMO_ContentLocation_485496469__A1.154" hidden="1">"'07847',&amp;#xD;&amp;#xA;'MFPR01007848',&amp;#xD;&amp;#xA;'MFPR01007849',&amp;#xD;&amp;#xA;'MFPR01007850',&amp;#xD;&amp;#xA;'MFPR01007851'&amp;#xD;&amp;#xA;)"" /&gt;_x000D_
&lt;/ContentLocation&gt;'"</definedName>
    <definedName name="_AMO_ContentLocation_485496469__A1.16" hidden="1">"'&amp;#xA;'MFDRVD000222',&amp;#xD;&amp;#xA;'MFDRVD000225',&amp;#xD;&amp;#xA;'MFDRVD000226',&amp;#xD;&amp;#xA;'MFPR01000001',&amp;#xD;&amp;#xA;'MFPR01000013',&amp;#xD;&amp;#xA;'MFPR01000016',&amp;#xD;&amp;#xA;'MFPR01000024',&amp;#xD;&amp;#xA;'MFPR01000032',&amp;#xD;&amp;#xA;'MFPR01000049',&amp;#xD;&amp;#xA;'MFPR01000066',&amp;#xD;&amp;'"</definedName>
    <definedName name="_AMO_ContentLocation_485496469__A1.17" hidden="1">"'#xA;'MFPR01000083',&amp;#xD;&amp;#xA;'MFPR01000089',&amp;#xD;&amp;#xA;'MFPR01000095',&amp;#xD;&amp;#xA;'MFPR01000101',&amp;#xD;&amp;#xA;'MFPR01000107',&amp;#xD;&amp;#xA;'MFPR01000113',&amp;#xD;&amp;#xA;'MFPR01000128',&amp;#xD;&amp;#xA;'MFPR01000131',&amp;#xD;&amp;#xA;'MFPR01000135',&amp;#xD;&amp;#xA;'MFPR01000136',&amp;#xD;&amp;#'"</definedName>
    <definedName name="_AMO_ContentLocation_485496469__A1.18" hidden="1">"'xA;'MFPR01000137',&amp;#xD;&amp;#xA;'MFPR01000138',&amp;#xD;&amp;#xA;'MFPR01000139',&amp;#xD;&amp;#xA;'MFPR01000140',&amp;#xD;&amp;#xA;'MFPR01000141',&amp;#xD;&amp;#xA;'MFPR01000148',&amp;#xD;&amp;#xA;'MFPR01000160',&amp;#xD;&amp;#xA;'MFPR01000162',&amp;#xD;&amp;#xA;'MFPR01000163',&amp;#xD;&amp;#xA;'MFPR01000173',&amp;#xD;&amp;#x'"</definedName>
    <definedName name="_AMO_ContentLocation_485496469__A1.19" hidden="1">"'A;'MFPR01000176',&amp;#xD;&amp;#xA;'MFPR01000184',&amp;#xD;&amp;#xA;'MFPR01000200',&amp;#xD;&amp;#xA;'MFPR01000216',&amp;#xD;&amp;#xA;'MFPR01000232',&amp;#xD;&amp;#xA;'MFPR01000254',&amp;#xD;&amp;#xA;'MFPR01000258',&amp;#xD;&amp;#xA;'MFPR01000279',&amp;#xD;&amp;#xA;'MFPR01000285',&amp;#xD;&amp;#xA;'MFPR01000295',&amp;#xD;&amp;#xA'"</definedName>
    <definedName name="_AMO_ContentLocation_485496469__A1.2" hidden="1">"'D000120',&amp;#xD;&amp;#xA;'MFDRVD000127',&amp;#xD;&amp;#xA;'MFDRVD000128',&amp;#xD;&amp;#xA;'MFDRVD000133',&amp;#xD;&amp;#xA;'MFDRVD000135',&amp;#xD;&amp;#xA;'MFDRVD000136',&amp;#xD;&amp;#xA;'MFDRVD000138',&amp;#xD;&amp;#xA;'MFDRVD000139',&amp;#xD;&amp;#xA;'MFDRVD000150',&amp;#xD;&amp;#xA;'MFDRVD000155',&amp;#xD;&amp;#xA;'MFMSUP'"</definedName>
    <definedName name="_AMO_ContentLocation_485496469__A1.20" hidden="1">"';'MFPR01000296',&amp;#xD;&amp;#xA;'MFPR01000297',&amp;#xD;&amp;#xA;'MFPR01000298',&amp;#xD;&amp;#xA;'MFPR01000299',&amp;#xD;&amp;#xA;'MFPR01000300',&amp;#xD;&amp;#xA;'MFPR01000301',&amp;#xD;&amp;#xA;'MFPR01000302',&amp;#xD;&amp;#xA;'MFPR01000307',&amp;#xD;&amp;#xA;'MFPR01005136',&amp;#xD;&amp;#xA;'MFPR01005138',&amp;#xD;&amp;#xA;'"</definedName>
    <definedName name="_AMO_ContentLocation_485496469__A1.21" hidden="1">"''MFPR01005145',&amp;#xD;&amp;#xA;'MFPR01005146',&amp;#xD;&amp;#xA;'MFPR01005147',&amp;#xD;&amp;#xA;'MFPR01005152',&amp;#xD;&amp;#xA;'MFPR01005171',&amp;#xD;&amp;#xA;'MFPR01005173',&amp;#xD;&amp;#xA;'MFPR01005180',&amp;#xD;&amp;#xA;'MFPR01005181',&amp;#xD;&amp;#xA;'MFPR01005182',&amp;#xD;&amp;#xA;'MFPR01005187',&amp;#xD;&amp;#xA;''"</definedName>
    <definedName name="_AMO_ContentLocation_485496469__A1.22" hidden="1">"'MFPR01006507',&amp;#xD;&amp;#xA;'MFPR01006508',&amp;#xD;&amp;#xA;'MFPR01006509',&amp;#xD;&amp;#xA;'MFPR01006510',&amp;#xD;&amp;#xA;'MFPR01006511',&amp;#xD;&amp;#xA;'MFPR01006512',&amp;#xD;&amp;#xA;'MFPR01006513',&amp;#xD;&amp;#xA;'MFPR01006514',&amp;#xD;&amp;#xA;'MFPR01006515',&amp;#xD;&amp;#xA;'MFPR01006516',&amp;#xD;&amp;#xA;'M'"</definedName>
    <definedName name="_AMO_ContentLocation_485496469__A1.23" hidden="1">"'FPR01006517',&amp;#xD;&amp;#xA;'MFPR01006518',&amp;#xD;&amp;#xA;'MFPR01006519',&amp;#xD;&amp;#xA;'MFPR01006520',&amp;#xD;&amp;#xA;'MFPR01006521',&amp;#xD;&amp;#xA;'MFPR01006522',&amp;#xD;&amp;#xA;'MFPR01006523',&amp;#xD;&amp;#xA;'MFPR01006524',&amp;#xD;&amp;#xA;'MFPR01006525',&amp;#xD;&amp;#xA;'MFPR01006526',&amp;#xD;&amp;#xA;'MF'"</definedName>
    <definedName name="_AMO_ContentLocation_485496469__A1.24" hidden="1">"'PR01006527',&amp;#xD;&amp;#xA;'MFPR01006528',&amp;#xD;&amp;#xA;'MFPR01006529',&amp;#xD;&amp;#xA;'MFPR01006530',&amp;#xD;&amp;#xA;'MFPR01006531',&amp;#xD;&amp;#xA;'MFPR01006532',&amp;#xD;&amp;#xA;'MFPR01006533',&amp;#xD;&amp;#xA;'MFPR01006534',&amp;#xD;&amp;#xA;'MFPR01006535',&amp;#xD;&amp;#xA;'MFPR01006536',&amp;#xD;&amp;#xA;'MFP'"</definedName>
    <definedName name="_AMO_ContentLocation_485496469__A1.25" hidden="1">"'R01006537',&amp;#xD;&amp;#xA;'MFPR01006538',&amp;#xD;&amp;#xA;'MFPR01006539',&amp;#xD;&amp;#xA;'MFPR01006540',&amp;#xD;&amp;#xA;'MFPR01006541',&amp;#xD;&amp;#xA;'MFPR01006542',&amp;#xD;&amp;#xA;'MFPR01006543',&amp;#xD;&amp;#xA;'MFPR01006544',&amp;#xD;&amp;#xA;'MFPR01006545',&amp;#xD;&amp;#xA;'MFPR01006546',&amp;#xD;&amp;#xA;'MFPR'"</definedName>
    <definedName name="_AMO_ContentLocation_485496469__A1.26" hidden="1">"'01006547',&amp;#xD;&amp;#xA;'MFPR01006548',&amp;#xD;&amp;#xA;'MFPR01006549',&amp;#xD;&amp;#xA;'MFPR01006550',&amp;#xD;&amp;#xA;'MFPR01006551',&amp;#xD;&amp;#xA;'MFPR01006552',&amp;#xD;&amp;#xA;'MFPR01006553',&amp;#xD;&amp;#xA;'MFPR01006554',&amp;#xD;&amp;#xA;'MFPR01006555',&amp;#xD;&amp;#xA;'MFPR01006556',&amp;#xD;&amp;#xA;'MFPR0'"</definedName>
    <definedName name="_AMO_ContentLocation_485496469__A1.27" hidden="1">"'1006557',&amp;#xD;&amp;#xA;'MFPR01006558',&amp;#xD;&amp;#xA;'MFPR01006559',&amp;#xD;&amp;#xA;'MFPR01006560',&amp;#xD;&amp;#xA;'MFPR01006561',&amp;#xD;&amp;#xA;'MFPR01006562',&amp;#xD;&amp;#xA;'MFPR01006563',&amp;#xD;&amp;#xA;'MFPR01006564',&amp;#xD;&amp;#xA;'MFPR01006565',&amp;#xD;&amp;#xA;'MFPR01006566',&amp;#xD;&amp;#xA;'MFPR01'"</definedName>
    <definedName name="_AMO_ContentLocation_485496469__A1.28" hidden="1">"'006567',&amp;#xD;&amp;#xA;'MFPR01006568',&amp;#xD;&amp;#xA;'MFPR01006569',&amp;#xD;&amp;#xA;'MFPR01006570',&amp;#xD;&amp;#xA;'MFPR01006571',&amp;#xD;&amp;#xA;'MFPR01006572',&amp;#xD;&amp;#xA;'MFPR01006573',&amp;#xD;&amp;#xA;'MFPR01006574',&amp;#xD;&amp;#xA;'MFPR01006575',&amp;#xD;&amp;#xA;'MFPR01006576',&amp;#xD;&amp;#xA;'MFPR010'"</definedName>
    <definedName name="_AMO_ContentLocation_485496469__A1.29" hidden="1">"'06577',&amp;#xD;&amp;#xA;'MFPR01006578',&amp;#xD;&amp;#xA;'MFPR01006579',&amp;#xD;&amp;#xA;'MFPR01006580',&amp;#xD;&amp;#xA;'MFPR01006581',&amp;#xD;&amp;#xA;'MFPR01006582',&amp;#xD;&amp;#xA;'MFPR01006583',&amp;#xD;&amp;#xA;'MFPR01006584',&amp;#xD;&amp;#xA;'MFPR01006585',&amp;#xD;&amp;#xA;'MFPR01006586',&amp;#xD;&amp;#xA;'MFPR0100'"</definedName>
    <definedName name="_AMO_ContentLocation_485496469__A1.3" hidden="1">"'000002',&amp;#xD;&amp;#xA;'MFMSUP000003',&amp;#xD;&amp;#xA;'MFMSUP000004',&amp;#xD;&amp;#xA;'MFMSUP000005',&amp;#xD;&amp;#xA;'MFMSUP000006',&amp;#xD;&amp;#xA;'MFMSUP000007',&amp;#xD;&amp;#xA;'MFMSUP000008',&amp;#xD;&amp;#xA;'MFMSUP000009',&amp;#xD;&amp;#xA;'MFMSUP000010',&amp;#xD;&amp;#xA;'MFMSUP000011',&amp;#xD;&amp;#xA;'MFMSUP0'"</definedName>
    <definedName name="_AMO_ContentLocation_485496469__A1.30" hidden="1">"'6587',&amp;#xD;&amp;#xA;'MFPR01006588',&amp;#xD;&amp;#xA;'MFPR01006589',&amp;#xD;&amp;#xA;'MFPR01006590',&amp;#xD;&amp;#xA;'MFPR01006591',&amp;#xD;&amp;#xA;'MFPR01006592',&amp;#xD;&amp;#xA;'MFPR01006593',&amp;#xD;&amp;#xA;'MFPR01006594',&amp;#xD;&amp;#xA;'MFPR01006595',&amp;#xD;&amp;#xA;'MFPR01006596',&amp;#xD;&amp;#xA;'MFPR01006'"</definedName>
    <definedName name="_AMO_ContentLocation_485496469__A1.31" hidden="1">"'597',&amp;#xD;&amp;#xA;'MFPR01006598',&amp;#xD;&amp;#xA;'MFPR01006599',&amp;#xD;&amp;#xA;'MFPR01006600',&amp;#xD;&amp;#xA;'MFPR01006601',&amp;#xD;&amp;#xA;'MFPR01006602',&amp;#xD;&amp;#xA;'MFPR01006603',&amp;#xD;&amp;#xA;'MFPR01006604',&amp;#xD;&amp;#xA;'MFPR01006605',&amp;#xD;&amp;#xA;'MFPR01006606',&amp;#xD;&amp;#xA;'MFPR010066'"</definedName>
    <definedName name="_AMO_ContentLocation_485496469__A1.32" hidden="1">"'07',&amp;#xD;&amp;#xA;'MFPR01006608',&amp;#xD;&amp;#xA;'MFPR01006609',&amp;#xD;&amp;#xA;'MFPR01006610',&amp;#xD;&amp;#xA;'MFPR01006611',&amp;#xD;&amp;#xA;'MFPR01006612',&amp;#xD;&amp;#xA;'MFPR01006613',&amp;#xD;&amp;#xA;'MFPR01006614',&amp;#xD;&amp;#xA;'MFPR01006615',&amp;#xD;&amp;#xA;'MFPR01006616',&amp;#xD;&amp;#xA;'MFPR0100661'"</definedName>
    <definedName name="_AMO_ContentLocation_485496469__A1.33" hidden="1">"'7',&amp;#xD;&amp;#xA;'MFPR01006618',&amp;#xD;&amp;#xA;'MFPR01006619',&amp;#xD;&amp;#xA;'MFPR01006620',&amp;#xD;&amp;#xA;'MFPR01006621',&amp;#xD;&amp;#xA;'MFPR01006622',&amp;#xD;&amp;#xA;'MFPR01006623',&amp;#xD;&amp;#xA;'MFPR01006624',&amp;#xD;&amp;#xA;'MFPR01006625',&amp;#xD;&amp;#xA;'MFPR01006626',&amp;#xD;&amp;#xA;'MFPR01006627'"</definedName>
    <definedName name="_AMO_ContentLocation_485496469__A1.34" hidden="1">"'',&amp;#xD;&amp;#xA;'MFPR01006628',&amp;#xD;&amp;#xA;'MFPR01006629',&amp;#xD;&amp;#xA;'MFPR01006630',&amp;#xD;&amp;#xA;'MFPR01006631',&amp;#xD;&amp;#xA;'MFPR01006632',&amp;#xD;&amp;#xA;'MFPR01006633',&amp;#xD;&amp;#xA;'MFPR01006634',&amp;#xD;&amp;#xA;'MFPR01006635',&amp;#xD;&amp;#xA;'MFPR01006636',&amp;#xD;&amp;#xA;'MFPR01006637''"</definedName>
    <definedName name="_AMO_ContentLocation_485496469__A1.35" hidden="1">"',&amp;#xD;&amp;#xA;'MFPR01006638',&amp;#xD;&amp;#xA;'MFPR01006639',&amp;#xD;&amp;#xA;'MFPR01006640',&amp;#xD;&amp;#xA;'MFPR01006641',&amp;#xD;&amp;#xA;'MFPR01006642',&amp;#xD;&amp;#xA;'MFPR01006643',&amp;#xD;&amp;#xA;'MFPR01006644',&amp;#xD;&amp;#xA;'MFPR01006645',&amp;#xD;&amp;#xA;'MFPR01006646',&amp;#xD;&amp;#xA;'MFPR01006647','"</definedName>
    <definedName name="_AMO_ContentLocation_485496469__A1.36" hidden="1">"'&amp;#xD;&amp;#xA;'MFPR01006648',&amp;#xD;&amp;#xA;'MFPR01006649',&amp;#xD;&amp;#xA;'MFPR01006650',&amp;#xD;&amp;#xA;'MFPR01006651',&amp;#xD;&amp;#xA;'MFPR01006652',&amp;#xD;&amp;#xA;'MFPR01006653',&amp;#xD;&amp;#xA;'MFPR01006654',&amp;#xD;&amp;#xA;'MFPR01006655',&amp;#xD;&amp;#xA;'MFPR01006656',&amp;#xD;&amp;#xA;'MFPR01006657',&amp;'"</definedName>
    <definedName name="_AMO_ContentLocation_485496469__A1.37" hidden="1">"'#xD;&amp;#xA;'MFPR01006658',&amp;#xD;&amp;#xA;'MFPR01006659',&amp;#xD;&amp;#xA;'MFPR01006660',&amp;#xD;&amp;#xA;'MFPR01006661',&amp;#xD;&amp;#xA;'MFPR01006662',&amp;#xD;&amp;#xA;'MFPR01006663',&amp;#xD;&amp;#xA;'MFPR01006664',&amp;#xD;&amp;#xA;'MFPR01006665',&amp;#xD;&amp;#xA;'MFPR01006666',&amp;#xD;&amp;#xA;'MFPR01006667',&amp;#'"</definedName>
    <definedName name="_AMO_ContentLocation_485496469__A1.38" hidden="1">"'xD;&amp;#xA;'MFPR01006668',&amp;#xD;&amp;#xA;'MFPR01006669',&amp;#xD;&amp;#xA;'MFPR01006670',&amp;#xD;&amp;#xA;'MFPR01006671',&amp;#xD;&amp;#xA;'MFPR01006672',&amp;#xD;&amp;#xA;'MFPR01006673',&amp;#xD;&amp;#xA;'MFPR01006674',&amp;#xD;&amp;#xA;'MFPR01006675',&amp;#xD;&amp;#xA;'MFPR01006676',&amp;#xD;&amp;#xA;'MFPR01006677',&amp;#x'"</definedName>
    <definedName name="_AMO_ContentLocation_485496469__A1.39" hidden="1">"'D;&amp;#xA;'MFPR01006678',&amp;#xD;&amp;#xA;'MFPR01006679',&amp;#xD;&amp;#xA;'MFPR01006680',&amp;#xD;&amp;#xA;'MFPR01006681',&amp;#xD;&amp;#xA;'MFPR01006682',&amp;#xD;&amp;#xA;'MFPR01006683',&amp;#xD;&amp;#xA;'MFPR01006684',&amp;#xD;&amp;#xA;'MFPR01006685',&amp;#xD;&amp;#xA;'MFPR01006686',&amp;#xD;&amp;#xA;'MFPR01006687',&amp;#xD'"</definedName>
    <definedName name="_AMO_ContentLocation_485496469__A1.4" hidden="1">"'00012',&amp;#xD;&amp;#xA;'MFMSUP000013',&amp;#xD;&amp;#xA;'MFMSUP000014',&amp;#xD;&amp;#xA;'MFMSUP000015',&amp;#xD;&amp;#xA;'MFMSUP000016',&amp;#xD;&amp;#xA;'MFMSUP000017',&amp;#xD;&amp;#xA;'MFMSUP000018',&amp;#xD;&amp;#xA;'MFMSUP000019',&amp;#xD;&amp;#xA;'MFMSUP000020',&amp;#xD;&amp;#xA;'MFMSUP000021',&amp;#xD;&amp;#xA;'MFMSUP00'"</definedName>
    <definedName name="_AMO_ContentLocation_485496469__A1.40" hidden="1">"';&amp;#xA;'MFPR01006688',&amp;#xD;&amp;#xA;'MFPR01006689',&amp;#xD;&amp;#xA;'MFPR01006690',&amp;#xD;&amp;#xA;'MFPR01006691',&amp;#xD;&amp;#xA;'MFPR01006692',&amp;#xD;&amp;#xA;'MFPR01006693',&amp;#xD;&amp;#xA;'MFPR01006694',&amp;#xD;&amp;#xA;'MFPR01006695',&amp;#xD;&amp;#xA;'MFPR01006696',&amp;#xD;&amp;#xA;'MFPR01006697',&amp;#xD;'"</definedName>
    <definedName name="_AMO_ContentLocation_485496469__A1.41" hidden="1">"'&amp;#xA;'MFPR01006698',&amp;#xD;&amp;#xA;'MFPR01006699',&amp;#xD;&amp;#xA;'MFPR01006700',&amp;#xD;&amp;#xA;'MFPR01006701',&amp;#xD;&amp;#xA;'MFPR01006702',&amp;#xD;&amp;#xA;'MFPR01006703',&amp;#xD;&amp;#xA;'MFPR01006704',&amp;#xD;&amp;#xA;'MFPR01006705',&amp;#xD;&amp;#xA;'MFPR01006706',&amp;#xD;&amp;#xA;'MFPR01006707',&amp;#xD;&amp;'"</definedName>
    <definedName name="_AMO_ContentLocation_485496469__A1.42" hidden="1">"'#xA;'MFPR01006708',&amp;#xD;&amp;#xA;'MFPR01006709',&amp;#xD;&amp;#xA;'MFPR01006710',&amp;#xD;&amp;#xA;'MFPR01006711',&amp;#xD;&amp;#xA;'MFPR01006712',&amp;#xD;&amp;#xA;'MFPR01006713',&amp;#xD;&amp;#xA;'MFPR01006714',&amp;#xD;&amp;#xA;'MFPR01006715',&amp;#xD;&amp;#xA;'MFPR01006716',&amp;#xD;&amp;#xA;'MFPR01006717',&amp;#xD;&amp;#'"</definedName>
    <definedName name="_AMO_ContentLocation_485496469__A1.43" hidden="1">"'xA;'MFPR01006718',&amp;#xD;&amp;#xA;'MFPR01006719',&amp;#xD;&amp;#xA;'MFPR01006720',&amp;#xD;&amp;#xA;'MFPR01006721',&amp;#xD;&amp;#xA;'MFPR01006722',&amp;#xD;&amp;#xA;'MFPR01006723',&amp;#xD;&amp;#xA;'MFPR01006724',&amp;#xD;&amp;#xA;'MFPR01006725',&amp;#xD;&amp;#xA;'MFPR01006726',&amp;#xD;&amp;#xA;'MFPR01006727',&amp;#xD;&amp;#x'"</definedName>
    <definedName name="_AMO_ContentLocation_485496469__A1.44" hidden="1">"'A;'MFPR01006728',&amp;#xD;&amp;#xA;'MFPR01006729',&amp;#xD;&amp;#xA;'MFPR01006730',&amp;#xD;&amp;#xA;'MFPR01006731',&amp;#xD;&amp;#xA;'MFPR01006732',&amp;#xD;&amp;#xA;'MFPR01006733',&amp;#xD;&amp;#xA;'MFPR01006734',&amp;#xD;&amp;#xA;'MFPR01006735',&amp;#xD;&amp;#xA;'MFPR01006736',&amp;#xD;&amp;#xA;'MFPR01006737',&amp;#xD;&amp;#xA'"</definedName>
    <definedName name="_AMO_ContentLocation_485496469__A1.45" hidden="1">"';'MFPR01006738',&amp;#xD;&amp;#xA;'MFPR01006739',&amp;#xD;&amp;#xA;'MFPR01006740',&amp;#xD;&amp;#xA;'MFPR01006741',&amp;#xD;&amp;#xA;'MFPR01006742',&amp;#xD;&amp;#xA;'MFPR01006743',&amp;#xD;&amp;#xA;'MFPR01006744',&amp;#xD;&amp;#xA;'MFPR01006745',&amp;#xD;&amp;#xA;'MFPR01006746',&amp;#xD;&amp;#xA;'MFPR01006747',&amp;#xD;&amp;#xA;'"</definedName>
    <definedName name="_AMO_ContentLocation_485496469__A1.46" hidden="1">"''MFPR01006748',&amp;#xD;&amp;#xA;'MFPR01006749',&amp;#xD;&amp;#xA;'MFPR01006750',&amp;#xD;&amp;#xA;'MFPR01006751',&amp;#xD;&amp;#xA;'MFPR01006752',&amp;#xD;&amp;#xA;'MFPR01006753',&amp;#xD;&amp;#xA;'MFPR01006754',&amp;#xD;&amp;#xA;'MFPR01006755',&amp;#xD;&amp;#xA;'MFPR01006756',&amp;#xD;&amp;#xA;'MFPR01006757',&amp;#xD;&amp;#xA;''"</definedName>
    <definedName name="_AMO_ContentLocation_485496469__A1.47" hidden="1">"'MFPR01006758',&amp;#xD;&amp;#xA;'MFPR01006759',&amp;#xD;&amp;#xA;'MFPR01006760',&amp;#xD;&amp;#xA;'MFPR01006761',&amp;#xD;&amp;#xA;'MFPR01006762',&amp;#xD;&amp;#xA;'MFPR01006763',&amp;#xD;&amp;#xA;'MFPR01006764',&amp;#xD;&amp;#xA;'MFPR01006765',&amp;#xD;&amp;#xA;'MFPR01006766',&amp;#xD;&amp;#xA;'MFPR01006767',&amp;#xD;&amp;#xA;'M'"</definedName>
    <definedName name="_AMO_ContentLocation_485496469__A1.48" hidden="1">"'FPR01006768',&amp;#xD;&amp;#xA;'MFPR01006769',&amp;#xD;&amp;#xA;'MFPR01006770',&amp;#xD;&amp;#xA;'MFPR01006771',&amp;#xD;&amp;#xA;'MFPR01006772',&amp;#xD;&amp;#xA;'MFPR01006773',&amp;#xD;&amp;#xA;'MFPR01006774',&amp;#xD;&amp;#xA;'MFPR01006775',&amp;#xD;&amp;#xA;'MFPR01006776',&amp;#xD;&amp;#xA;'MFPR01006777',&amp;#xD;&amp;#xA;'MF'"</definedName>
    <definedName name="_AMO_ContentLocation_485496469__A1.49" hidden="1">"'PR01006778',&amp;#xD;&amp;#xA;'MFPR01006779',&amp;#xD;&amp;#xA;'MFPR01006780',&amp;#xD;&amp;#xA;'MFPR01006781',&amp;#xD;&amp;#xA;'MFPR01006782',&amp;#xD;&amp;#xA;'MFPR01006783',&amp;#xD;&amp;#xA;'MFPR01006784',&amp;#xD;&amp;#xA;'MFPR01006785',&amp;#xD;&amp;#xA;'MFPR01006786',&amp;#xD;&amp;#xA;'MFPR01006787',&amp;#xD;&amp;#xA;'MFP'"</definedName>
    <definedName name="_AMO_ContentLocation_485496469__A1.5" hidden="1">"'0022',&amp;#xD;&amp;#xA;'MFMSUP000023',&amp;#xD;&amp;#xA;'MFMSUP000024',&amp;#xD;&amp;#xA;'MFMSUP000025',&amp;#xD;&amp;#xA;'MFMSUP000026',&amp;#xD;&amp;#xA;'MFMSUP000027',&amp;#xD;&amp;#xA;'MFMSUP000028',&amp;#xD;&amp;#xA;'MFMSUP000029',&amp;#xD;&amp;#xA;'MFMSUP000030',&amp;#xD;&amp;#xA;'MFMSUP000031',&amp;#xD;&amp;#xA;'MFMSUP000'"</definedName>
    <definedName name="_AMO_ContentLocation_485496469__A1.50" hidden="1">"'R01006788',&amp;#xD;&amp;#xA;'MFPR01006789',&amp;#xD;&amp;#xA;'MFPR01006790',&amp;#xD;&amp;#xA;'MFPR01006791',&amp;#xD;&amp;#xA;'MFPR01006792',&amp;#xD;&amp;#xA;'MFPR01006793',&amp;#xD;&amp;#xA;'MFPR01006794',&amp;#xD;&amp;#xA;'MFPR01006795',&amp;#xD;&amp;#xA;'MFPR01006796',&amp;#xD;&amp;#xA;'MFPR01006797',&amp;#xD;&amp;#xA;'MFPR'"</definedName>
    <definedName name="_AMO_ContentLocation_485496469__A1.51" hidden="1">"'01006798',&amp;#xD;&amp;#xA;'MFPR01006799',&amp;#xD;&amp;#xA;'MFPR01006800',&amp;#xD;&amp;#xA;'MFPR01006801',&amp;#xD;&amp;#xA;'MFPR01006802',&amp;#xD;&amp;#xA;'MFPR01006803',&amp;#xD;&amp;#xA;'MFPR01006804',&amp;#xD;&amp;#xA;'MFPR01006805',&amp;#xD;&amp;#xA;'MFPR01006806',&amp;#xD;&amp;#xA;'MFPR01006807',&amp;#xD;&amp;#xA;'MFPR0'"</definedName>
    <definedName name="_AMO_ContentLocation_485496469__A1.52" hidden="1">"'1006808',&amp;#xD;&amp;#xA;'MFPR01006809',&amp;#xD;&amp;#xA;'MFPR01006810',&amp;#xD;&amp;#xA;'MFPR01006811',&amp;#xD;&amp;#xA;'MFPR01006812',&amp;#xD;&amp;#xA;'MFPR01006813',&amp;#xD;&amp;#xA;'MFPR01006814',&amp;#xD;&amp;#xA;'MFPR01006815',&amp;#xD;&amp;#xA;'MFPR01006816',&amp;#xD;&amp;#xA;'MFPR01006817',&amp;#xD;&amp;#xA;'MFPR01'"</definedName>
    <definedName name="_AMO_ContentLocation_485496469__A1.53" hidden="1">"'006818',&amp;#xD;&amp;#xA;'MFPR01006819',&amp;#xD;&amp;#xA;'MFPR01006820',&amp;#xD;&amp;#xA;'MFPR01006821',&amp;#xD;&amp;#xA;'MFPR01006822',&amp;#xD;&amp;#xA;'MFPR01006823',&amp;#xD;&amp;#xA;'MFPR01006824',&amp;#xD;&amp;#xA;'MFPR01006825',&amp;#xD;&amp;#xA;'MFPR01006826',&amp;#xD;&amp;#xA;'MFPR01006827',&amp;#xD;&amp;#xA;'MFPR010'"</definedName>
    <definedName name="_AMO_ContentLocation_485496469__A1.54" hidden="1">"'06828',&amp;#xD;&amp;#xA;'MFPR01006829',&amp;#xD;&amp;#xA;'MFPR01006830',&amp;#xD;&amp;#xA;'MFPR01006831',&amp;#xD;&amp;#xA;'MFPR01006832',&amp;#xD;&amp;#xA;'MFPR01006833',&amp;#xD;&amp;#xA;'MFPR01006834',&amp;#xD;&amp;#xA;'MFPR01006835',&amp;#xD;&amp;#xA;'MFPR01006836',&amp;#xD;&amp;#xA;'MFPR01006837',&amp;#xD;&amp;#xA;'MFPR0100'"</definedName>
    <definedName name="_AMO_ContentLocation_485496469__A1.55" hidden="1">"'6838',&amp;#xD;&amp;#xA;'MFPR01006839',&amp;#xD;&amp;#xA;'MFPR01006840',&amp;#xD;&amp;#xA;'MFPR01006841',&amp;#xD;&amp;#xA;'MFPR01006842',&amp;#xD;&amp;#xA;'MFPR01006843',&amp;#xD;&amp;#xA;'MFPR01006844',&amp;#xD;&amp;#xA;'MFPR01006845',&amp;#xD;&amp;#xA;'MFPR01006846',&amp;#xD;&amp;#xA;'MFPR01006847',&amp;#xD;&amp;#xA;'MFPR01006'"</definedName>
    <definedName name="_AMO_ContentLocation_485496469__A1.56" hidden="1">"'848',&amp;#xD;&amp;#xA;'MFPR01006849',&amp;#xD;&amp;#xA;'MFPR01006850',&amp;#xD;&amp;#xA;'MFPR01006851',&amp;#xD;&amp;#xA;'MFPR01006852',&amp;#xD;&amp;#xA;'MFPR01006853',&amp;#xD;&amp;#xA;'MFPR01006854',&amp;#xD;&amp;#xA;'MFPR01006855',&amp;#xD;&amp;#xA;'MFPR01006856',&amp;#xD;&amp;#xA;'MFPR01006857',&amp;#xD;&amp;#xA;'MFPR010068'"</definedName>
    <definedName name="_AMO_ContentLocation_485496469__A1.57" hidden="1">"'58',&amp;#xD;&amp;#xA;'MFPR01006859',&amp;#xD;&amp;#xA;'MFPR01006860',&amp;#xD;&amp;#xA;'MFPR01006861',&amp;#xD;&amp;#xA;'MFPR01006862',&amp;#xD;&amp;#xA;'MFPR01006863',&amp;#xD;&amp;#xA;'MFPR01006864',&amp;#xD;&amp;#xA;'MFPR01006865',&amp;#xD;&amp;#xA;'MFPR01006866',&amp;#xD;&amp;#xA;'MFPR01006867',&amp;#xD;&amp;#xA;'MFPR0100686'"</definedName>
    <definedName name="_AMO_ContentLocation_485496469__A1.58" hidden="1">"'8',&amp;#xD;&amp;#xA;'MFPR01006869',&amp;#xD;&amp;#xA;'MFPR01006870',&amp;#xD;&amp;#xA;'MFPR01006871',&amp;#xD;&amp;#xA;'MFPR01006872',&amp;#xD;&amp;#xA;'MFPR01006873',&amp;#xD;&amp;#xA;'MFPR01006874',&amp;#xD;&amp;#xA;'MFPR01006875',&amp;#xD;&amp;#xA;'MFPR01006876',&amp;#xD;&amp;#xA;'MFPR01006877',&amp;#xD;&amp;#xA;'MFPR01006878'"</definedName>
    <definedName name="_AMO_ContentLocation_485496469__A1.59" hidden="1">"'',&amp;#xD;&amp;#xA;'MFPR01006879',&amp;#xD;&amp;#xA;'MFPR01006880',&amp;#xD;&amp;#xA;'MFPR01006881',&amp;#xD;&amp;#xA;'MFPR01006882',&amp;#xD;&amp;#xA;'MFPR01006883',&amp;#xD;&amp;#xA;'MFPR01006884',&amp;#xD;&amp;#xA;'MFPR01006885',&amp;#xD;&amp;#xA;'MFPR01006886',&amp;#xD;&amp;#xA;'MFPR01006887',&amp;#xD;&amp;#xA;'MFPR01006888''"</definedName>
    <definedName name="_AMO_ContentLocation_485496469__A1.6" hidden="1">"'032',&amp;#xD;&amp;#xA;'MFMSUP000033',&amp;#xD;&amp;#xA;'MFMSUP000034',&amp;#xD;&amp;#xA;'MFMSUP000035',&amp;#xD;&amp;#xA;'MFMSUP000036',&amp;#xD;&amp;#xA;'MFMSUP000037',&amp;#xD;&amp;#xA;'MFMSUP000038',&amp;#xD;&amp;#xA;'MFMSUP000039',&amp;#xD;&amp;#xA;'MFMSUP000040',&amp;#xD;&amp;#xA;'MFMSUP000041',&amp;#xD;&amp;#xA;'MFMSUP0000'"</definedName>
    <definedName name="_AMO_ContentLocation_485496469__A1.60" hidden="1">"',&amp;#xD;&amp;#xA;'MFPR01006889',&amp;#xD;&amp;#xA;'MFPR01006890',&amp;#xD;&amp;#xA;'MFPR01006891',&amp;#xD;&amp;#xA;'MFPR01006892',&amp;#xD;&amp;#xA;'MFPR01006893',&amp;#xD;&amp;#xA;'MFPR01006894',&amp;#xD;&amp;#xA;'MFPR01006895',&amp;#xD;&amp;#xA;'MFPR01006896',&amp;#xD;&amp;#xA;'MFPR01006897',&amp;#xD;&amp;#xA;'MFPR01006898','"</definedName>
    <definedName name="_AMO_ContentLocation_485496469__A1.61" hidden="1">"'&amp;#xD;&amp;#xA;'MFPR01006899',&amp;#xD;&amp;#xA;'MFPR01006900',&amp;#xD;&amp;#xA;'MFPR01006901',&amp;#xD;&amp;#xA;'MFPR01006902',&amp;#xD;&amp;#xA;'MFPR01006903',&amp;#xD;&amp;#xA;'MFPR01006904',&amp;#xD;&amp;#xA;'MFPR01006905',&amp;#xD;&amp;#xA;'MFPR01006906',&amp;#xD;&amp;#xA;'MFPR01006907',&amp;#xD;&amp;#xA;'MFPR01006908',&amp;'"</definedName>
    <definedName name="_AMO_ContentLocation_485496469__A1.62" hidden="1">"'#xD;&amp;#xA;'MFPR01006909',&amp;#xD;&amp;#xA;'MFPR01006910',&amp;#xD;&amp;#xA;'MFPR01006911',&amp;#xD;&amp;#xA;'MFPR01006912',&amp;#xD;&amp;#xA;'MFPR01006913',&amp;#xD;&amp;#xA;'MFPR01006914',&amp;#xD;&amp;#xA;'MFPR01006915',&amp;#xD;&amp;#xA;'MFPR01006916',&amp;#xD;&amp;#xA;'MFPR01006917',&amp;#xD;&amp;#xA;'MFPR01006918',&amp;#'"</definedName>
    <definedName name="_AMO_ContentLocation_485496469__A1.63" hidden="1">"'xD;&amp;#xA;'MFPR01006919',&amp;#xD;&amp;#xA;'MFPR01006920',&amp;#xD;&amp;#xA;'MFPR01006921',&amp;#xD;&amp;#xA;'MFPR01006922',&amp;#xD;&amp;#xA;'MFPR01006923',&amp;#xD;&amp;#xA;'MFPR01006924',&amp;#xD;&amp;#xA;'MFPR01006925',&amp;#xD;&amp;#xA;'MFPR01006926',&amp;#xD;&amp;#xA;'MFPR01006927',&amp;#xD;&amp;#xA;'MFPR01006928',&amp;#x'"</definedName>
    <definedName name="_AMO_ContentLocation_485496469__A1.64" hidden="1">"'D;&amp;#xA;'MFPR01006929',&amp;#xD;&amp;#xA;'MFPR01006930',&amp;#xD;&amp;#xA;'MFPR01006931',&amp;#xD;&amp;#xA;'MFPR01006932',&amp;#xD;&amp;#xA;'MFPR01006933',&amp;#xD;&amp;#xA;'MFPR01006934',&amp;#xD;&amp;#xA;'MFPR01006935',&amp;#xD;&amp;#xA;'MFPR01006936',&amp;#xD;&amp;#xA;'MFPR01006937',&amp;#xD;&amp;#xA;'MFPR01006938',&amp;#xD'"</definedName>
    <definedName name="_AMO_ContentLocation_485496469__A1.65" hidden="1">"';&amp;#xA;'MFPR01006939',&amp;#xD;&amp;#xA;'MFPR01006940',&amp;#xD;&amp;#xA;'MFPR01006941',&amp;#xD;&amp;#xA;'MFPR01006942',&amp;#xD;&amp;#xA;'MFPR01006943',&amp;#xD;&amp;#xA;'MFPR01006944',&amp;#xD;&amp;#xA;'MFPR01006945',&amp;#xD;&amp;#xA;'MFPR01006946',&amp;#xD;&amp;#xA;'MFPR01006947',&amp;#xD;&amp;#xA;'MFPR01006948',&amp;#xD;'"</definedName>
    <definedName name="_AMO_ContentLocation_485496469__A1.66" hidden="1">"'&amp;#xA;'MFPR01006949',&amp;#xD;&amp;#xA;'MFPR01006950',&amp;#xD;&amp;#xA;'MFPR01006951',&amp;#xD;&amp;#xA;'MFPR01006952',&amp;#xD;&amp;#xA;'MFPR01006953',&amp;#xD;&amp;#xA;'MFPR01006954',&amp;#xD;&amp;#xA;'MFPR01006955',&amp;#xD;&amp;#xA;'MFPR01006956',&amp;#xD;&amp;#xA;'MFPR01006957',&amp;#xD;&amp;#xA;'MFPR01006958',&amp;#xD;&amp;'"</definedName>
    <definedName name="_AMO_ContentLocation_485496469__A1.67" hidden="1">"'#xA;'MFPR01006959',&amp;#xD;&amp;#xA;'MFPR01006960',&amp;#xD;&amp;#xA;'MFPR01006961',&amp;#xD;&amp;#xA;'MFPR01006962',&amp;#xD;&amp;#xA;'MFPR01006963',&amp;#xD;&amp;#xA;'MFPR01006964',&amp;#xD;&amp;#xA;'MFPR01006965',&amp;#xD;&amp;#xA;'MFPR01006966',&amp;#xD;&amp;#xA;'MFPR01006967',&amp;#xD;&amp;#xA;'MFPR01006968',&amp;#xD;&amp;#'"</definedName>
    <definedName name="_AMO_ContentLocation_485496469__A1.68" hidden="1">"'xA;'MFPR01006969',&amp;#xD;&amp;#xA;'MFPR01006970',&amp;#xD;&amp;#xA;'MFPR01006971',&amp;#xD;&amp;#xA;'MFPR01006972',&amp;#xD;&amp;#xA;'MFPR01006973',&amp;#xD;&amp;#xA;'MFPR01006974',&amp;#xD;&amp;#xA;'MFPR01006975',&amp;#xD;&amp;#xA;'MFPR01006976',&amp;#xD;&amp;#xA;'MFPR01006977',&amp;#xD;&amp;#xA;'MFPR01006978',&amp;#xD;&amp;#x'"</definedName>
    <definedName name="_AMO_ContentLocation_485496469__A1.69" hidden="1">"'A;'MFPR01006979',&amp;#xD;&amp;#xA;'MFPR01006980',&amp;#xD;&amp;#xA;'MFPR01006981',&amp;#xD;&amp;#xA;'MFPR01006982',&amp;#xD;&amp;#xA;'MFPR01006983',&amp;#xD;&amp;#xA;'MFPR01006984',&amp;#xD;&amp;#xA;'MFPR01006985',&amp;#xD;&amp;#xA;'MFPR01006986',&amp;#xD;&amp;#xA;'MFPR01006987',&amp;#xD;&amp;#xA;'MFPR01006988',&amp;#xD;&amp;#xA'"</definedName>
    <definedName name="_AMO_ContentLocation_485496469__A1.7" hidden="1">"'42',&amp;#xD;&amp;#xA;'MFMSUP000043',&amp;#xD;&amp;#xA;'MFMSUP000044',&amp;#xD;&amp;#xA;'MFMSUP000045',&amp;#xD;&amp;#xA;'MFMSUP000046',&amp;#xD;&amp;#xA;'MFMSUP000047',&amp;#xD;&amp;#xA;'MFMSUP000048',&amp;#xD;&amp;#xA;'MFMSUP000049',&amp;#xD;&amp;#xA;'MFMSUP000050',&amp;#xD;&amp;#xA;'MFMSUP000051',&amp;#xD;&amp;#xA;'MFMSUP00005'"</definedName>
    <definedName name="_AMO_ContentLocation_485496469__A1.70" hidden="1">"';'MFPR01006989',&amp;#xD;&amp;#xA;'MFPR01006990',&amp;#xD;&amp;#xA;'MFPR01006991',&amp;#xD;&amp;#xA;'MFPR01006992',&amp;#xD;&amp;#xA;'MFPR01006993',&amp;#xD;&amp;#xA;'MFPR01006994',&amp;#xD;&amp;#xA;'MFPR01006995',&amp;#xD;&amp;#xA;'MFPR01006996',&amp;#xD;&amp;#xA;'MFPR01006997',&amp;#xD;&amp;#xA;'MFPR01006998',&amp;#xD;&amp;#xA;'"</definedName>
    <definedName name="_AMO_ContentLocation_485496469__A1.71" hidden="1">"''MFPR01006999',&amp;#xD;&amp;#xA;'MFPR01007000',&amp;#xD;&amp;#xA;'MFPR01007001',&amp;#xD;&amp;#xA;'MFPR01007002',&amp;#xD;&amp;#xA;'MFPR01007003',&amp;#xD;&amp;#xA;'MFPR01007004',&amp;#xD;&amp;#xA;'MFPR01007005',&amp;#xD;&amp;#xA;'MFPR01007006',&amp;#xD;&amp;#xA;'MFPR01007007',&amp;#xD;&amp;#xA;'MFPR01007008',&amp;#xD;&amp;#xA;''"</definedName>
    <definedName name="_AMO_ContentLocation_485496469__A1.72" hidden="1">"'MFPR01007009',&amp;#xD;&amp;#xA;'MFPR01007010',&amp;#xD;&amp;#xA;'MFPR01007011',&amp;#xD;&amp;#xA;'MFPR01007012',&amp;#xD;&amp;#xA;'MFPR01007013',&amp;#xD;&amp;#xA;'MFPR01007014',&amp;#xD;&amp;#xA;'MFPR01007015',&amp;#xD;&amp;#xA;'MFPR01007016',&amp;#xD;&amp;#xA;'MFPR01007017',&amp;#xD;&amp;#xA;'MFPR01007018',&amp;#xD;&amp;#xA;'M'"</definedName>
    <definedName name="_AMO_ContentLocation_485496469__A1.73" hidden="1">"'FPR01007019',&amp;#xD;&amp;#xA;'MFPR01007020',&amp;#xD;&amp;#xA;'MFPR01007021',&amp;#xD;&amp;#xA;'MFPR01007022',&amp;#xD;&amp;#xA;'MFPR01007023',&amp;#xD;&amp;#xA;'MFPR01007024',&amp;#xD;&amp;#xA;'MFPR01007025',&amp;#xD;&amp;#xA;'MFPR01007026',&amp;#xD;&amp;#xA;'MFPR01007027',&amp;#xD;&amp;#xA;'MFPR01007028',&amp;#xD;&amp;#xA;'MF'"</definedName>
    <definedName name="_AMO_ContentLocation_485496469__A1.74" hidden="1">"'PR01007029',&amp;#xD;&amp;#xA;'MFPR01007030',&amp;#xD;&amp;#xA;'MFPR01007031',&amp;#xD;&amp;#xA;'MFPR01007032',&amp;#xD;&amp;#xA;'MFPR01007033',&amp;#xD;&amp;#xA;'MFPR01007034',&amp;#xD;&amp;#xA;'MFPR01007035',&amp;#xD;&amp;#xA;'MFPR01007036',&amp;#xD;&amp;#xA;'MFPR01007037',&amp;#xD;&amp;#xA;'MFPR01007038',&amp;#xD;&amp;#xA;'MFP'"</definedName>
    <definedName name="_AMO_ContentLocation_485496469__A1.75" hidden="1">"'R01007039',&amp;#xD;&amp;#xA;'MFPR01007040',&amp;#xD;&amp;#xA;'MFPR01007041',&amp;#xD;&amp;#xA;'MFPR01007042',&amp;#xD;&amp;#xA;'MFPR01007043',&amp;#xD;&amp;#xA;'MFPR01007044',&amp;#xD;&amp;#xA;'MFPR01007045',&amp;#xD;&amp;#xA;'MFPR01007046',&amp;#xD;&amp;#xA;'MFPR01007047',&amp;#xD;&amp;#xA;'MFPR01007048',&amp;#xD;&amp;#xA;'MFPR'"</definedName>
    <definedName name="_AMO_ContentLocation_485496469__A1.76" hidden="1">"'01007049',&amp;#xD;&amp;#xA;'MFPR01007050',&amp;#xD;&amp;#xA;'MFPR01007051',&amp;#xD;&amp;#xA;'MFPR01007052',&amp;#xD;&amp;#xA;'MFPR01007053',&amp;#xD;&amp;#xA;'MFPR01007054',&amp;#xD;&amp;#xA;'MFPR01007055',&amp;#xD;&amp;#xA;'MFPR01007056',&amp;#xD;&amp;#xA;'MFPR01007057',&amp;#xD;&amp;#xA;'MFPR01007058',&amp;#xD;&amp;#xA;'MFPR0'"</definedName>
    <definedName name="_AMO_ContentLocation_485496469__A1.77" hidden="1">"'1007059',&amp;#xD;&amp;#xA;'MFPR01007060',&amp;#xD;&amp;#xA;'MFPR01007061',&amp;#xD;&amp;#xA;'MFPR01007062',&amp;#xD;&amp;#xA;'MFPR01007063',&amp;#xD;&amp;#xA;'MFPR01007064',&amp;#xD;&amp;#xA;'MFPR01007065',&amp;#xD;&amp;#xA;'MFPR01007066',&amp;#xD;&amp;#xA;'MFPR01007067',&amp;#xD;&amp;#xA;'MFPR01007068',&amp;#xD;&amp;#xA;'MFPR01'"</definedName>
    <definedName name="_AMO_ContentLocation_485496469__A1.78" hidden="1">"'007069',&amp;#xD;&amp;#xA;'MFPR01007070',&amp;#xD;&amp;#xA;'MFPR01007071',&amp;#xD;&amp;#xA;'MFPR01007072',&amp;#xD;&amp;#xA;'MFPR01007073',&amp;#xD;&amp;#xA;'MFPR01007074',&amp;#xD;&amp;#xA;'MFPR01007075',&amp;#xD;&amp;#xA;'MFPR01007076',&amp;#xD;&amp;#xA;'MFPR01007077',&amp;#xD;&amp;#xA;'MFPR01007078',&amp;#xD;&amp;#xA;'MFPR010'"</definedName>
    <definedName name="_AMO_ContentLocation_485496469__A1.79" hidden="1">"'07079',&amp;#xD;&amp;#xA;'MFPR01007080',&amp;#xD;&amp;#xA;'MFPR01007081',&amp;#xD;&amp;#xA;'MFPR01007082',&amp;#xD;&amp;#xA;'MFPR01007083',&amp;#xD;&amp;#xA;'MFPR01007084',&amp;#xD;&amp;#xA;'MFPR01007085',&amp;#xD;&amp;#xA;'MFPR01007086',&amp;#xD;&amp;#xA;'MFPR01007087',&amp;#xD;&amp;#xA;'MFPR01007088',&amp;#xD;&amp;#xA;'MFPR0100'"</definedName>
    <definedName name="_AMO_ContentLocation_485496469__A1.8" hidden="1">"'2',&amp;#xD;&amp;#xA;'MFMSUP000053',&amp;#xD;&amp;#xA;'MFMSUP000054',&amp;#xD;&amp;#xA;'MFMSUP000055',&amp;#xD;&amp;#xA;'MFMSUP000056',&amp;#xD;&amp;#xA;'MFMSUP000057',&amp;#xD;&amp;#xA;'MFMSUP000058',&amp;#xD;&amp;#xA;'MFMSUP000059',&amp;#xD;&amp;#xA;'MFMSUP000060',&amp;#xD;&amp;#xA;'MFMSUP000062',&amp;#xD;&amp;#xA;'MFMSUP000063'"</definedName>
    <definedName name="_AMO_ContentLocation_485496469__A1.80" hidden="1">"'7089',&amp;#xD;&amp;#xA;'MFPR01007090',&amp;#xD;&amp;#xA;'MFPR01007091',&amp;#xD;&amp;#xA;'MFPR01007092',&amp;#xD;&amp;#xA;'MFPR01007093',&amp;#xD;&amp;#xA;'MFPR01007094',&amp;#xD;&amp;#xA;'MFPR01007095',&amp;#xD;&amp;#xA;'MFPR01007096',&amp;#xD;&amp;#xA;'MFPR01007097',&amp;#xD;&amp;#xA;'MFPR01007098',&amp;#xD;&amp;#xA;'MFPR01007'"</definedName>
    <definedName name="_AMO_ContentLocation_485496469__A1.81" hidden="1">"'099',&amp;#xD;&amp;#xA;'MFPR01007100',&amp;#xD;&amp;#xA;'MFPR01007101',&amp;#xD;&amp;#xA;'MFPR01007102',&amp;#xD;&amp;#xA;'MFPR01007103',&amp;#xD;&amp;#xA;'MFPR01007104',&amp;#xD;&amp;#xA;'MFPR01007105',&amp;#xD;&amp;#xA;'MFPR01007106',&amp;#xD;&amp;#xA;'MFPR01007107',&amp;#xD;&amp;#xA;'MFPR01007108',&amp;#xD;&amp;#xA;'MFPR010071'"</definedName>
    <definedName name="_AMO_ContentLocation_485496469__A1.82" hidden="1">"'09',&amp;#xD;&amp;#xA;'MFPR01007110',&amp;#xD;&amp;#xA;'MFPR01007111',&amp;#xD;&amp;#xA;'MFPR01007112',&amp;#xD;&amp;#xA;'MFPR01007113',&amp;#xD;&amp;#xA;'MFPR01007114',&amp;#xD;&amp;#xA;'MFPR01007115',&amp;#xD;&amp;#xA;'MFPR01007116',&amp;#xD;&amp;#xA;'MFPR01007117',&amp;#xD;&amp;#xA;'MFPR01007118',&amp;#xD;&amp;#xA;'MFPR0100711'"</definedName>
    <definedName name="_AMO_ContentLocation_485496469__A1.83" hidden="1">"'9',&amp;#xD;&amp;#xA;'MFPR01007120',&amp;#xD;&amp;#xA;'MFPR01007121',&amp;#xD;&amp;#xA;'MFPR01007122',&amp;#xD;&amp;#xA;'MFPR01007123',&amp;#xD;&amp;#xA;'MFPR01007124',&amp;#xD;&amp;#xA;'MFPR01007125',&amp;#xD;&amp;#xA;'MFPR01007126',&amp;#xD;&amp;#xA;'MFPR01007127',&amp;#xD;&amp;#xA;'MFPR01007128',&amp;#xD;&amp;#xA;'MFPR01007129'"</definedName>
    <definedName name="_AMO_ContentLocation_485496469__A1.84" hidden="1">"'',&amp;#xD;&amp;#xA;'MFPR01007130',&amp;#xD;&amp;#xA;'MFPR01007131',&amp;#xD;&amp;#xA;'MFPR01007132',&amp;#xD;&amp;#xA;'MFPR01007133',&amp;#xD;&amp;#xA;'MFPR01007134',&amp;#xD;&amp;#xA;'MFPR01007135',&amp;#xD;&amp;#xA;'MFPR01007136',&amp;#xD;&amp;#xA;'MFPR01007137',&amp;#xD;&amp;#xA;'MFPR01007138',&amp;#xD;&amp;#xA;'MFPR01007139''"</definedName>
    <definedName name="_AMO_ContentLocation_485496469__A1.85" hidden="1">"',&amp;#xD;&amp;#xA;'MFPR01007140',&amp;#xD;&amp;#xA;'MFPR01007141',&amp;#xD;&amp;#xA;'MFPR01007142',&amp;#xD;&amp;#xA;'MFPR01007143',&amp;#xD;&amp;#xA;'MFPR01007144',&amp;#xD;&amp;#xA;'MFPR01007145',&amp;#xD;&amp;#xA;'MFPR01007146',&amp;#xD;&amp;#xA;'MFPR01007147',&amp;#xD;&amp;#xA;'MFPR01007148',&amp;#xD;&amp;#xA;'MFPR01007149','"</definedName>
    <definedName name="_AMO_ContentLocation_485496469__A1.86" hidden="1">"'&amp;#xD;&amp;#xA;'MFPR01007150',&amp;#xD;&amp;#xA;'MFPR01007151',&amp;#xD;&amp;#xA;'MFPR01007152',&amp;#xD;&amp;#xA;'MFPR01007153',&amp;#xD;&amp;#xA;'MFPR01007154',&amp;#xD;&amp;#xA;'MFPR01007155',&amp;#xD;&amp;#xA;'MFPR01007156',&amp;#xD;&amp;#xA;'MFPR01007157',&amp;#xD;&amp;#xA;'MFPR01007158',&amp;#xD;&amp;#xA;'MFPR01007159',&amp;'"</definedName>
    <definedName name="_AMO_ContentLocation_485496469__A1.87" hidden="1">"'#xD;&amp;#xA;'MFPR01007160',&amp;#xD;&amp;#xA;'MFPR01007161',&amp;#xD;&amp;#xA;'MFPR01007162',&amp;#xD;&amp;#xA;'MFPR01007163',&amp;#xD;&amp;#xA;'MFPR01007164',&amp;#xD;&amp;#xA;'MFPR01007165',&amp;#xD;&amp;#xA;'MFPR01007166',&amp;#xD;&amp;#xA;'MFPR01007167',&amp;#xD;&amp;#xA;'MFPR01007168',&amp;#xD;&amp;#xA;'MFPR01007169',&amp;#'"</definedName>
    <definedName name="_AMO_ContentLocation_485496469__A1.88" hidden="1">"'xD;&amp;#xA;'MFPR01007170',&amp;#xD;&amp;#xA;'MFPR01007171',&amp;#xD;&amp;#xA;'MFPR01007172',&amp;#xD;&amp;#xA;'MFPR01007173',&amp;#xD;&amp;#xA;'MFPR01007174',&amp;#xD;&amp;#xA;'MFPR01007175',&amp;#xD;&amp;#xA;'MFPR01007176',&amp;#xD;&amp;#xA;'MFPR01007177',&amp;#xD;&amp;#xA;'MFPR01007178',&amp;#xD;&amp;#xA;'MFPR01007179',&amp;#x'"</definedName>
    <definedName name="_AMO_ContentLocation_485496469__A1.89" hidden="1">"'D;&amp;#xA;'MFPR01007180',&amp;#xD;&amp;#xA;'MFPR01007181',&amp;#xD;&amp;#xA;'MFPR01007182',&amp;#xD;&amp;#xA;'MFPR01007183',&amp;#xD;&amp;#xA;'MFPR01007184',&amp;#xD;&amp;#xA;'MFPR01007185',&amp;#xD;&amp;#xA;'MFPR01007186',&amp;#xD;&amp;#xA;'MFPR01007187',&amp;#xD;&amp;#xA;'MFPR01007188',&amp;#xD;&amp;#xA;'MFPR01007189',&amp;#xD'"</definedName>
    <definedName name="_AMO_ContentLocation_485496469__A1.9" hidden="1">"'',&amp;#xD;&amp;#xA;'MFMSUP000064',&amp;#xD;&amp;#xA;'MFMSUP000065',&amp;#xD;&amp;#xA;'MFMSUP000066',&amp;#xD;&amp;#xA;'MFMSUP000067',&amp;#xD;&amp;#xA;'MFMSUP000068',&amp;#xD;&amp;#xA;'MFMSUP000078',&amp;#xD;&amp;#xA;'MFMSUP000079',&amp;#xD;&amp;#xA;'MFMSUP000080',&amp;#xD;&amp;#xA;'MFMSUP000081',&amp;#xD;&amp;#xA;'MFMSUP000082''"</definedName>
    <definedName name="_AMO_ContentLocation_485496469__A1.90" hidden="1">"';&amp;#xA;'MFPR01007190',&amp;#xD;&amp;#xA;'MFPR01007191',&amp;#xD;&amp;#xA;'MFPR01007192',&amp;#xD;&amp;#xA;'MFPR01007193',&amp;#xD;&amp;#xA;'MFPR01007194',&amp;#xD;&amp;#xA;'MFPR01007195',&amp;#xD;&amp;#xA;'MFPR01007196',&amp;#xD;&amp;#xA;'MFPR01007197',&amp;#xD;&amp;#xA;'MFPR01007198',&amp;#xD;&amp;#xA;'MFPR01007199',&amp;#xD;'"</definedName>
    <definedName name="_AMO_ContentLocation_485496469__A1.91" hidden="1">"'&amp;#xA;'MFPR01007200',&amp;#xD;&amp;#xA;'MFPR01007201',&amp;#xD;&amp;#xA;'MFPR01007202',&amp;#xD;&amp;#xA;'MFPR01007203',&amp;#xD;&amp;#xA;'MFPR01007204',&amp;#xD;&amp;#xA;'MFPR01007205',&amp;#xD;&amp;#xA;'MFPR01007206',&amp;#xD;&amp;#xA;'MFPR01007207',&amp;#xD;&amp;#xA;'MFPR01007208',&amp;#xD;&amp;#xA;'MFPR01007209',&amp;#xD;&amp;'"</definedName>
    <definedName name="_AMO_ContentLocation_485496469__A1.92" hidden="1">"'#xA;'MFPR01007210',&amp;#xD;&amp;#xA;'MFPR01007211',&amp;#xD;&amp;#xA;'MFPR01007212',&amp;#xD;&amp;#xA;'MFPR01007213',&amp;#xD;&amp;#xA;'MFPR01007214',&amp;#xD;&amp;#xA;'MFPR01007215',&amp;#xD;&amp;#xA;'MFPR01007216',&amp;#xD;&amp;#xA;'MFPR01007217',&amp;#xD;&amp;#xA;'MFPR01007218',&amp;#xD;&amp;#xA;'MFPR01007219',&amp;#xD;&amp;#'"</definedName>
    <definedName name="_AMO_ContentLocation_485496469__A1.93" hidden="1">"'xA;'MFPR01007220',&amp;#xD;&amp;#xA;'MFPR01007221',&amp;#xD;&amp;#xA;'MFPR01007222',&amp;#xD;&amp;#xA;'MFPR01007223',&amp;#xD;&amp;#xA;'MFPR01007224',&amp;#xD;&amp;#xA;'MFPR01007225',&amp;#xD;&amp;#xA;'MFPR01007226',&amp;#xD;&amp;#xA;'MFPR01007227',&amp;#xD;&amp;#xA;'MFPR01007228',&amp;#xD;&amp;#xA;'MFPR01007229',&amp;#xD;&amp;#x'"</definedName>
    <definedName name="_AMO_ContentLocation_485496469__A1.94" hidden="1">"'A;'MFPR01007230',&amp;#xD;&amp;#xA;'MFPR01007231',&amp;#xD;&amp;#xA;'MFPR01007232',&amp;#xD;&amp;#xA;'MFPR01007233',&amp;#xD;&amp;#xA;'MFPR01007234',&amp;#xD;&amp;#xA;'MFPR01007235',&amp;#xD;&amp;#xA;'MFPR01007236',&amp;#xD;&amp;#xA;'MFPR01007237',&amp;#xD;&amp;#xA;'MFPR01007238',&amp;#xD;&amp;#xA;'MFPR01007239',&amp;#xD;&amp;#xA'"</definedName>
    <definedName name="_AMO_ContentLocation_485496469__A1.95" hidden="1">"';'MFPR01007240',&amp;#xD;&amp;#xA;'MFPR01007241',&amp;#xD;&amp;#xA;'MFPR01007242',&amp;#xD;&amp;#xA;'MFPR01007243',&amp;#xD;&amp;#xA;'MFPR01007244',&amp;#xD;&amp;#xA;'MFPR01007245',&amp;#xD;&amp;#xA;'MFPR01007246',&amp;#xD;&amp;#xA;'MFPR01007247',&amp;#xD;&amp;#xA;'MFPR01007248',&amp;#xD;&amp;#xA;'MFPR01007249',&amp;#xD;&amp;#xA;'"</definedName>
    <definedName name="_AMO_ContentLocation_485496469__A1.96" hidden="1">"''MFPR01007250',&amp;#xD;&amp;#xA;'MFPR01007251',&amp;#xD;&amp;#xA;'MFPR01007252',&amp;#xD;&amp;#xA;'MFPR01007253',&amp;#xD;&amp;#xA;'MFPR01007254',&amp;#xD;&amp;#xA;'MFPR01007255',&amp;#xD;&amp;#xA;'MFPR01007256',&amp;#xD;&amp;#xA;'MFPR01007257',&amp;#xD;&amp;#xA;'MFPR01007258',&amp;#xD;&amp;#xA;'MFPR01007259',&amp;#xD;&amp;#xA;''"</definedName>
    <definedName name="_AMO_ContentLocation_485496469__A1.97" hidden="1">"'MFPR01007260',&amp;#xD;&amp;#xA;'MFPR01007261',&amp;#xD;&amp;#xA;'MFPR01007262',&amp;#xD;&amp;#xA;'MFPR01007263',&amp;#xD;&amp;#xA;'MFPR01007264',&amp;#xD;&amp;#xA;'MFPR01007265',&amp;#xD;&amp;#xA;'MFPR01007266',&amp;#xD;&amp;#xA;'MFPR01007267',&amp;#xD;&amp;#xA;'MFPR01007268',&amp;#xD;&amp;#xA;'MFPR01007269',&amp;#xD;&amp;#xA;'M'"</definedName>
    <definedName name="_AMO_ContentLocation_485496469__A1.98" hidden="1">"'FPR01007270',&amp;#xD;&amp;#xA;'MFPR01007271',&amp;#xD;&amp;#xA;'MFPR01007272',&amp;#xD;&amp;#xA;'MFPR01007273',&amp;#xD;&amp;#xA;'MFPR01007274',&amp;#xD;&amp;#xA;'MFPR01007275',&amp;#xD;&amp;#xA;'MFPR01007276',&amp;#xD;&amp;#xA;'MFPR01007277',&amp;#xD;&amp;#xA;'MFPR01007278',&amp;#xD;&amp;#xA;'MFPR01007279',&amp;#xD;&amp;#xA;'MF'"</definedName>
    <definedName name="_AMO_ContentLocation_485496469__A1.99" hidden="1">"'PR01007280',&amp;#xD;&amp;#xA;'MFPR01007281',&amp;#xD;&amp;#xA;'MFPR01007282',&amp;#xD;&amp;#xA;'MFPR01007283',&amp;#xD;&amp;#xA;'MFPR01007284',&amp;#xD;&amp;#xA;'MFPR01007285',&amp;#xD;&amp;#xA;'MFPR01007286',&amp;#xD;&amp;#xA;'MFPR01007287',&amp;#xD;&amp;#xA;'MFPR01007288',&amp;#xD;&amp;#xA;'MFPR01007289',&amp;#xD;&amp;#xA;'MFP'"</definedName>
    <definedName name="_AMO_ContentLocation_540236810__A1" hidden="1">"'Partitions:18'"</definedName>
    <definedName name="_AMO_ContentLocation_540236810__A1.0" hidden="1">"'&lt;ContentLocation path=""A1"" rsid=""540236810"" tag="""" fid=""0""&gt;_x000D_
  &lt;param n=""_NumRows"" v=""4139"" /&gt;_x000D_
  &lt;param n=""_NumCols"" v=""6"" /&gt;_x000D_
  &lt;param n=""SASDataState"" v=""none"" /&gt;_x000D_
  &lt;param n=""SASDataStart"" v=""1"" /&gt;_x000D_
  &lt;param n=""SASDataE'"</definedName>
    <definedName name="_AMO_ContentLocation_540236810__A1.1" hidden="1">"'nd"" v=""4138"" /&gt;_x000D_
  &lt;param n=""SASFilter"" v=""entity_submitter_type IN &amp;#xD;&amp;#xA;(&amp;#xD;&amp;#xA;'Country'&amp;#xD;&amp;#xA;) AND date_dt &amp;gt;= '31Mar2019'd AND frequency_cd IN &amp;#xD;&amp;#xA;(&amp;#xD;&amp;#xA;'Q'&amp;#xD;&amp;#xA;) AND entity_id CONTAINS 'ECCU' AND indicator_id I'"</definedName>
    <definedName name="_AMO_ContentLocation_540236810__A1.10" hidden="1">"'976',&amp;#xD;&amp;#xA;'MFPR02000977',&amp;#xD;&amp;#xA;'MFPR02000978',&amp;#xD;&amp;#xA;'MFPR02000979',&amp;#xD;&amp;#xA;'MFPR02000980',&amp;#xD;&amp;#xA;'MFPR02000988',&amp;#xD;&amp;#xA;'MFPR02000995',&amp;#xD;&amp;#xA;'MFPR02000996',&amp;#xD;&amp;#xA;'MFPR02000999',&amp;#xD;&amp;#xA;'MFPR02001003',&amp;#xD;&amp;#xA;'MFPR020010'"</definedName>
    <definedName name="_AMO_ContentLocation_540236810__A1.11" hidden="1">"'08',&amp;#xD;&amp;#xA;'MFPR02001012',&amp;#xD;&amp;#xA;'MFPR02001013',&amp;#xD;&amp;#xA;'MFPR02001014',&amp;#xD;&amp;#xA;'MFPR02001015',&amp;#xD;&amp;#xA;'MFPR02001016',&amp;#xD;&amp;#xA;'MFPR02001017',&amp;#xD;&amp;#xA;'MFPR02001018',&amp;#xD;&amp;#xA;'MFPR04004612',&amp;#xD;&amp;#xA;'MFPR04004613',&amp;#xD;&amp;#xA;'MFPR0400461'"</definedName>
    <definedName name="_AMO_ContentLocation_540236810__A1.12" hidden="1">"'4',&amp;#xD;&amp;#xA;'MFPR04004617',&amp;#xD;&amp;#xA;'MFPR04004618',&amp;#xD;&amp;#xA;'MFPR04004619',&amp;#xD;&amp;#xA;'MFPR04004622',&amp;#xD;&amp;#xA;'MFPR04004623',&amp;#xD;&amp;#xA;'MFPR04004624',&amp;#xD;&amp;#xA;'MFPR04004627',&amp;#xD;&amp;#xA;'MFPR04004628',&amp;#xD;&amp;#xA;'MFPR04004629',&amp;#xD;&amp;#xA;'MFPR04004632'"</definedName>
    <definedName name="_AMO_ContentLocation_540236810__A1.13" hidden="1">"'',&amp;#xD;&amp;#xA;'MFPR04004633',&amp;#xD;&amp;#xA;'MFPR04004634',&amp;#xD;&amp;#xA;'MFPR04004637',&amp;#xD;&amp;#xA;'MFPR04004638',&amp;#xD;&amp;#xA;'MFPR04004639',&amp;#xD;&amp;#xA;'MFPR04004643',&amp;#xD;&amp;#xA;'MFPR04004644',&amp;#xD;&amp;#xA;'MFPR04004645',&amp;#xD;&amp;#xA;'MFPR04001368',&amp;#xD;&amp;#xA;'MFPR04001437''"</definedName>
    <definedName name="_AMO_ContentLocation_540236810__A1.14" hidden="1">"',&amp;#xD;&amp;#xA;'MFPR04001506',&amp;#xD;&amp;#xA;'MFPR04001575',&amp;#xD;&amp;#xA;'MFPR04001644',&amp;#xD;&amp;#xA;'MFPR04001713',&amp;#xD;&amp;#xA;'MFPR04001782',&amp;#xD;&amp;#xA;'MFPR04001851',&amp;#xD;&amp;#xA;'MFPR04003576',&amp;#xD;&amp;#xA;'MFPR04003645',&amp;#xD;&amp;#xA;'MFPR04003714',&amp;#xD;&amp;#xA;'MFPR04003783','"</definedName>
    <definedName name="_AMO_ContentLocation_540236810__A1.15" hidden="1">"'&amp;#xD;&amp;#xA;'MFPR04003852',&amp;#xD;&amp;#xA;'MFPR04003921',&amp;#xD;&amp;#xA;'MFPR04003990',&amp;#xD;&amp;#xA;'MFPR04004059',&amp;#xD;&amp;#xA;'MFPR04000264',&amp;#xD;&amp;#xA;'MFPR04000333',&amp;#xD;&amp;#xA;'MFPR04000402',&amp;#xD;&amp;#xA;'MFPR04000471',&amp;#xD;&amp;#xA;'MFPR04000540',&amp;#xD;&amp;#xA;'MFPR04000609',&amp;'"</definedName>
    <definedName name="_AMO_ContentLocation_540236810__A1.16" hidden="1">"'#xD;&amp;#xA;'MFPR04000678',&amp;#xD;&amp;#xA;'MFPR04000747',&amp;#xD;&amp;#xA;'MFPR04002472',&amp;#xD;&amp;#xA;'MFPR04002541',&amp;#xD;&amp;#xA;'MFPR04002610',&amp;#xD;&amp;#xA;'MFPR04002679',&amp;#xD;&amp;#xA;'MFPR04002748',&amp;#xD;&amp;#xA;'MFPR04002817',&amp;#xD;&amp;#xA;'MFPR04002886',&amp;#xD;&amp;#xA;'MFPR04002955'&amp;#x'"</definedName>
    <definedName name="_AMO_ContentLocation_540236810__A1.17" hidden="1">"'D;&amp;#xA;)"" /&gt;_x000D_
&lt;/ContentLocation&gt;'"</definedName>
    <definedName name="_AMO_ContentLocation_540236810__A1.2" hidden="1">"'N &amp;#xD;&amp;#xA;(&amp;#xD;&amp;#xA;'MFBS01000001',&amp;#xD;&amp;#xA;'MFBS01000012',&amp;#xD;&amp;#xA;'MFBS01000063',&amp;#xD;&amp;#xA;'MFBS01000090',&amp;#xD;&amp;#xA;'MFBS01000121',&amp;#xD;&amp;#xA;'MFBS01000160',&amp;#xD;&amp;#xA;'MFBS01000739',&amp;#xD;&amp;#xA;'MFBS01000740',&amp;#xD;&amp;#xA;'MFBS01000742',&amp;#xD;&amp;#xA;'MF'"</definedName>
    <definedName name="_AMO_ContentLocation_540236810__A1.3" hidden="1">"'BS01000746',&amp;#xD;&amp;#xA;'MFBS01000958',&amp;#xD;&amp;#xA;'MFBS01000959',&amp;#xD;&amp;#xA;'MFBS01000960',&amp;#xD;&amp;#xA;'MFBS01000961',&amp;#xD;&amp;#xA;'MFBS01000962',&amp;#xD;&amp;#xA;'MFBS01000963',&amp;#xD;&amp;#xA;'MFBS01000964',&amp;#xD;&amp;#xA;'MFBS01000965',&amp;#xD;&amp;#xA;'MFBS01001003',&amp;#xD;&amp;#xA;'MFB'"</definedName>
    <definedName name="_AMO_ContentLocation_540236810__A1.4" hidden="1">"'S01001004',&amp;#xD;&amp;#xA;'MFPR01000001',&amp;#xD;&amp;#xA;'MFPR01000016',&amp;#xD;&amp;#xA;'MFPR01000161',&amp;#xD;&amp;#xA;'MFPR01000163',&amp;#xD;&amp;#xA;'MFPR01000232',&amp;#xD;&amp;#xA;'MFPR01000307',&amp;#xD;&amp;#xA;'MFPR01000403',&amp;#xD;&amp;#xA;'MFPR01005136',&amp;#xD;&amp;#xA;'MFPR01005138',&amp;#xD;&amp;#xA;'MFPR'"</definedName>
    <definedName name="_AMO_ContentLocation_540236810__A1.5" hidden="1">"'01005145',&amp;#xD;&amp;#xA;'MFPR01005146',&amp;#xD;&amp;#xA;'MFPR01005147',&amp;#xD;&amp;#xA;'MFPR01005152',&amp;#xD;&amp;#xA;'MFPR01005171',&amp;#xD;&amp;#xA;'MFPR01005173',&amp;#xD;&amp;#xA;'MFPR01005180',&amp;#xD;&amp;#xA;'MFPR01005181',&amp;#xD;&amp;#xA;'MFPR01005182',&amp;#xD;&amp;#xA;'MFPR01005187',&amp;#xD;&amp;#xA;'MFPR0'"</definedName>
    <definedName name="_AMO_ContentLocation_540236810__A1.6" hidden="1">"'1006303',&amp;#xD;&amp;#xA;'MFPR01006304',&amp;#xD;&amp;#xA;'MFPR01006307',&amp;#xD;&amp;#xA;'MFPR01006308',&amp;#xD;&amp;#xA;'MFPR01006311',&amp;#xD;&amp;#xA;'MFPR01006312',&amp;#xD;&amp;#xA;'MFPR01006313',&amp;#xD;&amp;#xA;'MFPR01006315',&amp;#xD;&amp;#xA;'MFPR01006316',&amp;#xD;&amp;#xA;'MFPR01006317',&amp;#xD;&amp;#xA;'MFPR01'"</definedName>
    <definedName name="_AMO_ContentLocation_540236810__A1.7" hidden="1">"'006318',&amp;#xD;&amp;#xA;'MFPR01006319',&amp;#xD;&amp;#xA;'MFPR01006320',&amp;#xD;&amp;#xA;'MFPR01006321',&amp;#xD;&amp;#xA;'MFPR02000127',&amp;#xD;&amp;#xA;'MFPR02000254',&amp;#xD;&amp;#xA;'MFPR02000381',&amp;#xD;&amp;#xA;'MFPR02000508',&amp;#xD;&amp;#xA;'MFPR02000635',&amp;#xD;&amp;#xA;'MFPR02000762',&amp;#xD;&amp;#xA;'MFPR020'"</definedName>
    <definedName name="_AMO_ContentLocation_540236810__A1.8" hidden="1">"'00892',&amp;#xD;&amp;#xA;'MFPR02000893',&amp;#xD;&amp;#xA;'MFPR02000903',&amp;#xD;&amp;#xA;'MFPR02000904',&amp;#xD;&amp;#xA;'MFPR02000907',&amp;#xD;&amp;#xA;'MFPR02000908',&amp;#xD;&amp;#xA;'MFPR02000934',&amp;#xD;&amp;#xA;'MFPR02000938',&amp;#xD;&amp;#xA;'MFPR02000941',&amp;#xD;&amp;#xA;'MFPR02000942',&amp;#xD;&amp;#xA;'MFPR0200'"</definedName>
    <definedName name="_AMO_ContentLocation_540236810__A1.9" hidden="1">"'0943',&amp;#xD;&amp;#xA;'MFPR02000944',&amp;#xD;&amp;#xA;'MFPR02000949',&amp;#xD;&amp;#xA;'MFPR02000950',&amp;#xD;&amp;#xA;'MFPR02000954',&amp;#xD;&amp;#xA;'MFPR02000960',&amp;#xD;&amp;#xA;'MFPR02000963',&amp;#xD;&amp;#xA;'MFPR02000970',&amp;#xD;&amp;#xA;'MFPR02000974',&amp;#xD;&amp;#xA;'MFPR02000975',&amp;#xD;&amp;#xA;'MFPR02000'"</definedName>
    <definedName name="_AMO_ContentLocation_597026022_ROM_F0.SEC2.Report_1.SEC1.BDY.Detailed_and_or_summarized_report" hidden="1">"'Partitions:2'"</definedName>
    <definedName name="_AMO_ContentLocation_597026022_ROM_F0.SEC2.Report_1.SEC1.BDY.Detailed_and_or_summarized_report.0" hidden="1">"'&lt;ContentLocation path=""F0.SEC2.Report_1.SEC1.BDY.Detailed_and_or_summarized_report"" rsid=""597026022"" tag=""ROM"" fid=""0""&gt;_x000D_
  &lt;param n=""_NumRows"" v=""88"" /&gt;_x000D_
  &lt;param n=""_NumCols"" v=""17"" /&gt;_x000D_
  &lt;param n=""tableSig"" v=""R:R=88:C=17:FCR=2:F'"</definedName>
    <definedName name="_AMO_ContentLocation_597026022_ROM_F0.SEC2.Report_1.SEC1.BDY.Detailed_and_or_summarized_report.1" hidden="1">"'CC=1"" /&gt;_x000D_
  &lt;param n=""leftMargin"" v=""0"" /&gt;_x000D_
&lt;/ContentLocation&gt;'"</definedName>
    <definedName name="_AMO_ContentLocation_597026022_ROM_F0.SEC2.Report_1.SEC1.FTR.TXT1" hidden="1">"'&lt;ContentLocation path=""F0.SEC2.Report_1.SEC1.FTR.TXT1"" rsid=""597026022"" tag=""ROM"" fid=""0""&gt;_x000D_
  &lt;param n=""_NumRows"" v=""1"" /&gt;_x000D_
  &lt;param n=""_NumCols"" v=""17"" /&gt;_x000D_
&lt;/ContentLocation&gt;'"</definedName>
    <definedName name="_AMO_ContentLocation_597026022_ROM_F0.SEC2.Report_1.SEC1.FTR.TXT2" hidden="1">"'&lt;ContentLocation path=""F0.SEC2.Report_1.SEC1.FTR.TXT2"" rsid=""597026022"" tag=""ROM"" fid=""0""&gt;_x000D_
  &lt;param n=""_NumRows"" v=""1"" /&gt;_x000D_
  &lt;param n=""_NumCols"" v=""17"" /&gt;_x000D_
&lt;/ContentLocation&gt;'"</definedName>
    <definedName name="_AMO_ContentLocation_597026022_ROM_F0.SEC2.Report_1.SEC1.HDR.TXT1" hidden="1">"'&lt;ContentLocation path=""F0.SEC2.Report_1.SEC1.HDR.TXT1"" rsid=""597026022"" tag=""ROM"" fid=""0""&gt;_x000D_
  &lt;param n=""_NumRows"" v=""1"" /&gt;_x000D_
  &lt;param n=""_NumCols"" v=""17"" /&gt;_x000D_
&lt;/ContentLocation&gt;'"</definedName>
    <definedName name="_AMO_ContentLocation_597026022_ROM_F0.SEC2.Report_1.SEC1.HDR.TXT2" hidden="1">"'&lt;ContentLocation path=""F0.SEC2.Report_1.SEC1.HDR.TXT2"" rsid=""597026022"" tag=""ROM"" fid=""0""&gt;_x000D_
  &lt;param n=""_NumRows"" v=""1"" /&gt;_x000D_
  &lt;param n=""_NumCols"" v=""17"" /&gt;_x000D_
&lt;/ContentLocation&gt;'"</definedName>
    <definedName name="_AMO_ContentLocation_597026022_ROM_F0.SEC2.Report_1.SEC1.HDR.TXT3" hidden="1">"'&lt;ContentLocation path=""F0.SEC2.Report_1.SEC1.HDR.TXT3"" rsid=""597026022"" tag=""ROM"" fid=""0""&gt;_x000D_
  &lt;param n=""_NumRows"" v=""1"" /&gt;_x000D_
  &lt;param n=""_NumCols"" v=""17"" /&gt;_x000D_
&lt;/ContentLocation&gt;'"</definedName>
    <definedName name="_AMO_ContentLocation_72646327__A1" hidden="1">"'Partitions:2'"</definedName>
    <definedName name="_AMO_ContentLocation_72646327__A1.0" hidden="1">"'&lt;ContentLocation path=""A1"" rsid=""72646327"" tag="""" fid=""0""&gt;_x000D_
  &lt;param n=""_NumRows"" v=""1486"" /&gt;_x000D_
  &lt;param n=""_NumCols"" v=""10"" /&gt;_x000D_
  &lt;param n=""SASDataState"" v=""none"" /&gt;_x000D_
  &lt;param n=""SASDataStart"" v=""1"" /&gt;_x000D_
  &lt;param n=""SASDataE'"</definedName>
    <definedName name="_AMO_ContentLocation_72646327__A1.1" hidden="1">"'nd"" v=""1485"" /&gt;_x000D_
  &lt;param n=""SASFilter"" v=""entity_id = 'ECCB309' AND reporting_period_dt = '31Dec2020'd AND form_id = 'MEBS'"" /&gt;_x000D_
&lt;/ContentLocation&gt;'"</definedName>
    <definedName name="_AMO_ContentLocation_781078101__A1" hidden="1">"'Partitions:54'"</definedName>
    <definedName name="_AMO_ContentLocation_781078101__A1.0" hidden="1">"'&lt;ContentLocation path=""A1"" rsid=""781078101"" tag="""" fid=""0""&gt;_x000D_
  &lt;param n=""_NumRows"" v=""531"" /&gt;_x000D_
  &lt;param n=""_NumCols"" v=""24"" /&gt;_x000D_
  &lt;param n=""SASDataState"" v=""none"" /&gt;_x000D_
  &lt;param n=""SASDataStart"" v=""1"" /&gt;_x000D_
  &lt;param n=""SASData'"</definedName>
    <definedName name="_AMO_ContentLocation_781078101__A1.1" hidden="1">"'End"" v=""530"" /&gt;_x000D_
  &lt;param n=""SASFilter"" v=""indicator_id IN &amp;#xD;&amp;#xA;(&amp;#xD;&amp;#xA;'MFPR06008082',&amp;#xD;&amp;#xA;'MFPR06008573',&amp;#xD;&amp;#xA;'MFPR06008091',&amp;#xD;&amp;#xA;'MFPR06008096',&amp;#xD;&amp;#xA;'MFPR06008097',&amp;#xD;&amp;#xA;'MFPR06008099',&amp;#xD;&amp;#xA;'MFPR06008098','"</definedName>
    <definedName name="_AMO_ContentLocation_781078101__A1.10" hidden="1">"'A;'MFPR01006399',&amp;#xD;&amp;#xA;'MFPR06008550',&amp;#xD;&amp;#xA;'MFPR06008571',&amp;#xD;&amp;#xA;'MFFSIR001021',&amp;#xD;&amp;#xA;'MFDRVD000167',&amp;#xD;&amp;#xA;'MFFSIR001028',&amp;#xD;&amp;#xA;'MFPR01006405',&amp;#xD;&amp;#xA;'MFPR01006406',&amp;#xD;&amp;#xA;'MFPR01006407',&amp;#xD;&amp;#xA;'MFPR01006408',&amp;#xD;&amp;#xA'"</definedName>
    <definedName name="_AMO_ContentLocation_781078101__A1.11" hidden="1">"';'MFPR01006409',&amp;#xD;&amp;#xA;'MFPR01006410',&amp;#xD;&amp;#xA;'MFPR01006411',&amp;#xD;&amp;#xA;'MFPR01006412',&amp;#xD;&amp;#xA;'MFPR01006413',&amp;#xD;&amp;#xA;'MFPR01006414',&amp;#xD;&amp;#xA;'MFFSIR001012',&amp;#xD;&amp;#xA;'MFPR01006415',&amp;#xD;&amp;#xA;'MFFSIR001005',&amp;#xD;&amp;#xA;'MFPR06008579',&amp;#xD;&amp;#xA;'"</definedName>
    <definedName name="_AMO_ContentLocation_781078101__A1.12" hidden="1">"''MFPR06008585',&amp;#xD;&amp;#xA;'MFPR06008580',&amp;#xD;&amp;#xA;'MFPR01006315',&amp;#xD;&amp;#xA;'MFPR01006304',&amp;#xD;&amp;#xA;'MFPR01000307',&amp;#xD;&amp;#xA;'MFPR01006447',&amp;#xD;&amp;#xA;'MFPR01006448',&amp;#xD;&amp;#xA;'MFPR01006403',&amp;#xD;&amp;#xA;'MFPR06008553',&amp;#xD;&amp;#xA;'MFPR06008578',&amp;#xD;&amp;#xA;''"</definedName>
    <definedName name="_AMO_ContentLocation_781078101__A1.13" hidden="1">"'MFPR01006454',&amp;#xD;&amp;#xA;'MFPR01006455',&amp;#xD;&amp;#xA;'MFPR06008581',&amp;#xD;&amp;#xA;'MFPR04004642',&amp;#xD;&amp;#xA;'MFPR01006400',&amp;#xD;&amp;#xA;'MFPR01006451',&amp;#xD;&amp;#xA;'MFPR01006452',&amp;#xD;&amp;#xA;'MFPR02001304',&amp;#xD;&amp;#xA;'MFPR02001305',&amp;#xD;&amp;#xA;'MFBS01000041',&amp;#xD;&amp;#xA;'M'"</definedName>
    <definedName name="_AMO_ContentLocation_781078101__A1.14" hidden="1">"'FBS01000096',&amp;#xD;&amp;#xA;'MFBS01000102',&amp;#xD;&amp;#xA;'MFBS01000105',&amp;#xD;&amp;#xA;'MFBS01000114',&amp;#xD;&amp;#xA;'MFBS01000740',&amp;#xD;&amp;#xA;'MFBS01000757',&amp;#xD;&amp;#xA;'MFBS01000758',&amp;#xD;&amp;#xA;'MFBS01000879',&amp;#xD;&amp;#xA;'MFBS01000880',&amp;#xD;&amp;#xA;'MFBS01000881',&amp;#xD;&amp;#xA;'MF'"</definedName>
    <definedName name="_AMO_ContentLocation_781078101__A1.15" hidden="1">"'BS01000882',&amp;#xD;&amp;#xA;'MFBS01000883',&amp;#xD;&amp;#xA;'MFBS01000884',&amp;#xD;&amp;#xA;'MFBS01000885',&amp;#xD;&amp;#xA;'MFBS01000886',&amp;#xD;&amp;#xA;'MFBS01000888',&amp;#xD;&amp;#xA;'MFBS01000889',&amp;#xD;&amp;#xA;'MFBS01000890',&amp;#xD;&amp;#xA;'MFBS01000891',&amp;#xD;&amp;#xA;'MFBS01000892',&amp;#xD;&amp;#xA;'MFB'"</definedName>
    <definedName name="_AMO_ContentLocation_781078101__A1.16" hidden="1">"'S01000893',&amp;#xD;&amp;#xA;'MFBS01000894',&amp;#xD;&amp;#xA;'MFBS01000896',&amp;#xD;&amp;#xA;'MFBS01000897',&amp;#xD;&amp;#xA;'MFBS01000898',&amp;#xD;&amp;#xA;'MFBS01000899',&amp;#xD;&amp;#xA;'MFBS01000900',&amp;#xD;&amp;#xA;'MFBS01000901',&amp;#xD;&amp;#xA;'MFBS01000903',&amp;#xD;&amp;#xA;'MFBS01000905',&amp;#xD;&amp;#xA;'MFBS'"</definedName>
    <definedName name="_AMO_ContentLocation_781078101__A1.17" hidden="1">"'01000906',&amp;#xD;&amp;#xA;'MFBS01000907',&amp;#xD;&amp;#xA;'MFBS01000908',&amp;#xD;&amp;#xA;'MFBS01000909',&amp;#xD;&amp;#xA;'MFBS01000910',&amp;#xD;&amp;#xA;'MFBS01000911',&amp;#xD;&amp;#xA;'MFBS01000912',&amp;#xD;&amp;#xA;'MFBS01000913',&amp;#xD;&amp;#xA;'MFBS01000914',&amp;#xD;&amp;#xA;'MFBS01000915',&amp;#xD;&amp;#xA;'MFBS0'"</definedName>
    <definedName name="_AMO_ContentLocation_781078101__A1.18" hidden="1">"'1000916',&amp;#xD;&amp;#xA;'MFBS01000917',&amp;#xD;&amp;#xA;'MFBS01000918',&amp;#xD;&amp;#xA;'MFBS01000919',&amp;#xD;&amp;#xA;'MFBS01000920',&amp;#xD;&amp;#xA;'MFBS01000921',&amp;#xD;&amp;#xA;'MFBS01000922',&amp;#xD;&amp;#xA;'MFBS01000923',&amp;#xD;&amp;#xA;'MFBS01000924',&amp;#xD;&amp;#xA;'MFBS01000925',&amp;#xD;&amp;#xA;'MFBS01'"</definedName>
    <definedName name="_AMO_ContentLocation_781078101__A1.19" hidden="1">"'000926',&amp;#xD;&amp;#xA;'MFBS01000928',&amp;#xD;&amp;#xA;'MFBS01001009',&amp;#xD;&amp;#xA;'MFBS01001010',&amp;#xD;&amp;#xA;'MFBS01001011',&amp;#xD;&amp;#xA;'MFBS01001012',&amp;#xD;&amp;#xA;'MFBS01001013',&amp;#xD;&amp;#xA;'MFBS01001014',&amp;#xD;&amp;#xA;'MFBS01001015',&amp;#xD;&amp;#xA;'MFBS01001016',&amp;#xD;&amp;#xA;'MFBS010'"</definedName>
    <definedName name="_AMO_ContentLocation_781078101__A1.2" hidden="1">"'&amp;#xD;&amp;#xA;'MFPR06008574',&amp;#xD;&amp;#xA;'MFPR06008575',&amp;#xD;&amp;#xA;'MFPR06008110',&amp;#xD;&amp;#xA;'MFPR06008111',&amp;#xD;&amp;#xA;'MFPR06008576',&amp;#xD;&amp;#xA;'MFPR06008113',&amp;#xD;&amp;#xA;'MFPR06008114',&amp;#xD;&amp;#xA;'MFPR06008562',&amp;#xD;&amp;#xA;'MFPR06008119',&amp;#xD;&amp;#xA;'MFPR06008577',&amp;'"</definedName>
    <definedName name="_AMO_ContentLocation_781078101__A1.20" hidden="1">"'01017',&amp;#xD;&amp;#xA;'MFBS01001018',&amp;#xD;&amp;#xA;'MFBS01001019',&amp;#xD;&amp;#xA;'MFBS01001020',&amp;#xD;&amp;#xA;'MFBS01001021',&amp;#xD;&amp;#xA;'MFBS01001022',&amp;#xD;&amp;#xA;'MFBS01001023',&amp;#xD;&amp;#xA;'MFBS01001070',&amp;#xD;&amp;#xA;'MFBS01001103',&amp;#xD;&amp;#xA;'MFBS01001119',&amp;#xD;&amp;#xA;'MFBS0100'"</definedName>
    <definedName name="_AMO_ContentLocation_781078101__A1.21" hidden="1">"'1141',&amp;#xD;&amp;#xA;'MFBS02000021',&amp;#xD;&amp;#xA;'MFBS02000030',&amp;#xD;&amp;#xA;'MFBS06000360',&amp;#xD;&amp;#xA;'MFBS06000364',&amp;#xD;&amp;#xA;'MFBS06000369',&amp;#xD;&amp;#xA;'MFBS06000370',&amp;#xD;&amp;#xA;'MFBS06000371',&amp;#xD;&amp;#xA;'MFBS06000375',&amp;#xD;&amp;#xA;'MFBS06000379',&amp;#xD;&amp;#xA;'MFBS06000'"</definedName>
    <definedName name="_AMO_ContentLocation_781078101__A1.22" hidden="1">"'381',&amp;#xD;&amp;#xA;'MFBS06000403',&amp;#xD;&amp;#xA;'MFBS06000404',&amp;#xD;&amp;#xA;'MFBS06000406',&amp;#xD;&amp;#xA;'MFBS06000659',&amp;#xD;&amp;#xA;'MFBS06000672',&amp;#xD;&amp;#xA;'MFBS06000678',&amp;#xD;&amp;#xA;'MFBS06000679',&amp;#xD;&amp;#xA;'MFBS06000680',&amp;#xD;&amp;#xA;'MFBS06000681',&amp;#xD;&amp;#xA;'MFBS060006'"</definedName>
    <definedName name="_AMO_ContentLocation_781078101__A1.23" hidden="1">"'82',&amp;#xD;&amp;#xA;'MFBS06000683',&amp;#xD;&amp;#xA;'MFBS06000684',&amp;#xD;&amp;#xA;'MFBS06000685',&amp;#xD;&amp;#xA;'MFBS06000687',&amp;#xD;&amp;#xA;'MFBS06000731',&amp;#xD;&amp;#xA;'MFBS06000734',&amp;#xD;&amp;#xA;'MFBS06000737',&amp;#xD;&amp;#xA;'MFBS06000744',&amp;#xD;&amp;#xA;'MFBS06000745',&amp;#xD;&amp;#xA;'MFBS0600074'"</definedName>
    <definedName name="_AMO_ContentLocation_781078101__A1.24" hidden="1">"'6',&amp;#xD;&amp;#xA;'MFDRVD000145',&amp;#xD;&amp;#xA;'MFFSIR000190',&amp;#xD;&amp;#xA;'MFFSIR000209',&amp;#xD;&amp;#xA;'MFFSIR000915',&amp;#xD;&amp;#xA;'MFFSIR000916',&amp;#xD;&amp;#xA;'MFFSIR000924',&amp;#xD;&amp;#xA;'MFFSIR000925',&amp;#xD;&amp;#xA;'MFPR01000285',&amp;#xD;&amp;#xA;'MFPR01000160',&amp;#xD;&amp;#xA;'MFPR01000165'"</definedName>
    <definedName name="_AMO_ContentLocation_781078101__A1.25" hidden="1">"'',&amp;#xD;&amp;#xA;'MFPR01000169',&amp;#xD;&amp;#xA;'MFPR01000170',&amp;#xD;&amp;#xA;'MFPR01000171',&amp;#xD;&amp;#xA;'MFPR01000172',&amp;#xD;&amp;#xA;'MFPR01000173',&amp;#xD;&amp;#xA;'MFPR01000178',&amp;#xD;&amp;#xA;'MFPR01000179',&amp;#xD;&amp;#xA;'MFPR01000180',&amp;#xD;&amp;#xA;'MFPR01000181',&amp;#xD;&amp;#xA;'MFPR01000182''"</definedName>
    <definedName name="_AMO_ContentLocation_781078101__A1.26" hidden="1">"',&amp;#xD;&amp;#xA;'MFPR01000183',&amp;#xD;&amp;#xA;'MFPR01000187',&amp;#xD;&amp;#xA;'MFPR01000188',&amp;#xD;&amp;#xA;'MFPR01000189',&amp;#xD;&amp;#xA;'MFPR01000190',&amp;#xD;&amp;#xA;'MFPR01000191',&amp;#xD;&amp;#xA;'MFPR01000192',&amp;#xD;&amp;#xA;'MFPR01000194',&amp;#xD;&amp;#xA;'MFPR01000195',&amp;#xD;&amp;#xA;'MFPR01000196','"</definedName>
    <definedName name="_AMO_ContentLocation_781078101__A1.27" hidden="1">"'&amp;#xD;&amp;#xA;'MFPR01000197',&amp;#xD;&amp;#xA;'MFPR01000198',&amp;#xD;&amp;#xA;'MFPR01000199',&amp;#xD;&amp;#xA;'MFPR01000203',&amp;#xD;&amp;#xA;'MFPR01000204',&amp;#xD;&amp;#xA;'MFPR01000205',&amp;#xD;&amp;#xA;'MFPR01000206',&amp;#xD;&amp;#xA;'MFPR01000207',&amp;#xD;&amp;#xA;'MFPR01000208',&amp;#xD;&amp;#xA;'MFPR01000210',&amp;'"</definedName>
    <definedName name="_AMO_ContentLocation_781078101__A1.28" hidden="1">"'#xD;&amp;#xA;'MFPR01000211',&amp;#xD;&amp;#xA;'MFPR01000212',&amp;#xD;&amp;#xA;'MFPR01000213',&amp;#xD;&amp;#xA;'MFPR01000214',&amp;#xD;&amp;#xA;'MFPR01000215',&amp;#xD;&amp;#xA;'MFPR01000219',&amp;#xD;&amp;#xA;'MFPR01000220',&amp;#xD;&amp;#xA;'MFPR01000221',&amp;#xD;&amp;#xA;'MFPR01000222',&amp;#xD;&amp;#xA;'MFPR01000223',&amp;#'"</definedName>
    <definedName name="_AMO_ContentLocation_781078101__A1.29" hidden="1">"'xD;&amp;#xA;'MFPR01000224',&amp;#xD;&amp;#xA;'MFPR01000226',&amp;#xD;&amp;#xA;'MFPR01000227',&amp;#xD;&amp;#xA;'MFPR01000228',&amp;#xD;&amp;#xA;'MFPR01000229',&amp;#xD;&amp;#xA;'MFPR01000230',&amp;#xD;&amp;#xA;'MFPR01000231',&amp;#xD;&amp;#xA;'MFPR01000255',&amp;#xD;&amp;#xA;'MFPR01000256',&amp;#xD;&amp;#xA;'MFPR01000257',&amp;#x'"</definedName>
    <definedName name="_AMO_ContentLocation_781078101__A1.3" hidden="1">"'#xD;&amp;#xA;'MFPR01006343',&amp;#xD;&amp;#xA;'MFPR01000285',&amp;#xD;&amp;#xA;'MFPR01006344',&amp;#xD;&amp;#xA;'MFPR01006345',&amp;#xD;&amp;#xA;'MFPR01006346',&amp;#xD;&amp;#xA;'MFPR01006296',&amp;#xD;&amp;#xA;'MFPR01006348',&amp;#xD;&amp;#xA;'MFPR01006349',&amp;#xD;&amp;#xA;'MFPR01006350',&amp;#xD;&amp;#xA;'MFPR01006351',&amp;#'"</definedName>
    <definedName name="_AMO_ContentLocation_781078101__A1.30" hidden="1">"'D;&amp;#xA;'MFPR01000260',&amp;#xD;&amp;#xA;'MFPR01000261',&amp;#xD;&amp;#xA;'MFPR01000262',&amp;#xD;&amp;#xA;'MFPR01000263',&amp;#xD;&amp;#xA;'MFPR01000263',&amp;#xD;&amp;#xA;'MFPR01000274',&amp;#xD;&amp;#xA;'MFPR01000275',&amp;#xD;&amp;#xA;'MFPR01000276',&amp;#xD;&amp;#xA;'MFPR01000277',&amp;#xD;&amp;#xA;'MFPR01000278',&amp;#xD'"</definedName>
    <definedName name="_AMO_ContentLocation_781078101__A1.31" hidden="1">"';&amp;#xA;'MFPR01000279',&amp;#xD;&amp;#xA;'MFPR01000285',&amp;#xD;&amp;#xA;'MFPR01000295',&amp;#xD;&amp;#xA;'MFPR01002559',&amp;#xD;&amp;#xA;'MFPR01002562',&amp;#xD;&amp;#xA;'MFPR01002563',&amp;#xD;&amp;#xA;'MFPR01002566',&amp;#xD;&amp;#xA;'MFPR01002567',&amp;#xD;&amp;#xA;'MFPR01002571',&amp;#xD;&amp;#xA;'MFPR01002577',&amp;#xD;'"</definedName>
    <definedName name="_AMO_ContentLocation_781078101__A1.32" hidden="1">"'&amp;#xA;'MFPR01002581',&amp;#xD;&amp;#xA;'MFPR01002582',&amp;#xD;&amp;#xA;'MFPR01002583',&amp;#xD;&amp;#xA;'MFPR01002635',&amp;#xD;&amp;#xA;'MFPR01002636',&amp;#xD;&amp;#xA;'MFPR01002640',&amp;#xD;&amp;#xA;'MFPR01002652',&amp;#xD;&amp;#xA;'MFPR01002697',&amp;#xD;&amp;#xA;'MFPR01002700',&amp;#xD;&amp;#xA;'MFPR01002701',&amp;#xD;&amp;'"</definedName>
    <definedName name="_AMO_ContentLocation_781078101__A1.33" hidden="1">"'#xA;'MFPR01002704',&amp;#xD;&amp;#xA;'MFPR01002705',&amp;#xD;&amp;#xA;'MFPR01002709',&amp;#xD;&amp;#xA;'MFPR01002715',&amp;#xD;&amp;#xA;'MFPR01002719',&amp;#xD;&amp;#xA;'MFPR01002720',&amp;#xD;&amp;#xA;'MFPR01002721',&amp;#xD;&amp;#xA;'MFPR01002766',&amp;#xD;&amp;#xA;'MFPR01002769',&amp;#xD;&amp;#xA;'MFPR01002770',&amp;#xD;&amp;#'"</definedName>
    <definedName name="_AMO_ContentLocation_781078101__A1.34" hidden="1">"'xA;'MFPR01002773',&amp;#xD;&amp;#xA;'MFPR01002774',&amp;#xD;&amp;#xA;'MFPR01002778',&amp;#xD;&amp;#xA;'MFPR01002784',&amp;#xD;&amp;#xA;'MFPR01002788',&amp;#xD;&amp;#xA;'MFPR01002789',&amp;#xD;&amp;#xA;'MFPR01002790',&amp;#xD;&amp;#xA;'MFPR01002835',&amp;#xD;&amp;#xA;'MFPR01002836',&amp;#xD;&amp;#xA;'MFPR01002840',&amp;#xD;&amp;#x'"</definedName>
    <definedName name="_AMO_ContentLocation_781078101__A1.35" hidden="1">"'A;'MFPR01002846',&amp;#xD;&amp;#xA;'MFPR01002868',&amp;#xD;&amp;#xA;'MFPR01002871',&amp;#xD;&amp;#xA;'MFPR01002872',&amp;#xD;&amp;#xA;'MFPR01002875',&amp;#xD;&amp;#xA;'MFPR01002876',&amp;#xD;&amp;#xA;'MFPR01002880',&amp;#xD;&amp;#xA;'MFPR01002886',&amp;#xD;&amp;#xA;'MFPR01002890',&amp;#xD;&amp;#xA;'MFPR01002891',&amp;#xD;&amp;#xA'"</definedName>
    <definedName name="_AMO_ContentLocation_781078101__A1.36" hidden="1">"';'MFPR01002892',&amp;#xD;&amp;#xA;'MFPR02000975',&amp;#xD;&amp;#xA;'MFPR02000977',&amp;#xD;&amp;#xA;'MFPR02000943',&amp;#xD;&amp;#xA;'MFPR02000944',&amp;#xD;&amp;#xA;'MFPR02000976',&amp;#xD;&amp;#xA;'MFPR02000978',&amp;#xD;&amp;#xA;'MFPR01000473',&amp;#xD;&amp;#xA;'MFPR01000542',&amp;#xD;&amp;#xA;'MFPR01000611',&amp;#xD;&amp;#xA;'"</definedName>
    <definedName name="_AMO_ContentLocation_781078101__A1.37" hidden="1">"''MFPR01000680',&amp;#xD;&amp;#xA;'MFPR01001025',&amp;#xD;&amp;#xA;'MFPR01001094',&amp;#xD;&amp;#xA;'MFPR01001163',&amp;#xD;&amp;#xA;'MFPR01001232',&amp;#xD;&amp;#xA;'MFPR01000018',&amp;#xD;&amp;#xA;'MFPR01000022',&amp;#xD;&amp;#xA;'MFPR01000023',&amp;#xD;&amp;#xA;'MFPR01000035',&amp;#xD;&amp;#xA;'MFPR01000036',&amp;#xD;&amp;#xA;''"</definedName>
    <definedName name="_AMO_ContentLocation_781078101__A1.38" hidden="1">"'MFPR01000041',&amp;#xD;&amp;#xA;'MFPR01000043',&amp;#xD;&amp;#xA;'MFPR01000044',&amp;#xD;&amp;#xA;'MFPR01000048',&amp;#xD;&amp;#xA;'MFPR01000052',&amp;#xD;&amp;#xA;'MFPR01000053',&amp;#xD;&amp;#xA;'MFPR01000058',&amp;#xD;&amp;#xA;'MFPR01000060',&amp;#xD;&amp;#xA;'MFPR01000061',&amp;#xD;&amp;#xA;'MFPR01000065',&amp;#xD;&amp;#xA;'M'"</definedName>
    <definedName name="_AMO_ContentLocation_781078101__A1.39" hidden="1">"'FPR01000069',&amp;#xD;&amp;#xA;'MFPR01000070',&amp;#xD;&amp;#xA;'MFPR01000075',&amp;#xD;&amp;#xA;'MFPR01000077',&amp;#xD;&amp;#xA;'MFPR01000078',&amp;#xD;&amp;#xA;'MFPR01000082',&amp;#xD;&amp;#xA;'MFPR01000487',&amp;#xD;&amp;#xA;'MFPR01000556',&amp;#xD;&amp;#xA;'MFPR01000625',&amp;#xD;&amp;#xA;'MFPR01000694',&amp;#xD;&amp;#xA;'MF'"</definedName>
    <definedName name="_AMO_ContentLocation_781078101__A1.4" hidden="1">"'xD;&amp;#xA;'MFPR01006352',&amp;#xD;&amp;#xA;'MFPR01006353',&amp;#xD;&amp;#xA;'MFPR01006354',&amp;#xD;&amp;#xA;'MFPR01006355',&amp;#xD;&amp;#xA;'MFPR01006356',&amp;#xD;&amp;#xA;'MFPR01006357',&amp;#xD;&amp;#xA;'MFPR01000255',&amp;#xD;&amp;#xA;'MFPR01006358',&amp;#xD;&amp;#xA;'MFPR01000260',&amp;#xD;&amp;#xA;'MFPR01000279',&amp;#x'"</definedName>
    <definedName name="_AMO_ContentLocation_781078101__A1.40" hidden="1">"'PR01001038',&amp;#xD;&amp;#xA;'MFPR01001108',&amp;#xD;&amp;#xA;'MFPR01001177',&amp;#xD;&amp;#xA;'MFPR01001246',&amp;#xD;&amp;#xA;'MFPR01000510',&amp;#xD;&amp;#xA;'MFPR01000579',&amp;#xD;&amp;#xA;'MFPR01000648',&amp;#xD;&amp;#xA;'MFPR01000717',&amp;#xD;&amp;#xA;'MFPR01001062',&amp;#xD;&amp;#xA;'MFPR01001131',&amp;#xD;&amp;#xA;'MFP'"</definedName>
    <definedName name="_AMO_ContentLocation_781078101__A1.41" hidden="1">"'R01001200',&amp;#xD;&amp;#xA;'MFPR01001269',&amp;#xD;&amp;#xA;'MFPR01000502',&amp;#xD;&amp;#xA;'MFPR01000571',&amp;#xD;&amp;#xA;'MFPR01000640',&amp;#xD;&amp;#xA;'MFPR01000709',&amp;#xD;&amp;#xA;'MFPR01001054',&amp;#xD;&amp;#xA;'MFPR01001123',&amp;#xD;&amp;#xA;'MFPR01001192',&amp;#xD;&amp;#xA;'MFPR01001261',&amp;#xD;&amp;#xA;'MFPR'"</definedName>
    <definedName name="_AMO_ContentLocation_781078101__A1.42" hidden="1">"'01002564',&amp;#xD;&amp;#xA;'MFPR01002565',&amp;#xD;&amp;#xA;'MFPR01002702',&amp;#xD;&amp;#xA;'MFPR01002703',&amp;#xD;&amp;#xA;'MFPR01002771',&amp;#xD;&amp;#xA;'MFPR01002772',&amp;#xD;&amp;#xA;'MFPR01002873',&amp;#xD;&amp;#xA;'MFPR01002874',&amp;#xD;&amp;#xA;'MFPR01002585',&amp;#xD;&amp;#xA;'MFPR01002588',&amp;#xD;&amp;#xA;'MFPR0'"</definedName>
    <definedName name="_AMO_ContentLocation_781078101__A1.43" hidden="1">"'1002589',&amp;#xD;&amp;#xA;'MFPR01002723',&amp;#xD;&amp;#xA;'MFPR01002726',&amp;#xD;&amp;#xA;'MFPR01002727',&amp;#xD;&amp;#xA;'MFPR01002792',&amp;#xD;&amp;#xA;'MFPR01002795',&amp;#xD;&amp;#xA;'MFPR01002796',&amp;#xD;&amp;#xA;'MFPR01002894',&amp;#xD;&amp;#xA;'MFPR01002897',&amp;#xD;&amp;#xA;'MFPR01002898',&amp;#xD;&amp;#xA;'MFPR01'"</definedName>
    <definedName name="_AMO_ContentLocation_781078101__A1.44" hidden="1">"'000128',&amp;#xD;&amp;#xA;'MFPR01000113',&amp;#xD;&amp;#xA;'MFPR01000107',&amp;#xD;&amp;#xA;'MFBS01000059',&amp;#xD;&amp;#xA;'MFBS01000054',&amp;#xD;&amp;#xA;'MFBS01000001',&amp;#xD;&amp;#xA;'MFBS01000200',&amp;#xD;&amp;#xA;'MFBS01000231',&amp;#xD;&amp;#xA;'MFBS01000262',&amp;#xD;&amp;#xA;'MFBS01000017',&amp;#xD;&amp;#xA;'MFBS010'"</definedName>
    <definedName name="_AMO_ContentLocation_781078101__A1.45" hidden="1">"'00026',&amp;#xD;&amp;#xA;'MFBS01000022',&amp;#xD;&amp;#xA;'MFBS01000027',&amp;#xD;&amp;#xA;'MFBS01000014',&amp;#xD;&amp;#xA;'MFPR01000013',&amp;#xD;&amp;#xA;'MFBS01000013',&amp;#xD;&amp;#xA;'MFBS01000016',&amp;#xD;&amp;#xA;'MFBS01000020',&amp;#xD;&amp;#xA;'MFBS01000024',&amp;#xD;&amp;#xA;'MFBS01000021',&amp;#xD;&amp;#xA;'MFBS0100'"</definedName>
    <definedName name="_AMO_ContentLocation_781078101__A1.46" hidden="1">"'0025',&amp;#xD;&amp;#xA;'MFBS01000041',&amp;#xD;&amp;#xA;'MFBS01000052',&amp;#xD;&amp;#xA;'MFBS06000195',&amp;#xD;&amp;#xA;'MFBS06000196',&amp;#xD;&amp;#xA;'MFBS06000197',&amp;#xD;&amp;#xA;'MFBS06000198',&amp;#xD;&amp;#xA;'MFBS06000199',&amp;#xD;&amp;#xA;'MFBS06000200',&amp;#xD;&amp;#xA;'MFPR01000016',&amp;#xD;&amp;#xA;'MFPR01000'"</definedName>
    <definedName name="_AMO_ContentLocation_781078101__A1.47" hidden="1">"'032',&amp;#xD;&amp;#xA;'MFPR01000049',&amp;#xD;&amp;#xA;'MFPR01000066',&amp;#xD;&amp;#xA;'MFPR06007328',&amp;#xD;&amp;#xA;'MFPR06007402',&amp;#xD;&amp;#xA;'MFPR06007476',&amp;#xD;&amp;#xA;'MFPR06007550',&amp;#xD;&amp;#xA;'MFPR06007624',&amp;#xD;&amp;#xA;'MFPR06007698',&amp;#xD;&amp;#xA;'MFPR01000161',&amp;#xD;&amp;#xA;'MFPR010001'"</definedName>
    <definedName name="_AMO_ContentLocation_781078101__A1.48" hidden="1">"'62',&amp;#xD;&amp;#xA;'MFPR01000166',&amp;#xD;&amp;#xA;'MFPR01000167',&amp;#xD;&amp;#xA;'MFPR01000169',&amp;#xD;&amp;#xA;'MFPR01000170',&amp;#xD;&amp;#xA;'MFPR01000171',&amp;#xD;&amp;#xA;'MFPR01000172',&amp;#xD;&amp;#xA;'MFPR01000173',&amp;#xD;&amp;#xA;'MFPR01000184',&amp;#xD;&amp;#xA;'MFPR01000200',&amp;#xD;&amp;#xA;'MFPR0100021'"</definedName>
    <definedName name="_AMO_ContentLocation_781078101__A1.49" hidden="1">"'6',&amp;#xD;&amp;#xA;'MFPR01000265',&amp;#xD;&amp;#xA;'MFPR01000266',&amp;#xD;&amp;#xA;'MFPR01000270',&amp;#xD;&amp;#xA;'MFPR01000271',&amp;#xD;&amp;#xA;'MFPR01000313',&amp;#xD;&amp;#xA;'MFPR01003138',&amp;#xD;&amp;#xA;'MFPR01003145',&amp;#xD;&amp;#xA;'MFPR01003180',&amp;#xD;&amp;#xA;'MFPR01003181',&amp;#xD;&amp;#xA;'MFPR01003185'"</definedName>
    <definedName name="_AMO_ContentLocation_781078101__A1.5" hidden="1">"'D;&amp;#xA;'MFPR01006359',&amp;#xD;&amp;#xA;'MFPR01006361',&amp;#xD;&amp;#xA;'MFPR01006362',&amp;#xD;&amp;#xA;'MFPR01006363',&amp;#xD;&amp;#xA;'MFPR01006364',&amp;#xD;&amp;#xA;'MFPR01006365',&amp;#xD;&amp;#xA;'MFPR01006366',&amp;#xD;&amp;#xA;'MFPR01006367',&amp;#xD;&amp;#xA;'MFPR01006368',&amp;#xD;&amp;#xA;'MFPR01006369',&amp;#xD'"</definedName>
    <definedName name="_AMO_ContentLocation_781078101__A1.50" hidden="1">"'',&amp;#xD;&amp;#xA;'MFPR01003197',&amp;#xD;&amp;#xA;'MFPR01003204',&amp;#xD;&amp;#xA;'MFPR01003240',&amp;#xD;&amp;#xA;'MFPR01003241',&amp;#xD;&amp;#xA;'MFPR01003246',&amp;#xD;&amp;#xA;'MFPR01003258',&amp;#xD;&amp;#xA;'MFPR01003265',&amp;#xD;&amp;#xA;'MFPR01003333',&amp;#xD;&amp;#xA;'MFPR01003340',&amp;#xD;&amp;#xA;'MFPR01003408''"</definedName>
    <definedName name="_AMO_ContentLocation_781078101__A1.51" hidden="1">"',&amp;#xD;&amp;#xA;'MFPR01003415',&amp;#xD;&amp;#xA;'MFPR01003450',&amp;#xD;&amp;#xA;'MFPR01003451',&amp;#xD;&amp;#xA;'MFPR01003455',&amp;#xD;&amp;#xA;'MFPR01003467',&amp;#xD;&amp;#xA;'MFPR01003473',&amp;#xD;&amp;#xA;'MFPR01003508',&amp;#xD;&amp;#xA;'MFPR01003509',&amp;#xD;&amp;#xA;'MFPR01003514',&amp;#xD;&amp;#xA;'MFPR01003526','"</definedName>
    <definedName name="_AMO_ContentLocation_781078101__A1.52" hidden="1">"'&amp;#xD;&amp;#xA;'MFPR01003532',&amp;#xD;&amp;#xA;'MFPR01003599',&amp;#xD;&amp;#xA;'MFPR01003606',&amp;#xD;&amp;#xA;'MFFSIR001031',&amp;#xD;&amp;#xA;'MFBS01000887',&amp;#xD;&amp;#xA;'MFPR01006456',&amp;#xD;&amp;#xA;'MFPR01000132',&amp;#xD;&amp;#xA;'MFPR01000131',&amp;#xD;&amp;#xA;'MFBS06000686',&amp;#xD;&amp;#xA;'MFPR01000286',&amp;'"</definedName>
    <definedName name="_AMO_ContentLocation_781078101__A1.53" hidden="1">"'#xD;&amp;#xA;'MFBS04000156',&amp;#xD;&amp;#xA;'MFBS01000895',&amp;#xD;&amp;#xA;'MFBS01000902',&amp;#xD;&amp;#xA;'MFPR06008595',&amp;#xD;&amp;#xA;'MFPR06008584',&amp;#xD;&amp;#xA;'MFPR06008594'&amp;#xD;&amp;#xA;)"" /&gt;_x000D_
&lt;/ContentLocation&gt;'"</definedName>
    <definedName name="_AMO_ContentLocation_781078101__A1.6" hidden="1">"';&amp;#xA;'MFPR01006370',&amp;#xD;&amp;#xA;'MFPR01006371',&amp;#xD;&amp;#xA;'MFPR01000095',&amp;#xD;&amp;#xA;'MFPR01006372',&amp;#xD;&amp;#xA;'MFPR01006373',&amp;#xD;&amp;#xA;'MFPR01006374',&amp;#xD;&amp;#xA;'MFPR06008352',&amp;#xD;&amp;#xA;'MFPR06008367',&amp;#xD;&amp;#xA;'MFPR06008382',&amp;#xD;&amp;#xA;'MFPR06008385',&amp;#xD;'"</definedName>
    <definedName name="_AMO_ContentLocation_781078101__A1.7" hidden="1">"'&amp;#xA;'MFPR06008393',&amp;#xD;&amp;#xA;'MFPR06000081',&amp;#xD;&amp;#xA;'MFPR01006375',&amp;#xD;&amp;#xA;'MFPR01006376',&amp;#xD;&amp;#xA;'MFPR01006307',&amp;#xD;&amp;#xA;'MFPR07000317',&amp;#xD;&amp;#xA;'MFPR02001300',&amp;#xD;&amp;#xA;'MFPR02001301',&amp;#xD;&amp;#xA;'MFPR01000244',&amp;#xD;&amp;#xA;'MFPR01006378',&amp;#xD;&amp;'"</definedName>
    <definedName name="_AMO_ContentLocation_781078101__A1.8" hidden="1">"'#xA;'MFPR01006379',&amp;#xD;&amp;#xA;'MFPR01006380',&amp;#xD;&amp;#xA;'MFPR01006381',&amp;#xD;&amp;#xA;'MFPR01006382',&amp;#xD;&amp;#xA;'MFPR01006383',&amp;#xD;&amp;#xA;'MFPR01006384',&amp;#xD;&amp;#xA;'MFPR01006385',&amp;#xD;&amp;#xA;'MFPR01006386',&amp;#xD;&amp;#xA;'MFPR01006387',&amp;#xD;&amp;#xA;'MFPR01006388',&amp;#xD;&amp;#'"</definedName>
    <definedName name="_AMO_ContentLocation_781078101__A1.9" hidden="1">"'xA;'MFPR01006389',&amp;#xD;&amp;#xA;'MFPR01006390',&amp;#xD;&amp;#xA;'MFPR01006391',&amp;#xD;&amp;#xA;'MFPR01006392',&amp;#xD;&amp;#xA;'MFPR01006393',&amp;#xD;&amp;#xA;'MFPR01006394',&amp;#xD;&amp;#xA;'MFPR01006395',&amp;#xD;&amp;#xA;'MFPR01006396',&amp;#xD;&amp;#xA;'MFPR01006397',&amp;#xD;&amp;#xA;'MFPR01006398',&amp;#xD;&amp;#x'"</definedName>
    <definedName name="_AMO_ContentLocation_891553685__A1" hidden="1">"'Partitions:31'"</definedName>
    <definedName name="_AMO_ContentLocation_891553685__A1.0" hidden="1">"'&lt;ContentLocation path=""A1"" rsid=""891553685"" tag="""" fid=""0""&gt;_x000D_
  &lt;param n=""_NumRows"" v=""78653"" /&gt;_x000D_
  &lt;param n=""_NumCols"" v=""6"" /&gt;_x000D_
  &lt;param n=""SASDataState"" v=""none"" /&gt;_x000D_
  &lt;param n=""SASDataStart"" v=""1"" /&gt;_x000D_
  &lt;param n=""SASData'"</definedName>
    <definedName name="_AMO_ContentLocation_891553685__A1.1" hidden="1">"'End"" v=""78652"" /&gt;_x000D_
  &lt;param n=""SASFilter"" v=""frequency_cd IN &amp;#xD;&amp;#xA;(&amp;#xD;&amp;#xA;'Q',&amp;#xD;&amp;#xA;'S',&amp;#xD;&amp;#xA;'N',&amp;#xD;&amp;#xA;'A'&amp;#xD;&amp;#xA;) AND indicator_id IN &amp;#xD;&amp;#xA;(&amp;#xD;&amp;#xA;'MFBS06000679',&amp;#xD;&amp;#xA;'MFBS06000360',&amp;#xD;&amp;#xA;'MFBS06000364','"</definedName>
    <definedName name="_AMO_ContentLocation_891553685__A1.10" hidden="1">"'A;'MFPR06008099',&amp;#xD;&amp;#xA;'MFPR06008098',&amp;#xD;&amp;#xA;'MFPR06008574',&amp;#xD;&amp;#xA;'MFPR06008575',&amp;#xD;&amp;#xA;'MFPR06008110',&amp;#xD;&amp;#xA;'MFPR06008111',&amp;#xD;&amp;#xA;'MFPR06008576',&amp;#xD;&amp;#xA;'MFPR06008113',&amp;#xD;&amp;#xA;'MFPR06008114',&amp;#xD;&amp;#xA;'MFPR06008562',&amp;#xD;&amp;#xA'"</definedName>
    <definedName name="_AMO_ContentLocation_891553685__A1.11" hidden="1">"';'MFPR06008119',&amp;#xD;&amp;#xA;'MFPR06008577',&amp;#xD;&amp;#xA;'MFPR01006343',&amp;#xD;&amp;#xA;'MFPR01000285',&amp;#xD;&amp;#xA;'MFPR01006344',&amp;#xD;&amp;#xA;'MFPR01006345',&amp;#xD;&amp;#xA;'MFPR01006346',&amp;#xD;&amp;#xA;'MFPR01006296',&amp;#xD;&amp;#xA;'MFPR01006348',&amp;#xD;&amp;#xA;'MFPR01006349',&amp;#xD;&amp;#xA;'"</definedName>
    <definedName name="_AMO_ContentLocation_891553685__A1.12" hidden="1">"''MFPR01006350',&amp;#xD;&amp;#xA;'MFPR01006351',&amp;#xD;&amp;#xA;'MFPR01006352',&amp;#xD;&amp;#xA;'MFPR01006353',&amp;#xD;&amp;#xA;'MFPR01006354',&amp;#xD;&amp;#xA;'MFPR01006355',&amp;#xD;&amp;#xA;'MFPR01006356',&amp;#xD;&amp;#xA;'MFPR01006357',&amp;#xD;&amp;#xA;'MFPR01000255',&amp;#xD;&amp;#xA;'MFPR01006358',&amp;#xD;&amp;#xA;''"</definedName>
    <definedName name="_AMO_ContentLocation_891553685__A1.13" hidden="1">"'MFPR01000260',&amp;#xD;&amp;#xA;'MFPR01000279',&amp;#xD;&amp;#xA;'MFPR01006359',&amp;#xD;&amp;#xA;'MFPR01006361',&amp;#xD;&amp;#xA;'MFPR01006362',&amp;#xD;&amp;#xA;'MFPR01006363',&amp;#xD;&amp;#xA;'MFPR01006364',&amp;#xD;&amp;#xA;'MFPR01006365',&amp;#xD;&amp;#xA;'MFPR01006366',&amp;#xD;&amp;#xA;'MFPR01006367',&amp;#xD;&amp;#xA;'M'"</definedName>
    <definedName name="_AMO_ContentLocation_891553685__A1.14" hidden="1">"'FPR01006368',&amp;#xD;&amp;#xA;'MFPR01006369',&amp;#xD;&amp;#xA;'MFPR01006370',&amp;#xD;&amp;#xA;'MFPR01006371',&amp;#xD;&amp;#xA;'MFPR01000095',&amp;#xD;&amp;#xA;'MFPR01006372',&amp;#xD;&amp;#xA;'MFPR01006373',&amp;#xD;&amp;#xA;'MFPR01006374',&amp;#xD;&amp;#xA;'MFPR06008352',&amp;#xD;&amp;#xA;'MFPR06008367',&amp;#xD;&amp;#xA;'MF'"</definedName>
    <definedName name="_AMO_ContentLocation_891553685__A1.15" hidden="1">"'PR06008382',&amp;#xD;&amp;#xA;'MFPR06008385',&amp;#xD;&amp;#xA;'MFPR06008393',&amp;#xD;&amp;#xA;'MFPR06000081',&amp;#xD;&amp;#xA;'MFPR01006375',&amp;#xD;&amp;#xA;'MFPR01006376',&amp;#xD;&amp;#xA;'MFPR01006307',&amp;#xD;&amp;#xA;'MFPR07000317',&amp;#xD;&amp;#xA;'MFPR02001300',&amp;#xD;&amp;#xA;'MFPR02001301',&amp;#xD;&amp;#xA;'MFP'"</definedName>
    <definedName name="_AMO_ContentLocation_891553685__A1.16" hidden="1">"'R01000244',&amp;#xD;&amp;#xA;'MFPR01006378',&amp;#xD;&amp;#xA;'MFPR01006379',&amp;#xD;&amp;#xA;'MFPR01006380',&amp;#xD;&amp;#xA;'MFPR01006381',&amp;#xD;&amp;#xA;'MFPR01006382',&amp;#xD;&amp;#xA;'MFPR01006383',&amp;#xD;&amp;#xA;'MFPR01006384',&amp;#xD;&amp;#xA;'MFPR01006385',&amp;#xD;&amp;#xA;'MFPR01006386',&amp;#xD;&amp;#xA;'MFPR'"</definedName>
    <definedName name="_AMO_ContentLocation_891553685__A1.17" hidden="1">"'01006387',&amp;#xD;&amp;#xA;'MFPR01006388',&amp;#xD;&amp;#xA;'MFPR01006389',&amp;#xD;&amp;#xA;'MFPR01006390',&amp;#xD;&amp;#xA;'MFPR01006391',&amp;#xD;&amp;#xA;'MFPR01006392',&amp;#xD;&amp;#xA;'MFPR01006393',&amp;#xD;&amp;#xA;'MFPR01006394',&amp;#xD;&amp;#xA;'MFPR01006395',&amp;#xD;&amp;#xA;'MFPR01006396',&amp;#xD;&amp;#xA;'MFPR0'"</definedName>
    <definedName name="_AMO_ContentLocation_891553685__A1.18" hidden="1">"'1006397',&amp;#xD;&amp;#xA;'MFPR01006398',&amp;#xD;&amp;#xA;'MFPR01006399',&amp;#xD;&amp;#xA;'MFBS06000731',&amp;#xD;&amp;#xA;'MFBS06000734',&amp;#xD;&amp;#xA;'MFFSIR000915',&amp;#xD;&amp;#xA;'MFDRVD000145',&amp;#xD;&amp;#xA;'MFFSIR000916',&amp;#xD;&amp;#xA;'MFBS01001009',&amp;#xD;&amp;#xA;'MFBS01000880',&amp;#xD;&amp;#xA;'MFBS01'"</definedName>
    <definedName name="_AMO_ContentLocation_891553685__A1.19" hidden="1">"'001010',&amp;#xD;&amp;#xA;'MFBS01001011',&amp;#xD;&amp;#xA;'MFBS01001012',&amp;#xD;&amp;#xA;'MFBS01001013',&amp;#xD;&amp;#xA;'MFBS01001014',&amp;#xD;&amp;#xA;'MFBS01001015',&amp;#xD;&amp;#xA;'MFBS01000881',&amp;#xD;&amp;#xA;'MFFSIR000924',&amp;#xD;&amp;#xA;'MFBS01000883',&amp;#xD;&amp;#xA;'MFFSIR000925',&amp;#xD;&amp;#xA;'MFBS010'"</definedName>
    <definedName name="_AMO_ContentLocation_891553685__A1.2" hidden="1">"'&amp;#xD;&amp;#xA;'MFBS06000680',&amp;#xD;&amp;#xA;'MFBS06000369',&amp;#xD;&amp;#xA;'MFBS06000370',&amp;#xD;&amp;#xA;'MFBS06000371',&amp;#xD;&amp;#xA;'MFBS06000681',&amp;#xD;&amp;#xA;'MFBS06000682',&amp;#xD;&amp;#xA;'MFBS06000375',&amp;#xD;&amp;#xA;'MFBS06000683',&amp;#xD;&amp;#xA;'MFBS06000684',&amp;#xD;&amp;#xA;'MFBS06000379',&amp;'"</definedName>
    <definedName name="_AMO_ContentLocation_891553685__A1.20" hidden="1">"'00887',&amp;#xD;&amp;#xA;'MFBS06000744',&amp;#xD;&amp;#xA;'MFBS06000745',&amp;#xD;&amp;#xA;'MFBS01001016',&amp;#xD;&amp;#xA;'MFBS01000888',&amp;#xD;&amp;#xA;'MFFSIR000209',&amp;#xD;&amp;#xA;'MFBS01001017',&amp;#xD;&amp;#xA;'MFBS01001018',&amp;#xD;&amp;#xA;'MFBS06000737',&amp;#xD;&amp;#xA;'MFBS06000746',&amp;#xD;&amp;#xA;'MFFSIR00'"</definedName>
    <definedName name="_AMO_ContentLocation_891553685__A1.21" hidden="1">"'0190',&amp;#xD;&amp;#xA;'MFBS01001019',&amp;#xD;&amp;#xA;'MFBS01000895',&amp;#xD;&amp;#xA;'MFBS01001020',&amp;#xD;&amp;#xA;'MFBS01001021',&amp;#xD;&amp;#xA;'MFBS01000902',&amp;#xD;&amp;#xA;'MFBS01001022',&amp;#xD;&amp;#xA;'MFBS01001023',&amp;#xD;&amp;#xA;'MFPR06008550',&amp;#xD;&amp;#xA;'MFPR06008571',&amp;#xD;&amp;#xA;'MFFSIR001'"</definedName>
    <definedName name="_AMO_ContentLocation_891553685__A1.22" hidden="1">"'021',&amp;#xD;&amp;#xA;'MFDRVD000167',&amp;#xD;&amp;#xA;'MFFSIR001028',&amp;#xD;&amp;#xA;'MFPR01006405',&amp;#xD;&amp;#xA;'MFPR01006406',&amp;#xD;&amp;#xA;'MFPR01006407',&amp;#xD;&amp;#xA;'MFPR01006408',&amp;#xD;&amp;#xA;'MFPR01006409',&amp;#xD;&amp;#xA;'MFPR01006410',&amp;#xD;&amp;#xA;'MFPR01006411',&amp;#xD;&amp;#xA;'MFPR010064'"</definedName>
    <definedName name="_AMO_ContentLocation_891553685__A1.23" hidden="1">"'12',&amp;#xD;&amp;#xA;'MFPR01006413',&amp;#xD;&amp;#xA;'MFPR01006414',&amp;#xD;&amp;#xA;'MFFSIR001012',&amp;#xD;&amp;#xA;'MFPR01006415',&amp;#xD;&amp;#xA;'MFFSIR001005',&amp;#xD;&amp;#xA;'MFPR06008579',&amp;#xD;&amp;#xA;'MFPR06008585',&amp;#xD;&amp;#xA;'MFPR06008580',&amp;#xD;&amp;#xA;'MFPR01006315',&amp;#xD;&amp;#xA;'MFPR0100630'"</definedName>
    <definedName name="_AMO_ContentLocation_891553685__A1.24" hidden="1">"'4',&amp;#xD;&amp;#xA;'MFPR01000307',&amp;#xD;&amp;#xA;'MFPR01006447',&amp;#xD;&amp;#xA;'MFPR01006448',&amp;#xD;&amp;#xA;'MFPR01006403',&amp;#xD;&amp;#xA;'MFPR06008553',&amp;#xD;&amp;#xA;'MFPR06008578',&amp;#xD;&amp;#xA;'MFPR01006454',&amp;#xD;&amp;#xA;'MFPR01006455',&amp;#xD;&amp;#xA;'MFPR06008581',&amp;#xD;&amp;#xA;'MFPR04004642'"</definedName>
    <definedName name="_AMO_ContentLocation_891553685__A1.25" hidden="1">"'',&amp;#xD;&amp;#xA;'MFPR01006400',&amp;#xD;&amp;#xA;'MFPR01006451',&amp;#xD;&amp;#xA;'MFPR01006452',&amp;#xD;&amp;#xA;'MFPR02001304',&amp;#xD;&amp;#xA;'MFPR02001305',&amp;#xD;&amp;#xA;'MFPR01000286',&amp;#xD;&amp;#xA;'MFPR06008111',&amp;#xD;&amp;#xA;'MFPR06008112',&amp;#xD;&amp;#xA;'MFPR06008117',&amp;#xD;&amp;#xA;'MFPR06008118''"</definedName>
    <definedName name="_AMO_ContentLocation_891553685__A1.26" hidden="1">"',&amp;#xD;&amp;#xA;'MFPR06008114',&amp;#xD;&amp;#xA;'MFPR06008115',&amp;#xD;&amp;#xA;'MFPR06008116',&amp;#xD;&amp;#xA;'MFPR06008096',&amp;#xD;&amp;#xA;'MFPR06008097',&amp;#xD;&amp;#xA;'MFPR06008594',&amp;#xD;&amp;#xA;'MFPR06008584',&amp;#xD;&amp;#xA;'MFFSIR001031',&amp;#xD;&amp;#xA;'MFPR06008595',&amp;#xD;&amp;#xA;'MFPR01000232','"</definedName>
    <definedName name="_AMO_ContentLocation_891553685__A1.27" hidden="1">"'&amp;#xD;&amp;#xA;'MFPR01006456',&amp;#xD;&amp;#xA;'MFBS04000156'&amp;#xD;&amp;#xA;) AND entity_short_nm IN &amp;#xD;&amp;#xA;(&amp;#xD;&amp;#xA;'Antigua and Barbuda',&amp;#xD;&amp;#xA;'Anguilla',&amp;#xD;&amp;#xA;'Dominica',&amp;#xD;&amp;#xA;'Grenada',&amp;#xD;&amp;#xA;'Montserrat',&amp;#xD;&amp;#xA;'St Kitts and Nevis',&amp;#xD;&amp;#x'"</definedName>
    <definedName name="_AMO_ContentLocation_891553685__A1.28" hidden="1">"'A;'Saint Lucia',&amp;#xD;&amp;#xA;'St Vincent and the Grenadines',&amp;#xD;&amp;#xA;'ECCU',&amp;#xD;&amp;#xA;'LOC AI',&amp;#xD;&amp;#xA;'LOC AG',&amp;#xD;&amp;#xA;'LOC DM',&amp;#xD;&amp;#xA;'LOC GD',&amp;#xD;&amp;#xA;'LOC MS',&amp;#xD;&amp;#xA;'LOC KN',&amp;#xD;&amp;#xA;'LOC LC',&amp;#xD;&amp;#xA;'LOC VC',&amp;#xD;&amp;#xA;'LOC EC'&amp;#xD;&amp;'"</definedName>
    <definedName name="_AMO_ContentLocation_891553685__A1.29" hidden="1">"'#xA;) AND date_dt IN &amp;#xD;&amp;#xA;(&amp;#xD;&amp;#xA;'30Sep2017'd,&amp;#xD;&amp;#xA;'31Dec2017'd,&amp;#xD;&amp;#xA;'31Mar2018'd,&amp;#xD;&amp;#xA;'30Jun2018'd,&amp;#xD;&amp;#xA;'30Sep2018'd,&amp;#xD;&amp;#xA;'31Dec2018'd,&amp;#xD;&amp;#xA;'31Mar2019'd,&amp;#xD;&amp;#xA;'30Jun2019'd,&amp;#xD;&amp;#xA;'30Sep2019'd,&amp;#xD;&amp;#xA;'3'"</definedName>
    <definedName name="_AMO_ContentLocation_891553685__A1.3" hidden="1">"'#xD;&amp;#xA;'MFBS06000381',&amp;#xD;&amp;#xA;'MFBS06000685',&amp;#xD;&amp;#xA;'MFBS06000686',&amp;#xD;&amp;#xA;'MFBS01000882',&amp;#xD;&amp;#xA;'MFBS01000114',&amp;#xD;&amp;#xA;'MFBS01000889',&amp;#xD;&amp;#xA;'MFBS01001103',&amp;#xD;&amp;#xA;'MFBS01000890',&amp;#xD;&amp;#xA;'MFBS01000891',&amp;#xD;&amp;#xA;'MFBS01000892',&amp;#'"</definedName>
    <definedName name="_AMO_ContentLocation_891553685__A1.30" hidden="1">"'1Dec2019'd,&amp;#xD;&amp;#xA;'31Mar2020'd,&amp;#xD;&amp;#xA;'30Jun2020'd,&amp;#xD;&amp;#xA;'30Sep2020'd&amp;#xD;&amp;#xA;)"" /&gt;_x000D_
&lt;/ContentLocation&gt;'"</definedName>
    <definedName name="_AMO_ContentLocation_891553685__A1.4" hidden="1">"'xD;&amp;#xA;'MFBS01000893',&amp;#xD;&amp;#xA;'MFBS01000894',&amp;#xD;&amp;#xA;'MFBS01000885',&amp;#xD;&amp;#xA;'MFBS01000896',&amp;#xD;&amp;#xA;'MFBS01000897',&amp;#xD;&amp;#xA;'MFBS01000898',&amp;#xD;&amp;#xA;'MFBS01000899',&amp;#xD;&amp;#xA;'MFBS01000900',&amp;#xD;&amp;#xA;'MFBS01000102',&amp;#xD;&amp;#xA;'MFBS01000105',&amp;#x'"</definedName>
    <definedName name="_AMO_ContentLocation_891553685__A1.5" hidden="1">"'D;&amp;#xA;'MFBS01000901',&amp;#xD;&amp;#xA;'MFBS01000886',&amp;#xD;&amp;#xA;'MFBS01000903',&amp;#xD;&amp;#xA;'MFBS01000884',&amp;#xD;&amp;#xA;'MFBS01000905',&amp;#xD;&amp;#xA;'MFBS01000906',&amp;#xD;&amp;#xA;'MFBS01000907',&amp;#xD;&amp;#xA;'MFBS01000908',&amp;#xD;&amp;#xA;'MFBS01000909',&amp;#xD;&amp;#xA;'MFBS01000041',&amp;#xD'"</definedName>
    <definedName name="_AMO_ContentLocation_891553685__A1.6" hidden="1">"';&amp;#xA;'MFBS01000910',&amp;#xD;&amp;#xA;'MFBS01000911',&amp;#xD;&amp;#xA;'MFBS01000879',&amp;#xD;&amp;#xA;'MFBS01000912',&amp;#xD;&amp;#xA;'MFBS01000913',&amp;#xD;&amp;#xA;'MFBS06000403',&amp;#xD;&amp;#xA;'MFBS06000687',&amp;#xD;&amp;#xA;'MFBS06000404',&amp;#xD;&amp;#xA;'MFBS06000406',&amp;#xD;&amp;#xA;'MFBS06000678',&amp;#xD;'"</definedName>
    <definedName name="_AMO_ContentLocation_891553685__A1.7" hidden="1">"'&amp;#xA;'MFBS01000740',&amp;#xD;&amp;#xA;'MFBS06000672',&amp;#xD;&amp;#xA;'MFBS06000659',&amp;#xD;&amp;#xA;'MFBS02000030',&amp;#xD;&amp;#xA;'MFBS02000021',&amp;#xD;&amp;#xA;'MFBS01000096',&amp;#xD;&amp;#xA;'MFBS01000757',&amp;#xD;&amp;#xA;'MFBS01000758',&amp;#xD;&amp;#xA;'MFBS01000914',&amp;#xD;&amp;#xA;'MFBS01000915',&amp;#xD;&amp;'"</definedName>
    <definedName name="_AMO_ContentLocation_891553685__A1.8" hidden="1">"'#xA;'MFBS01000916',&amp;#xD;&amp;#xA;'MFBS01000917',&amp;#xD;&amp;#xA;'MFBS01000918',&amp;#xD;&amp;#xA;'MFBS01000919',&amp;#xD;&amp;#xA;'MFBS01000920',&amp;#xD;&amp;#xA;'MFBS01001119',&amp;#xD;&amp;#xA;'MFBS01000921',&amp;#xD;&amp;#xA;'MFBS01000922',&amp;#xD;&amp;#xA;'MFBS01000923',&amp;#xD;&amp;#xA;'MFBS01000924',&amp;#xD;&amp;#'"</definedName>
    <definedName name="_AMO_ContentLocation_891553685__A1.9" hidden="1">"'xA;'MFBS01000925',&amp;#xD;&amp;#xA;'MFBS01000928',&amp;#xD;&amp;#xA;'MFBS01001070',&amp;#xD;&amp;#xA;'MFBS01001141',&amp;#xD;&amp;#xA;'MFBS01000926',&amp;#xD;&amp;#xA;'MFPR06008082',&amp;#xD;&amp;#xA;'MFPR06008573',&amp;#xD;&amp;#xA;'MFPR06008091',&amp;#xD;&amp;#xA;'MFPR06008096',&amp;#xD;&amp;#xA;'MFPR06008097',&amp;#xD;&amp;#x'"</definedName>
    <definedName name="_AMO_RefreshMultipleList" hidden="1">"'&lt;Items&gt;_x000D_
  &lt;Item Id=""211306107"" Checked=""False"" /&gt;_x000D_
  &lt;Item Id=""493696053"" Checked=""False"" /&gt;_x000D_
  &lt;Item Id=""630830988"" Checked=""False"" /&gt;_x000D_
&lt;/Items&gt;'"</definedName>
    <definedName name="_AMO_RefreshMultipleList.0" hidden="1">"'&lt;Items&gt;_x000D_
  &lt;Item Id=""240262289"" Checked=""True"" /&gt;_x000D_
  &lt;Item Id=""976887437"" Checked=""True"" /&gt;_x000D_
  &lt;Item Id=""209247889"" Checked=""True"" /&gt;_x000D_
  &lt;Item Id=""593062848"" Checked=""True"" /&gt;_x000D_
  &lt;Item Id=""737179175"" Checked=""True"" /&gt;_x000D_
  &lt;Item I'"</definedName>
    <definedName name="_AMO_RefreshMultipleList.1" hidden="1">"'d=""674279273"" Checked=""True"" /&gt;_x000D_
  &lt;Item Id=""219406390"" Checked=""True"" /&gt;_x000D_
  &lt;Item Id=""77766676"" Checked=""True"" /&gt;_x000D_
  &lt;Item Id=""954666846"" Checked=""True"" /&gt;_x000D_
  &lt;Item Id=""965423281"" Checked=""True"" /&gt;_x000D_
  &lt;Item Id=""711152961"" Chec'"</definedName>
    <definedName name="_AMO_RefreshMultipleList.10" hidden="1">"'_x000D_
  &lt;Item Id=""809768402"" Checked=""True"" /&gt;_x000D_
  &lt;Item Id=""434981916"" Checked=""True"" /&gt;_x000D_
  &lt;Item Id=""45155207"" Checked=""True"" /&gt;_x000D_
  &lt;Item Id=""730782354"" Checked=""True"" /&gt;_x000D_
  &lt;Item Id=""744515284"" Checked=""True"" /&gt;_x000D_
  &lt;Item Id=""5261'"</definedName>
    <definedName name="_AMO_RefreshMultipleList.11" hidden="1">"'34355"" Checked=""True"" /&gt;_x000D_
  &lt;Item Id=""570683172"" Checked=""True"" /&gt;_x000D_
  &lt;Item Id=""732805976"" Checked=""True"" /&gt;_x000D_
  &lt;Item Id=""933980170"" Checked=""True"" /&gt;_x000D_
  &lt;Item Id=""963563921"" Checked=""True"" /&gt;_x000D_
  &lt;Item Id=""47467095"" Checked=""Tr'"</definedName>
    <definedName name="_AMO_RefreshMultipleList.12" hidden="1">"'ue"" /&gt;_x000D_
  &lt;Item Id=""912361010"" Checked=""True"" /&gt;_x000D_
  &lt;Item Id=""36488692"" Checked=""True"" /&gt;_x000D_
  &lt;Item Id=""752983596"" Checked=""True"" /&gt;_x000D_
  &lt;Item Id=""55835770"" Checked=""True"" /&gt;_x000D_
  &lt;Item Id=""79752052"" Checked=""True"" /&gt;_x000D_
  &lt;Item Id=""'"</definedName>
    <definedName name="_AMO_RefreshMultipleList.13" hidden="1">"'210773454"" Checked=""True"" /&gt;_x000D_
  &lt;Item Id=""555198615"" Checked=""True"" /&gt;_x000D_
  &lt;Item Id=""566359350"" Checked=""True"" /&gt;_x000D_
  &lt;Item Id=""610611270"" Checked=""True"" /&gt;_x000D_
  &lt;Item Id=""106883525"" Checked=""True"" /&gt;_x000D_
  &lt;Item Id=""898702096"" Checked'"</definedName>
    <definedName name="_AMO_RefreshMultipleList.14" hidden="1">"'=""True"" /&gt;_x000D_
  &lt;Item Id=""589415492"" Checked=""True"" /&gt;_x000D_
  &lt;Item Id=""588853968"" Checked=""True"" /&gt;_x000D_
  &lt;Item Id=""158865602"" Checked=""True"" /&gt;_x000D_
  &lt;Item Id=""531931716"" Checked=""True"" /&gt;_x000D_
  &lt;Item Id=""155818853"" Checked=""True"" /&gt;_x000D_
  &lt;It'"</definedName>
    <definedName name="_AMO_RefreshMultipleList.15" hidden="1">"'em Id=""589029602"" Checked=""True"" /&gt;_x000D_
  &lt;Item Id=""402470624"" Checked=""True"" /&gt;_x000D_
  &lt;Item Id=""957845077"" Checked=""True"" /&gt;_x000D_
  &lt;Item Id=""235495019"" Checked=""True"" /&gt;_x000D_
  &lt;Item Id=""447824524"" Checked=""True"" /&gt;_x000D_
  &lt;Item Id=""465136051""'"</definedName>
    <definedName name="_AMO_RefreshMultipleList.16" hidden="1">"' Checked=""True"" /&gt;_x000D_
  &lt;Item Id=""489761916"" Checked=""True"" /&gt;_x000D_
  &lt;Item Id=""658349760"" Checked=""True"" /&gt;_x000D_
  &lt;Item Id=""329086226"" Checked=""True"" /&gt;_x000D_
  &lt;Item Id=""692539973"" Checked=""True"" /&gt;_x000D_
  &lt;Item Id=""33763682"" Checked=""True"" /&gt;'"</definedName>
    <definedName name="_AMO_RefreshMultipleList.17" hidden="1">"'_x000D_
  &lt;Item Id=""872297683"" Checked=""True"" /&gt;_x000D_
  &lt;Item Id=""282689281"" Checked=""True"" /&gt;_x000D_
  &lt;Item Id=""204572355"" Checked=""True"" /&gt;_x000D_
  &lt;Item Id=""274415098"" Checked=""True"" /&gt;_x000D_
  &lt;Item Id=""309487246"" Checked=""True"" /&gt;_x000D_
  &lt;Item Id=""299'"</definedName>
    <definedName name="_AMO_RefreshMultipleList.18" hidden="1">"'024057"" Checked=""True"" /&gt;_x000D_
  &lt;Item Id=""645113017"" Checked=""True"" /&gt;_x000D_
  &lt;Item Id=""141590967"" Checked=""True"" /&gt;_x000D_
  &lt;Item Id=""123717917"" Checked=""True"" /&gt;_x000D_
  &lt;Item Id=""319293381"" Checked=""True"" /&gt;_x000D_
  &lt;Item Id=""369639145"" Checked=""'"</definedName>
    <definedName name="_AMO_RefreshMultipleList.19" hidden="1">"'True"" /&gt;_x000D_
  &lt;Item Id=""991270479"" Checked=""True"" /&gt;_x000D_
  &lt;Item Id=""267124602"" Checked=""True"" /&gt;_x000D_
  &lt;Item Id=""748674832"" Checked=""True"" /&gt;_x000D_
  &lt;Item Id=""974238769"" Checked=""True"" /&gt;_x000D_
  &lt;Item Id=""6709246"" Checked=""True"" /&gt;_x000D_
  &lt;Item I'"</definedName>
    <definedName name="_AMO_RefreshMultipleList.2" hidden="1">"'ked=""True"" /&gt;_x000D_
  &lt;Item Id=""574824045"" Checked=""True"" /&gt;_x000D_
  &lt;Item Id=""563990148"" Checked=""True"" /&gt;_x000D_
  &lt;Item Id=""861935487"" Checked=""True"" /&gt;_x000D_
  &lt;Item Id=""423135190"" Checked=""True"" /&gt;_x000D_
  &lt;Item Id=""959521205"" Checked=""True"" /&gt;_x000D_
  '"</definedName>
    <definedName name="_AMO_RefreshMultipleList.20" hidden="1">"'d=""588003059"" Checked=""True"" /&gt;_x000D_
  &lt;Item Id=""746895076"" Checked=""True"" /&gt;_x000D_
  &lt;Item Id=""107216183"" Checked=""True"" /&gt;_x000D_
  &lt;Item Id=""155735870"" Checked=""True"" /&gt;_x000D_
  &lt;Item Id=""779256029"" Checked=""True"" /&gt;_x000D_
  &lt;Item Id=""799521002"" Che'"</definedName>
    <definedName name="_AMO_RefreshMultipleList.21" hidden="1">"'cked=""True"" /&gt;_x000D_
  &lt;Item Id=""305482231"" Checked=""True"" /&gt;_x000D_
  &lt;Item Id=""40411710"" Checked=""True"" /&gt;_x000D_
  &lt;Item Id=""308215791"" Checked=""True"" /&gt;_x000D_
  &lt;Item Id=""986239509"" Checked=""True"" /&gt;_x000D_
  &lt;Item Id=""891508347"" Checked=""True"" /&gt;_x000D_
  '"</definedName>
    <definedName name="_AMO_RefreshMultipleList.22" hidden="1">"'&lt;Item Id=""835866409"" Checked=""True"" /&gt;_x000D_
  &lt;Item Id=""183524832"" Checked=""True"" /&gt;_x000D_
  &lt;Item Id=""213476663"" Checked=""True"" /&gt;_x000D_
  &lt;Item Id=""207428664"" Checked=""True"" /&gt;_x000D_
  &lt;Item Id=""432109004"" Checked=""True"" /&gt;_x000D_
  &lt;Item Id=""5142562'"</definedName>
    <definedName name="_AMO_RefreshMultipleList.23" hidden="1">"'54"" Checked=""True"" /&gt;_x000D_
  &lt;Item Id=""142759418"" Checked=""True"" /&gt;_x000D_
  &lt;Item Id=""504316672"" Checked=""True"" /&gt;_x000D_
  &lt;Item Id=""708263121"" Checked=""True"" /&gt;_x000D_
  &lt;Item Id=""396561983"" Checked=""True"" /&gt;_x000D_
  &lt;Item Id=""698493454"" Checked=""True'"</definedName>
    <definedName name="_AMO_RefreshMultipleList.24" hidden="1">"'"" /&gt;_x000D_
  &lt;Item Id=""601763550"" Checked=""True"" /&gt;_x000D_
  &lt;Item Id=""271349773"" Checked=""True"" /&gt;_x000D_
  &lt;Item Id=""754005308"" Checked=""True"" /&gt;_x000D_
  &lt;Item Id=""145849038"" Checked=""True"" /&gt;_x000D_
  &lt;Item Id=""391804309"" Checked=""True"" /&gt;_x000D_
  &lt;Item Id='"</definedName>
    <definedName name="_AMO_RefreshMultipleList.25" hidden="1">"'""751894323"" Checked=""True"" /&gt;_x000D_
  &lt;Item Id=""663588869"" Checked=""True"" /&gt;_x000D_
  &lt;Item Id=""365599588"" Checked=""True"" /&gt;_x000D_
  &lt;Item Id=""876106787"" Checked=""True"" /&gt;_x000D_
  &lt;Item Id=""471983255"" Checked=""True"" /&gt;_x000D_
  &lt;Item Id=""748748929"" Check'"</definedName>
    <definedName name="_AMO_RefreshMultipleList.26" hidden="1">"'ed=""True"" /&gt;_x000D_
  &lt;Item Id=""925103650"" Checked=""True"" /&gt;_x000D_
  &lt;Item Id=""422172106"" Checked=""True"" /&gt;_x000D_
  &lt;Item Id=""465579769"" Checked=""True"" /&gt;_x000D_
  &lt;Item Id=""35138852"" Checked=""True"" /&gt;_x000D_
  &lt;Item Id=""755857817"" Checked=""True"" /&gt;_x000D_
  &lt;I'"</definedName>
    <definedName name="_AMO_RefreshMultipleList.27" hidden="1">"'tem Id=""627042776"" Checked=""True"" /&gt;_x000D_
  &lt;Item Id=""519247957"" Checked=""True"" /&gt;_x000D_
  &lt;Item Id=""920815908"" Checked=""True"" /&gt;_x000D_
  &lt;Item Id=""518092187"" Checked=""True"" /&gt;_x000D_
  &lt;Item Id=""930922325"" Checked=""True"" /&gt;_x000D_
  &lt;Item Id=""153277653'"</definedName>
    <definedName name="_AMO_RefreshMultipleList.28" hidden="1">"'"" Checked=""True"" /&gt;_x000D_
  &lt;Item Id=""421688439"" Checked=""True"" /&gt;_x000D_
  &lt;Item Id=""880657877"" Checked=""True"" /&gt;_x000D_
  &lt;Item Id=""187141844"" Checked=""True"" /&gt;_x000D_
  &lt;Item Id=""197450883"" Checked=""True"" /&gt;_x000D_
  &lt;Item Id=""767511825"" Checked=""True"" '"</definedName>
    <definedName name="_AMO_RefreshMultipleList.29" hidden="1">"'/&gt;_x000D_
  &lt;Item Id=""849016055"" Checked=""True"" /&gt;_x000D_
  &lt;Item Id=""905128982"" Checked=""True"" /&gt;_x000D_
  &lt;Item Id=""600911483"" Checked=""True"" /&gt;_x000D_
  &lt;Item Id=""190099690"" Checked=""True"" /&gt;_x000D_
  &lt;Item Id=""329189501"" Checked=""True"" /&gt;_x000D_
  &lt;Item Id=""8'"</definedName>
    <definedName name="_AMO_RefreshMultipleList.3" hidden="1">"'&lt;Item Id=""961283922"" Checked=""True"" /&gt;_x000D_
  &lt;Item Id=""914898899"" Checked=""True"" /&gt;_x000D_
  &lt;Item Id=""193043473"" Checked=""True"" /&gt;_x000D_
  &lt;Item Id=""242292352"" Checked=""True"" /&gt;_x000D_
  &lt;Item Id=""696980829"" Checked=""True"" /&gt;_x000D_
  &lt;Item Id=""8861691'"</definedName>
    <definedName name="_AMO_RefreshMultipleList.30" hidden="1">"'61450696"" Checked=""True"" /&gt;_x000D_
  &lt;Item Id=""376535998"" Checked=""True"" /&gt;_x000D_
  &lt;Item Id=""731498412"" Checked=""True"" /&gt;_x000D_
  &lt;Item Id=""235278440"" Checked=""True"" /&gt;_x000D_
  &lt;Item Id=""809489798"" Checked=""True"" /&gt;_x000D_
  &lt;Item Id=""339257908"" Checked'"</definedName>
    <definedName name="_AMO_RefreshMultipleList.31" hidden="1">"'=""True"" /&gt;_x000D_
  &lt;Item Id=""336498139"" Checked=""True"" /&gt;_x000D_
  &lt;Item Id=""336103603"" Checked=""True"" /&gt;_x000D_
  &lt;Item Id=""207991553"" Checked=""True"" /&gt;_x000D_
  &lt;Item Id=""742536846"" Checked=""True"" /&gt;_x000D_
  &lt;Item Id=""949551837"" Checked=""True"" /&gt;_x000D_
  &lt;It'"</definedName>
    <definedName name="_AMO_RefreshMultipleList.32" hidden="1">"'em Id=""178866379"" Checked=""True"" /&gt;_x000D_
  &lt;Item Id=""688604228"" Checked=""True"" /&gt;_x000D_
  &lt;Item Id=""536699380"" Checked=""True"" /&gt;_x000D_
  &lt;Item Id=""384755792"" Checked=""True"" /&gt;_x000D_
  &lt;Item Id=""300519403"" Checked=""True"" /&gt;_x000D_
  &lt;Item Id=""145990613""'"</definedName>
    <definedName name="_AMO_RefreshMultipleList.33" hidden="1">"' Checked=""True"" /&gt;_x000D_
  &lt;Item Id=""892587272"" Checked=""True"" /&gt;_x000D_
  &lt;Item Id=""933762567"" Checked=""True"" /&gt;_x000D_
  &lt;Item Id=""420399458"" Checked=""True"" /&gt;_x000D_
  &lt;Item Id=""597395442"" Checked=""True"" /&gt;_x000D_
  &lt;Item Id=""15265654"" Checked=""True"" /&gt;'"</definedName>
    <definedName name="_AMO_RefreshMultipleList.34" hidden="1">"'_x000D_
  &lt;Item Id=""166382563"" Checked=""True"" /&gt;_x000D_
  &lt;Item Id=""533792186"" Checked=""True"" /&gt;_x000D_
  &lt;Item Id=""842361478"" Checked=""True"" /&gt;_x000D_
  &lt;Item Id=""8692446"" Checked=""True"" /&gt;_x000D_
  &lt;Item Id=""665054316"" Checked=""True"" /&gt;_x000D_
  &lt;Item Id=""98700'"</definedName>
    <definedName name="_AMO_RefreshMultipleList.35" hidden="1">"'1345"" Checked=""True"" /&gt;_x000D_
  &lt;Item Id=""349290777"" Checked=""True"" /&gt;_x000D_
  &lt;Item Id=""710373850"" Checked=""True"" /&gt;_x000D_
  &lt;Item Id=""335589001"" Checked=""True"" /&gt;_x000D_
  &lt;Item Id=""119867709"" Checked=""True"" /&gt;_x000D_
  &lt;Item Id=""71424567"" Checked=""Tru'"</definedName>
    <definedName name="_AMO_RefreshMultipleList.36" hidden="1">"'e"" /&gt;_x000D_
  &lt;Item Id=""457592004"" Checked=""True"" /&gt;_x000D_
  &lt;Item Id=""910542735"" Checked=""True"" /&gt;_x000D_
  &lt;Item Id=""774971073"" Checked=""True"" /&gt;_x000D_
  &lt;Item Id=""734140852"" Checked=""True"" /&gt;_x000D_
  &lt;Item Id=""957869931"" Checked=""True"" /&gt;_x000D_
  &lt;Item Id'"</definedName>
    <definedName name="_AMO_RefreshMultipleList.37" hidden="1">"'=""552723789"" Checked=""True"" /&gt;_x000D_
  &lt;Item Id=""142621808"" Checked=""True"" /&gt;_x000D_
  &lt;Item Id=""833783295"" Checked=""True"" /&gt;_x000D_
  &lt;Item Id=""548371405"" Checked=""True"" /&gt;_x000D_
  &lt;Item Id=""604415815"" Checked=""True"" /&gt;_x000D_
  &lt;Item Id=""711961830"" Chec'"</definedName>
    <definedName name="_AMO_RefreshMultipleList.38" hidden="1">"'ked=""True"" /&gt;_x000D_
  &lt;Item Id=""877652001"" Checked=""True"" /&gt;_x000D_
  &lt;Item Id=""784402269"" Checked=""True"" /&gt;_x000D_
  &lt;Item Id=""426161504"" Checked=""True"" /&gt;_x000D_
  &lt;Item Id=""233324134"" Checked=""True"" /&gt;_x000D_
  &lt;Item Id=""256302284"" Checked=""True"" /&gt;_x000D_
  '"</definedName>
    <definedName name="_AMO_RefreshMultipleList.39" hidden="1">"'&lt;Item Id=""546695880"" Checked=""True"" /&gt;_x000D_
  &lt;Item Id=""715006570"" Checked=""True"" /&gt;_x000D_
  &lt;Item Id=""988420743"" Checked=""True"" /&gt;_x000D_
  &lt;Item Id=""801640137"" Checked=""True"" /&gt;_x000D_
  &lt;Item Id=""692000001"" Checked=""True"" /&gt;_x000D_
  &lt;Item Id=""2948343'"</definedName>
    <definedName name="_AMO_RefreshMultipleList.4" hidden="1">"'11"" Checked=""True"" /&gt;_x000D_
  &lt;Item Id=""143634710"" Checked=""True"" /&gt;_x000D_
  &lt;Item Id=""457672499"" Checked=""True"" /&gt;_x000D_
  &lt;Item Id=""85393823"" Checked=""True"" /&gt;_x000D_
  &lt;Item Id=""856808601"" Checked=""True"" /&gt;_x000D_
  &lt;Item Id=""505550477"" Checked=""True""'"</definedName>
    <definedName name="_AMO_RefreshMultipleList.40" hidden="1">"'39"" Checked=""True"" /&gt;_x000D_
  &lt;Item Id=""478979560"" Checked=""True"" /&gt;_x000D_
  &lt;Item Id=""503955499"" Checked=""True"" /&gt;_x000D_
  &lt;Item Id=""680783177"" Checked=""True"" /&gt;_x000D_
  &lt;Item Id=""21726490"" Checked=""True"" /&gt;_x000D_
  &lt;Item Id=""311244390"" Checked=""True""'"</definedName>
    <definedName name="_AMO_RefreshMultipleList.41" hidden="1">"' /&gt;_x000D_
  &lt;Item Id=""762385024"" Checked=""True"" /&gt;_x000D_
  &lt;Item Id=""973248080"" Checked=""True"" /&gt;_x000D_
  &lt;Item Id=""607058892"" Checked=""True"" /&gt;_x000D_
  &lt;Item Id=""626341356"" Checked=""True"" /&gt;_x000D_
  &lt;Item Id=""414036721"" Checked=""True"" /&gt;_x000D_
  &lt;Item Id=""1'"</definedName>
    <definedName name="_AMO_RefreshMultipleList.42" hidden="1">"'29898925"" Checked=""True"" /&gt;_x000D_
  &lt;Item Id=""724631425"" Checked=""True"" /&gt;_x000D_
  &lt;Item Id=""342894458"" Checked=""True"" /&gt;_x000D_
  &lt;Item Id=""344323397"" Checked=""True"" /&gt;_x000D_
  &lt;Item Id=""368867057"" Checked=""True"" /&gt;_x000D_
  &lt;Item Id=""597026022"" Checked'"</definedName>
    <definedName name="_AMO_RefreshMultipleList.43" hidden="1">"'=""True"" /&gt;_x000D_
  &lt;Item Id=""605884160"" Checked=""True"" /&gt;_x000D_
  &lt;Item Id=""732449767"" Checked=""True"" /&gt;_x000D_
  &lt;Item Id=""125724941"" Checked=""True"" /&gt;_x000D_
  &lt;Item Id=""999566151"" Checked=""True"" /&gt;_x000D_
  &lt;Item Id=""134777096"" Checked=""True"" /&gt;_x000D_
  &lt;It'"</definedName>
    <definedName name="_AMO_RefreshMultipleList.44" hidden="1">"'em Id=""277127188"" Checked=""True"" /&gt;_x000D_
  &lt;Item Id=""139145946"" Checked=""True"" /&gt;_x000D_
  &lt;Item Id=""710781297"" Checked=""True"" /&gt;_x000D_
  &lt;Item Id=""154942988"" Checked=""True"" /&gt;_x000D_
  &lt;Item Id=""499223046"" Checked=""True"" /&gt;_x000D_
  &lt;Item Id=""880671739""'"</definedName>
    <definedName name="_AMO_RefreshMultipleList.45" hidden="1">"' Checked=""True"" /&gt;_x000D_
  &lt;Item Id=""246008175"" Checked=""True"" /&gt;_x000D_
  &lt;Item Id=""162347584"" Checked=""True"" /&gt;_x000D_
  &lt;Item Id=""505929824"" Checked=""True"" /&gt;_x000D_
  &lt;Item Id=""315490906"" Checked=""True"" /&gt;_x000D_
  &lt;Item Id=""437053328"" Checked=""True"" /&gt;'"</definedName>
    <definedName name="_AMO_RefreshMultipleList.46" hidden="1">"'_x000D_
  &lt;Item Id=""944057995"" Checked=""True"" /&gt;_x000D_
  &lt;Item Id=""495561695"" Checked=""True"" /&gt;_x000D_
  &lt;Item Id=""883496922"" Checked=""True"" /&gt;_x000D_
  &lt;Item Id=""949024969"" Checked=""True"" /&gt;_x000D_
  &lt;Item Id=""958076739"" Checked=""True"" /&gt;_x000D_
  &lt;Item Id=""283'"</definedName>
    <definedName name="_AMO_RefreshMultipleList.47" hidden="1">"'476953"" Checked=""True"" /&gt;_x000D_
  &lt;Item Id=""461640109"" Checked=""True"" /&gt;_x000D_
  &lt;Item Id=""942754114"" Checked=""True"" /&gt;_x000D_
  &lt;Item Id=""602358234"" Checked=""True"" /&gt;_x000D_
  &lt;Item Id=""499200386"" Checked=""True"" /&gt;_x000D_
  &lt;Item Id=""524571678"" Checked=""'"</definedName>
    <definedName name="_AMO_RefreshMultipleList.48" hidden="1">"'True"" /&gt;_x000D_
  &lt;Item Id=""255163367"" Checked=""True"" /&gt;_x000D_
  &lt;Item Id=""21524689"" Checked=""True"" /&gt;_x000D_
  &lt;Item Id=""824970214"" Checked=""True"" /&gt;_x000D_
  &lt;Item Id=""404050254"" Checked=""True"" /&gt;_x000D_
  &lt;Item Id=""115245999"" Checked=""True"" /&gt;_x000D_
  &lt;Item '"</definedName>
    <definedName name="_AMO_RefreshMultipleList.49" hidden="1">"'Id=""840593279"" Checked=""True"" /&gt;_x000D_
  &lt;Item Id=""944278213"" Checked=""True"" /&gt;_x000D_
  &lt;Item Id=""282567815"" Checked=""True"" /&gt;_x000D_
  &lt;Item Id=""750129054"" Checked=""True"" /&gt;_x000D_
  &lt;Item Id=""176636934"" Checked=""True"" /&gt;_x000D_
  &lt;Item Id=""515215183"" Ch'"</definedName>
    <definedName name="_AMO_RefreshMultipleList.5" hidden="1">"' /&gt;_x000D_
  &lt;Item Id=""395258432"" Checked=""True"" /&gt;_x000D_
  &lt;Item Id=""968123086"" Checked=""True"" /&gt;_x000D_
  &lt;Item Id=""145213678"" Checked=""True"" /&gt;_x000D_
  &lt;Item Id=""496470833"" Checked=""True"" /&gt;_x000D_
  &lt;Item Id=""528466330"" Checked=""True"" /&gt;_x000D_
  &lt;Item Id=""6'"</definedName>
    <definedName name="_AMO_RefreshMultipleList.50" hidden="1">"'ecked=""True"" /&gt;_x000D_
  &lt;Item Id=""206748744"" Checked=""True"" /&gt;_x000D_
  &lt;Item Id=""700308624"" Checked=""True"" /&gt;_x000D_
  &lt;Item Id=""132660347"" Checked=""True"" /&gt;_x000D_
  &lt;Item Id=""920548272"" Checked=""True"" /&gt;_x000D_
  &lt;Item Id=""999016188"" Checked=""True"" /&gt;_x000D_
'"</definedName>
    <definedName name="_AMO_RefreshMultipleList.51" hidden="1">"'  &lt;Item Id=""190217131"" Checked=""True"" /&gt;_x000D_
  &lt;Item Id=""555500689"" Checked=""True"" /&gt;_x000D_
  &lt;Item Id=""390428462"" Checked=""True"" /&gt;_x000D_
  &lt;Item Id=""830204117"" Checked=""True"" /&gt;_x000D_
  &lt;Item Id=""237485618"" Checked=""True"" /&gt;_x000D_
  &lt;Item Id=""52426'"</definedName>
    <definedName name="_AMO_RefreshMultipleList.52" hidden="1">"'8478"" Checked=""True"" /&gt;_x000D_
  &lt;Item Id=""232468489"" Checked=""True"" /&gt;_x000D_
  &lt;Item Id=""393204671"" Checked=""True"" /&gt;_x000D_
  &lt;Item Id=""989720070"" Checked=""True"" /&gt;_x000D_
  &lt;Item Id=""999642367"" Checked=""True"" /&gt;_x000D_
  &lt;Item Id=""895013973"" Checked=""Tr'"</definedName>
    <definedName name="_AMO_RefreshMultipleList.53" hidden="1">"'ue"" /&gt;_x000D_
  &lt;Item Id=""870176964"" Checked=""True"" /&gt;_x000D_
  &lt;Item Id=""378970219"" Checked=""True"" /&gt;_x000D_
  &lt;Item Id=""915134430"" Checked=""True"" /&gt;_x000D_
  &lt;Item Id=""231423235"" Checked=""True"" /&gt;_x000D_
  &lt;Item Id=""397485447"" Checked=""True"" /&gt;_x000D_
  &lt;Item I'"</definedName>
    <definedName name="_AMO_RefreshMultipleList.54" hidden="1">"'d=""772115449"" Checked=""True"" /&gt;_x000D_
  &lt;Item Id=""483735546"" Checked=""True"" /&gt;_x000D_
  &lt;Item Id=""355842195"" Checked=""True"" /&gt;_x000D_
  &lt;Item Id=""88330175"" Checked=""True"" /&gt;_x000D_
  &lt;Item Id=""210273802"" Checked=""True"" /&gt;_x000D_
  &lt;Item Id=""749513648"" Chec'"</definedName>
    <definedName name="_AMO_RefreshMultipleList.55" hidden="1">"'ked=""True"" /&gt;_x000D_
  &lt;Item Id=""221290310"" Checked=""False"" /&gt;_x000D_
&lt;/Items&gt;'"</definedName>
    <definedName name="_AMO_RefreshMultipleList.6" hidden="1">"'77978061"" Checked=""True"" /&gt;_x000D_
  &lt;Item Id=""715318765"" Checked=""True"" /&gt;_x000D_
  &lt;Item Id=""530458275"" Checked=""True"" /&gt;_x000D_
  &lt;Item Id=""815245037"" Checked=""True"" /&gt;_x000D_
  &lt;Item Id=""266680468"" Checked=""True"" /&gt;_x000D_
  &lt;Item Id=""685458389"" Checked'"</definedName>
    <definedName name="_AMO_RefreshMultipleList.7" hidden="1">"'=""True"" /&gt;_x000D_
  &lt;Item Id=""102488482"" Checked=""True"" /&gt;_x000D_
  &lt;Item Id=""804484952"" Checked=""True"" /&gt;_x000D_
  &lt;Item Id=""565201928"" Checked=""True"" /&gt;_x000D_
  &lt;Item Id=""794565250"" Checked=""True"" /&gt;_x000D_
  &lt;Item Id=""519328697"" Checked=""True"" /&gt;_x000D_
  &lt;It'"</definedName>
    <definedName name="_AMO_RefreshMultipleList.8" hidden="1">"'em Id=""626437282"" Checked=""True"" /&gt;_x000D_
  &lt;Item Id=""876753799"" Checked=""True"" /&gt;_x000D_
  &lt;Item Id=""411487649"" Checked=""True"" /&gt;_x000D_
  &lt;Item Id=""891641556"" Checked=""True"" /&gt;_x000D_
  &lt;Item Id=""695371347"" Checked=""True"" /&gt;_x000D_
  &lt;Item Id=""156758234""'"</definedName>
    <definedName name="_AMO_RefreshMultipleList.9" hidden="1">"' Checked=""True"" /&gt;_x000D_
  &lt;Item Id=""955173461"" Checked=""True"" /&gt;_x000D_
  &lt;Item Id=""213451453"" Checked=""True"" /&gt;_x000D_
  &lt;Item Id=""144919751"" Checked=""True"" /&gt;_x000D_
  &lt;Item Id=""163862064"" Checked=""True"" /&gt;_x000D_
  &lt;Item Id=""753379316"" Checked=""True"" /&gt;'"</definedName>
    <definedName name="_AMO_SingleObject_129898925_ROM_F0.SEC2.Report_1.SEC1.BDY.Detailed_and_or_summarized_report" localSheetId="35" hidden="1">#REF!</definedName>
    <definedName name="_AMO_SingleObject_129898925_ROM_F0.SEC2.Report_1.SEC1.BDY.Detailed_and_or_summarized_report" localSheetId="15" hidden="1">#REF!</definedName>
    <definedName name="_AMO_SingleObject_129898925_ROM_F0.SEC2.Report_1.SEC1.BDY.Detailed_and_or_summarized_report" localSheetId="29" hidden="1">#REF!</definedName>
    <definedName name="_AMO_SingleObject_129898925_ROM_F0.SEC2.Report_1.SEC1.BDY.Detailed_and_or_summarized_report" localSheetId="30" hidden="1">#REF!</definedName>
    <definedName name="_AMO_SingleObject_129898925_ROM_F0.SEC2.Report_1.SEC1.BDY.Detailed_and_or_summarized_report" localSheetId="47" hidden="1">#REF!</definedName>
    <definedName name="_AMO_SingleObject_129898925_ROM_F0.SEC2.Report_1.SEC1.BDY.Detailed_and_or_summarized_report" localSheetId="44" hidden="1">#REF!</definedName>
    <definedName name="_AMO_SingleObject_129898925_ROM_F0.SEC2.Report_1.SEC1.BDY.Detailed_and_or_summarized_report" localSheetId="45" hidden="1">#REF!</definedName>
    <definedName name="_AMO_SingleObject_129898925_ROM_F0.SEC2.Report_1.SEC1.BDY.Detailed_and_or_summarized_report" localSheetId="46" hidden="1">#REF!</definedName>
    <definedName name="_AMO_SingleObject_129898925_ROM_F0.SEC2.Report_1.SEC1.BDY.Detailed_and_or_summarized_report" localSheetId="31" hidden="1">#REF!</definedName>
    <definedName name="_AMO_SingleObject_129898925_ROM_F0.SEC2.Report_1.SEC1.BDY.Detailed_and_or_summarized_report" localSheetId="32" hidden="1">#REF!</definedName>
    <definedName name="_AMO_SingleObject_129898925_ROM_F0.SEC2.Report_1.SEC1.BDY.Detailed_and_or_summarized_report" localSheetId="37" hidden="1">#REF!</definedName>
    <definedName name="_AMO_SingleObject_129898925_ROM_F0.SEC2.Report_1.SEC1.BDY.Detailed_and_or_summarized_report" localSheetId="40" hidden="1">#REF!</definedName>
    <definedName name="_AMO_SingleObject_129898925_ROM_F0.SEC2.Report_1.SEC1.BDY.Detailed_and_or_summarized_report" localSheetId="54" hidden="1">#REF!</definedName>
    <definedName name="_AMO_SingleObject_129898925_ROM_F0.SEC2.Report_1.SEC1.BDY.Detailed_and_or_summarized_report" localSheetId="55" hidden="1">#REF!</definedName>
    <definedName name="_AMO_SingleObject_129898925_ROM_F0.SEC2.Report_1.SEC1.BDY.Detailed_and_or_summarized_report" localSheetId="52" hidden="1">#REF!</definedName>
    <definedName name="_AMO_SingleObject_129898925_ROM_F0.SEC2.Report_1.SEC1.BDY.Detailed_and_or_summarized_report" localSheetId="23" hidden="1">#REF!</definedName>
    <definedName name="_AMO_SingleObject_129898925_ROM_F0.SEC2.Report_1.SEC1.BDY.Detailed_and_or_summarized_report" localSheetId="51" hidden="1">#REF!</definedName>
    <definedName name="_AMO_SingleObject_129898925_ROM_F0.SEC2.Report_1.SEC1.BDY.Detailed_and_or_summarized_report" localSheetId="53" hidden="1">#REF!</definedName>
    <definedName name="_AMO_SingleObject_129898925_ROM_F0.SEC2.Report_1.SEC1.BDY.Detailed_and_or_summarized_report" hidden="1">#REF!</definedName>
    <definedName name="_AMO_SingleObject_129898925_ROM_F0.SEC2.Report_1.SEC1.FTR.TXT1" localSheetId="35" hidden="1">#REF!</definedName>
    <definedName name="_AMO_SingleObject_129898925_ROM_F0.SEC2.Report_1.SEC1.FTR.TXT1" localSheetId="15" hidden="1">#REF!</definedName>
    <definedName name="_AMO_SingleObject_129898925_ROM_F0.SEC2.Report_1.SEC1.FTR.TXT1" localSheetId="29" hidden="1">#REF!</definedName>
    <definedName name="_AMO_SingleObject_129898925_ROM_F0.SEC2.Report_1.SEC1.FTR.TXT1" localSheetId="30" hidden="1">#REF!</definedName>
    <definedName name="_AMO_SingleObject_129898925_ROM_F0.SEC2.Report_1.SEC1.FTR.TXT1" localSheetId="47" hidden="1">#REF!</definedName>
    <definedName name="_AMO_SingleObject_129898925_ROM_F0.SEC2.Report_1.SEC1.FTR.TXT1" localSheetId="44" hidden="1">#REF!</definedName>
    <definedName name="_AMO_SingleObject_129898925_ROM_F0.SEC2.Report_1.SEC1.FTR.TXT1" localSheetId="45" hidden="1">#REF!</definedName>
    <definedName name="_AMO_SingleObject_129898925_ROM_F0.SEC2.Report_1.SEC1.FTR.TXT1" localSheetId="46" hidden="1">#REF!</definedName>
    <definedName name="_AMO_SingleObject_129898925_ROM_F0.SEC2.Report_1.SEC1.FTR.TXT1" localSheetId="31" hidden="1">#REF!</definedName>
    <definedName name="_AMO_SingleObject_129898925_ROM_F0.SEC2.Report_1.SEC1.FTR.TXT1" localSheetId="32" hidden="1">#REF!</definedName>
    <definedName name="_AMO_SingleObject_129898925_ROM_F0.SEC2.Report_1.SEC1.FTR.TXT1" localSheetId="37" hidden="1">#REF!</definedName>
    <definedName name="_AMO_SingleObject_129898925_ROM_F0.SEC2.Report_1.SEC1.FTR.TXT1" localSheetId="40" hidden="1">#REF!</definedName>
    <definedName name="_AMO_SingleObject_129898925_ROM_F0.SEC2.Report_1.SEC1.FTR.TXT1" localSheetId="54" hidden="1">#REF!</definedName>
    <definedName name="_AMO_SingleObject_129898925_ROM_F0.SEC2.Report_1.SEC1.FTR.TXT1" localSheetId="55" hidden="1">#REF!</definedName>
    <definedName name="_AMO_SingleObject_129898925_ROM_F0.SEC2.Report_1.SEC1.FTR.TXT1" localSheetId="52" hidden="1">#REF!</definedName>
    <definedName name="_AMO_SingleObject_129898925_ROM_F0.SEC2.Report_1.SEC1.FTR.TXT1" localSheetId="23" hidden="1">#REF!</definedName>
    <definedName name="_AMO_SingleObject_129898925_ROM_F0.SEC2.Report_1.SEC1.FTR.TXT1" localSheetId="51" hidden="1">#REF!</definedName>
    <definedName name="_AMO_SingleObject_129898925_ROM_F0.SEC2.Report_1.SEC1.FTR.TXT1" localSheetId="53" hidden="1">#REF!</definedName>
    <definedName name="_AMO_SingleObject_129898925_ROM_F0.SEC2.Report_1.SEC1.FTR.TXT1" hidden="1">#REF!</definedName>
    <definedName name="_AMO_SingleObject_129898925_ROM_F0.SEC2.Report_1.SEC1.FTR.TXT2" localSheetId="35" hidden="1">#REF!</definedName>
    <definedName name="_AMO_SingleObject_129898925_ROM_F0.SEC2.Report_1.SEC1.FTR.TXT2" localSheetId="15" hidden="1">#REF!</definedName>
    <definedName name="_AMO_SingleObject_129898925_ROM_F0.SEC2.Report_1.SEC1.FTR.TXT2" localSheetId="29" hidden="1">#REF!</definedName>
    <definedName name="_AMO_SingleObject_129898925_ROM_F0.SEC2.Report_1.SEC1.FTR.TXT2" localSheetId="30" hidden="1">#REF!</definedName>
    <definedName name="_AMO_SingleObject_129898925_ROM_F0.SEC2.Report_1.SEC1.FTR.TXT2" localSheetId="47" hidden="1">#REF!</definedName>
    <definedName name="_AMO_SingleObject_129898925_ROM_F0.SEC2.Report_1.SEC1.FTR.TXT2" localSheetId="44" hidden="1">#REF!</definedName>
    <definedName name="_AMO_SingleObject_129898925_ROM_F0.SEC2.Report_1.SEC1.FTR.TXT2" localSheetId="45" hidden="1">#REF!</definedName>
    <definedName name="_AMO_SingleObject_129898925_ROM_F0.SEC2.Report_1.SEC1.FTR.TXT2" localSheetId="46" hidden="1">#REF!</definedName>
    <definedName name="_AMO_SingleObject_129898925_ROM_F0.SEC2.Report_1.SEC1.FTR.TXT2" localSheetId="31" hidden="1">#REF!</definedName>
    <definedName name="_AMO_SingleObject_129898925_ROM_F0.SEC2.Report_1.SEC1.FTR.TXT2" localSheetId="32" hidden="1">#REF!</definedName>
    <definedName name="_AMO_SingleObject_129898925_ROM_F0.SEC2.Report_1.SEC1.FTR.TXT2" localSheetId="37" hidden="1">#REF!</definedName>
    <definedName name="_AMO_SingleObject_129898925_ROM_F0.SEC2.Report_1.SEC1.FTR.TXT2" localSheetId="40" hidden="1">#REF!</definedName>
    <definedName name="_AMO_SingleObject_129898925_ROM_F0.SEC2.Report_1.SEC1.FTR.TXT2" localSheetId="54" hidden="1">#REF!</definedName>
    <definedName name="_AMO_SingleObject_129898925_ROM_F0.SEC2.Report_1.SEC1.FTR.TXT2" localSheetId="55" hidden="1">#REF!</definedName>
    <definedName name="_AMO_SingleObject_129898925_ROM_F0.SEC2.Report_1.SEC1.FTR.TXT2" localSheetId="52" hidden="1">#REF!</definedName>
    <definedName name="_AMO_SingleObject_129898925_ROM_F0.SEC2.Report_1.SEC1.FTR.TXT2" localSheetId="23" hidden="1">#REF!</definedName>
    <definedName name="_AMO_SingleObject_129898925_ROM_F0.SEC2.Report_1.SEC1.FTR.TXT2" localSheetId="51" hidden="1">#REF!</definedName>
    <definedName name="_AMO_SingleObject_129898925_ROM_F0.SEC2.Report_1.SEC1.FTR.TXT2" localSheetId="53" hidden="1">#REF!</definedName>
    <definedName name="_AMO_SingleObject_129898925_ROM_F0.SEC2.Report_1.SEC1.FTR.TXT2" hidden="1">#REF!</definedName>
    <definedName name="_AMO_SingleObject_129898925_ROM_F0.SEC2.Report_1.SEC1.HDR.TXT1" localSheetId="35" hidden="1">#REF!</definedName>
    <definedName name="_AMO_SingleObject_129898925_ROM_F0.SEC2.Report_1.SEC1.HDR.TXT1" localSheetId="15" hidden="1">#REF!</definedName>
    <definedName name="_AMO_SingleObject_129898925_ROM_F0.SEC2.Report_1.SEC1.HDR.TXT1" localSheetId="29" hidden="1">#REF!</definedName>
    <definedName name="_AMO_SingleObject_129898925_ROM_F0.SEC2.Report_1.SEC1.HDR.TXT1" localSheetId="30" hidden="1">#REF!</definedName>
    <definedName name="_AMO_SingleObject_129898925_ROM_F0.SEC2.Report_1.SEC1.HDR.TXT1" localSheetId="47" hidden="1">#REF!</definedName>
    <definedName name="_AMO_SingleObject_129898925_ROM_F0.SEC2.Report_1.SEC1.HDR.TXT1" localSheetId="44" hidden="1">#REF!</definedName>
    <definedName name="_AMO_SingleObject_129898925_ROM_F0.SEC2.Report_1.SEC1.HDR.TXT1" localSheetId="45" hidden="1">#REF!</definedName>
    <definedName name="_AMO_SingleObject_129898925_ROM_F0.SEC2.Report_1.SEC1.HDR.TXT1" localSheetId="46" hidden="1">#REF!</definedName>
    <definedName name="_AMO_SingleObject_129898925_ROM_F0.SEC2.Report_1.SEC1.HDR.TXT1" localSheetId="31" hidden="1">#REF!</definedName>
    <definedName name="_AMO_SingleObject_129898925_ROM_F0.SEC2.Report_1.SEC1.HDR.TXT1" localSheetId="32" hidden="1">#REF!</definedName>
    <definedName name="_AMO_SingleObject_129898925_ROM_F0.SEC2.Report_1.SEC1.HDR.TXT1" localSheetId="37" hidden="1">#REF!</definedName>
    <definedName name="_AMO_SingleObject_129898925_ROM_F0.SEC2.Report_1.SEC1.HDR.TXT1" localSheetId="40" hidden="1">#REF!</definedName>
    <definedName name="_AMO_SingleObject_129898925_ROM_F0.SEC2.Report_1.SEC1.HDR.TXT1" localSheetId="54" hidden="1">#REF!</definedName>
    <definedName name="_AMO_SingleObject_129898925_ROM_F0.SEC2.Report_1.SEC1.HDR.TXT1" localSheetId="55" hidden="1">#REF!</definedName>
    <definedName name="_AMO_SingleObject_129898925_ROM_F0.SEC2.Report_1.SEC1.HDR.TXT1" localSheetId="52" hidden="1">#REF!</definedName>
    <definedName name="_AMO_SingleObject_129898925_ROM_F0.SEC2.Report_1.SEC1.HDR.TXT1" localSheetId="23" hidden="1">#REF!</definedName>
    <definedName name="_AMO_SingleObject_129898925_ROM_F0.SEC2.Report_1.SEC1.HDR.TXT1" localSheetId="51" hidden="1">#REF!</definedName>
    <definedName name="_AMO_SingleObject_129898925_ROM_F0.SEC2.Report_1.SEC1.HDR.TXT1" localSheetId="53" hidden="1">#REF!</definedName>
    <definedName name="_AMO_SingleObject_129898925_ROM_F0.SEC2.Report_1.SEC1.HDR.TXT1" hidden="1">#REF!</definedName>
    <definedName name="_AMO_SingleObject_129898925_ROM_F0.SEC2.Report_1.SEC1.HDR.TXT2" localSheetId="35" hidden="1">#REF!</definedName>
    <definedName name="_AMO_SingleObject_129898925_ROM_F0.SEC2.Report_1.SEC1.HDR.TXT2" localSheetId="15" hidden="1">#REF!</definedName>
    <definedName name="_AMO_SingleObject_129898925_ROM_F0.SEC2.Report_1.SEC1.HDR.TXT2" localSheetId="29" hidden="1">#REF!</definedName>
    <definedName name="_AMO_SingleObject_129898925_ROM_F0.SEC2.Report_1.SEC1.HDR.TXT2" localSheetId="30" hidden="1">#REF!</definedName>
    <definedName name="_AMO_SingleObject_129898925_ROM_F0.SEC2.Report_1.SEC1.HDR.TXT2" localSheetId="47" hidden="1">#REF!</definedName>
    <definedName name="_AMO_SingleObject_129898925_ROM_F0.SEC2.Report_1.SEC1.HDR.TXT2" localSheetId="44" hidden="1">#REF!</definedName>
    <definedName name="_AMO_SingleObject_129898925_ROM_F0.SEC2.Report_1.SEC1.HDR.TXT2" localSheetId="45" hidden="1">#REF!</definedName>
    <definedName name="_AMO_SingleObject_129898925_ROM_F0.SEC2.Report_1.SEC1.HDR.TXT2" localSheetId="46" hidden="1">#REF!</definedName>
    <definedName name="_AMO_SingleObject_129898925_ROM_F0.SEC2.Report_1.SEC1.HDR.TXT2" localSheetId="31" hidden="1">#REF!</definedName>
    <definedName name="_AMO_SingleObject_129898925_ROM_F0.SEC2.Report_1.SEC1.HDR.TXT2" localSheetId="32" hidden="1">#REF!</definedName>
    <definedName name="_AMO_SingleObject_129898925_ROM_F0.SEC2.Report_1.SEC1.HDR.TXT2" localSheetId="37" hidden="1">#REF!</definedName>
    <definedName name="_AMO_SingleObject_129898925_ROM_F0.SEC2.Report_1.SEC1.HDR.TXT2" localSheetId="40" hidden="1">#REF!</definedName>
    <definedName name="_AMO_SingleObject_129898925_ROM_F0.SEC2.Report_1.SEC1.HDR.TXT2" localSheetId="54" hidden="1">#REF!</definedName>
    <definedName name="_AMO_SingleObject_129898925_ROM_F0.SEC2.Report_1.SEC1.HDR.TXT2" localSheetId="55" hidden="1">#REF!</definedName>
    <definedName name="_AMO_SingleObject_129898925_ROM_F0.SEC2.Report_1.SEC1.HDR.TXT2" localSheetId="52" hidden="1">#REF!</definedName>
    <definedName name="_AMO_SingleObject_129898925_ROM_F0.SEC2.Report_1.SEC1.HDR.TXT2" localSheetId="23" hidden="1">#REF!</definedName>
    <definedName name="_AMO_SingleObject_129898925_ROM_F0.SEC2.Report_1.SEC1.HDR.TXT2" localSheetId="51" hidden="1">#REF!</definedName>
    <definedName name="_AMO_SingleObject_129898925_ROM_F0.SEC2.Report_1.SEC1.HDR.TXT2" localSheetId="53" hidden="1">#REF!</definedName>
    <definedName name="_AMO_SingleObject_129898925_ROM_F0.SEC2.Report_1.SEC1.HDR.TXT2" hidden="1">#REF!</definedName>
    <definedName name="_AMO_SingleObject_129898925_ROM_F0.SEC2.Report_1.SEC1.HDR.TXT3" localSheetId="35" hidden="1">#REF!</definedName>
    <definedName name="_AMO_SingleObject_129898925_ROM_F0.SEC2.Report_1.SEC1.HDR.TXT3" localSheetId="15" hidden="1">#REF!</definedName>
    <definedName name="_AMO_SingleObject_129898925_ROM_F0.SEC2.Report_1.SEC1.HDR.TXT3" localSheetId="29" hidden="1">#REF!</definedName>
    <definedName name="_AMO_SingleObject_129898925_ROM_F0.SEC2.Report_1.SEC1.HDR.TXT3" localSheetId="30" hidden="1">#REF!</definedName>
    <definedName name="_AMO_SingleObject_129898925_ROM_F0.SEC2.Report_1.SEC1.HDR.TXT3" localSheetId="47" hidden="1">#REF!</definedName>
    <definedName name="_AMO_SingleObject_129898925_ROM_F0.SEC2.Report_1.SEC1.HDR.TXT3" localSheetId="44" hidden="1">#REF!</definedName>
    <definedName name="_AMO_SingleObject_129898925_ROM_F0.SEC2.Report_1.SEC1.HDR.TXT3" localSheetId="45" hidden="1">#REF!</definedName>
    <definedName name="_AMO_SingleObject_129898925_ROM_F0.SEC2.Report_1.SEC1.HDR.TXT3" localSheetId="46" hidden="1">#REF!</definedName>
    <definedName name="_AMO_SingleObject_129898925_ROM_F0.SEC2.Report_1.SEC1.HDR.TXT3" localSheetId="31" hidden="1">#REF!</definedName>
    <definedName name="_AMO_SingleObject_129898925_ROM_F0.SEC2.Report_1.SEC1.HDR.TXT3" localSheetId="32" hidden="1">#REF!</definedName>
    <definedName name="_AMO_SingleObject_129898925_ROM_F0.SEC2.Report_1.SEC1.HDR.TXT3" localSheetId="37" hidden="1">#REF!</definedName>
    <definedName name="_AMO_SingleObject_129898925_ROM_F0.SEC2.Report_1.SEC1.HDR.TXT3" localSheetId="40" hidden="1">#REF!</definedName>
    <definedName name="_AMO_SingleObject_129898925_ROM_F0.SEC2.Report_1.SEC1.HDR.TXT3" localSheetId="54" hidden="1">#REF!</definedName>
    <definedName name="_AMO_SingleObject_129898925_ROM_F0.SEC2.Report_1.SEC1.HDR.TXT3" localSheetId="55" hidden="1">#REF!</definedName>
    <definedName name="_AMO_SingleObject_129898925_ROM_F0.SEC2.Report_1.SEC1.HDR.TXT3" localSheetId="52" hidden="1">#REF!</definedName>
    <definedName name="_AMO_SingleObject_129898925_ROM_F0.SEC2.Report_1.SEC1.HDR.TXT3" localSheetId="23" hidden="1">#REF!</definedName>
    <definedName name="_AMO_SingleObject_129898925_ROM_F0.SEC2.Report_1.SEC1.HDR.TXT3" localSheetId="51" hidden="1">#REF!</definedName>
    <definedName name="_AMO_SingleObject_129898925_ROM_F0.SEC2.Report_1.SEC1.HDR.TXT3" localSheetId="53" hidden="1">#REF!</definedName>
    <definedName name="_AMO_SingleObject_129898925_ROM_F0.SEC2.Report_1.SEC1.HDR.TXT3" hidden="1">#REF!</definedName>
    <definedName name="_AMO_SingleObject_519958709__A1" localSheetId="50" hidden="1">#REF!</definedName>
    <definedName name="_AMO_SingleObject_519958709__A1" localSheetId="47" hidden="1">#REF!</definedName>
    <definedName name="_AMO_SingleObject_519958709__A1" localSheetId="44" hidden="1">#REF!</definedName>
    <definedName name="_AMO_SingleObject_519958709__A1" localSheetId="45" hidden="1">#REF!</definedName>
    <definedName name="_AMO_SingleObject_519958709__A1" localSheetId="46" hidden="1">#REF!</definedName>
    <definedName name="_AMO_SingleObject_519958709__A1" localSheetId="37" hidden="1">#REF!</definedName>
    <definedName name="_AMO_SingleObject_519958709__A1" localSheetId="40" hidden="1">#REF!</definedName>
    <definedName name="_AMO_SingleObject_519958709__A1" localSheetId="54" hidden="1">#REF!</definedName>
    <definedName name="_AMO_SingleObject_519958709__A1" localSheetId="55" hidden="1">#REF!</definedName>
    <definedName name="_AMO_SingleObject_519958709__A1" localSheetId="52" hidden="1">#REF!</definedName>
    <definedName name="_AMO_SingleObject_519958709__A1" localSheetId="51" hidden="1">#REF!</definedName>
    <definedName name="_AMO_SingleObject_519958709__A1" localSheetId="53" hidden="1">#REF!</definedName>
    <definedName name="_AMO_SingleObject_519958709__A1" hidden="1">#REF!</definedName>
    <definedName name="_AMO_SingleObject_645720293__A1" localSheetId="50" hidden="1">#REF!</definedName>
    <definedName name="_AMO_SingleObject_645720293__A1" localSheetId="47" hidden="1">#REF!</definedName>
    <definedName name="_AMO_SingleObject_645720293__A1" localSheetId="44" hidden="1">#REF!</definedName>
    <definedName name="_AMO_SingleObject_645720293__A1" localSheetId="45" hidden="1">#REF!</definedName>
    <definedName name="_AMO_SingleObject_645720293__A1" localSheetId="46" hidden="1">#REF!</definedName>
    <definedName name="_AMO_SingleObject_645720293__A1" localSheetId="37" hidden="1">#REF!</definedName>
    <definedName name="_AMO_SingleObject_645720293__A1" localSheetId="40" hidden="1">#REF!</definedName>
    <definedName name="_AMO_SingleObject_645720293__A1" localSheetId="54" hidden="1">#REF!</definedName>
    <definedName name="_AMO_SingleObject_645720293__A1" localSheetId="55" hidden="1">#REF!</definedName>
    <definedName name="_AMO_SingleObject_645720293__A1" localSheetId="52" hidden="1">#REF!</definedName>
    <definedName name="_AMO_SingleObject_645720293__A1" localSheetId="51" hidden="1">#REF!</definedName>
    <definedName name="_AMO_SingleObject_645720293__A1" localSheetId="53" hidden="1">#REF!</definedName>
    <definedName name="_AMO_SingleObject_645720293__A1" hidden="1">#REF!</definedName>
    <definedName name="_AMO_SingleObject_72646327__A1" localSheetId="37" hidden="1">#REF!</definedName>
    <definedName name="_AMO_SingleObject_72646327__A1" hidden="1">#REF!</definedName>
    <definedName name="_AMO_UniqueIdentifier" hidden="1">"'61714c78-704e-4e4b-8407-3bf81b528cde'"</definedName>
    <definedName name="_AMO_XmlVersion" hidden="1">"'1'"</definedName>
    <definedName name="_ANO97" localSheetId="34">#REF!</definedName>
    <definedName name="_ANO97" localSheetId="35">#REF!</definedName>
    <definedName name="_ANO97" localSheetId="50">#REF!</definedName>
    <definedName name="_ANO97" localSheetId="15">#REF!</definedName>
    <definedName name="_ANO97" localSheetId="29">#REF!</definedName>
    <definedName name="_ANO97" localSheetId="30">#REF!</definedName>
    <definedName name="_ANO97" localSheetId="47">#REF!</definedName>
    <definedName name="_ANO97" localSheetId="44">#REF!</definedName>
    <definedName name="_ANO97" localSheetId="45">#REF!</definedName>
    <definedName name="_ANO97" localSheetId="46">#REF!</definedName>
    <definedName name="_ANO97" localSheetId="31">#REF!</definedName>
    <definedName name="_ANO97" localSheetId="32">#REF!</definedName>
    <definedName name="_ANO97" localSheetId="33">#REF!</definedName>
    <definedName name="_ANO97" localSheetId="36">#REF!</definedName>
    <definedName name="_ANO97" localSheetId="37">#REF!</definedName>
    <definedName name="_ANO97" localSheetId="38">#REF!</definedName>
    <definedName name="_ANO97" localSheetId="39">#REF!</definedName>
    <definedName name="_ANO97" localSheetId="40">#REF!</definedName>
    <definedName name="_ANO97" localSheetId="54">#REF!</definedName>
    <definedName name="_ANO97" localSheetId="55">#REF!</definedName>
    <definedName name="_ANO97" localSheetId="52">#REF!</definedName>
    <definedName name="_ANO97" localSheetId="23">#REF!</definedName>
    <definedName name="_ANO97" localSheetId="51">#REF!</definedName>
    <definedName name="_ANO97" localSheetId="53">#REF!</definedName>
    <definedName name="_ANO97" localSheetId="20">#REF!</definedName>
    <definedName name="_ANO97">#REF!</definedName>
    <definedName name="_ANO98" localSheetId="34">#REF!</definedName>
    <definedName name="_ANO98" localSheetId="35">#REF!</definedName>
    <definedName name="_ANO98" localSheetId="50">#REF!</definedName>
    <definedName name="_ANO98" localSheetId="15">#REF!</definedName>
    <definedName name="_ANO98" localSheetId="29">#REF!</definedName>
    <definedName name="_ANO98" localSheetId="30">#REF!</definedName>
    <definedName name="_ANO98" localSheetId="47">#REF!</definedName>
    <definedName name="_ANO98" localSheetId="44">#REF!</definedName>
    <definedName name="_ANO98" localSheetId="45">#REF!</definedName>
    <definedName name="_ANO98" localSheetId="46">#REF!</definedName>
    <definedName name="_ANO98" localSheetId="31">#REF!</definedName>
    <definedName name="_ANO98" localSheetId="32">#REF!</definedName>
    <definedName name="_ANO98" localSheetId="33">#REF!</definedName>
    <definedName name="_ANO98" localSheetId="36">#REF!</definedName>
    <definedName name="_ANO98" localSheetId="37">#REF!</definedName>
    <definedName name="_ANO98" localSheetId="38">#REF!</definedName>
    <definedName name="_ANO98" localSheetId="39">#REF!</definedName>
    <definedName name="_ANO98" localSheetId="40">#REF!</definedName>
    <definedName name="_ANO98" localSheetId="54">#REF!</definedName>
    <definedName name="_ANO98" localSheetId="55">#REF!</definedName>
    <definedName name="_ANO98" localSheetId="52">#REF!</definedName>
    <definedName name="_ANO98" localSheetId="23">#REF!</definedName>
    <definedName name="_ANO98" localSheetId="51">#REF!</definedName>
    <definedName name="_ANO98" localSheetId="53">#REF!</definedName>
    <definedName name="_ANO98" localSheetId="20">#REF!</definedName>
    <definedName name="_ANO98">#REF!</definedName>
    <definedName name="_ANO99" localSheetId="34">#REF!</definedName>
    <definedName name="_ANO99" localSheetId="35">#REF!</definedName>
    <definedName name="_ANO99" localSheetId="50">#REF!</definedName>
    <definedName name="_ANO99" localSheetId="15">#REF!</definedName>
    <definedName name="_ANO99" localSheetId="29">#REF!</definedName>
    <definedName name="_ANO99" localSheetId="30">#REF!</definedName>
    <definedName name="_ANO99" localSheetId="47">#REF!</definedName>
    <definedName name="_ANO99" localSheetId="44">#REF!</definedName>
    <definedName name="_ANO99" localSheetId="45">#REF!</definedName>
    <definedName name="_ANO99" localSheetId="46">#REF!</definedName>
    <definedName name="_ANO99" localSheetId="31">#REF!</definedName>
    <definedName name="_ANO99" localSheetId="32">#REF!</definedName>
    <definedName name="_ANO99" localSheetId="33">#REF!</definedName>
    <definedName name="_ANO99" localSheetId="36">#REF!</definedName>
    <definedName name="_ANO99" localSheetId="37">#REF!</definedName>
    <definedName name="_ANO99" localSheetId="38">#REF!</definedName>
    <definedName name="_ANO99" localSheetId="39">#REF!</definedName>
    <definedName name="_ANO99" localSheetId="40">#REF!</definedName>
    <definedName name="_ANO99" localSheetId="54">#REF!</definedName>
    <definedName name="_ANO99" localSheetId="55">#REF!</definedName>
    <definedName name="_ANO99" localSheetId="52">#REF!</definedName>
    <definedName name="_ANO99" localSheetId="23">#REF!</definedName>
    <definedName name="_ANO99" localSheetId="51">#REF!</definedName>
    <definedName name="_ANO99" localSheetId="53">#REF!</definedName>
    <definedName name="_ANO99" localSheetId="20">#REF!</definedName>
    <definedName name="_ANO99">#REF!</definedName>
    <definedName name="_bem98" localSheetId="34">[27]Programa!#REF!</definedName>
    <definedName name="_bem98" localSheetId="35">[27]Programa!#REF!</definedName>
    <definedName name="_bem98" localSheetId="50">[27]Programa!#REF!</definedName>
    <definedName name="_bem98" localSheetId="15">[27]Programa!#REF!</definedName>
    <definedName name="_bem98" localSheetId="29">[27]Programa!#REF!</definedName>
    <definedName name="_bem98" localSheetId="30">[27]Programa!#REF!</definedName>
    <definedName name="_bem98" localSheetId="47">[27]Programa!#REF!</definedName>
    <definedName name="_bem98" localSheetId="44">[27]Programa!#REF!</definedName>
    <definedName name="_bem98" localSheetId="45">[27]Programa!#REF!</definedName>
    <definedName name="_bem98" localSheetId="46">[27]Programa!#REF!</definedName>
    <definedName name="_bem98" localSheetId="31">[27]Programa!#REF!</definedName>
    <definedName name="_bem98" localSheetId="32">[27]Programa!#REF!</definedName>
    <definedName name="_bem98" localSheetId="33">[27]Programa!#REF!</definedName>
    <definedName name="_bem98" localSheetId="36">[27]Programa!#REF!</definedName>
    <definedName name="_bem98" localSheetId="37">[27]Programa!#REF!</definedName>
    <definedName name="_bem98" localSheetId="38">[27]Programa!#REF!</definedName>
    <definedName name="_bem98" localSheetId="39">[27]Programa!#REF!</definedName>
    <definedName name="_bem98" localSheetId="40">[27]Programa!#REF!</definedName>
    <definedName name="_bem98" localSheetId="54">[27]Programa!#REF!</definedName>
    <definedName name="_bem98" localSheetId="55">[27]Programa!#REF!</definedName>
    <definedName name="_bem98" localSheetId="52">[27]Programa!#REF!</definedName>
    <definedName name="_bem98" localSheetId="23">[27]Programa!#REF!</definedName>
    <definedName name="_bem98" localSheetId="51">[27]Programa!#REF!</definedName>
    <definedName name="_bem98" localSheetId="53">[27]Programa!#REF!</definedName>
    <definedName name="_bem98" localSheetId="20">[27]Programa!#REF!</definedName>
    <definedName name="_bem98">[27]Programa!#REF!</definedName>
    <definedName name="_BOP1" localSheetId="34">#REF!</definedName>
    <definedName name="_BOP1" localSheetId="35">#REF!</definedName>
    <definedName name="_BOP1" localSheetId="50">#REF!</definedName>
    <definedName name="_BOP1" localSheetId="15">#REF!</definedName>
    <definedName name="_BOP1" localSheetId="29">#REF!</definedName>
    <definedName name="_BOP1" localSheetId="30">#REF!</definedName>
    <definedName name="_BOP1" localSheetId="47">#REF!</definedName>
    <definedName name="_BOP1" localSheetId="44">#REF!</definedName>
    <definedName name="_BOP1" localSheetId="45">#REF!</definedName>
    <definedName name="_BOP1" localSheetId="46">#REF!</definedName>
    <definedName name="_BOP1" localSheetId="31">#REF!</definedName>
    <definedName name="_BOP1" localSheetId="32">#REF!</definedName>
    <definedName name="_BOP1" localSheetId="33">#REF!</definedName>
    <definedName name="_BOP1" localSheetId="36">#REF!</definedName>
    <definedName name="_BOP1" localSheetId="37">#REF!</definedName>
    <definedName name="_BOP1" localSheetId="38">#REF!</definedName>
    <definedName name="_BOP1" localSheetId="39">#REF!</definedName>
    <definedName name="_BOP1" localSheetId="40">#REF!</definedName>
    <definedName name="_BOP1" localSheetId="54">#REF!</definedName>
    <definedName name="_BOP1" localSheetId="55">#REF!</definedName>
    <definedName name="_BOP1" localSheetId="52">#REF!</definedName>
    <definedName name="_BOP1" localSheetId="23">#REF!</definedName>
    <definedName name="_BOP1" localSheetId="51">#REF!</definedName>
    <definedName name="_BOP1" localSheetId="53">#REF!</definedName>
    <definedName name="_BOP1" localSheetId="20">#REF!</definedName>
    <definedName name="_BOP1">#REF!</definedName>
    <definedName name="_BOP2" localSheetId="34">[28]BoP!#REF!</definedName>
    <definedName name="_BOP2" localSheetId="35">[28]BoP!#REF!</definedName>
    <definedName name="_BOP2" localSheetId="50">[29]BoP!#REF!</definedName>
    <definedName name="_BOP2" localSheetId="15">[28]BoP!#REF!</definedName>
    <definedName name="_BOP2" localSheetId="29">[28]BoP!#REF!</definedName>
    <definedName name="_BOP2" localSheetId="30">[28]BoP!#REF!</definedName>
    <definedName name="_BOP2" localSheetId="47">[28]BoP!#REF!</definedName>
    <definedName name="_BOP2" localSheetId="44">[29]BoP!#REF!</definedName>
    <definedName name="_BOP2" localSheetId="45">[28]BoP!#REF!</definedName>
    <definedName name="_BOP2" localSheetId="46">[28]BoP!#REF!</definedName>
    <definedName name="_BOP2" localSheetId="31">[28]BoP!#REF!</definedName>
    <definedName name="_BOP2" localSheetId="32">[28]BoP!#REF!</definedName>
    <definedName name="_BOP2" localSheetId="33">[28]BoP!#REF!</definedName>
    <definedName name="_BOP2" localSheetId="36">[28]BoP!#REF!</definedName>
    <definedName name="_BOP2" localSheetId="37">[28]BoP!#REF!</definedName>
    <definedName name="_BOP2" localSheetId="38">[28]BoP!#REF!</definedName>
    <definedName name="_BOP2" localSheetId="39">[28]BoP!#REF!</definedName>
    <definedName name="_BOP2" localSheetId="40">[28]BoP!#REF!</definedName>
    <definedName name="_BOP2" localSheetId="54">[29]BoP!#REF!</definedName>
    <definedName name="_BOP2" localSheetId="55">[28]BoP!#REF!</definedName>
    <definedName name="_BOP2" localSheetId="52">[29]BoP!#REF!</definedName>
    <definedName name="_BOP2" localSheetId="23">[28]BoP!#REF!</definedName>
    <definedName name="_BOP2" localSheetId="51">[29]BoP!#REF!</definedName>
    <definedName name="_BOP2" localSheetId="53">[29]BoP!#REF!</definedName>
    <definedName name="_BOP2" localSheetId="20">[28]BoP!#REF!</definedName>
    <definedName name="_BOP2">[28]BoP!#REF!</definedName>
    <definedName name="_dcc98" localSheetId="34">[27]Programa!#REF!</definedName>
    <definedName name="_dcc98" localSheetId="35">[27]Programa!#REF!</definedName>
    <definedName name="_dcc98" localSheetId="50">[27]Programa!#REF!</definedName>
    <definedName name="_dcc98" localSheetId="15">[27]Programa!#REF!</definedName>
    <definedName name="_dcc98" localSheetId="29">[27]Programa!#REF!</definedName>
    <definedName name="_dcc98" localSheetId="30">[27]Programa!#REF!</definedName>
    <definedName name="_dcc98" localSheetId="47">[27]Programa!#REF!</definedName>
    <definedName name="_dcc98" localSheetId="44">[27]Programa!#REF!</definedName>
    <definedName name="_dcc98" localSheetId="45">[27]Programa!#REF!</definedName>
    <definedName name="_dcc98" localSheetId="46">[27]Programa!#REF!</definedName>
    <definedName name="_dcc98" localSheetId="31">[27]Programa!#REF!</definedName>
    <definedName name="_dcc98" localSheetId="32">[27]Programa!#REF!</definedName>
    <definedName name="_dcc98" localSheetId="33">[27]Programa!#REF!</definedName>
    <definedName name="_dcc98" localSheetId="36">[27]Programa!#REF!</definedName>
    <definedName name="_dcc98" localSheetId="37">[27]Programa!#REF!</definedName>
    <definedName name="_dcc98" localSheetId="38">[27]Programa!#REF!</definedName>
    <definedName name="_dcc98" localSheetId="39">[27]Programa!#REF!</definedName>
    <definedName name="_dcc98" localSheetId="40">[27]Programa!#REF!</definedName>
    <definedName name="_dcc98" localSheetId="54">[27]Programa!#REF!</definedName>
    <definedName name="_dcc98" localSheetId="55">[27]Programa!#REF!</definedName>
    <definedName name="_dcc98" localSheetId="52">[27]Programa!#REF!</definedName>
    <definedName name="_dcc98" localSheetId="23">[27]Programa!#REF!</definedName>
    <definedName name="_dcc98" localSheetId="51">[27]Programa!#REF!</definedName>
    <definedName name="_dcc98" localSheetId="53">[27]Programa!#REF!</definedName>
    <definedName name="_dcc98" localSheetId="20">[27]Programa!#REF!</definedName>
    <definedName name="_dcc98">[27]Programa!#REF!</definedName>
    <definedName name="_DIA1" localSheetId="34">#REF!</definedName>
    <definedName name="_DIA1" localSheetId="35">#REF!</definedName>
    <definedName name="_DIA1" localSheetId="50">#REF!</definedName>
    <definedName name="_DIA1" localSheetId="15">#REF!</definedName>
    <definedName name="_DIA1" localSheetId="29">#REF!</definedName>
    <definedName name="_DIA1" localSheetId="30">#REF!</definedName>
    <definedName name="_DIA1" localSheetId="47">#REF!</definedName>
    <definedName name="_DIA1" localSheetId="44">#REF!</definedName>
    <definedName name="_DIA1" localSheetId="45">#REF!</definedName>
    <definedName name="_DIA1" localSheetId="46">#REF!</definedName>
    <definedName name="_DIA1" localSheetId="31">#REF!</definedName>
    <definedName name="_DIA1" localSheetId="32">#REF!</definedName>
    <definedName name="_DIA1" localSheetId="33">#REF!</definedName>
    <definedName name="_DIA1" localSheetId="36">#REF!</definedName>
    <definedName name="_DIA1" localSheetId="37">#REF!</definedName>
    <definedName name="_DIA1" localSheetId="38">#REF!</definedName>
    <definedName name="_DIA1" localSheetId="39">#REF!</definedName>
    <definedName name="_DIA1" localSheetId="40">#REF!</definedName>
    <definedName name="_DIA1" localSheetId="54">#REF!</definedName>
    <definedName name="_DIA1" localSheetId="55">#REF!</definedName>
    <definedName name="_DIA1" localSheetId="52">#REF!</definedName>
    <definedName name="_DIA1" localSheetId="23">#REF!</definedName>
    <definedName name="_DIA1" localSheetId="51">#REF!</definedName>
    <definedName name="_DIA1" localSheetId="53">#REF!</definedName>
    <definedName name="_DIA1" localSheetId="20">#REF!</definedName>
    <definedName name="_DIA1">#REF!</definedName>
    <definedName name="_dic97" localSheetId="34">#REF!</definedName>
    <definedName name="_dic97" localSheetId="35">#REF!</definedName>
    <definedName name="_dic97" localSheetId="50">#REF!</definedName>
    <definedName name="_dic97" localSheetId="15">#REF!</definedName>
    <definedName name="_dic97" localSheetId="29">#REF!</definedName>
    <definedName name="_dic97" localSheetId="30">#REF!</definedName>
    <definedName name="_dic97" localSheetId="47">#REF!</definedName>
    <definedName name="_dic97" localSheetId="44">#REF!</definedName>
    <definedName name="_dic97" localSheetId="45">#REF!</definedName>
    <definedName name="_dic97" localSheetId="46">#REF!</definedName>
    <definedName name="_dic97" localSheetId="31">#REF!</definedName>
    <definedName name="_dic97" localSheetId="32">#REF!</definedName>
    <definedName name="_dic97" localSheetId="33">#REF!</definedName>
    <definedName name="_dic97" localSheetId="36">#REF!</definedName>
    <definedName name="_dic97" localSheetId="37">#REF!</definedName>
    <definedName name="_dic97" localSheetId="38">#REF!</definedName>
    <definedName name="_dic97" localSheetId="39">#REF!</definedName>
    <definedName name="_dic97" localSheetId="40">#REF!</definedName>
    <definedName name="_dic97" localSheetId="54">#REF!</definedName>
    <definedName name="_dic97" localSheetId="55">#REF!</definedName>
    <definedName name="_dic97" localSheetId="52">#REF!</definedName>
    <definedName name="_dic97" localSheetId="23">#REF!</definedName>
    <definedName name="_dic97" localSheetId="51">#REF!</definedName>
    <definedName name="_dic97" localSheetId="53">#REF!</definedName>
    <definedName name="_dic97" localSheetId="20">#REF!</definedName>
    <definedName name="_dic97">#REF!</definedName>
    <definedName name="_Dist_Bin" localSheetId="50" hidden="1">#REF!</definedName>
    <definedName name="_Dist_Bin" localSheetId="47" hidden="1">#REF!</definedName>
    <definedName name="_Dist_Bin" localSheetId="44" hidden="1">#REF!</definedName>
    <definedName name="_Dist_Bin" localSheetId="45" hidden="1">#REF!</definedName>
    <definedName name="_Dist_Bin" localSheetId="46" hidden="1">#REF!</definedName>
    <definedName name="_Dist_Bin" localSheetId="37" hidden="1">#REF!</definedName>
    <definedName name="_Dist_Bin" localSheetId="40" hidden="1">#REF!</definedName>
    <definedName name="_Dist_Bin" localSheetId="54" hidden="1">#REF!</definedName>
    <definedName name="_Dist_Bin" localSheetId="55" hidden="1">#REF!</definedName>
    <definedName name="_Dist_Bin" localSheetId="52" hidden="1">#REF!</definedName>
    <definedName name="_Dist_Bin" localSheetId="51" hidden="1">#REF!</definedName>
    <definedName name="_Dist_Bin" localSheetId="53" hidden="1">#REF!</definedName>
    <definedName name="_Dist_Bin" hidden="1">#REF!</definedName>
    <definedName name="_Dist_Values" localSheetId="50" hidden="1">#REF!</definedName>
    <definedName name="_Dist_Values" localSheetId="47" hidden="1">#REF!</definedName>
    <definedName name="_Dist_Values" localSheetId="44" hidden="1">#REF!</definedName>
    <definedName name="_Dist_Values" localSheetId="45" hidden="1">#REF!</definedName>
    <definedName name="_Dist_Values" localSheetId="46" hidden="1">#REF!</definedName>
    <definedName name="_Dist_Values" localSheetId="37" hidden="1">#REF!</definedName>
    <definedName name="_Dist_Values" localSheetId="40" hidden="1">#REF!</definedName>
    <definedName name="_Dist_Values" localSheetId="54" hidden="1">#REF!</definedName>
    <definedName name="_Dist_Values" localSheetId="55" hidden="1">#REF!</definedName>
    <definedName name="_Dist_Values" localSheetId="52" hidden="1">#REF!</definedName>
    <definedName name="_Dist_Values" localSheetId="51" hidden="1">#REF!</definedName>
    <definedName name="_Dist_Values" localSheetId="53" hidden="1">#REF!</definedName>
    <definedName name="_Dist_Values" hidden="1">#REF!</definedName>
    <definedName name="_END94" localSheetId="50">#REF!</definedName>
    <definedName name="_END94" localSheetId="47">#REF!</definedName>
    <definedName name="_END94" localSheetId="44">#REF!</definedName>
    <definedName name="_END94" localSheetId="45">#REF!</definedName>
    <definedName name="_END94" localSheetId="46">#REF!</definedName>
    <definedName name="_END94" localSheetId="37">#REF!</definedName>
    <definedName name="_END94" localSheetId="40">#REF!</definedName>
    <definedName name="_END94" localSheetId="54">#REF!</definedName>
    <definedName name="_END94" localSheetId="55">#REF!</definedName>
    <definedName name="_END94" localSheetId="52">#REF!</definedName>
    <definedName name="_END94" localSheetId="51">#REF!</definedName>
    <definedName name="_END94" localSheetId="53">#REF!</definedName>
    <definedName name="_END94">#REF!</definedName>
    <definedName name="_EXP5" localSheetId="34">#REF!</definedName>
    <definedName name="_EXP5" localSheetId="35">#REF!</definedName>
    <definedName name="_EXP5" localSheetId="50">#REF!</definedName>
    <definedName name="_EXP5" localSheetId="15">#REF!</definedName>
    <definedName name="_EXP5" localSheetId="29">#REF!</definedName>
    <definedName name="_EXP5" localSheetId="30">#REF!</definedName>
    <definedName name="_EXP5" localSheetId="47">#REF!</definedName>
    <definedName name="_EXP5" localSheetId="44">#REF!</definedName>
    <definedName name="_EXP5" localSheetId="45">#REF!</definedName>
    <definedName name="_EXP5" localSheetId="46">#REF!</definedName>
    <definedName name="_EXP5" localSheetId="31">#REF!</definedName>
    <definedName name="_EXP5" localSheetId="32">#REF!</definedName>
    <definedName name="_EXP5" localSheetId="33">#REF!</definedName>
    <definedName name="_EXP5" localSheetId="36">#REF!</definedName>
    <definedName name="_EXP5" localSheetId="37">#REF!</definedName>
    <definedName name="_EXP5" localSheetId="38">#REF!</definedName>
    <definedName name="_EXP5" localSheetId="39">#REF!</definedName>
    <definedName name="_EXP5" localSheetId="40">#REF!</definedName>
    <definedName name="_EXP5" localSheetId="54">#REF!</definedName>
    <definedName name="_EXP5" localSheetId="55">#REF!</definedName>
    <definedName name="_EXP5" localSheetId="52">#REF!</definedName>
    <definedName name="_EXP5" localSheetId="23">#REF!</definedName>
    <definedName name="_EXP5" localSheetId="51">#REF!</definedName>
    <definedName name="_EXP5" localSheetId="53">#REF!</definedName>
    <definedName name="_EXP5" localSheetId="20">#REF!</definedName>
    <definedName name="_EXP5">#REF!</definedName>
    <definedName name="_EXP6" localSheetId="34">#REF!</definedName>
    <definedName name="_EXP6" localSheetId="35">#REF!</definedName>
    <definedName name="_EXP6" localSheetId="50">#REF!</definedName>
    <definedName name="_EXP6" localSheetId="15">#REF!</definedName>
    <definedName name="_EXP6" localSheetId="29">#REF!</definedName>
    <definedName name="_EXP6" localSheetId="30">#REF!</definedName>
    <definedName name="_EXP6" localSheetId="47">#REF!</definedName>
    <definedName name="_EXP6" localSheetId="44">#REF!</definedName>
    <definedName name="_EXP6" localSheetId="45">#REF!</definedName>
    <definedName name="_EXP6" localSheetId="46">#REF!</definedName>
    <definedName name="_EXP6" localSheetId="31">#REF!</definedName>
    <definedName name="_EXP6" localSheetId="32">#REF!</definedName>
    <definedName name="_EXP6" localSheetId="33">#REF!</definedName>
    <definedName name="_EXP6" localSheetId="36">#REF!</definedName>
    <definedName name="_EXP6" localSheetId="37">#REF!</definedName>
    <definedName name="_EXP6" localSheetId="38">#REF!</definedName>
    <definedName name="_EXP6" localSheetId="39">#REF!</definedName>
    <definedName name="_EXP6" localSheetId="40">#REF!</definedName>
    <definedName name="_EXP6" localSheetId="54">#REF!</definedName>
    <definedName name="_EXP6" localSheetId="55">#REF!</definedName>
    <definedName name="_EXP6" localSheetId="52">#REF!</definedName>
    <definedName name="_EXP6" localSheetId="23">#REF!</definedName>
    <definedName name="_EXP6" localSheetId="51">#REF!</definedName>
    <definedName name="_EXP6" localSheetId="53">#REF!</definedName>
    <definedName name="_EXP6" localSheetId="20">#REF!</definedName>
    <definedName name="_EXP6">#REF!</definedName>
    <definedName name="_EXP7" localSheetId="34">#REF!</definedName>
    <definedName name="_EXP7" localSheetId="35">#REF!</definedName>
    <definedName name="_EXP7" localSheetId="50">#REF!</definedName>
    <definedName name="_EXP7" localSheetId="15">#REF!</definedName>
    <definedName name="_EXP7" localSheetId="29">#REF!</definedName>
    <definedName name="_EXP7" localSheetId="30">#REF!</definedName>
    <definedName name="_EXP7" localSheetId="47">#REF!</definedName>
    <definedName name="_EXP7" localSheetId="44">#REF!</definedName>
    <definedName name="_EXP7" localSheetId="45">#REF!</definedName>
    <definedName name="_EXP7" localSheetId="46">#REF!</definedName>
    <definedName name="_EXP7" localSheetId="31">#REF!</definedName>
    <definedName name="_EXP7" localSheetId="32">#REF!</definedName>
    <definedName name="_EXP7" localSheetId="33">#REF!</definedName>
    <definedName name="_EXP7" localSheetId="36">#REF!</definedName>
    <definedName name="_EXP7" localSheetId="37">#REF!</definedName>
    <definedName name="_EXP7" localSheetId="38">#REF!</definedName>
    <definedName name="_EXP7" localSheetId="39">#REF!</definedName>
    <definedName name="_EXP7" localSheetId="40">#REF!</definedName>
    <definedName name="_EXP7" localSheetId="54">#REF!</definedName>
    <definedName name="_EXP7" localSheetId="55">#REF!</definedName>
    <definedName name="_EXP7" localSheetId="52">#REF!</definedName>
    <definedName name="_EXP7" localSheetId="23">#REF!</definedName>
    <definedName name="_EXP7" localSheetId="51">#REF!</definedName>
    <definedName name="_EXP7" localSheetId="53">#REF!</definedName>
    <definedName name="_EXP7" localSheetId="20">#REF!</definedName>
    <definedName name="_EXP7">#REF!</definedName>
    <definedName name="_EXP9" localSheetId="34">#REF!</definedName>
    <definedName name="_EXP9" localSheetId="35">#REF!</definedName>
    <definedName name="_EXP9" localSheetId="50">#REF!</definedName>
    <definedName name="_EXP9" localSheetId="15">#REF!</definedName>
    <definedName name="_EXP9" localSheetId="29">#REF!</definedName>
    <definedName name="_EXP9" localSheetId="30">#REF!</definedName>
    <definedName name="_EXP9" localSheetId="47">#REF!</definedName>
    <definedName name="_EXP9" localSheetId="44">#REF!</definedName>
    <definedName name="_EXP9" localSheetId="45">#REF!</definedName>
    <definedName name="_EXP9" localSheetId="46">#REF!</definedName>
    <definedName name="_EXP9" localSheetId="31">#REF!</definedName>
    <definedName name="_EXP9" localSheetId="32">#REF!</definedName>
    <definedName name="_EXP9" localSheetId="33">#REF!</definedName>
    <definedName name="_EXP9" localSheetId="36">#REF!</definedName>
    <definedName name="_EXP9" localSheetId="37">#REF!</definedName>
    <definedName name="_EXP9" localSheetId="38">#REF!</definedName>
    <definedName name="_EXP9" localSheetId="39">#REF!</definedName>
    <definedName name="_EXP9" localSheetId="40">#REF!</definedName>
    <definedName name="_EXP9" localSheetId="54">#REF!</definedName>
    <definedName name="_EXP9" localSheetId="55">#REF!</definedName>
    <definedName name="_EXP9" localSheetId="52">#REF!</definedName>
    <definedName name="_EXP9" localSheetId="23">#REF!</definedName>
    <definedName name="_EXP9" localSheetId="51">#REF!</definedName>
    <definedName name="_EXP9" localSheetId="53">#REF!</definedName>
    <definedName name="_EXP9" localSheetId="20">#REF!</definedName>
    <definedName name="_EXP9">#REF!</definedName>
    <definedName name="_fig3" localSheetId="34">#REF!</definedName>
    <definedName name="_fig3" localSheetId="35">#REF!</definedName>
    <definedName name="_fig3" localSheetId="50">#REF!</definedName>
    <definedName name="_fig3" localSheetId="15">#REF!</definedName>
    <definedName name="_fig3" localSheetId="29">#REF!</definedName>
    <definedName name="_fig3" localSheetId="30">#REF!</definedName>
    <definedName name="_fig3" localSheetId="47">#REF!</definedName>
    <definedName name="_fig3" localSheetId="44">#REF!</definedName>
    <definedName name="_fig3" localSheetId="45">#REF!</definedName>
    <definedName name="_fig3" localSheetId="46">#REF!</definedName>
    <definedName name="_fig3" localSheetId="31">#REF!</definedName>
    <definedName name="_fig3" localSheetId="32">#REF!</definedName>
    <definedName name="_fig3" localSheetId="33">#REF!</definedName>
    <definedName name="_fig3" localSheetId="36">#REF!</definedName>
    <definedName name="_fig3" localSheetId="37">#REF!</definedName>
    <definedName name="_fig3" localSheetId="38">#REF!</definedName>
    <definedName name="_fig3" localSheetId="39">#REF!</definedName>
    <definedName name="_fig3" localSheetId="40">#REF!</definedName>
    <definedName name="_fig3" localSheetId="54">#REF!</definedName>
    <definedName name="_fig3" localSheetId="55">#REF!</definedName>
    <definedName name="_fig3" localSheetId="52">#REF!</definedName>
    <definedName name="_fig3" localSheetId="23">#REF!</definedName>
    <definedName name="_fig3" localSheetId="51">#REF!</definedName>
    <definedName name="_fig3" localSheetId="53">#REF!</definedName>
    <definedName name="_fig3" localSheetId="20">#REF!</definedName>
    <definedName name="_fig3">#REF!</definedName>
    <definedName name="_Fill" localSheetId="34" hidden="1">#REF!</definedName>
    <definedName name="_Fill" localSheetId="35" hidden="1">#REF!</definedName>
    <definedName name="_Fill" localSheetId="50" hidden="1">#REF!</definedName>
    <definedName name="_Fill" localSheetId="15" hidden="1">#REF!</definedName>
    <definedName name="_Fill" localSheetId="29" hidden="1">#REF!</definedName>
    <definedName name="_Fill" localSheetId="30" hidden="1">#REF!</definedName>
    <definedName name="_Fill" localSheetId="47" hidden="1">#REF!</definedName>
    <definedName name="_Fill" localSheetId="44" hidden="1">#REF!</definedName>
    <definedName name="_Fill" localSheetId="45" hidden="1">#REF!</definedName>
    <definedName name="_Fill" localSheetId="46" hidden="1">#REF!</definedName>
    <definedName name="_Fill" localSheetId="31" hidden="1">#REF!</definedName>
    <definedName name="_Fill" localSheetId="32" hidden="1">#REF!</definedName>
    <definedName name="_Fill" localSheetId="33" hidden="1">#REF!</definedName>
    <definedName name="_Fill" localSheetId="36" hidden="1">#REF!</definedName>
    <definedName name="_Fill" localSheetId="37" hidden="1">#REF!</definedName>
    <definedName name="_Fill" localSheetId="38" hidden="1">#REF!</definedName>
    <definedName name="_Fill" localSheetId="39" hidden="1">#REF!</definedName>
    <definedName name="_Fill" localSheetId="40" hidden="1">#REF!</definedName>
    <definedName name="_Fill" localSheetId="54" hidden="1">#REF!</definedName>
    <definedName name="_Fill" localSheetId="55" hidden="1">#REF!</definedName>
    <definedName name="_Fill" localSheetId="52" hidden="1">#REF!</definedName>
    <definedName name="_Fill" localSheetId="23" hidden="1">#REF!</definedName>
    <definedName name="_Fill" localSheetId="51" hidden="1">#REF!</definedName>
    <definedName name="_Fill" localSheetId="53" hidden="1">#REF!</definedName>
    <definedName name="_Fill" localSheetId="20" hidden="1">#REF!</definedName>
    <definedName name="_Fill" hidden="1">#REF!</definedName>
    <definedName name="_xlnm._FilterDatabase" localSheetId="54" hidden="1">'Imputed Reserves A-Yearly'!$A$5:$C$46</definedName>
    <definedName name="_xlnm._FilterDatabase" localSheetId="20" hidden="1">'Water Con. and Output'!$B$26:$I$28</definedName>
    <definedName name="_IMP10" localSheetId="34">#REF!</definedName>
    <definedName name="_IMP10" localSheetId="35">#REF!</definedName>
    <definedName name="_IMP10" localSheetId="50">#REF!</definedName>
    <definedName name="_IMP10" localSheetId="15">#REF!</definedName>
    <definedName name="_IMP10" localSheetId="29">#REF!</definedName>
    <definedName name="_IMP10" localSheetId="30">#REF!</definedName>
    <definedName name="_IMP10" localSheetId="47">#REF!</definedName>
    <definedName name="_IMP10" localSheetId="44">#REF!</definedName>
    <definedName name="_IMP10" localSheetId="45">#REF!</definedName>
    <definedName name="_IMP10" localSheetId="46">#REF!</definedName>
    <definedName name="_IMP10" localSheetId="31">#REF!</definedName>
    <definedName name="_IMP10" localSheetId="32">#REF!</definedName>
    <definedName name="_IMP10" localSheetId="33">#REF!</definedName>
    <definedName name="_IMP10" localSheetId="36">#REF!</definedName>
    <definedName name="_IMP10" localSheetId="37">#REF!</definedName>
    <definedName name="_IMP10" localSheetId="38">#REF!</definedName>
    <definedName name="_IMP10" localSheetId="39">#REF!</definedName>
    <definedName name="_IMP10" localSheetId="40">#REF!</definedName>
    <definedName name="_IMP10" localSheetId="54">#REF!</definedName>
    <definedName name="_IMP10" localSheetId="55">#REF!</definedName>
    <definedName name="_IMP10" localSheetId="52">#REF!</definedName>
    <definedName name="_IMP10" localSheetId="23">#REF!</definedName>
    <definedName name="_IMP10" localSheetId="51">#REF!</definedName>
    <definedName name="_IMP10" localSheetId="53">#REF!</definedName>
    <definedName name="_IMP10" localSheetId="20">#REF!</definedName>
    <definedName name="_IMP10">#REF!</definedName>
    <definedName name="_IMP1111" localSheetId="34">#REF!</definedName>
    <definedName name="_IMP1111" localSheetId="35">#REF!</definedName>
    <definedName name="_IMP1111" localSheetId="50">#REF!</definedName>
    <definedName name="_IMP1111" localSheetId="15">#REF!</definedName>
    <definedName name="_IMP1111" localSheetId="29">#REF!</definedName>
    <definedName name="_IMP1111" localSheetId="30">#REF!</definedName>
    <definedName name="_IMP1111" localSheetId="47">#REF!</definedName>
    <definedName name="_IMP1111" localSheetId="44">#REF!</definedName>
    <definedName name="_IMP1111" localSheetId="45">#REF!</definedName>
    <definedName name="_IMP1111" localSheetId="46">#REF!</definedName>
    <definedName name="_IMP1111" localSheetId="31">#REF!</definedName>
    <definedName name="_IMP1111" localSheetId="32">#REF!</definedName>
    <definedName name="_IMP1111" localSheetId="33">#REF!</definedName>
    <definedName name="_IMP1111" localSheetId="36">#REF!</definedName>
    <definedName name="_IMP1111" localSheetId="37">#REF!</definedName>
    <definedName name="_IMP1111" localSheetId="38">#REF!</definedName>
    <definedName name="_IMP1111" localSheetId="39">#REF!</definedName>
    <definedName name="_IMP1111" localSheetId="40">#REF!</definedName>
    <definedName name="_IMP1111" localSheetId="54">#REF!</definedName>
    <definedName name="_IMP1111" localSheetId="55">#REF!</definedName>
    <definedName name="_IMP1111" localSheetId="52">#REF!</definedName>
    <definedName name="_IMP1111" localSheetId="23">#REF!</definedName>
    <definedName name="_IMP1111" localSheetId="51">#REF!</definedName>
    <definedName name="_IMP1111" localSheetId="53">#REF!</definedName>
    <definedName name="_IMP1111" localSheetId="20">#REF!</definedName>
    <definedName name="_IMP1111">#REF!</definedName>
    <definedName name="_IMP1112" localSheetId="34">#REF!</definedName>
    <definedName name="_IMP1112" localSheetId="35">#REF!</definedName>
    <definedName name="_IMP1112" localSheetId="50">#REF!</definedName>
    <definedName name="_IMP1112" localSheetId="15">#REF!</definedName>
    <definedName name="_IMP1112" localSheetId="29">#REF!</definedName>
    <definedName name="_IMP1112" localSheetId="30">#REF!</definedName>
    <definedName name="_IMP1112" localSheetId="47">#REF!</definedName>
    <definedName name="_IMP1112" localSheetId="44">#REF!</definedName>
    <definedName name="_IMP1112" localSheetId="45">#REF!</definedName>
    <definedName name="_IMP1112" localSheetId="46">#REF!</definedName>
    <definedName name="_IMP1112" localSheetId="31">#REF!</definedName>
    <definedName name="_IMP1112" localSheetId="32">#REF!</definedName>
    <definedName name="_IMP1112" localSheetId="33">#REF!</definedName>
    <definedName name="_IMP1112" localSheetId="36">#REF!</definedName>
    <definedName name="_IMP1112" localSheetId="37">#REF!</definedName>
    <definedName name="_IMP1112" localSheetId="38">#REF!</definedName>
    <definedName name="_IMP1112" localSheetId="39">#REF!</definedName>
    <definedName name="_IMP1112" localSheetId="40">#REF!</definedName>
    <definedName name="_IMP1112" localSheetId="54">#REF!</definedName>
    <definedName name="_IMP1112" localSheetId="55">#REF!</definedName>
    <definedName name="_IMP1112" localSheetId="52">#REF!</definedName>
    <definedName name="_IMP1112" localSheetId="23">#REF!</definedName>
    <definedName name="_IMP1112" localSheetId="51">#REF!</definedName>
    <definedName name="_IMP1112" localSheetId="53">#REF!</definedName>
    <definedName name="_IMP1112" localSheetId="20">#REF!</definedName>
    <definedName name="_IMP1112">#REF!</definedName>
    <definedName name="_IMP1113" localSheetId="34">#REF!</definedName>
    <definedName name="_IMP1113" localSheetId="35">#REF!</definedName>
    <definedName name="_IMP1113" localSheetId="50">#REF!</definedName>
    <definedName name="_IMP1113" localSheetId="15">#REF!</definedName>
    <definedName name="_IMP1113" localSheetId="29">#REF!</definedName>
    <definedName name="_IMP1113" localSheetId="30">#REF!</definedName>
    <definedName name="_IMP1113" localSheetId="47">#REF!</definedName>
    <definedName name="_IMP1113" localSheetId="44">#REF!</definedName>
    <definedName name="_IMP1113" localSheetId="45">#REF!</definedName>
    <definedName name="_IMP1113" localSheetId="46">#REF!</definedName>
    <definedName name="_IMP1113" localSheetId="31">#REF!</definedName>
    <definedName name="_IMP1113" localSheetId="32">#REF!</definedName>
    <definedName name="_IMP1113" localSheetId="33">#REF!</definedName>
    <definedName name="_IMP1113" localSheetId="36">#REF!</definedName>
    <definedName name="_IMP1113" localSheetId="37">#REF!</definedName>
    <definedName name="_IMP1113" localSheetId="38">#REF!</definedName>
    <definedName name="_IMP1113" localSheetId="39">#REF!</definedName>
    <definedName name="_IMP1113" localSheetId="40">#REF!</definedName>
    <definedName name="_IMP1113" localSheetId="54">#REF!</definedName>
    <definedName name="_IMP1113" localSheetId="55">#REF!</definedName>
    <definedName name="_IMP1113" localSheetId="52">#REF!</definedName>
    <definedName name="_IMP1113" localSheetId="23">#REF!</definedName>
    <definedName name="_IMP1113" localSheetId="51">#REF!</definedName>
    <definedName name="_IMP1113" localSheetId="53">#REF!</definedName>
    <definedName name="_IMP1113" localSheetId="20">#REF!</definedName>
    <definedName name="_IMP1113">#REF!</definedName>
    <definedName name="_IMP1114" localSheetId="34">#REF!</definedName>
    <definedName name="_IMP1114" localSheetId="35">#REF!</definedName>
    <definedName name="_IMP1114" localSheetId="50">#REF!</definedName>
    <definedName name="_IMP1114" localSheetId="15">#REF!</definedName>
    <definedName name="_IMP1114" localSheetId="29">#REF!</definedName>
    <definedName name="_IMP1114" localSheetId="30">#REF!</definedName>
    <definedName name="_IMP1114" localSheetId="47">#REF!</definedName>
    <definedName name="_IMP1114" localSheetId="44">#REF!</definedName>
    <definedName name="_IMP1114" localSheetId="45">#REF!</definedName>
    <definedName name="_IMP1114" localSheetId="46">#REF!</definedName>
    <definedName name="_IMP1114" localSheetId="31">#REF!</definedName>
    <definedName name="_IMP1114" localSheetId="32">#REF!</definedName>
    <definedName name="_IMP1114" localSheetId="33">#REF!</definedName>
    <definedName name="_IMP1114" localSheetId="36">#REF!</definedName>
    <definedName name="_IMP1114" localSheetId="37">#REF!</definedName>
    <definedName name="_IMP1114" localSheetId="38">#REF!</definedName>
    <definedName name="_IMP1114" localSheetId="39">#REF!</definedName>
    <definedName name="_IMP1114" localSheetId="40">#REF!</definedName>
    <definedName name="_IMP1114" localSheetId="54">#REF!</definedName>
    <definedName name="_IMP1114" localSheetId="55">#REF!</definedName>
    <definedName name="_IMP1114" localSheetId="52">#REF!</definedName>
    <definedName name="_IMP1114" localSheetId="23">#REF!</definedName>
    <definedName name="_IMP1114" localSheetId="51">#REF!</definedName>
    <definedName name="_IMP1114" localSheetId="53">#REF!</definedName>
    <definedName name="_IMP1114" localSheetId="20">#REF!</definedName>
    <definedName name="_IMP1114">#REF!</definedName>
    <definedName name="_IMP1115" localSheetId="34">#REF!</definedName>
    <definedName name="_IMP1115" localSheetId="35">#REF!</definedName>
    <definedName name="_IMP1115" localSheetId="50">#REF!</definedName>
    <definedName name="_IMP1115" localSheetId="15">#REF!</definedName>
    <definedName name="_IMP1115" localSheetId="29">#REF!</definedName>
    <definedName name="_IMP1115" localSheetId="30">#REF!</definedName>
    <definedName name="_IMP1115" localSheetId="47">#REF!</definedName>
    <definedName name="_IMP1115" localSheetId="44">#REF!</definedName>
    <definedName name="_IMP1115" localSheetId="45">#REF!</definedName>
    <definedName name="_IMP1115" localSheetId="46">#REF!</definedName>
    <definedName name="_IMP1115" localSheetId="31">#REF!</definedName>
    <definedName name="_IMP1115" localSheetId="32">#REF!</definedName>
    <definedName name="_IMP1115" localSheetId="33">#REF!</definedName>
    <definedName name="_IMP1115" localSheetId="36">#REF!</definedName>
    <definedName name="_IMP1115" localSheetId="37">#REF!</definedName>
    <definedName name="_IMP1115" localSheetId="38">#REF!</definedName>
    <definedName name="_IMP1115" localSheetId="39">#REF!</definedName>
    <definedName name="_IMP1115" localSheetId="40">#REF!</definedName>
    <definedName name="_IMP1115" localSheetId="54">#REF!</definedName>
    <definedName name="_IMP1115" localSheetId="55">#REF!</definedName>
    <definedName name="_IMP1115" localSheetId="52">#REF!</definedName>
    <definedName name="_IMP1115" localSheetId="23">#REF!</definedName>
    <definedName name="_IMP1115" localSheetId="51">#REF!</definedName>
    <definedName name="_IMP1115" localSheetId="53">#REF!</definedName>
    <definedName name="_IMP1115" localSheetId="20">#REF!</definedName>
    <definedName name="_IMP1115">#REF!</definedName>
    <definedName name="_IMP1116" localSheetId="34">#REF!</definedName>
    <definedName name="_IMP1116" localSheetId="35">#REF!</definedName>
    <definedName name="_IMP1116" localSheetId="50">#REF!</definedName>
    <definedName name="_IMP1116" localSheetId="15">#REF!</definedName>
    <definedName name="_IMP1116" localSheetId="29">#REF!</definedName>
    <definedName name="_IMP1116" localSheetId="30">#REF!</definedName>
    <definedName name="_IMP1116" localSheetId="47">#REF!</definedName>
    <definedName name="_IMP1116" localSheetId="44">#REF!</definedName>
    <definedName name="_IMP1116" localSheetId="45">#REF!</definedName>
    <definedName name="_IMP1116" localSheetId="46">#REF!</definedName>
    <definedName name="_IMP1116" localSheetId="31">#REF!</definedName>
    <definedName name="_IMP1116" localSheetId="32">#REF!</definedName>
    <definedName name="_IMP1116" localSheetId="33">#REF!</definedName>
    <definedName name="_IMP1116" localSheetId="36">#REF!</definedName>
    <definedName name="_IMP1116" localSheetId="37">#REF!</definedName>
    <definedName name="_IMP1116" localSheetId="38">#REF!</definedName>
    <definedName name="_IMP1116" localSheetId="39">#REF!</definedName>
    <definedName name="_IMP1116" localSheetId="40">#REF!</definedName>
    <definedName name="_IMP1116" localSheetId="54">#REF!</definedName>
    <definedName name="_IMP1116" localSheetId="55">#REF!</definedName>
    <definedName name="_IMP1116" localSheetId="52">#REF!</definedName>
    <definedName name="_IMP1116" localSheetId="23">#REF!</definedName>
    <definedName name="_IMP1116" localSheetId="51">#REF!</definedName>
    <definedName name="_IMP1116" localSheetId="53">#REF!</definedName>
    <definedName name="_IMP1116" localSheetId="20">#REF!</definedName>
    <definedName name="_IMP1116">#REF!</definedName>
    <definedName name="_IMP1132" localSheetId="34">#REF!</definedName>
    <definedName name="_IMP1132" localSheetId="35">#REF!</definedName>
    <definedName name="_IMP1132" localSheetId="50">#REF!</definedName>
    <definedName name="_IMP1132" localSheetId="15">#REF!</definedName>
    <definedName name="_IMP1132" localSheetId="29">#REF!</definedName>
    <definedName name="_IMP1132" localSheetId="30">#REF!</definedName>
    <definedName name="_IMP1132" localSheetId="47">#REF!</definedName>
    <definedName name="_IMP1132" localSheetId="44">#REF!</definedName>
    <definedName name="_IMP1132" localSheetId="45">#REF!</definedName>
    <definedName name="_IMP1132" localSheetId="46">#REF!</definedName>
    <definedName name="_IMP1132" localSheetId="31">#REF!</definedName>
    <definedName name="_IMP1132" localSheetId="32">#REF!</definedName>
    <definedName name="_IMP1132" localSheetId="33">#REF!</definedName>
    <definedName name="_IMP1132" localSheetId="36">#REF!</definedName>
    <definedName name="_IMP1132" localSheetId="37">#REF!</definedName>
    <definedName name="_IMP1132" localSheetId="38">#REF!</definedName>
    <definedName name="_IMP1132" localSheetId="39">#REF!</definedName>
    <definedName name="_IMP1132" localSheetId="40">#REF!</definedName>
    <definedName name="_IMP1132" localSheetId="54">#REF!</definedName>
    <definedName name="_IMP1132" localSheetId="55">#REF!</definedName>
    <definedName name="_IMP1132" localSheetId="52">#REF!</definedName>
    <definedName name="_IMP1132" localSheetId="23">#REF!</definedName>
    <definedName name="_IMP1132" localSheetId="51">#REF!</definedName>
    <definedName name="_IMP1132" localSheetId="53">#REF!</definedName>
    <definedName name="_IMP1132" localSheetId="20">#REF!</definedName>
    <definedName name="_IMP1132">#REF!</definedName>
    <definedName name="_IMP1133" localSheetId="34">#REF!</definedName>
    <definedName name="_IMP1133" localSheetId="35">#REF!</definedName>
    <definedName name="_IMP1133" localSheetId="50">#REF!</definedName>
    <definedName name="_IMP1133" localSheetId="15">#REF!</definedName>
    <definedName name="_IMP1133" localSheetId="29">#REF!</definedName>
    <definedName name="_IMP1133" localSheetId="30">#REF!</definedName>
    <definedName name="_IMP1133" localSheetId="47">#REF!</definedName>
    <definedName name="_IMP1133" localSheetId="44">#REF!</definedName>
    <definedName name="_IMP1133" localSheetId="45">#REF!</definedName>
    <definedName name="_IMP1133" localSheetId="46">#REF!</definedName>
    <definedName name="_IMP1133" localSheetId="31">#REF!</definedName>
    <definedName name="_IMP1133" localSheetId="32">#REF!</definedName>
    <definedName name="_IMP1133" localSheetId="33">#REF!</definedName>
    <definedName name="_IMP1133" localSheetId="36">#REF!</definedName>
    <definedName name="_IMP1133" localSheetId="37">#REF!</definedName>
    <definedName name="_IMP1133" localSheetId="38">#REF!</definedName>
    <definedName name="_IMP1133" localSheetId="39">#REF!</definedName>
    <definedName name="_IMP1133" localSheetId="40">#REF!</definedName>
    <definedName name="_IMP1133" localSheetId="54">#REF!</definedName>
    <definedName name="_IMP1133" localSheetId="55">#REF!</definedName>
    <definedName name="_IMP1133" localSheetId="52">#REF!</definedName>
    <definedName name="_IMP1133" localSheetId="23">#REF!</definedName>
    <definedName name="_IMP1133" localSheetId="51">#REF!</definedName>
    <definedName name="_IMP1133" localSheetId="53">#REF!</definedName>
    <definedName name="_IMP1133" localSheetId="20">#REF!</definedName>
    <definedName name="_IMP1133">#REF!</definedName>
    <definedName name="_IMP2" localSheetId="34">#REF!</definedName>
    <definedName name="_IMP2" localSheetId="35">#REF!</definedName>
    <definedName name="_IMP2" localSheetId="50">#REF!</definedName>
    <definedName name="_IMP2" localSheetId="15">#REF!</definedName>
    <definedName name="_IMP2" localSheetId="29">#REF!</definedName>
    <definedName name="_IMP2" localSheetId="30">#REF!</definedName>
    <definedName name="_IMP2" localSheetId="47">#REF!</definedName>
    <definedName name="_IMP2" localSheetId="44">#REF!</definedName>
    <definedName name="_IMP2" localSheetId="45">#REF!</definedName>
    <definedName name="_IMP2" localSheetId="46">#REF!</definedName>
    <definedName name="_IMP2" localSheetId="31">#REF!</definedName>
    <definedName name="_IMP2" localSheetId="32">#REF!</definedName>
    <definedName name="_IMP2" localSheetId="33">#REF!</definedName>
    <definedName name="_IMP2" localSheetId="36">#REF!</definedName>
    <definedName name="_IMP2" localSheetId="37">#REF!</definedName>
    <definedName name="_IMP2" localSheetId="38">#REF!</definedName>
    <definedName name="_IMP2" localSheetId="39">#REF!</definedName>
    <definedName name="_IMP2" localSheetId="40">#REF!</definedName>
    <definedName name="_IMP2" localSheetId="54">#REF!</definedName>
    <definedName name="_IMP2" localSheetId="55">#REF!</definedName>
    <definedName name="_IMP2" localSheetId="52">#REF!</definedName>
    <definedName name="_IMP2" localSheetId="23">#REF!</definedName>
    <definedName name="_IMP2" localSheetId="51">#REF!</definedName>
    <definedName name="_IMP2" localSheetId="53">#REF!</definedName>
    <definedName name="_IMP2" localSheetId="20">#REF!</definedName>
    <definedName name="_IMP2">#REF!</definedName>
    <definedName name="_IMP4" localSheetId="34">#REF!</definedName>
    <definedName name="_IMP4" localSheetId="35">#REF!</definedName>
    <definedName name="_IMP4" localSheetId="50">#REF!</definedName>
    <definedName name="_IMP4" localSheetId="15">#REF!</definedName>
    <definedName name="_IMP4" localSheetId="29">#REF!</definedName>
    <definedName name="_IMP4" localSheetId="30">#REF!</definedName>
    <definedName name="_IMP4" localSheetId="47">#REF!</definedName>
    <definedName name="_IMP4" localSheetId="44">#REF!</definedName>
    <definedName name="_IMP4" localSheetId="45">#REF!</definedName>
    <definedName name="_IMP4" localSheetId="46">#REF!</definedName>
    <definedName name="_IMP4" localSheetId="31">#REF!</definedName>
    <definedName name="_IMP4" localSheetId="32">#REF!</definedName>
    <definedName name="_IMP4" localSheetId="33">#REF!</definedName>
    <definedName name="_IMP4" localSheetId="36">#REF!</definedName>
    <definedName name="_IMP4" localSheetId="37">#REF!</definedName>
    <definedName name="_IMP4" localSheetId="38">#REF!</definedName>
    <definedName name="_IMP4" localSheetId="39">#REF!</definedName>
    <definedName name="_IMP4" localSheetId="40">#REF!</definedName>
    <definedName name="_IMP4" localSheetId="54">#REF!</definedName>
    <definedName name="_IMP4" localSheetId="55">#REF!</definedName>
    <definedName name="_IMP4" localSheetId="52">#REF!</definedName>
    <definedName name="_IMP4" localSheetId="23">#REF!</definedName>
    <definedName name="_IMP4" localSheetId="51">#REF!</definedName>
    <definedName name="_IMP4" localSheetId="53">#REF!</definedName>
    <definedName name="_IMP4" localSheetId="20">#REF!</definedName>
    <definedName name="_IMP4">#REF!</definedName>
    <definedName name="_IMP6" localSheetId="34">#REF!</definedName>
    <definedName name="_IMP6" localSheetId="35">#REF!</definedName>
    <definedName name="_IMP6" localSheetId="50">#REF!</definedName>
    <definedName name="_IMP6" localSheetId="15">#REF!</definedName>
    <definedName name="_IMP6" localSheetId="29">#REF!</definedName>
    <definedName name="_IMP6" localSheetId="30">#REF!</definedName>
    <definedName name="_IMP6" localSheetId="47">#REF!</definedName>
    <definedName name="_IMP6" localSheetId="44">#REF!</definedName>
    <definedName name="_IMP6" localSheetId="45">#REF!</definedName>
    <definedName name="_IMP6" localSheetId="46">#REF!</definedName>
    <definedName name="_IMP6" localSheetId="31">#REF!</definedName>
    <definedName name="_IMP6" localSheetId="32">#REF!</definedName>
    <definedName name="_IMP6" localSheetId="33">#REF!</definedName>
    <definedName name="_IMP6" localSheetId="36">#REF!</definedName>
    <definedName name="_IMP6" localSheetId="37">#REF!</definedName>
    <definedName name="_IMP6" localSheetId="38">#REF!</definedName>
    <definedName name="_IMP6" localSheetId="39">#REF!</definedName>
    <definedName name="_IMP6" localSheetId="40">#REF!</definedName>
    <definedName name="_IMP6" localSheetId="54">#REF!</definedName>
    <definedName name="_IMP6" localSheetId="55">#REF!</definedName>
    <definedName name="_IMP6" localSheetId="52">#REF!</definedName>
    <definedName name="_IMP6" localSheetId="23">#REF!</definedName>
    <definedName name="_IMP6" localSheetId="51">#REF!</definedName>
    <definedName name="_IMP6" localSheetId="53">#REF!</definedName>
    <definedName name="_IMP6" localSheetId="20">#REF!</definedName>
    <definedName name="_IMP6">#REF!</definedName>
    <definedName name="_IMP7" localSheetId="34">#REF!</definedName>
    <definedName name="_IMP7" localSheetId="35">#REF!</definedName>
    <definedName name="_IMP7" localSheetId="50">#REF!</definedName>
    <definedName name="_IMP7" localSheetId="15">#REF!</definedName>
    <definedName name="_IMP7" localSheetId="29">#REF!</definedName>
    <definedName name="_IMP7" localSheetId="30">#REF!</definedName>
    <definedName name="_IMP7" localSheetId="47">#REF!</definedName>
    <definedName name="_IMP7" localSheetId="44">#REF!</definedName>
    <definedName name="_IMP7" localSheetId="45">#REF!</definedName>
    <definedName name="_IMP7" localSheetId="46">#REF!</definedName>
    <definedName name="_IMP7" localSheetId="31">#REF!</definedName>
    <definedName name="_IMP7" localSheetId="32">#REF!</definedName>
    <definedName name="_IMP7" localSheetId="33">#REF!</definedName>
    <definedName name="_IMP7" localSheetId="36">#REF!</definedName>
    <definedName name="_IMP7" localSheetId="37">#REF!</definedName>
    <definedName name="_IMP7" localSheetId="38">#REF!</definedName>
    <definedName name="_IMP7" localSheetId="39">#REF!</definedName>
    <definedName name="_IMP7" localSheetId="40">#REF!</definedName>
    <definedName name="_IMP7" localSheetId="54">#REF!</definedName>
    <definedName name="_IMP7" localSheetId="55">#REF!</definedName>
    <definedName name="_IMP7" localSheetId="52">#REF!</definedName>
    <definedName name="_IMP7" localSheetId="23">#REF!</definedName>
    <definedName name="_IMP7" localSheetId="51">#REF!</definedName>
    <definedName name="_IMP7" localSheetId="53">#REF!</definedName>
    <definedName name="_IMP7" localSheetId="20">#REF!</definedName>
    <definedName name="_IMP7">#REF!</definedName>
    <definedName name="_IMP8" localSheetId="34">#REF!</definedName>
    <definedName name="_IMP8" localSheetId="35">#REF!</definedName>
    <definedName name="_IMP8" localSheetId="50">#REF!</definedName>
    <definedName name="_IMP8" localSheetId="15">#REF!</definedName>
    <definedName name="_IMP8" localSheetId="29">#REF!</definedName>
    <definedName name="_IMP8" localSheetId="30">#REF!</definedName>
    <definedName name="_IMP8" localSheetId="47">#REF!</definedName>
    <definedName name="_IMP8" localSheetId="44">#REF!</definedName>
    <definedName name="_IMP8" localSheetId="45">#REF!</definedName>
    <definedName name="_IMP8" localSheetId="46">#REF!</definedName>
    <definedName name="_IMP8" localSheetId="31">#REF!</definedName>
    <definedName name="_IMP8" localSheetId="32">#REF!</definedName>
    <definedName name="_IMP8" localSheetId="33">#REF!</definedName>
    <definedName name="_IMP8" localSheetId="36">#REF!</definedName>
    <definedName name="_IMP8" localSheetId="37">#REF!</definedName>
    <definedName name="_IMP8" localSheetId="38">#REF!</definedName>
    <definedName name="_IMP8" localSheetId="39">#REF!</definedName>
    <definedName name="_IMP8" localSheetId="40">#REF!</definedName>
    <definedName name="_IMP8" localSheetId="54">#REF!</definedName>
    <definedName name="_IMP8" localSheetId="55">#REF!</definedName>
    <definedName name="_IMP8" localSheetId="52">#REF!</definedName>
    <definedName name="_IMP8" localSheetId="23">#REF!</definedName>
    <definedName name="_IMP8" localSheetId="51">#REF!</definedName>
    <definedName name="_IMP8" localSheetId="53">#REF!</definedName>
    <definedName name="_IMP8" localSheetId="20">#REF!</definedName>
    <definedName name="_IMP8">#REF!</definedName>
    <definedName name="_INE1" localSheetId="34">#REF!</definedName>
    <definedName name="_INE1" localSheetId="35">#REF!</definedName>
    <definedName name="_INE1" localSheetId="50">#REF!</definedName>
    <definedName name="_INE1" localSheetId="15">#REF!</definedName>
    <definedName name="_INE1" localSheetId="29">#REF!</definedName>
    <definedName name="_INE1" localSheetId="30">#REF!</definedName>
    <definedName name="_INE1" localSheetId="47">#REF!</definedName>
    <definedName name="_INE1" localSheetId="44">#REF!</definedName>
    <definedName name="_INE1" localSheetId="45">#REF!</definedName>
    <definedName name="_INE1" localSheetId="46">#REF!</definedName>
    <definedName name="_INE1" localSheetId="31">#REF!</definedName>
    <definedName name="_INE1" localSheetId="32">#REF!</definedName>
    <definedName name="_INE1" localSheetId="33">#REF!</definedName>
    <definedName name="_INE1" localSheetId="36">#REF!</definedName>
    <definedName name="_INE1" localSheetId="37">#REF!</definedName>
    <definedName name="_INE1" localSheetId="38">#REF!</definedName>
    <definedName name="_INE1" localSheetId="39">#REF!</definedName>
    <definedName name="_INE1" localSheetId="40">#REF!</definedName>
    <definedName name="_INE1" localSheetId="54">#REF!</definedName>
    <definedName name="_INE1" localSheetId="55">#REF!</definedName>
    <definedName name="_INE1" localSheetId="52">#REF!</definedName>
    <definedName name="_INE1" localSheetId="23">#REF!</definedName>
    <definedName name="_INE1" localSheetId="51">#REF!</definedName>
    <definedName name="_INE1" localSheetId="53">#REF!</definedName>
    <definedName name="_INE1" localSheetId="20">#REF!</definedName>
    <definedName name="_INE1">#REF!</definedName>
    <definedName name="_ipc2000" localSheetId="34">#REF!</definedName>
    <definedName name="_ipc2000" localSheetId="35">#REF!</definedName>
    <definedName name="_ipc2000" localSheetId="50">#REF!</definedName>
    <definedName name="_ipc2000" localSheetId="15">#REF!</definedName>
    <definedName name="_ipc2000" localSheetId="29">#REF!</definedName>
    <definedName name="_ipc2000" localSheetId="30">#REF!</definedName>
    <definedName name="_ipc2000" localSheetId="47">#REF!</definedName>
    <definedName name="_ipc2000" localSheetId="44">#REF!</definedName>
    <definedName name="_ipc2000" localSheetId="45">#REF!</definedName>
    <definedName name="_ipc2000" localSheetId="46">#REF!</definedName>
    <definedName name="_ipc2000" localSheetId="31">#REF!</definedName>
    <definedName name="_ipc2000" localSheetId="32">#REF!</definedName>
    <definedName name="_ipc2000" localSheetId="33">#REF!</definedName>
    <definedName name="_ipc2000" localSheetId="36">#REF!</definedName>
    <definedName name="_ipc2000" localSheetId="37">#REF!</definedName>
    <definedName name="_ipc2000" localSheetId="38">#REF!</definedName>
    <definedName name="_ipc2000" localSheetId="39">#REF!</definedName>
    <definedName name="_ipc2000" localSheetId="40">#REF!</definedName>
    <definedName name="_ipc2000" localSheetId="54">#REF!</definedName>
    <definedName name="_ipc2000" localSheetId="55">#REF!</definedName>
    <definedName name="_ipc2000" localSheetId="52">#REF!</definedName>
    <definedName name="_ipc2000" localSheetId="23">#REF!</definedName>
    <definedName name="_ipc2000" localSheetId="51">#REF!</definedName>
    <definedName name="_ipc2000" localSheetId="53">#REF!</definedName>
    <definedName name="_ipc2000" localSheetId="20">#REF!</definedName>
    <definedName name="_ipc2000">#REF!</definedName>
    <definedName name="_ipc2001" localSheetId="34">#REF!</definedName>
    <definedName name="_ipc2001" localSheetId="35">#REF!</definedName>
    <definedName name="_ipc2001" localSheetId="50">#REF!</definedName>
    <definedName name="_ipc2001" localSheetId="15">#REF!</definedName>
    <definedName name="_ipc2001" localSheetId="29">#REF!</definedName>
    <definedName name="_ipc2001" localSheetId="30">#REF!</definedName>
    <definedName name="_ipc2001" localSheetId="47">#REF!</definedName>
    <definedName name="_ipc2001" localSheetId="44">#REF!</definedName>
    <definedName name="_ipc2001" localSheetId="45">#REF!</definedName>
    <definedName name="_ipc2001" localSheetId="46">#REF!</definedName>
    <definedName name="_ipc2001" localSheetId="31">#REF!</definedName>
    <definedName name="_ipc2001" localSheetId="32">#REF!</definedName>
    <definedName name="_ipc2001" localSheetId="33">#REF!</definedName>
    <definedName name="_ipc2001" localSheetId="36">#REF!</definedName>
    <definedName name="_ipc2001" localSheetId="37">#REF!</definedName>
    <definedName name="_ipc2001" localSheetId="38">#REF!</definedName>
    <definedName name="_ipc2001" localSheetId="39">#REF!</definedName>
    <definedName name="_ipc2001" localSheetId="40">#REF!</definedName>
    <definedName name="_ipc2001" localSheetId="54">#REF!</definedName>
    <definedName name="_ipc2001" localSheetId="55">#REF!</definedName>
    <definedName name="_ipc2001" localSheetId="52">#REF!</definedName>
    <definedName name="_ipc2001" localSheetId="23">#REF!</definedName>
    <definedName name="_ipc2001" localSheetId="51">#REF!</definedName>
    <definedName name="_ipc2001" localSheetId="53">#REF!</definedName>
    <definedName name="_ipc2001" localSheetId="20">#REF!</definedName>
    <definedName name="_ipc2001">#REF!</definedName>
    <definedName name="_ipc2002" localSheetId="34">#REF!</definedName>
    <definedName name="_ipc2002" localSheetId="35">#REF!</definedName>
    <definedName name="_ipc2002" localSheetId="50">#REF!</definedName>
    <definedName name="_ipc2002" localSheetId="15">#REF!</definedName>
    <definedName name="_ipc2002" localSheetId="29">#REF!</definedName>
    <definedName name="_ipc2002" localSheetId="30">#REF!</definedName>
    <definedName name="_ipc2002" localSheetId="47">#REF!</definedName>
    <definedName name="_ipc2002" localSheetId="44">#REF!</definedName>
    <definedName name="_ipc2002" localSheetId="45">#REF!</definedName>
    <definedName name="_ipc2002" localSheetId="46">#REF!</definedName>
    <definedName name="_ipc2002" localSheetId="31">#REF!</definedName>
    <definedName name="_ipc2002" localSheetId="32">#REF!</definedName>
    <definedName name="_ipc2002" localSheetId="33">#REF!</definedName>
    <definedName name="_ipc2002" localSheetId="36">#REF!</definedName>
    <definedName name="_ipc2002" localSheetId="37">#REF!</definedName>
    <definedName name="_ipc2002" localSheetId="38">#REF!</definedName>
    <definedName name="_ipc2002" localSheetId="39">#REF!</definedName>
    <definedName name="_ipc2002" localSheetId="40">#REF!</definedName>
    <definedName name="_ipc2002" localSheetId="54">#REF!</definedName>
    <definedName name="_ipc2002" localSheetId="55">#REF!</definedName>
    <definedName name="_ipc2002" localSheetId="52">#REF!</definedName>
    <definedName name="_ipc2002" localSheetId="23">#REF!</definedName>
    <definedName name="_ipc2002" localSheetId="51">#REF!</definedName>
    <definedName name="_ipc2002" localSheetId="53">#REF!</definedName>
    <definedName name="_ipc2002" localSheetId="20">#REF!</definedName>
    <definedName name="_ipc2002">#REF!</definedName>
    <definedName name="_ipc2003" localSheetId="34">#REF!</definedName>
    <definedName name="_ipc2003" localSheetId="35">#REF!</definedName>
    <definedName name="_ipc2003" localSheetId="50">#REF!</definedName>
    <definedName name="_ipc2003" localSheetId="15">#REF!</definedName>
    <definedName name="_ipc2003" localSheetId="29">#REF!</definedName>
    <definedName name="_ipc2003" localSheetId="30">#REF!</definedName>
    <definedName name="_ipc2003" localSheetId="47">#REF!</definedName>
    <definedName name="_ipc2003" localSheetId="44">#REF!</definedName>
    <definedName name="_ipc2003" localSheetId="45">#REF!</definedName>
    <definedName name="_ipc2003" localSheetId="46">#REF!</definedName>
    <definedName name="_ipc2003" localSheetId="31">#REF!</definedName>
    <definedName name="_ipc2003" localSheetId="32">#REF!</definedName>
    <definedName name="_ipc2003" localSheetId="33">#REF!</definedName>
    <definedName name="_ipc2003" localSheetId="36">#REF!</definedName>
    <definedName name="_ipc2003" localSheetId="37">#REF!</definedName>
    <definedName name="_ipc2003" localSheetId="38">#REF!</definedName>
    <definedName name="_ipc2003" localSheetId="39">#REF!</definedName>
    <definedName name="_ipc2003" localSheetId="40">#REF!</definedName>
    <definedName name="_ipc2003" localSheetId="54">#REF!</definedName>
    <definedName name="_ipc2003" localSheetId="55">#REF!</definedName>
    <definedName name="_ipc2003" localSheetId="52">#REF!</definedName>
    <definedName name="_ipc2003" localSheetId="23">#REF!</definedName>
    <definedName name="_ipc2003" localSheetId="51">#REF!</definedName>
    <definedName name="_ipc2003" localSheetId="53">#REF!</definedName>
    <definedName name="_ipc2003" localSheetId="20">#REF!</definedName>
    <definedName name="_ipc2003">#REF!</definedName>
    <definedName name="_ipc98" localSheetId="34">#REF!</definedName>
    <definedName name="_ipc98" localSheetId="35">#REF!</definedName>
    <definedName name="_ipc98" localSheetId="50">#REF!</definedName>
    <definedName name="_ipc98" localSheetId="15">#REF!</definedName>
    <definedName name="_ipc98" localSheetId="29">#REF!</definedName>
    <definedName name="_ipc98" localSheetId="30">#REF!</definedName>
    <definedName name="_ipc98" localSheetId="47">#REF!</definedName>
    <definedName name="_ipc98" localSheetId="44">#REF!</definedName>
    <definedName name="_ipc98" localSheetId="45">#REF!</definedName>
    <definedName name="_ipc98" localSheetId="46">#REF!</definedName>
    <definedName name="_ipc98" localSheetId="31">#REF!</definedName>
    <definedName name="_ipc98" localSheetId="32">#REF!</definedName>
    <definedName name="_ipc98" localSheetId="33">#REF!</definedName>
    <definedName name="_ipc98" localSheetId="36">#REF!</definedName>
    <definedName name="_ipc98" localSheetId="37">#REF!</definedName>
    <definedName name="_ipc98" localSheetId="38">#REF!</definedName>
    <definedName name="_ipc98" localSheetId="39">#REF!</definedName>
    <definedName name="_ipc98" localSheetId="40">#REF!</definedName>
    <definedName name="_ipc98" localSheetId="54">#REF!</definedName>
    <definedName name="_ipc98" localSheetId="55">#REF!</definedName>
    <definedName name="_ipc98" localSheetId="52">#REF!</definedName>
    <definedName name="_ipc98" localSheetId="23">#REF!</definedName>
    <definedName name="_ipc98" localSheetId="51">#REF!</definedName>
    <definedName name="_ipc98" localSheetId="53">#REF!</definedName>
    <definedName name="_ipc98" localSheetId="20">#REF!</definedName>
    <definedName name="_ipc98">#REF!</definedName>
    <definedName name="_ipc99" localSheetId="34">#REF!</definedName>
    <definedName name="_ipc99" localSheetId="35">#REF!</definedName>
    <definedName name="_ipc99" localSheetId="50">#REF!</definedName>
    <definedName name="_ipc99" localSheetId="15">#REF!</definedName>
    <definedName name="_ipc99" localSheetId="29">#REF!</definedName>
    <definedName name="_ipc99" localSheetId="30">#REF!</definedName>
    <definedName name="_ipc99" localSheetId="47">#REF!</definedName>
    <definedName name="_ipc99" localSheetId="44">#REF!</definedName>
    <definedName name="_ipc99" localSheetId="45">#REF!</definedName>
    <definedName name="_ipc99" localSheetId="46">#REF!</definedName>
    <definedName name="_ipc99" localSheetId="31">#REF!</definedName>
    <definedName name="_ipc99" localSheetId="32">#REF!</definedName>
    <definedName name="_ipc99" localSheetId="33">#REF!</definedName>
    <definedName name="_ipc99" localSheetId="36">#REF!</definedName>
    <definedName name="_ipc99" localSheetId="37">#REF!</definedName>
    <definedName name="_ipc99" localSheetId="38">#REF!</definedName>
    <definedName name="_ipc99" localSheetId="39">#REF!</definedName>
    <definedName name="_ipc99" localSheetId="40">#REF!</definedName>
    <definedName name="_ipc99" localSheetId="54">#REF!</definedName>
    <definedName name="_ipc99" localSheetId="55">#REF!</definedName>
    <definedName name="_ipc99" localSheetId="52">#REF!</definedName>
    <definedName name="_ipc99" localSheetId="23">#REF!</definedName>
    <definedName name="_ipc99" localSheetId="51">#REF!</definedName>
    <definedName name="_ipc99" localSheetId="53">#REF!</definedName>
    <definedName name="_ipc99" localSheetId="20">#REF!</definedName>
    <definedName name="_ipc99">#REF!</definedName>
    <definedName name="_jun96" localSheetId="34">#REF!</definedName>
    <definedName name="_jun96" localSheetId="35">#REF!</definedName>
    <definedName name="_jun96" localSheetId="50">#REF!</definedName>
    <definedName name="_jun96" localSheetId="15">#REF!</definedName>
    <definedName name="_jun96" localSheetId="29">#REF!</definedName>
    <definedName name="_jun96" localSheetId="30">#REF!</definedName>
    <definedName name="_jun96" localSheetId="47">#REF!</definedName>
    <definedName name="_jun96" localSheetId="44">#REF!</definedName>
    <definedName name="_jun96" localSheetId="45">#REF!</definedName>
    <definedName name="_jun96" localSheetId="46">#REF!</definedName>
    <definedName name="_jun96" localSheetId="31">#REF!</definedName>
    <definedName name="_jun96" localSheetId="32">#REF!</definedName>
    <definedName name="_jun96" localSheetId="33">#REF!</definedName>
    <definedName name="_jun96" localSheetId="36">#REF!</definedName>
    <definedName name="_jun96" localSheetId="37">#REF!</definedName>
    <definedName name="_jun96" localSheetId="38">#REF!</definedName>
    <definedName name="_jun96" localSheetId="39">#REF!</definedName>
    <definedName name="_jun96" localSheetId="40">#REF!</definedName>
    <definedName name="_jun96" localSheetId="54">#REF!</definedName>
    <definedName name="_jun96" localSheetId="55">#REF!</definedName>
    <definedName name="_jun96" localSheetId="52">#REF!</definedName>
    <definedName name="_jun96" localSheetId="23">#REF!</definedName>
    <definedName name="_jun96" localSheetId="51">#REF!</definedName>
    <definedName name="_jun96" localSheetId="53">#REF!</definedName>
    <definedName name="_jun96" localSheetId="20">#REF!</definedName>
    <definedName name="_jun96">#REF!</definedName>
    <definedName name="_jun97" localSheetId="34">#REF!</definedName>
    <definedName name="_jun97" localSheetId="35">#REF!</definedName>
    <definedName name="_jun97" localSheetId="50">#REF!</definedName>
    <definedName name="_jun97" localSheetId="15">#REF!</definedName>
    <definedName name="_jun97" localSheetId="29">#REF!</definedName>
    <definedName name="_jun97" localSheetId="30">#REF!</definedName>
    <definedName name="_jun97" localSheetId="47">#REF!</definedName>
    <definedName name="_jun97" localSheetId="44">#REF!</definedName>
    <definedName name="_jun97" localSheetId="45">#REF!</definedName>
    <definedName name="_jun97" localSheetId="46">#REF!</definedName>
    <definedName name="_jun97" localSheetId="31">#REF!</definedName>
    <definedName name="_jun97" localSheetId="32">#REF!</definedName>
    <definedName name="_jun97" localSheetId="33">#REF!</definedName>
    <definedName name="_jun97" localSheetId="36">#REF!</definedName>
    <definedName name="_jun97" localSheetId="37">#REF!</definedName>
    <definedName name="_jun97" localSheetId="38">#REF!</definedName>
    <definedName name="_jun97" localSheetId="39">#REF!</definedName>
    <definedName name="_jun97" localSheetId="40">#REF!</definedName>
    <definedName name="_jun97" localSheetId="54">#REF!</definedName>
    <definedName name="_jun97" localSheetId="55">#REF!</definedName>
    <definedName name="_jun97" localSheetId="52">#REF!</definedName>
    <definedName name="_jun97" localSheetId="23">#REF!</definedName>
    <definedName name="_jun97" localSheetId="51">#REF!</definedName>
    <definedName name="_jun97" localSheetId="53">#REF!</definedName>
    <definedName name="_jun97" localSheetId="20">#REF!</definedName>
    <definedName name="_jun97">#REF!</definedName>
    <definedName name="_Key1" localSheetId="34" hidden="1">#REF!</definedName>
    <definedName name="_Key1" localSheetId="35" hidden="1">#REF!</definedName>
    <definedName name="_Key1" localSheetId="50" hidden="1">#REF!</definedName>
    <definedName name="_Key1" localSheetId="15" hidden="1">#REF!</definedName>
    <definedName name="_Key1" localSheetId="29" hidden="1">#REF!</definedName>
    <definedName name="_Key1" localSheetId="30" hidden="1">#REF!</definedName>
    <definedName name="_Key1" localSheetId="47" hidden="1">#REF!</definedName>
    <definedName name="_Key1" localSheetId="44" hidden="1">#REF!</definedName>
    <definedName name="_Key1" localSheetId="45" hidden="1">#REF!</definedName>
    <definedName name="_Key1" localSheetId="46" hidden="1">#REF!</definedName>
    <definedName name="_Key1" localSheetId="31" hidden="1">#REF!</definedName>
    <definedName name="_Key1" localSheetId="32" hidden="1">#REF!</definedName>
    <definedName name="_Key1" localSheetId="33" hidden="1">#REF!</definedName>
    <definedName name="_Key1" localSheetId="36" hidden="1">#REF!</definedName>
    <definedName name="_Key1" localSheetId="37" hidden="1">#REF!</definedName>
    <definedName name="_Key1" localSheetId="38" hidden="1">#REF!</definedName>
    <definedName name="_Key1" localSheetId="39" hidden="1">#REF!</definedName>
    <definedName name="_Key1" localSheetId="40" hidden="1">#REF!</definedName>
    <definedName name="_Key1" localSheetId="54" hidden="1">#REF!</definedName>
    <definedName name="_Key1" localSheetId="55" hidden="1">#REF!</definedName>
    <definedName name="_Key1" localSheetId="52" hidden="1">#REF!</definedName>
    <definedName name="_Key1" localSheetId="23" hidden="1">#REF!</definedName>
    <definedName name="_Key1" localSheetId="51" hidden="1">#REF!</definedName>
    <definedName name="_Key1" localSheetId="53" hidden="1">#REF!</definedName>
    <definedName name="_Key1" localSheetId="20" hidden="1">#REF!</definedName>
    <definedName name="_Key1" hidden="1">#REF!</definedName>
    <definedName name="_Key2" localSheetId="50" hidden="1">#REF!</definedName>
    <definedName name="_Key2" localSheetId="47" hidden="1">#REF!</definedName>
    <definedName name="_Key2" localSheetId="44" hidden="1">#REF!</definedName>
    <definedName name="_Key2" localSheetId="45" hidden="1">#REF!</definedName>
    <definedName name="_Key2" localSheetId="46" hidden="1">#REF!</definedName>
    <definedName name="_Key2" localSheetId="37" hidden="1">#REF!</definedName>
    <definedName name="_Key2" localSheetId="40" hidden="1">#REF!</definedName>
    <definedName name="_Key2" localSheetId="54" hidden="1">#REF!</definedName>
    <definedName name="_Key2" localSheetId="55" hidden="1">#REF!</definedName>
    <definedName name="_Key2" localSheetId="52" hidden="1">#REF!</definedName>
    <definedName name="_Key2" localSheetId="51" hidden="1">#REF!</definedName>
    <definedName name="_Key2" localSheetId="53" hidden="1">#REF!</definedName>
    <definedName name="_Key2" hidden="1">#REF!</definedName>
    <definedName name="_mar96" localSheetId="34">#REF!</definedName>
    <definedName name="_mar96" localSheetId="35">#REF!</definedName>
    <definedName name="_mar96" localSheetId="50">#REF!</definedName>
    <definedName name="_mar96" localSheetId="15">#REF!</definedName>
    <definedName name="_mar96" localSheetId="29">#REF!</definedName>
    <definedName name="_mar96" localSheetId="30">#REF!</definedName>
    <definedName name="_mar96" localSheetId="47">#REF!</definedName>
    <definedName name="_mar96" localSheetId="44">#REF!</definedName>
    <definedName name="_mar96" localSheetId="45">#REF!</definedName>
    <definedName name="_mar96" localSheetId="46">#REF!</definedName>
    <definedName name="_mar96" localSheetId="31">#REF!</definedName>
    <definedName name="_mar96" localSheetId="32">#REF!</definedName>
    <definedName name="_mar96" localSheetId="33">#REF!</definedName>
    <definedName name="_mar96" localSheetId="36">#REF!</definedName>
    <definedName name="_mar96" localSheetId="37">#REF!</definedName>
    <definedName name="_mar96" localSheetId="38">#REF!</definedName>
    <definedName name="_mar96" localSheetId="39">#REF!</definedName>
    <definedName name="_mar96" localSheetId="40">#REF!</definedName>
    <definedName name="_mar96" localSheetId="54">#REF!</definedName>
    <definedName name="_mar96" localSheetId="55">#REF!</definedName>
    <definedName name="_mar96" localSheetId="52">#REF!</definedName>
    <definedName name="_mar96" localSheetId="23">#REF!</definedName>
    <definedName name="_mar96" localSheetId="51">#REF!</definedName>
    <definedName name="_mar96" localSheetId="53">#REF!</definedName>
    <definedName name="_mar96" localSheetId="20">#REF!</definedName>
    <definedName name="_mar96">#REF!</definedName>
    <definedName name="_mar97" localSheetId="34">#REF!</definedName>
    <definedName name="_mar97" localSheetId="35">#REF!</definedName>
    <definedName name="_mar97" localSheetId="50">#REF!</definedName>
    <definedName name="_mar97" localSheetId="15">#REF!</definedName>
    <definedName name="_mar97" localSheetId="29">#REF!</definedName>
    <definedName name="_mar97" localSheetId="30">#REF!</definedName>
    <definedName name="_mar97" localSheetId="47">#REF!</definedName>
    <definedName name="_mar97" localSheetId="44">#REF!</definedName>
    <definedName name="_mar97" localSheetId="45">#REF!</definedName>
    <definedName name="_mar97" localSheetId="46">#REF!</definedName>
    <definedName name="_mar97" localSheetId="31">#REF!</definedName>
    <definedName name="_mar97" localSheetId="32">#REF!</definedName>
    <definedName name="_mar97" localSheetId="33">#REF!</definedName>
    <definedName name="_mar97" localSheetId="36">#REF!</definedName>
    <definedName name="_mar97" localSheetId="37">#REF!</definedName>
    <definedName name="_mar97" localSheetId="38">#REF!</definedName>
    <definedName name="_mar97" localSheetId="39">#REF!</definedName>
    <definedName name="_mar97" localSheetId="40">#REF!</definedName>
    <definedName name="_mar97" localSheetId="54">#REF!</definedName>
    <definedName name="_mar97" localSheetId="55">#REF!</definedName>
    <definedName name="_mar97" localSheetId="52">#REF!</definedName>
    <definedName name="_mar97" localSheetId="23">#REF!</definedName>
    <definedName name="_mar97" localSheetId="51">#REF!</definedName>
    <definedName name="_mar97" localSheetId="53">#REF!</definedName>
    <definedName name="_mar97" localSheetId="20">#REF!</definedName>
    <definedName name="_mar97">#REF!</definedName>
    <definedName name="_MCV1" localSheetId="34">#REF!</definedName>
    <definedName name="_MCV1" localSheetId="35">#REF!</definedName>
    <definedName name="_MCV1" localSheetId="50">#REF!</definedName>
    <definedName name="_MCV1" localSheetId="15">#REF!</definedName>
    <definedName name="_MCV1" localSheetId="29">#REF!</definedName>
    <definedName name="_MCV1" localSheetId="30">#REF!</definedName>
    <definedName name="_MCV1" localSheetId="47">#REF!</definedName>
    <definedName name="_MCV1" localSheetId="44">#REF!</definedName>
    <definedName name="_MCV1" localSheetId="45">#REF!</definedName>
    <definedName name="_MCV1" localSheetId="46">#REF!</definedName>
    <definedName name="_MCV1" localSheetId="31">#REF!</definedName>
    <definedName name="_MCV1" localSheetId="32">#REF!</definedName>
    <definedName name="_MCV1" localSheetId="33">#REF!</definedName>
    <definedName name="_MCV1" localSheetId="36">#REF!</definedName>
    <definedName name="_MCV1" localSheetId="37">#REF!</definedName>
    <definedName name="_MCV1" localSheetId="38">#REF!</definedName>
    <definedName name="_MCV1" localSheetId="39">#REF!</definedName>
    <definedName name="_MCV1" localSheetId="40">#REF!</definedName>
    <definedName name="_MCV1" localSheetId="54">#REF!</definedName>
    <definedName name="_MCV1" localSheetId="55">#REF!</definedName>
    <definedName name="_MCV1" localSheetId="52">#REF!</definedName>
    <definedName name="_MCV1" localSheetId="23">#REF!</definedName>
    <definedName name="_MCV1" localSheetId="51">#REF!</definedName>
    <definedName name="_MCV1" localSheetId="53">#REF!</definedName>
    <definedName name="_MCV1" localSheetId="20">#REF!</definedName>
    <definedName name="_MCV1">#REF!</definedName>
    <definedName name="_me98" localSheetId="34">[27]Programa!#REF!</definedName>
    <definedName name="_me98" localSheetId="35">[27]Programa!#REF!</definedName>
    <definedName name="_me98" localSheetId="50">[27]Programa!#REF!</definedName>
    <definedName name="_me98" localSheetId="15">[27]Programa!#REF!</definedName>
    <definedName name="_me98" localSheetId="29">[27]Programa!#REF!</definedName>
    <definedName name="_me98" localSheetId="30">[27]Programa!#REF!</definedName>
    <definedName name="_me98" localSheetId="47">[27]Programa!#REF!</definedName>
    <definedName name="_me98" localSheetId="44">[27]Programa!#REF!</definedName>
    <definedName name="_me98" localSheetId="45">[27]Programa!#REF!</definedName>
    <definedName name="_me98" localSheetId="46">[27]Programa!#REF!</definedName>
    <definedName name="_me98" localSheetId="31">[27]Programa!#REF!</definedName>
    <definedName name="_me98" localSheetId="32">[27]Programa!#REF!</definedName>
    <definedName name="_me98" localSheetId="33">[27]Programa!#REF!</definedName>
    <definedName name="_me98" localSheetId="36">[27]Programa!#REF!</definedName>
    <definedName name="_me98" localSheetId="37">[27]Programa!#REF!</definedName>
    <definedName name="_me98" localSheetId="38">[27]Programa!#REF!</definedName>
    <definedName name="_me98" localSheetId="39">[27]Programa!#REF!</definedName>
    <definedName name="_me98" localSheetId="40">[27]Programa!#REF!</definedName>
    <definedName name="_me98" localSheetId="54">[27]Programa!#REF!</definedName>
    <definedName name="_me98" localSheetId="55">[27]Programa!#REF!</definedName>
    <definedName name="_me98" localSheetId="52">[27]Programa!#REF!</definedName>
    <definedName name="_me98" localSheetId="23">[27]Programa!#REF!</definedName>
    <definedName name="_me98" localSheetId="51">[27]Programa!#REF!</definedName>
    <definedName name="_me98" localSheetId="53">[27]Programa!#REF!</definedName>
    <definedName name="_me98" localSheetId="20">[27]Programa!#REF!</definedName>
    <definedName name="_me98">[27]Programa!#REF!</definedName>
    <definedName name="_mes95" localSheetId="34">#REF!</definedName>
    <definedName name="_mes95" localSheetId="35">#REF!</definedName>
    <definedName name="_mes95" localSheetId="50">#REF!</definedName>
    <definedName name="_mes95" localSheetId="15">#REF!</definedName>
    <definedName name="_mes95" localSheetId="29">#REF!</definedName>
    <definedName name="_mes95" localSheetId="30">#REF!</definedName>
    <definedName name="_mes95" localSheetId="47">#REF!</definedName>
    <definedName name="_mes95" localSheetId="44">#REF!</definedName>
    <definedName name="_mes95" localSheetId="45">#REF!</definedName>
    <definedName name="_mes95" localSheetId="46">#REF!</definedName>
    <definedName name="_mes95" localSheetId="31">#REF!</definedName>
    <definedName name="_mes95" localSheetId="32">#REF!</definedName>
    <definedName name="_mes95" localSheetId="33">#REF!</definedName>
    <definedName name="_mes95" localSheetId="36">#REF!</definedName>
    <definedName name="_mes95" localSheetId="37">#REF!</definedName>
    <definedName name="_mes95" localSheetId="38">#REF!</definedName>
    <definedName name="_mes95" localSheetId="39">#REF!</definedName>
    <definedName name="_mes95" localSheetId="40">#REF!</definedName>
    <definedName name="_mes95" localSheetId="54">#REF!</definedName>
    <definedName name="_mes95" localSheetId="55">#REF!</definedName>
    <definedName name="_mes95" localSheetId="52">#REF!</definedName>
    <definedName name="_mes95" localSheetId="23">#REF!</definedName>
    <definedName name="_mes95" localSheetId="51">#REF!</definedName>
    <definedName name="_mes95" localSheetId="53">#REF!</definedName>
    <definedName name="_mes95" localSheetId="20">#REF!</definedName>
    <definedName name="_mes95">#REF!</definedName>
    <definedName name="_min1">[26]minor!$A$7:$AU$50</definedName>
    <definedName name="_min2">[26]minor!$A$111:$AU$143</definedName>
    <definedName name="_min3">[26]minor!$A$145:$AU$174</definedName>
    <definedName name="_min4">[26]minor!$A$177:$AU$208</definedName>
    <definedName name="_min5">[26]minor!$A$210:$AU$238</definedName>
    <definedName name="_min6">[26]minor!$A$240:$AU$268</definedName>
    <definedName name="_MTS2" localSheetId="34">'[30]Annual Tables'!#REF!</definedName>
    <definedName name="_MTS2" localSheetId="35">'[30]Annual Tables'!#REF!</definedName>
    <definedName name="_MTS2" localSheetId="50">'[30]Annual Tables'!#REF!</definedName>
    <definedName name="_MTS2" localSheetId="15">'[30]Annual Tables'!#REF!</definedName>
    <definedName name="_MTS2" localSheetId="29">'[30]Annual Tables'!#REF!</definedName>
    <definedName name="_MTS2" localSheetId="30">'[30]Annual Tables'!#REF!</definedName>
    <definedName name="_MTS2" localSheetId="47">'[30]Annual Tables'!#REF!</definedName>
    <definedName name="_MTS2" localSheetId="44">'[30]Annual Tables'!#REF!</definedName>
    <definedName name="_MTS2" localSheetId="45">'[30]Annual Tables'!#REF!</definedName>
    <definedName name="_MTS2" localSheetId="46">'[30]Annual Tables'!#REF!</definedName>
    <definedName name="_MTS2" localSheetId="31">'[30]Annual Tables'!#REF!</definedName>
    <definedName name="_MTS2" localSheetId="32">'[30]Annual Tables'!#REF!</definedName>
    <definedName name="_MTS2" localSheetId="33">'[30]Annual Tables'!#REF!</definedName>
    <definedName name="_MTS2" localSheetId="36">'[30]Annual Tables'!#REF!</definedName>
    <definedName name="_MTS2" localSheetId="37">'[30]Annual Tables'!#REF!</definedName>
    <definedName name="_MTS2" localSheetId="38">'[30]Annual Tables'!#REF!</definedName>
    <definedName name="_MTS2" localSheetId="39">'[30]Annual Tables'!#REF!</definedName>
    <definedName name="_MTS2" localSheetId="40">'[30]Annual Tables'!#REF!</definedName>
    <definedName name="_MTS2" localSheetId="54">'[30]Annual Tables'!#REF!</definedName>
    <definedName name="_MTS2" localSheetId="55">'[30]Annual Tables'!#REF!</definedName>
    <definedName name="_MTS2" localSheetId="52">'[30]Annual Tables'!#REF!</definedName>
    <definedName name="_MTS2" localSheetId="23">'[30]Annual Tables'!#REF!</definedName>
    <definedName name="_MTS2" localSheetId="51">'[30]Annual Tables'!#REF!</definedName>
    <definedName name="_MTS2" localSheetId="53">'[30]Annual Tables'!#REF!</definedName>
    <definedName name="_MTS2" localSheetId="20">'[30]Annual Tables'!#REF!</definedName>
    <definedName name="_MTS2">'[30]Annual Tables'!#REF!</definedName>
    <definedName name="_npp2000" localSheetId="34">#REF!</definedName>
    <definedName name="_npp2000" localSheetId="35">#REF!</definedName>
    <definedName name="_npp2000" localSheetId="50">#REF!</definedName>
    <definedName name="_npp2000" localSheetId="15">#REF!</definedName>
    <definedName name="_npp2000" localSheetId="29">#REF!</definedName>
    <definedName name="_npp2000" localSheetId="30">#REF!</definedName>
    <definedName name="_npp2000" localSheetId="47">#REF!</definedName>
    <definedName name="_npp2000" localSheetId="44">#REF!</definedName>
    <definedName name="_npp2000" localSheetId="45">#REF!</definedName>
    <definedName name="_npp2000" localSheetId="46">#REF!</definedName>
    <definedName name="_npp2000" localSheetId="31">#REF!</definedName>
    <definedName name="_npp2000" localSheetId="32">#REF!</definedName>
    <definedName name="_npp2000" localSheetId="33">#REF!</definedName>
    <definedName name="_npp2000" localSheetId="36">#REF!</definedName>
    <definedName name="_npp2000" localSheetId="37">#REF!</definedName>
    <definedName name="_npp2000" localSheetId="38">#REF!</definedName>
    <definedName name="_npp2000" localSheetId="39">#REF!</definedName>
    <definedName name="_npp2000" localSheetId="40">#REF!</definedName>
    <definedName name="_npp2000" localSheetId="54">#REF!</definedName>
    <definedName name="_npp2000" localSheetId="55">#REF!</definedName>
    <definedName name="_npp2000" localSheetId="52">#REF!</definedName>
    <definedName name="_npp2000" localSheetId="23">#REF!</definedName>
    <definedName name="_npp2000" localSheetId="51">#REF!</definedName>
    <definedName name="_npp2000" localSheetId="53">#REF!</definedName>
    <definedName name="_npp2000" localSheetId="20">#REF!</definedName>
    <definedName name="_npp2000">#REF!</definedName>
    <definedName name="_npp2001" localSheetId="34">#REF!</definedName>
    <definedName name="_npp2001" localSheetId="35">#REF!</definedName>
    <definedName name="_npp2001" localSheetId="50">#REF!</definedName>
    <definedName name="_npp2001" localSheetId="15">#REF!</definedName>
    <definedName name="_npp2001" localSheetId="29">#REF!</definedName>
    <definedName name="_npp2001" localSheetId="30">#REF!</definedName>
    <definedName name="_npp2001" localSheetId="47">#REF!</definedName>
    <definedName name="_npp2001" localSheetId="44">#REF!</definedName>
    <definedName name="_npp2001" localSheetId="45">#REF!</definedName>
    <definedName name="_npp2001" localSheetId="46">#REF!</definedName>
    <definedName name="_npp2001" localSheetId="31">#REF!</definedName>
    <definedName name="_npp2001" localSheetId="32">#REF!</definedName>
    <definedName name="_npp2001" localSheetId="33">#REF!</definedName>
    <definedName name="_npp2001" localSheetId="36">#REF!</definedName>
    <definedName name="_npp2001" localSheetId="37">#REF!</definedName>
    <definedName name="_npp2001" localSheetId="38">#REF!</definedName>
    <definedName name="_npp2001" localSheetId="39">#REF!</definedName>
    <definedName name="_npp2001" localSheetId="40">#REF!</definedName>
    <definedName name="_npp2001" localSheetId="54">#REF!</definedName>
    <definedName name="_npp2001" localSheetId="55">#REF!</definedName>
    <definedName name="_npp2001" localSheetId="52">#REF!</definedName>
    <definedName name="_npp2001" localSheetId="23">#REF!</definedName>
    <definedName name="_npp2001" localSheetId="51">#REF!</definedName>
    <definedName name="_npp2001" localSheetId="53">#REF!</definedName>
    <definedName name="_npp2001" localSheetId="20">#REF!</definedName>
    <definedName name="_npp2001">#REF!</definedName>
    <definedName name="_npp2002" localSheetId="34">#REF!</definedName>
    <definedName name="_npp2002" localSheetId="35">#REF!</definedName>
    <definedName name="_npp2002" localSheetId="50">#REF!</definedName>
    <definedName name="_npp2002" localSheetId="15">#REF!</definedName>
    <definedName name="_npp2002" localSheetId="29">#REF!</definedName>
    <definedName name="_npp2002" localSheetId="30">#REF!</definedName>
    <definedName name="_npp2002" localSheetId="47">#REF!</definedName>
    <definedName name="_npp2002" localSheetId="44">#REF!</definedName>
    <definedName name="_npp2002" localSheetId="45">#REF!</definedName>
    <definedName name="_npp2002" localSheetId="46">#REF!</definedName>
    <definedName name="_npp2002" localSheetId="31">#REF!</definedName>
    <definedName name="_npp2002" localSheetId="32">#REF!</definedName>
    <definedName name="_npp2002" localSheetId="33">#REF!</definedName>
    <definedName name="_npp2002" localSheetId="36">#REF!</definedName>
    <definedName name="_npp2002" localSheetId="37">#REF!</definedName>
    <definedName name="_npp2002" localSheetId="38">#REF!</definedName>
    <definedName name="_npp2002" localSheetId="39">#REF!</definedName>
    <definedName name="_npp2002" localSheetId="40">#REF!</definedName>
    <definedName name="_npp2002" localSheetId="54">#REF!</definedName>
    <definedName name="_npp2002" localSheetId="55">#REF!</definedName>
    <definedName name="_npp2002" localSheetId="52">#REF!</definedName>
    <definedName name="_npp2002" localSheetId="23">#REF!</definedName>
    <definedName name="_npp2002" localSheetId="51">#REF!</definedName>
    <definedName name="_npp2002" localSheetId="53">#REF!</definedName>
    <definedName name="_npp2002" localSheetId="20">#REF!</definedName>
    <definedName name="_npp2002">#REF!</definedName>
    <definedName name="_npp2003" localSheetId="34">#REF!</definedName>
    <definedName name="_npp2003" localSheetId="35">#REF!</definedName>
    <definedName name="_npp2003" localSheetId="50">#REF!</definedName>
    <definedName name="_npp2003" localSheetId="15">#REF!</definedName>
    <definedName name="_npp2003" localSheetId="29">#REF!</definedName>
    <definedName name="_npp2003" localSheetId="30">#REF!</definedName>
    <definedName name="_npp2003" localSheetId="47">#REF!</definedName>
    <definedName name="_npp2003" localSheetId="44">#REF!</definedName>
    <definedName name="_npp2003" localSheetId="45">#REF!</definedName>
    <definedName name="_npp2003" localSheetId="46">#REF!</definedName>
    <definedName name="_npp2003" localSheetId="31">#REF!</definedName>
    <definedName name="_npp2003" localSheetId="32">#REF!</definedName>
    <definedName name="_npp2003" localSheetId="33">#REF!</definedName>
    <definedName name="_npp2003" localSheetId="36">#REF!</definedName>
    <definedName name="_npp2003" localSheetId="37">#REF!</definedName>
    <definedName name="_npp2003" localSheetId="38">#REF!</definedName>
    <definedName name="_npp2003" localSheetId="39">#REF!</definedName>
    <definedName name="_npp2003" localSheetId="40">#REF!</definedName>
    <definedName name="_npp2003" localSheetId="54">#REF!</definedName>
    <definedName name="_npp2003" localSheetId="55">#REF!</definedName>
    <definedName name="_npp2003" localSheetId="52">#REF!</definedName>
    <definedName name="_npp2003" localSheetId="23">#REF!</definedName>
    <definedName name="_npp2003" localSheetId="51">#REF!</definedName>
    <definedName name="_npp2003" localSheetId="53">#REF!</definedName>
    <definedName name="_npp2003" localSheetId="20">#REF!</definedName>
    <definedName name="_npp2003">#REF!</definedName>
    <definedName name="_npp98" localSheetId="34">#REF!</definedName>
    <definedName name="_npp98" localSheetId="35">#REF!</definedName>
    <definedName name="_npp98" localSheetId="50">#REF!</definedName>
    <definedName name="_npp98" localSheetId="15">#REF!</definedName>
    <definedName name="_npp98" localSheetId="29">#REF!</definedName>
    <definedName name="_npp98" localSheetId="30">#REF!</definedName>
    <definedName name="_npp98" localSheetId="47">#REF!</definedName>
    <definedName name="_npp98" localSheetId="44">#REF!</definedName>
    <definedName name="_npp98" localSheetId="45">#REF!</definedName>
    <definedName name="_npp98" localSheetId="46">#REF!</definedName>
    <definedName name="_npp98" localSheetId="31">#REF!</definedName>
    <definedName name="_npp98" localSheetId="32">#REF!</definedName>
    <definedName name="_npp98" localSheetId="33">#REF!</definedName>
    <definedName name="_npp98" localSheetId="36">#REF!</definedName>
    <definedName name="_npp98" localSheetId="37">#REF!</definedName>
    <definedName name="_npp98" localSheetId="38">#REF!</definedName>
    <definedName name="_npp98" localSheetId="39">#REF!</definedName>
    <definedName name="_npp98" localSheetId="40">#REF!</definedName>
    <definedName name="_npp98" localSheetId="54">#REF!</definedName>
    <definedName name="_npp98" localSheetId="55">#REF!</definedName>
    <definedName name="_npp98" localSheetId="52">#REF!</definedName>
    <definedName name="_npp98" localSheetId="23">#REF!</definedName>
    <definedName name="_npp98" localSheetId="51">#REF!</definedName>
    <definedName name="_npp98" localSheetId="53">#REF!</definedName>
    <definedName name="_npp98" localSheetId="20">#REF!</definedName>
    <definedName name="_npp98">#REF!</definedName>
    <definedName name="_npp99" localSheetId="34">#REF!</definedName>
    <definedName name="_npp99" localSheetId="35">#REF!</definedName>
    <definedName name="_npp99" localSheetId="50">#REF!</definedName>
    <definedName name="_npp99" localSheetId="15">#REF!</definedName>
    <definedName name="_npp99" localSheetId="29">#REF!</definedName>
    <definedName name="_npp99" localSheetId="30">#REF!</definedName>
    <definedName name="_npp99" localSheetId="47">#REF!</definedName>
    <definedName name="_npp99" localSheetId="44">#REF!</definedName>
    <definedName name="_npp99" localSheetId="45">#REF!</definedName>
    <definedName name="_npp99" localSheetId="46">#REF!</definedName>
    <definedName name="_npp99" localSheetId="31">#REF!</definedName>
    <definedName name="_npp99" localSheetId="32">#REF!</definedName>
    <definedName name="_npp99" localSheetId="33">#REF!</definedName>
    <definedName name="_npp99" localSheetId="36">#REF!</definedName>
    <definedName name="_npp99" localSheetId="37">#REF!</definedName>
    <definedName name="_npp99" localSheetId="38">#REF!</definedName>
    <definedName name="_npp99" localSheetId="39">#REF!</definedName>
    <definedName name="_npp99" localSheetId="40">#REF!</definedName>
    <definedName name="_npp99" localSheetId="54">#REF!</definedName>
    <definedName name="_npp99" localSheetId="55">#REF!</definedName>
    <definedName name="_npp99" localSheetId="52">#REF!</definedName>
    <definedName name="_npp99" localSheetId="23">#REF!</definedName>
    <definedName name="_npp99" localSheetId="51">#REF!</definedName>
    <definedName name="_npp99" localSheetId="53">#REF!</definedName>
    <definedName name="_npp99" localSheetId="20">#REF!</definedName>
    <definedName name="_npp99">#REF!</definedName>
    <definedName name="_OCT95">'[31]FINANC-95'!$A$1:$D$35</definedName>
    <definedName name="_oma1">[26]omas!$A$1:$AH$31</definedName>
    <definedName name="_oma2">[26]omas!$A$32:$AH$73</definedName>
    <definedName name="_oma3">[26]omas!$A$80:$AH$120</definedName>
    <definedName name="_Order1" hidden="1">255</definedName>
    <definedName name="_Order2" hidden="1">255</definedName>
    <definedName name="_PAG2" localSheetId="34">[30]Index!#REF!</definedName>
    <definedName name="_PAG2" localSheetId="35">[30]Index!#REF!</definedName>
    <definedName name="_PAG2" localSheetId="50">[30]Index!#REF!</definedName>
    <definedName name="_PAG2" localSheetId="15">[30]Index!#REF!</definedName>
    <definedName name="_PAG2" localSheetId="29">[30]Index!#REF!</definedName>
    <definedName name="_PAG2" localSheetId="30">[30]Index!#REF!</definedName>
    <definedName name="_PAG2" localSheetId="47">[30]Index!#REF!</definedName>
    <definedName name="_PAG2" localSheetId="44">[30]Index!#REF!</definedName>
    <definedName name="_PAG2" localSheetId="45">[30]Index!#REF!</definedName>
    <definedName name="_PAG2" localSheetId="46">[30]Index!#REF!</definedName>
    <definedName name="_PAG2" localSheetId="31">[30]Index!#REF!</definedName>
    <definedName name="_PAG2" localSheetId="32">[30]Index!#REF!</definedName>
    <definedName name="_PAG2" localSheetId="33">[30]Index!#REF!</definedName>
    <definedName name="_PAG2" localSheetId="36">[30]Index!#REF!</definedName>
    <definedName name="_PAG2" localSheetId="37">[30]Index!#REF!</definedName>
    <definedName name="_PAG2" localSheetId="38">[30]Index!#REF!</definedName>
    <definedName name="_PAG2" localSheetId="39">[30]Index!#REF!</definedName>
    <definedName name="_PAG2" localSheetId="40">[30]Index!#REF!</definedName>
    <definedName name="_PAG2" localSheetId="54">[30]Index!#REF!</definedName>
    <definedName name="_PAG2" localSheetId="55">[30]Index!#REF!</definedName>
    <definedName name="_PAG2" localSheetId="52">[30]Index!#REF!</definedName>
    <definedName name="_PAG2" localSheetId="23">[30]Index!#REF!</definedName>
    <definedName name="_PAG2" localSheetId="51">[30]Index!#REF!</definedName>
    <definedName name="_PAG2" localSheetId="53">[30]Index!#REF!</definedName>
    <definedName name="_PAG2" localSheetId="20">[30]Index!#REF!</definedName>
    <definedName name="_PAG2">[30]Index!#REF!</definedName>
    <definedName name="_PAG3" localSheetId="34">[30]Index!#REF!</definedName>
    <definedName name="_PAG3" localSheetId="35">[30]Index!#REF!</definedName>
    <definedName name="_PAG3" localSheetId="50">[30]Index!#REF!</definedName>
    <definedName name="_PAG3" localSheetId="15">[30]Index!#REF!</definedName>
    <definedName name="_PAG3" localSheetId="29">[30]Index!#REF!</definedName>
    <definedName name="_PAG3" localSheetId="30">[30]Index!#REF!</definedName>
    <definedName name="_PAG3" localSheetId="47">[30]Index!#REF!</definedName>
    <definedName name="_PAG3" localSheetId="44">[30]Index!#REF!</definedName>
    <definedName name="_PAG3" localSheetId="45">[30]Index!#REF!</definedName>
    <definedName name="_PAG3" localSheetId="46">[30]Index!#REF!</definedName>
    <definedName name="_PAG3" localSheetId="31">[30]Index!#REF!</definedName>
    <definedName name="_PAG3" localSheetId="32">[30]Index!#REF!</definedName>
    <definedName name="_PAG3" localSheetId="33">[30]Index!#REF!</definedName>
    <definedName name="_PAG3" localSheetId="36">[30]Index!#REF!</definedName>
    <definedName name="_PAG3" localSheetId="37">[30]Index!#REF!</definedName>
    <definedName name="_PAG3" localSheetId="38">[30]Index!#REF!</definedName>
    <definedName name="_PAG3" localSheetId="39">[30]Index!#REF!</definedName>
    <definedName name="_PAG3" localSheetId="40">[30]Index!#REF!</definedName>
    <definedName name="_PAG3" localSheetId="54">[30]Index!#REF!</definedName>
    <definedName name="_PAG3" localSheetId="55">[30]Index!#REF!</definedName>
    <definedName name="_PAG3" localSheetId="52">[30]Index!#REF!</definedName>
    <definedName name="_PAG3" localSheetId="23">[30]Index!#REF!</definedName>
    <definedName name="_PAG3" localSheetId="51">[30]Index!#REF!</definedName>
    <definedName name="_PAG3" localSheetId="53">[30]Index!#REF!</definedName>
    <definedName name="_PAG3" localSheetId="20">[30]Index!#REF!</definedName>
    <definedName name="_PAG3">[30]Index!#REF!</definedName>
    <definedName name="_PAG4" localSheetId="34">[30]Index!#REF!</definedName>
    <definedName name="_PAG4" localSheetId="35">[30]Index!#REF!</definedName>
    <definedName name="_PAG4" localSheetId="50">[30]Index!#REF!</definedName>
    <definedName name="_PAG4" localSheetId="15">[30]Index!#REF!</definedName>
    <definedName name="_PAG4" localSheetId="29">[30]Index!#REF!</definedName>
    <definedName name="_PAG4" localSheetId="30">[30]Index!#REF!</definedName>
    <definedName name="_PAG4" localSheetId="47">[30]Index!#REF!</definedName>
    <definedName name="_PAG4" localSheetId="44">[30]Index!#REF!</definedName>
    <definedName name="_PAG4" localSheetId="45">[30]Index!#REF!</definedName>
    <definedName name="_PAG4" localSheetId="46">[30]Index!#REF!</definedName>
    <definedName name="_PAG4" localSheetId="31">[30]Index!#REF!</definedName>
    <definedName name="_PAG4" localSheetId="32">[30]Index!#REF!</definedName>
    <definedName name="_PAG4" localSheetId="33">[30]Index!#REF!</definedName>
    <definedName name="_PAG4" localSheetId="36">[30]Index!#REF!</definedName>
    <definedName name="_PAG4" localSheetId="37">[30]Index!#REF!</definedName>
    <definedName name="_PAG4" localSheetId="38">[30]Index!#REF!</definedName>
    <definedName name="_PAG4" localSheetId="39">[30]Index!#REF!</definedName>
    <definedName name="_PAG4" localSheetId="40">[30]Index!#REF!</definedName>
    <definedName name="_PAG4" localSheetId="54">[30]Index!#REF!</definedName>
    <definedName name="_PAG4" localSheetId="55">[30]Index!#REF!</definedName>
    <definedName name="_PAG4" localSheetId="52">[30]Index!#REF!</definedName>
    <definedName name="_PAG4" localSheetId="23">[30]Index!#REF!</definedName>
    <definedName name="_PAG4" localSheetId="51">[30]Index!#REF!</definedName>
    <definedName name="_PAG4" localSheetId="53">[30]Index!#REF!</definedName>
    <definedName name="_PAG4" localSheetId="20">[30]Index!#REF!</definedName>
    <definedName name="_PAG4">[30]Index!#REF!</definedName>
    <definedName name="_PAG5" localSheetId="34">[30]Index!#REF!</definedName>
    <definedName name="_PAG5" localSheetId="35">[30]Index!#REF!</definedName>
    <definedName name="_PAG5" localSheetId="50">[30]Index!#REF!</definedName>
    <definedName name="_PAG5" localSheetId="15">[30]Index!#REF!</definedName>
    <definedName name="_PAG5" localSheetId="29">[30]Index!#REF!</definedName>
    <definedName name="_PAG5" localSheetId="30">[30]Index!#REF!</definedName>
    <definedName name="_PAG5" localSheetId="47">[30]Index!#REF!</definedName>
    <definedName name="_PAG5" localSheetId="44">[30]Index!#REF!</definedName>
    <definedName name="_PAG5" localSheetId="45">[30]Index!#REF!</definedName>
    <definedName name="_PAG5" localSheetId="46">[30]Index!#REF!</definedName>
    <definedName name="_PAG5" localSheetId="31">[30]Index!#REF!</definedName>
    <definedName name="_PAG5" localSheetId="32">[30]Index!#REF!</definedName>
    <definedName name="_PAG5" localSheetId="33">[30]Index!#REF!</definedName>
    <definedName name="_PAG5" localSheetId="36">[30]Index!#REF!</definedName>
    <definedName name="_PAG5" localSheetId="37">[30]Index!#REF!</definedName>
    <definedName name="_PAG5" localSheetId="38">[30]Index!#REF!</definedName>
    <definedName name="_PAG5" localSheetId="39">[30]Index!#REF!</definedName>
    <definedName name="_PAG5" localSheetId="40">[30]Index!#REF!</definedName>
    <definedName name="_PAG5" localSheetId="54">[30]Index!#REF!</definedName>
    <definedName name="_PAG5" localSheetId="55">[30]Index!#REF!</definedName>
    <definedName name="_PAG5" localSheetId="52">[30]Index!#REF!</definedName>
    <definedName name="_PAG5" localSheetId="23">[30]Index!#REF!</definedName>
    <definedName name="_PAG5" localSheetId="51">[30]Index!#REF!</definedName>
    <definedName name="_PAG5" localSheetId="53">[30]Index!#REF!</definedName>
    <definedName name="_PAG5" localSheetId="20">[30]Index!#REF!</definedName>
    <definedName name="_PAG5">[30]Index!#REF!</definedName>
    <definedName name="_PAG6" localSheetId="34">[30]Index!#REF!</definedName>
    <definedName name="_PAG6" localSheetId="35">[30]Index!#REF!</definedName>
    <definedName name="_PAG6" localSheetId="50">[30]Index!#REF!</definedName>
    <definedName name="_PAG6" localSheetId="15">[30]Index!#REF!</definedName>
    <definedName name="_PAG6" localSheetId="29">[30]Index!#REF!</definedName>
    <definedName name="_PAG6" localSheetId="30">[30]Index!#REF!</definedName>
    <definedName name="_PAG6" localSheetId="47">[30]Index!#REF!</definedName>
    <definedName name="_PAG6" localSheetId="44">[30]Index!#REF!</definedName>
    <definedName name="_PAG6" localSheetId="45">[30]Index!#REF!</definedName>
    <definedName name="_PAG6" localSheetId="46">[30]Index!#REF!</definedName>
    <definedName name="_PAG6" localSheetId="31">[30]Index!#REF!</definedName>
    <definedName name="_PAG6" localSheetId="32">[30]Index!#REF!</definedName>
    <definedName name="_PAG6" localSheetId="33">[30]Index!#REF!</definedName>
    <definedName name="_PAG6" localSheetId="36">[30]Index!#REF!</definedName>
    <definedName name="_PAG6" localSheetId="37">[30]Index!#REF!</definedName>
    <definedName name="_PAG6" localSheetId="38">[30]Index!#REF!</definedName>
    <definedName name="_PAG6" localSheetId="39">[30]Index!#REF!</definedName>
    <definedName name="_PAG6" localSheetId="40">[30]Index!#REF!</definedName>
    <definedName name="_PAG6" localSheetId="54">[30]Index!#REF!</definedName>
    <definedName name="_PAG6" localSheetId="55">[30]Index!#REF!</definedName>
    <definedName name="_PAG6" localSheetId="52">[30]Index!#REF!</definedName>
    <definedName name="_PAG6" localSheetId="23">[30]Index!#REF!</definedName>
    <definedName name="_PAG6" localSheetId="51">[30]Index!#REF!</definedName>
    <definedName name="_PAG6" localSheetId="53">[30]Index!#REF!</definedName>
    <definedName name="_PAG6" localSheetId="20">[30]Index!#REF!</definedName>
    <definedName name="_PAG6">[30]Index!#REF!</definedName>
    <definedName name="_PAG7" localSheetId="34">#REF!</definedName>
    <definedName name="_PAG7" localSheetId="35">#REF!</definedName>
    <definedName name="_PAG7" localSheetId="50">#REF!</definedName>
    <definedName name="_PAG7" localSheetId="15">#REF!</definedName>
    <definedName name="_PAG7" localSheetId="29">#REF!</definedName>
    <definedName name="_PAG7" localSheetId="30">#REF!</definedName>
    <definedName name="_PAG7" localSheetId="47">#REF!</definedName>
    <definedName name="_PAG7" localSheetId="44">#REF!</definedName>
    <definedName name="_PAG7" localSheetId="45">#REF!</definedName>
    <definedName name="_PAG7" localSheetId="46">#REF!</definedName>
    <definedName name="_PAG7" localSheetId="31">#REF!</definedName>
    <definedName name="_PAG7" localSheetId="32">#REF!</definedName>
    <definedName name="_PAG7" localSheetId="33">#REF!</definedName>
    <definedName name="_PAG7" localSheetId="36">#REF!</definedName>
    <definedName name="_PAG7" localSheetId="37">#REF!</definedName>
    <definedName name="_PAG7" localSheetId="38">#REF!</definedName>
    <definedName name="_PAG7" localSheetId="39">#REF!</definedName>
    <definedName name="_PAG7" localSheetId="40">#REF!</definedName>
    <definedName name="_PAG7" localSheetId="54">#REF!</definedName>
    <definedName name="_PAG7" localSheetId="55">#REF!</definedName>
    <definedName name="_PAG7" localSheetId="52">#REF!</definedName>
    <definedName name="_PAG7" localSheetId="23">#REF!</definedName>
    <definedName name="_PAG7" localSheetId="51">#REF!</definedName>
    <definedName name="_PAG7" localSheetId="53">#REF!</definedName>
    <definedName name="_PAG7" localSheetId="20">#REF!</definedName>
    <definedName name="_PAG7">#REF!</definedName>
    <definedName name="_pib2000" localSheetId="34">#REF!</definedName>
    <definedName name="_pib2000" localSheetId="35">#REF!</definedName>
    <definedName name="_pib2000" localSheetId="50">#REF!</definedName>
    <definedName name="_pib2000" localSheetId="15">#REF!</definedName>
    <definedName name="_pib2000" localSheetId="29">#REF!</definedName>
    <definedName name="_pib2000" localSheetId="30">#REF!</definedName>
    <definedName name="_pib2000" localSheetId="47">#REF!</definedName>
    <definedName name="_pib2000" localSheetId="44">#REF!</definedName>
    <definedName name="_pib2000" localSheetId="45">#REF!</definedName>
    <definedName name="_pib2000" localSheetId="46">#REF!</definedName>
    <definedName name="_pib2000" localSheetId="31">#REF!</definedName>
    <definedName name="_pib2000" localSheetId="32">#REF!</definedName>
    <definedName name="_pib2000" localSheetId="33">#REF!</definedName>
    <definedName name="_pib2000" localSheetId="36">#REF!</definedName>
    <definedName name="_pib2000" localSheetId="37">#REF!</definedName>
    <definedName name="_pib2000" localSheetId="38">#REF!</definedName>
    <definedName name="_pib2000" localSheetId="39">#REF!</definedName>
    <definedName name="_pib2000" localSheetId="40">#REF!</definedName>
    <definedName name="_pib2000" localSheetId="54">#REF!</definedName>
    <definedName name="_pib2000" localSheetId="55">#REF!</definedName>
    <definedName name="_pib2000" localSheetId="52">#REF!</definedName>
    <definedName name="_pib2000" localSheetId="23">#REF!</definedName>
    <definedName name="_pib2000" localSheetId="51">#REF!</definedName>
    <definedName name="_pib2000" localSheetId="53">#REF!</definedName>
    <definedName name="_pib2000" localSheetId="20">#REF!</definedName>
    <definedName name="_pib2000">#REF!</definedName>
    <definedName name="_pib2001" localSheetId="34">#REF!</definedName>
    <definedName name="_pib2001" localSheetId="35">#REF!</definedName>
    <definedName name="_pib2001" localSheetId="50">#REF!</definedName>
    <definedName name="_pib2001" localSheetId="15">#REF!</definedName>
    <definedName name="_pib2001" localSheetId="29">#REF!</definedName>
    <definedName name="_pib2001" localSheetId="30">#REF!</definedName>
    <definedName name="_pib2001" localSheetId="47">#REF!</definedName>
    <definedName name="_pib2001" localSheetId="44">#REF!</definedName>
    <definedName name="_pib2001" localSheetId="45">#REF!</definedName>
    <definedName name="_pib2001" localSheetId="46">#REF!</definedName>
    <definedName name="_pib2001" localSheetId="31">#REF!</definedName>
    <definedName name="_pib2001" localSheetId="32">#REF!</definedName>
    <definedName name="_pib2001" localSheetId="33">#REF!</definedName>
    <definedName name="_pib2001" localSheetId="36">#REF!</definedName>
    <definedName name="_pib2001" localSheetId="37">#REF!</definedName>
    <definedName name="_pib2001" localSheetId="38">#REF!</definedName>
    <definedName name="_pib2001" localSheetId="39">#REF!</definedName>
    <definedName name="_pib2001" localSheetId="40">#REF!</definedName>
    <definedName name="_pib2001" localSheetId="54">#REF!</definedName>
    <definedName name="_pib2001" localSheetId="55">#REF!</definedName>
    <definedName name="_pib2001" localSheetId="52">#REF!</definedName>
    <definedName name="_pib2001" localSheetId="23">#REF!</definedName>
    <definedName name="_pib2001" localSheetId="51">#REF!</definedName>
    <definedName name="_pib2001" localSheetId="53">#REF!</definedName>
    <definedName name="_pib2001" localSheetId="20">#REF!</definedName>
    <definedName name="_pib2001">#REF!</definedName>
    <definedName name="_pib2002" localSheetId="34">#REF!</definedName>
    <definedName name="_pib2002" localSheetId="35">#REF!</definedName>
    <definedName name="_pib2002" localSheetId="50">#REF!</definedName>
    <definedName name="_pib2002" localSheetId="15">#REF!</definedName>
    <definedName name="_pib2002" localSheetId="29">#REF!</definedName>
    <definedName name="_pib2002" localSheetId="30">#REF!</definedName>
    <definedName name="_pib2002" localSheetId="47">#REF!</definedName>
    <definedName name="_pib2002" localSheetId="44">#REF!</definedName>
    <definedName name="_pib2002" localSheetId="45">#REF!</definedName>
    <definedName name="_pib2002" localSheetId="46">#REF!</definedName>
    <definedName name="_pib2002" localSheetId="31">#REF!</definedName>
    <definedName name="_pib2002" localSheetId="32">#REF!</definedName>
    <definedName name="_pib2002" localSheetId="33">#REF!</definedName>
    <definedName name="_pib2002" localSheetId="36">#REF!</definedName>
    <definedName name="_pib2002" localSheetId="37">#REF!</definedName>
    <definedName name="_pib2002" localSheetId="38">#REF!</definedName>
    <definedName name="_pib2002" localSheetId="39">#REF!</definedName>
    <definedName name="_pib2002" localSheetId="40">#REF!</definedName>
    <definedName name="_pib2002" localSheetId="54">#REF!</definedName>
    <definedName name="_pib2002" localSheetId="55">#REF!</definedName>
    <definedName name="_pib2002" localSheetId="52">#REF!</definedName>
    <definedName name="_pib2002" localSheetId="23">#REF!</definedName>
    <definedName name="_pib2002" localSheetId="51">#REF!</definedName>
    <definedName name="_pib2002" localSheetId="53">#REF!</definedName>
    <definedName name="_pib2002" localSheetId="20">#REF!</definedName>
    <definedName name="_pib2002">#REF!</definedName>
    <definedName name="_pib2003" localSheetId="34">#REF!</definedName>
    <definedName name="_pib2003" localSheetId="35">#REF!</definedName>
    <definedName name="_pib2003" localSheetId="50">#REF!</definedName>
    <definedName name="_pib2003" localSheetId="15">#REF!</definedName>
    <definedName name="_pib2003" localSheetId="29">#REF!</definedName>
    <definedName name="_pib2003" localSheetId="30">#REF!</definedName>
    <definedName name="_pib2003" localSheetId="47">#REF!</definedName>
    <definedName name="_pib2003" localSheetId="44">#REF!</definedName>
    <definedName name="_pib2003" localSheetId="45">#REF!</definedName>
    <definedName name="_pib2003" localSheetId="46">#REF!</definedName>
    <definedName name="_pib2003" localSheetId="31">#REF!</definedName>
    <definedName name="_pib2003" localSheetId="32">#REF!</definedName>
    <definedName name="_pib2003" localSheetId="33">#REF!</definedName>
    <definedName name="_pib2003" localSheetId="36">#REF!</definedName>
    <definedName name="_pib2003" localSheetId="37">#REF!</definedName>
    <definedName name="_pib2003" localSheetId="38">#REF!</definedName>
    <definedName name="_pib2003" localSheetId="39">#REF!</definedName>
    <definedName name="_pib2003" localSheetId="40">#REF!</definedName>
    <definedName name="_pib2003" localSheetId="54">#REF!</definedName>
    <definedName name="_pib2003" localSheetId="55">#REF!</definedName>
    <definedName name="_pib2003" localSheetId="52">#REF!</definedName>
    <definedName name="_pib2003" localSheetId="23">#REF!</definedName>
    <definedName name="_pib2003" localSheetId="51">#REF!</definedName>
    <definedName name="_pib2003" localSheetId="53">#REF!</definedName>
    <definedName name="_pib2003" localSheetId="20">#REF!</definedName>
    <definedName name="_pib2003">#REF!</definedName>
    <definedName name="_pib98" localSheetId="34">[27]Programa!#REF!</definedName>
    <definedName name="_pib98" localSheetId="35">[27]Programa!#REF!</definedName>
    <definedName name="_pib98" localSheetId="50">[27]Programa!#REF!</definedName>
    <definedName name="_pib98" localSheetId="15">[27]Programa!#REF!</definedName>
    <definedName name="_pib98" localSheetId="29">[27]Programa!#REF!</definedName>
    <definedName name="_pib98" localSheetId="30">[27]Programa!#REF!</definedName>
    <definedName name="_pib98" localSheetId="47">[27]Programa!#REF!</definedName>
    <definedName name="_pib98" localSheetId="44">[27]Programa!#REF!</definedName>
    <definedName name="_pib98" localSheetId="45">[27]Programa!#REF!</definedName>
    <definedName name="_pib98" localSheetId="46">[27]Programa!#REF!</definedName>
    <definedName name="_pib98" localSheetId="31">[27]Programa!#REF!</definedName>
    <definedName name="_pib98" localSheetId="32">[27]Programa!#REF!</definedName>
    <definedName name="_pib98" localSheetId="33">[27]Programa!#REF!</definedName>
    <definedName name="_pib98" localSheetId="36">[27]Programa!#REF!</definedName>
    <definedName name="_pib98" localSheetId="37">[27]Programa!#REF!</definedName>
    <definedName name="_pib98" localSheetId="38">[27]Programa!#REF!</definedName>
    <definedName name="_pib98" localSheetId="39">[27]Programa!#REF!</definedName>
    <definedName name="_pib98" localSheetId="40">[27]Programa!#REF!</definedName>
    <definedName name="_pib98" localSheetId="54">[27]Programa!#REF!</definedName>
    <definedName name="_pib98" localSheetId="55">[27]Programa!#REF!</definedName>
    <definedName name="_pib98" localSheetId="52">[27]Programa!#REF!</definedName>
    <definedName name="_pib98" localSheetId="23">[27]Programa!#REF!</definedName>
    <definedName name="_pib98" localSheetId="51">[27]Programa!#REF!</definedName>
    <definedName name="_pib98" localSheetId="53">[27]Programa!#REF!</definedName>
    <definedName name="_pib98" localSheetId="20">[27]Programa!#REF!</definedName>
    <definedName name="_pib98">[27]Programa!#REF!</definedName>
    <definedName name="_pib99" localSheetId="34">#REF!</definedName>
    <definedName name="_pib99" localSheetId="35">#REF!</definedName>
    <definedName name="_pib99" localSheetId="50">#REF!</definedName>
    <definedName name="_pib99" localSheetId="15">#REF!</definedName>
    <definedName name="_pib99" localSheetId="29">#REF!</definedName>
    <definedName name="_pib99" localSheetId="30">#REF!</definedName>
    <definedName name="_pib99" localSheetId="47">#REF!</definedName>
    <definedName name="_pib99" localSheetId="44">#REF!</definedName>
    <definedName name="_pib99" localSheetId="45">#REF!</definedName>
    <definedName name="_pib99" localSheetId="46">#REF!</definedName>
    <definedName name="_pib99" localSheetId="31">#REF!</definedName>
    <definedName name="_pib99" localSheetId="32">#REF!</definedName>
    <definedName name="_pib99" localSheetId="33">#REF!</definedName>
    <definedName name="_pib99" localSheetId="36">#REF!</definedName>
    <definedName name="_pib99" localSheetId="37">#REF!</definedName>
    <definedName name="_pib99" localSheetId="38">#REF!</definedName>
    <definedName name="_pib99" localSheetId="39">#REF!</definedName>
    <definedName name="_pib99" localSheetId="40">#REF!</definedName>
    <definedName name="_pib99" localSheetId="54">#REF!</definedName>
    <definedName name="_pib99" localSheetId="55">#REF!</definedName>
    <definedName name="_pib99" localSheetId="52">#REF!</definedName>
    <definedName name="_pib99" localSheetId="23">#REF!</definedName>
    <definedName name="_pib99" localSheetId="51">#REF!</definedName>
    <definedName name="_pib99" localSheetId="53">#REF!</definedName>
    <definedName name="_pib99" localSheetId="20">#REF!</definedName>
    <definedName name="_pib99">#REF!</definedName>
    <definedName name="_pri1" localSheetId="34">#REF!</definedName>
    <definedName name="_pri1" localSheetId="35">#REF!</definedName>
    <definedName name="_pri1" localSheetId="50">#REF!</definedName>
    <definedName name="_pri1" localSheetId="15">#REF!</definedName>
    <definedName name="_pri1" localSheetId="29">#REF!</definedName>
    <definedName name="_pri1" localSheetId="30">#REF!</definedName>
    <definedName name="_pri1" localSheetId="47">#REF!</definedName>
    <definedName name="_pri1" localSheetId="44">#REF!</definedName>
    <definedName name="_pri1" localSheetId="45">#REF!</definedName>
    <definedName name="_pri1" localSheetId="46">#REF!</definedName>
    <definedName name="_pri1" localSheetId="31">#REF!</definedName>
    <definedName name="_pri1" localSheetId="32">#REF!</definedName>
    <definedName name="_pri1" localSheetId="33">#REF!</definedName>
    <definedName name="_pri1" localSheetId="36">#REF!</definedName>
    <definedName name="_pri1" localSheetId="37">#REF!</definedName>
    <definedName name="_pri1" localSheetId="38">#REF!</definedName>
    <definedName name="_pri1" localSheetId="39">#REF!</definedName>
    <definedName name="_pri1" localSheetId="40">#REF!</definedName>
    <definedName name="_pri1" localSheetId="54">#REF!</definedName>
    <definedName name="_pri1" localSheetId="55">#REF!</definedName>
    <definedName name="_pri1" localSheetId="52">#REF!</definedName>
    <definedName name="_pri1" localSheetId="23">#REF!</definedName>
    <definedName name="_pri1" localSheetId="51">#REF!</definedName>
    <definedName name="_pri1" localSheetId="53">#REF!</definedName>
    <definedName name="_pri1" localSheetId="20">#REF!</definedName>
    <definedName name="_pri1">#REF!</definedName>
    <definedName name="_pri2" localSheetId="34">#REF!</definedName>
    <definedName name="_pri2" localSheetId="35">#REF!</definedName>
    <definedName name="_pri2" localSheetId="50">#REF!</definedName>
    <definedName name="_pri2" localSheetId="15">#REF!</definedName>
    <definedName name="_pri2" localSheetId="29">#REF!</definedName>
    <definedName name="_pri2" localSheetId="30">#REF!</definedName>
    <definedName name="_pri2" localSheetId="47">#REF!</definedName>
    <definedName name="_pri2" localSheetId="44">#REF!</definedName>
    <definedName name="_pri2" localSheetId="45">#REF!</definedName>
    <definedName name="_pri2" localSheetId="46">#REF!</definedName>
    <definedName name="_pri2" localSheetId="31">#REF!</definedName>
    <definedName name="_pri2" localSheetId="32">#REF!</definedName>
    <definedName name="_pri2" localSheetId="33">#REF!</definedName>
    <definedName name="_pri2" localSheetId="36">#REF!</definedName>
    <definedName name="_pri2" localSheetId="37">#REF!</definedName>
    <definedName name="_pri2" localSheetId="38">#REF!</definedName>
    <definedName name="_pri2" localSheetId="39">#REF!</definedName>
    <definedName name="_pri2" localSheetId="40">#REF!</definedName>
    <definedName name="_pri2" localSheetId="54">#REF!</definedName>
    <definedName name="_pri2" localSheetId="55">#REF!</definedName>
    <definedName name="_pri2" localSheetId="52">#REF!</definedName>
    <definedName name="_pri2" localSheetId="23">#REF!</definedName>
    <definedName name="_pri2" localSheetId="51">#REF!</definedName>
    <definedName name="_pri2" localSheetId="53">#REF!</definedName>
    <definedName name="_pri2" localSheetId="20">#REF!</definedName>
    <definedName name="_pri2">#REF!</definedName>
    <definedName name="_project">[32]Overview!$E$7</definedName>
    <definedName name="_Regression_Out" localSheetId="50" hidden="1">#REF!</definedName>
    <definedName name="_Regression_Out" localSheetId="47" hidden="1">#REF!</definedName>
    <definedName name="_Regression_Out" localSheetId="44" hidden="1">#REF!</definedName>
    <definedName name="_Regression_Out" localSheetId="45" hidden="1">#REF!</definedName>
    <definedName name="_Regression_Out" localSheetId="46" hidden="1">#REF!</definedName>
    <definedName name="_Regression_Out" localSheetId="37" hidden="1">#REF!</definedName>
    <definedName name="_Regression_Out" localSheetId="40" hidden="1">#REF!</definedName>
    <definedName name="_Regression_Out" localSheetId="54" hidden="1">#REF!</definedName>
    <definedName name="_Regression_Out" localSheetId="55" hidden="1">#REF!</definedName>
    <definedName name="_Regression_Out" localSheetId="52" hidden="1">#REF!</definedName>
    <definedName name="_Regression_Out" localSheetId="51" hidden="1">#REF!</definedName>
    <definedName name="_Regression_Out" localSheetId="53" hidden="1">#REF!</definedName>
    <definedName name="_Regression_Out" hidden="1">#REF!</definedName>
    <definedName name="_Regression_X" localSheetId="50" hidden="1">#REF!</definedName>
    <definedName name="_Regression_X" localSheetId="47" hidden="1">#REF!</definedName>
    <definedName name="_Regression_X" localSheetId="44" hidden="1">#REF!</definedName>
    <definedName name="_Regression_X" localSheetId="45" hidden="1">#REF!</definedName>
    <definedName name="_Regression_X" localSheetId="46" hidden="1">#REF!</definedName>
    <definedName name="_Regression_X" localSheetId="37" hidden="1">#REF!</definedName>
    <definedName name="_Regression_X" localSheetId="40" hidden="1">#REF!</definedName>
    <definedName name="_Regression_X" localSheetId="54" hidden="1">#REF!</definedName>
    <definedName name="_Regression_X" localSheetId="55" hidden="1">#REF!</definedName>
    <definedName name="_Regression_X" localSheetId="52" hidden="1">#REF!</definedName>
    <definedName name="_Regression_X" localSheetId="51" hidden="1">#REF!</definedName>
    <definedName name="_Regression_X" localSheetId="53" hidden="1">#REF!</definedName>
    <definedName name="_Regression_X" hidden="1">#REF!</definedName>
    <definedName name="_Regression_Y" localSheetId="50" hidden="1">#REF!</definedName>
    <definedName name="_Regression_Y" localSheetId="47" hidden="1">#REF!</definedName>
    <definedName name="_Regression_Y" localSheetId="44" hidden="1">#REF!</definedName>
    <definedName name="_Regression_Y" localSheetId="45" hidden="1">#REF!</definedName>
    <definedName name="_Regression_Y" localSheetId="46" hidden="1">#REF!</definedName>
    <definedName name="_Regression_Y" localSheetId="37" hidden="1">#REF!</definedName>
    <definedName name="_Regression_Y" localSheetId="40" hidden="1">#REF!</definedName>
    <definedName name="_Regression_Y" localSheetId="54" hidden="1">#REF!</definedName>
    <definedName name="_Regression_Y" localSheetId="55" hidden="1">#REF!</definedName>
    <definedName name="_Regression_Y" localSheetId="52" hidden="1">#REF!</definedName>
    <definedName name="_Regression_Y" localSheetId="51" hidden="1">#REF!</definedName>
    <definedName name="_Regression_Y" localSheetId="53" hidden="1">#REF!</definedName>
    <definedName name="_Regression_Y" hidden="1">#REF!</definedName>
    <definedName name="_rep1" localSheetId="34">#REF!</definedName>
    <definedName name="_rep1" localSheetId="35">#REF!</definedName>
    <definedName name="_rep1" localSheetId="50">#REF!</definedName>
    <definedName name="_rep1" localSheetId="15">#REF!</definedName>
    <definedName name="_rep1" localSheetId="29">#REF!</definedName>
    <definedName name="_rep1" localSheetId="30">#REF!</definedName>
    <definedName name="_rep1" localSheetId="47">#REF!</definedName>
    <definedName name="_rep1" localSheetId="44">#REF!</definedName>
    <definedName name="_rep1" localSheetId="45">#REF!</definedName>
    <definedName name="_rep1" localSheetId="46">#REF!</definedName>
    <definedName name="_rep1" localSheetId="31">#REF!</definedName>
    <definedName name="_rep1" localSheetId="32">#REF!</definedName>
    <definedName name="_rep1" localSheetId="33">#REF!</definedName>
    <definedName name="_rep1" localSheetId="36">#REF!</definedName>
    <definedName name="_rep1" localSheetId="37">#REF!</definedName>
    <definedName name="_rep1" localSheetId="38">#REF!</definedName>
    <definedName name="_rep1" localSheetId="39">#REF!</definedName>
    <definedName name="_rep1" localSheetId="40">#REF!</definedName>
    <definedName name="_rep1" localSheetId="54">#REF!</definedName>
    <definedName name="_rep1" localSheetId="55">#REF!</definedName>
    <definedName name="_rep1" localSheetId="52">#REF!</definedName>
    <definedName name="_rep1" localSheetId="23">#REF!</definedName>
    <definedName name="_rep1" localSheetId="51">#REF!</definedName>
    <definedName name="_rep1" localSheetId="53">#REF!</definedName>
    <definedName name="_rep1" localSheetId="20">#REF!</definedName>
    <definedName name="_rep1">#REF!</definedName>
    <definedName name="_RES2" localSheetId="34">[28]RES!#REF!</definedName>
    <definedName name="_RES2" localSheetId="35">[28]RES!#REF!</definedName>
    <definedName name="_RES2" localSheetId="50">[29]RES!#REF!</definedName>
    <definedName name="_RES2" localSheetId="15">[28]RES!#REF!</definedName>
    <definedName name="_RES2" localSheetId="29">[28]RES!#REF!</definedName>
    <definedName name="_RES2" localSheetId="30">[28]RES!#REF!</definedName>
    <definedName name="_RES2" localSheetId="47">[28]RES!#REF!</definedName>
    <definedName name="_RES2" localSheetId="44">[29]RES!#REF!</definedName>
    <definedName name="_RES2" localSheetId="45">[28]RES!#REF!</definedName>
    <definedName name="_RES2" localSheetId="46">[28]RES!#REF!</definedName>
    <definedName name="_RES2" localSheetId="31">[28]RES!#REF!</definedName>
    <definedName name="_RES2" localSheetId="32">[28]RES!#REF!</definedName>
    <definedName name="_RES2" localSheetId="33">[28]RES!#REF!</definedName>
    <definedName name="_RES2" localSheetId="36">[28]RES!#REF!</definedName>
    <definedName name="_RES2" localSheetId="37">[28]RES!#REF!</definedName>
    <definedName name="_RES2" localSheetId="38">[28]RES!#REF!</definedName>
    <definedName name="_RES2" localSheetId="39">[28]RES!#REF!</definedName>
    <definedName name="_RES2" localSheetId="40">[28]RES!#REF!</definedName>
    <definedName name="_RES2" localSheetId="54">[29]RES!#REF!</definedName>
    <definedName name="_RES2" localSheetId="55">[28]RES!#REF!</definedName>
    <definedName name="_RES2" localSheetId="52">[29]RES!#REF!</definedName>
    <definedName name="_RES2" localSheetId="23">[28]RES!#REF!</definedName>
    <definedName name="_RES2" localSheetId="51">[29]RES!#REF!</definedName>
    <definedName name="_RES2" localSheetId="53">[29]RES!#REF!</definedName>
    <definedName name="_RES2" localSheetId="20">[28]RES!#REF!</definedName>
    <definedName name="_RES2">[28]RES!#REF!</definedName>
    <definedName name="_sei2" localSheetId="34">#REF!</definedName>
    <definedName name="_sei2" localSheetId="35">#REF!</definedName>
    <definedName name="_sei2" localSheetId="50">#REF!</definedName>
    <definedName name="_sei2" localSheetId="15">#REF!</definedName>
    <definedName name="_sei2" localSheetId="29">#REF!</definedName>
    <definedName name="_sei2" localSheetId="30">#REF!</definedName>
    <definedName name="_sei2" localSheetId="47">#REF!</definedName>
    <definedName name="_sei2" localSheetId="44">#REF!</definedName>
    <definedName name="_sei2" localSheetId="45">#REF!</definedName>
    <definedName name="_sei2" localSheetId="46">#REF!</definedName>
    <definedName name="_sei2" localSheetId="31">#REF!</definedName>
    <definedName name="_sei2" localSheetId="32">#REF!</definedName>
    <definedName name="_sei2" localSheetId="33">#REF!</definedName>
    <definedName name="_sei2" localSheetId="36">#REF!</definedName>
    <definedName name="_sei2" localSheetId="37">#REF!</definedName>
    <definedName name="_sei2" localSheetId="38">#REF!</definedName>
    <definedName name="_sei2" localSheetId="39">#REF!</definedName>
    <definedName name="_sei2" localSheetId="40">#REF!</definedName>
    <definedName name="_sei2" localSheetId="54">#REF!</definedName>
    <definedName name="_sei2" localSheetId="55">#REF!</definedName>
    <definedName name="_sei2" localSheetId="52">#REF!</definedName>
    <definedName name="_sei2" localSheetId="23">#REF!</definedName>
    <definedName name="_sei2" localSheetId="51">#REF!</definedName>
    <definedName name="_sei2" localSheetId="53">#REF!</definedName>
    <definedName name="_sei2" localSheetId="20">#REF!</definedName>
    <definedName name="_sei2">#REF!</definedName>
    <definedName name="_set96" localSheetId="34">#REF!</definedName>
    <definedName name="_set96" localSheetId="35">#REF!</definedName>
    <definedName name="_set96" localSheetId="50">#REF!</definedName>
    <definedName name="_set96" localSheetId="15">#REF!</definedName>
    <definedName name="_set96" localSheetId="29">#REF!</definedName>
    <definedName name="_set96" localSheetId="30">#REF!</definedName>
    <definedName name="_set96" localSheetId="47">#REF!</definedName>
    <definedName name="_set96" localSheetId="44">#REF!</definedName>
    <definedName name="_set96" localSheetId="45">#REF!</definedName>
    <definedName name="_set96" localSheetId="46">#REF!</definedName>
    <definedName name="_set96" localSheetId="31">#REF!</definedName>
    <definedName name="_set96" localSheetId="32">#REF!</definedName>
    <definedName name="_set96" localSheetId="33">#REF!</definedName>
    <definedName name="_set96" localSheetId="36">#REF!</definedName>
    <definedName name="_set96" localSheetId="37">#REF!</definedName>
    <definedName name="_set96" localSheetId="38">#REF!</definedName>
    <definedName name="_set96" localSheetId="39">#REF!</definedName>
    <definedName name="_set96" localSheetId="40">#REF!</definedName>
    <definedName name="_set96" localSheetId="54">#REF!</definedName>
    <definedName name="_set96" localSheetId="55">#REF!</definedName>
    <definedName name="_set96" localSheetId="52">#REF!</definedName>
    <definedName name="_set96" localSheetId="23">#REF!</definedName>
    <definedName name="_set96" localSheetId="51">#REF!</definedName>
    <definedName name="_set96" localSheetId="53">#REF!</definedName>
    <definedName name="_set96" localSheetId="20">#REF!</definedName>
    <definedName name="_set96">#REF!</definedName>
    <definedName name="_set97" localSheetId="34">#REF!</definedName>
    <definedName name="_set97" localSheetId="35">#REF!</definedName>
    <definedName name="_set97" localSheetId="50">#REF!</definedName>
    <definedName name="_set97" localSheetId="15">#REF!</definedName>
    <definedName name="_set97" localSheetId="29">#REF!</definedName>
    <definedName name="_set97" localSheetId="30">#REF!</definedName>
    <definedName name="_set97" localSheetId="47">#REF!</definedName>
    <definedName name="_set97" localSheetId="44">#REF!</definedName>
    <definedName name="_set97" localSheetId="45">#REF!</definedName>
    <definedName name="_set97" localSheetId="46">#REF!</definedName>
    <definedName name="_set97" localSheetId="31">#REF!</definedName>
    <definedName name="_set97" localSheetId="32">#REF!</definedName>
    <definedName name="_set97" localSheetId="33">#REF!</definedName>
    <definedName name="_set97" localSheetId="36">#REF!</definedName>
    <definedName name="_set97" localSheetId="37">#REF!</definedName>
    <definedName name="_set97" localSheetId="38">#REF!</definedName>
    <definedName name="_set97" localSheetId="39">#REF!</definedName>
    <definedName name="_set97" localSheetId="40">#REF!</definedName>
    <definedName name="_set97" localSheetId="54">#REF!</definedName>
    <definedName name="_set97" localSheetId="55">#REF!</definedName>
    <definedName name="_set97" localSheetId="52">#REF!</definedName>
    <definedName name="_set97" localSheetId="23">#REF!</definedName>
    <definedName name="_set97" localSheetId="51">#REF!</definedName>
    <definedName name="_set97" localSheetId="53">#REF!</definedName>
    <definedName name="_set97" localSheetId="20">#REF!</definedName>
    <definedName name="_set97">#REF!</definedName>
    <definedName name="_Sort" localSheetId="34" hidden="1">#REF!</definedName>
    <definedName name="_Sort" localSheetId="35" hidden="1">#REF!</definedName>
    <definedName name="_Sort" localSheetId="50" hidden="1">#REF!</definedName>
    <definedName name="_Sort" localSheetId="15" hidden="1">#REF!</definedName>
    <definedName name="_Sort" localSheetId="29" hidden="1">#REF!</definedName>
    <definedName name="_Sort" localSheetId="30" hidden="1">#REF!</definedName>
    <definedName name="_Sort" localSheetId="47" hidden="1">#REF!</definedName>
    <definedName name="_Sort" localSheetId="44" hidden="1">#REF!</definedName>
    <definedName name="_Sort" localSheetId="45" hidden="1">#REF!</definedName>
    <definedName name="_Sort" localSheetId="46" hidden="1">#REF!</definedName>
    <definedName name="_Sort" localSheetId="31" hidden="1">#REF!</definedName>
    <definedName name="_Sort" localSheetId="32" hidden="1">#REF!</definedName>
    <definedName name="_Sort" localSheetId="33" hidden="1">#REF!</definedName>
    <definedName name="_Sort" localSheetId="36" hidden="1">#REF!</definedName>
    <definedName name="_Sort" localSheetId="37" hidden="1">#REF!</definedName>
    <definedName name="_Sort" localSheetId="38" hidden="1">#REF!</definedName>
    <definedName name="_Sort" localSheetId="39" hidden="1">#REF!</definedName>
    <definedName name="_Sort" localSheetId="40" hidden="1">#REF!</definedName>
    <definedName name="_Sort" localSheetId="54" hidden="1">#REF!</definedName>
    <definedName name="_Sort" localSheetId="55" hidden="1">#REF!</definedName>
    <definedName name="_Sort" localSheetId="52" hidden="1">#REF!</definedName>
    <definedName name="_Sort" localSheetId="23" hidden="1">#REF!</definedName>
    <definedName name="_Sort" localSheetId="51" hidden="1">#REF!</definedName>
    <definedName name="_Sort" localSheetId="53" hidden="1">#REF!</definedName>
    <definedName name="_Sort" localSheetId="20" hidden="1">#REF!</definedName>
    <definedName name="_Sort" hidden="1">#REF!</definedName>
    <definedName name="_SRT11" localSheetId="58" hidden="1">{"Minpmon",#N/A,FALSE,"Monthinput"}</definedName>
    <definedName name="_SRT11" localSheetId="16" hidden="1">{"Minpmon",#N/A,FALSE,"Monthinput"}</definedName>
    <definedName name="_SRT11" localSheetId="61" hidden="1">{"Minpmon",#N/A,FALSE,"Monthinput"}</definedName>
    <definedName name="_SRT11" localSheetId="62" hidden="1">{"Minpmon",#N/A,FALSE,"Monthinput"}</definedName>
    <definedName name="_SRT11" localSheetId="50" hidden="1">{"Minpmon",#N/A,FALSE,"Monthinput"}</definedName>
    <definedName name="_SRT11" localSheetId="63" hidden="1">{"Minpmon",#N/A,FALSE,"Monthinput"}</definedName>
    <definedName name="_SRT11" localSheetId="15" hidden="1">{"Minpmon",#N/A,FALSE,"Monthinput"}</definedName>
    <definedName name="_SRT11" localSheetId="1" hidden="1">{"Minpmon",#N/A,FALSE,"Monthinput"}</definedName>
    <definedName name="_SRT11" localSheetId="43" hidden="1">{"Minpmon",#N/A,FALSE,"Monthinput"}</definedName>
    <definedName name="_SRT11" localSheetId="29" hidden="1">{"Minpmon",#N/A,FALSE,"Monthinput"}</definedName>
    <definedName name="_SRT11" localSheetId="30" hidden="1">{"Minpmon",#N/A,FALSE,"Monthinput"}</definedName>
    <definedName name="_SRT11" localSheetId="44" hidden="1">{"Minpmon",#N/A,FALSE,"Monthinput"}</definedName>
    <definedName name="_SRT11" localSheetId="59" hidden="1">{"Minpmon",#N/A,FALSE,"Monthinput"}</definedName>
    <definedName name="_SRT11" localSheetId="13" hidden="1">{"Minpmon",#N/A,FALSE,"Monthinput"}</definedName>
    <definedName name="_SRT11" localSheetId="0" hidden="1">{"Minpmon",#N/A,FALSE,"Monthinput"}</definedName>
    <definedName name="_SRT11" localSheetId="57" hidden="1">{"Minpmon",#N/A,FALSE,"Monthinput"}</definedName>
    <definedName name="_SRT11" localSheetId="56" hidden="1">{"Minpmon",#N/A,FALSE,"Monthinput"}</definedName>
    <definedName name="_SRT11" localSheetId="54" hidden="1">{"Minpmon",#N/A,FALSE,"Monthinput"}</definedName>
    <definedName name="_SRT11" localSheetId="52" hidden="1">{"Minpmon",#N/A,FALSE,"Monthinput"}</definedName>
    <definedName name="_SRT11" localSheetId="23" hidden="1">{"Minpmon",#N/A,FALSE,"Monthinput"}</definedName>
    <definedName name="_SRT11" localSheetId="51" hidden="1">{"Minpmon",#N/A,FALSE,"Monthinput"}</definedName>
    <definedName name="_SRT11" localSheetId="53" hidden="1">{"Minpmon",#N/A,FALSE,"Monthinput"}</definedName>
    <definedName name="_SRT11" localSheetId="60" hidden="1">{"Minpmon",#N/A,FALSE,"Monthinput"}</definedName>
    <definedName name="_SRT11" hidden="1">{"Minpmon",#N/A,FALSE,"Monthinput"}</definedName>
    <definedName name="_SUM2" localSheetId="50">#REF!</definedName>
    <definedName name="_SUM2" localSheetId="47">#REF!</definedName>
    <definedName name="_SUM2" localSheetId="44">#REF!</definedName>
    <definedName name="_SUM2" localSheetId="45">#REF!</definedName>
    <definedName name="_SUM2" localSheetId="46">#REF!</definedName>
    <definedName name="_SUM2" localSheetId="37">#REF!</definedName>
    <definedName name="_SUM2" localSheetId="40">#REF!</definedName>
    <definedName name="_SUM2" localSheetId="54">#REF!</definedName>
    <definedName name="_SUM2" localSheetId="55">#REF!</definedName>
    <definedName name="_SUM2" localSheetId="52">#REF!</definedName>
    <definedName name="_SUM2" localSheetId="51">#REF!</definedName>
    <definedName name="_SUM2" localSheetId="53">#REF!</definedName>
    <definedName name="_SUM2">#REF!</definedName>
    <definedName name="_t7">[33]R7!$A$1:$G$31</definedName>
    <definedName name="_TAB1" localSheetId="34">#REF!</definedName>
    <definedName name="_TAB1" localSheetId="35">#REF!</definedName>
    <definedName name="_TAB1" localSheetId="50">#REF!</definedName>
    <definedName name="_TAB1" localSheetId="15">#REF!</definedName>
    <definedName name="_TAB1" localSheetId="29">#REF!</definedName>
    <definedName name="_TAB1" localSheetId="30">#REF!</definedName>
    <definedName name="_TAB1" localSheetId="47">#REF!</definedName>
    <definedName name="_TAB1" localSheetId="44">#REF!</definedName>
    <definedName name="_TAB1" localSheetId="45">#REF!</definedName>
    <definedName name="_TAB1" localSheetId="46">#REF!</definedName>
    <definedName name="_TAB1" localSheetId="31">#REF!</definedName>
    <definedName name="_TAB1" localSheetId="32">#REF!</definedName>
    <definedName name="_TAB1" localSheetId="33">#REF!</definedName>
    <definedName name="_TAB1" localSheetId="36">#REF!</definedName>
    <definedName name="_TAB1" localSheetId="37">#REF!</definedName>
    <definedName name="_TAB1" localSheetId="38">#REF!</definedName>
    <definedName name="_TAB1" localSheetId="39">#REF!</definedName>
    <definedName name="_TAB1" localSheetId="40">#REF!</definedName>
    <definedName name="_TAB1" localSheetId="54">#REF!</definedName>
    <definedName name="_TAB1" localSheetId="55">#REF!</definedName>
    <definedName name="_TAB1" localSheetId="52">#REF!</definedName>
    <definedName name="_TAB1" localSheetId="23">#REF!</definedName>
    <definedName name="_TAB1" localSheetId="51">#REF!</definedName>
    <definedName name="_TAB1" localSheetId="53">#REF!</definedName>
    <definedName name="_TAB1" localSheetId="20">#REF!</definedName>
    <definedName name="_TAB1">#REF!</definedName>
    <definedName name="_TAB10" localSheetId="34">#REF!</definedName>
    <definedName name="_TAB10" localSheetId="35">#REF!</definedName>
    <definedName name="_TAB10" localSheetId="50">#REF!</definedName>
    <definedName name="_TAB10" localSheetId="15">#REF!</definedName>
    <definedName name="_TAB10" localSheetId="29">#REF!</definedName>
    <definedName name="_TAB10" localSheetId="30">#REF!</definedName>
    <definedName name="_TAB10" localSheetId="47">#REF!</definedName>
    <definedName name="_TAB10" localSheetId="44">#REF!</definedName>
    <definedName name="_TAB10" localSheetId="45">#REF!</definedName>
    <definedName name="_TAB10" localSheetId="46">#REF!</definedName>
    <definedName name="_TAB10" localSheetId="31">#REF!</definedName>
    <definedName name="_TAB10" localSheetId="32">#REF!</definedName>
    <definedName name="_TAB10" localSheetId="33">#REF!</definedName>
    <definedName name="_TAB10" localSheetId="36">#REF!</definedName>
    <definedName name="_TAB10" localSheetId="37">#REF!</definedName>
    <definedName name="_TAB10" localSheetId="38">#REF!</definedName>
    <definedName name="_TAB10" localSheetId="39">#REF!</definedName>
    <definedName name="_TAB10" localSheetId="40">#REF!</definedName>
    <definedName name="_TAB10" localSheetId="54">#REF!</definedName>
    <definedName name="_TAB10" localSheetId="55">#REF!</definedName>
    <definedName name="_TAB10" localSheetId="52">#REF!</definedName>
    <definedName name="_TAB10" localSheetId="23">#REF!</definedName>
    <definedName name="_TAB10" localSheetId="51">#REF!</definedName>
    <definedName name="_TAB10" localSheetId="53">#REF!</definedName>
    <definedName name="_TAB10" localSheetId="20">#REF!</definedName>
    <definedName name="_TAB10">#REF!</definedName>
    <definedName name="_TAB12" localSheetId="34">#REF!</definedName>
    <definedName name="_TAB12" localSheetId="35">#REF!</definedName>
    <definedName name="_TAB12" localSheetId="50">#REF!</definedName>
    <definedName name="_TAB12" localSheetId="15">#REF!</definedName>
    <definedName name="_TAB12" localSheetId="29">#REF!</definedName>
    <definedName name="_TAB12" localSheetId="30">#REF!</definedName>
    <definedName name="_TAB12" localSheetId="47">#REF!</definedName>
    <definedName name="_TAB12" localSheetId="44">#REF!</definedName>
    <definedName name="_TAB12" localSheetId="45">#REF!</definedName>
    <definedName name="_TAB12" localSheetId="46">#REF!</definedName>
    <definedName name="_TAB12" localSheetId="31">#REF!</definedName>
    <definedName name="_TAB12" localSheetId="32">#REF!</definedName>
    <definedName name="_TAB12" localSheetId="33">#REF!</definedName>
    <definedName name="_TAB12" localSheetId="36">#REF!</definedName>
    <definedName name="_TAB12" localSheetId="37">#REF!</definedName>
    <definedName name="_TAB12" localSheetId="38">#REF!</definedName>
    <definedName name="_TAB12" localSheetId="39">#REF!</definedName>
    <definedName name="_TAB12" localSheetId="40">#REF!</definedName>
    <definedName name="_TAB12" localSheetId="54">#REF!</definedName>
    <definedName name="_TAB12" localSheetId="55">#REF!</definedName>
    <definedName name="_TAB12" localSheetId="52">#REF!</definedName>
    <definedName name="_TAB12" localSheetId="23">#REF!</definedName>
    <definedName name="_TAB12" localSheetId="51">#REF!</definedName>
    <definedName name="_TAB12" localSheetId="53">#REF!</definedName>
    <definedName name="_TAB12" localSheetId="20">#REF!</definedName>
    <definedName name="_TAB12">#REF!</definedName>
    <definedName name="_Tab19" localSheetId="34">#REF!</definedName>
    <definedName name="_Tab19" localSheetId="35">#REF!</definedName>
    <definedName name="_Tab19" localSheetId="50">#REF!</definedName>
    <definedName name="_Tab19" localSheetId="15">#REF!</definedName>
    <definedName name="_Tab19" localSheetId="29">#REF!</definedName>
    <definedName name="_Tab19" localSheetId="30">#REF!</definedName>
    <definedName name="_Tab19" localSheetId="47">#REF!</definedName>
    <definedName name="_Tab19" localSheetId="44">#REF!</definedName>
    <definedName name="_Tab19" localSheetId="45">#REF!</definedName>
    <definedName name="_Tab19" localSheetId="46">#REF!</definedName>
    <definedName name="_Tab19" localSheetId="31">#REF!</definedName>
    <definedName name="_Tab19" localSheetId="32">#REF!</definedName>
    <definedName name="_Tab19" localSheetId="33">#REF!</definedName>
    <definedName name="_Tab19" localSheetId="36">#REF!</definedName>
    <definedName name="_Tab19" localSheetId="37">#REF!</definedName>
    <definedName name="_Tab19" localSheetId="38">#REF!</definedName>
    <definedName name="_Tab19" localSheetId="39">#REF!</definedName>
    <definedName name="_Tab19" localSheetId="40">#REF!</definedName>
    <definedName name="_Tab19" localSheetId="54">#REF!</definedName>
    <definedName name="_Tab19" localSheetId="55">#REF!</definedName>
    <definedName name="_Tab19" localSheetId="52">#REF!</definedName>
    <definedName name="_Tab19" localSheetId="23">#REF!</definedName>
    <definedName name="_Tab19" localSheetId="51">#REF!</definedName>
    <definedName name="_Tab19" localSheetId="53">#REF!</definedName>
    <definedName name="_Tab19" localSheetId="20">#REF!</definedName>
    <definedName name="_Tab19">#REF!</definedName>
    <definedName name="_TAB2" localSheetId="34">#REF!</definedName>
    <definedName name="_TAB2" localSheetId="35">#REF!</definedName>
    <definedName name="_TAB2" localSheetId="50">#REF!</definedName>
    <definedName name="_TAB2" localSheetId="15">#REF!</definedName>
    <definedName name="_TAB2" localSheetId="29">#REF!</definedName>
    <definedName name="_TAB2" localSheetId="30">#REF!</definedName>
    <definedName name="_TAB2" localSheetId="47">#REF!</definedName>
    <definedName name="_TAB2" localSheetId="44">#REF!</definedName>
    <definedName name="_TAB2" localSheetId="45">#REF!</definedName>
    <definedName name="_TAB2" localSheetId="46">#REF!</definedName>
    <definedName name="_TAB2" localSheetId="31">#REF!</definedName>
    <definedName name="_TAB2" localSheetId="32">#REF!</definedName>
    <definedName name="_TAB2" localSheetId="33">#REF!</definedName>
    <definedName name="_TAB2" localSheetId="36">#REF!</definedName>
    <definedName name="_TAB2" localSheetId="37">#REF!</definedName>
    <definedName name="_TAB2" localSheetId="38">#REF!</definedName>
    <definedName name="_TAB2" localSheetId="39">#REF!</definedName>
    <definedName name="_TAB2" localSheetId="40">#REF!</definedName>
    <definedName name="_TAB2" localSheetId="54">#REF!</definedName>
    <definedName name="_TAB2" localSheetId="55">#REF!</definedName>
    <definedName name="_TAB2" localSheetId="52">#REF!</definedName>
    <definedName name="_TAB2" localSheetId="23">#REF!</definedName>
    <definedName name="_TAB2" localSheetId="51">#REF!</definedName>
    <definedName name="_TAB2" localSheetId="53">#REF!</definedName>
    <definedName name="_TAB2" localSheetId="20">#REF!</definedName>
    <definedName name="_TAB2">#REF!</definedName>
    <definedName name="_Tab20" localSheetId="34">#REF!</definedName>
    <definedName name="_Tab20" localSheetId="35">#REF!</definedName>
    <definedName name="_Tab20" localSheetId="50">#REF!</definedName>
    <definedName name="_Tab20" localSheetId="15">#REF!</definedName>
    <definedName name="_Tab20" localSheetId="29">#REF!</definedName>
    <definedName name="_Tab20" localSheetId="30">#REF!</definedName>
    <definedName name="_Tab20" localSheetId="47">#REF!</definedName>
    <definedName name="_Tab20" localSheetId="44">#REF!</definedName>
    <definedName name="_Tab20" localSheetId="45">#REF!</definedName>
    <definedName name="_Tab20" localSheetId="46">#REF!</definedName>
    <definedName name="_Tab20" localSheetId="31">#REF!</definedName>
    <definedName name="_Tab20" localSheetId="32">#REF!</definedName>
    <definedName name="_Tab20" localSheetId="33">#REF!</definedName>
    <definedName name="_Tab20" localSheetId="36">#REF!</definedName>
    <definedName name="_Tab20" localSheetId="37">#REF!</definedName>
    <definedName name="_Tab20" localSheetId="38">#REF!</definedName>
    <definedName name="_Tab20" localSheetId="39">#REF!</definedName>
    <definedName name="_Tab20" localSheetId="40">#REF!</definedName>
    <definedName name="_Tab20" localSheetId="54">#REF!</definedName>
    <definedName name="_Tab20" localSheetId="55">#REF!</definedName>
    <definedName name="_Tab20" localSheetId="52">#REF!</definedName>
    <definedName name="_Tab20" localSheetId="23">#REF!</definedName>
    <definedName name="_Tab20" localSheetId="51">#REF!</definedName>
    <definedName name="_Tab20" localSheetId="53">#REF!</definedName>
    <definedName name="_Tab20" localSheetId="20">#REF!</definedName>
    <definedName name="_Tab20">#REF!</definedName>
    <definedName name="_Tab21" localSheetId="34">#REF!</definedName>
    <definedName name="_Tab21" localSheetId="35">#REF!</definedName>
    <definedName name="_Tab21" localSheetId="50">#REF!</definedName>
    <definedName name="_Tab21" localSheetId="15">#REF!</definedName>
    <definedName name="_Tab21" localSheetId="29">#REF!</definedName>
    <definedName name="_Tab21" localSheetId="30">#REF!</definedName>
    <definedName name="_Tab21" localSheetId="47">#REF!</definedName>
    <definedName name="_Tab21" localSheetId="44">#REF!</definedName>
    <definedName name="_Tab21" localSheetId="45">#REF!</definedName>
    <definedName name="_Tab21" localSheetId="46">#REF!</definedName>
    <definedName name="_Tab21" localSheetId="31">#REF!</definedName>
    <definedName name="_Tab21" localSheetId="32">#REF!</definedName>
    <definedName name="_Tab21" localSheetId="33">#REF!</definedName>
    <definedName name="_Tab21" localSheetId="36">#REF!</definedName>
    <definedName name="_Tab21" localSheetId="37">#REF!</definedName>
    <definedName name="_Tab21" localSheetId="38">#REF!</definedName>
    <definedName name="_Tab21" localSheetId="39">#REF!</definedName>
    <definedName name="_Tab21" localSheetId="40">#REF!</definedName>
    <definedName name="_Tab21" localSheetId="54">#REF!</definedName>
    <definedName name="_Tab21" localSheetId="55">#REF!</definedName>
    <definedName name="_Tab21" localSheetId="52">#REF!</definedName>
    <definedName name="_Tab21" localSheetId="23">#REF!</definedName>
    <definedName name="_Tab21" localSheetId="51">#REF!</definedName>
    <definedName name="_Tab21" localSheetId="53">#REF!</definedName>
    <definedName name="_Tab21" localSheetId="20">#REF!</definedName>
    <definedName name="_Tab21">#REF!</definedName>
    <definedName name="_Tab22" localSheetId="34">#REF!</definedName>
    <definedName name="_Tab22" localSheetId="35">#REF!</definedName>
    <definedName name="_Tab22" localSheetId="50">#REF!</definedName>
    <definedName name="_Tab22" localSheetId="15">#REF!</definedName>
    <definedName name="_Tab22" localSheetId="29">#REF!</definedName>
    <definedName name="_Tab22" localSheetId="30">#REF!</definedName>
    <definedName name="_Tab22" localSheetId="47">#REF!</definedName>
    <definedName name="_Tab22" localSheetId="44">#REF!</definedName>
    <definedName name="_Tab22" localSheetId="45">#REF!</definedName>
    <definedName name="_Tab22" localSheetId="46">#REF!</definedName>
    <definedName name="_Tab22" localSheetId="31">#REF!</definedName>
    <definedName name="_Tab22" localSheetId="32">#REF!</definedName>
    <definedName name="_Tab22" localSheetId="33">#REF!</definedName>
    <definedName name="_Tab22" localSheetId="36">#REF!</definedName>
    <definedName name="_Tab22" localSheetId="37">#REF!</definedName>
    <definedName name="_Tab22" localSheetId="38">#REF!</definedName>
    <definedName name="_Tab22" localSheetId="39">#REF!</definedName>
    <definedName name="_Tab22" localSheetId="40">#REF!</definedName>
    <definedName name="_Tab22" localSheetId="54">#REF!</definedName>
    <definedName name="_Tab22" localSheetId="55">#REF!</definedName>
    <definedName name="_Tab22" localSheetId="52">#REF!</definedName>
    <definedName name="_Tab22" localSheetId="23">#REF!</definedName>
    <definedName name="_Tab22" localSheetId="51">#REF!</definedName>
    <definedName name="_Tab22" localSheetId="53">#REF!</definedName>
    <definedName name="_Tab22" localSheetId="20">#REF!</definedName>
    <definedName name="_Tab22">#REF!</definedName>
    <definedName name="_Tab23" localSheetId="34">#REF!</definedName>
    <definedName name="_Tab23" localSheetId="35">#REF!</definedName>
    <definedName name="_Tab23" localSheetId="50">#REF!</definedName>
    <definedName name="_Tab23" localSheetId="15">#REF!</definedName>
    <definedName name="_Tab23" localSheetId="29">#REF!</definedName>
    <definedName name="_Tab23" localSheetId="30">#REF!</definedName>
    <definedName name="_Tab23" localSheetId="47">#REF!</definedName>
    <definedName name="_Tab23" localSheetId="44">#REF!</definedName>
    <definedName name="_Tab23" localSheetId="45">#REF!</definedName>
    <definedName name="_Tab23" localSheetId="46">#REF!</definedName>
    <definedName name="_Tab23" localSheetId="31">#REF!</definedName>
    <definedName name="_Tab23" localSheetId="32">#REF!</definedName>
    <definedName name="_Tab23" localSheetId="33">#REF!</definedName>
    <definedName name="_Tab23" localSheetId="36">#REF!</definedName>
    <definedName name="_Tab23" localSheetId="37">#REF!</definedName>
    <definedName name="_Tab23" localSheetId="38">#REF!</definedName>
    <definedName name="_Tab23" localSheetId="39">#REF!</definedName>
    <definedName name="_Tab23" localSheetId="40">#REF!</definedName>
    <definedName name="_Tab23" localSheetId="54">#REF!</definedName>
    <definedName name="_Tab23" localSheetId="55">#REF!</definedName>
    <definedName name="_Tab23" localSheetId="52">#REF!</definedName>
    <definedName name="_Tab23" localSheetId="23">#REF!</definedName>
    <definedName name="_Tab23" localSheetId="51">#REF!</definedName>
    <definedName name="_Tab23" localSheetId="53">#REF!</definedName>
    <definedName name="_Tab23" localSheetId="20">#REF!</definedName>
    <definedName name="_Tab23">#REF!</definedName>
    <definedName name="_Tab24" localSheetId="34">#REF!</definedName>
    <definedName name="_Tab24" localSheetId="35">#REF!</definedName>
    <definedName name="_Tab24" localSheetId="50">#REF!</definedName>
    <definedName name="_Tab24" localSheetId="15">#REF!</definedName>
    <definedName name="_Tab24" localSheetId="29">#REF!</definedName>
    <definedName name="_Tab24" localSheetId="30">#REF!</definedName>
    <definedName name="_Tab24" localSheetId="47">#REF!</definedName>
    <definedName name="_Tab24" localSheetId="44">#REF!</definedName>
    <definedName name="_Tab24" localSheetId="45">#REF!</definedName>
    <definedName name="_Tab24" localSheetId="46">#REF!</definedName>
    <definedName name="_Tab24" localSheetId="31">#REF!</definedName>
    <definedName name="_Tab24" localSheetId="32">#REF!</definedName>
    <definedName name="_Tab24" localSheetId="33">#REF!</definedName>
    <definedName name="_Tab24" localSheetId="36">#REF!</definedName>
    <definedName name="_Tab24" localSheetId="37">#REF!</definedName>
    <definedName name="_Tab24" localSheetId="38">#REF!</definedName>
    <definedName name="_Tab24" localSheetId="39">#REF!</definedName>
    <definedName name="_Tab24" localSheetId="40">#REF!</definedName>
    <definedName name="_Tab24" localSheetId="54">#REF!</definedName>
    <definedName name="_Tab24" localSheetId="55">#REF!</definedName>
    <definedName name="_Tab24" localSheetId="52">#REF!</definedName>
    <definedName name="_Tab24" localSheetId="23">#REF!</definedName>
    <definedName name="_Tab24" localSheetId="51">#REF!</definedName>
    <definedName name="_Tab24" localSheetId="53">#REF!</definedName>
    <definedName name="_Tab24" localSheetId="20">#REF!</definedName>
    <definedName name="_Tab24">#REF!</definedName>
    <definedName name="_Tab26" localSheetId="34">#REF!</definedName>
    <definedName name="_Tab26" localSheetId="35">#REF!</definedName>
    <definedName name="_Tab26" localSheetId="50">#REF!</definedName>
    <definedName name="_Tab26" localSheetId="15">#REF!</definedName>
    <definedName name="_Tab26" localSheetId="29">#REF!</definedName>
    <definedName name="_Tab26" localSheetId="30">#REF!</definedName>
    <definedName name="_Tab26" localSheetId="47">#REF!</definedName>
    <definedName name="_Tab26" localSheetId="44">#REF!</definedName>
    <definedName name="_Tab26" localSheetId="45">#REF!</definedName>
    <definedName name="_Tab26" localSheetId="46">#REF!</definedName>
    <definedName name="_Tab26" localSheetId="31">#REF!</definedName>
    <definedName name="_Tab26" localSheetId="32">#REF!</definedName>
    <definedName name="_Tab26" localSheetId="33">#REF!</definedName>
    <definedName name="_Tab26" localSheetId="36">#REF!</definedName>
    <definedName name="_Tab26" localSheetId="37">#REF!</definedName>
    <definedName name="_Tab26" localSheetId="38">#REF!</definedName>
    <definedName name="_Tab26" localSheetId="39">#REF!</definedName>
    <definedName name="_Tab26" localSheetId="40">#REF!</definedName>
    <definedName name="_Tab26" localSheetId="54">#REF!</definedName>
    <definedName name="_Tab26" localSheetId="55">#REF!</definedName>
    <definedName name="_Tab26" localSheetId="52">#REF!</definedName>
    <definedName name="_Tab26" localSheetId="23">#REF!</definedName>
    <definedName name="_Tab26" localSheetId="51">#REF!</definedName>
    <definedName name="_Tab26" localSheetId="53">#REF!</definedName>
    <definedName name="_Tab26" localSheetId="20">#REF!</definedName>
    <definedName name="_Tab26">#REF!</definedName>
    <definedName name="_Tab27" localSheetId="34">#REF!</definedName>
    <definedName name="_Tab27" localSheetId="35">#REF!</definedName>
    <definedName name="_Tab27" localSheetId="50">#REF!</definedName>
    <definedName name="_Tab27" localSheetId="15">#REF!</definedName>
    <definedName name="_Tab27" localSheetId="29">#REF!</definedName>
    <definedName name="_Tab27" localSheetId="30">#REF!</definedName>
    <definedName name="_Tab27" localSheetId="47">#REF!</definedName>
    <definedName name="_Tab27" localSheetId="44">#REF!</definedName>
    <definedName name="_Tab27" localSheetId="45">#REF!</definedName>
    <definedName name="_Tab27" localSheetId="46">#REF!</definedName>
    <definedName name="_Tab27" localSheetId="31">#REF!</definedName>
    <definedName name="_Tab27" localSheetId="32">#REF!</definedName>
    <definedName name="_Tab27" localSheetId="33">#REF!</definedName>
    <definedName name="_Tab27" localSheetId="36">#REF!</definedName>
    <definedName name="_Tab27" localSheetId="37">#REF!</definedName>
    <definedName name="_Tab27" localSheetId="38">#REF!</definedName>
    <definedName name="_Tab27" localSheetId="39">#REF!</definedName>
    <definedName name="_Tab27" localSheetId="40">#REF!</definedName>
    <definedName name="_Tab27" localSheetId="54">#REF!</definedName>
    <definedName name="_Tab27" localSheetId="55">#REF!</definedName>
    <definedName name="_Tab27" localSheetId="52">#REF!</definedName>
    <definedName name="_Tab27" localSheetId="23">#REF!</definedName>
    <definedName name="_Tab27" localSheetId="51">#REF!</definedName>
    <definedName name="_Tab27" localSheetId="53">#REF!</definedName>
    <definedName name="_Tab27" localSheetId="20">#REF!</definedName>
    <definedName name="_Tab27">#REF!</definedName>
    <definedName name="_Tab28" localSheetId="34">#REF!</definedName>
    <definedName name="_Tab28" localSheetId="35">#REF!</definedName>
    <definedName name="_Tab28" localSheetId="50">#REF!</definedName>
    <definedName name="_Tab28" localSheetId="15">#REF!</definedName>
    <definedName name="_Tab28" localSheetId="29">#REF!</definedName>
    <definedName name="_Tab28" localSheetId="30">#REF!</definedName>
    <definedName name="_Tab28" localSheetId="47">#REF!</definedName>
    <definedName name="_Tab28" localSheetId="44">#REF!</definedName>
    <definedName name="_Tab28" localSheetId="45">#REF!</definedName>
    <definedName name="_Tab28" localSheetId="46">#REF!</definedName>
    <definedName name="_Tab28" localSheetId="31">#REF!</definedName>
    <definedName name="_Tab28" localSheetId="32">#REF!</definedName>
    <definedName name="_Tab28" localSheetId="33">#REF!</definedName>
    <definedName name="_Tab28" localSheetId="36">#REF!</definedName>
    <definedName name="_Tab28" localSheetId="37">#REF!</definedName>
    <definedName name="_Tab28" localSheetId="38">#REF!</definedName>
    <definedName name="_Tab28" localSheetId="39">#REF!</definedName>
    <definedName name="_Tab28" localSheetId="40">#REF!</definedName>
    <definedName name="_Tab28" localSheetId="54">#REF!</definedName>
    <definedName name="_Tab28" localSheetId="55">#REF!</definedName>
    <definedName name="_Tab28" localSheetId="52">#REF!</definedName>
    <definedName name="_Tab28" localSheetId="23">#REF!</definedName>
    <definedName name="_Tab28" localSheetId="51">#REF!</definedName>
    <definedName name="_Tab28" localSheetId="53">#REF!</definedName>
    <definedName name="_Tab28" localSheetId="20">#REF!</definedName>
    <definedName name="_Tab28">#REF!</definedName>
    <definedName name="_Tab29" localSheetId="34">#REF!</definedName>
    <definedName name="_Tab29" localSheetId="35">#REF!</definedName>
    <definedName name="_Tab29" localSheetId="50">#REF!</definedName>
    <definedName name="_Tab29" localSheetId="15">#REF!</definedName>
    <definedName name="_Tab29" localSheetId="29">#REF!</definedName>
    <definedName name="_Tab29" localSheetId="30">#REF!</definedName>
    <definedName name="_Tab29" localSheetId="47">#REF!</definedName>
    <definedName name="_Tab29" localSheetId="44">#REF!</definedName>
    <definedName name="_Tab29" localSheetId="45">#REF!</definedName>
    <definedName name="_Tab29" localSheetId="46">#REF!</definedName>
    <definedName name="_Tab29" localSheetId="31">#REF!</definedName>
    <definedName name="_Tab29" localSheetId="32">#REF!</definedName>
    <definedName name="_Tab29" localSheetId="33">#REF!</definedName>
    <definedName name="_Tab29" localSheetId="36">#REF!</definedName>
    <definedName name="_Tab29" localSheetId="37">#REF!</definedName>
    <definedName name="_Tab29" localSheetId="38">#REF!</definedName>
    <definedName name="_Tab29" localSheetId="39">#REF!</definedName>
    <definedName name="_Tab29" localSheetId="40">#REF!</definedName>
    <definedName name="_Tab29" localSheetId="54">#REF!</definedName>
    <definedName name="_Tab29" localSheetId="55">#REF!</definedName>
    <definedName name="_Tab29" localSheetId="52">#REF!</definedName>
    <definedName name="_Tab29" localSheetId="23">#REF!</definedName>
    <definedName name="_Tab29" localSheetId="51">#REF!</definedName>
    <definedName name="_Tab29" localSheetId="53">#REF!</definedName>
    <definedName name="_Tab29" localSheetId="20">#REF!</definedName>
    <definedName name="_Tab29">#REF!</definedName>
    <definedName name="_TAB3" localSheetId="34">#REF!</definedName>
    <definedName name="_TAB3" localSheetId="35">#REF!</definedName>
    <definedName name="_TAB3" localSheetId="50">#REF!</definedName>
    <definedName name="_TAB3" localSheetId="15">#REF!</definedName>
    <definedName name="_TAB3" localSheetId="29">#REF!</definedName>
    <definedName name="_TAB3" localSheetId="30">#REF!</definedName>
    <definedName name="_TAB3" localSheetId="47">#REF!</definedName>
    <definedName name="_TAB3" localSheetId="44">#REF!</definedName>
    <definedName name="_TAB3" localSheetId="45">#REF!</definedName>
    <definedName name="_TAB3" localSheetId="46">#REF!</definedName>
    <definedName name="_TAB3" localSheetId="31">#REF!</definedName>
    <definedName name="_TAB3" localSheetId="32">#REF!</definedName>
    <definedName name="_TAB3" localSheetId="33">#REF!</definedName>
    <definedName name="_TAB3" localSheetId="36">#REF!</definedName>
    <definedName name="_TAB3" localSheetId="37">#REF!</definedName>
    <definedName name="_TAB3" localSheetId="38">#REF!</definedName>
    <definedName name="_TAB3" localSheetId="39">#REF!</definedName>
    <definedName name="_TAB3" localSheetId="40">#REF!</definedName>
    <definedName name="_TAB3" localSheetId="54">#REF!</definedName>
    <definedName name="_TAB3" localSheetId="55">#REF!</definedName>
    <definedName name="_TAB3" localSheetId="52">#REF!</definedName>
    <definedName name="_TAB3" localSheetId="23">#REF!</definedName>
    <definedName name="_TAB3" localSheetId="51">#REF!</definedName>
    <definedName name="_TAB3" localSheetId="53">#REF!</definedName>
    <definedName name="_TAB3" localSheetId="20">#REF!</definedName>
    <definedName name="_TAB3">#REF!</definedName>
    <definedName name="_Tab30" localSheetId="34">#REF!</definedName>
    <definedName name="_Tab30" localSheetId="35">#REF!</definedName>
    <definedName name="_Tab30" localSheetId="50">#REF!</definedName>
    <definedName name="_Tab30" localSheetId="15">#REF!</definedName>
    <definedName name="_Tab30" localSheetId="29">#REF!</definedName>
    <definedName name="_Tab30" localSheetId="30">#REF!</definedName>
    <definedName name="_Tab30" localSheetId="47">#REF!</definedName>
    <definedName name="_Tab30" localSheetId="44">#REF!</definedName>
    <definedName name="_Tab30" localSheetId="45">#REF!</definedName>
    <definedName name="_Tab30" localSheetId="46">#REF!</definedName>
    <definedName name="_Tab30" localSheetId="31">#REF!</definedName>
    <definedName name="_Tab30" localSheetId="32">#REF!</definedName>
    <definedName name="_Tab30" localSheetId="33">#REF!</definedName>
    <definedName name="_Tab30" localSheetId="36">#REF!</definedName>
    <definedName name="_Tab30" localSheetId="37">#REF!</definedName>
    <definedName name="_Tab30" localSheetId="38">#REF!</definedName>
    <definedName name="_Tab30" localSheetId="39">#REF!</definedName>
    <definedName name="_Tab30" localSheetId="40">#REF!</definedName>
    <definedName name="_Tab30" localSheetId="54">#REF!</definedName>
    <definedName name="_Tab30" localSheetId="55">#REF!</definedName>
    <definedName name="_Tab30" localSheetId="52">#REF!</definedName>
    <definedName name="_Tab30" localSheetId="23">#REF!</definedName>
    <definedName name="_Tab30" localSheetId="51">#REF!</definedName>
    <definedName name="_Tab30" localSheetId="53">#REF!</definedName>
    <definedName name="_Tab30" localSheetId="20">#REF!</definedName>
    <definedName name="_Tab30">#REF!</definedName>
    <definedName name="_Tab31" localSheetId="34">#REF!</definedName>
    <definedName name="_Tab31" localSheetId="35">#REF!</definedName>
    <definedName name="_Tab31" localSheetId="50">#REF!</definedName>
    <definedName name="_Tab31" localSheetId="15">#REF!</definedName>
    <definedName name="_Tab31" localSheetId="29">#REF!</definedName>
    <definedName name="_Tab31" localSheetId="30">#REF!</definedName>
    <definedName name="_Tab31" localSheetId="47">#REF!</definedName>
    <definedName name="_Tab31" localSheetId="44">#REF!</definedName>
    <definedName name="_Tab31" localSheetId="45">#REF!</definedName>
    <definedName name="_Tab31" localSheetId="46">#REF!</definedName>
    <definedName name="_Tab31" localSheetId="31">#REF!</definedName>
    <definedName name="_Tab31" localSheetId="32">#REF!</definedName>
    <definedName name="_Tab31" localSheetId="33">#REF!</definedName>
    <definedName name="_Tab31" localSheetId="36">#REF!</definedName>
    <definedName name="_Tab31" localSheetId="37">#REF!</definedName>
    <definedName name="_Tab31" localSheetId="38">#REF!</definedName>
    <definedName name="_Tab31" localSheetId="39">#REF!</definedName>
    <definedName name="_Tab31" localSheetId="40">#REF!</definedName>
    <definedName name="_Tab31" localSheetId="54">#REF!</definedName>
    <definedName name="_Tab31" localSheetId="55">#REF!</definedName>
    <definedName name="_Tab31" localSheetId="52">#REF!</definedName>
    <definedName name="_Tab31" localSheetId="23">#REF!</definedName>
    <definedName name="_Tab31" localSheetId="51">#REF!</definedName>
    <definedName name="_Tab31" localSheetId="53">#REF!</definedName>
    <definedName name="_Tab31" localSheetId="20">#REF!</definedName>
    <definedName name="_Tab31">#REF!</definedName>
    <definedName name="_Tab32" localSheetId="34">#REF!</definedName>
    <definedName name="_Tab32" localSheetId="35">#REF!</definedName>
    <definedName name="_Tab32" localSheetId="50">#REF!</definedName>
    <definedName name="_Tab32" localSheetId="15">#REF!</definedName>
    <definedName name="_Tab32" localSheetId="29">#REF!</definedName>
    <definedName name="_Tab32" localSheetId="30">#REF!</definedName>
    <definedName name="_Tab32" localSheetId="47">#REF!</definedName>
    <definedName name="_Tab32" localSheetId="44">#REF!</definedName>
    <definedName name="_Tab32" localSheetId="45">#REF!</definedName>
    <definedName name="_Tab32" localSheetId="46">#REF!</definedName>
    <definedName name="_Tab32" localSheetId="31">#REF!</definedName>
    <definedName name="_Tab32" localSheetId="32">#REF!</definedName>
    <definedName name="_Tab32" localSheetId="33">#REF!</definedName>
    <definedName name="_Tab32" localSheetId="36">#REF!</definedName>
    <definedName name="_Tab32" localSheetId="37">#REF!</definedName>
    <definedName name="_Tab32" localSheetId="38">#REF!</definedName>
    <definedName name="_Tab32" localSheetId="39">#REF!</definedName>
    <definedName name="_Tab32" localSheetId="40">#REF!</definedName>
    <definedName name="_Tab32" localSheetId="54">#REF!</definedName>
    <definedName name="_Tab32" localSheetId="55">#REF!</definedName>
    <definedName name="_Tab32" localSheetId="52">#REF!</definedName>
    <definedName name="_Tab32" localSheetId="23">#REF!</definedName>
    <definedName name="_Tab32" localSheetId="51">#REF!</definedName>
    <definedName name="_Tab32" localSheetId="53">#REF!</definedName>
    <definedName name="_Tab32" localSheetId="20">#REF!</definedName>
    <definedName name="_Tab32">#REF!</definedName>
    <definedName name="_Tab33" localSheetId="34">#REF!</definedName>
    <definedName name="_Tab33" localSheetId="35">#REF!</definedName>
    <definedName name="_Tab33" localSheetId="50">#REF!</definedName>
    <definedName name="_Tab33" localSheetId="15">#REF!</definedName>
    <definedName name="_Tab33" localSheetId="29">#REF!</definedName>
    <definedName name="_Tab33" localSheetId="30">#REF!</definedName>
    <definedName name="_Tab33" localSheetId="47">#REF!</definedName>
    <definedName name="_Tab33" localSheetId="44">#REF!</definedName>
    <definedName name="_Tab33" localSheetId="45">#REF!</definedName>
    <definedName name="_Tab33" localSheetId="46">#REF!</definedName>
    <definedName name="_Tab33" localSheetId="31">#REF!</definedName>
    <definedName name="_Tab33" localSheetId="32">#REF!</definedName>
    <definedName name="_Tab33" localSheetId="33">#REF!</definedName>
    <definedName name="_Tab33" localSheetId="36">#REF!</definedName>
    <definedName name="_Tab33" localSheetId="37">#REF!</definedName>
    <definedName name="_Tab33" localSheetId="38">#REF!</definedName>
    <definedName name="_Tab33" localSheetId="39">#REF!</definedName>
    <definedName name="_Tab33" localSheetId="40">#REF!</definedName>
    <definedName name="_Tab33" localSheetId="54">#REF!</definedName>
    <definedName name="_Tab33" localSheetId="55">#REF!</definedName>
    <definedName name="_Tab33" localSheetId="52">#REF!</definedName>
    <definedName name="_Tab33" localSheetId="23">#REF!</definedName>
    <definedName name="_Tab33" localSheetId="51">#REF!</definedName>
    <definedName name="_Tab33" localSheetId="53">#REF!</definedName>
    <definedName name="_Tab33" localSheetId="20">#REF!</definedName>
    <definedName name="_Tab33">#REF!</definedName>
    <definedName name="_Tab34" localSheetId="34">#REF!</definedName>
    <definedName name="_Tab34" localSheetId="35">#REF!</definedName>
    <definedName name="_Tab34" localSheetId="50">#REF!</definedName>
    <definedName name="_Tab34" localSheetId="15">#REF!</definedName>
    <definedName name="_Tab34" localSheetId="29">#REF!</definedName>
    <definedName name="_Tab34" localSheetId="30">#REF!</definedName>
    <definedName name="_Tab34" localSheetId="47">#REF!</definedName>
    <definedName name="_Tab34" localSheetId="44">#REF!</definedName>
    <definedName name="_Tab34" localSheetId="45">#REF!</definedName>
    <definedName name="_Tab34" localSheetId="46">#REF!</definedName>
    <definedName name="_Tab34" localSheetId="31">#REF!</definedName>
    <definedName name="_Tab34" localSheetId="32">#REF!</definedName>
    <definedName name="_Tab34" localSheetId="33">#REF!</definedName>
    <definedName name="_Tab34" localSheetId="36">#REF!</definedName>
    <definedName name="_Tab34" localSheetId="37">#REF!</definedName>
    <definedName name="_Tab34" localSheetId="38">#REF!</definedName>
    <definedName name="_Tab34" localSheetId="39">#REF!</definedName>
    <definedName name="_Tab34" localSheetId="40">#REF!</definedName>
    <definedName name="_Tab34" localSheetId="54">#REF!</definedName>
    <definedName name="_Tab34" localSheetId="55">#REF!</definedName>
    <definedName name="_Tab34" localSheetId="52">#REF!</definedName>
    <definedName name="_Tab34" localSheetId="23">#REF!</definedName>
    <definedName name="_Tab34" localSheetId="51">#REF!</definedName>
    <definedName name="_Tab34" localSheetId="53">#REF!</definedName>
    <definedName name="_Tab34" localSheetId="20">#REF!</definedName>
    <definedName name="_Tab34">#REF!</definedName>
    <definedName name="_Tab35" localSheetId="34">#REF!</definedName>
    <definedName name="_Tab35" localSheetId="35">#REF!</definedName>
    <definedName name="_Tab35" localSheetId="50">#REF!</definedName>
    <definedName name="_Tab35" localSheetId="15">#REF!</definedName>
    <definedName name="_Tab35" localSheetId="29">#REF!</definedName>
    <definedName name="_Tab35" localSheetId="30">#REF!</definedName>
    <definedName name="_Tab35" localSheetId="47">#REF!</definedName>
    <definedName name="_Tab35" localSheetId="44">#REF!</definedName>
    <definedName name="_Tab35" localSheetId="45">#REF!</definedName>
    <definedName name="_Tab35" localSheetId="46">#REF!</definedName>
    <definedName name="_Tab35" localSheetId="31">#REF!</definedName>
    <definedName name="_Tab35" localSheetId="32">#REF!</definedName>
    <definedName name="_Tab35" localSheetId="33">#REF!</definedName>
    <definedName name="_Tab35" localSheetId="36">#REF!</definedName>
    <definedName name="_Tab35" localSheetId="37">#REF!</definedName>
    <definedName name="_Tab35" localSheetId="38">#REF!</definedName>
    <definedName name="_Tab35" localSheetId="39">#REF!</definedName>
    <definedName name="_Tab35" localSheetId="40">#REF!</definedName>
    <definedName name="_Tab35" localSheetId="54">#REF!</definedName>
    <definedName name="_Tab35" localSheetId="55">#REF!</definedName>
    <definedName name="_Tab35" localSheetId="52">#REF!</definedName>
    <definedName name="_Tab35" localSheetId="23">#REF!</definedName>
    <definedName name="_Tab35" localSheetId="51">#REF!</definedName>
    <definedName name="_Tab35" localSheetId="53">#REF!</definedName>
    <definedName name="_Tab35" localSheetId="20">#REF!</definedName>
    <definedName name="_Tab35">#REF!</definedName>
    <definedName name="_tab4" localSheetId="34">#REF!</definedName>
    <definedName name="_tab4" localSheetId="35">#REF!</definedName>
    <definedName name="_tab4" localSheetId="50">#REF!</definedName>
    <definedName name="_tab4" localSheetId="15">#REF!</definedName>
    <definedName name="_tab4" localSheetId="29">#REF!</definedName>
    <definedName name="_tab4" localSheetId="30">#REF!</definedName>
    <definedName name="_tab4" localSheetId="47">#REF!</definedName>
    <definedName name="_tab4" localSheetId="44">#REF!</definedName>
    <definedName name="_tab4" localSheetId="45">#REF!</definedName>
    <definedName name="_tab4" localSheetId="46">#REF!</definedName>
    <definedName name="_tab4" localSheetId="31">#REF!</definedName>
    <definedName name="_tab4" localSheetId="32">#REF!</definedName>
    <definedName name="_tab4" localSheetId="33">#REF!</definedName>
    <definedName name="_tab4" localSheetId="36">#REF!</definedName>
    <definedName name="_tab4" localSheetId="37">#REF!</definedName>
    <definedName name="_tab4" localSheetId="38">#REF!</definedName>
    <definedName name="_tab4" localSheetId="39">#REF!</definedName>
    <definedName name="_tab4" localSheetId="40">#REF!</definedName>
    <definedName name="_tab4" localSheetId="54">#REF!</definedName>
    <definedName name="_tab4" localSheetId="55">#REF!</definedName>
    <definedName name="_tab4" localSheetId="52">#REF!</definedName>
    <definedName name="_tab4" localSheetId="23">#REF!</definedName>
    <definedName name="_tab4" localSheetId="51">#REF!</definedName>
    <definedName name="_tab4" localSheetId="53">#REF!</definedName>
    <definedName name="_tab4" localSheetId="20">#REF!</definedName>
    <definedName name="_tab4">#REF!</definedName>
    <definedName name="_TAB47" localSheetId="34">#REF!</definedName>
    <definedName name="_TAB47" localSheetId="35">#REF!</definedName>
    <definedName name="_TAB47" localSheetId="50">#REF!</definedName>
    <definedName name="_TAB47" localSheetId="15">#REF!</definedName>
    <definedName name="_TAB47" localSheetId="29">#REF!</definedName>
    <definedName name="_TAB47" localSheetId="30">#REF!</definedName>
    <definedName name="_TAB47" localSheetId="47">#REF!</definedName>
    <definedName name="_TAB47" localSheetId="44">#REF!</definedName>
    <definedName name="_TAB47" localSheetId="45">#REF!</definedName>
    <definedName name="_TAB47" localSheetId="46">#REF!</definedName>
    <definedName name="_TAB47" localSheetId="31">#REF!</definedName>
    <definedName name="_TAB47" localSheetId="32">#REF!</definedName>
    <definedName name="_TAB47" localSheetId="33">#REF!</definedName>
    <definedName name="_TAB47" localSheetId="36">#REF!</definedName>
    <definedName name="_TAB47" localSheetId="37">#REF!</definedName>
    <definedName name="_TAB47" localSheetId="38">#REF!</definedName>
    <definedName name="_TAB47" localSheetId="39">#REF!</definedName>
    <definedName name="_TAB47" localSheetId="40">#REF!</definedName>
    <definedName name="_TAB47" localSheetId="54">#REF!</definedName>
    <definedName name="_TAB47" localSheetId="55">#REF!</definedName>
    <definedName name="_TAB47" localSheetId="52">#REF!</definedName>
    <definedName name="_TAB47" localSheetId="23">#REF!</definedName>
    <definedName name="_TAB47" localSheetId="51">#REF!</definedName>
    <definedName name="_TAB47" localSheetId="53">#REF!</definedName>
    <definedName name="_TAB47" localSheetId="20">#REF!</definedName>
    <definedName name="_TAB47">#REF!</definedName>
    <definedName name="_tab5" localSheetId="34">#REF!</definedName>
    <definedName name="_tab5" localSheetId="35">#REF!</definedName>
    <definedName name="_tab5" localSheetId="50">#REF!</definedName>
    <definedName name="_tab5" localSheetId="15">#REF!</definedName>
    <definedName name="_tab5" localSheetId="29">#REF!</definedName>
    <definedName name="_tab5" localSheetId="30">#REF!</definedName>
    <definedName name="_tab5" localSheetId="47">#REF!</definedName>
    <definedName name="_tab5" localSheetId="44">#REF!</definedName>
    <definedName name="_tab5" localSheetId="45">#REF!</definedName>
    <definedName name="_tab5" localSheetId="46">#REF!</definedName>
    <definedName name="_tab5" localSheetId="31">#REF!</definedName>
    <definedName name="_tab5" localSheetId="32">#REF!</definedName>
    <definedName name="_tab5" localSheetId="33">#REF!</definedName>
    <definedName name="_tab5" localSheetId="36">#REF!</definedName>
    <definedName name="_tab5" localSheetId="37">#REF!</definedName>
    <definedName name="_tab5" localSheetId="38">#REF!</definedName>
    <definedName name="_tab5" localSheetId="39">#REF!</definedName>
    <definedName name="_tab5" localSheetId="40">#REF!</definedName>
    <definedName name="_tab5" localSheetId="54">#REF!</definedName>
    <definedName name="_tab5" localSheetId="55">#REF!</definedName>
    <definedName name="_tab5" localSheetId="52">#REF!</definedName>
    <definedName name="_tab5" localSheetId="23">#REF!</definedName>
    <definedName name="_tab5" localSheetId="51">#REF!</definedName>
    <definedName name="_tab5" localSheetId="53">#REF!</definedName>
    <definedName name="_tab5" localSheetId="20">#REF!</definedName>
    <definedName name="_tab5">#REF!</definedName>
    <definedName name="_TAB7" localSheetId="34">#REF!</definedName>
    <definedName name="_TAB7" localSheetId="35">#REF!</definedName>
    <definedName name="_TAB7" localSheetId="50">#REF!</definedName>
    <definedName name="_TAB7" localSheetId="15">#REF!</definedName>
    <definedName name="_TAB7" localSheetId="29">#REF!</definedName>
    <definedName name="_TAB7" localSheetId="30">#REF!</definedName>
    <definedName name="_TAB7" localSheetId="47">#REF!</definedName>
    <definedName name="_TAB7" localSheetId="44">#REF!</definedName>
    <definedName name="_TAB7" localSheetId="45">#REF!</definedName>
    <definedName name="_TAB7" localSheetId="46">#REF!</definedName>
    <definedName name="_TAB7" localSheetId="31">#REF!</definedName>
    <definedName name="_TAB7" localSheetId="32">#REF!</definedName>
    <definedName name="_TAB7" localSheetId="33">#REF!</definedName>
    <definedName name="_TAB7" localSheetId="36">#REF!</definedName>
    <definedName name="_TAB7" localSheetId="37">#REF!</definedName>
    <definedName name="_TAB7" localSheetId="38">#REF!</definedName>
    <definedName name="_TAB7" localSheetId="39">#REF!</definedName>
    <definedName name="_TAB7" localSheetId="40">#REF!</definedName>
    <definedName name="_TAB7" localSheetId="54">#REF!</definedName>
    <definedName name="_TAB7" localSheetId="55">#REF!</definedName>
    <definedName name="_TAB7" localSheetId="52">#REF!</definedName>
    <definedName name="_TAB7" localSheetId="23">#REF!</definedName>
    <definedName name="_TAB7" localSheetId="51">#REF!</definedName>
    <definedName name="_TAB7" localSheetId="53">#REF!</definedName>
    <definedName name="_TAB7" localSheetId="20">#REF!</definedName>
    <definedName name="_TAB7">#REF!</definedName>
    <definedName name="_TAB8" localSheetId="34">#REF!</definedName>
    <definedName name="_TAB8" localSheetId="35">#REF!</definedName>
    <definedName name="_TAB8" localSheetId="50">#REF!</definedName>
    <definedName name="_TAB8" localSheetId="15">#REF!</definedName>
    <definedName name="_TAB8" localSheetId="29">#REF!</definedName>
    <definedName name="_TAB8" localSheetId="30">#REF!</definedName>
    <definedName name="_TAB8" localSheetId="47">#REF!</definedName>
    <definedName name="_TAB8" localSheetId="44">#REF!</definedName>
    <definedName name="_TAB8" localSheetId="45">#REF!</definedName>
    <definedName name="_TAB8" localSheetId="46">#REF!</definedName>
    <definedName name="_TAB8" localSheetId="31">#REF!</definedName>
    <definedName name="_TAB8" localSheetId="32">#REF!</definedName>
    <definedName name="_TAB8" localSheetId="33">#REF!</definedName>
    <definedName name="_TAB8" localSheetId="36">#REF!</definedName>
    <definedName name="_TAB8" localSheetId="37">#REF!</definedName>
    <definedName name="_TAB8" localSheetId="38">#REF!</definedName>
    <definedName name="_TAB8" localSheetId="39">#REF!</definedName>
    <definedName name="_TAB8" localSheetId="40">#REF!</definedName>
    <definedName name="_TAB8" localSheetId="54">#REF!</definedName>
    <definedName name="_TAB8" localSheetId="55">#REF!</definedName>
    <definedName name="_TAB8" localSheetId="52">#REF!</definedName>
    <definedName name="_TAB8" localSheetId="23">#REF!</definedName>
    <definedName name="_TAB8" localSheetId="51">#REF!</definedName>
    <definedName name="_TAB8" localSheetId="53">#REF!</definedName>
    <definedName name="_TAB8" localSheetId="20">#REF!</definedName>
    <definedName name="_TAB8">#REF!</definedName>
    <definedName name="_tc30" localSheetId="34">#REF!</definedName>
    <definedName name="_tc30" localSheetId="35">#REF!</definedName>
    <definedName name="_tc30" localSheetId="50">#REF!</definedName>
    <definedName name="_tc30" localSheetId="15">#REF!</definedName>
    <definedName name="_tc30" localSheetId="29">#REF!</definedName>
    <definedName name="_tc30" localSheetId="30">#REF!</definedName>
    <definedName name="_tc30" localSheetId="47">#REF!</definedName>
    <definedName name="_tc30" localSheetId="44">#REF!</definedName>
    <definedName name="_tc30" localSheetId="45">#REF!</definedName>
    <definedName name="_tc30" localSheetId="46">#REF!</definedName>
    <definedName name="_tc30" localSheetId="31">#REF!</definedName>
    <definedName name="_tc30" localSheetId="32">#REF!</definedName>
    <definedName name="_tc30" localSheetId="33">#REF!</definedName>
    <definedName name="_tc30" localSheetId="36">#REF!</definedName>
    <definedName name="_tc30" localSheetId="37">#REF!</definedName>
    <definedName name="_tc30" localSheetId="38">#REF!</definedName>
    <definedName name="_tc30" localSheetId="39">#REF!</definedName>
    <definedName name="_tc30" localSheetId="40">#REF!</definedName>
    <definedName name="_tc30" localSheetId="54">#REF!</definedName>
    <definedName name="_tc30" localSheetId="55">#REF!</definedName>
    <definedName name="_tc30" localSheetId="52">#REF!</definedName>
    <definedName name="_tc30" localSheetId="23">#REF!</definedName>
    <definedName name="_tc30" localSheetId="51">#REF!</definedName>
    <definedName name="_tc30" localSheetId="53">#REF!</definedName>
    <definedName name="_tc30" localSheetId="20">#REF!</definedName>
    <definedName name="_tc30">#REF!</definedName>
    <definedName name="_tc99">'[34]PROYECCIONES-PM 2000mod'!$B$29</definedName>
    <definedName name="_WB2" localSheetId="50">#REF!</definedName>
    <definedName name="_WB2" localSheetId="47">#REF!</definedName>
    <definedName name="_WB2" localSheetId="44">#REF!</definedName>
    <definedName name="_WB2" localSheetId="45">#REF!</definedName>
    <definedName name="_WB2" localSheetId="46">#REF!</definedName>
    <definedName name="_WB2" localSheetId="37">#REF!</definedName>
    <definedName name="_WB2" localSheetId="40">#REF!</definedName>
    <definedName name="_WB2" localSheetId="54">#REF!</definedName>
    <definedName name="_WB2" localSheetId="55">#REF!</definedName>
    <definedName name="_WB2" localSheetId="52">#REF!</definedName>
    <definedName name="_WB2" localSheetId="51">#REF!</definedName>
    <definedName name="_WB2" localSheetId="53">#REF!</definedName>
    <definedName name="_WB2">#REF!</definedName>
    <definedName name="_WEO1" localSheetId="34">#REF!</definedName>
    <definedName name="_WEO1" localSheetId="35">#REF!</definedName>
    <definedName name="_WEO1" localSheetId="50">#REF!</definedName>
    <definedName name="_WEO1" localSheetId="15">#REF!</definedName>
    <definedName name="_WEO1" localSheetId="29">#REF!</definedName>
    <definedName name="_WEO1" localSheetId="30">#REF!</definedName>
    <definedName name="_WEO1" localSheetId="47">#REF!</definedName>
    <definedName name="_WEO1" localSheetId="44">#REF!</definedName>
    <definedName name="_WEO1" localSheetId="45">#REF!</definedName>
    <definedName name="_WEO1" localSheetId="46">#REF!</definedName>
    <definedName name="_WEO1" localSheetId="31">#REF!</definedName>
    <definedName name="_WEO1" localSheetId="32">#REF!</definedName>
    <definedName name="_WEO1" localSheetId="33">#REF!</definedName>
    <definedName name="_WEO1" localSheetId="36">#REF!</definedName>
    <definedName name="_WEO1" localSheetId="37">#REF!</definedName>
    <definedName name="_WEO1" localSheetId="38">#REF!</definedName>
    <definedName name="_WEO1" localSheetId="39">#REF!</definedName>
    <definedName name="_WEO1" localSheetId="40">#REF!</definedName>
    <definedName name="_WEO1" localSheetId="54">#REF!</definedName>
    <definedName name="_WEO1" localSheetId="55">#REF!</definedName>
    <definedName name="_WEO1" localSheetId="52">#REF!</definedName>
    <definedName name="_WEO1" localSheetId="23">#REF!</definedName>
    <definedName name="_WEO1" localSheetId="51">#REF!</definedName>
    <definedName name="_WEO1" localSheetId="53">#REF!</definedName>
    <definedName name="_WEO1" localSheetId="20">#REF!</definedName>
    <definedName name="_WEO1">#REF!</definedName>
    <definedName name="_WEO2" localSheetId="34">#REF!</definedName>
    <definedName name="_WEO2" localSheetId="35">#REF!</definedName>
    <definedName name="_WEO2" localSheetId="50">#REF!</definedName>
    <definedName name="_WEO2" localSheetId="15">#REF!</definedName>
    <definedName name="_WEO2" localSheetId="29">#REF!</definedName>
    <definedName name="_WEO2" localSheetId="30">#REF!</definedName>
    <definedName name="_WEO2" localSheetId="47">#REF!</definedName>
    <definedName name="_WEO2" localSheetId="44">#REF!</definedName>
    <definedName name="_WEO2" localSheetId="45">#REF!</definedName>
    <definedName name="_WEO2" localSheetId="46">#REF!</definedName>
    <definedName name="_WEO2" localSheetId="31">#REF!</definedName>
    <definedName name="_WEO2" localSheetId="32">#REF!</definedName>
    <definedName name="_WEO2" localSheetId="33">#REF!</definedName>
    <definedName name="_WEO2" localSheetId="36">#REF!</definedName>
    <definedName name="_WEO2" localSheetId="37">#REF!</definedName>
    <definedName name="_WEO2" localSheetId="38">#REF!</definedName>
    <definedName name="_WEO2" localSheetId="39">#REF!</definedName>
    <definedName name="_WEO2" localSheetId="40">#REF!</definedName>
    <definedName name="_WEO2" localSheetId="54">#REF!</definedName>
    <definedName name="_WEO2" localSheetId="55">#REF!</definedName>
    <definedName name="_WEO2" localSheetId="52">#REF!</definedName>
    <definedName name="_WEO2" localSheetId="23">#REF!</definedName>
    <definedName name="_WEO2" localSheetId="51">#REF!</definedName>
    <definedName name="_WEO2" localSheetId="53">#REF!</definedName>
    <definedName name="_WEO2" localSheetId="20">#REF!</definedName>
    <definedName name="_WEO2">#REF!</definedName>
    <definedName name="_YR0110">'[8]Imp:DSA output'!$O$9:$R$464</definedName>
    <definedName name="_YR89">'[8]Imp:DSA output'!$C$9:$C$464</definedName>
    <definedName name="_YR90">'[8]Imp:DSA output'!$D$9:$D$464</definedName>
    <definedName name="_YR91">'[8]Imp:DSA output'!$E$9:$E$464</definedName>
    <definedName name="_YR92">'[8]Imp:DSA output'!$F$9:$F$464</definedName>
    <definedName name="_YR93">'[8]Imp:DSA output'!$G$9:$G$464</definedName>
    <definedName name="_YR94">'[8]Imp:DSA output'!$H$9:$H$464</definedName>
    <definedName name="_YR95">'[8]Imp:DSA output'!$I$9:$I$464</definedName>
    <definedName name="_Z" localSheetId="50">[8]Imp!#REF!</definedName>
    <definedName name="_Z" localSheetId="47">[8]Imp!#REF!</definedName>
    <definedName name="_Z" localSheetId="44">[8]Imp!#REF!</definedName>
    <definedName name="_Z" localSheetId="45">[8]Imp!#REF!</definedName>
    <definedName name="_Z" localSheetId="46">[8]Imp!#REF!</definedName>
    <definedName name="_Z" localSheetId="37">[8]Imp!#REF!</definedName>
    <definedName name="_Z" localSheetId="40">[8]Imp!#REF!</definedName>
    <definedName name="_Z" localSheetId="54">[8]Imp!#REF!</definedName>
    <definedName name="_Z" localSheetId="55">[8]Imp!#REF!</definedName>
    <definedName name="_Z" localSheetId="52">[8]Imp!#REF!</definedName>
    <definedName name="_Z" localSheetId="51">[8]Imp!#REF!</definedName>
    <definedName name="_Z" localSheetId="53">[8]Imp!#REF!</definedName>
    <definedName name="_Z">[8]Imp!#REF!</definedName>
    <definedName name="A" localSheetId="50">#REF!</definedName>
    <definedName name="A" localSheetId="44">#REF!</definedName>
    <definedName name="A" localSheetId="54">#REF!</definedName>
    <definedName name="A" localSheetId="52">#REF!</definedName>
    <definedName name="A" localSheetId="51">#REF!</definedName>
    <definedName name="A" localSheetId="53">#REF!</definedName>
    <definedName name="A" localSheetId="49">#REF!</definedName>
    <definedName name="A">'[35]selected economic indicators'!$B$86</definedName>
    <definedName name="A_brief_explanation_of_the_economic_indicators_being_requested." localSheetId="50">#REF!</definedName>
    <definedName name="A_brief_explanation_of_the_economic_indicators_being_requested." localSheetId="47">#REF!</definedName>
    <definedName name="A_brief_explanation_of_the_economic_indicators_being_requested." localSheetId="44">#REF!</definedName>
    <definedName name="A_brief_explanation_of_the_economic_indicators_being_requested." localSheetId="45">#REF!</definedName>
    <definedName name="A_brief_explanation_of_the_economic_indicators_being_requested." localSheetId="46">#REF!</definedName>
    <definedName name="A_brief_explanation_of_the_economic_indicators_being_requested." localSheetId="37">#REF!</definedName>
    <definedName name="A_brief_explanation_of_the_economic_indicators_being_requested." localSheetId="40">#REF!</definedName>
    <definedName name="A_brief_explanation_of_the_economic_indicators_being_requested." localSheetId="54">#REF!</definedName>
    <definedName name="A_brief_explanation_of_the_economic_indicators_being_requested." localSheetId="55">#REF!</definedName>
    <definedName name="A_brief_explanation_of_the_economic_indicators_being_requested." localSheetId="52">#REF!</definedName>
    <definedName name="A_brief_explanation_of_the_economic_indicators_being_requested." localSheetId="51">#REF!</definedName>
    <definedName name="A_brief_explanation_of_the_economic_indicators_being_requested." localSheetId="53">#REF!</definedName>
    <definedName name="A_brief_explanation_of_the_economic_indicators_being_requested.">#REF!</definedName>
    <definedName name="A_impresión_IM" localSheetId="34">#REF!</definedName>
    <definedName name="A_impresión_IM" localSheetId="35">#REF!</definedName>
    <definedName name="A_impresión_IM" localSheetId="50">#REF!</definedName>
    <definedName name="A_impresión_IM" localSheetId="15">#REF!</definedName>
    <definedName name="A_impresión_IM" localSheetId="29">#REF!</definedName>
    <definedName name="A_impresión_IM" localSheetId="30">#REF!</definedName>
    <definedName name="A_impresión_IM" localSheetId="47">#REF!</definedName>
    <definedName name="A_impresión_IM" localSheetId="44">#REF!</definedName>
    <definedName name="A_impresión_IM" localSheetId="45">#REF!</definedName>
    <definedName name="A_impresión_IM" localSheetId="46">#REF!</definedName>
    <definedName name="A_impresión_IM" localSheetId="31">#REF!</definedName>
    <definedName name="A_impresión_IM" localSheetId="32">#REF!</definedName>
    <definedName name="A_impresión_IM" localSheetId="33">#REF!</definedName>
    <definedName name="A_impresión_IM" localSheetId="36">#REF!</definedName>
    <definedName name="A_impresión_IM" localSheetId="37">#REF!</definedName>
    <definedName name="A_impresión_IM" localSheetId="38">#REF!</definedName>
    <definedName name="A_impresión_IM" localSheetId="39">#REF!</definedName>
    <definedName name="A_impresión_IM" localSheetId="40">#REF!</definedName>
    <definedName name="A_impresión_IM" localSheetId="54">#REF!</definedName>
    <definedName name="A_impresión_IM" localSheetId="55">#REF!</definedName>
    <definedName name="A_impresión_IM" localSheetId="52">#REF!</definedName>
    <definedName name="A_impresión_IM" localSheetId="23">#REF!</definedName>
    <definedName name="A_impresión_IM" localSheetId="51">#REF!</definedName>
    <definedName name="A_impresión_IM" localSheetId="53">#REF!</definedName>
    <definedName name="A_impresión_IM" localSheetId="20">#REF!</definedName>
    <definedName name="A_impresión_IM">#REF!</definedName>
    <definedName name="A1_" localSheetId="34">[36]Sum1!#REF!</definedName>
    <definedName name="A1_" localSheetId="35">[36]Sum1!#REF!</definedName>
    <definedName name="A1_" localSheetId="50">[36]Sum1!#REF!</definedName>
    <definedName name="A1_" localSheetId="15">[36]Sum1!#REF!</definedName>
    <definedName name="A1_" localSheetId="29">[36]Sum1!#REF!</definedName>
    <definedName name="A1_" localSheetId="30">[36]Sum1!#REF!</definedName>
    <definedName name="A1_" localSheetId="47">[36]Sum1!#REF!</definedName>
    <definedName name="A1_" localSheetId="44">[36]Sum1!#REF!</definedName>
    <definedName name="A1_" localSheetId="45">[36]Sum1!#REF!</definedName>
    <definedName name="A1_" localSheetId="46">[36]Sum1!#REF!</definedName>
    <definedName name="A1_" localSheetId="31">[36]Sum1!#REF!</definedName>
    <definedName name="A1_" localSheetId="32">[36]Sum1!#REF!</definedName>
    <definedName name="A1_" localSheetId="33">[36]Sum1!#REF!</definedName>
    <definedName name="A1_" localSheetId="36">[36]Sum1!#REF!</definedName>
    <definedName name="A1_" localSheetId="37">[36]Sum1!#REF!</definedName>
    <definedName name="A1_" localSheetId="38">[36]Sum1!#REF!</definedName>
    <definedName name="A1_" localSheetId="39">[36]Sum1!#REF!</definedName>
    <definedName name="A1_" localSheetId="40">[36]Sum1!#REF!</definedName>
    <definedName name="A1_" localSheetId="54">[36]Sum1!#REF!</definedName>
    <definedName name="A1_" localSheetId="55">[36]Sum1!#REF!</definedName>
    <definedName name="A1_" localSheetId="52">[36]Sum1!#REF!</definedName>
    <definedName name="A1_" localSheetId="23">[36]Sum1!#REF!</definedName>
    <definedName name="A1_" localSheetId="51">[36]Sum1!#REF!</definedName>
    <definedName name="A1_" localSheetId="53">[36]Sum1!#REF!</definedName>
    <definedName name="A1_" localSheetId="20">[36]Sum1!#REF!</definedName>
    <definedName name="A1_">[36]Sum1!#REF!</definedName>
    <definedName name="aaa" localSheetId="58" hidden="1">{"Riqfin97",#N/A,FALSE,"Tran";"Riqfinpro",#N/A,FALSE,"Tran"}</definedName>
    <definedName name="aaa" localSheetId="16" hidden="1">{"Riqfin97",#N/A,FALSE,"Tran";"Riqfinpro",#N/A,FALSE,"Tran"}</definedName>
    <definedName name="aaa" localSheetId="61" hidden="1">{"Riqfin97",#N/A,FALSE,"Tran";"Riqfinpro",#N/A,FALSE,"Tran"}</definedName>
    <definedName name="aaa" localSheetId="62" hidden="1">{"Riqfin97",#N/A,FALSE,"Tran";"Riqfinpro",#N/A,FALSE,"Tran"}</definedName>
    <definedName name="AAA" localSheetId="50">#REF!</definedName>
    <definedName name="aaa" localSheetId="63" hidden="1">{"Riqfin97",#N/A,FALSE,"Tran";"Riqfinpro",#N/A,FALSE,"Tran"}</definedName>
    <definedName name="aaa" localSheetId="15" hidden="1">{"Riqfin97",#N/A,FALSE,"Tran";"Riqfinpro",#N/A,FALSE,"Tran"}</definedName>
    <definedName name="aaa" localSheetId="1" hidden="1">{"Riqfin97",#N/A,FALSE,"Tran";"Riqfinpro",#N/A,FALSE,"Tran"}</definedName>
    <definedName name="aaa" localSheetId="43" hidden="1">{"Riqfin97",#N/A,FALSE,"Tran";"Riqfinpro",#N/A,FALSE,"Tran"}</definedName>
    <definedName name="aaa" localSheetId="29" hidden="1">{"Riqfin97",#N/A,FALSE,"Tran";"Riqfinpro",#N/A,FALSE,"Tran"}</definedName>
    <definedName name="aaa" localSheetId="30" hidden="1">{"Riqfin97",#N/A,FALSE,"Tran";"Riqfinpro",#N/A,FALSE,"Tran"}</definedName>
    <definedName name="AAA" localSheetId="44">#REF!</definedName>
    <definedName name="aaa" localSheetId="59" hidden="1">{"Riqfin97",#N/A,FALSE,"Tran";"Riqfinpro",#N/A,FALSE,"Tran"}</definedName>
    <definedName name="aaa" localSheetId="13" hidden="1">{"Riqfin97",#N/A,FALSE,"Tran";"Riqfinpro",#N/A,FALSE,"Tran"}</definedName>
    <definedName name="aaa" localSheetId="0" hidden="1">{"Riqfin97",#N/A,FALSE,"Tran";"Riqfinpro",#N/A,FALSE,"Tran"}</definedName>
    <definedName name="aaa" localSheetId="57" hidden="1">{"Riqfin97",#N/A,FALSE,"Tran";"Riqfinpro",#N/A,FALSE,"Tran"}</definedName>
    <definedName name="aaa" localSheetId="56" hidden="1">{"Riqfin97",#N/A,FALSE,"Tran";"Riqfinpro",#N/A,FALSE,"Tran"}</definedName>
    <definedName name="AAA" localSheetId="54">#REF!</definedName>
    <definedName name="AAA" localSheetId="52">#REF!</definedName>
    <definedName name="aaa" localSheetId="23" hidden="1">{"Riqfin97",#N/A,FALSE,"Tran";"Riqfinpro",#N/A,FALSE,"Tran"}</definedName>
    <definedName name="AAA" localSheetId="51">#REF!</definedName>
    <definedName name="AAA" localSheetId="53">#REF!</definedName>
    <definedName name="aaa" localSheetId="60" hidden="1">{"Riqfin97",#N/A,FALSE,"Tran";"Riqfinpro",#N/A,FALSE,"Tran"}</definedName>
    <definedName name="aaa" hidden="1">{"Riqfin97",#N/A,FALSE,"Tran";"Riqfinpro",#N/A,FALSE,"Tran"}</definedName>
    <definedName name="aaaaaa" localSheetId="58" hidden="1">{"Riqfin97",#N/A,FALSE,"Tran";"Riqfinpro",#N/A,FALSE,"Tran"}</definedName>
    <definedName name="aaaaaa" localSheetId="16" hidden="1">{"Riqfin97",#N/A,FALSE,"Tran";"Riqfinpro",#N/A,FALSE,"Tran"}</definedName>
    <definedName name="aaaaaa" localSheetId="29" hidden="1">{"Riqfin97",#N/A,FALSE,"Tran";"Riqfinpro",#N/A,FALSE,"Tran"}</definedName>
    <definedName name="aaaaaa" localSheetId="30" hidden="1">{"Riqfin97",#N/A,FALSE,"Tran";"Riqfinpro",#N/A,FALSE,"Tran"}</definedName>
    <definedName name="aaaaaa" localSheetId="59" hidden="1">{"Riqfin97",#N/A,FALSE,"Tran";"Riqfinpro",#N/A,FALSE,"Tran"}</definedName>
    <definedName name="aaaaaa" localSheetId="57" hidden="1">{"Riqfin97",#N/A,FALSE,"Tran";"Riqfinpro",#N/A,FALSE,"Tran"}</definedName>
    <definedName name="aaaaaa" localSheetId="56" hidden="1">{"Riqfin97",#N/A,FALSE,"Tran";"Riqfinpro",#N/A,FALSE,"Tran"}</definedName>
    <definedName name="aaaaaa" localSheetId="60" hidden="1">{"Riqfin97",#N/A,FALSE,"Tran";"Riqfinpro",#N/A,FALSE,"Tran"}</definedName>
    <definedName name="aaaaaa" hidden="1">{"Riqfin97",#N/A,FALSE,"Tran";"Riqfinpro",#N/A,FALSE,"Tran"}</definedName>
    <definedName name="ab" localSheetId="50">#REF!</definedName>
    <definedName name="ab" localSheetId="47">#REF!</definedName>
    <definedName name="ab" localSheetId="44">#REF!</definedName>
    <definedName name="ab" localSheetId="45">#REF!</definedName>
    <definedName name="ab" localSheetId="46">#REF!</definedName>
    <definedName name="ab" localSheetId="37">#REF!</definedName>
    <definedName name="ab" localSheetId="40">#REF!</definedName>
    <definedName name="ab" localSheetId="54">#REF!</definedName>
    <definedName name="ab" localSheetId="55">#REF!</definedName>
    <definedName name="ab" localSheetId="52">#REF!</definedName>
    <definedName name="ab" localSheetId="51">#REF!</definedName>
    <definedName name="ab" localSheetId="53">#REF!</definedName>
    <definedName name="ab">#REF!</definedName>
    <definedName name="ABIB_Data" localSheetId="50">#REF!</definedName>
    <definedName name="ABIB_Data" localSheetId="47">#REF!</definedName>
    <definedName name="ABIB_Data" localSheetId="44">#REF!</definedName>
    <definedName name="ABIB_Data" localSheetId="45">#REF!</definedName>
    <definedName name="ABIB_Data" localSheetId="46">#REF!</definedName>
    <definedName name="ABIB_Data" localSheetId="37">#REF!</definedName>
    <definedName name="ABIB_Data" localSheetId="40">#REF!</definedName>
    <definedName name="ABIB_Data" localSheetId="54">#REF!</definedName>
    <definedName name="ABIB_Data" localSheetId="55">#REF!</definedName>
    <definedName name="ABIB_Data" localSheetId="52">#REF!</definedName>
    <definedName name="ABIB_Data" localSheetId="51">#REF!</definedName>
    <definedName name="ABIB_Data" localSheetId="53">#REF!</definedName>
    <definedName name="ABIB_Data">#REF!</definedName>
    <definedName name="ABR._89">'[37]#REF'!$G$24:$G$41</definedName>
    <definedName name="abs" localSheetId="34">#REF!</definedName>
    <definedName name="abs" localSheetId="35">#REF!</definedName>
    <definedName name="abs" localSheetId="50">#REF!</definedName>
    <definedName name="abs" localSheetId="15">#REF!</definedName>
    <definedName name="abs" localSheetId="29">#REF!</definedName>
    <definedName name="abs" localSheetId="30">#REF!</definedName>
    <definedName name="abs" localSheetId="47">#REF!</definedName>
    <definedName name="abs" localSheetId="44">#REF!</definedName>
    <definedName name="abs" localSheetId="45">#REF!</definedName>
    <definedName name="abs" localSheetId="46">#REF!</definedName>
    <definedName name="abs" localSheetId="31">#REF!</definedName>
    <definedName name="abs" localSheetId="32">#REF!</definedName>
    <definedName name="abs" localSheetId="33">#REF!</definedName>
    <definedName name="abs" localSheetId="36">#REF!</definedName>
    <definedName name="abs" localSheetId="37">#REF!</definedName>
    <definedName name="abs" localSheetId="38">#REF!</definedName>
    <definedName name="abs" localSheetId="39">#REF!</definedName>
    <definedName name="abs" localSheetId="40">#REF!</definedName>
    <definedName name="abs" localSheetId="54">#REF!</definedName>
    <definedName name="abs" localSheetId="55">#REF!</definedName>
    <definedName name="abs" localSheetId="52">#REF!</definedName>
    <definedName name="abs" localSheetId="23">#REF!</definedName>
    <definedName name="abs" localSheetId="51">#REF!</definedName>
    <definedName name="abs" localSheetId="53">#REF!</definedName>
    <definedName name="abs" localSheetId="20">#REF!</definedName>
    <definedName name="abs">#REF!</definedName>
    <definedName name="AC" localSheetId="50">#REF!</definedName>
    <definedName name="AC" localSheetId="47">#REF!</definedName>
    <definedName name="AC" localSheetId="44">#REF!</definedName>
    <definedName name="AC" localSheetId="45">#REF!</definedName>
    <definedName name="AC" localSheetId="46">#REF!</definedName>
    <definedName name="AC" localSheetId="37">#REF!</definedName>
    <definedName name="AC" localSheetId="40">#REF!</definedName>
    <definedName name="AC" localSheetId="54">#REF!</definedName>
    <definedName name="AC" localSheetId="55">#REF!</definedName>
    <definedName name="AC" localSheetId="52">#REF!</definedName>
    <definedName name="AC" localSheetId="51">#REF!</definedName>
    <definedName name="AC" localSheetId="53">#REF!</definedName>
    <definedName name="AC">#REF!</definedName>
    <definedName name="ACB_Assets_J98" localSheetId="50">#REF!</definedName>
    <definedName name="ACB_Assets_J98" localSheetId="47">#REF!</definedName>
    <definedName name="ACB_Assets_J98" localSheetId="44">#REF!</definedName>
    <definedName name="ACB_Assets_J98" localSheetId="45">#REF!</definedName>
    <definedName name="ACB_Assets_J98" localSheetId="46">#REF!</definedName>
    <definedName name="ACB_Assets_J98" localSheetId="37">#REF!</definedName>
    <definedName name="ACB_Assets_J98" localSheetId="40">#REF!</definedName>
    <definedName name="ACB_Assets_J98" localSheetId="54">#REF!</definedName>
    <definedName name="ACB_Assets_J98" localSheetId="55">#REF!</definedName>
    <definedName name="ACB_Assets_J98" localSheetId="52">#REF!</definedName>
    <definedName name="ACB_Assets_J98" localSheetId="51">#REF!</definedName>
    <definedName name="ACB_Assets_J98" localSheetId="53">#REF!</definedName>
    <definedName name="ACB_Assets_J98">#REF!</definedName>
    <definedName name="ACB_Data" localSheetId="50">#REF!</definedName>
    <definedName name="ACB_Data" localSheetId="47">#REF!</definedName>
    <definedName name="ACB_Data" localSheetId="44">#REF!</definedName>
    <definedName name="ACB_Data" localSheetId="45">#REF!</definedName>
    <definedName name="ACB_Data" localSheetId="46">#REF!</definedName>
    <definedName name="ACB_Data" localSheetId="37">#REF!</definedName>
    <definedName name="ACB_Data" localSheetId="40">#REF!</definedName>
    <definedName name="ACB_Data" localSheetId="54">#REF!</definedName>
    <definedName name="ACB_Data" localSheetId="55">#REF!</definedName>
    <definedName name="ACB_Data" localSheetId="52">#REF!</definedName>
    <definedName name="ACB_Data" localSheetId="51">#REF!</definedName>
    <definedName name="ACB_Data" localSheetId="53">#REF!</definedName>
    <definedName name="ACB_Data">#REF!</definedName>
    <definedName name="ACB_Liquid_Assets" localSheetId="50">#REF!</definedName>
    <definedName name="ACB_Liquid_Assets" localSheetId="47">#REF!</definedName>
    <definedName name="ACB_Liquid_Assets" localSheetId="44">#REF!</definedName>
    <definedName name="ACB_Liquid_Assets" localSheetId="45">#REF!</definedName>
    <definedName name="ACB_Liquid_Assets" localSheetId="46">#REF!</definedName>
    <definedName name="ACB_Liquid_Assets" localSheetId="37">#REF!</definedName>
    <definedName name="ACB_Liquid_Assets" localSheetId="40">#REF!</definedName>
    <definedName name="ACB_Liquid_Assets" localSheetId="54">#REF!</definedName>
    <definedName name="ACB_Liquid_Assets" localSheetId="55">#REF!</definedName>
    <definedName name="ACB_Liquid_Assets" localSheetId="52">#REF!</definedName>
    <definedName name="ACB_Liquid_Assets" localSheetId="51">#REF!</definedName>
    <definedName name="ACB_Liquid_Assets" localSheetId="53">#REF!</definedName>
    <definedName name="ACB_Liquid_Assets">#REF!</definedName>
    <definedName name="account_manager" localSheetId="50">[38]Instructions!#REF!</definedName>
    <definedName name="account_manager" localSheetId="47">[38]Instructions!#REF!</definedName>
    <definedName name="account_manager" localSheetId="44">[38]Instructions!#REF!</definedName>
    <definedName name="account_manager" localSheetId="45">[38]Instructions!#REF!</definedName>
    <definedName name="account_manager" localSheetId="46">[38]Instructions!#REF!</definedName>
    <definedName name="account_manager" localSheetId="37">[38]Instructions!#REF!</definedName>
    <definedName name="account_manager" localSheetId="40">[38]Instructions!#REF!</definedName>
    <definedName name="account_manager" localSheetId="54">[38]Instructions!#REF!</definedName>
    <definedName name="account_manager" localSheetId="55">[38]Instructions!#REF!</definedName>
    <definedName name="account_manager" localSheetId="52">[38]Instructions!#REF!</definedName>
    <definedName name="account_manager" localSheetId="51">[38]Instructions!#REF!</definedName>
    <definedName name="account_manager" localSheetId="53">[38]Instructions!#REF!</definedName>
    <definedName name="account_manager">[38]Instructions!#REF!</definedName>
    <definedName name="AccountAdmin" localSheetId="50">#REF!</definedName>
    <definedName name="AccountAdmin" localSheetId="47">#REF!</definedName>
    <definedName name="AccountAdmin" localSheetId="44">#REF!</definedName>
    <definedName name="AccountAdmin" localSheetId="45">#REF!</definedName>
    <definedName name="AccountAdmin" localSheetId="46">#REF!</definedName>
    <definedName name="AccountAdmin" localSheetId="37">#REF!</definedName>
    <definedName name="AccountAdmin" localSheetId="40">#REF!</definedName>
    <definedName name="AccountAdmin" localSheetId="54">#REF!</definedName>
    <definedName name="AccountAdmin" localSheetId="55">#REF!</definedName>
    <definedName name="AccountAdmin" localSheetId="52">#REF!</definedName>
    <definedName name="AccountAdmin" localSheetId="51">#REF!</definedName>
    <definedName name="AccountAdmin" localSheetId="53">#REF!</definedName>
    <definedName name="AccountAdmin">#REF!</definedName>
    <definedName name="ACT" localSheetId="34">#REF!</definedName>
    <definedName name="ACT" localSheetId="35">#REF!</definedName>
    <definedName name="ACT" localSheetId="50">#REF!</definedName>
    <definedName name="ACT" localSheetId="15">#REF!</definedName>
    <definedName name="ACT" localSheetId="29">#REF!</definedName>
    <definedName name="ACT" localSheetId="30">#REF!</definedName>
    <definedName name="ACT" localSheetId="47">#REF!</definedName>
    <definedName name="ACT" localSheetId="44">#REF!</definedName>
    <definedName name="ACT" localSheetId="45">#REF!</definedName>
    <definedName name="ACT" localSheetId="46">#REF!</definedName>
    <definedName name="ACT" localSheetId="31">#REF!</definedName>
    <definedName name="ACT" localSheetId="32">#REF!</definedName>
    <definedName name="ACT" localSheetId="33">#REF!</definedName>
    <definedName name="ACT" localSheetId="36">#REF!</definedName>
    <definedName name="ACT" localSheetId="37">#REF!</definedName>
    <definedName name="ACT" localSheetId="38">#REF!</definedName>
    <definedName name="ACT" localSheetId="39">#REF!</definedName>
    <definedName name="ACT" localSheetId="40">#REF!</definedName>
    <definedName name="ACT" localSheetId="54">#REF!</definedName>
    <definedName name="ACT" localSheetId="55">#REF!</definedName>
    <definedName name="ACT" localSheetId="52">#REF!</definedName>
    <definedName name="ACT" localSheetId="23">#REF!</definedName>
    <definedName name="ACT" localSheetId="51">#REF!</definedName>
    <definedName name="ACT" localSheetId="53">#REF!</definedName>
    <definedName name="ACT" localSheetId="20">#REF!</definedName>
    <definedName name="ACT">#REF!</definedName>
    <definedName name="Action" localSheetId="50">#REF!</definedName>
    <definedName name="Action" localSheetId="47">#REF!</definedName>
    <definedName name="Action" localSheetId="44">#REF!</definedName>
    <definedName name="Action" localSheetId="45">#REF!</definedName>
    <definedName name="Action" localSheetId="46">#REF!</definedName>
    <definedName name="Action" localSheetId="37">#REF!</definedName>
    <definedName name="Action" localSheetId="40">#REF!</definedName>
    <definedName name="Action" localSheetId="54">#REF!</definedName>
    <definedName name="Action" localSheetId="55">#REF!</definedName>
    <definedName name="Action" localSheetId="52">#REF!</definedName>
    <definedName name="Action" localSheetId="51">#REF!</definedName>
    <definedName name="Action" localSheetId="53">#REF!</definedName>
    <definedName name="Action">#REF!</definedName>
    <definedName name="ActionCodes" localSheetId="50">#REF!</definedName>
    <definedName name="ActionCodes" localSheetId="47">#REF!</definedName>
    <definedName name="ActionCodes" localSheetId="44">#REF!</definedName>
    <definedName name="ActionCodes" localSheetId="45">#REF!</definedName>
    <definedName name="ActionCodes" localSheetId="46">#REF!</definedName>
    <definedName name="ActionCodes" localSheetId="37">#REF!</definedName>
    <definedName name="ActionCodes" localSheetId="40">#REF!</definedName>
    <definedName name="ActionCodes" localSheetId="54">#REF!</definedName>
    <definedName name="ActionCodes" localSheetId="55">#REF!</definedName>
    <definedName name="ActionCodes" localSheetId="52">#REF!</definedName>
    <definedName name="ActionCodes" localSheetId="51">#REF!</definedName>
    <definedName name="ActionCodes" localSheetId="53">#REF!</definedName>
    <definedName name="ActionCodes">#REF!</definedName>
    <definedName name="ActionItems">'[39]Estimation Metrics'!$C$41:$C$52</definedName>
    <definedName name="activas" localSheetId="34">#REF!</definedName>
    <definedName name="activas" localSheetId="35">#REF!</definedName>
    <definedName name="activas" localSheetId="50">#REF!</definedName>
    <definedName name="activas" localSheetId="15">#REF!</definedName>
    <definedName name="activas" localSheetId="29">#REF!</definedName>
    <definedName name="activas" localSheetId="30">#REF!</definedName>
    <definedName name="activas" localSheetId="47">#REF!</definedName>
    <definedName name="activas" localSheetId="44">#REF!</definedName>
    <definedName name="activas" localSheetId="45">#REF!</definedName>
    <definedName name="activas" localSheetId="46">#REF!</definedName>
    <definedName name="activas" localSheetId="31">#REF!</definedName>
    <definedName name="activas" localSheetId="32">#REF!</definedName>
    <definedName name="activas" localSheetId="33">#REF!</definedName>
    <definedName name="activas" localSheetId="36">#REF!</definedName>
    <definedName name="activas" localSheetId="37">#REF!</definedName>
    <definedName name="activas" localSheetId="38">#REF!</definedName>
    <definedName name="activas" localSheetId="39">#REF!</definedName>
    <definedName name="activas" localSheetId="40">#REF!</definedName>
    <definedName name="activas" localSheetId="54">#REF!</definedName>
    <definedName name="activas" localSheetId="55">#REF!</definedName>
    <definedName name="activas" localSheetId="52">#REF!</definedName>
    <definedName name="activas" localSheetId="23">#REF!</definedName>
    <definedName name="activas" localSheetId="51">#REF!</definedName>
    <definedName name="activas" localSheetId="53">#REF!</definedName>
    <definedName name="activas" localSheetId="20">#REF!</definedName>
    <definedName name="activas">#REF!</definedName>
    <definedName name="ACTIVATE" localSheetId="50">#REF!</definedName>
    <definedName name="ACTIVATE" localSheetId="47">#REF!</definedName>
    <definedName name="ACTIVATE" localSheetId="44">#REF!</definedName>
    <definedName name="ACTIVATE" localSheetId="45">#REF!</definedName>
    <definedName name="ACTIVATE" localSheetId="46">#REF!</definedName>
    <definedName name="ACTIVATE" localSheetId="37">#REF!</definedName>
    <definedName name="ACTIVATE" localSheetId="40">#REF!</definedName>
    <definedName name="ACTIVATE" localSheetId="54">#REF!</definedName>
    <definedName name="ACTIVATE" localSheetId="55">#REF!</definedName>
    <definedName name="ACTIVATE" localSheetId="52">#REF!</definedName>
    <definedName name="ACTIVATE" localSheetId="51">#REF!</definedName>
    <definedName name="ACTIVATE" localSheetId="53">#REF!</definedName>
    <definedName name="ACTIVATE">#REF!</definedName>
    <definedName name="ActiveStaff" localSheetId="50">#REF!</definedName>
    <definedName name="ActiveStaff" localSheetId="47">#REF!</definedName>
    <definedName name="ActiveStaff" localSheetId="44">#REF!</definedName>
    <definedName name="ActiveStaff" localSheetId="45">#REF!</definedName>
    <definedName name="ActiveStaff" localSheetId="46">#REF!</definedName>
    <definedName name="ActiveStaff" localSheetId="37">#REF!</definedName>
    <definedName name="ActiveStaff" localSheetId="40">#REF!</definedName>
    <definedName name="ActiveStaff" localSheetId="54">#REF!</definedName>
    <definedName name="ActiveStaff" localSheetId="55">#REF!</definedName>
    <definedName name="ActiveStaff" localSheetId="52">#REF!</definedName>
    <definedName name="ActiveStaff" localSheetId="51">#REF!</definedName>
    <definedName name="ActiveStaff" localSheetId="53">#REF!</definedName>
    <definedName name="ActiveStaff">#REF!</definedName>
    <definedName name="ActType" localSheetId="50">#REF!</definedName>
    <definedName name="ActType" localSheetId="47">#REF!</definedName>
    <definedName name="ActType" localSheetId="44">#REF!</definedName>
    <definedName name="ActType" localSheetId="45">#REF!</definedName>
    <definedName name="ActType" localSheetId="46">#REF!</definedName>
    <definedName name="ActType" localSheetId="37">#REF!</definedName>
    <definedName name="ActType" localSheetId="40">#REF!</definedName>
    <definedName name="ActType" localSheetId="54">#REF!</definedName>
    <definedName name="ActType" localSheetId="55">#REF!</definedName>
    <definedName name="ActType" localSheetId="52">#REF!</definedName>
    <definedName name="ActType" localSheetId="51">#REF!</definedName>
    <definedName name="ActType" localSheetId="53">#REF!</definedName>
    <definedName name="ActType">#REF!</definedName>
    <definedName name="ada" localSheetId="50">[40]Help!#REF!</definedName>
    <definedName name="ada" localSheetId="47">[40]Help!#REF!</definedName>
    <definedName name="ada" localSheetId="44">[40]Help!#REF!</definedName>
    <definedName name="ada" localSheetId="45">[40]Help!#REF!</definedName>
    <definedName name="ada" localSheetId="46">[40]Help!#REF!</definedName>
    <definedName name="ada" localSheetId="37">[40]Help!#REF!</definedName>
    <definedName name="ada" localSheetId="40">[40]Help!#REF!</definedName>
    <definedName name="ada" localSheetId="54">[40]Help!#REF!</definedName>
    <definedName name="ada" localSheetId="55">[40]Help!#REF!</definedName>
    <definedName name="ada" localSheetId="52">[40]Help!#REF!</definedName>
    <definedName name="ada" localSheetId="51">[40]Help!#REF!</definedName>
    <definedName name="ada" localSheetId="53">[40]Help!#REF!</definedName>
    <definedName name="ada">[40]Help!#REF!</definedName>
    <definedName name="add_in_loe">'[41]Add-Ins'!$H$13:$H$35</definedName>
    <definedName name="add_in_track">'[41]Add-Ins'!$C$13:$C$35</definedName>
    <definedName name="addin_instr" localSheetId="50">[40]Help!#REF!</definedName>
    <definedName name="addin_instr" localSheetId="47">[40]Help!#REF!</definedName>
    <definedName name="addin_instr" localSheetId="44">[40]Help!#REF!</definedName>
    <definedName name="addin_instr" localSheetId="45">[40]Help!#REF!</definedName>
    <definedName name="addin_instr" localSheetId="46">[40]Help!#REF!</definedName>
    <definedName name="addin_instr" localSheetId="37">[40]Help!#REF!</definedName>
    <definedName name="addin_instr" localSheetId="40">[40]Help!#REF!</definedName>
    <definedName name="addin_instr" localSheetId="54">[40]Help!#REF!</definedName>
    <definedName name="addin_instr" localSheetId="55">[40]Help!#REF!</definedName>
    <definedName name="addin_instr" localSheetId="52">[40]Help!#REF!</definedName>
    <definedName name="addin_instr" localSheetId="51">[40]Help!#REF!</definedName>
    <definedName name="addin_instr" localSheetId="53">[40]Help!#REF!</definedName>
    <definedName name="addin_instr">[40]Help!#REF!</definedName>
    <definedName name="addin_instr_1" localSheetId="50">[42]Help!#REF!</definedName>
    <definedName name="addin_instr_1" localSheetId="47">[42]Help!#REF!</definedName>
    <definedName name="addin_instr_1" localSheetId="44">[42]Help!#REF!</definedName>
    <definedName name="addin_instr_1" localSheetId="45">[42]Help!#REF!</definedName>
    <definedName name="addin_instr_1" localSheetId="46">[42]Help!#REF!</definedName>
    <definedName name="addin_instr_1" localSheetId="37">[42]Help!#REF!</definedName>
    <definedName name="addin_instr_1" localSheetId="40">[42]Help!#REF!</definedName>
    <definedName name="addin_instr_1" localSheetId="54">[42]Help!#REF!</definedName>
    <definedName name="addin_instr_1" localSheetId="55">[42]Help!#REF!</definedName>
    <definedName name="addin_instr_1" localSheetId="52">[42]Help!#REF!</definedName>
    <definedName name="addin_instr_1" localSheetId="51">[42]Help!#REF!</definedName>
    <definedName name="addin_instr_1" localSheetId="53">[42]Help!#REF!</definedName>
    <definedName name="addin_instr_1">[42]Help!#REF!</definedName>
    <definedName name="addin_instr1" localSheetId="50">[40]Help!#REF!</definedName>
    <definedName name="addin_instr1" localSheetId="47">[40]Help!#REF!</definedName>
    <definedName name="addin_instr1" localSheetId="44">[40]Help!#REF!</definedName>
    <definedName name="addin_instr1" localSheetId="45">[40]Help!#REF!</definedName>
    <definedName name="addin_instr1" localSheetId="46">[40]Help!#REF!</definedName>
    <definedName name="addin_instr1" localSheetId="37">[40]Help!#REF!</definedName>
    <definedName name="addin_instr1" localSheetId="40">[40]Help!#REF!</definedName>
    <definedName name="addin_instr1" localSheetId="54">[40]Help!#REF!</definedName>
    <definedName name="addin_instr1" localSheetId="55">[40]Help!#REF!</definedName>
    <definedName name="addin_instr1" localSheetId="52">[40]Help!#REF!</definedName>
    <definedName name="addin_instr1" localSheetId="51">[40]Help!#REF!</definedName>
    <definedName name="addin_instr1" localSheetId="53">[40]Help!#REF!</definedName>
    <definedName name="addin_instr1">[40]Help!#REF!</definedName>
    <definedName name="addin_loe_exp">'[41]Add-Ins'!$H$9</definedName>
    <definedName name="addin_loe_high" localSheetId="50">'[40]Add-Ins'!#REF!</definedName>
    <definedName name="addin_loe_high" localSheetId="47">'[40]Add-Ins'!#REF!</definedName>
    <definedName name="addin_loe_high" localSheetId="44">'[40]Add-Ins'!#REF!</definedName>
    <definedName name="addin_loe_high" localSheetId="45">'[40]Add-Ins'!#REF!</definedName>
    <definedName name="addin_loe_high" localSheetId="46">'[40]Add-Ins'!#REF!</definedName>
    <definedName name="addin_loe_high" localSheetId="37">'[40]Add-Ins'!#REF!</definedName>
    <definedName name="addin_loe_high" localSheetId="40">'[40]Add-Ins'!#REF!</definedName>
    <definedName name="addin_loe_high" localSheetId="54">'[40]Add-Ins'!#REF!</definedName>
    <definedName name="addin_loe_high" localSheetId="55">'[40]Add-Ins'!#REF!</definedName>
    <definedName name="addin_loe_high" localSheetId="52">'[40]Add-Ins'!#REF!</definedName>
    <definedName name="addin_loe_high" localSheetId="51">'[40]Add-Ins'!#REF!</definedName>
    <definedName name="addin_loe_high" localSheetId="53">'[40]Add-Ins'!#REF!</definedName>
    <definedName name="addin_loe_high">'[40]Add-Ins'!#REF!</definedName>
    <definedName name="addin_loe_high_1" localSheetId="50">[42]Add_Ins!#REF!</definedName>
    <definedName name="addin_loe_high_1" localSheetId="47">[42]Add_Ins!#REF!</definedName>
    <definedName name="addin_loe_high_1" localSheetId="44">[42]Add_Ins!#REF!</definedName>
    <definedName name="addin_loe_high_1" localSheetId="45">[42]Add_Ins!#REF!</definedName>
    <definedName name="addin_loe_high_1" localSheetId="46">[42]Add_Ins!#REF!</definedName>
    <definedName name="addin_loe_high_1" localSheetId="37">[42]Add_Ins!#REF!</definedName>
    <definedName name="addin_loe_high_1" localSheetId="40">[42]Add_Ins!#REF!</definedName>
    <definedName name="addin_loe_high_1" localSheetId="54">[42]Add_Ins!#REF!</definedName>
    <definedName name="addin_loe_high_1" localSheetId="55">[42]Add_Ins!#REF!</definedName>
    <definedName name="addin_loe_high_1" localSheetId="52">[42]Add_Ins!#REF!</definedName>
    <definedName name="addin_loe_high_1" localSheetId="51">[42]Add_Ins!#REF!</definedName>
    <definedName name="addin_loe_high_1" localSheetId="53">[42]Add_Ins!#REF!</definedName>
    <definedName name="addin_loe_high_1">[42]Add_Ins!#REF!</definedName>
    <definedName name="addin_loe_high1" localSheetId="50">'[40]Add-Ins'!#REF!</definedName>
    <definedName name="addin_loe_high1" localSheetId="47">'[40]Add-Ins'!#REF!</definedName>
    <definedName name="addin_loe_high1" localSheetId="44">'[40]Add-Ins'!#REF!</definedName>
    <definedName name="addin_loe_high1" localSheetId="45">'[40]Add-Ins'!#REF!</definedName>
    <definedName name="addin_loe_high1" localSheetId="46">'[40]Add-Ins'!#REF!</definedName>
    <definedName name="addin_loe_high1" localSheetId="37">'[40]Add-Ins'!#REF!</definedName>
    <definedName name="addin_loe_high1" localSheetId="40">'[40]Add-Ins'!#REF!</definedName>
    <definedName name="addin_loe_high1" localSheetId="54">'[40]Add-Ins'!#REF!</definedName>
    <definedName name="addin_loe_high1" localSheetId="55">'[40]Add-Ins'!#REF!</definedName>
    <definedName name="addin_loe_high1" localSheetId="52">'[40]Add-Ins'!#REF!</definedName>
    <definedName name="addin_loe_high1" localSheetId="51">'[40]Add-Ins'!#REF!</definedName>
    <definedName name="addin_loe_high1" localSheetId="53">'[40]Add-Ins'!#REF!</definedName>
    <definedName name="addin_loe_high1">'[40]Add-Ins'!#REF!</definedName>
    <definedName name="addin_loe_low" localSheetId="50">'[40]Add-Ins'!#REF!</definedName>
    <definedName name="addin_loe_low" localSheetId="47">'[40]Add-Ins'!#REF!</definedName>
    <definedName name="addin_loe_low" localSheetId="44">'[40]Add-Ins'!#REF!</definedName>
    <definedName name="addin_loe_low" localSheetId="45">'[40]Add-Ins'!#REF!</definedName>
    <definedName name="addin_loe_low" localSheetId="46">'[40]Add-Ins'!#REF!</definedName>
    <definedName name="addin_loe_low" localSheetId="37">'[40]Add-Ins'!#REF!</definedName>
    <definedName name="addin_loe_low" localSheetId="40">'[40]Add-Ins'!#REF!</definedName>
    <definedName name="addin_loe_low" localSheetId="54">'[40]Add-Ins'!#REF!</definedName>
    <definedName name="addin_loe_low" localSheetId="55">'[40]Add-Ins'!#REF!</definedName>
    <definedName name="addin_loe_low" localSheetId="52">'[40]Add-Ins'!#REF!</definedName>
    <definedName name="addin_loe_low" localSheetId="51">'[40]Add-Ins'!#REF!</definedName>
    <definedName name="addin_loe_low" localSheetId="53">'[40]Add-Ins'!#REF!</definedName>
    <definedName name="addin_loe_low">'[40]Add-Ins'!#REF!</definedName>
    <definedName name="addin_loe_low_1" localSheetId="50">[42]Add_Ins!#REF!</definedName>
    <definedName name="addin_loe_low_1" localSheetId="47">[42]Add_Ins!#REF!</definedName>
    <definedName name="addin_loe_low_1" localSheetId="44">[42]Add_Ins!#REF!</definedName>
    <definedName name="addin_loe_low_1" localSheetId="45">[42]Add_Ins!#REF!</definedName>
    <definedName name="addin_loe_low_1" localSheetId="46">[42]Add_Ins!#REF!</definedName>
    <definedName name="addin_loe_low_1" localSheetId="37">[42]Add_Ins!#REF!</definedName>
    <definedName name="addin_loe_low_1" localSheetId="40">[42]Add_Ins!#REF!</definedName>
    <definedName name="addin_loe_low_1" localSheetId="54">[42]Add_Ins!#REF!</definedName>
    <definedName name="addin_loe_low_1" localSheetId="55">[42]Add_Ins!#REF!</definedName>
    <definedName name="addin_loe_low_1" localSheetId="52">[42]Add_Ins!#REF!</definedName>
    <definedName name="addin_loe_low_1" localSheetId="51">[42]Add_Ins!#REF!</definedName>
    <definedName name="addin_loe_low_1" localSheetId="53">[42]Add_Ins!#REF!</definedName>
    <definedName name="addin_loe_low_1">[42]Add_Ins!#REF!</definedName>
    <definedName name="addin_loe_low1" localSheetId="50">'[40]Add-Ins'!#REF!</definedName>
    <definedName name="addin_loe_low1" localSheetId="47">'[40]Add-Ins'!#REF!</definedName>
    <definedName name="addin_loe_low1" localSheetId="44">'[40]Add-Ins'!#REF!</definedName>
    <definedName name="addin_loe_low1" localSheetId="45">'[40]Add-Ins'!#REF!</definedName>
    <definedName name="addin_loe_low1" localSheetId="46">'[40]Add-Ins'!#REF!</definedName>
    <definedName name="addin_loe_low1" localSheetId="37">'[40]Add-Ins'!#REF!</definedName>
    <definedName name="addin_loe_low1" localSheetId="40">'[40]Add-Ins'!#REF!</definedName>
    <definedName name="addin_loe_low1" localSheetId="54">'[40]Add-Ins'!#REF!</definedName>
    <definedName name="addin_loe_low1" localSheetId="55">'[40]Add-Ins'!#REF!</definedName>
    <definedName name="addin_loe_low1" localSheetId="52">'[40]Add-Ins'!#REF!</definedName>
    <definedName name="addin_loe_low1" localSheetId="51">'[40]Add-Ins'!#REF!</definedName>
    <definedName name="addin_loe_low1" localSheetId="53">'[40]Add-Ins'!#REF!</definedName>
    <definedName name="addin_loe_low1">'[40]Add-Ins'!#REF!</definedName>
    <definedName name="addin_loe_mlkly" localSheetId="50">'[40]Add-Ins'!#REF!</definedName>
    <definedName name="addin_loe_mlkly" localSheetId="47">'[40]Add-Ins'!#REF!</definedName>
    <definedName name="addin_loe_mlkly" localSheetId="44">'[40]Add-Ins'!#REF!</definedName>
    <definedName name="addin_loe_mlkly" localSheetId="45">'[40]Add-Ins'!#REF!</definedName>
    <definedName name="addin_loe_mlkly" localSheetId="46">'[40]Add-Ins'!#REF!</definedName>
    <definedName name="addin_loe_mlkly" localSheetId="37">'[40]Add-Ins'!#REF!</definedName>
    <definedName name="addin_loe_mlkly" localSheetId="40">'[40]Add-Ins'!#REF!</definedName>
    <definedName name="addin_loe_mlkly" localSheetId="54">'[40]Add-Ins'!#REF!</definedName>
    <definedName name="addin_loe_mlkly" localSheetId="55">'[40]Add-Ins'!#REF!</definedName>
    <definedName name="addin_loe_mlkly" localSheetId="52">'[40]Add-Ins'!#REF!</definedName>
    <definedName name="addin_loe_mlkly" localSheetId="51">'[40]Add-Ins'!#REF!</definedName>
    <definedName name="addin_loe_mlkly" localSheetId="53">'[40]Add-Ins'!#REF!</definedName>
    <definedName name="addin_loe_mlkly">'[40]Add-Ins'!#REF!</definedName>
    <definedName name="addin_loe_mlkly_1" localSheetId="50">[42]Add_Ins!#REF!</definedName>
    <definedName name="addin_loe_mlkly_1" localSheetId="47">[42]Add_Ins!#REF!</definedName>
    <definedName name="addin_loe_mlkly_1" localSheetId="44">[42]Add_Ins!#REF!</definedName>
    <definedName name="addin_loe_mlkly_1" localSheetId="45">[42]Add_Ins!#REF!</definedName>
    <definedName name="addin_loe_mlkly_1" localSheetId="46">[42]Add_Ins!#REF!</definedName>
    <definedName name="addin_loe_mlkly_1" localSheetId="37">[42]Add_Ins!#REF!</definedName>
    <definedName name="addin_loe_mlkly_1" localSheetId="40">[42]Add_Ins!#REF!</definedName>
    <definedName name="addin_loe_mlkly_1" localSheetId="54">[42]Add_Ins!#REF!</definedName>
    <definedName name="addin_loe_mlkly_1" localSheetId="55">[42]Add_Ins!#REF!</definedName>
    <definedName name="addin_loe_mlkly_1" localSheetId="52">[42]Add_Ins!#REF!</definedName>
    <definedName name="addin_loe_mlkly_1" localSheetId="51">[42]Add_Ins!#REF!</definedName>
    <definedName name="addin_loe_mlkly_1" localSheetId="53">[42]Add_Ins!#REF!</definedName>
    <definedName name="addin_loe_mlkly_1">[42]Add_Ins!#REF!</definedName>
    <definedName name="addin_loe_mlkly1" localSheetId="50">'[40]Add-Ins'!#REF!</definedName>
    <definedName name="addin_loe_mlkly1" localSheetId="47">'[40]Add-Ins'!#REF!</definedName>
    <definedName name="addin_loe_mlkly1" localSheetId="44">'[40]Add-Ins'!#REF!</definedName>
    <definedName name="addin_loe_mlkly1" localSheetId="45">'[40]Add-Ins'!#REF!</definedName>
    <definedName name="addin_loe_mlkly1" localSheetId="46">'[40]Add-Ins'!#REF!</definedName>
    <definedName name="addin_loe_mlkly1" localSheetId="37">'[40]Add-Ins'!#REF!</definedName>
    <definedName name="addin_loe_mlkly1" localSheetId="40">'[40]Add-Ins'!#REF!</definedName>
    <definedName name="addin_loe_mlkly1" localSheetId="54">'[40]Add-Ins'!#REF!</definedName>
    <definedName name="addin_loe_mlkly1" localSheetId="55">'[40]Add-Ins'!#REF!</definedName>
    <definedName name="addin_loe_mlkly1" localSheetId="52">'[40]Add-Ins'!#REF!</definedName>
    <definedName name="addin_loe_mlkly1" localSheetId="51">'[40]Add-Ins'!#REF!</definedName>
    <definedName name="addin_loe_mlkly1" localSheetId="53">'[40]Add-Ins'!#REF!</definedName>
    <definedName name="addin_loe_mlkly1">'[40]Add-Ins'!#REF!</definedName>
    <definedName name="addins_last_row" localSheetId="50">#REF!</definedName>
    <definedName name="addins_last_row" localSheetId="47">#REF!</definedName>
    <definedName name="addins_last_row" localSheetId="44">#REF!</definedName>
    <definedName name="addins_last_row" localSheetId="45">#REF!</definedName>
    <definedName name="addins_last_row" localSheetId="46">#REF!</definedName>
    <definedName name="addins_last_row" localSheetId="37">#REF!</definedName>
    <definedName name="addins_last_row" localSheetId="40">#REF!</definedName>
    <definedName name="addins_last_row" localSheetId="54">#REF!</definedName>
    <definedName name="addins_last_row" localSheetId="55">#REF!</definedName>
    <definedName name="addins_last_row" localSheetId="52">#REF!</definedName>
    <definedName name="addins_last_row" localSheetId="51">#REF!</definedName>
    <definedName name="addins_last_row" localSheetId="53">#REF!</definedName>
    <definedName name="addins_last_row">#REF!</definedName>
    <definedName name="aen1ycred1">[26]Programa!$A$117:$U$197</definedName>
    <definedName name="aen2ycred2">[26]Programa!$A$528:$U$608</definedName>
    <definedName name="AgeValues" localSheetId="50">#REF!</definedName>
    <definedName name="AgeValues" localSheetId="47">#REF!</definedName>
    <definedName name="AgeValues" localSheetId="44">#REF!</definedName>
    <definedName name="AgeValues" localSheetId="45">#REF!</definedName>
    <definedName name="AgeValues" localSheetId="46">#REF!</definedName>
    <definedName name="AgeValues" localSheetId="37">#REF!</definedName>
    <definedName name="AgeValues" localSheetId="40">#REF!</definedName>
    <definedName name="AgeValues" localSheetId="54">#REF!</definedName>
    <definedName name="AgeValues" localSheetId="55">#REF!</definedName>
    <definedName name="AgeValues" localSheetId="52">#REF!</definedName>
    <definedName name="AgeValues" localSheetId="51">#REF!</definedName>
    <definedName name="AgeValues" localSheetId="53">#REF!</definedName>
    <definedName name="AgeValues">#REF!</definedName>
    <definedName name="aghsrgh" localSheetId="50">'[40]Add-Ins'!#REF!</definedName>
    <definedName name="aghsrgh" localSheetId="47">'[40]Add-Ins'!#REF!</definedName>
    <definedName name="aghsrgh" localSheetId="44">'[40]Add-Ins'!#REF!</definedName>
    <definedName name="aghsrgh" localSheetId="45">'[40]Add-Ins'!#REF!</definedName>
    <definedName name="aghsrgh" localSheetId="46">'[40]Add-Ins'!#REF!</definedName>
    <definedName name="aghsrgh" localSheetId="37">'[40]Add-Ins'!#REF!</definedName>
    <definedName name="aghsrgh" localSheetId="40">'[40]Add-Ins'!#REF!</definedName>
    <definedName name="aghsrgh" localSheetId="54">'[40]Add-Ins'!#REF!</definedName>
    <definedName name="aghsrgh" localSheetId="55">'[40]Add-Ins'!#REF!</definedName>
    <definedName name="aghsrgh" localSheetId="52">'[40]Add-Ins'!#REF!</definedName>
    <definedName name="aghsrgh" localSheetId="51">'[40]Add-Ins'!#REF!</definedName>
    <definedName name="aghsrgh" localSheetId="53">'[40]Add-Ins'!#REF!</definedName>
    <definedName name="aghsrgh">'[40]Add-Ins'!#REF!</definedName>
    <definedName name="AGO._89" localSheetId="34">#REF!</definedName>
    <definedName name="AGO._89" localSheetId="35">#REF!</definedName>
    <definedName name="AGO._89" localSheetId="50">#REF!</definedName>
    <definedName name="AGO._89" localSheetId="15">#REF!</definedName>
    <definedName name="AGO._89" localSheetId="29">#REF!</definedName>
    <definedName name="AGO._89" localSheetId="30">#REF!</definedName>
    <definedName name="AGO._89" localSheetId="47">#REF!</definedName>
    <definedName name="AGO._89" localSheetId="44">#REF!</definedName>
    <definedName name="AGO._89" localSheetId="45">#REF!</definedName>
    <definedName name="AGO._89" localSheetId="46">#REF!</definedName>
    <definedName name="AGO._89" localSheetId="31">#REF!</definedName>
    <definedName name="AGO._89" localSheetId="32">#REF!</definedName>
    <definedName name="AGO._89" localSheetId="33">#REF!</definedName>
    <definedName name="AGO._89" localSheetId="36">#REF!</definedName>
    <definedName name="AGO._89" localSheetId="37">#REF!</definedName>
    <definedName name="AGO._89" localSheetId="38">#REF!</definedName>
    <definedName name="AGO._89" localSheetId="39">#REF!</definedName>
    <definedName name="AGO._89" localSheetId="40">#REF!</definedName>
    <definedName name="AGO._89" localSheetId="54">#REF!</definedName>
    <definedName name="AGO._89" localSheetId="55">#REF!</definedName>
    <definedName name="AGO._89" localSheetId="52">#REF!</definedName>
    <definedName name="AGO._89" localSheetId="23">#REF!</definedName>
    <definedName name="AGO._89" localSheetId="51">#REF!</definedName>
    <definedName name="AGO._89" localSheetId="53">#REF!</definedName>
    <definedName name="AGO._89" localSheetId="20">#REF!</definedName>
    <definedName name="AGO._89">#REF!</definedName>
    <definedName name="AgreementType" localSheetId="50">#REF!</definedName>
    <definedName name="AgreementType" localSheetId="47">#REF!</definedName>
    <definedName name="AgreementType" localSheetId="44">#REF!</definedName>
    <definedName name="AgreementType" localSheetId="45">#REF!</definedName>
    <definedName name="AgreementType" localSheetId="46">#REF!</definedName>
    <definedName name="AgreementType" localSheetId="37">#REF!</definedName>
    <definedName name="AgreementType" localSheetId="40">#REF!</definedName>
    <definedName name="AgreementType" localSheetId="54">#REF!</definedName>
    <definedName name="AgreementType" localSheetId="55">#REF!</definedName>
    <definedName name="AgreementType" localSheetId="52">#REF!</definedName>
    <definedName name="AgreementType" localSheetId="51">#REF!</definedName>
    <definedName name="AgreementType" localSheetId="53">#REF!</definedName>
    <definedName name="AgreementType">#REF!</definedName>
    <definedName name="agriculture" localSheetId="58">#REF!</definedName>
    <definedName name="agriculture" localSheetId="34">#REF!</definedName>
    <definedName name="agriculture" localSheetId="35">#REF!</definedName>
    <definedName name="agriculture" localSheetId="50">#REF!</definedName>
    <definedName name="agriculture" localSheetId="15">#REF!</definedName>
    <definedName name="agriculture" localSheetId="27">#REF!</definedName>
    <definedName name="agriculture" localSheetId="24">#REF!</definedName>
    <definedName name="agriculture" localSheetId="26">#REF!</definedName>
    <definedName name="agriculture" localSheetId="29">#REF!</definedName>
    <definedName name="agriculture" localSheetId="42">#REF!</definedName>
    <definedName name="agriculture" localSheetId="30">#REF!</definedName>
    <definedName name="agriculture" localSheetId="47">#REF!</definedName>
    <definedName name="agriculture" localSheetId="44">#REF!</definedName>
    <definedName name="agriculture" localSheetId="45">#REF!</definedName>
    <definedName name="agriculture" localSheetId="46">#REF!</definedName>
    <definedName name="agriculture" localSheetId="31">#REF!</definedName>
    <definedName name="agriculture" localSheetId="32">#REF!</definedName>
    <definedName name="agriculture" localSheetId="33">#REF!</definedName>
    <definedName name="agriculture" localSheetId="59">#REF!</definedName>
    <definedName name="agriculture" localSheetId="36">#REF!</definedName>
    <definedName name="agriculture" localSheetId="37">#REF!</definedName>
    <definedName name="agriculture" localSheetId="38">#REF!</definedName>
    <definedName name="agriculture" localSheetId="39">#REF!</definedName>
    <definedName name="agriculture" localSheetId="40">#REF!</definedName>
    <definedName name="agriculture" localSheetId="25">#REF!</definedName>
    <definedName name="agriculture" localSheetId="54">#REF!</definedName>
    <definedName name="agriculture" localSheetId="55">#REF!</definedName>
    <definedName name="agriculture" localSheetId="52">#REF!</definedName>
    <definedName name="agriculture" localSheetId="23">#REF!</definedName>
    <definedName name="agriculture" localSheetId="51">#REF!</definedName>
    <definedName name="agriculture" localSheetId="12">#REF!</definedName>
    <definedName name="agriculture" localSheetId="53">#REF!</definedName>
    <definedName name="agriculture" localSheetId="60">#REF!</definedName>
    <definedName name="agriculture" localSheetId="20">#REF!</definedName>
    <definedName name="agriculture">#REF!</definedName>
    <definedName name="ahme2000">[26]Programa!$BH$27</definedName>
    <definedName name="ahme98" localSheetId="34">[27]Programa!#REF!</definedName>
    <definedName name="ahme98" localSheetId="35">[27]Programa!#REF!</definedName>
    <definedName name="ahme98" localSheetId="50">[27]Programa!#REF!</definedName>
    <definedName name="ahme98" localSheetId="15">[27]Programa!#REF!</definedName>
    <definedName name="ahme98" localSheetId="29">[27]Programa!#REF!</definedName>
    <definedName name="ahme98" localSheetId="30">[27]Programa!#REF!</definedName>
    <definedName name="ahme98" localSheetId="47">[27]Programa!#REF!</definedName>
    <definedName name="ahme98" localSheetId="44">[27]Programa!#REF!</definedName>
    <definedName name="ahme98" localSheetId="45">[27]Programa!#REF!</definedName>
    <definedName name="ahme98" localSheetId="46">[27]Programa!#REF!</definedName>
    <definedName name="ahme98" localSheetId="31">[27]Programa!#REF!</definedName>
    <definedName name="ahme98" localSheetId="32">[27]Programa!#REF!</definedName>
    <definedName name="ahme98" localSheetId="33">[27]Programa!#REF!</definedName>
    <definedName name="ahme98" localSheetId="36">[27]Programa!#REF!</definedName>
    <definedName name="ahme98" localSheetId="37">[27]Programa!#REF!</definedName>
    <definedName name="ahme98" localSheetId="38">[27]Programa!#REF!</definedName>
    <definedName name="ahme98" localSheetId="39">[27]Programa!#REF!</definedName>
    <definedName name="ahme98" localSheetId="40">[27]Programa!#REF!</definedName>
    <definedName name="ahme98" localSheetId="54">[27]Programa!#REF!</definedName>
    <definedName name="ahme98" localSheetId="55">[27]Programa!#REF!</definedName>
    <definedName name="ahme98" localSheetId="52">[27]Programa!#REF!</definedName>
    <definedName name="ahme98" localSheetId="23">[27]Programa!#REF!</definedName>
    <definedName name="ahme98" localSheetId="51">[27]Programa!#REF!</definedName>
    <definedName name="ahme98" localSheetId="53">[27]Programa!#REF!</definedName>
    <definedName name="ahme98" localSheetId="20">[27]Programa!#REF!</definedName>
    <definedName name="ahme98">[27]Programa!#REF!</definedName>
    <definedName name="ahme98s">[26]Programa!$AW$27</definedName>
    <definedName name="ahme99">[26]Programa!$AU$27</definedName>
    <definedName name="ahome">[26]Programa!$U$27</definedName>
    <definedName name="ahome98" localSheetId="34">[26]Programa!#REF!</definedName>
    <definedName name="ahome98" localSheetId="35">[26]Programa!#REF!</definedName>
    <definedName name="ahome98" localSheetId="50">[26]Programa!#REF!</definedName>
    <definedName name="ahome98" localSheetId="15">[26]Programa!#REF!</definedName>
    <definedName name="ahome98" localSheetId="29">[26]Programa!#REF!</definedName>
    <definedName name="ahome98" localSheetId="30">[26]Programa!#REF!</definedName>
    <definedName name="ahome98" localSheetId="47">[26]Programa!#REF!</definedName>
    <definedName name="ahome98" localSheetId="44">[26]Programa!#REF!</definedName>
    <definedName name="ahome98" localSheetId="45">[26]Programa!#REF!</definedName>
    <definedName name="ahome98" localSheetId="46">[26]Programa!#REF!</definedName>
    <definedName name="ahome98" localSheetId="31">[26]Programa!#REF!</definedName>
    <definedName name="ahome98" localSheetId="32">[26]Programa!#REF!</definedName>
    <definedName name="ahome98" localSheetId="33">[26]Programa!#REF!</definedName>
    <definedName name="ahome98" localSheetId="36">[26]Programa!#REF!</definedName>
    <definedName name="ahome98" localSheetId="37">[26]Programa!#REF!</definedName>
    <definedName name="ahome98" localSheetId="38">[26]Programa!#REF!</definedName>
    <definedName name="ahome98" localSheetId="39">[26]Programa!#REF!</definedName>
    <definedName name="ahome98" localSheetId="40">[26]Programa!#REF!</definedName>
    <definedName name="ahome98" localSheetId="54">[26]Programa!#REF!</definedName>
    <definedName name="ahome98" localSheetId="55">[26]Programa!#REF!</definedName>
    <definedName name="ahome98" localSheetId="52">[26]Programa!#REF!</definedName>
    <definedName name="ahome98" localSheetId="23">[26]Programa!#REF!</definedName>
    <definedName name="ahome98" localSheetId="51">[26]Programa!#REF!</definedName>
    <definedName name="ahome98" localSheetId="53">[26]Programa!#REF!</definedName>
    <definedName name="ahome98" localSheetId="20">[26]Programa!#REF!</definedName>
    <definedName name="ahome98">[26]Programa!#REF!</definedName>
    <definedName name="ahome98j" localSheetId="34">[27]Programa!#REF!</definedName>
    <definedName name="ahome98j" localSheetId="35">[27]Programa!#REF!</definedName>
    <definedName name="ahome98j" localSheetId="50">[27]Programa!#REF!</definedName>
    <definedName name="ahome98j" localSheetId="15">[27]Programa!#REF!</definedName>
    <definedName name="ahome98j" localSheetId="29">[27]Programa!#REF!</definedName>
    <definedName name="ahome98j" localSheetId="30">[27]Programa!#REF!</definedName>
    <definedName name="ahome98j" localSheetId="47">[27]Programa!#REF!</definedName>
    <definedName name="ahome98j" localSheetId="44">[27]Programa!#REF!</definedName>
    <definedName name="ahome98j" localSheetId="45">[27]Programa!#REF!</definedName>
    <definedName name="ahome98j" localSheetId="46">[27]Programa!#REF!</definedName>
    <definedName name="ahome98j" localSheetId="31">[27]Programa!#REF!</definedName>
    <definedName name="ahome98j" localSheetId="32">[27]Programa!#REF!</definedName>
    <definedName name="ahome98j" localSheetId="33">[27]Programa!#REF!</definedName>
    <definedName name="ahome98j" localSheetId="36">[27]Programa!#REF!</definedName>
    <definedName name="ahome98j" localSheetId="37">[27]Programa!#REF!</definedName>
    <definedName name="ahome98j" localSheetId="38">[27]Programa!#REF!</definedName>
    <definedName name="ahome98j" localSheetId="39">[27]Programa!#REF!</definedName>
    <definedName name="ahome98j" localSheetId="40">[27]Programa!#REF!</definedName>
    <definedName name="ahome98j" localSheetId="54">[27]Programa!#REF!</definedName>
    <definedName name="ahome98j" localSheetId="55">[27]Programa!#REF!</definedName>
    <definedName name="ahome98j" localSheetId="52">[27]Programa!#REF!</definedName>
    <definedName name="ahome98j" localSheetId="23">[27]Programa!#REF!</definedName>
    <definedName name="ahome98j" localSheetId="51">[27]Programa!#REF!</definedName>
    <definedName name="ahome98j" localSheetId="53">[27]Programa!#REF!</definedName>
    <definedName name="ahome98j" localSheetId="20">[27]Programa!#REF!</definedName>
    <definedName name="ahome98j">[27]Programa!#REF!</definedName>
    <definedName name="ahorro">[26]Programa!$U$20</definedName>
    <definedName name="ahorro2000">[26]Programa!$BH$20</definedName>
    <definedName name="ahorro2001">[43]Programa!$AN$18</definedName>
    <definedName name="ahorro98" localSheetId="34">[26]Programa!#REF!</definedName>
    <definedName name="ahorro98" localSheetId="35">[26]Programa!#REF!</definedName>
    <definedName name="ahorro98" localSheetId="50">[26]Programa!#REF!</definedName>
    <definedName name="ahorro98" localSheetId="15">[26]Programa!#REF!</definedName>
    <definedName name="ahorro98" localSheetId="29">[26]Programa!#REF!</definedName>
    <definedName name="ahorro98" localSheetId="30">[26]Programa!#REF!</definedName>
    <definedName name="ahorro98" localSheetId="47">[26]Programa!#REF!</definedName>
    <definedName name="ahorro98" localSheetId="44">[26]Programa!#REF!</definedName>
    <definedName name="ahorro98" localSheetId="45">[26]Programa!#REF!</definedName>
    <definedName name="ahorro98" localSheetId="46">[26]Programa!#REF!</definedName>
    <definedName name="ahorro98" localSheetId="31">[26]Programa!#REF!</definedName>
    <definedName name="ahorro98" localSheetId="32">[26]Programa!#REF!</definedName>
    <definedName name="ahorro98" localSheetId="33">[26]Programa!#REF!</definedName>
    <definedName name="ahorro98" localSheetId="36">[26]Programa!#REF!</definedName>
    <definedName name="ahorro98" localSheetId="37">[26]Programa!#REF!</definedName>
    <definedName name="ahorro98" localSheetId="38">[26]Programa!#REF!</definedName>
    <definedName name="ahorro98" localSheetId="39">[26]Programa!#REF!</definedName>
    <definedName name="ahorro98" localSheetId="40">[26]Programa!#REF!</definedName>
    <definedName name="ahorro98" localSheetId="54">[26]Programa!#REF!</definedName>
    <definedName name="ahorro98" localSheetId="55">[26]Programa!#REF!</definedName>
    <definedName name="ahorro98" localSheetId="52">[26]Programa!#REF!</definedName>
    <definedName name="ahorro98" localSheetId="23">[26]Programa!#REF!</definedName>
    <definedName name="ahorro98" localSheetId="51">[26]Programa!#REF!</definedName>
    <definedName name="ahorro98" localSheetId="53">[26]Programa!#REF!</definedName>
    <definedName name="ahorro98" localSheetId="20">[26]Programa!#REF!</definedName>
    <definedName name="ahorro98">[26]Programa!#REF!</definedName>
    <definedName name="ahorro98j" localSheetId="34">[26]Programa!#REF!</definedName>
    <definedName name="ahorro98j" localSheetId="35">[26]Programa!#REF!</definedName>
    <definedName name="ahorro98j" localSheetId="50">[26]Programa!#REF!</definedName>
    <definedName name="ahorro98j" localSheetId="15">[26]Programa!#REF!</definedName>
    <definedName name="ahorro98j" localSheetId="29">[26]Programa!#REF!</definedName>
    <definedName name="ahorro98j" localSheetId="30">[26]Programa!#REF!</definedName>
    <definedName name="ahorro98j" localSheetId="47">[26]Programa!#REF!</definedName>
    <definedName name="ahorro98j" localSheetId="44">[26]Programa!#REF!</definedName>
    <definedName name="ahorro98j" localSheetId="45">[26]Programa!#REF!</definedName>
    <definedName name="ahorro98j" localSheetId="46">[26]Programa!#REF!</definedName>
    <definedName name="ahorro98j" localSheetId="31">[26]Programa!#REF!</definedName>
    <definedName name="ahorro98j" localSheetId="32">[26]Programa!#REF!</definedName>
    <definedName name="ahorro98j" localSheetId="33">[26]Programa!#REF!</definedName>
    <definedName name="ahorro98j" localSheetId="36">[26]Programa!#REF!</definedName>
    <definedName name="ahorro98j" localSheetId="37">[26]Programa!#REF!</definedName>
    <definedName name="ahorro98j" localSheetId="38">[26]Programa!#REF!</definedName>
    <definedName name="ahorro98j" localSheetId="39">[26]Programa!#REF!</definedName>
    <definedName name="ahorro98j" localSheetId="40">[26]Programa!#REF!</definedName>
    <definedName name="ahorro98j" localSheetId="54">[26]Programa!#REF!</definedName>
    <definedName name="ahorro98j" localSheetId="55">[26]Programa!#REF!</definedName>
    <definedName name="ahorro98j" localSheetId="52">[26]Programa!#REF!</definedName>
    <definedName name="ahorro98j" localSheetId="23">[26]Programa!#REF!</definedName>
    <definedName name="ahorro98j" localSheetId="51">[26]Programa!#REF!</definedName>
    <definedName name="ahorro98j" localSheetId="53">[26]Programa!#REF!</definedName>
    <definedName name="ahorro98j" localSheetId="20">[26]Programa!#REF!</definedName>
    <definedName name="ahorro98j">[26]Programa!#REF!</definedName>
    <definedName name="ahorro98s">[26]Programa!$AW$20</definedName>
    <definedName name="ahorro99">[26]Programa!$AU$20</definedName>
    <definedName name="AI" localSheetId="34">#REF!</definedName>
    <definedName name="AI" localSheetId="35">#REF!</definedName>
    <definedName name="AI" localSheetId="50">#REF!</definedName>
    <definedName name="AI" localSheetId="15">#REF!</definedName>
    <definedName name="AI" localSheetId="29">#REF!</definedName>
    <definedName name="AI" localSheetId="30">#REF!</definedName>
    <definedName name="AI" localSheetId="47">#REF!</definedName>
    <definedName name="AI" localSheetId="44">#REF!</definedName>
    <definedName name="AI" localSheetId="45">#REF!</definedName>
    <definedName name="AI" localSheetId="46">#REF!</definedName>
    <definedName name="AI" localSheetId="31">#REF!</definedName>
    <definedName name="AI" localSheetId="32">#REF!</definedName>
    <definedName name="AI" localSheetId="33">#REF!</definedName>
    <definedName name="AI" localSheetId="36">#REF!</definedName>
    <definedName name="AI" localSheetId="37">#REF!</definedName>
    <definedName name="AI" localSheetId="38">#REF!</definedName>
    <definedName name="AI" localSheetId="39">#REF!</definedName>
    <definedName name="AI" localSheetId="40">#REF!</definedName>
    <definedName name="AI" localSheetId="54">#REF!</definedName>
    <definedName name="AI" localSheetId="55">#REF!</definedName>
    <definedName name="AI" localSheetId="52">#REF!</definedName>
    <definedName name="AI" localSheetId="23">#REF!</definedName>
    <definedName name="AI" localSheetId="51">#REF!</definedName>
    <definedName name="AI" localSheetId="53">#REF!</definedName>
    <definedName name="AI" localSheetId="20">#REF!</definedName>
    <definedName name="AI">#REF!</definedName>
    <definedName name="AJU00" localSheetId="34">#REF!</definedName>
    <definedName name="AJU00" localSheetId="35">#REF!</definedName>
    <definedName name="AJU00" localSheetId="50">#REF!</definedName>
    <definedName name="AJU00" localSheetId="15">#REF!</definedName>
    <definedName name="AJU00" localSheetId="29">#REF!</definedName>
    <definedName name="AJU00" localSheetId="30">#REF!</definedName>
    <definedName name="AJU00" localSheetId="47">#REF!</definedName>
    <definedName name="AJU00" localSheetId="44">#REF!</definedName>
    <definedName name="AJU00" localSheetId="45">#REF!</definedName>
    <definedName name="AJU00" localSheetId="46">#REF!</definedName>
    <definedName name="AJU00" localSheetId="31">#REF!</definedName>
    <definedName name="AJU00" localSheetId="32">#REF!</definedName>
    <definedName name="AJU00" localSheetId="33">#REF!</definedName>
    <definedName name="AJU00" localSheetId="36">#REF!</definedName>
    <definedName name="AJU00" localSheetId="37">#REF!</definedName>
    <definedName name="AJU00" localSheetId="38">#REF!</definedName>
    <definedName name="AJU00" localSheetId="39">#REF!</definedName>
    <definedName name="AJU00" localSheetId="40">#REF!</definedName>
    <definedName name="AJU00" localSheetId="54">#REF!</definedName>
    <definedName name="AJU00" localSheetId="55">#REF!</definedName>
    <definedName name="AJU00" localSheetId="52">#REF!</definedName>
    <definedName name="AJU00" localSheetId="23">#REF!</definedName>
    <definedName name="AJU00" localSheetId="51">#REF!</definedName>
    <definedName name="AJU00" localSheetId="53">#REF!</definedName>
    <definedName name="AJU00" localSheetId="20">#REF!</definedName>
    <definedName name="AJU00">#REF!</definedName>
    <definedName name="AJUV00" localSheetId="34">#REF!</definedName>
    <definedName name="AJUV00" localSheetId="35">#REF!</definedName>
    <definedName name="AJUV00" localSheetId="50">#REF!</definedName>
    <definedName name="AJUV00" localSheetId="15">#REF!</definedName>
    <definedName name="AJUV00" localSheetId="29">#REF!</definedName>
    <definedName name="AJUV00" localSheetId="30">#REF!</definedName>
    <definedName name="AJUV00" localSheetId="47">#REF!</definedName>
    <definedName name="AJUV00" localSheetId="44">#REF!</definedName>
    <definedName name="AJUV00" localSheetId="45">#REF!</definedName>
    <definedName name="AJUV00" localSheetId="46">#REF!</definedName>
    <definedName name="AJUV00" localSheetId="31">#REF!</definedName>
    <definedName name="AJUV00" localSheetId="32">#REF!</definedName>
    <definedName name="AJUV00" localSheetId="33">#REF!</definedName>
    <definedName name="AJUV00" localSheetId="36">#REF!</definedName>
    <definedName name="AJUV00" localSheetId="37">#REF!</definedName>
    <definedName name="AJUV00" localSheetId="38">#REF!</definedName>
    <definedName name="AJUV00" localSheetId="39">#REF!</definedName>
    <definedName name="AJUV00" localSheetId="40">#REF!</definedName>
    <definedName name="AJUV00" localSheetId="54">#REF!</definedName>
    <definedName name="AJUV00" localSheetId="55">#REF!</definedName>
    <definedName name="AJUV00" localSheetId="52">#REF!</definedName>
    <definedName name="AJUV00" localSheetId="23">#REF!</definedName>
    <definedName name="AJUV00" localSheetId="51">#REF!</definedName>
    <definedName name="AJUV00" localSheetId="53">#REF!</definedName>
    <definedName name="AJUV00" localSheetId="20">#REF!</definedName>
    <definedName name="AJUV00">#REF!</definedName>
    <definedName name="AJUV97" localSheetId="34">#REF!</definedName>
    <definedName name="AJUV97" localSheetId="35">#REF!</definedName>
    <definedName name="AJUV97" localSheetId="50">#REF!</definedName>
    <definedName name="AJUV97" localSheetId="15">#REF!</definedName>
    <definedName name="AJUV97" localSheetId="29">#REF!</definedName>
    <definedName name="AJUV97" localSheetId="30">#REF!</definedName>
    <definedName name="AJUV97" localSheetId="47">#REF!</definedName>
    <definedName name="AJUV97" localSheetId="44">#REF!</definedName>
    <definedName name="AJUV97" localSheetId="45">#REF!</definedName>
    <definedName name="AJUV97" localSheetId="46">#REF!</definedName>
    <definedName name="AJUV97" localSheetId="31">#REF!</definedName>
    <definedName name="AJUV97" localSheetId="32">#REF!</definedName>
    <definedName name="AJUV97" localSheetId="33">#REF!</definedName>
    <definedName name="AJUV97" localSheetId="36">#REF!</definedName>
    <definedName name="AJUV97" localSheetId="37">#REF!</definedName>
    <definedName name="AJUV97" localSheetId="38">#REF!</definedName>
    <definedName name="AJUV97" localSheetId="39">#REF!</definedName>
    <definedName name="AJUV97" localSheetId="40">#REF!</definedName>
    <definedName name="AJUV97" localSheetId="54">#REF!</definedName>
    <definedName name="AJUV97" localSheetId="55">#REF!</definedName>
    <definedName name="AJUV97" localSheetId="52">#REF!</definedName>
    <definedName name="AJUV97" localSheetId="23">#REF!</definedName>
    <definedName name="AJUV97" localSheetId="51">#REF!</definedName>
    <definedName name="AJUV97" localSheetId="53">#REF!</definedName>
    <definedName name="AJUV97" localSheetId="20">#REF!</definedName>
    <definedName name="AJUV97">#REF!</definedName>
    <definedName name="AJUV98" localSheetId="34">#REF!</definedName>
    <definedName name="AJUV98" localSheetId="35">#REF!</definedName>
    <definedName name="AJUV98" localSheetId="50">#REF!</definedName>
    <definedName name="AJUV98" localSheetId="15">#REF!</definedName>
    <definedName name="AJUV98" localSheetId="29">#REF!</definedName>
    <definedName name="AJUV98" localSheetId="30">#REF!</definedName>
    <definedName name="AJUV98" localSheetId="47">#REF!</definedName>
    <definedName name="AJUV98" localSheetId="44">#REF!</definedName>
    <definedName name="AJUV98" localSheetId="45">#REF!</definedName>
    <definedName name="AJUV98" localSheetId="46">#REF!</definedName>
    <definedName name="AJUV98" localSheetId="31">#REF!</definedName>
    <definedName name="AJUV98" localSheetId="32">#REF!</definedName>
    <definedName name="AJUV98" localSheetId="33">#REF!</definedName>
    <definedName name="AJUV98" localSheetId="36">#REF!</definedName>
    <definedName name="AJUV98" localSheetId="37">#REF!</definedName>
    <definedName name="AJUV98" localSheetId="38">#REF!</definedName>
    <definedName name="AJUV98" localSheetId="39">#REF!</definedName>
    <definedName name="AJUV98" localSheetId="40">#REF!</definedName>
    <definedName name="AJUV98" localSheetId="54">#REF!</definedName>
    <definedName name="AJUV98" localSheetId="55">#REF!</definedName>
    <definedName name="AJUV98" localSheetId="52">#REF!</definedName>
    <definedName name="AJUV98" localSheetId="23">#REF!</definedName>
    <definedName name="AJUV98" localSheetId="51">#REF!</definedName>
    <definedName name="AJUV98" localSheetId="53">#REF!</definedName>
    <definedName name="AJUV98" localSheetId="20">#REF!</definedName>
    <definedName name="AJUV98">#REF!</definedName>
    <definedName name="AJUV99" localSheetId="34">#REF!</definedName>
    <definedName name="AJUV99" localSheetId="35">#REF!</definedName>
    <definedName name="AJUV99" localSheetId="50">#REF!</definedName>
    <definedName name="AJUV99" localSheetId="15">#REF!</definedName>
    <definedName name="AJUV99" localSheetId="29">#REF!</definedName>
    <definedName name="AJUV99" localSheetId="30">#REF!</definedName>
    <definedName name="AJUV99" localSheetId="47">#REF!</definedName>
    <definedName name="AJUV99" localSheetId="44">#REF!</definedName>
    <definedName name="AJUV99" localSheetId="45">#REF!</definedName>
    <definedName name="AJUV99" localSheetId="46">#REF!</definedName>
    <definedName name="AJUV99" localSheetId="31">#REF!</definedName>
    <definedName name="AJUV99" localSheetId="32">#REF!</definedName>
    <definedName name="AJUV99" localSheetId="33">#REF!</definedName>
    <definedName name="AJUV99" localSheetId="36">#REF!</definedName>
    <definedName name="AJUV99" localSheetId="37">#REF!</definedName>
    <definedName name="AJUV99" localSheetId="38">#REF!</definedName>
    <definedName name="AJUV99" localSheetId="39">#REF!</definedName>
    <definedName name="AJUV99" localSheetId="40">#REF!</definedName>
    <definedName name="AJUV99" localSheetId="54">#REF!</definedName>
    <definedName name="AJUV99" localSheetId="55">#REF!</definedName>
    <definedName name="AJUV99" localSheetId="52">#REF!</definedName>
    <definedName name="AJUV99" localSheetId="23">#REF!</definedName>
    <definedName name="AJUV99" localSheetId="51">#REF!</definedName>
    <definedName name="AJUV99" localSheetId="53">#REF!</definedName>
    <definedName name="AJUV99" localSheetId="20">#REF!</definedName>
    <definedName name="AJUV99">#REF!</definedName>
    <definedName name="AL" localSheetId="34">#REF!</definedName>
    <definedName name="AL" localSheetId="35">#REF!</definedName>
    <definedName name="AL" localSheetId="50">#REF!</definedName>
    <definedName name="AL" localSheetId="15">#REF!</definedName>
    <definedName name="AL" localSheetId="29">#REF!</definedName>
    <definedName name="AL" localSheetId="30">#REF!</definedName>
    <definedName name="AL" localSheetId="47">#REF!</definedName>
    <definedName name="AL" localSheetId="44">#REF!</definedName>
    <definedName name="AL" localSheetId="45">#REF!</definedName>
    <definedName name="AL" localSheetId="46">#REF!</definedName>
    <definedName name="AL" localSheetId="31">#REF!</definedName>
    <definedName name="AL" localSheetId="32">#REF!</definedName>
    <definedName name="AL" localSheetId="33">#REF!</definedName>
    <definedName name="AL" localSheetId="36">#REF!</definedName>
    <definedName name="AL" localSheetId="37">#REF!</definedName>
    <definedName name="AL" localSheetId="38">#REF!</definedName>
    <definedName name="AL" localSheetId="39">#REF!</definedName>
    <definedName name="AL" localSheetId="40">#REF!</definedName>
    <definedName name="AL" localSheetId="54">#REF!</definedName>
    <definedName name="AL" localSheetId="55">#REF!</definedName>
    <definedName name="AL" localSheetId="52">#REF!</definedName>
    <definedName name="AL" localSheetId="23">#REF!</definedName>
    <definedName name="AL" localSheetId="51">#REF!</definedName>
    <definedName name="AL" localSheetId="53">#REF!</definedName>
    <definedName name="AL" localSheetId="20">#REF!</definedName>
    <definedName name="AL">#REF!</definedName>
    <definedName name="ALL">'[8]Imp:DSA output'!$C$9:$R$464</definedName>
    <definedName name="AllocationDetailRows" localSheetId="50">#REF!</definedName>
    <definedName name="AllocationDetailRows" localSheetId="47">#REF!</definedName>
    <definedName name="AllocationDetailRows" localSheetId="44">#REF!</definedName>
    <definedName name="AllocationDetailRows" localSheetId="45">#REF!</definedName>
    <definedName name="AllocationDetailRows" localSheetId="46">#REF!</definedName>
    <definedName name="AllocationDetailRows" localSheetId="37">#REF!</definedName>
    <definedName name="AllocationDetailRows" localSheetId="40">#REF!</definedName>
    <definedName name="AllocationDetailRows" localSheetId="54">#REF!</definedName>
    <definedName name="AllocationDetailRows" localSheetId="55">#REF!</definedName>
    <definedName name="AllocationDetailRows" localSheetId="52">#REF!</definedName>
    <definedName name="AllocationDetailRows" localSheetId="51">#REF!</definedName>
    <definedName name="AllocationDetailRows" localSheetId="53">#REF!</definedName>
    <definedName name="AllocationDetailRows">#REF!</definedName>
    <definedName name="AllocationDetailStartDate" localSheetId="50">#REF!</definedName>
    <definedName name="AllocationDetailStartDate" localSheetId="47">#REF!</definedName>
    <definedName name="AllocationDetailStartDate" localSheetId="44">#REF!</definedName>
    <definedName name="AllocationDetailStartDate" localSheetId="45">#REF!</definedName>
    <definedName name="AllocationDetailStartDate" localSheetId="46">#REF!</definedName>
    <definedName name="AllocationDetailStartDate" localSheetId="37">#REF!</definedName>
    <definedName name="AllocationDetailStartDate" localSheetId="40">#REF!</definedName>
    <definedName name="AllocationDetailStartDate" localSheetId="54">#REF!</definedName>
    <definedName name="AllocationDetailStartDate" localSheetId="55">#REF!</definedName>
    <definedName name="AllocationDetailStartDate" localSheetId="52">#REF!</definedName>
    <definedName name="AllocationDetailStartDate" localSheetId="51">#REF!</definedName>
    <definedName name="AllocationDetailStartDate" localSheetId="53">#REF!</definedName>
    <definedName name="AllocationDetailStartDate">#REF!</definedName>
    <definedName name="AllocationDetailTab" localSheetId="50">#REF!</definedName>
    <definedName name="AllocationDetailTab" localSheetId="47">#REF!</definedName>
    <definedName name="AllocationDetailTab" localSheetId="44">#REF!</definedName>
    <definedName name="AllocationDetailTab" localSheetId="45">#REF!</definedName>
    <definedName name="AllocationDetailTab" localSheetId="46">#REF!</definedName>
    <definedName name="AllocationDetailTab" localSheetId="37">#REF!</definedName>
    <definedName name="AllocationDetailTab" localSheetId="40">#REF!</definedName>
    <definedName name="AllocationDetailTab" localSheetId="54">#REF!</definedName>
    <definedName name="AllocationDetailTab" localSheetId="55">#REF!</definedName>
    <definedName name="AllocationDetailTab" localSheetId="52">#REF!</definedName>
    <definedName name="AllocationDetailTab" localSheetId="51">#REF!</definedName>
    <definedName name="AllocationDetailTab" localSheetId="53">#REF!</definedName>
    <definedName name="AllocationDetailTab">#REF!</definedName>
    <definedName name="AllocationSummaryCurrentRefresh" localSheetId="50">#REF!</definedName>
    <definedName name="AllocationSummaryCurrentRefresh" localSheetId="47">#REF!</definedName>
    <definedName name="AllocationSummaryCurrentRefresh" localSheetId="44">#REF!</definedName>
    <definedName name="AllocationSummaryCurrentRefresh" localSheetId="45">#REF!</definedName>
    <definedName name="AllocationSummaryCurrentRefresh" localSheetId="46">#REF!</definedName>
    <definedName name="AllocationSummaryCurrentRefresh" localSheetId="37">#REF!</definedName>
    <definedName name="AllocationSummaryCurrentRefresh" localSheetId="40">#REF!</definedName>
    <definedName name="AllocationSummaryCurrentRefresh" localSheetId="54">#REF!</definedName>
    <definedName name="AllocationSummaryCurrentRefresh" localSheetId="55">#REF!</definedName>
    <definedName name="AllocationSummaryCurrentRefresh" localSheetId="52">#REF!</definedName>
    <definedName name="AllocationSummaryCurrentRefresh" localSheetId="51">#REF!</definedName>
    <definedName name="AllocationSummaryCurrentRefresh" localSheetId="53">#REF!</definedName>
    <definedName name="AllocationSummaryCurrentRefresh">#REF!</definedName>
    <definedName name="AllocationSummaryCurrentTab" localSheetId="50">#REF!</definedName>
    <definedName name="AllocationSummaryCurrentTab" localSheetId="47">#REF!</definedName>
    <definedName name="AllocationSummaryCurrentTab" localSheetId="44">#REF!</definedName>
    <definedName name="AllocationSummaryCurrentTab" localSheetId="45">#REF!</definedName>
    <definedName name="AllocationSummaryCurrentTab" localSheetId="46">#REF!</definedName>
    <definedName name="AllocationSummaryCurrentTab" localSheetId="37">#REF!</definedName>
    <definedName name="AllocationSummaryCurrentTab" localSheetId="40">#REF!</definedName>
    <definedName name="AllocationSummaryCurrentTab" localSheetId="54">#REF!</definedName>
    <definedName name="AllocationSummaryCurrentTab" localSheetId="55">#REF!</definedName>
    <definedName name="AllocationSummaryCurrentTab" localSheetId="52">#REF!</definedName>
    <definedName name="AllocationSummaryCurrentTab" localSheetId="51">#REF!</definedName>
    <definedName name="AllocationSummaryCurrentTab" localSheetId="53">#REF!</definedName>
    <definedName name="AllocationSummaryCurrentTab">#REF!</definedName>
    <definedName name="AllocationSummaryLastRefresh" localSheetId="50">#REF!</definedName>
    <definedName name="AllocationSummaryLastRefresh" localSheetId="47">#REF!</definedName>
    <definedName name="AllocationSummaryLastRefresh" localSheetId="44">#REF!</definedName>
    <definedName name="AllocationSummaryLastRefresh" localSheetId="45">#REF!</definedName>
    <definedName name="AllocationSummaryLastRefresh" localSheetId="46">#REF!</definedName>
    <definedName name="AllocationSummaryLastRefresh" localSheetId="37">#REF!</definedName>
    <definedName name="AllocationSummaryLastRefresh" localSheetId="40">#REF!</definedName>
    <definedName name="AllocationSummaryLastRefresh" localSheetId="54">#REF!</definedName>
    <definedName name="AllocationSummaryLastRefresh" localSheetId="55">#REF!</definedName>
    <definedName name="AllocationSummaryLastRefresh" localSheetId="52">#REF!</definedName>
    <definedName name="AllocationSummaryLastRefresh" localSheetId="51">#REF!</definedName>
    <definedName name="AllocationSummaryLastRefresh" localSheetId="53">#REF!</definedName>
    <definedName name="AllocationSummaryLastRefresh">#REF!</definedName>
    <definedName name="AllocationSummaryLastTab" localSheetId="50">#REF!</definedName>
    <definedName name="AllocationSummaryLastTab" localSheetId="47">#REF!</definedName>
    <definedName name="AllocationSummaryLastTab" localSheetId="44">#REF!</definedName>
    <definedName name="AllocationSummaryLastTab" localSheetId="45">#REF!</definedName>
    <definedName name="AllocationSummaryLastTab" localSheetId="46">#REF!</definedName>
    <definedName name="AllocationSummaryLastTab" localSheetId="37">#REF!</definedName>
    <definedName name="AllocationSummaryLastTab" localSheetId="40">#REF!</definedName>
    <definedName name="AllocationSummaryLastTab" localSheetId="54">#REF!</definedName>
    <definedName name="AllocationSummaryLastTab" localSheetId="55">#REF!</definedName>
    <definedName name="AllocationSummaryLastTab" localSheetId="52">#REF!</definedName>
    <definedName name="AllocationSummaryLastTab" localSheetId="51">#REF!</definedName>
    <definedName name="AllocationSummaryLastTab" localSheetId="53">#REF!</definedName>
    <definedName name="AllocationSummaryLastTab">#REF!</definedName>
    <definedName name="AllocationSummaryWeek" localSheetId="50">#REF!</definedName>
    <definedName name="AllocationSummaryWeek" localSheetId="47">#REF!</definedName>
    <definedName name="AllocationSummaryWeek" localSheetId="44">#REF!</definedName>
    <definedName name="AllocationSummaryWeek" localSheetId="45">#REF!</definedName>
    <definedName name="AllocationSummaryWeek" localSheetId="46">#REF!</definedName>
    <definedName name="AllocationSummaryWeek" localSheetId="37">#REF!</definedName>
    <definedName name="AllocationSummaryWeek" localSheetId="40">#REF!</definedName>
    <definedName name="AllocationSummaryWeek" localSheetId="54">#REF!</definedName>
    <definedName name="AllocationSummaryWeek" localSheetId="55">#REF!</definedName>
    <definedName name="AllocationSummaryWeek" localSheetId="52">#REF!</definedName>
    <definedName name="AllocationSummaryWeek" localSheetId="51">#REF!</definedName>
    <definedName name="AllocationSummaryWeek" localSheetId="53">#REF!</definedName>
    <definedName name="AllocationSummaryWeek">#REF!</definedName>
    <definedName name="AllocSummaryNoWork" localSheetId="50">#REF!</definedName>
    <definedName name="AllocSummaryNoWork" localSheetId="47">#REF!</definedName>
    <definedName name="AllocSummaryNoWork" localSheetId="44">#REF!</definedName>
    <definedName name="AllocSummaryNoWork" localSheetId="45">#REF!</definedName>
    <definedName name="AllocSummaryNoWork" localSheetId="46">#REF!</definedName>
    <definedName name="AllocSummaryNoWork" localSheetId="37">#REF!</definedName>
    <definedName name="AllocSummaryNoWork" localSheetId="40">#REF!</definedName>
    <definedName name="AllocSummaryNoWork" localSheetId="54">#REF!</definedName>
    <definedName name="AllocSummaryNoWork" localSheetId="55">#REF!</definedName>
    <definedName name="AllocSummaryNoWork" localSheetId="52">#REF!</definedName>
    <definedName name="AllocSummaryNoWork" localSheetId="51">#REF!</definedName>
    <definedName name="AllocSummaryNoWork" localSheetId="53">#REF!</definedName>
    <definedName name="AllocSummaryNoWork">#REF!</definedName>
    <definedName name="ANO00" localSheetId="34">#REF!</definedName>
    <definedName name="ANO00" localSheetId="35">#REF!</definedName>
    <definedName name="ANO00" localSheetId="50">#REF!</definedName>
    <definedName name="ANO00" localSheetId="15">#REF!</definedName>
    <definedName name="ANO00" localSheetId="29">#REF!</definedName>
    <definedName name="ANO00" localSheetId="30">#REF!</definedName>
    <definedName name="ANO00" localSheetId="47">#REF!</definedName>
    <definedName name="ANO00" localSheetId="44">#REF!</definedName>
    <definedName name="ANO00" localSheetId="45">#REF!</definedName>
    <definedName name="ANO00" localSheetId="46">#REF!</definedName>
    <definedName name="ANO00" localSheetId="31">#REF!</definedName>
    <definedName name="ANO00" localSheetId="32">#REF!</definedName>
    <definedName name="ANO00" localSheetId="33">#REF!</definedName>
    <definedName name="ANO00" localSheetId="36">#REF!</definedName>
    <definedName name="ANO00" localSheetId="37">#REF!</definedName>
    <definedName name="ANO00" localSheetId="38">#REF!</definedName>
    <definedName name="ANO00" localSheetId="39">#REF!</definedName>
    <definedName name="ANO00" localSheetId="40">#REF!</definedName>
    <definedName name="ANO00" localSheetId="54">#REF!</definedName>
    <definedName name="ANO00" localSheetId="55">#REF!</definedName>
    <definedName name="ANO00" localSheetId="52">#REF!</definedName>
    <definedName name="ANO00" localSheetId="23">#REF!</definedName>
    <definedName name="ANO00" localSheetId="51">#REF!</definedName>
    <definedName name="ANO00" localSheetId="53">#REF!</definedName>
    <definedName name="ANO00" localSheetId="20">#REF!</definedName>
    <definedName name="ANO00">#REF!</definedName>
    <definedName name="ANO00A" localSheetId="34">#REF!</definedName>
    <definedName name="ANO00A" localSheetId="35">#REF!</definedName>
    <definedName name="ANO00A" localSheetId="50">#REF!</definedName>
    <definedName name="ANO00A" localSheetId="15">#REF!</definedName>
    <definedName name="ANO00A" localSheetId="29">#REF!</definedName>
    <definedName name="ANO00A" localSheetId="30">#REF!</definedName>
    <definedName name="ANO00A" localSheetId="47">#REF!</definedName>
    <definedName name="ANO00A" localSheetId="44">#REF!</definedName>
    <definedName name="ANO00A" localSheetId="45">#REF!</definedName>
    <definedName name="ANO00A" localSheetId="46">#REF!</definedName>
    <definedName name="ANO00A" localSheetId="31">#REF!</definedName>
    <definedName name="ANO00A" localSheetId="32">#REF!</definedName>
    <definedName name="ANO00A" localSheetId="33">#REF!</definedName>
    <definedName name="ANO00A" localSheetId="36">#REF!</definedName>
    <definedName name="ANO00A" localSheetId="37">#REF!</definedName>
    <definedName name="ANO00A" localSheetId="38">#REF!</definedName>
    <definedName name="ANO00A" localSheetId="39">#REF!</definedName>
    <definedName name="ANO00A" localSheetId="40">#REF!</definedName>
    <definedName name="ANO00A" localSheetId="54">#REF!</definedName>
    <definedName name="ANO00A" localSheetId="55">#REF!</definedName>
    <definedName name="ANO00A" localSheetId="52">#REF!</definedName>
    <definedName name="ANO00A" localSheetId="23">#REF!</definedName>
    <definedName name="ANO00A" localSheetId="51">#REF!</definedName>
    <definedName name="ANO00A" localSheetId="53">#REF!</definedName>
    <definedName name="ANO00A" localSheetId="20">#REF!</definedName>
    <definedName name="ANO00A">#REF!</definedName>
    <definedName name="ANO00B" localSheetId="34">#REF!</definedName>
    <definedName name="ANO00B" localSheetId="35">#REF!</definedName>
    <definedName name="ANO00B" localSheetId="50">#REF!</definedName>
    <definedName name="ANO00B" localSheetId="15">#REF!</definedName>
    <definedName name="ANO00B" localSheetId="29">#REF!</definedName>
    <definedName name="ANO00B" localSheetId="30">#REF!</definedName>
    <definedName name="ANO00B" localSheetId="47">#REF!</definedName>
    <definedName name="ANO00B" localSheetId="44">#REF!</definedName>
    <definedName name="ANO00B" localSheetId="45">#REF!</definedName>
    <definedName name="ANO00B" localSheetId="46">#REF!</definedName>
    <definedName name="ANO00B" localSheetId="31">#REF!</definedName>
    <definedName name="ANO00B" localSheetId="32">#REF!</definedName>
    <definedName name="ANO00B" localSheetId="33">#REF!</definedName>
    <definedName name="ANO00B" localSheetId="36">#REF!</definedName>
    <definedName name="ANO00B" localSheetId="37">#REF!</definedName>
    <definedName name="ANO00B" localSheetId="38">#REF!</definedName>
    <definedName name="ANO00B" localSheetId="39">#REF!</definedName>
    <definedName name="ANO00B" localSheetId="40">#REF!</definedName>
    <definedName name="ANO00B" localSheetId="54">#REF!</definedName>
    <definedName name="ANO00B" localSheetId="55">#REF!</definedName>
    <definedName name="ANO00B" localSheetId="52">#REF!</definedName>
    <definedName name="ANO00B" localSheetId="23">#REF!</definedName>
    <definedName name="ANO00B" localSheetId="51">#REF!</definedName>
    <definedName name="ANO00B" localSheetId="53">#REF!</definedName>
    <definedName name="ANO00B" localSheetId="20">#REF!</definedName>
    <definedName name="ANO00B">#REF!</definedName>
    <definedName name="ANO97A" localSheetId="34">#REF!</definedName>
    <definedName name="ANO97A" localSheetId="35">#REF!</definedName>
    <definedName name="ANO97A" localSheetId="50">#REF!</definedName>
    <definedName name="ANO97A" localSheetId="15">#REF!</definedName>
    <definedName name="ANO97A" localSheetId="29">#REF!</definedName>
    <definedName name="ANO97A" localSheetId="30">#REF!</definedName>
    <definedName name="ANO97A" localSheetId="47">#REF!</definedName>
    <definedName name="ANO97A" localSheetId="44">#REF!</definedName>
    <definedName name="ANO97A" localSheetId="45">#REF!</definedName>
    <definedName name="ANO97A" localSheetId="46">#REF!</definedName>
    <definedName name="ANO97A" localSheetId="31">#REF!</definedName>
    <definedName name="ANO97A" localSheetId="32">#REF!</definedName>
    <definedName name="ANO97A" localSheetId="33">#REF!</definedName>
    <definedName name="ANO97A" localSheetId="36">#REF!</definedName>
    <definedName name="ANO97A" localSheetId="37">#REF!</definedName>
    <definedName name="ANO97A" localSheetId="38">#REF!</definedName>
    <definedName name="ANO97A" localSheetId="39">#REF!</definedName>
    <definedName name="ANO97A" localSheetId="40">#REF!</definedName>
    <definedName name="ANO97A" localSheetId="54">#REF!</definedName>
    <definedName name="ANO97A" localSheetId="55">#REF!</definedName>
    <definedName name="ANO97A" localSheetId="52">#REF!</definedName>
    <definedName name="ANO97A" localSheetId="23">#REF!</definedName>
    <definedName name="ANO97A" localSheetId="51">#REF!</definedName>
    <definedName name="ANO97A" localSheetId="53">#REF!</definedName>
    <definedName name="ANO97A" localSheetId="20">#REF!</definedName>
    <definedName name="ANO97A">#REF!</definedName>
    <definedName name="ANO97B" localSheetId="34">#REF!</definedName>
    <definedName name="ANO97B" localSheetId="35">#REF!</definedName>
    <definedName name="ANO97B" localSheetId="50">#REF!</definedName>
    <definedName name="ANO97B" localSheetId="15">#REF!</definedName>
    <definedName name="ANO97B" localSheetId="29">#REF!</definedName>
    <definedName name="ANO97B" localSheetId="30">#REF!</definedName>
    <definedName name="ANO97B" localSheetId="47">#REF!</definedName>
    <definedName name="ANO97B" localSheetId="44">#REF!</definedName>
    <definedName name="ANO97B" localSheetId="45">#REF!</definedName>
    <definedName name="ANO97B" localSheetId="46">#REF!</definedName>
    <definedName name="ANO97B" localSheetId="31">#REF!</definedName>
    <definedName name="ANO97B" localSheetId="32">#REF!</definedName>
    <definedName name="ANO97B" localSheetId="33">#REF!</definedName>
    <definedName name="ANO97B" localSheetId="36">#REF!</definedName>
    <definedName name="ANO97B" localSheetId="37">#REF!</definedName>
    <definedName name="ANO97B" localSheetId="38">#REF!</definedName>
    <definedName name="ANO97B" localSheetId="39">#REF!</definedName>
    <definedName name="ANO97B" localSheetId="40">#REF!</definedName>
    <definedName name="ANO97B" localSheetId="54">#REF!</definedName>
    <definedName name="ANO97B" localSheetId="55">#REF!</definedName>
    <definedName name="ANO97B" localSheetId="52">#REF!</definedName>
    <definedName name="ANO97B" localSheetId="23">#REF!</definedName>
    <definedName name="ANO97B" localSheetId="51">#REF!</definedName>
    <definedName name="ANO97B" localSheetId="53">#REF!</definedName>
    <definedName name="ANO97B" localSheetId="20">#REF!</definedName>
    <definedName name="ANO97B">#REF!</definedName>
    <definedName name="ANO98A" localSheetId="34">#REF!</definedName>
    <definedName name="ANO98A" localSheetId="35">#REF!</definedName>
    <definedName name="ANO98A" localSheetId="50">#REF!</definedName>
    <definedName name="ANO98A" localSheetId="15">#REF!</definedName>
    <definedName name="ANO98A" localSheetId="29">#REF!</definedName>
    <definedName name="ANO98A" localSheetId="30">#REF!</definedName>
    <definedName name="ANO98A" localSheetId="47">#REF!</definedName>
    <definedName name="ANO98A" localSheetId="44">#REF!</definedName>
    <definedName name="ANO98A" localSheetId="45">#REF!</definedName>
    <definedName name="ANO98A" localSheetId="46">#REF!</definedName>
    <definedName name="ANO98A" localSheetId="31">#REF!</definedName>
    <definedName name="ANO98A" localSheetId="32">#REF!</definedName>
    <definedName name="ANO98A" localSheetId="33">#REF!</definedName>
    <definedName name="ANO98A" localSheetId="36">#REF!</definedName>
    <definedName name="ANO98A" localSheetId="37">#REF!</definedName>
    <definedName name="ANO98A" localSheetId="38">#REF!</definedName>
    <definedName name="ANO98A" localSheetId="39">#REF!</definedName>
    <definedName name="ANO98A" localSheetId="40">#REF!</definedName>
    <definedName name="ANO98A" localSheetId="54">#REF!</definedName>
    <definedName name="ANO98A" localSheetId="55">#REF!</definedName>
    <definedName name="ANO98A" localSheetId="52">#REF!</definedName>
    <definedName name="ANO98A" localSheetId="23">#REF!</definedName>
    <definedName name="ANO98A" localSheetId="51">#REF!</definedName>
    <definedName name="ANO98A" localSheetId="53">#REF!</definedName>
    <definedName name="ANO98A" localSheetId="20">#REF!</definedName>
    <definedName name="ANO98A">#REF!</definedName>
    <definedName name="ANO98B" localSheetId="34">#REF!</definedName>
    <definedName name="ANO98B" localSheetId="35">#REF!</definedName>
    <definedName name="ANO98B" localSheetId="50">#REF!</definedName>
    <definedName name="ANO98B" localSheetId="15">#REF!</definedName>
    <definedName name="ANO98B" localSheetId="29">#REF!</definedName>
    <definedName name="ANO98B" localSheetId="30">#REF!</definedName>
    <definedName name="ANO98B" localSheetId="47">#REF!</definedName>
    <definedName name="ANO98B" localSheetId="44">#REF!</definedName>
    <definedName name="ANO98B" localSheetId="45">#REF!</definedName>
    <definedName name="ANO98B" localSheetId="46">#REF!</definedName>
    <definedName name="ANO98B" localSheetId="31">#REF!</definedName>
    <definedName name="ANO98B" localSheetId="32">#REF!</definedName>
    <definedName name="ANO98B" localSheetId="33">#REF!</definedName>
    <definedName name="ANO98B" localSheetId="36">#REF!</definedName>
    <definedName name="ANO98B" localSheetId="37">#REF!</definedName>
    <definedName name="ANO98B" localSheetId="38">#REF!</definedName>
    <definedName name="ANO98B" localSheetId="39">#REF!</definedName>
    <definedName name="ANO98B" localSheetId="40">#REF!</definedName>
    <definedName name="ANO98B" localSheetId="54">#REF!</definedName>
    <definedName name="ANO98B" localSheetId="55">#REF!</definedName>
    <definedName name="ANO98B" localSheetId="52">#REF!</definedName>
    <definedName name="ANO98B" localSheetId="23">#REF!</definedName>
    <definedName name="ANO98B" localSheetId="51">#REF!</definedName>
    <definedName name="ANO98B" localSheetId="53">#REF!</definedName>
    <definedName name="ANO98B" localSheetId="20">#REF!</definedName>
    <definedName name="ANO98B">#REF!</definedName>
    <definedName name="ANO99A" localSheetId="34">#REF!</definedName>
    <definedName name="ANO99A" localSheetId="35">#REF!</definedName>
    <definedName name="ANO99A" localSheetId="50">#REF!</definedName>
    <definedName name="ANO99A" localSheetId="15">#REF!</definedName>
    <definedName name="ANO99A" localSheetId="29">#REF!</definedName>
    <definedName name="ANO99A" localSheetId="30">#REF!</definedName>
    <definedName name="ANO99A" localSheetId="47">#REF!</definedName>
    <definedName name="ANO99A" localSheetId="44">#REF!</definedName>
    <definedName name="ANO99A" localSheetId="45">#REF!</definedName>
    <definedName name="ANO99A" localSheetId="46">#REF!</definedName>
    <definedName name="ANO99A" localSheetId="31">#REF!</definedName>
    <definedName name="ANO99A" localSheetId="32">#REF!</definedName>
    <definedName name="ANO99A" localSheetId="33">#REF!</definedName>
    <definedName name="ANO99A" localSheetId="36">#REF!</definedName>
    <definedName name="ANO99A" localSheetId="37">#REF!</definedName>
    <definedName name="ANO99A" localSheetId="38">#REF!</definedName>
    <definedName name="ANO99A" localSheetId="39">#REF!</definedName>
    <definedName name="ANO99A" localSheetId="40">#REF!</definedName>
    <definedName name="ANO99A" localSheetId="54">#REF!</definedName>
    <definedName name="ANO99A" localSheetId="55">#REF!</definedName>
    <definedName name="ANO99A" localSheetId="52">#REF!</definedName>
    <definedName name="ANO99A" localSheetId="23">#REF!</definedName>
    <definedName name="ANO99A" localSheetId="51">#REF!</definedName>
    <definedName name="ANO99A" localSheetId="53">#REF!</definedName>
    <definedName name="ANO99A" localSheetId="20">#REF!</definedName>
    <definedName name="ANO99A">#REF!</definedName>
    <definedName name="ANO99B" localSheetId="34">#REF!</definedName>
    <definedName name="ANO99B" localSheetId="35">#REF!</definedName>
    <definedName name="ANO99B" localSheetId="50">#REF!</definedName>
    <definedName name="ANO99B" localSheetId="15">#REF!</definedName>
    <definedName name="ANO99B" localSheetId="29">#REF!</definedName>
    <definedName name="ANO99B" localSheetId="30">#REF!</definedName>
    <definedName name="ANO99B" localSheetId="47">#REF!</definedName>
    <definedName name="ANO99B" localSheetId="44">#REF!</definedName>
    <definedName name="ANO99B" localSheetId="45">#REF!</definedName>
    <definedName name="ANO99B" localSheetId="46">#REF!</definedName>
    <definedName name="ANO99B" localSheetId="31">#REF!</definedName>
    <definedName name="ANO99B" localSheetId="32">#REF!</definedName>
    <definedName name="ANO99B" localSheetId="33">#REF!</definedName>
    <definedName name="ANO99B" localSheetId="36">#REF!</definedName>
    <definedName name="ANO99B" localSheetId="37">#REF!</definedName>
    <definedName name="ANO99B" localSheetId="38">#REF!</definedName>
    <definedName name="ANO99B" localSheetId="39">#REF!</definedName>
    <definedName name="ANO99B" localSheetId="40">#REF!</definedName>
    <definedName name="ANO99B" localSheetId="54">#REF!</definedName>
    <definedName name="ANO99B" localSheetId="55">#REF!</definedName>
    <definedName name="ANO99B" localSheetId="52">#REF!</definedName>
    <definedName name="ANO99B" localSheetId="23">#REF!</definedName>
    <definedName name="ANO99B" localSheetId="51">#REF!</definedName>
    <definedName name="ANO99B" localSheetId="53">#REF!</definedName>
    <definedName name="ANO99B" localSheetId="20">#REF!</definedName>
    <definedName name="ANO99B">#REF!</definedName>
    <definedName name="anterior" localSheetId="34">#REF!</definedName>
    <definedName name="anterior" localSheetId="35">#REF!</definedName>
    <definedName name="anterior" localSheetId="50">#REF!</definedName>
    <definedName name="anterior" localSheetId="15">#REF!</definedName>
    <definedName name="anterior" localSheetId="29">#REF!</definedName>
    <definedName name="anterior" localSheetId="30">#REF!</definedName>
    <definedName name="anterior" localSheetId="47">#REF!</definedName>
    <definedName name="anterior" localSheetId="44">#REF!</definedName>
    <definedName name="anterior" localSheetId="45">#REF!</definedName>
    <definedName name="anterior" localSheetId="46">#REF!</definedName>
    <definedName name="anterior" localSheetId="31">#REF!</definedName>
    <definedName name="anterior" localSheetId="32">#REF!</definedName>
    <definedName name="anterior" localSheetId="33">#REF!</definedName>
    <definedName name="anterior" localSheetId="36">#REF!</definedName>
    <definedName name="anterior" localSheetId="37">#REF!</definedName>
    <definedName name="anterior" localSheetId="38">#REF!</definedName>
    <definedName name="anterior" localSheetId="39">#REF!</definedName>
    <definedName name="anterior" localSheetId="40">#REF!</definedName>
    <definedName name="anterior" localSheetId="54">#REF!</definedName>
    <definedName name="anterior" localSheetId="55">#REF!</definedName>
    <definedName name="anterior" localSheetId="52">#REF!</definedName>
    <definedName name="anterior" localSheetId="23">#REF!</definedName>
    <definedName name="anterior" localSheetId="51">#REF!</definedName>
    <definedName name="anterior" localSheetId="53">#REF!</definedName>
    <definedName name="anterior" localSheetId="20">#REF!</definedName>
    <definedName name="anterior">#REF!</definedName>
    <definedName name="apr" localSheetId="50">[44]MS!#REF!</definedName>
    <definedName name="apr" localSheetId="47">[44]MS!#REF!</definedName>
    <definedName name="apr" localSheetId="44">[44]MS!#REF!</definedName>
    <definedName name="apr" localSheetId="45">[44]MS!#REF!</definedName>
    <definedName name="apr" localSheetId="46">[44]MS!#REF!</definedName>
    <definedName name="apr" localSheetId="37">[44]MS!#REF!</definedName>
    <definedName name="apr" localSheetId="40">[44]MS!#REF!</definedName>
    <definedName name="apr" localSheetId="54">[44]MS!#REF!</definedName>
    <definedName name="apr" localSheetId="55">[44]MS!#REF!</definedName>
    <definedName name="apr" localSheetId="52">[44]MS!#REF!</definedName>
    <definedName name="apr" localSheetId="51">[44]MS!#REF!</definedName>
    <definedName name="apr" localSheetId="53">[44]MS!#REF!</definedName>
    <definedName name="apr">[44]MS!#REF!</definedName>
    <definedName name="Apr05Cap" localSheetId="50">#REF!</definedName>
    <definedName name="Apr05Cap" localSheetId="47">#REF!</definedName>
    <definedName name="Apr05Cap" localSheetId="44">#REF!</definedName>
    <definedName name="Apr05Cap" localSheetId="45">#REF!</definedName>
    <definedName name="Apr05Cap" localSheetId="46">#REF!</definedName>
    <definedName name="Apr05Cap" localSheetId="37">#REF!</definedName>
    <definedName name="Apr05Cap" localSheetId="40">#REF!</definedName>
    <definedName name="Apr05Cap" localSheetId="54">#REF!</definedName>
    <definedName name="Apr05Cap" localSheetId="55">#REF!</definedName>
    <definedName name="Apr05Cap" localSheetId="52">#REF!</definedName>
    <definedName name="Apr05Cap" localSheetId="51">#REF!</definedName>
    <definedName name="Apr05Cap" localSheetId="53">#REF!</definedName>
    <definedName name="Apr05Cap">#REF!</definedName>
    <definedName name="apr05cap1" localSheetId="50">#REF!</definedName>
    <definedName name="apr05cap1" localSheetId="47">#REF!</definedName>
    <definedName name="apr05cap1" localSheetId="44">#REF!</definedName>
    <definedName name="apr05cap1" localSheetId="45">#REF!</definedName>
    <definedName name="apr05cap1" localSheetId="46">#REF!</definedName>
    <definedName name="apr05cap1" localSheetId="37">#REF!</definedName>
    <definedName name="apr05cap1" localSheetId="40">#REF!</definedName>
    <definedName name="apr05cap1" localSheetId="54">#REF!</definedName>
    <definedName name="apr05cap1" localSheetId="55">#REF!</definedName>
    <definedName name="apr05cap1" localSheetId="52">#REF!</definedName>
    <definedName name="apr05cap1" localSheetId="51">#REF!</definedName>
    <definedName name="apr05cap1" localSheetId="53">#REF!</definedName>
    <definedName name="apr05cap1">#REF!</definedName>
    <definedName name="Apr06Cap" localSheetId="50">#REF!</definedName>
    <definedName name="Apr06Cap" localSheetId="47">#REF!</definedName>
    <definedName name="Apr06Cap" localSheetId="44">#REF!</definedName>
    <definedName name="Apr06Cap" localSheetId="45">#REF!</definedName>
    <definedName name="Apr06Cap" localSheetId="46">#REF!</definedName>
    <definedName name="Apr06Cap" localSheetId="37">#REF!</definedName>
    <definedName name="Apr06Cap" localSheetId="40">#REF!</definedName>
    <definedName name="Apr06Cap" localSheetId="54">#REF!</definedName>
    <definedName name="Apr06Cap" localSheetId="55">#REF!</definedName>
    <definedName name="Apr06Cap" localSheetId="52">#REF!</definedName>
    <definedName name="Apr06Cap" localSheetId="51">#REF!</definedName>
    <definedName name="Apr06Cap" localSheetId="53">#REF!</definedName>
    <definedName name="Apr06Cap">#REF!</definedName>
    <definedName name="April">'[45]Variance Explanations'!$G$10:$G$84,'[45]Variance Explanations'!$G$98:$G$178,'[45]Variance Explanations'!$G$190:$G$252,'[45]Variance Explanations'!$G$252,'[45]Variance Explanations'!$G$264:$G$343,'[45]Variance Explanations'!$G$356:$G$409,'[45]Variance Explanations'!$G$424:$G$485,'[45]Variance Explanations'!$G$508:$G$555</definedName>
    <definedName name="ar">"Rectangle 27"</definedName>
    <definedName name="Area" localSheetId="50">#REF!</definedName>
    <definedName name="Area" localSheetId="47">#REF!</definedName>
    <definedName name="Area" localSheetId="44">#REF!</definedName>
    <definedName name="Area" localSheetId="45">#REF!</definedName>
    <definedName name="Area" localSheetId="46">#REF!</definedName>
    <definedName name="Area" localSheetId="37">#REF!</definedName>
    <definedName name="Area" localSheetId="40">#REF!</definedName>
    <definedName name="Area" localSheetId="54">#REF!</definedName>
    <definedName name="Area" localSheetId="55">#REF!</definedName>
    <definedName name="Area" localSheetId="52">#REF!</definedName>
    <definedName name="Area" localSheetId="51">#REF!</definedName>
    <definedName name="Area" localSheetId="53">#REF!</definedName>
    <definedName name="Area">#REF!</definedName>
    <definedName name="asA">[46]Roles!$B$2:$B$95</definedName>
    <definedName name="asdfs" localSheetId="34">[47]MS!#REF!</definedName>
    <definedName name="asdfs" localSheetId="35">[47]MS!#REF!</definedName>
    <definedName name="asdfs" localSheetId="50">[44]MS!#REF!</definedName>
    <definedName name="asdfs" localSheetId="15">[47]MS!#REF!</definedName>
    <definedName name="asdfs" localSheetId="27">[47]MS!#REF!</definedName>
    <definedName name="asdfs" localSheetId="24">[47]MS!#REF!</definedName>
    <definedName name="asdfs" localSheetId="26">[47]MS!#REF!</definedName>
    <definedName name="asdfs" localSheetId="43">[47]MS!#REF!</definedName>
    <definedName name="asdfs" localSheetId="29">[47]MS!#REF!</definedName>
    <definedName name="asdfs" localSheetId="30">[47]MS!#REF!</definedName>
    <definedName name="asdfs" localSheetId="47">[47]MS!#REF!</definedName>
    <definedName name="asdfs" localSheetId="44">[44]MS!#REF!</definedName>
    <definedName name="asdfs" localSheetId="45">[47]MS!#REF!</definedName>
    <definedName name="asdfs" localSheetId="46">[47]MS!#REF!</definedName>
    <definedName name="asdfs" localSheetId="31">[47]MS!#REF!</definedName>
    <definedName name="asdfs" localSheetId="32">[47]MS!#REF!</definedName>
    <definedName name="asdfs" localSheetId="33">[47]MS!#REF!</definedName>
    <definedName name="asdfs" localSheetId="36">[47]MS!#REF!</definedName>
    <definedName name="asdfs" localSheetId="37">[47]MS!#REF!</definedName>
    <definedName name="asdfs" localSheetId="38">[47]MS!#REF!</definedName>
    <definedName name="asdfs" localSheetId="39">[47]MS!#REF!</definedName>
    <definedName name="asdfs" localSheetId="40">[47]MS!#REF!</definedName>
    <definedName name="asdfs" localSheetId="25">[47]MS!#REF!</definedName>
    <definedName name="asdfs" localSheetId="54">[48]MS!#REF!</definedName>
    <definedName name="asdfs" localSheetId="55">[47]MS!#REF!</definedName>
    <definedName name="asdfs" localSheetId="52">[44]MS!#REF!</definedName>
    <definedName name="asdfs" localSheetId="23">[47]MS!#REF!</definedName>
    <definedName name="asdfs" localSheetId="51">[44]MS!#REF!</definedName>
    <definedName name="asdfs" localSheetId="12">[47]MS!#REF!</definedName>
    <definedName name="asdfs" localSheetId="53">[44]MS!#REF!</definedName>
    <definedName name="asdfs" localSheetId="49">[44]MS!#REF!</definedName>
    <definedName name="asdfs" localSheetId="20">[47]MS!#REF!</definedName>
    <definedName name="asdfs">[47]MS!#REF!</definedName>
    <definedName name="asdsfagfgaagf">[46]Roles!$B$2:$B$95</definedName>
    <definedName name="Assets" localSheetId="58">#REF!</definedName>
    <definedName name="Assets" localSheetId="34">#REF!</definedName>
    <definedName name="Assets" localSheetId="35">#REF!</definedName>
    <definedName name="Assets" localSheetId="50">#REF!</definedName>
    <definedName name="Assets" localSheetId="15">#REF!</definedName>
    <definedName name="Assets" localSheetId="27">#REF!</definedName>
    <definedName name="Assets" localSheetId="24">#REF!</definedName>
    <definedName name="Assets" localSheetId="26">#REF!</definedName>
    <definedName name="Assets" localSheetId="29">#REF!</definedName>
    <definedName name="Assets" localSheetId="42">#REF!</definedName>
    <definedName name="Assets" localSheetId="30">#REF!</definedName>
    <definedName name="Assets" localSheetId="47">#REF!</definedName>
    <definedName name="Assets" localSheetId="44">#REF!</definedName>
    <definedName name="Assets" localSheetId="45">#REF!</definedName>
    <definedName name="Assets" localSheetId="46">#REF!</definedName>
    <definedName name="Assets" localSheetId="31">#REF!</definedName>
    <definedName name="Assets" localSheetId="32">#REF!</definedName>
    <definedName name="Assets" localSheetId="33">#REF!</definedName>
    <definedName name="Assets" localSheetId="59">#REF!</definedName>
    <definedName name="Assets" localSheetId="36">#REF!</definedName>
    <definedName name="Assets" localSheetId="37">#REF!</definedName>
    <definedName name="Assets" localSheetId="38">#REF!</definedName>
    <definedName name="Assets" localSheetId="39">#REF!</definedName>
    <definedName name="Assets" localSheetId="40">#REF!</definedName>
    <definedName name="Assets" localSheetId="25">#REF!</definedName>
    <definedName name="Assets" localSheetId="54">#REF!</definedName>
    <definedName name="Assets" localSheetId="55">#REF!</definedName>
    <definedName name="Assets" localSheetId="52">#REF!</definedName>
    <definedName name="Assets" localSheetId="23">#REF!</definedName>
    <definedName name="Assets" localSheetId="51">#REF!</definedName>
    <definedName name="Assets" localSheetId="12">#REF!</definedName>
    <definedName name="Assets" localSheetId="53">#REF!</definedName>
    <definedName name="Assets" localSheetId="49">#REF!</definedName>
    <definedName name="Assets" localSheetId="60">#REF!</definedName>
    <definedName name="Assets" localSheetId="20">#REF!</definedName>
    <definedName name="Assets">#REF!</definedName>
    <definedName name="Assets_J98" localSheetId="50">#REF!</definedName>
    <definedName name="Assets_J98" localSheetId="47">#REF!</definedName>
    <definedName name="Assets_J98" localSheetId="44">#REF!</definedName>
    <definedName name="Assets_J98" localSheetId="45">#REF!</definedName>
    <definedName name="Assets_J98" localSheetId="46">#REF!</definedName>
    <definedName name="Assets_J98" localSheetId="37">#REF!</definedName>
    <definedName name="Assets_J98" localSheetId="40">#REF!</definedName>
    <definedName name="Assets_J98" localSheetId="54">#REF!</definedName>
    <definedName name="Assets_J98" localSheetId="55">#REF!</definedName>
    <definedName name="Assets_J98" localSheetId="52">#REF!</definedName>
    <definedName name="Assets_J98" localSheetId="51">#REF!</definedName>
    <definedName name="Assets_J98" localSheetId="53">#REF!</definedName>
    <definedName name="Assets_J98">#REF!</definedName>
    <definedName name="Assets_Rank_J98" localSheetId="50">#REF!</definedName>
    <definedName name="Assets_Rank_J98" localSheetId="47">#REF!</definedName>
    <definedName name="Assets_Rank_J98" localSheetId="44">#REF!</definedName>
    <definedName name="Assets_Rank_J98" localSheetId="45">#REF!</definedName>
    <definedName name="Assets_Rank_J98" localSheetId="46">#REF!</definedName>
    <definedName name="Assets_Rank_J98" localSheetId="37">#REF!</definedName>
    <definedName name="Assets_Rank_J98" localSheetId="40">#REF!</definedName>
    <definedName name="Assets_Rank_J98" localSheetId="54">#REF!</definedName>
    <definedName name="Assets_Rank_J98" localSheetId="55">#REF!</definedName>
    <definedName name="Assets_Rank_J98" localSheetId="52">#REF!</definedName>
    <definedName name="Assets_Rank_J98" localSheetId="51">#REF!</definedName>
    <definedName name="Assets_Rank_J98" localSheetId="53">#REF!</definedName>
    <definedName name="Assets_Rank_J98">#REF!</definedName>
    <definedName name="AssumpPriority" localSheetId="50">#REF!</definedName>
    <definedName name="AssumpPriority" localSheetId="47">#REF!</definedName>
    <definedName name="AssumpPriority" localSheetId="44">#REF!</definedName>
    <definedName name="AssumpPriority" localSheetId="45">#REF!</definedName>
    <definedName name="AssumpPriority" localSheetId="46">#REF!</definedName>
    <definedName name="AssumpPriority" localSheetId="37">#REF!</definedName>
    <definedName name="AssumpPriority" localSheetId="40">#REF!</definedName>
    <definedName name="AssumpPriority" localSheetId="54">#REF!</definedName>
    <definedName name="AssumpPriority" localSheetId="55">#REF!</definedName>
    <definedName name="AssumpPriority" localSheetId="52">#REF!</definedName>
    <definedName name="AssumpPriority" localSheetId="51">#REF!</definedName>
    <definedName name="AssumpPriority" localSheetId="53">#REF!</definedName>
    <definedName name="AssumpPriority">#REF!</definedName>
    <definedName name="AssumptionConstraint" localSheetId="50">#REF!</definedName>
    <definedName name="AssumptionConstraint" localSheetId="47">#REF!</definedName>
    <definedName name="AssumptionConstraint" localSheetId="44">#REF!</definedName>
    <definedName name="AssumptionConstraint" localSheetId="45">#REF!</definedName>
    <definedName name="AssumptionConstraint" localSheetId="46">#REF!</definedName>
    <definedName name="AssumptionConstraint" localSheetId="37">#REF!</definedName>
    <definedName name="AssumptionConstraint" localSheetId="40">#REF!</definedName>
    <definedName name="AssumptionConstraint" localSheetId="54">#REF!</definedName>
    <definedName name="AssumptionConstraint" localSheetId="55">#REF!</definedName>
    <definedName name="AssumptionConstraint" localSheetId="52">#REF!</definedName>
    <definedName name="AssumptionConstraint" localSheetId="51">#REF!</definedName>
    <definedName name="AssumptionConstraint" localSheetId="53">#REF!</definedName>
    <definedName name="AssumptionConstraint">#REF!</definedName>
    <definedName name="ATab1" localSheetId="50">#REF!</definedName>
    <definedName name="ATab1" localSheetId="47">#REF!</definedName>
    <definedName name="ATab1" localSheetId="44">#REF!</definedName>
    <definedName name="ATab1" localSheetId="45">#REF!</definedName>
    <definedName name="ATab1" localSheetId="46">#REF!</definedName>
    <definedName name="ATab1" localSheetId="37">#REF!</definedName>
    <definedName name="ATab1" localSheetId="40">#REF!</definedName>
    <definedName name="ATab1" localSheetId="54">#REF!</definedName>
    <definedName name="ATab1" localSheetId="55">#REF!</definedName>
    <definedName name="ATab1" localSheetId="52">#REF!</definedName>
    <definedName name="ATab1" localSheetId="51">#REF!</definedName>
    <definedName name="ATab1" localSheetId="53">#REF!</definedName>
    <definedName name="ATab1">#REF!</definedName>
    <definedName name="ATab10" localSheetId="50">#REF!</definedName>
    <definedName name="ATab10" localSheetId="47">#REF!</definedName>
    <definedName name="ATab10" localSheetId="44">#REF!</definedName>
    <definedName name="ATab10" localSheetId="45">#REF!</definedName>
    <definedName name="ATab10" localSheetId="46">#REF!</definedName>
    <definedName name="ATab10" localSheetId="37">#REF!</definedName>
    <definedName name="ATab10" localSheetId="40">#REF!</definedName>
    <definedName name="ATab10" localSheetId="54">#REF!</definedName>
    <definedName name="ATab10" localSheetId="55">#REF!</definedName>
    <definedName name="ATab10" localSheetId="52">#REF!</definedName>
    <definedName name="ATab10" localSheetId="51">#REF!</definedName>
    <definedName name="ATab10" localSheetId="53">#REF!</definedName>
    <definedName name="ATab10">#REF!</definedName>
    <definedName name="ATab11" localSheetId="50">#REF!</definedName>
    <definedName name="ATab11" localSheetId="47">#REF!</definedName>
    <definedName name="ATab11" localSheetId="44">#REF!</definedName>
    <definedName name="ATab11" localSheetId="45">#REF!</definedName>
    <definedName name="ATab11" localSheetId="46">#REF!</definedName>
    <definedName name="ATab11" localSheetId="37">#REF!</definedName>
    <definedName name="ATab11" localSheetId="40">#REF!</definedName>
    <definedName name="ATab11" localSheetId="54">#REF!</definedName>
    <definedName name="ATab11" localSheetId="55">#REF!</definedName>
    <definedName name="ATab11" localSheetId="52">#REF!</definedName>
    <definedName name="ATab11" localSheetId="51">#REF!</definedName>
    <definedName name="ATab11" localSheetId="53">#REF!</definedName>
    <definedName name="ATab11">#REF!</definedName>
    <definedName name="ATab12" localSheetId="50">#REF!</definedName>
    <definedName name="ATab12" localSheetId="47">#REF!</definedName>
    <definedName name="ATab12" localSheetId="44">#REF!</definedName>
    <definedName name="ATab12" localSheetId="45">#REF!</definedName>
    <definedName name="ATab12" localSheetId="46">#REF!</definedName>
    <definedName name="ATab12" localSheetId="37">#REF!</definedName>
    <definedName name="ATab12" localSheetId="40">#REF!</definedName>
    <definedName name="ATab12" localSheetId="54">#REF!</definedName>
    <definedName name="ATab12" localSheetId="55">#REF!</definedName>
    <definedName name="ATab12" localSheetId="52">#REF!</definedName>
    <definedName name="ATab12" localSheetId="51">#REF!</definedName>
    <definedName name="ATab12" localSheetId="53">#REF!</definedName>
    <definedName name="ATab12">#REF!</definedName>
    <definedName name="ATab14" localSheetId="50">#REF!</definedName>
    <definedName name="ATab14" localSheetId="47">#REF!</definedName>
    <definedName name="ATab14" localSheetId="44">#REF!</definedName>
    <definedName name="ATab14" localSheetId="45">#REF!</definedName>
    <definedName name="ATab14" localSheetId="46">#REF!</definedName>
    <definedName name="ATab14" localSheetId="37">#REF!</definedName>
    <definedName name="ATab14" localSheetId="40">#REF!</definedName>
    <definedName name="ATab14" localSheetId="54">#REF!</definedName>
    <definedName name="ATab14" localSheetId="55">#REF!</definedName>
    <definedName name="ATab14" localSheetId="52">#REF!</definedName>
    <definedName name="ATab14" localSheetId="51">#REF!</definedName>
    <definedName name="ATab14" localSheetId="53">#REF!</definedName>
    <definedName name="ATab14">#REF!</definedName>
    <definedName name="ATab15" localSheetId="50">#REF!</definedName>
    <definedName name="ATab15" localSheetId="47">#REF!</definedName>
    <definedName name="ATab15" localSheetId="44">#REF!</definedName>
    <definedName name="ATab15" localSheetId="45">#REF!</definedName>
    <definedName name="ATab15" localSheetId="46">#REF!</definedName>
    <definedName name="ATab15" localSheetId="37">#REF!</definedName>
    <definedName name="ATab15" localSheetId="40">#REF!</definedName>
    <definedName name="ATab15" localSheetId="54">#REF!</definedName>
    <definedName name="ATab15" localSheetId="55">#REF!</definedName>
    <definedName name="ATab15" localSheetId="52">#REF!</definedName>
    <definedName name="ATab15" localSheetId="51">#REF!</definedName>
    <definedName name="ATab15" localSheetId="53">#REF!</definedName>
    <definedName name="ATab15">#REF!</definedName>
    <definedName name="ATab16" localSheetId="50">#REF!</definedName>
    <definedName name="ATab16" localSheetId="47">#REF!</definedName>
    <definedName name="ATab16" localSheetId="44">#REF!</definedName>
    <definedName name="ATab16" localSheetId="45">#REF!</definedName>
    <definedName name="ATab16" localSheetId="46">#REF!</definedName>
    <definedName name="ATab16" localSheetId="37">#REF!</definedName>
    <definedName name="ATab16" localSheetId="40">#REF!</definedName>
    <definedName name="ATab16" localSheetId="54">#REF!</definedName>
    <definedName name="ATab16" localSheetId="55">#REF!</definedName>
    <definedName name="ATab16" localSheetId="52">#REF!</definedName>
    <definedName name="ATab16" localSheetId="51">#REF!</definedName>
    <definedName name="ATab16" localSheetId="53">#REF!</definedName>
    <definedName name="ATab16">#REF!</definedName>
    <definedName name="ATab17" localSheetId="50">#REF!</definedName>
    <definedName name="ATab17" localSheetId="47">#REF!</definedName>
    <definedName name="ATab17" localSheetId="44">#REF!</definedName>
    <definedName name="ATab17" localSheetId="45">#REF!</definedName>
    <definedName name="ATab17" localSheetId="46">#REF!</definedName>
    <definedName name="ATab17" localSheetId="37">#REF!</definedName>
    <definedName name="ATab17" localSheetId="40">#REF!</definedName>
    <definedName name="ATab17" localSheetId="54">#REF!</definedName>
    <definedName name="ATab17" localSheetId="55">#REF!</definedName>
    <definedName name="ATab17" localSheetId="52">#REF!</definedName>
    <definedName name="ATab17" localSheetId="51">#REF!</definedName>
    <definedName name="ATab17" localSheetId="53">#REF!</definedName>
    <definedName name="ATab17">#REF!</definedName>
    <definedName name="ATab18" localSheetId="50">#REF!</definedName>
    <definedName name="ATab18" localSheetId="47">#REF!</definedName>
    <definedName name="ATab18" localSheetId="44">#REF!</definedName>
    <definedName name="ATab18" localSheetId="45">#REF!</definedName>
    <definedName name="ATab18" localSheetId="46">#REF!</definedName>
    <definedName name="ATab18" localSheetId="37">#REF!</definedName>
    <definedName name="ATab18" localSheetId="40">#REF!</definedName>
    <definedName name="ATab18" localSheetId="54">#REF!</definedName>
    <definedName name="ATab18" localSheetId="55">#REF!</definedName>
    <definedName name="ATab18" localSheetId="52">#REF!</definedName>
    <definedName name="ATab18" localSheetId="51">#REF!</definedName>
    <definedName name="ATab18" localSheetId="53">#REF!</definedName>
    <definedName name="ATab18">#REF!</definedName>
    <definedName name="ATab19" localSheetId="50">#REF!</definedName>
    <definedName name="ATab19" localSheetId="47">#REF!</definedName>
    <definedName name="ATab19" localSheetId="44">#REF!</definedName>
    <definedName name="ATab19" localSheetId="45">#REF!</definedName>
    <definedName name="ATab19" localSheetId="46">#REF!</definedName>
    <definedName name="ATab19" localSheetId="37">#REF!</definedName>
    <definedName name="ATab19" localSheetId="40">#REF!</definedName>
    <definedName name="ATab19" localSheetId="54">#REF!</definedName>
    <definedName name="ATab19" localSheetId="55">#REF!</definedName>
    <definedName name="ATab19" localSheetId="52">#REF!</definedName>
    <definedName name="ATab19" localSheetId="51">#REF!</definedName>
    <definedName name="ATab19" localSheetId="53">#REF!</definedName>
    <definedName name="ATab19">#REF!</definedName>
    <definedName name="ATab2" localSheetId="50">#REF!</definedName>
    <definedName name="ATab2" localSheetId="47">#REF!</definedName>
    <definedName name="ATab2" localSheetId="44">#REF!</definedName>
    <definedName name="ATab2" localSheetId="45">#REF!</definedName>
    <definedName name="ATab2" localSheetId="46">#REF!</definedName>
    <definedName name="ATab2" localSheetId="37">#REF!</definedName>
    <definedName name="ATab2" localSheetId="40">#REF!</definedName>
    <definedName name="ATab2" localSheetId="54">#REF!</definedName>
    <definedName name="ATab2" localSheetId="55">#REF!</definedName>
    <definedName name="ATab2" localSheetId="52">#REF!</definedName>
    <definedName name="ATab2" localSheetId="51">#REF!</definedName>
    <definedName name="ATab2" localSheetId="53">#REF!</definedName>
    <definedName name="ATab2">#REF!</definedName>
    <definedName name="ATab20" localSheetId="50">#REF!</definedName>
    <definedName name="ATab20" localSheetId="47">#REF!</definedName>
    <definedName name="ATab20" localSheetId="44">#REF!</definedName>
    <definedName name="ATab20" localSheetId="45">#REF!</definedName>
    <definedName name="ATab20" localSheetId="46">#REF!</definedName>
    <definedName name="ATab20" localSheetId="37">#REF!</definedName>
    <definedName name="ATab20" localSheetId="40">#REF!</definedName>
    <definedName name="ATab20" localSheetId="54">#REF!</definedName>
    <definedName name="ATab20" localSheetId="55">#REF!</definedName>
    <definedName name="ATab20" localSheetId="52">#REF!</definedName>
    <definedName name="ATab20" localSheetId="51">#REF!</definedName>
    <definedName name="ATab20" localSheetId="53">#REF!</definedName>
    <definedName name="ATab20">#REF!</definedName>
    <definedName name="ATab21" localSheetId="50">#REF!</definedName>
    <definedName name="ATab21" localSheetId="47">#REF!</definedName>
    <definedName name="ATab21" localSheetId="44">#REF!</definedName>
    <definedName name="ATab21" localSheetId="45">#REF!</definedName>
    <definedName name="ATab21" localSheetId="46">#REF!</definedName>
    <definedName name="ATab21" localSheetId="37">#REF!</definedName>
    <definedName name="ATab21" localSheetId="40">#REF!</definedName>
    <definedName name="ATab21" localSheetId="54">#REF!</definedName>
    <definedName name="ATab21" localSheetId="55">#REF!</definedName>
    <definedName name="ATab21" localSheetId="52">#REF!</definedName>
    <definedName name="ATab21" localSheetId="51">#REF!</definedName>
    <definedName name="ATab21" localSheetId="53">#REF!</definedName>
    <definedName name="ATab21">#REF!</definedName>
    <definedName name="ATab22" localSheetId="50">#REF!</definedName>
    <definedName name="ATab22" localSheetId="47">#REF!</definedName>
    <definedName name="ATab22" localSheetId="44">#REF!</definedName>
    <definedName name="ATab22" localSheetId="45">#REF!</definedName>
    <definedName name="ATab22" localSheetId="46">#REF!</definedName>
    <definedName name="ATab22" localSheetId="37">#REF!</definedName>
    <definedName name="ATab22" localSheetId="40">#REF!</definedName>
    <definedName name="ATab22" localSheetId="54">#REF!</definedName>
    <definedName name="ATab22" localSheetId="55">#REF!</definedName>
    <definedName name="ATab22" localSheetId="52">#REF!</definedName>
    <definedName name="ATab22" localSheetId="51">#REF!</definedName>
    <definedName name="ATab22" localSheetId="53">#REF!</definedName>
    <definedName name="ATab22">#REF!</definedName>
    <definedName name="ATab23" localSheetId="50">#REF!</definedName>
    <definedName name="ATab23" localSheetId="47">#REF!</definedName>
    <definedName name="ATab23" localSheetId="44">#REF!</definedName>
    <definedName name="ATab23" localSheetId="45">#REF!</definedName>
    <definedName name="ATab23" localSheetId="46">#REF!</definedName>
    <definedName name="ATab23" localSheetId="37">#REF!</definedName>
    <definedName name="ATab23" localSheetId="40">#REF!</definedName>
    <definedName name="ATab23" localSheetId="54">#REF!</definedName>
    <definedName name="ATab23" localSheetId="55">#REF!</definedName>
    <definedName name="ATab23" localSheetId="52">#REF!</definedName>
    <definedName name="ATab23" localSheetId="51">#REF!</definedName>
    <definedName name="ATab23" localSheetId="53">#REF!</definedName>
    <definedName name="ATab23">#REF!</definedName>
    <definedName name="ATab3" localSheetId="50">#REF!</definedName>
    <definedName name="ATab3" localSheetId="47">#REF!</definedName>
    <definedName name="ATab3" localSheetId="44">#REF!</definedName>
    <definedName name="ATab3" localSheetId="45">#REF!</definedName>
    <definedName name="ATab3" localSheetId="46">#REF!</definedName>
    <definedName name="ATab3" localSheetId="37">#REF!</definedName>
    <definedName name="ATab3" localSheetId="40">#REF!</definedName>
    <definedName name="ATab3" localSheetId="54">#REF!</definedName>
    <definedName name="ATab3" localSheetId="55">#REF!</definedName>
    <definedName name="ATab3" localSheetId="52">#REF!</definedName>
    <definedName name="ATab3" localSheetId="51">#REF!</definedName>
    <definedName name="ATab3" localSheetId="53">#REF!</definedName>
    <definedName name="ATab3">#REF!</definedName>
    <definedName name="ATab4" localSheetId="50">#REF!</definedName>
    <definedName name="ATab4" localSheetId="47">#REF!</definedName>
    <definedName name="ATab4" localSheetId="44">#REF!</definedName>
    <definedName name="ATab4" localSheetId="45">#REF!</definedName>
    <definedName name="ATab4" localSheetId="46">#REF!</definedName>
    <definedName name="ATab4" localSheetId="37">#REF!</definedName>
    <definedName name="ATab4" localSheetId="40">#REF!</definedName>
    <definedName name="ATab4" localSheetId="54">#REF!</definedName>
    <definedName name="ATab4" localSheetId="55">#REF!</definedName>
    <definedName name="ATab4" localSheetId="52">#REF!</definedName>
    <definedName name="ATab4" localSheetId="51">#REF!</definedName>
    <definedName name="ATab4" localSheetId="53">#REF!</definedName>
    <definedName name="ATab4">#REF!</definedName>
    <definedName name="ATab5" localSheetId="50">#REF!</definedName>
    <definedName name="ATab5" localSheetId="47">#REF!</definedName>
    <definedName name="ATab5" localSheetId="44">#REF!</definedName>
    <definedName name="ATab5" localSheetId="45">#REF!</definedName>
    <definedName name="ATab5" localSheetId="46">#REF!</definedName>
    <definedName name="ATab5" localSheetId="37">#REF!</definedName>
    <definedName name="ATab5" localSheetId="40">#REF!</definedName>
    <definedName name="ATab5" localSheetId="54">#REF!</definedName>
    <definedName name="ATab5" localSheetId="55">#REF!</definedName>
    <definedName name="ATab5" localSheetId="52">#REF!</definedName>
    <definedName name="ATab5" localSheetId="51">#REF!</definedName>
    <definedName name="ATab5" localSheetId="53">#REF!</definedName>
    <definedName name="ATab5">#REF!</definedName>
    <definedName name="ATab6" localSheetId="50">#REF!</definedName>
    <definedName name="ATab6" localSheetId="47">#REF!</definedName>
    <definedName name="ATab6" localSheetId="44">#REF!</definedName>
    <definedName name="ATab6" localSheetId="45">#REF!</definedName>
    <definedName name="ATab6" localSheetId="46">#REF!</definedName>
    <definedName name="ATab6" localSheetId="37">#REF!</definedName>
    <definedName name="ATab6" localSheetId="40">#REF!</definedName>
    <definedName name="ATab6" localSheetId="54">#REF!</definedName>
    <definedName name="ATab6" localSheetId="55">#REF!</definedName>
    <definedName name="ATab6" localSheetId="52">#REF!</definedName>
    <definedName name="ATab6" localSheetId="51">#REF!</definedName>
    <definedName name="ATab6" localSheetId="53">#REF!</definedName>
    <definedName name="ATab6">#REF!</definedName>
    <definedName name="ATab7" localSheetId="50">#REF!</definedName>
    <definedName name="ATab7" localSheetId="47">#REF!</definedName>
    <definedName name="ATab7" localSheetId="44">#REF!</definedName>
    <definedName name="ATab7" localSheetId="45">#REF!</definedName>
    <definedName name="ATab7" localSheetId="46">#REF!</definedName>
    <definedName name="ATab7" localSheetId="37">#REF!</definedName>
    <definedName name="ATab7" localSheetId="40">#REF!</definedName>
    <definedName name="ATab7" localSheetId="54">#REF!</definedName>
    <definedName name="ATab7" localSheetId="55">#REF!</definedName>
    <definedName name="ATab7" localSheetId="52">#REF!</definedName>
    <definedName name="ATab7" localSheetId="51">#REF!</definedName>
    <definedName name="ATab7" localSheetId="53">#REF!</definedName>
    <definedName name="ATab7">#REF!</definedName>
    <definedName name="ATab8" localSheetId="50">#REF!</definedName>
    <definedName name="ATab8" localSheetId="47">#REF!</definedName>
    <definedName name="ATab8" localSheetId="44">#REF!</definedName>
    <definedName name="ATab8" localSheetId="45">#REF!</definedName>
    <definedName name="ATab8" localSheetId="46">#REF!</definedName>
    <definedName name="ATab8" localSheetId="37">#REF!</definedName>
    <definedName name="ATab8" localSheetId="40">#REF!</definedName>
    <definedName name="ATab8" localSheetId="54">#REF!</definedName>
    <definedName name="ATab8" localSheetId="55">#REF!</definedName>
    <definedName name="ATab8" localSheetId="52">#REF!</definedName>
    <definedName name="ATab8" localSheetId="51">#REF!</definedName>
    <definedName name="ATab8" localSheetId="53">#REF!</definedName>
    <definedName name="ATab8">#REF!</definedName>
    <definedName name="ATab9" localSheetId="50">#REF!</definedName>
    <definedName name="ATab9" localSheetId="47">#REF!</definedName>
    <definedName name="ATab9" localSheetId="44">#REF!</definedName>
    <definedName name="ATab9" localSheetId="45">#REF!</definedName>
    <definedName name="ATab9" localSheetId="46">#REF!</definedName>
    <definedName name="ATab9" localSheetId="37">#REF!</definedName>
    <definedName name="ATab9" localSheetId="40">#REF!</definedName>
    <definedName name="ATab9" localSheetId="54">#REF!</definedName>
    <definedName name="ATab9" localSheetId="55">#REF!</definedName>
    <definedName name="ATab9" localSheetId="52">#REF!</definedName>
    <definedName name="ATab9" localSheetId="51">#REF!</definedName>
    <definedName name="ATab9" localSheetId="53">#REF!</definedName>
    <definedName name="ATab9">#REF!</definedName>
    <definedName name="atrade" localSheetId="34">[20]!atrade</definedName>
    <definedName name="atrade" localSheetId="35">[20]!atrade</definedName>
    <definedName name="atrade" localSheetId="50">[22]!atrade</definedName>
    <definedName name="atrade" localSheetId="47">[20]!atrade</definedName>
    <definedName name="atrade" localSheetId="44">[22]!atrade</definedName>
    <definedName name="atrade" localSheetId="45">[20]!atrade</definedName>
    <definedName name="atrade" localSheetId="46">[20]!atrade</definedName>
    <definedName name="atrade" localSheetId="31">[20]!atrade</definedName>
    <definedName name="atrade" localSheetId="32">[20]!atrade</definedName>
    <definedName name="atrade" localSheetId="33">[20]!atrade</definedName>
    <definedName name="atrade" localSheetId="36">[20]!atrade</definedName>
    <definedName name="atrade" localSheetId="37">[20]!atrade</definedName>
    <definedName name="atrade" localSheetId="38">[20]!atrade</definedName>
    <definedName name="atrade" localSheetId="39">[20]!atrade</definedName>
    <definedName name="atrade" localSheetId="40">[20]!atrade</definedName>
    <definedName name="atrade" localSheetId="54">[22]!atrade</definedName>
    <definedName name="atrade" localSheetId="55">[20]!atrade</definedName>
    <definedName name="atrade" localSheetId="52">[22]!atrade</definedName>
    <definedName name="atrade" localSheetId="23">[20]!atrade</definedName>
    <definedName name="atrade" localSheetId="51">[22]!atrade</definedName>
    <definedName name="atrade" localSheetId="53">[22]!atrade</definedName>
    <definedName name="atrade" localSheetId="20">[20]!atrade</definedName>
    <definedName name="atrade">[20]!atrade</definedName>
    <definedName name="Audience_List" localSheetId="50">#REF!</definedName>
    <definedName name="Audience_List" localSheetId="47">#REF!</definedName>
    <definedName name="Audience_List" localSheetId="44">#REF!</definedName>
    <definedName name="Audience_List" localSheetId="45">#REF!</definedName>
    <definedName name="Audience_List" localSheetId="46">#REF!</definedName>
    <definedName name="Audience_List" localSheetId="37">#REF!</definedName>
    <definedName name="Audience_List" localSheetId="40">#REF!</definedName>
    <definedName name="Audience_List" localSheetId="54">#REF!</definedName>
    <definedName name="Audience_List" localSheetId="55">#REF!</definedName>
    <definedName name="Audience_List" localSheetId="52">#REF!</definedName>
    <definedName name="Audience_List" localSheetId="51">#REF!</definedName>
    <definedName name="Audience_List" localSheetId="53">#REF!</definedName>
    <definedName name="Audience_List">#REF!</definedName>
    <definedName name="Aug05Cap" localSheetId="50">#REF!</definedName>
    <definedName name="Aug05Cap" localSheetId="47">#REF!</definedName>
    <definedName name="Aug05Cap" localSheetId="44">#REF!</definedName>
    <definedName name="Aug05Cap" localSheetId="45">#REF!</definedName>
    <definedName name="Aug05Cap" localSheetId="46">#REF!</definedName>
    <definedName name="Aug05Cap" localSheetId="37">#REF!</definedName>
    <definedName name="Aug05Cap" localSheetId="40">#REF!</definedName>
    <definedName name="Aug05Cap" localSheetId="54">#REF!</definedName>
    <definedName name="Aug05Cap" localSheetId="55">#REF!</definedName>
    <definedName name="Aug05Cap" localSheetId="52">#REF!</definedName>
    <definedName name="Aug05Cap" localSheetId="51">#REF!</definedName>
    <definedName name="Aug05Cap" localSheetId="53">#REF!</definedName>
    <definedName name="Aug05Cap">#REF!</definedName>
    <definedName name="Aug06Cap" localSheetId="50">#REF!</definedName>
    <definedName name="Aug06Cap" localSheetId="47">#REF!</definedName>
    <definedName name="Aug06Cap" localSheetId="44">#REF!</definedName>
    <definedName name="Aug06Cap" localSheetId="45">#REF!</definedName>
    <definedName name="Aug06Cap" localSheetId="46">#REF!</definedName>
    <definedName name="Aug06Cap" localSheetId="37">#REF!</definedName>
    <definedName name="Aug06Cap" localSheetId="40">#REF!</definedName>
    <definedName name="Aug06Cap" localSheetId="54">#REF!</definedName>
    <definedName name="Aug06Cap" localSheetId="55">#REF!</definedName>
    <definedName name="Aug06Cap" localSheetId="52">#REF!</definedName>
    <definedName name="Aug06Cap" localSheetId="51">#REF!</definedName>
    <definedName name="Aug06Cap" localSheetId="53">#REF!</definedName>
    <definedName name="Aug06Cap">#REF!</definedName>
    <definedName name="August">'[45]Variance Explanations'!$K$10:$K$84,'[45]Variance Explanations'!$K$98:$K$178,'[45]Variance Explanations'!$K$190:$K$252,'[45]Variance Explanations'!$K$252,'[45]Variance Explanations'!$K$264:$K$343,'[45]Variance Explanations'!$K$356:$K$409,'[45]Variance Explanations'!$K$424:$K$485,'[45]Variance Explanations'!$K$508:$K$555</definedName>
    <definedName name="AutoReplenishment" localSheetId="50">#REF!</definedName>
    <definedName name="AutoReplenishment" localSheetId="47">#REF!</definedName>
    <definedName name="AutoReplenishment" localSheetId="44">#REF!</definedName>
    <definedName name="AutoReplenishment" localSheetId="45">#REF!</definedName>
    <definedName name="AutoReplenishment" localSheetId="46">#REF!</definedName>
    <definedName name="AutoReplenishment" localSheetId="37">#REF!</definedName>
    <definedName name="AutoReplenishment" localSheetId="40">#REF!</definedName>
    <definedName name="AutoReplenishment" localSheetId="54">#REF!</definedName>
    <definedName name="AutoReplenishment" localSheetId="55">#REF!</definedName>
    <definedName name="AutoReplenishment" localSheetId="52">#REF!</definedName>
    <definedName name="AutoReplenishment" localSheetId="51">#REF!</definedName>
    <definedName name="AutoReplenishment" localSheetId="53">#REF!</definedName>
    <definedName name="AutoReplenishment">#REF!</definedName>
    <definedName name="AVG_WEEKLY_BURN" localSheetId="50">#REF!</definedName>
    <definedName name="AVG_WEEKLY_BURN" localSheetId="47">#REF!</definedName>
    <definedName name="AVG_WEEKLY_BURN" localSheetId="44">#REF!</definedName>
    <definedName name="AVG_WEEKLY_BURN" localSheetId="45">#REF!</definedName>
    <definedName name="AVG_WEEKLY_BURN" localSheetId="46">#REF!</definedName>
    <definedName name="AVG_WEEKLY_BURN" localSheetId="37">#REF!</definedName>
    <definedName name="AVG_WEEKLY_BURN" localSheetId="40">#REF!</definedName>
    <definedName name="AVG_WEEKLY_BURN" localSheetId="54">#REF!</definedName>
    <definedName name="AVG_WEEKLY_BURN" localSheetId="55">#REF!</definedName>
    <definedName name="AVG_WEEKLY_BURN" localSheetId="52">#REF!</definedName>
    <definedName name="AVG_WEEKLY_BURN" localSheetId="51">#REF!</definedName>
    <definedName name="AVG_WEEKLY_BURN" localSheetId="53">#REF!</definedName>
    <definedName name="AVG_WEEKLY_BURN">#REF!</definedName>
    <definedName name="B" localSheetId="34">#REF!</definedName>
    <definedName name="B" localSheetId="35">#REF!</definedName>
    <definedName name="B" localSheetId="50">#REF!</definedName>
    <definedName name="B" localSheetId="15">#REF!</definedName>
    <definedName name="B" localSheetId="27">#REF!</definedName>
    <definedName name="B" localSheetId="24">#REF!</definedName>
    <definedName name="B" localSheetId="26">#REF!</definedName>
    <definedName name="B" localSheetId="43">#REF!</definedName>
    <definedName name="B" localSheetId="29">#REF!</definedName>
    <definedName name="B" localSheetId="30">#REF!</definedName>
    <definedName name="B" localSheetId="47">#REF!</definedName>
    <definedName name="B" localSheetId="44">#REF!</definedName>
    <definedName name="B" localSheetId="45">#REF!</definedName>
    <definedName name="B" localSheetId="46">#REF!</definedName>
    <definedName name="B" localSheetId="31">#REF!</definedName>
    <definedName name="B" localSheetId="32">#REF!</definedName>
    <definedName name="B" localSheetId="33">#REF!</definedName>
    <definedName name="B" localSheetId="36">#REF!</definedName>
    <definedName name="B" localSheetId="37">#REF!</definedName>
    <definedName name="B" localSheetId="38">#REF!</definedName>
    <definedName name="B" localSheetId="39">#REF!</definedName>
    <definedName name="B" localSheetId="40">#REF!</definedName>
    <definedName name="B" localSheetId="25">#REF!</definedName>
    <definedName name="B" localSheetId="54">#REF!</definedName>
    <definedName name="B" localSheetId="55">#REF!</definedName>
    <definedName name="B" localSheetId="52">#REF!</definedName>
    <definedName name="B" localSheetId="23">#REF!</definedName>
    <definedName name="B" localSheetId="51">#REF!</definedName>
    <definedName name="B" localSheetId="12">#REF!</definedName>
    <definedName name="B" localSheetId="53">#REF!</definedName>
    <definedName name="B" localSheetId="20">#REF!</definedName>
    <definedName name="B">#REF!</definedName>
    <definedName name="B.o.P" localSheetId="50">#REF!</definedName>
    <definedName name="B.o.P" localSheetId="47">#REF!</definedName>
    <definedName name="B.o.P" localSheetId="44">#REF!</definedName>
    <definedName name="B.o.P" localSheetId="45">#REF!</definedName>
    <definedName name="B.o.P" localSheetId="46">#REF!</definedName>
    <definedName name="B.o.P" localSheetId="37">#REF!</definedName>
    <definedName name="B.o.P" localSheetId="40">#REF!</definedName>
    <definedName name="B.o.P" localSheetId="54">#REF!</definedName>
    <definedName name="B.o.P" localSheetId="55">#REF!</definedName>
    <definedName name="B.o.P" localSheetId="52">#REF!</definedName>
    <definedName name="B.o.P" localSheetId="51">#REF!</definedName>
    <definedName name="B.o.P" localSheetId="53">#REF!</definedName>
    <definedName name="B.o.P">#REF!</definedName>
    <definedName name="B_ONLY" localSheetId="50">#REF!</definedName>
    <definedName name="B_ONLY" localSheetId="47">#REF!</definedName>
    <definedName name="B_ONLY" localSheetId="44">#REF!</definedName>
    <definedName name="B_ONLY" localSheetId="45">#REF!</definedName>
    <definedName name="B_ONLY" localSheetId="46">#REF!</definedName>
    <definedName name="B_ONLY" localSheetId="37">#REF!</definedName>
    <definedName name="B_ONLY" localSheetId="40">#REF!</definedName>
    <definedName name="B_ONLY" localSheetId="54">#REF!</definedName>
    <definedName name="B_ONLY" localSheetId="55">#REF!</definedName>
    <definedName name="B_ONLY" localSheetId="52">#REF!</definedName>
    <definedName name="B_ONLY" localSheetId="51">#REF!</definedName>
    <definedName name="B_ONLY" localSheetId="53">#REF!</definedName>
    <definedName name="B_ONLY">#REF!</definedName>
    <definedName name="Balance" localSheetId="50">#REF!</definedName>
    <definedName name="Balance" localSheetId="47">#REF!</definedName>
    <definedName name="Balance" localSheetId="44">#REF!</definedName>
    <definedName name="Balance" localSheetId="45">#REF!</definedName>
    <definedName name="Balance" localSheetId="46">#REF!</definedName>
    <definedName name="Balance" localSheetId="37">#REF!</definedName>
    <definedName name="Balance" localSheetId="40">#REF!</definedName>
    <definedName name="Balance" localSheetId="54">#REF!</definedName>
    <definedName name="Balance" localSheetId="55">#REF!</definedName>
    <definedName name="Balance" localSheetId="52">#REF!</definedName>
    <definedName name="Balance" localSheetId="51">#REF!</definedName>
    <definedName name="Balance" localSheetId="53">#REF!</definedName>
    <definedName name="Balance">#REF!</definedName>
    <definedName name="bancos">[26]Programa!$A$784</definedName>
    <definedName name="Bank_Codes" localSheetId="34">#REF!</definedName>
    <definedName name="Bank_Codes" localSheetId="35">#REF!</definedName>
    <definedName name="Bank_Codes" localSheetId="50">#REF!</definedName>
    <definedName name="Bank_Codes" localSheetId="15">#REF!</definedName>
    <definedName name="Bank_Codes" localSheetId="27">#REF!</definedName>
    <definedName name="Bank_Codes" localSheetId="24">#REF!</definedName>
    <definedName name="Bank_Codes" localSheetId="26">#REF!</definedName>
    <definedName name="Bank_Codes" localSheetId="29">#REF!</definedName>
    <definedName name="Bank_Codes" localSheetId="30">#REF!</definedName>
    <definedName name="Bank_Codes" localSheetId="47">#REF!</definedName>
    <definedName name="Bank_Codes" localSheetId="44">#REF!</definedName>
    <definedName name="Bank_Codes" localSheetId="45">#REF!</definedName>
    <definedName name="Bank_Codes" localSheetId="46">#REF!</definedName>
    <definedName name="Bank_Codes" localSheetId="31">#REF!</definedName>
    <definedName name="Bank_Codes" localSheetId="32">#REF!</definedName>
    <definedName name="Bank_Codes" localSheetId="33">#REF!</definedName>
    <definedName name="Bank_Codes" localSheetId="36">#REF!</definedName>
    <definedName name="Bank_Codes" localSheetId="37">#REF!</definedName>
    <definedName name="Bank_Codes" localSheetId="38">#REF!</definedName>
    <definedName name="Bank_Codes" localSheetId="39">#REF!</definedName>
    <definedName name="Bank_Codes" localSheetId="40">#REF!</definedName>
    <definedName name="Bank_Codes" localSheetId="25">#REF!</definedName>
    <definedName name="Bank_Codes" localSheetId="54">#REF!</definedName>
    <definedName name="Bank_Codes" localSheetId="55">#REF!</definedName>
    <definedName name="Bank_Codes" localSheetId="52">#REF!</definedName>
    <definedName name="Bank_Codes" localSheetId="23">#REF!</definedName>
    <definedName name="Bank_Codes" localSheetId="51">#REF!</definedName>
    <definedName name="Bank_Codes" localSheetId="12">#REF!</definedName>
    <definedName name="Bank_Codes" localSheetId="53">#REF!</definedName>
    <definedName name="Bank_Codes" localSheetId="49">#REF!</definedName>
    <definedName name="Bank_Codes" localSheetId="20">#REF!</definedName>
    <definedName name="Bank_Codes">#REF!</definedName>
    <definedName name="basass">[49]assumptions!$A$2:$M$34</definedName>
    <definedName name="BASDAT" localSheetId="34">'[30]Annual Tables'!#REF!</definedName>
    <definedName name="BASDAT" localSheetId="35">'[30]Annual Tables'!#REF!</definedName>
    <definedName name="BASDAT" localSheetId="50">'[30]Annual Tables'!#REF!</definedName>
    <definedName name="BASDAT" localSheetId="15">'[30]Annual Tables'!#REF!</definedName>
    <definedName name="BASDAT" localSheetId="29">'[30]Annual Tables'!#REF!</definedName>
    <definedName name="BASDAT" localSheetId="30">'[30]Annual Tables'!#REF!</definedName>
    <definedName name="BASDAT" localSheetId="47">'[30]Annual Tables'!#REF!</definedName>
    <definedName name="BASDAT" localSheetId="44">'[30]Annual Tables'!#REF!</definedName>
    <definedName name="BASDAT" localSheetId="45">'[30]Annual Tables'!#REF!</definedName>
    <definedName name="BASDAT" localSheetId="46">'[30]Annual Tables'!#REF!</definedName>
    <definedName name="BASDAT" localSheetId="31">'[30]Annual Tables'!#REF!</definedName>
    <definedName name="BASDAT" localSheetId="32">'[30]Annual Tables'!#REF!</definedName>
    <definedName name="BASDAT" localSheetId="33">'[30]Annual Tables'!#REF!</definedName>
    <definedName name="BASDAT" localSheetId="36">'[30]Annual Tables'!#REF!</definedName>
    <definedName name="BASDAT" localSheetId="37">'[30]Annual Tables'!#REF!</definedName>
    <definedName name="BASDAT" localSheetId="38">'[30]Annual Tables'!#REF!</definedName>
    <definedName name="BASDAT" localSheetId="39">'[30]Annual Tables'!#REF!</definedName>
    <definedName name="BASDAT" localSheetId="40">'[30]Annual Tables'!#REF!</definedName>
    <definedName name="BASDAT" localSheetId="54">'[30]Annual Tables'!#REF!</definedName>
    <definedName name="BASDAT" localSheetId="55">'[30]Annual Tables'!#REF!</definedName>
    <definedName name="BASDAT" localSheetId="52">'[30]Annual Tables'!#REF!</definedName>
    <definedName name="BASDAT" localSheetId="23">'[30]Annual Tables'!#REF!</definedName>
    <definedName name="BASDAT" localSheetId="51">'[30]Annual Tables'!#REF!</definedName>
    <definedName name="BASDAT" localSheetId="53">'[30]Annual Tables'!#REF!</definedName>
    <definedName name="BASDAT" localSheetId="20">'[30]Annual Tables'!#REF!</definedName>
    <definedName name="BASDAT">'[30]Annual Tables'!#REF!</definedName>
    <definedName name="BASE1" localSheetId="34">#REF!</definedName>
    <definedName name="BASE1" localSheetId="35">#REF!</definedName>
    <definedName name="BASE1" localSheetId="50">#REF!</definedName>
    <definedName name="BASE1" localSheetId="15">#REF!</definedName>
    <definedName name="BASE1" localSheetId="29">#REF!</definedName>
    <definedName name="BASE1" localSheetId="30">#REF!</definedName>
    <definedName name="BASE1" localSheetId="47">#REF!</definedName>
    <definedName name="BASE1" localSheetId="44">#REF!</definedName>
    <definedName name="BASE1" localSheetId="45">#REF!</definedName>
    <definedName name="BASE1" localSheetId="46">#REF!</definedName>
    <definedName name="BASE1" localSheetId="31">#REF!</definedName>
    <definedName name="BASE1" localSheetId="32">#REF!</definedName>
    <definedName name="BASE1" localSheetId="33">#REF!</definedName>
    <definedName name="BASE1" localSheetId="36">#REF!</definedName>
    <definedName name="BASE1" localSheetId="37">#REF!</definedName>
    <definedName name="BASE1" localSheetId="38">#REF!</definedName>
    <definedName name="BASE1" localSheetId="39">#REF!</definedName>
    <definedName name="BASE1" localSheetId="40">#REF!</definedName>
    <definedName name="BASE1" localSheetId="54">#REF!</definedName>
    <definedName name="BASE1" localSheetId="55">#REF!</definedName>
    <definedName name="BASE1" localSheetId="52">#REF!</definedName>
    <definedName name="BASE1" localSheetId="23">#REF!</definedName>
    <definedName name="BASE1" localSheetId="51">#REF!</definedName>
    <definedName name="BASE1" localSheetId="53">#REF!</definedName>
    <definedName name="BASE1" localSheetId="20">#REF!</definedName>
    <definedName name="BASE1">#REF!</definedName>
    <definedName name="baseflow" localSheetId="34">'[50]K. IMF Base'!#REF!</definedName>
    <definedName name="baseflow" localSheetId="35">'[50]K. IMF Base'!#REF!</definedName>
    <definedName name="baseflow" localSheetId="50">'[50]K. IMF Base'!#REF!</definedName>
    <definedName name="baseflow" localSheetId="15">'[50]K. IMF Base'!#REF!</definedName>
    <definedName name="baseflow" localSheetId="29">'[50]K. IMF Base'!#REF!</definedName>
    <definedName name="baseflow" localSheetId="30">'[50]K. IMF Base'!#REF!</definedName>
    <definedName name="baseflow" localSheetId="47">'[50]K. IMF Base'!#REF!</definedName>
    <definedName name="baseflow" localSheetId="44">'[50]K. IMF Base'!#REF!</definedName>
    <definedName name="baseflow" localSheetId="45">'[50]K. IMF Base'!#REF!</definedName>
    <definedName name="baseflow" localSheetId="46">'[50]K. IMF Base'!#REF!</definedName>
    <definedName name="baseflow" localSheetId="31">'[50]K. IMF Base'!#REF!</definedName>
    <definedName name="baseflow" localSheetId="32">'[50]K. IMF Base'!#REF!</definedName>
    <definedName name="baseflow" localSheetId="33">'[50]K. IMF Base'!#REF!</definedName>
    <definedName name="baseflow" localSheetId="36">'[50]K. IMF Base'!#REF!</definedName>
    <definedName name="baseflow" localSheetId="37">'[50]K. IMF Base'!#REF!</definedName>
    <definedName name="baseflow" localSheetId="38">'[50]K. IMF Base'!#REF!</definedName>
    <definedName name="baseflow" localSheetId="39">'[50]K. IMF Base'!#REF!</definedName>
    <definedName name="baseflow" localSheetId="40">'[50]K. IMF Base'!#REF!</definedName>
    <definedName name="baseflow" localSheetId="54">'[50]K. IMF Base'!#REF!</definedName>
    <definedName name="baseflow" localSheetId="55">'[50]K. IMF Base'!#REF!</definedName>
    <definedName name="baseflow" localSheetId="52">'[50]K. IMF Base'!#REF!</definedName>
    <definedName name="baseflow" localSheetId="23">'[50]K. IMF Base'!#REF!</definedName>
    <definedName name="baseflow" localSheetId="51">'[50]K. IMF Base'!#REF!</definedName>
    <definedName name="baseflow" localSheetId="53">'[50]K. IMF Base'!#REF!</definedName>
    <definedName name="baseflow" localSheetId="20">'[50]K. IMF Base'!#REF!</definedName>
    <definedName name="baseflow">'[50]K. IMF Base'!#REF!</definedName>
    <definedName name="BASOMA" localSheetId="34">#REF!</definedName>
    <definedName name="BASOMA" localSheetId="35">#REF!</definedName>
    <definedName name="BASOMA" localSheetId="50">#REF!</definedName>
    <definedName name="BASOMA" localSheetId="15">#REF!</definedName>
    <definedName name="BASOMA" localSheetId="29">#REF!</definedName>
    <definedName name="BASOMA" localSheetId="30">#REF!</definedName>
    <definedName name="BASOMA" localSheetId="47">#REF!</definedName>
    <definedName name="BASOMA" localSheetId="44">#REF!</definedName>
    <definedName name="BASOMA" localSheetId="45">#REF!</definedName>
    <definedName name="BASOMA" localSheetId="46">#REF!</definedName>
    <definedName name="BASOMA" localSheetId="31">#REF!</definedName>
    <definedName name="BASOMA" localSheetId="32">#REF!</definedName>
    <definedName name="BASOMA" localSheetId="33">#REF!</definedName>
    <definedName name="BASOMA" localSheetId="36">#REF!</definedName>
    <definedName name="BASOMA" localSheetId="37">#REF!</definedName>
    <definedName name="BASOMA" localSheetId="38">#REF!</definedName>
    <definedName name="BASOMA" localSheetId="39">#REF!</definedName>
    <definedName name="BASOMA" localSheetId="40">#REF!</definedName>
    <definedName name="BASOMA" localSheetId="54">#REF!</definedName>
    <definedName name="BASOMA" localSheetId="55">#REF!</definedName>
    <definedName name="BASOMA" localSheetId="52">#REF!</definedName>
    <definedName name="BASOMA" localSheetId="23">#REF!</definedName>
    <definedName name="BASOMA" localSheetId="51">#REF!</definedName>
    <definedName name="BASOMA" localSheetId="53">#REF!</definedName>
    <definedName name="BASOMA" localSheetId="20">#REF!</definedName>
    <definedName name="BASOMA">#REF!</definedName>
    <definedName name="Batumi_debt" localSheetId="50">#REF!</definedName>
    <definedName name="Batumi_debt" localSheetId="47">#REF!</definedName>
    <definedName name="Batumi_debt" localSheetId="44">#REF!</definedName>
    <definedName name="Batumi_debt" localSheetId="45">#REF!</definedName>
    <definedName name="Batumi_debt" localSheetId="46">#REF!</definedName>
    <definedName name="Batumi_debt" localSheetId="37">#REF!</definedName>
    <definedName name="Batumi_debt" localSheetId="40">#REF!</definedName>
    <definedName name="Batumi_debt" localSheetId="54">#REF!</definedName>
    <definedName name="Batumi_debt" localSheetId="55">#REF!</definedName>
    <definedName name="Batumi_debt" localSheetId="52">#REF!</definedName>
    <definedName name="Batumi_debt" localSheetId="51">#REF!</definedName>
    <definedName name="Batumi_debt" localSheetId="53">#REF!</definedName>
    <definedName name="Batumi_debt">#REF!</definedName>
    <definedName name="bb" localSheetId="34">#REF!</definedName>
    <definedName name="bb" localSheetId="35">#REF!</definedName>
    <definedName name="bb" localSheetId="50">#REF!</definedName>
    <definedName name="bb" localSheetId="15">#REF!</definedName>
    <definedName name="bb" localSheetId="29">#REF!</definedName>
    <definedName name="bb" localSheetId="30">#REF!</definedName>
    <definedName name="bb" localSheetId="47">#REF!</definedName>
    <definedName name="bb" localSheetId="44">#REF!</definedName>
    <definedName name="bb" localSheetId="45">#REF!</definedName>
    <definedName name="bb" localSheetId="46">#REF!</definedName>
    <definedName name="bb" localSheetId="31">#REF!</definedName>
    <definedName name="bb" localSheetId="32">#REF!</definedName>
    <definedName name="bb" localSheetId="33">#REF!</definedName>
    <definedName name="bb" localSheetId="36">#REF!</definedName>
    <definedName name="bb" localSheetId="37">#REF!</definedName>
    <definedName name="bb" localSheetId="38">#REF!</definedName>
    <definedName name="bb" localSheetId="39">#REF!</definedName>
    <definedName name="bb" localSheetId="40">#REF!</definedName>
    <definedName name="bb" localSheetId="54">#REF!</definedName>
    <definedName name="bb" localSheetId="55">#REF!</definedName>
    <definedName name="bb" localSheetId="52">#REF!</definedName>
    <definedName name="bb" localSheetId="23">#REF!</definedName>
    <definedName name="bb" localSheetId="51">#REF!</definedName>
    <definedName name="bb" localSheetId="53">#REF!</definedName>
    <definedName name="bb" localSheetId="20">#REF!</definedName>
    <definedName name="bb">#REF!</definedName>
    <definedName name="BBB" localSheetId="50">#REF!</definedName>
    <definedName name="BBB" localSheetId="47">#REF!</definedName>
    <definedName name="BBB" localSheetId="44">#REF!</definedName>
    <definedName name="BBB" localSheetId="45">#REF!</definedName>
    <definedName name="BBB" localSheetId="46">#REF!</definedName>
    <definedName name="BBB" localSheetId="37">#REF!</definedName>
    <definedName name="BBB" localSheetId="40">#REF!</definedName>
    <definedName name="BBB" localSheetId="54">#REF!</definedName>
    <definedName name="BBB" localSheetId="55">#REF!</definedName>
    <definedName name="BBB" localSheetId="52">#REF!</definedName>
    <definedName name="BBB" localSheetId="51">#REF!</definedName>
    <definedName name="BBB" localSheetId="53">#REF!</definedName>
    <definedName name="BBB">#REF!</definedName>
    <definedName name="bbbb" localSheetId="58" hidden="1">{"Minpmon",#N/A,FALSE,"Monthinput"}</definedName>
    <definedName name="bbbb" localSheetId="16" hidden="1">{"Minpmon",#N/A,FALSE,"Monthinput"}</definedName>
    <definedName name="bbbb" localSheetId="61" hidden="1">{"Minpmon",#N/A,FALSE,"Monthinput"}</definedName>
    <definedName name="bbbb" localSheetId="62" hidden="1">{"Minpmon",#N/A,FALSE,"Monthinput"}</definedName>
    <definedName name="bbbb" localSheetId="50" hidden="1">{"Minpmon",#N/A,FALSE,"Monthinput"}</definedName>
    <definedName name="bbbb" localSheetId="63" hidden="1">{"Minpmon",#N/A,FALSE,"Monthinput"}</definedName>
    <definedName name="bbbb" localSheetId="15" hidden="1">{"Minpmon",#N/A,FALSE,"Monthinput"}</definedName>
    <definedName name="bbbb" localSheetId="1" hidden="1">{"Minpmon",#N/A,FALSE,"Monthinput"}</definedName>
    <definedName name="bbbb" localSheetId="43" hidden="1">{"Minpmon",#N/A,FALSE,"Monthinput"}</definedName>
    <definedName name="bbbb" localSheetId="29" hidden="1">{"Minpmon",#N/A,FALSE,"Monthinput"}</definedName>
    <definedName name="bbbb" localSheetId="30" hidden="1">{"Minpmon",#N/A,FALSE,"Monthinput"}</definedName>
    <definedName name="bbbb" localSheetId="44" hidden="1">{"Minpmon",#N/A,FALSE,"Monthinput"}</definedName>
    <definedName name="bbbb" localSheetId="59" hidden="1">{"Minpmon",#N/A,FALSE,"Monthinput"}</definedName>
    <definedName name="bbbb" localSheetId="13" hidden="1">{"Minpmon",#N/A,FALSE,"Monthinput"}</definedName>
    <definedName name="bbbb" localSheetId="0" hidden="1">{"Minpmon",#N/A,FALSE,"Monthinput"}</definedName>
    <definedName name="bbbb" localSheetId="57" hidden="1">{"Minpmon",#N/A,FALSE,"Monthinput"}</definedName>
    <definedName name="bbbb" localSheetId="56" hidden="1">{"Minpmon",#N/A,FALSE,"Monthinput"}</definedName>
    <definedName name="bbbb" localSheetId="54" hidden="1">{"Minpmon",#N/A,FALSE,"Monthinput"}</definedName>
    <definedName name="bbbb" localSheetId="52" hidden="1">{"Minpmon",#N/A,FALSE,"Monthinput"}</definedName>
    <definedName name="bbbb" localSheetId="23" hidden="1">{"Minpmon",#N/A,FALSE,"Monthinput"}</definedName>
    <definedName name="bbbb" localSheetId="51" hidden="1">{"Minpmon",#N/A,FALSE,"Monthinput"}</definedName>
    <definedName name="bbbb" localSheetId="53" hidden="1">{"Minpmon",#N/A,FALSE,"Monthinput"}</definedName>
    <definedName name="bbbb" localSheetId="60" hidden="1">{"Minpmon",#N/A,FALSE,"Monthinput"}</definedName>
    <definedName name="bbbb" hidden="1">{"Minpmon",#N/A,FALSE,"Monthinput"}</definedName>
    <definedName name="BCA" localSheetId="50">#N/A</definedName>
    <definedName name="BCA" localSheetId="44">#N/A</definedName>
    <definedName name="BCA" localSheetId="54">#N/A</definedName>
    <definedName name="BCA" localSheetId="52">#N/A</definedName>
    <definedName name="BCA" localSheetId="51">#N/A</definedName>
    <definedName name="BCA" localSheetId="53">#N/A</definedName>
    <definedName name="BCA">[51]Q6!$E$9:$AH$9</definedName>
    <definedName name="BCA_GDP">#N/A</definedName>
    <definedName name="BCA_NGDP" localSheetId="50">#REF!</definedName>
    <definedName name="BCA_NGDP" localSheetId="47">#REF!</definedName>
    <definedName name="BCA_NGDP" localSheetId="44">#REF!</definedName>
    <definedName name="BCA_NGDP" localSheetId="45">#REF!</definedName>
    <definedName name="BCA_NGDP" localSheetId="46">#REF!</definedName>
    <definedName name="BCA_NGDP" localSheetId="37">#REF!</definedName>
    <definedName name="BCA_NGDP" localSheetId="40">#REF!</definedName>
    <definedName name="BCA_NGDP" localSheetId="54">#REF!</definedName>
    <definedName name="BCA_NGDP" localSheetId="55">#REF!</definedName>
    <definedName name="BCA_NGDP" localSheetId="52">#REF!</definedName>
    <definedName name="BCA_NGDP" localSheetId="51">#REF!</definedName>
    <definedName name="BCA_NGDP" localSheetId="53">#REF!</definedName>
    <definedName name="BCA_NGDP">#REF!</definedName>
    <definedName name="bcos" localSheetId="34">#REF!</definedName>
    <definedName name="bcos" localSheetId="35">#REF!</definedName>
    <definedName name="bcos" localSheetId="50">#REF!</definedName>
    <definedName name="bcos" localSheetId="15">#REF!</definedName>
    <definedName name="bcos" localSheetId="29">#REF!</definedName>
    <definedName name="bcos" localSheetId="30">#REF!</definedName>
    <definedName name="bcos" localSheetId="47">#REF!</definedName>
    <definedName name="bcos" localSheetId="44">#REF!</definedName>
    <definedName name="bcos" localSheetId="45">#REF!</definedName>
    <definedName name="bcos" localSheetId="46">#REF!</definedName>
    <definedName name="bcos" localSheetId="31">#REF!</definedName>
    <definedName name="bcos" localSheetId="32">#REF!</definedName>
    <definedName name="bcos" localSheetId="33">#REF!</definedName>
    <definedName name="bcos" localSheetId="36">#REF!</definedName>
    <definedName name="bcos" localSheetId="37">#REF!</definedName>
    <definedName name="bcos" localSheetId="38">#REF!</definedName>
    <definedName name="bcos" localSheetId="39">#REF!</definedName>
    <definedName name="bcos" localSheetId="40">#REF!</definedName>
    <definedName name="bcos" localSheetId="54">#REF!</definedName>
    <definedName name="bcos" localSheetId="55">#REF!</definedName>
    <definedName name="bcos" localSheetId="52">#REF!</definedName>
    <definedName name="bcos" localSheetId="23">#REF!</definedName>
    <definedName name="bcos" localSheetId="51">#REF!</definedName>
    <definedName name="bcos" localSheetId="53">#REF!</definedName>
    <definedName name="bcos" localSheetId="20">#REF!</definedName>
    <definedName name="bcos">#REF!</definedName>
    <definedName name="bcrate">'[52]Burn Rates'!$G$19</definedName>
    <definedName name="BDFiscal" localSheetId="50">#REF!</definedName>
    <definedName name="BDFiscal" localSheetId="47">#REF!</definedName>
    <definedName name="BDFiscal" localSheetId="44">#REF!</definedName>
    <definedName name="BDFiscal" localSheetId="45">#REF!</definedName>
    <definedName name="BDFiscal" localSheetId="46">#REF!</definedName>
    <definedName name="BDFiscal" localSheetId="37">#REF!</definedName>
    <definedName name="BDFiscal" localSheetId="40">#REF!</definedName>
    <definedName name="BDFiscal" localSheetId="54">#REF!</definedName>
    <definedName name="BDFiscal" localSheetId="55">#REF!</definedName>
    <definedName name="BDFiscal" localSheetId="52">#REF!</definedName>
    <definedName name="BDFiscal" localSheetId="51">#REF!</definedName>
    <definedName name="BDFiscal" localSheetId="53">#REF!</definedName>
    <definedName name="BDFiscal">#REF!</definedName>
    <definedName name="BE">#N/A</definedName>
    <definedName name="BEA" localSheetId="50">#REF!</definedName>
    <definedName name="BEA" localSheetId="47">#REF!</definedName>
    <definedName name="BEA" localSheetId="44">#REF!</definedName>
    <definedName name="BEA" localSheetId="45">#REF!</definedName>
    <definedName name="BEA" localSheetId="46">#REF!</definedName>
    <definedName name="BEA" localSheetId="37">#REF!</definedName>
    <definedName name="BEA" localSheetId="40">#REF!</definedName>
    <definedName name="BEA" localSheetId="54">#REF!</definedName>
    <definedName name="BEA" localSheetId="55">#REF!</definedName>
    <definedName name="BEA" localSheetId="52">#REF!</definedName>
    <definedName name="BEA" localSheetId="51">#REF!</definedName>
    <definedName name="BEA" localSheetId="53">#REF!</definedName>
    <definedName name="BEA">#REF!</definedName>
    <definedName name="BEAI">#N/A</definedName>
    <definedName name="BEAIB">#N/A</definedName>
    <definedName name="BEAIG">#N/A</definedName>
    <definedName name="BEAP">#N/A</definedName>
    <definedName name="BEAPB">#N/A</definedName>
    <definedName name="BEAPG">#N/A</definedName>
    <definedName name="BEBE" localSheetId="34">#REF!</definedName>
    <definedName name="BEBE" localSheetId="35">#REF!</definedName>
    <definedName name="BEBE" localSheetId="50">#REF!</definedName>
    <definedName name="BEBE" localSheetId="15">#REF!</definedName>
    <definedName name="BEBE" localSheetId="29">#REF!</definedName>
    <definedName name="BEBE" localSheetId="30">#REF!</definedName>
    <definedName name="BEBE" localSheetId="47">#REF!</definedName>
    <definedName name="BEBE" localSheetId="44">#REF!</definedName>
    <definedName name="BEBE" localSheetId="45">#REF!</definedName>
    <definedName name="BEBE" localSheetId="46">#REF!</definedName>
    <definedName name="BEBE" localSheetId="31">#REF!</definedName>
    <definedName name="BEBE" localSheetId="32">#REF!</definedName>
    <definedName name="BEBE" localSheetId="33">#REF!</definedName>
    <definedName name="BEBE" localSheetId="36">#REF!</definedName>
    <definedName name="BEBE" localSheetId="37">#REF!</definedName>
    <definedName name="BEBE" localSheetId="38">#REF!</definedName>
    <definedName name="BEBE" localSheetId="39">#REF!</definedName>
    <definedName name="BEBE" localSheetId="40">#REF!</definedName>
    <definedName name="BEBE" localSheetId="54">#REF!</definedName>
    <definedName name="BEBE" localSheetId="55">#REF!</definedName>
    <definedName name="BEBE" localSheetId="52">#REF!</definedName>
    <definedName name="BEBE" localSheetId="23">#REF!</definedName>
    <definedName name="BEBE" localSheetId="51">#REF!</definedName>
    <definedName name="BEBE" localSheetId="53">#REF!</definedName>
    <definedName name="BEBE" localSheetId="20">#REF!</definedName>
    <definedName name="BEBE">#REF!</definedName>
    <definedName name="BED" localSheetId="50">#REF!</definedName>
    <definedName name="BED" localSheetId="47">#REF!</definedName>
    <definedName name="BED" localSheetId="44">#REF!</definedName>
    <definedName name="BED" localSheetId="45">#REF!</definedName>
    <definedName name="BED" localSheetId="46">#REF!</definedName>
    <definedName name="BED" localSheetId="37">#REF!</definedName>
    <definedName name="BED" localSheetId="40">#REF!</definedName>
    <definedName name="BED" localSheetId="54">#REF!</definedName>
    <definedName name="BED" localSheetId="55">#REF!</definedName>
    <definedName name="BED" localSheetId="52">#REF!</definedName>
    <definedName name="BED" localSheetId="51">#REF!</definedName>
    <definedName name="BED" localSheetId="53">#REF!</definedName>
    <definedName name="BED">#REF!</definedName>
    <definedName name="BED_6" localSheetId="50">#REF!</definedName>
    <definedName name="BED_6" localSheetId="47">#REF!</definedName>
    <definedName name="BED_6" localSheetId="44">#REF!</definedName>
    <definedName name="BED_6" localSheetId="45">#REF!</definedName>
    <definedName name="BED_6" localSheetId="46">#REF!</definedName>
    <definedName name="BED_6" localSheetId="37">#REF!</definedName>
    <definedName name="BED_6" localSheetId="40">#REF!</definedName>
    <definedName name="BED_6" localSheetId="54">#REF!</definedName>
    <definedName name="BED_6" localSheetId="55">#REF!</definedName>
    <definedName name="BED_6" localSheetId="52">#REF!</definedName>
    <definedName name="BED_6" localSheetId="51">#REF!</definedName>
    <definedName name="BED_6" localSheetId="53">#REF!</definedName>
    <definedName name="BED_6">#REF!</definedName>
    <definedName name="BEDE" localSheetId="34">#REF!</definedName>
    <definedName name="BEDE" localSheetId="35">#REF!</definedName>
    <definedName name="BEDE" localSheetId="50">#REF!</definedName>
    <definedName name="BEDE" localSheetId="15">#REF!</definedName>
    <definedName name="BEDE" localSheetId="29">#REF!</definedName>
    <definedName name="BEDE" localSheetId="30">#REF!</definedName>
    <definedName name="BEDE" localSheetId="47">#REF!</definedName>
    <definedName name="BEDE" localSheetId="44">#REF!</definedName>
    <definedName name="BEDE" localSheetId="45">#REF!</definedName>
    <definedName name="BEDE" localSheetId="46">#REF!</definedName>
    <definedName name="BEDE" localSheetId="31">#REF!</definedName>
    <definedName name="BEDE" localSheetId="32">#REF!</definedName>
    <definedName name="BEDE" localSheetId="33">#REF!</definedName>
    <definedName name="BEDE" localSheetId="36">#REF!</definedName>
    <definedName name="BEDE" localSheetId="37">#REF!</definedName>
    <definedName name="BEDE" localSheetId="38">#REF!</definedName>
    <definedName name="BEDE" localSheetId="39">#REF!</definedName>
    <definedName name="BEDE" localSheetId="40">#REF!</definedName>
    <definedName name="BEDE" localSheetId="54">#REF!</definedName>
    <definedName name="BEDE" localSheetId="55">#REF!</definedName>
    <definedName name="BEDE" localSheetId="52">#REF!</definedName>
    <definedName name="BEDE" localSheetId="23">#REF!</definedName>
    <definedName name="BEDE" localSheetId="51">#REF!</definedName>
    <definedName name="BEDE" localSheetId="53">#REF!</definedName>
    <definedName name="BEDE" localSheetId="20">#REF!</definedName>
    <definedName name="BEDE">#REF!</definedName>
    <definedName name="bem" localSheetId="34">[27]Programa!#REF!</definedName>
    <definedName name="bem" localSheetId="35">[27]Programa!#REF!</definedName>
    <definedName name="bem" localSheetId="50">[27]Programa!#REF!</definedName>
    <definedName name="bem" localSheetId="15">[27]Programa!#REF!</definedName>
    <definedName name="bem" localSheetId="29">[27]Programa!#REF!</definedName>
    <definedName name="bem" localSheetId="30">[27]Programa!#REF!</definedName>
    <definedName name="bem" localSheetId="47">[27]Programa!#REF!</definedName>
    <definedName name="bem" localSheetId="44">[27]Programa!#REF!</definedName>
    <definedName name="bem" localSheetId="45">[27]Programa!#REF!</definedName>
    <definedName name="bem" localSheetId="46">[27]Programa!#REF!</definedName>
    <definedName name="bem" localSheetId="31">[27]Programa!#REF!</definedName>
    <definedName name="bem" localSheetId="32">[27]Programa!#REF!</definedName>
    <definedName name="bem" localSheetId="33">[27]Programa!#REF!</definedName>
    <definedName name="bem" localSheetId="36">[27]Programa!#REF!</definedName>
    <definedName name="bem" localSheetId="37">[27]Programa!#REF!</definedName>
    <definedName name="bem" localSheetId="38">[27]Programa!#REF!</definedName>
    <definedName name="bem" localSheetId="39">[27]Programa!#REF!</definedName>
    <definedName name="bem" localSheetId="40">[27]Programa!#REF!</definedName>
    <definedName name="bem" localSheetId="54">[27]Programa!#REF!</definedName>
    <definedName name="bem" localSheetId="55">[27]Programa!#REF!</definedName>
    <definedName name="bem" localSheetId="52">[27]Programa!#REF!</definedName>
    <definedName name="bem" localSheetId="23">[27]Programa!#REF!</definedName>
    <definedName name="bem" localSheetId="51">[27]Programa!#REF!</definedName>
    <definedName name="bem" localSheetId="53">[27]Programa!#REF!</definedName>
    <definedName name="bem" localSheetId="20">[27]Programa!#REF!</definedName>
    <definedName name="bem">[27]Programa!#REF!</definedName>
    <definedName name="Benchmarks" localSheetId="50">#REF!</definedName>
    <definedName name="Benchmarks" localSheetId="47">#REF!</definedName>
    <definedName name="Benchmarks" localSheetId="44">#REF!</definedName>
    <definedName name="Benchmarks" localSheetId="45">#REF!</definedName>
    <definedName name="Benchmarks" localSheetId="46">#REF!</definedName>
    <definedName name="Benchmarks" localSheetId="37">#REF!</definedName>
    <definedName name="Benchmarks" localSheetId="40">#REF!</definedName>
    <definedName name="Benchmarks" localSheetId="54">#REF!</definedName>
    <definedName name="Benchmarks" localSheetId="55">#REF!</definedName>
    <definedName name="Benchmarks" localSheetId="52">#REF!</definedName>
    <definedName name="Benchmarks" localSheetId="51">#REF!</definedName>
    <definedName name="Benchmarks" localSheetId="53">#REF!</definedName>
    <definedName name="Benchmarks">#REF!</definedName>
    <definedName name="BEO" localSheetId="50">#REF!</definedName>
    <definedName name="BEO" localSheetId="47">#REF!</definedName>
    <definedName name="BEO" localSheetId="44">#REF!</definedName>
    <definedName name="BEO" localSheetId="45">#REF!</definedName>
    <definedName name="BEO" localSheetId="46">#REF!</definedName>
    <definedName name="BEO" localSheetId="37">#REF!</definedName>
    <definedName name="BEO" localSheetId="40">#REF!</definedName>
    <definedName name="BEO" localSheetId="54">#REF!</definedName>
    <definedName name="BEO" localSheetId="55">#REF!</definedName>
    <definedName name="BEO" localSheetId="52">#REF!</definedName>
    <definedName name="BEO" localSheetId="51">#REF!</definedName>
    <definedName name="BEO" localSheetId="53">#REF!</definedName>
    <definedName name="BEO">#REF!</definedName>
    <definedName name="BER" localSheetId="50">#REF!</definedName>
    <definedName name="BER" localSheetId="47">#REF!</definedName>
    <definedName name="BER" localSheetId="44">#REF!</definedName>
    <definedName name="BER" localSheetId="45">#REF!</definedName>
    <definedName name="BER" localSheetId="46">#REF!</definedName>
    <definedName name="BER" localSheetId="37">#REF!</definedName>
    <definedName name="BER" localSheetId="40">#REF!</definedName>
    <definedName name="BER" localSheetId="54">#REF!</definedName>
    <definedName name="BER" localSheetId="55">#REF!</definedName>
    <definedName name="BER" localSheetId="52">#REF!</definedName>
    <definedName name="BER" localSheetId="51">#REF!</definedName>
    <definedName name="BER" localSheetId="53">#REF!</definedName>
    <definedName name="BER">#REF!</definedName>
    <definedName name="BERI">#N/A</definedName>
    <definedName name="BERIB">#N/A</definedName>
    <definedName name="BERIG">#N/A</definedName>
    <definedName name="BERP">#N/A</definedName>
    <definedName name="BERPB">#N/A</definedName>
    <definedName name="BERPG">#N/A</definedName>
    <definedName name="best" localSheetId="34">#REF!</definedName>
    <definedName name="best" localSheetId="35">#REF!</definedName>
    <definedName name="best" localSheetId="50">#REF!</definedName>
    <definedName name="best" localSheetId="15">#REF!</definedName>
    <definedName name="best" localSheetId="29">#REF!</definedName>
    <definedName name="best" localSheetId="30">#REF!</definedName>
    <definedName name="best" localSheetId="47">#REF!</definedName>
    <definedName name="best" localSheetId="44">#REF!</definedName>
    <definedName name="best" localSheetId="45">#REF!</definedName>
    <definedName name="best" localSheetId="46">#REF!</definedName>
    <definedName name="best" localSheetId="31">#REF!</definedName>
    <definedName name="best" localSheetId="32">#REF!</definedName>
    <definedName name="best" localSheetId="33">#REF!</definedName>
    <definedName name="best" localSheetId="36">#REF!</definedName>
    <definedName name="best" localSheetId="37">#REF!</definedName>
    <definedName name="best" localSheetId="38">#REF!</definedName>
    <definedName name="best" localSheetId="39">#REF!</definedName>
    <definedName name="best" localSheetId="40">#REF!</definedName>
    <definedName name="best" localSheetId="54">#REF!</definedName>
    <definedName name="best" localSheetId="55">#REF!</definedName>
    <definedName name="best" localSheetId="52">#REF!</definedName>
    <definedName name="best" localSheetId="23">#REF!</definedName>
    <definedName name="best" localSheetId="51">#REF!</definedName>
    <definedName name="best" localSheetId="53">#REF!</definedName>
    <definedName name="best" localSheetId="20">#REF!</definedName>
    <definedName name="best">#REF!</definedName>
    <definedName name="BEST_D" localSheetId="34">#REF!</definedName>
    <definedName name="BEST_D" localSheetId="35">#REF!</definedName>
    <definedName name="BEST_D" localSheetId="50">#REF!</definedName>
    <definedName name="BEST_D" localSheetId="15">#REF!</definedName>
    <definedName name="BEST_D" localSheetId="29">#REF!</definedName>
    <definedName name="BEST_D" localSheetId="30">#REF!</definedName>
    <definedName name="BEST_D" localSheetId="47">#REF!</definedName>
    <definedName name="BEST_D" localSheetId="44">#REF!</definedName>
    <definedName name="BEST_D" localSheetId="45">#REF!</definedName>
    <definedName name="BEST_D" localSheetId="46">#REF!</definedName>
    <definedName name="BEST_D" localSheetId="31">#REF!</definedName>
    <definedName name="BEST_D" localSheetId="32">#REF!</definedName>
    <definedName name="BEST_D" localSheetId="33">#REF!</definedName>
    <definedName name="BEST_D" localSheetId="36">#REF!</definedName>
    <definedName name="BEST_D" localSheetId="37">#REF!</definedName>
    <definedName name="BEST_D" localSheetId="38">#REF!</definedName>
    <definedName name="BEST_D" localSheetId="39">#REF!</definedName>
    <definedName name="BEST_D" localSheetId="40">#REF!</definedName>
    <definedName name="BEST_D" localSheetId="54">#REF!</definedName>
    <definedName name="BEST_D" localSheetId="55">#REF!</definedName>
    <definedName name="BEST_D" localSheetId="52">#REF!</definedName>
    <definedName name="BEST_D" localSheetId="23">#REF!</definedName>
    <definedName name="BEST_D" localSheetId="51">#REF!</definedName>
    <definedName name="BEST_D" localSheetId="53">#REF!</definedName>
    <definedName name="BEST_D" localSheetId="20">#REF!</definedName>
    <definedName name="BEST_D">#REF!</definedName>
    <definedName name="BF">#N/A</definedName>
    <definedName name="BFD" localSheetId="50">#REF!</definedName>
    <definedName name="BFD" localSheetId="47">#REF!</definedName>
    <definedName name="BFD" localSheetId="44">#REF!</definedName>
    <definedName name="BFD" localSheetId="45">#REF!</definedName>
    <definedName name="BFD" localSheetId="46">#REF!</definedName>
    <definedName name="BFD" localSheetId="37">#REF!</definedName>
    <definedName name="BFD" localSheetId="40">#REF!</definedName>
    <definedName name="BFD" localSheetId="54">#REF!</definedName>
    <definedName name="BFD" localSheetId="55">#REF!</definedName>
    <definedName name="BFD" localSheetId="52">#REF!</definedName>
    <definedName name="BFD" localSheetId="51">#REF!</definedName>
    <definedName name="BFD" localSheetId="53">#REF!</definedName>
    <definedName name="BFD">#REF!</definedName>
    <definedName name="BFDA" localSheetId="50">#REF!</definedName>
    <definedName name="BFDA" localSheetId="47">#REF!</definedName>
    <definedName name="BFDA" localSheetId="44">#REF!</definedName>
    <definedName name="BFDA" localSheetId="45">#REF!</definedName>
    <definedName name="BFDA" localSheetId="46">#REF!</definedName>
    <definedName name="BFDA" localSheetId="37">#REF!</definedName>
    <definedName name="BFDA" localSheetId="40">#REF!</definedName>
    <definedName name="BFDA" localSheetId="54">#REF!</definedName>
    <definedName name="BFDA" localSheetId="55">#REF!</definedName>
    <definedName name="BFDA" localSheetId="52">#REF!</definedName>
    <definedName name="BFDA" localSheetId="51">#REF!</definedName>
    <definedName name="BFDA" localSheetId="53">#REF!</definedName>
    <definedName name="BFDA">#REF!</definedName>
    <definedName name="BFDI" localSheetId="50">#REF!</definedName>
    <definedName name="BFDI" localSheetId="47">#REF!</definedName>
    <definedName name="BFDI" localSheetId="44">#REF!</definedName>
    <definedName name="BFDI" localSheetId="45">#REF!</definedName>
    <definedName name="BFDI" localSheetId="46">#REF!</definedName>
    <definedName name="BFDI" localSheetId="37">#REF!</definedName>
    <definedName name="BFDI" localSheetId="40">#REF!</definedName>
    <definedName name="BFDI" localSheetId="54">#REF!</definedName>
    <definedName name="BFDI" localSheetId="55">#REF!</definedName>
    <definedName name="BFDI" localSheetId="52">#REF!</definedName>
    <definedName name="BFDI" localSheetId="51">#REF!</definedName>
    <definedName name="BFDI" localSheetId="53">#REF!</definedName>
    <definedName name="BFDI">#REF!</definedName>
    <definedName name="BFDIL" localSheetId="50">#REF!</definedName>
    <definedName name="BFDIL" localSheetId="47">#REF!</definedName>
    <definedName name="BFDIL" localSheetId="44">#REF!</definedName>
    <definedName name="BFDIL" localSheetId="45">#REF!</definedName>
    <definedName name="BFDIL" localSheetId="46">#REF!</definedName>
    <definedName name="BFDIL" localSheetId="37">#REF!</definedName>
    <definedName name="BFDIL" localSheetId="40">#REF!</definedName>
    <definedName name="BFDIL" localSheetId="54">#REF!</definedName>
    <definedName name="BFDIL" localSheetId="55">#REF!</definedName>
    <definedName name="BFDIL" localSheetId="52">#REF!</definedName>
    <definedName name="BFDIL" localSheetId="51">#REF!</definedName>
    <definedName name="BFDIL" localSheetId="53">#REF!</definedName>
    <definedName name="BFDIL">#REF!</definedName>
    <definedName name="BFL">#N/A</definedName>
    <definedName name="BFL_D">#N/A</definedName>
    <definedName name="BFL_DF">#N/A</definedName>
    <definedName name="BFLB">#N/A</definedName>
    <definedName name="BFLB_D">#N/A</definedName>
    <definedName name="BFLB_DF">#N/A</definedName>
    <definedName name="BFLD_DF" localSheetId="50">[53]!BFLD_DF</definedName>
    <definedName name="BFLD_DF" localSheetId="44">[53]!BFLD_DF</definedName>
    <definedName name="BFLD_DF" localSheetId="54">[53]!BFLD_DF</definedName>
    <definedName name="BFLD_DF" localSheetId="52">[53]!BFLD_DF</definedName>
    <definedName name="BFLD_DF" localSheetId="51">[53]!BFLD_DF</definedName>
    <definedName name="BFLD_DF" localSheetId="53">[53]!BFLD_DF</definedName>
    <definedName name="BFLD_DF">[54]!BFLD_DF</definedName>
    <definedName name="BFLG">#N/A</definedName>
    <definedName name="BFLG_D">#N/A</definedName>
    <definedName name="BFLG_DF">#N/A</definedName>
    <definedName name="BFO" localSheetId="50">#REF!</definedName>
    <definedName name="BFO" localSheetId="47">#REF!</definedName>
    <definedName name="BFO" localSheetId="44">#REF!</definedName>
    <definedName name="BFO" localSheetId="45">#REF!</definedName>
    <definedName name="BFO" localSheetId="46">#REF!</definedName>
    <definedName name="BFO" localSheetId="37">#REF!</definedName>
    <definedName name="BFO" localSheetId="40">#REF!</definedName>
    <definedName name="BFO" localSheetId="54">#REF!</definedName>
    <definedName name="BFO" localSheetId="55">#REF!</definedName>
    <definedName name="BFO" localSheetId="52">#REF!</definedName>
    <definedName name="BFO" localSheetId="51">#REF!</definedName>
    <definedName name="BFO" localSheetId="53">#REF!</definedName>
    <definedName name="BFO">#REF!</definedName>
    <definedName name="BFOA" localSheetId="50">#REF!</definedName>
    <definedName name="BFOA" localSheetId="47">#REF!</definedName>
    <definedName name="BFOA" localSheetId="44">#REF!</definedName>
    <definedName name="BFOA" localSheetId="45">#REF!</definedName>
    <definedName name="BFOA" localSheetId="46">#REF!</definedName>
    <definedName name="BFOA" localSheetId="37">#REF!</definedName>
    <definedName name="BFOA" localSheetId="40">#REF!</definedName>
    <definedName name="BFOA" localSheetId="54">#REF!</definedName>
    <definedName name="BFOA" localSheetId="55">#REF!</definedName>
    <definedName name="BFOA" localSheetId="52">#REF!</definedName>
    <definedName name="BFOA" localSheetId="51">#REF!</definedName>
    <definedName name="BFOA" localSheetId="53">#REF!</definedName>
    <definedName name="BFOA">#REF!</definedName>
    <definedName name="BFOAG" localSheetId="50">#REF!</definedName>
    <definedName name="BFOAG" localSheetId="47">#REF!</definedName>
    <definedName name="BFOAG" localSheetId="44">#REF!</definedName>
    <definedName name="BFOAG" localSheetId="45">#REF!</definedName>
    <definedName name="BFOAG" localSheetId="46">#REF!</definedName>
    <definedName name="BFOAG" localSheetId="37">#REF!</definedName>
    <definedName name="BFOAG" localSheetId="40">#REF!</definedName>
    <definedName name="BFOAG" localSheetId="54">#REF!</definedName>
    <definedName name="BFOAG" localSheetId="55">#REF!</definedName>
    <definedName name="BFOAG" localSheetId="52">#REF!</definedName>
    <definedName name="BFOAG" localSheetId="51">#REF!</definedName>
    <definedName name="BFOAG" localSheetId="53">#REF!</definedName>
    <definedName name="BFOAG">#REF!</definedName>
    <definedName name="BFOL" localSheetId="50">#REF!</definedName>
    <definedName name="BFOL" localSheetId="47">#REF!</definedName>
    <definedName name="BFOL" localSheetId="44">#REF!</definedName>
    <definedName name="BFOL" localSheetId="45">#REF!</definedName>
    <definedName name="BFOL" localSheetId="46">#REF!</definedName>
    <definedName name="BFOL" localSheetId="37">#REF!</definedName>
    <definedName name="BFOL" localSheetId="40">#REF!</definedName>
    <definedName name="BFOL" localSheetId="54">#REF!</definedName>
    <definedName name="BFOL" localSheetId="55">#REF!</definedName>
    <definedName name="BFOL" localSheetId="52">#REF!</definedName>
    <definedName name="BFOL" localSheetId="51">#REF!</definedName>
    <definedName name="BFOL" localSheetId="53">#REF!</definedName>
    <definedName name="BFOL">#REF!</definedName>
    <definedName name="BFOL_B" localSheetId="50">#REF!</definedName>
    <definedName name="BFOL_B" localSheetId="47">#REF!</definedName>
    <definedName name="BFOL_B" localSheetId="44">#REF!</definedName>
    <definedName name="BFOL_B" localSheetId="45">#REF!</definedName>
    <definedName name="BFOL_B" localSheetId="46">#REF!</definedName>
    <definedName name="BFOL_B" localSheetId="37">#REF!</definedName>
    <definedName name="BFOL_B" localSheetId="40">#REF!</definedName>
    <definedName name="BFOL_B" localSheetId="54">#REF!</definedName>
    <definedName name="BFOL_B" localSheetId="55">#REF!</definedName>
    <definedName name="BFOL_B" localSheetId="52">#REF!</definedName>
    <definedName name="BFOL_B" localSheetId="51">#REF!</definedName>
    <definedName name="BFOL_B" localSheetId="53">#REF!</definedName>
    <definedName name="BFOL_B">#REF!</definedName>
    <definedName name="BFOL_G" localSheetId="50">#REF!</definedName>
    <definedName name="BFOL_G" localSheetId="47">#REF!</definedName>
    <definedName name="BFOL_G" localSheetId="44">#REF!</definedName>
    <definedName name="BFOL_G" localSheetId="45">#REF!</definedName>
    <definedName name="BFOL_G" localSheetId="46">#REF!</definedName>
    <definedName name="BFOL_G" localSheetId="37">#REF!</definedName>
    <definedName name="BFOL_G" localSheetId="40">#REF!</definedName>
    <definedName name="BFOL_G" localSheetId="54">#REF!</definedName>
    <definedName name="BFOL_G" localSheetId="55">#REF!</definedName>
    <definedName name="BFOL_G" localSheetId="52">#REF!</definedName>
    <definedName name="BFOL_G" localSheetId="51">#REF!</definedName>
    <definedName name="BFOL_G" localSheetId="53">#REF!</definedName>
    <definedName name="BFOL_G">#REF!</definedName>
    <definedName name="BFOL_L" localSheetId="50">#REF!</definedName>
    <definedName name="BFOL_L" localSheetId="47">#REF!</definedName>
    <definedName name="BFOL_L" localSheetId="44">#REF!</definedName>
    <definedName name="BFOL_L" localSheetId="45">#REF!</definedName>
    <definedName name="BFOL_L" localSheetId="46">#REF!</definedName>
    <definedName name="BFOL_L" localSheetId="37">#REF!</definedName>
    <definedName name="BFOL_L" localSheetId="40">#REF!</definedName>
    <definedName name="BFOL_L" localSheetId="54">#REF!</definedName>
    <definedName name="BFOL_L" localSheetId="55">#REF!</definedName>
    <definedName name="BFOL_L" localSheetId="52">#REF!</definedName>
    <definedName name="BFOL_L" localSheetId="51">#REF!</definedName>
    <definedName name="BFOL_L" localSheetId="53">#REF!</definedName>
    <definedName name="BFOL_L">#REF!</definedName>
    <definedName name="BFOL_O" localSheetId="50">#REF!</definedName>
    <definedName name="BFOL_O" localSheetId="47">#REF!</definedName>
    <definedName name="BFOL_O" localSheetId="44">#REF!</definedName>
    <definedName name="BFOL_O" localSheetId="45">#REF!</definedName>
    <definedName name="BFOL_O" localSheetId="46">#REF!</definedName>
    <definedName name="BFOL_O" localSheetId="37">#REF!</definedName>
    <definedName name="BFOL_O" localSheetId="40">#REF!</definedName>
    <definedName name="BFOL_O" localSheetId="54">#REF!</definedName>
    <definedName name="BFOL_O" localSheetId="55">#REF!</definedName>
    <definedName name="BFOL_O" localSheetId="52">#REF!</definedName>
    <definedName name="BFOL_O" localSheetId="51">#REF!</definedName>
    <definedName name="BFOL_O" localSheetId="53">#REF!</definedName>
    <definedName name="BFOL_O">#REF!</definedName>
    <definedName name="BFOL_S" localSheetId="50">#REF!</definedName>
    <definedName name="BFOL_S" localSheetId="47">#REF!</definedName>
    <definedName name="BFOL_S" localSheetId="44">#REF!</definedName>
    <definedName name="BFOL_S" localSheetId="45">#REF!</definedName>
    <definedName name="BFOL_S" localSheetId="46">#REF!</definedName>
    <definedName name="BFOL_S" localSheetId="37">#REF!</definedName>
    <definedName name="BFOL_S" localSheetId="40">#REF!</definedName>
    <definedName name="BFOL_S" localSheetId="54">#REF!</definedName>
    <definedName name="BFOL_S" localSheetId="55">#REF!</definedName>
    <definedName name="BFOL_S" localSheetId="52">#REF!</definedName>
    <definedName name="BFOL_S" localSheetId="51">#REF!</definedName>
    <definedName name="BFOL_S" localSheetId="53">#REF!</definedName>
    <definedName name="BFOL_S">#REF!</definedName>
    <definedName name="BFOLB" localSheetId="50">#REF!</definedName>
    <definedName name="BFOLB" localSheetId="47">#REF!</definedName>
    <definedName name="BFOLB" localSheetId="44">#REF!</definedName>
    <definedName name="BFOLB" localSheetId="45">#REF!</definedName>
    <definedName name="BFOLB" localSheetId="46">#REF!</definedName>
    <definedName name="BFOLB" localSheetId="37">#REF!</definedName>
    <definedName name="BFOLB" localSheetId="40">#REF!</definedName>
    <definedName name="BFOLB" localSheetId="54">#REF!</definedName>
    <definedName name="BFOLB" localSheetId="55">#REF!</definedName>
    <definedName name="BFOLB" localSheetId="52">#REF!</definedName>
    <definedName name="BFOLB" localSheetId="51">#REF!</definedName>
    <definedName name="BFOLB" localSheetId="53">#REF!</definedName>
    <definedName name="BFOLB">#REF!</definedName>
    <definedName name="BFOLG_L" localSheetId="50">#REF!</definedName>
    <definedName name="BFOLG_L" localSheetId="47">#REF!</definedName>
    <definedName name="BFOLG_L" localSheetId="44">#REF!</definedName>
    <definedName name="BFOLG_L" localSheetId="45">#REF!</definedName>
    <definedName name="BFOLG_L" localSheetId="46">#REF!</definedName>
    <definedName name="BFOLG_L" localSheetId="37">#REF!</definedName>
    <definedName name="BFOLG_L" localSheetId="40">#REF!</definedName>
    <definedName name="BFOLG_L" localSheetId="54">#REF!</definedName>
    <definedName name="BFOLG_L" localSheetId="55">#REF!</definedName>
    <definedName name="BFOLG_L" localSheetId="52">#REF!</definedName>
    <definedName name="BFOLG_L" localSheetId="51">#REF!</definedName>
    <definedName name="BFOLG_L" localSheetId="53">#REF!</definedName>
    <definedName name="BFOLG_L">#REF!</definedName>
    <definedName name="BFP" localSheetId="50">#REF!</definedName>
    <definedName name="BFP" localSheetId="47">#REF!</definedName>
    <definedName name="BFP" localSheetId="44">#REF!</definedName>
    <definedName name="BFP" localSheetId="45">#REF!</definedName>
    <definedName name="BFP" localSheetId="46">#REF!</definedName>
    <definedName name="BFP" localSheetId="37">#REF!</definedName>
    <definedName name="BFP" localSheetId="40">#REF!</definedName>
    <definedName name="BFP" localSheetId="54">#REF!</definedName>
    <definedName name="BFP" localSheetId="55">#REF!</definedName>
    <definedName name="BFP" localSheetId="52">#REF!</definedName>
    <definedName name="BFP" localSheetId="51">#REF!</definedName>
    <definedName name="BFP" localSheetId="53">#REF!</definedName>
    <definedName name="BFP">#REF!</definedName>
    <definedName name="BFPA" localSheetId="50">#REF!</definedName>
    <definedName name="BFPA" localSheetId="47">#REF!</definedName>
    <definedName name="BFPA" localSheetId="44">#REF!</definedName>
    <definedName name="BFPA" localSheetId="45">#REF!</definedName>
    <definedName name="BFPA" localSheetId="46">#REF!</definedName>
    <definedName name="BFPA" localSheetId="37">#REF!</definedName>
    <definedName name="BFPA" localSheetId="40">#REF!</definedName>
    <definedName name="BFPA" localSheetId="54">#REF!</definedName>
    <definedName name="BFPA" localSheetId="55">#REF!</definedName>
    <definedName name="BFPA" localSheetId="52">#REF!</definedName>
    <definedName name="BFPA" localSheetId="51">#REF!</definedName>
    <definedName name="BFPA" localSheetId="53">#REF!</definedName>
    <definedName name="BFPA">#REF!</definedName>
    <definedName name="BFPAG" localSheetId="50">#REF!</definedName>
    <definedName name="BFPAG" localSheetId="47">#REF!</definedName>
    <definedName name="BFPAG" localSheetId="44">#REF!</definedName>
    <definedName name="BFPAG" localSheetId="45">#REF!</definedName>
    <definedName name="BFPAG" localSheetId="46">#REF!</definedName>
    <definedName name="BFPAG" localSheetId="37">#REF!</definedName>
    <definedName name="BFPAG" localSheetId="40">#REF!</definedName>
    <definedName name="BFPAG" localSheetId="54">#REF!</definedName>
    <definedName name="BFPAG" localSheetId="55">#REF!</definedName>
    <definedName name="BFPAG" localSheetId="52">#REF!</definedName>
    <definedName name="BFPAG" localSheetId="51">#REF!</definedName>
    <definedName name="BFPAG" localSheetId="53">#REF!</definedName>
    <definedName name="BFPAG">#REF!</definedName>
    <definedName name="BFPL" localSheetId="50">#REF!</definedName>
    <definedName name="BFPL" localSheetId="47">#REF!</definedName>
    <definedName name="BFPL" localSheetId="44">#REF!</definedName>
    <definedName name="BFPL" localSheetId="45">#REF!</definedName>
    <definedName name="BFPL" localSheetId="46">#REF!</definedName>
    <definedName name="BFPL" localSheetId="37">#REF!</definedName>
    <definedName name="BFPL" localSheetId="40">#REF!</definedName>
    <definedName name="BFPL" localSheetId="54">#REF!</definedName>
    <definedName name="BFPL" localSheetId="55">#REF!</definedName>
    <definedName name="BFPL" localSheetId="52">#REF!</definedName>
    <definedName name="BFPL" localSheetId="51">#REF!</definedName>
    <definedName name="BFPL" localSheetId="53">#REF!</definedName>
    <definedName name="BFPL">#REF!</definedName>
    <definedName name="BFPLBN" localSheetId="50">#REF!</definedName>
    <definedName name="BFPLBN" localSheetId="47">#REF!</definedName>
    <definedName name="BFPLBN" localSheetId="44">#REF!</definedName>
    <definedName name="BFPLBN" localSheetId="45">#REF!</definedName>
    <definedName name="BFPLBN" localSheetId="46">#REF!</definedName>
    <definedName name="BFPLBN" localSheetId="37">#REF!</definedName>
    <definedName name="BFPLBN" localSheetId="40">#REF!</definedName>
    <definedName name="BFPLBN" localSheetId="54">#REF!</definedName>
    <definedName name="BFPLBN" localSheetId="55">#REF!</definedName>
    <definedName name="BFPLBN" localSheetId="52">#REF!</definedName>
    <definedName name="BFPLBN" localSheetId="51">#REF!</definedName>
    <definedName name="BFPLBN" localSheetId="53">#REF!</definedName>
    <definedName name="BFPLBN">#REF!</definedName>
    <definedName name="BFPLD" localSheetId="50">#REF!</definedName>
    <definedName name="BFPLD" localSheetId="47">#REF!</definedName>
    <definedName name="BFPLD" localSheetId="44">#REF!</definedName>
    <definedName name="BFPLD" localSheetId="45">#REF!</definedName>
    <definedName name="BFPLD" localSheetId="46">#REF!</definedName>
    <definedName name="BFPLD" localSheetId="37">#REF!</definedName>
    <definedName name="BFPLD" localSheetId="40">#REF!</definedName>
    <definedName name="BFPLD" localSheetId="54">#REF!</definedName>
    <definedName name="BFPLD" localSheetId="55">#REF!</definedName>
    <definedName name="BFPLD" localSheetId="52">#REF!</definedName>
    <definedName name="BFPLD" localSheetId="51">#REF!</definedName>
    <definedName name="BFPLD" localSheetId="53">#REF!</definedName>
    <definedName name="BFPLD">#REF!</definedName>
    <definedName name="BFPLD_G" localSheetId="50">#REF!</definedName>
    <definedName name="BFPLD_G" localSheetId="47">#REF!</definedName>
    <definedName name="BFPLD_G" localSheetId="44">#REF!</definedName>
    <definedName name="BFPLD_G" localSheetId="45">#REF!</definedName>
    <definedName name="BFPLD_G" localSheetId="46">#REF!</definedName>
    <definedName name="BFPLD_G" localSheetId="37">#REF!</definedName>
    <definedName name="BFPLD_G" localSheetId="40">#REF!</definedName>
    <definedName name="BFPLD_G" localSheetId="54">#REF!</definedName>
    <definedName name="BFPLD_G" localSheetId="55">#REF!</definedName>
    <definedName name="BFPLD_G" localSheetId="52">#REF!</definedName>
    <definedName name="BFPLD_G" localSheetId="51">#REF!</definedName>
    <definedName name="BFPLD_G" localSheetId="53">#REF!</definedName>
    <definedName name="BFPLD_G">#REF!</definedName>
    <definedName name="BFPLE" localSheetId="50">#REF!</definedName>
    <definedName name="BFPLE" localSheetId="47">#REF!</definedName>
    <definedName name="BFPLE" localSheetId="44">#REF!</definedName>
    <definedName name="BFPLE" localSheetId="45">#REF!</definedName>
    <definedName name="BFPLE" localSheetId="46">#REF!</definedName>
    <definedName name="BFPLE" localSheetId="37">#REF!</definedName>
    <definedName name="BFPLE" localSheetId="40">#REF!</definedName>
    <definedName name="BFPLE" localSheetId="54">#REF!</definedName>
    <definedName name="BFPLE" localSheetId="55">#REF!</definedName>
    <definedName name="BFPLE" localSheetId="52">#REF!</definedName>
    <definedName name="BFPLE" localSheetId="51">#REF!</definedName>
    <definedName name="BFPLE" localSheetId="53">#REF!</definedName>
    <definedName name="BFPLE">#REF!</definedName>
    <definedName name="BFPLE_G" localSheetId="50">#REF!</definedName>
    <definedName name="BFPLE_G" localSheetId="47">#REF!</definedName>
    <definedName name="BFPLE_G" localSheetId="44">#REF!</definedName>
    <definedName name="BFPLE_G" localSheetId="45">#REF!</definedName>
    <definedName name="BFPLE_G" localSheetId="46">#REF!</definedName>
    <definedName name="BFPLE_G" localSheetId="37">#REF!</definedName>
    <definedName name="BFPLE_G" localSheetId="40">#REF!</definedName>
    <definedName name="BFPLE_G" localSheetId="54">#REF!</definedName>
    <definedName name="BFPLE_G" localSheetId="55">#REF!</definedName>
    <definedName name="BFPLE_G" localSheetId="52">#REF!</definedName>
    <definedName name="BFPLE_G" localSheetId="51">#REF!</definedName>
    <definedName name="BFPLE_G" localSheetId="53">#REF!</definedName>
    <definedName name="BFPLE_G">#REF!</definedName>
    <definedName name="BFPLMM" localSheetId="50">#REF!</definedName>
    <definedName name="BFPLMM" localSheetId="47">#REF!</definedName>
    <definedName name="BFPLMM" localSheetId="44">#REF!</definedName>
    <definedName name="BFPLMM" localSheetId="45">#REF!</definedName>
    <definedName name="BFPLMM" localSheetId="46">#REF!</definedName>
    <definedName name="BFPLMM" localSheetId="37">#REF!</definedName>
    <definedName name="BFPLMM" localSheetId="40">#REF!</definedName>
    <definedName name="BFPLMM" localSheetId="54">#REF!</definedName>
    <definedName name="BFPLMM" localSheetId="55">#REF!</definedName>
    <definedName name="BFPLMM" localSheetId="52">#REF!</definedName>
    <definedName name="BFPLMM" localSheetId="51">#REF!</definedName>
    <definedName name="BFPLMM" localSheetId="53">#REF!</definedName>
    <definedName name="BFPLMM">#REF!</definedName>
    <definedName name="BFRA">#N/A</definedName>
    <definedName name="BFUND" localSheetId="50">#REF!</definedName>
    <definedName name="BFUND" localSheetId="47">#REF!</definedName>
    <definedName name="BFUND" localSheetId="44">#REF!</definedName>
    <definedName name="BFUND" localSheetId="45">#REF!</definedName>
    <definedName name="BFUND" localSheetId="46">#REF!</definedName>
    <definedName name="BFUND" localSheetId="37">#REF!</definedName>
    <definedName name="BFUND" localSheetId="40">#REF!</definedName>
    <definedName name="BFUND" localSheetId="54">#REF!</definedName>
    <definedName name="BFUND" localSheetId="55">#REF!</definedName>
    <definedName name="BFUND" localSheetId="52">#REF!</definedName>
    <definedName name="BFUND" localSheetId="51">#REF!</definedName>
    <definedName name="BFUND" localSheetId="53">#REF!</definedName>
    <definedName name="BFUND">#REF!</definedName>
    <definedName name="BGS" localSheetId="50">#REF!</definedName>
    <definedName name="BGS" localSheetId="47">#REF!</definedName>
    <definedName name="BGS" localSheetId="44">#REF!</definedName>
    <definedName name="BGS" localSheetId="45">#REF!</definedName>
    <definedName name="BGS" localSheetId="46">#REF!</definedName>
    <definedName name="BGS" localSheetId="37">#REF!</definedName>
    <definedName name="BGS" localSheetId="40">#REF!</definedName>
    <definedName name="BGS" localSheetId="54">#REF!</definedName>
    <definedName name="BGS" localSheetId="55">#REF!</definedName>
    <definedName name="BGS" localSheetId="52">#REF!</definedName>
    <definedName name="BGS" localSheetId="51">#REF!</definedName>
    <definedName name="BGS" localSheetId="53">#REF!</definedName>
    <definedName name="BGS">#REF!</definedName>
    <definedName name="BI">#N/A</definedName>
    <definedName name="Bill_Rate_Category">[41]Roles!$D$2:$D$4</definedName>
    <definedName name="BILLABLE_AMOUNT">[55]BILLABLE!$D:$D</definedName>
    <definedName name="billing_type" localSheetId="50">[38]Instructions!#REF!</definedName>
    <definedName name="billing_type" localSheetId="47">[38]Instructions!#REF!</definedName>
    <definedName name="billing_type" localSheetId="44">[38]Instructions!#REF!</definedName>
    <definedName name="billing_type" localSheetId="45">[38]Instructions!#REF!</definedName>
    <definedName name="billing_type" localSheetId="46">[38]Instructions!#REF!</definedName>
    <definedName name="billing_type" localSheetId="37">[38]Instructions!#REF!</definedName>
    <definedName name="billing_type" localSheetId="40">[38]Instructions!#REF!</definedName>
    <definedName name="billing_type" localSheetId="54">[38]Instructions!#REF!</definedName>
    <definedName name="billing_type" localSheetId="55">[38]Instructions!#REF!</definedName>
    <definedName name="billing_type" localSheetId="52">[38]Instructions!#REF!</definedName>
    <definedName name="billing_type" localSheetId="51">[38]Instructions!#REF!</definedName>
    <definedName name="billing_type" localSheetId="53">[38]Instructions!#REF!</definedName>
    <definedName name="billing_type">[38]Instructions!#REF!</definedName>
    <definedName name="BIP" localSheetId="50">#REF!</definedName>
    <definedName name="BIP" localSheetId="47">#REF!</definedName>
    <definedName name="BIP" localSheetId="44">#REF!</definedName>
    <definedName name="BIP" localSheetId="45">#REF!</definedName>
    <definedName name="BIP" localSheetId="46">#REF!</definedName>
    <definedName name="BIP" localSheetId="37">#REF!</definedName>
    <definedName name="BIP" localSheetId="40">#REF!</definedName>
    <definedName name="BIP" localSheetId="54">#REF!</definedName>
    <definedName name="BIP" localSheetId="55">#REF!</definedName>
    <definedName name="BIP" localSheetId="52">#REF!</definedName>
    <definedName name="BIP" localSheetId="51">#REF!</definedName>
    <definedName name="BIP" localSheetId="53">#REF!</definedName>
    <definedName name="BIP">#REF!</definedName>
    <definedName name="BK">#N/A</definedName>
    <definedName name="BKF">#N/A</definedName>
    <definedName name="BKFA" localSheetId="50">#REF!</definedName>
    <definedName name="BKFA" localSheetId="47">#REF!</definedName>
    <definedName name="BKFA" localSheetId="44">#REF!</definedName>
    <definedName name="BKFA" localSheetId="45">#REF!</definedName>
    <definedName name="BKFA" localSheetId="46">#REF!</definedName>
    <definedName name="BKFA" localSheetId="37">#REF!</definedName>
    <definedName name="BKFA" localSheetId="40">#REF!</definedName>
    <definedName name="BKFA" localSheetId="54">#REF!</definedName>
    <definedName name="BKFA" localSheetId="55">#REF!</definedName>
    <definedName name="BKFA" localSheetId="52">#REF!</definedName>
    <definedName name="BKFA" localSheetId="51">#REF!</definedName>
    <definedName name="BKFA" localSheetId="53">#REF!</definedName>
    <definedName name="BKFA">#REF!</definedName>
    <definedName name="BKO" localSheetId="50">#REF!</definedName>
    <definedName name="BKO" localSheetId="47">#REF!</definedName>
    <definedName name="BKO" localSheetId="44">#REF!</definedName>
    <definedName name="BKO" localSheetId="45">#REF!</definedName>
    <definedName name="BKO" localSheetId="46">#REF!</definedName>
    <definedName name="BKO" localSheetId="37">#REF!</definedName>
    <definedName name="BKO" localSheetId="40">#REF!</definedName>
    <definedName name="BKO" localSheetId="54">#REF!</definedName>
    <definedName name="BKO" localSheetId="55">#REF!</definedName>
    <definedName name="BKO" localSheetId="52">#REF!</definedName>
    <definedName name="BKO" localSheetId="51">#REF!</definedName>
    <definedName name="BKO" localSheetId="53">#REF!</definedName>
    <definedName name="BKO">#REF!</definedName>
    <definedName name="BM" localSheetId="50">#REF!</definedName>
    <definedName name="BM" localSheetId="47">#REF!</definedName>
    <definedName name="BM" localSheetId="44">#REF!</definedName>
    <definedName name="BM" localSheetId="45">#REF!</definedName>
    <definedName name="BM" localSheetId="46">#REF!</definedName>
    <definedName name="BM" localSheetId="37">#REF!</definedName>
    <definedName name="BM" localSheetId="40">#REF!</definedName>
    <definedName name="BM" localSheetId="54">#REF!</definedName>
    <definedName name="BM" localSheetId="55">#REF!</definedName>
    <definedName name="BM" localSheetId="52">#REF!</definedName>
    <definedName name="BM" localSheetId="51">#REF!</definedName>
    <definedName name="BM" localSheetId="53">#REF!</definedName>
    <definedName name="BM">#REF!</definedName>
    <definedName name="BMG" localSheetId="50">[56]Q6!$E$28:$AH$28</definedName>
    <definedName name="BMG" localSheetId="44">[56]Q6!$E$28:$AH$28</definedName>
    <definedName name="BMG" localSheetId="54">[56]Q6!$E$28:$AH$28</definedName>
    <definedName name="BMG" localSheetId="52">[56]Q6!$E$28:$AH$28</definedName>
    <definedName name="BMG" localSheetId="51">[56]Q6!$E$28:$AH$28</definedName>
    <definedName name="BMG" localSheetId="53">[56]Q6!$E$28:$AH$28</definedName>
    <definedName name="BMG">[53]Q6!$E$28:$AH$28</definedName>
    <definedName name="BMII">#N/A</definedName>
    <definedName name="BMII_7" localSheetId="50">#REF!</definedName>
    <definedName name="BMII_7" localSheetId="47">#REF!</definedName>
    <definedName name="BMII_7" localSheetId="44">#REF!</definedName>
    <definedName name="BMII_7" localSheetId="45">#REF!</definedName>
    <definedName name="BMII_7" localSheetId="46">#REF!</definedName>
    <definedName name="BMII_7" localSheetId="37">#REF!</definedName>
    <definedName name="BMII_7" localSheetId="40">#REF!</definedName>
    <definedName name="BMII_7" localSheetId="54">#REF!</definedName>
    <definedName name="BMII_7" localSheetId="55">#REF!</definedName>
    <definedName name="BMII_7" localSheetId="52">#REF!</definedName>
    <definedName name="BMII_7" localSheetId="51">#REF!</definedName>
    <definedName name="BMII_7" localSheetId="53">#REF!</definedName>
    <definedName name="BMII_7">#REF!</definedName>
    <definedName name="BMIIB">#N/A</definedName>
    <definedName name="BMIIG">#N/A</definedName>
    <definedName name="BMS" localSheetId="50">#REF!</definedName>
    <definedName name="BMS" localSheetId="47">#REF!</definedName>
    <definedName name="BMS" localSheetId="44">#REF!</definedName>
    <definedName name="BMS" localSheetId="45">#REF!</definedName>
    <definedName name="BMS" localSheetId="46">#REF!</definedName>
    <definedName name="BMS" localSheetId="37">#REF!</definedName>
    <definedName name="BMS" localSheetId="40">#REF!</definedName>
    <definedName name="BMS" localSheetId="54">#REF!</definedName>
    <definedName name="BMS" localSheetId="55">#REF!</definedName>
    <definedName name="BMS" localSheetId="52">#REF!</definedName>
    <definedName name="BMS" localSheetId="51">#REF!</definedName>
    <definedName name="BMS" localSheetId="53">#REF!</definedName>
    <definedName name="BMS">#REF!</definedName>
    <definedName name="Bolivia" localSheetId="34">#REF!</definedName>
    <definedName name="Bolivia" localSheetId="35">#REF!</definedName>
    <definedName name="Bolivia" localSheetId="50">#REF!</definedName>
    <definedName name="Bolivia" localSheetId="15">#REF!</definedName>
    <definedName name="Bolivia" localSheetId="29">#REF!</definedName>
    <definedName name="Bolivia" localSheetId="30">#REF!</definedName>
    <definedName name="Bolivia" localSheetId="47">#REF!</definedName>
    <definedName name="Bolivia" localSheetId="44">#REF!</definedName>
    <definedName name="Bolivia" localSheetId="45">#REF!</definedName>
    <definedName name="Bolivia" localSheetId="46">#REF!</definedName>
    <definedName name="Bolivia" localSheetId="31">#REF!</definedName>
    <definedName name="Bolivia" localSheetId="32">#REF!</definedName>
    <definedName name="Bolivia" localSheetId="33">#REF!</definedName>
    <definedName name="Bolivia" localSheetId="36">#REF!</definedName>
    <definedName name="Bolivia" localSheetId="37">#REF!</definedName>
    <definedName name="Bolivia" localSheetId="38">#REF!</definedName>
    <definedName name="Bolivia" localSheetId="39">#REF!</definedName>
    <definedName name="Bolivia" localSheetId="40">#REF!</definedName>
    <definedName name="Bolivia" localSheetId="54">#REF!</definedName>
    <definedName name="Bolivia" localSheetId="55">#REF!</definedName>
    <definedName name="Bolivia" localSheetId="52">#REF!</definedName>
    <definedName name="Bolivia" localSheetId="23">#REF!</definedName>
    <definedName name="Bolivia" localSheetId="51">#REF!</definedName>
    <definedName name="Bolivia" localSheetId="53">#REF!</definedName>
    <definedName name="Bolivia" localSheetId="20">#REF!</definedName>
    <definedName name="Bolivia">#REF!</definedName>
    <definedName name="bonos" localSheetId="34">#REF!</definedName>
    <definedName name="bonos" localSheetId="35">#REF!</definedName>
    <definedName name="bonos" localSheetId="50">#REF!</definedName>
    <definedName name="bonos" localSheetId="15">#REF!</definedName>
    <definedName name="bonos" localSheetId="29">#REF!</definedName>
    <definedName name="bonos" localSheetId="30">#REF!</definedName>
    <definedName name="bonos" localSheetId="47">#REF!</definedName>
    <definedName name="bonos" localSheetId="44">#REF!</definedName>
    <definedName name="bonos" localSheetId="45">#REF!</definedName>
    <definedName name="bonos" localSheetId="46">#REF!</definedName>
    <definedName name="bonos" localSheetId="31">#REF!</definedName>
    <definedName name="bonos" localSheetId="32">#REF!</definedName>
    <definedName name="bonos" localSheetId="33">#REF!</definedName>
    <definedName name="bonos" localSheetId="36">#REF!</definedName>
    <definedName name="bonos" localSheetId="37">#REF!</definedName>
    <definedName name="bonos" localSheetId="38">#REF!</definedName>
    <definedName name="bonos" localSheetId="39">#REF!</definedName>
    <definedName name="bonos" localSheetId="40">#REF!</definedName>
    <definedName name="bonos" localSheetId="54">#REF!</definedName>
    <definedName name="bonos" localSheetId="55">#REF!</definedName>
    <definedName name="bonos" localSheetId="52">#REF!</definedName>
    <definedName name="bonos" localSheetId="23">#REF!</definedName>
    <definedName name="bonos" localSheetId="51">#REF!</definedName>
    <definedName name="bonos" localSheetId="53">#REF!</definedName>
    <definedName name="bonos" localSheetId="20">#REF!</definedName>
    <definedName name="bonos">#REF!</definedName>
    <definedName name="BOP">#N/A</definedName>
    <definedName name="BOPUSD" localSheetId="50">#REF!</definedName>
    <definedName name="BOPUSD" localSheetId="47">#REF!</definedName>
    <definedName name="BOPUSD" localSheetId="44">#REF!</definedName>
    <definedName name="BOPUSD" localSheetId="45">#REF!</definedName>
    <definedName name="BOPUSD" localSheetId="46">#REF!</definedName>
    <definedName name="BOPUSD" localSheetId="37">#REF!</definedName>
    <definedName name="BOPUSD" localSheetId="40">#REF!</definedName>
    <definedName name="BOPUSD" localSheetId="54">#REF!</definedName>
    <definedName name="BOPUSD" localSheetId="55">#REF!</definedName>
    <definedName name="BOPUSD" localSheetId="52">#REF!</definedName>
    <definedName name="BOPUSD" localSheetId="51">#REF!</definedName>
    <definedName name="BOPUSD" localSheetId="53">#REF!</definedName>
    <definedName name="BOPUSD">#REF!</definedName>
    <definedName name="BRASS" localSheetId="50">#REF!</definedName>
    <definedName name="BRASS" localSheetId="47">#REF!</definedName>
    <definedName name="BRASS" localSheetId="44">#REF!</definedName>
    <definedName name="BRASS" localSheetId="45">#REF!</definedName>
    <definedName name="BRASS" localSheetId="46">#REF!</definedName>
    <definedName name="BRASS" localSheetId="37">#REF!</definedName>
    <definedName name="BRASS" localSheetId="40">#REF!</definedName>
    <definedName name="BRASS" localSheetId="54">#REF!</definedName>
    <definedName name="BRASS" localSheetId="55">#REF!</definedName>
    <definedName name="BRASS" localSheetId="52">#REF!</definedName>
    <definedName name="BRASS" localSheetId="51">#REF!</definedName>
    <definedName name="BRASS" localSheetId="53">#REF!</definedName>
    <definedName name="BRASS">#REF!</definedName>
    <definedName name="BRASS_1" localSheetId="50">#REF!</definedName>
    <definedName name="BRASS_1" localSheetId="47">#REF!</definedName>
    <definedName name="BRASS_1" localSheetId="44">#REF!</definedName>
    <definedName name="BRASS_1" localSheetId="45">#REF!</definedName>
    <definedName name="BRASS_1" localSheetId="46">#REF!</definedName>
    <definedName name="BRASS_1" localSheetId="37">#REF!</definedName>
    <definedName name="BRASS_1" localSheetId="40">#REF!</definedName>
    <definedName name="BRASS_1" localSheetId="54">#REF!</definedName>
    <definedName name="BRASS_1" localSheetId="55">#REF!</definedName>
    <definedName name="BRASS_1" localSheetId="52">#REF!</definedName>
    <definedName name="BRASS_1" localSheetId="51">#REF!</definedName>
    <definedName name="BRASS_1" localSheetId="53">#REF!</definedName>
    <definedName name="BRASS_1">#REF!</definedName>
    <definedName name="BRASS_6" localSheetId="50">#REF!</definedName>
    <definedName name="BRASS_6" localSheetId="47">#REF!</definedName>
    <definedName name="BRASS_6" localSheetId="44">#REF!</definedName>
    <definedName name="BRASS_6" localSheetId="45">#REF!</definedName>
    <definedName name="BRASS_6" localSheetId="46">#REF!</definedName>
    <definedName name="BRASS_6" localSheetId="37">#REF!</definedName>
    <definedName name="BRASS_6" localSheetId="40">#REF!</definedName>
    <definedName name="BRASS_6" localSheetId="54">#REF!</definedName>
    <definedName name="BRASS_6" localSheetId="55">#REF!</definedName>
    <definedName name="BRASS_6" localSheetId="52">#REF!</definedName>
    <definedName name="BRASS_6" localSheetId="51">#REF!</definedName>
    <definedName name="BRASS_6" localSheetId="53">#REF!</definedName>
    <definedName name="BRASS_6">#REF!</definedName>
    <definedName name="Brazil" localSheetId="34">#REF!</definedName>
    <definedName name="Brazil" localSheetId="35">#REF!</definedName>
    <definedName name="Brazil" localSheetId="50">#REF!</definedName>
    <definedName name="Brazil" localSheetId="15">#REF!</definedName>
    <definedName name="Brazil" localSheetId="29">#REF!</definedName>
    <definedName name="Brazil" localSheetId="30">#REF!</definedName>
    <definedName name="Brazil" localSheetId="47">#REF!</definedName>
    <definedName name="Brazil" localSheetId="44">#REF!</definedName>
    <definedName name="Brazil" localSheetId="45">#REF!</definedName>
    <definedName name="Brazil" localSheetId="46">#REF!</definedName>
    <definedName name="Brazil" localSheetId="31">#REF!</definedName>
    <definedName name="Brazil" localSheetId="32">#REF!</definedName>
    <definedName name="Brazil" localSheetId="33">#REF!</definedName>
    <definedName name="Brazil" localSheetId="36">#REF!</definedName>
    <definedName name="Brazil" localSheetId="37">#REF!</definedName>
    <definedName name="Brazil" localSheetId="38">#REF!</definedName>
    <definedName name="Brazil" localSheetId="39">#REF!</definedName>
    <definedName name="Brazil" localSheetId="40">#REF!</definedName>
    <definedName name="Brazil" localSheetId="54">#REF!</definedName>
    <definedName name="Brazil" localSheetId="55">#REF!</definedName>
    <definedName name="Brazil" localSheetId="52">#REF!</definedName>
    <definedName name="Brazil" localSheetId="23">#REF!</definedName>
    <definedName name="Brazil" localSheetId="51">#REF!</definedName>
    <definedName name="Brazil" localSheetId="53">#REF!</definedName>
    <definedName name="Brazil" localSheetId="20">#REF!</definedName>
    <definedName name="Brazil">#REF!</definedName>
    <definedName name="BRD_reordered" localSheetId="50" hidden="1">#REF!</definedName>
    <definedName name="BRD_reordered" localSheetId="47" hidden="1">#REF!</definedName>
    <definedName name="BRD_reordered" localSheetId="44" hidden="1">#REF!</definedName>
    <definedName name="BRD_reordered" localSheetId="45" hidden="1">#REF!</definedName>
    <definedName name="BRD_reordered" localSheetId="46" hidden="1">#REF!</definedName>
    <definedName name="BRD_reordered" localSheetId="37" hidden="1">#REF!</definedName>
    <definedName name="BRD_reordered" localSheetId="40" hidden="1">#REF!</definedName>
    <definedName name="BRD_reordered" localSheetId="54" hidden="1">#REF!</definedName>
    <definedName name="BRD_reordered" localSheetId="55" hidden="1">#REF!</definedName>
    <definedName name="BRD_reordered" localSheetId="52" hidden="1">#REF!</definedName>
    <definedName name="BRD_reordered" localSheetId="51" hidden="1">#REF!</definedName>
    <definedName name="BRD_reordered" localSheetId="53" hidden="1">#REF!</definedName>
    <definedName name="BRD_reordered" hidden="1">#REF!</definedName>
    <definedName name="BS" localSheetId="50">#REF!</definedName>
    <definedName name="BS" localSheetId="47">#REF!</definedName>
    <definedName name="BS" localSheetId="44">#REF!</definedName>
    <definedName name="BS" localSheetId="45">#REF!</definedName>
    <definedName name="BS" localSheetId="46">#REF!</definedName>
    <definedName name="BS" localSheetId="37">#REF!</definedName>
    <definedName name="BS" localSheetId="40">#REF!</definedName>
    <definedName name="BS" localSheetId="54">#REF!</definedName>
    <definedName name="BS" localSheetId="55">#REF!</definedName>
    <definedName name="BS" localSheetId="52">#REF!</definedName>
    <definedName name="BS" localSheetId="51">#REF!</definedName>
    <definedName name="BS" localSheetId="53">#REF!</definedName>
    <definedName name="BS">#REF!</definedName>
    <definedName name="BTR" localSheetId="50">#REF!</definedName>
    <definedName name="BTR" localSheetId="47">#REF!</definedName>
    <definedName name="BTR" localSheetId="44">#REF!</definedName>
    <definedName name="BTR" localSheetId="45">#REF!</definedName>
    <definedName name="BTR" localSheetId="46">#REF!</definedName>
    <definedName name="BTR" localSheetId="37">#REF!</definedName>
    <definedName name="BTR" localSheetId="40">#REF!</definedName>
    <definedName name="BTR" localSheetId="54">#REF!</definedName>
    <definedName name="BTR" localSheetId="55">#REF!</definedName>
    <definedName name="BTR" localSheetId="52">#REF!</definedName>
    <definedName name="BTR" localSheetId="51">#REF!</definedName>
    <definedName name="BTR" localSheetId="53">#REF!</definedName>
    <definedName name="BTR">#REF!</definedName>
    <definedName name="BTRG" localSheetId="50">#REF!</definedName>
    <definedName name="BTRG" localSheetId="47">#REF!</definedName>
    <definedName name="BTRG" localSheetId="44">#REF!</definedName>
    <definedName name="BTRG" localSheetId="45">#REF!</definedName>
    <definedName name="BTRG" localSheetId="46">#REF!</definedName>
    <definedName name="BTRG" localSheetId="37">#REF!</definedName>
    <definedName name="BTRG" localSheetId="40">#REF!</definedName>
    <definedName name="BTRG" localSheetId="54">#REF!</definedName>
    <definedName name="BTRG" localSheetId="55">#REF!</definedName>
    <definedName name="BTRG" localSheetId="52">#REF!</definedName>
    <definedName name="BTRG" localSheetId="51">#REF!</definedName>
    <definedName name="BTRG" localSheetId="53">#REF!</definedName>
    <definedName name="BTRG">#REF!</definedName>
    <definedName name="Budget" localSheetId="50">#REF!</definedName>
    <definedName name="Budget" localSheetId="47">#REF!</definedName>
    <definedName name="Budget" localSheetId="44">#REF!</definedName>
    <definedName name="Budget" localSheetId="45">#REF!</definedName>
    <definedName name="Budget" localSheetId="46">#REF!</definedName>
    <definedName name="Budget" localSheetId="37">#REF!</definedName>
    <definedName name="Budget" localSheetId="40">#REF!</definedName>
    <definedName name="Budget" localSheetId="54">#REF!</definedName>
    <definedName name="Budget" localSheetId="55">#REF!</definedName>
    <definedName name="Budget" localSheetId="52">#REF!</definedName>
    <definedName name="Budget" localSheetId="51">#REF!</definedName>
    <definedName name="Budget" localSheetId="53">#REF!</definedName>
    <definedName name="Budget">#REF!</definedName>
    <definedName name="Budget_expenditure" localSheetId="34">#REF!</definedName>
    <definedName name="Budget_expenditure" localSheetId="35">#REF!</definedName>
    <definedName name="Budget_expenditure" localSheetId="50">#REF!</definedName>
    <definedName name="Budget_expenditure" localSheetId="15">#REF!</definedName>
    <definedName name="Budget_expenditure" localSheetId="29">#REF!</definedName>
    <definedName name="Budget_expenditure" localSheetId="30">#REF!</definedName>
    <definedName name="Budget_expenditure" localSheetId="47">#REF!</definedName>
    <definedName name="Budget_expenditure" localSheetId="44">#REF!</definedName>
    <definedName name="Budget_expenditure" localSheetId="45">#REF!</definedName>
    <definedName name="Budget_expenditure" localSheetId="46">#REF!</definedName>
    <definedName name="Budget_expenditure" localSheetId="31">#REF!</definedName>
    <definedName name="Budget_expenditure" localSheetId="32">#REF!</definedName>
    <definedName name="Budget_expenditure" localSheetId="33">#REF!</definedName>
    <definedName name="Budget_expenditure" localSheetId="36">#REF!</definedName>
    <definedName name="Budget_expenditure" localSheetId="37">#REF!</definedName>
    <definedName name="Budget_expenditure" localSheetId="38">#REF!</definedName>
    <definedName name="Budget_expenditure" localSheetId="39">#REF!</definedName>
    <definedName name="Budget_expenditure" localSheetId="40">#REF!</definedName>
    <definedName name="Budget_expenditure" localSheetId="54">#REF!</definedName>
    <definedName name="Budget_expenditure" localSheetId="55">#REF!</definedName>
    <definedName name="Budget_expenditure" localSheetId="52">#REF!</definedName>
    <definedName name="Budget_expenditure" localSheetId="23">#REF!</definedName>
    <definedName name="Budget_expenditure" localSheetId="51">#REF!</definedName>
    <definedName name="Budget_expenditure" localSheetId="53">#REF!</definedName>
    <definedName name="Budget_expenditure" localSheetId="20">#REF!</definedName>
    <definedName name="Budget_expenditure">#REF!</definedName>
    <definedName name="Budget_revenue" localSheetId="34">#REF!</definedName>
    <definedName name="Budget_revenue" localSheetId="35">#REF!</definedName>
    <definedName name="Budget_revenue" localSheetId="50">#REF!</definedName>
    <definedName name="Budget_revenue" localSheetId="15">#REF!</definedName>
    <definedName name="Budget_revenue" localSheetId="29">#REF!</definedName>
    <definedName name="Budget_revenue" localSheetId="30">#REF!</definedName>
    <definedName name="Budget_revenue" localSheetId="47">#REF!</definedName>
    <definedName name="Budget_revenue" localSheetId="44">#REF!</definedName>
    <definedName name="Budget_revenue" localSheetId="45">#REF!</definedName>
    <definedName name="Budget_revenue" localSheetId="46">#REF!</definedName>
    <definedName name="Budget_revenue" localSheetId="31">#REF!</definedName>
    <definedName name="Budget_revenue" localSheetId="32">#REF!</definedName>
    <definedName name="Budget_revenue" localSheetId="33">#REF!</definedName>
    <definedName name="Budget_revenue" localSheetId="36">#REF!</definedName>
    <definedName name="Budget_revenue" localSheetId="37">#REF!</definedName>
    <definedName name="Budget_revenue" localSheetId="38">#REF!</definedName>
    <definedName name="Budget_revenue" localSheetId="39">#REF!</definedName>
    <definedName name="Budget_revenue" localSheetId="40">#REF!</definedName>
    <definedName name="Budget_revenue" localSheetId="54">#REF!</definedName>
    <definedName name="Budget_revenue" localSheetId="55">#REF!</definedName>
    <definedName name="Budget_revenue" localSheetId="52">#REF!</definedName>
    <definedName name="Budget_revenue" localSheetId="23">#REF!</definedName>
    <definedName name="Budget_revenue" localSheetId="51">#REF!</definedName>
    <definedName name="Budget_revenue" localSheetId="53">#REF!</definedName>
    <definedName name="Budget_revenue" localSheetId="20">#REF!</definedName>
    <definedName name="Budget_revenue">#REF!</definedName>
    <definedName name="buf_loe">[41]Stories!$T$17:$T$461</definedName>
    <definedName name="BUILD_PERCENTAGE" localSheetId="50">#REF!</definedName>
    <definedName name="BUILD_PERCENTAGE" localSheetId="47">#REF!</definedName>
    <definedName name="BUILD_PERCENTAGE" localSheetId="44">#REF!</definedName>
    <definedName name="BUILD_PERCENTAGE" localSheetId="45">#REF!</definedName>
    <definedName name="BUILD_PERCENTAGE" localSheetId="46">#REF!</definedName>
    <definedName name="BUILD_PERCENTAGE" localSheetId="37">#REF!</definedName>
    <definedName name="BUILD_PERCENTAGE" localSheetId="40">#REF!</definedName>
    <definedName name="BUILD_PERCENTAGE" localSheetId="54">#REF!</definedName>
    <definedName name="BUILD_PERCENTAGE" localSheetId="55">#REF!</definedName>
    <definedName name="BUILD_PERCENTAGE" localSheetId="52">#REF!</definedName>
    <definedName name="BUILD_PERCENTAGE" localSheetId="51">#REF!</definedName>
    <definedName name="BUILD_PERCENTAGE" localSheetId="53">#REF!</definedName>
    <definedName name="BUILD_PERCENTAGE">#REF!</definedName>
    <definedName name="BX" localSheetId="50">#REF!</definedName>
    <definedName name="BX" localSheetId="47">#REF!</definedName>
    <definedName name="BX" localSheetId="44">#REF!</definedName>
    <definedName name="BX" localSheetId="45">#REF!</definedName>
    <definedName name="BX" localSheetId="46">#REF!</definedName>
    <definedName name="BX" localSheetId="37">#REF!</definedName>
    <definedName name="BX" localSheetId="40">#REF!</definedName>
    <definedName name="BX" localSheetId="54">#REF!</definedName>
    <definedName name="BX" localSheetId="55">#REF!</definedName>
    <definedName name="BX" localSheetId="52">#REF!</definedName>
    <definedName name="BX" localSheetId="51">#REF!</definedName>
    <definedName name="BX" localSheetId="53">#REF!</definedName>
    <definedName name="BX">#REF!</definedName>
    <definedName name="BXG" localSheetId="50">[56]Q6!$E$26:$AH$26</definedName>
    <definedName name="BXG" localSheetId="44">[56]Q6!$E$26:$AH$26</definedName>
    <definedName name="BXG" localSheetId="54">[56]Q6!$E$26:$AH$26</definedName>
    <definedName name="BXG" localSheetId="52">[56]Q6!$E$26:$AH$26</definedName>
    <definedName name="BXG" localSheetId="51">[56]Q6!$E$26:$AH$26</definedName>
    <definedName name="BXG" localSheetId="53">[56]Q6!$E$26:$AH$26</definedName>
    <definedName name="BXG">[53]Q6!$E$26:$AH$26</definedName>
    <definedName name="BXS" localSheetId="50">#REF!</definedName>
    <definedName name="BXS" localSheetId="47">#REF!</definedName>
    <definedName name="BXS" localSheetId="44">#REF!</definedName>
    <definedName name="BXS" localSheetId="45">#REF!</definedName>
    <definedName name="BXS" localSheetId="46">#REF!</definedName>
    <definedName name="BXS" localSheetId="37">#REF!</definedName>
    <definedName name="BXS" localSheetId="40">#REF!</definedName>
    <definedName name="BXS" localSheetId="54">#REF!</definedName>
    <definedName name="BXS" localSheetId="55">#REF!</definedName>
    <definedName name="BXS" localSheetId="52">#REF!</definedName>
    <definedName name="BXS" localSheetId="51">#REF!</definedName>
    <definedName name="BXS" localSheetId="53">#REF!</definedName>
    <definedName name="BXS">#REF!</definedName>
    <definedName name="C.2" localSheetId="50">#REF!</definedName>
    <definedName name="C.2" localSheetId="47">#REF!</definedName>
    <definedName name="C.2" localSheetId="44">#REF!</definedName>
    <definedName name="C.2" localSheetId="45">#REF!</definedName>
    <definedName name="C.2" localSheetId="46">#REF!</definedName>
    <definedName name="C.2" localSheetId="37">#REF!</definedName>
    <definedName name="C.2" localSheetId="40">#REF!</definedName>
    <definedName name="C.2" localSheetId="54">#REF!</definedName>
    <definedName name="C.2" localSheetId="55">#REF!</definedName>
    <definedName name="C.2" localSheetId="52">#REF!</definedName>
    <definedName name="C.2" localSheetId="51">#REF!</definedName>
    <definedName name="C.2" localSheetId="53">#REF!</definedName>
    <definedName name="C.2">#REF!</definedName>
    <definedName name="CA" localSheetId="34">#REF!</definedName>
    <definedName name="CA" localSheetId="35">#REF!</definedName>
    <definedName name="CA" localSheetId="50">#REF!</definedName>
    <definedName name="CA" localSheetId="15">#REF!</definedName>
    <definedName name="CA" localSheetId="29">#REF!</definedName>
    <definedName name="CA" localSheetId="30">#REF!</definedName>
    <definedName name="CA" localSheetId="47">#REF!</definedName>
    <definedName name="CA" localSheetId="44">#REF!</definedName>
    <definedName name="CA" localSheetId="45">#REF!</definedName>
    <definedName name="CA" localSheetId="46">#REF!</definedName>
    <definedName name="CA" localSheetId="31">#REF!</definedName>
    <definedName name="CA" localSheetId="32">#REF!</definedName>
    <definedName name="CA" localSheetId="33">#REF!</definedName>
    <definedName name="CA" localSheetId="36">#REF!</definedName>
    <definedName name="CA" localSheetId="37">#REF!</definedName>
    <definedName name="CA" localSheetId="38">#REF!</definedName>
    <definedName name="CA" localSheetId="39">#REF!</definedName>
    <definedName name="CA" localSheetId="40">#REF!</definedName>
    <definedName name="CA" localSheetId="54">#REF!</definedName>
    <definedName name="CA" localSheetId="55">#REF!</definedName>
    <definedName name="CA" localSheetId="52">#REF!</definedName>
    <definedName name="CA" localSheetId="23">#REF!</definedName>
    <definedName name="CA" localSheetId="51">#REF!</definedName>
    <definedName name="CA" localSheetId="53">#REF!</definedName>
    <definedName name="CA" localSheetId="20">#REF!</definedName>
    <definedName name="CA">#REF!</definedName>
    <definedName name="CAe" localSheetId="34">#REF!</definedName>
    <definedName name="CAe" localSheetId="35">#REF!</definedName>
    <definedName name="CAe" localSheetId="50">#REF!</definedName>
    <definedName name="CAe" localSheetId="15">#REF!</definedName>
    <definedName name="CAe" localSheetId="29">#REF!</definedName>
    <definedName name="CAe" localSheetId="30">#REF!</definedName>
    <definedName name="CAe" localSheetId="47">#REF!</definedName>
    <definedName name="CAe" localSheetId="44">#REF!</definedName>
    <definedName name="CAe" localSheetId="45">#REF!</definedName>
    <definedName name="CAe" localSheetId="46">#REF!</definedName>
    <definedName name="CAe" localSheetId="31">#REF!</definedName>
    <definedName name="CAe" localSheetId="32">#REF!</definedName>
    <definedName name="CAe" localSheetId="33">#REF!</definedName>
    <definedName name="CAe" localSheetId="36">#REF!</definedName>
    <definedName name="CAe" localSheetId="37">#REF!</definedName>
    <definedName name="CAe" localSheetId="38">#REF!</definedName>
    <definedName name="CAe" localSheetId="39">#REF!</definedName>
    <definedName name="CAe" localSheetId="40">#REF!</definedName>
    <definedName name="CAe" localSheetId="54">#REF!</definedName>
    <definedName name="CAe" localSheetId="55">#REF!</definedName>
    <definedName name="CAe" localSheetId="52">#REF!</definedName>
    <definedName name="CAe" localSheetId="23">#REF!</definedName>
    <definedName name="CAe" localSheetId="51">#REF!</definedName>
    <definedName name="CAe" localSheetId="53">#REF!</definedName>
    <definedName name="CAe" localSheetId="20">#REF!</definedName>
    <definedName name="CAe">#REF!</definedName>
    <definedName name="calcNGS_NGDP">#N/A</definedName>
    <definedName name="CapacityClasses" localSheetId="50">#REF!</definedName>
    <definedName name="CapacityClasses" localSheetId="47">#REF!</definedName>
    <definedName name="CapacityClasses" localSheetId="44">#REF!</definedName>
    <definedName name="CapacityClasses" localSheetId="45">#REF!</definedName>
    <definedName name="CapacityClasses" localSheetId="46">#REF!</definedName>
    <definedName name="CapacityClasses" localSheetId="37">#REF!</definedName>
    <definedName name="CapacityClasses" localSheetId="40">#REF!</definedName>
    <definedName name="CapacityClasses" localSheetId="54">#REF!</definedName>
    <definedName name="CapacityClasses" localSheetId="55">#REF!</definedName>
    <definedName name="CapacityClasses" localSheetId="52">#REF!</definedName>
    <definedName name="CapacityClasses" localSheetId="51">#REF!</definedName>
    <definedName name="CapacityClasses" localSheetId="53">#REF!</definedName>
    <definedName name="CapacityClasses">#REF!</definedName>
    <definedName name="CAperc" localSheetId="34">#REF!</definedName>
    <definedName name="CAperc" localSheetId="35">#REF!</definedName>
    <definedName name="CAperc" localSheetId="50">#REF!</definedName>
    <definedName name="CAperc" localSheetId="15">#REF!</definedName>
    <definedName name="CAperc" localSheetId="29">#REF!</definedName>
    <definedName name="CAperc" localSheetId="30">#REF!</definedName>
    <definedName name="CAperc" localSheetId="47">#REF!</definedName>
    <definedName name="CAperc" localSheetId="44">#REF!</definedName>
    <definedName name="CAperc" localSheetId="45">#REF!</definedName>
    <definedName name="CAperc" localSheetId="46">#REF!</definedName>
    <definedName name="CAperc" localSheetId="31">#REF!</definedName>
    <definedName name="CAperc" localSheetId="32">#REF!</definedName>
    <definedName name="CAperc" localSheetId="33">#REF!</definedName>
    <definedName name="CAperc" localSheetId="36">#REF!</definedName>
    <definedName name="CAperc" localSheetId="37">#REF!</definedName>
    <definedName name="CAperc" localSheetId="38">#REF!</definedName>
    <definedName name="CAperc" localSheetId="39">#REF!</definedName>
    <definedName name="CAperc" localSheetId="40">#REF!</definedName>
    <definedName name="CAperc" localSheetId="54">#REF!</definedName>
    <definedName name="CAperc" localSheetId="55">#REF!</definedName>
    <definedName name="CAperc" localSheetId="52">#REF!</definedName>
    <definedName name="CAperc" localSheetId="23">#REF!</definedName>
    <definedName name="CAperc" localSheetId="51">#REF!</definedName>
    <definedName name="CAperc" localSheetId="53">#REF!</definedName>
    <definedName name="CAperc" localSheetId="20">#REF!</definedName>
    <definedName name="CAperc">#REF!</definedName>
    <definedName name="captados" localSheetId="34">#REF!</definedName>
    <definedName name="captados" localSheetId="35">#REF!</definedName>
    <definedName name="captados" localSheetId="50">#REF!</definedName>
    <definedName name="captados" localSheetId="15">#REF!</definedName>
    <definedName name="captados" localSheetId="29">#REF!</definedName>
    <definedName name="captados" localSheetId="30">#REF!</definedName>
    <definedName name="captados" localSheetId="47">#REF!</definedName>
    <definedName name="captados" localSheetId="44">#REF!</definedName>
    <definedName name="captados" localSheetId="45">#REF!</definedName>
    <definedName name="captados" localSheetId="46">#REF!</definedName>
    <definedName name="captados" localSheetId="31">#REF!</definedName>
    <definedName name="captados" localSheetId="32">#REF!</definedName>
    <definedName name="captados" localSheetId="33">#REF!</definedName>
    <definedName name="captados" localSheetId="36">#REF!</definedName>
    <definedName name="captados" localSheetId="37">#REF!</definedName>
    <definedName name="captados" localSheetId="38">#REF!</definedName>
    <definedName name="captados" localSheetId="39">#REF!</definedName>
    <definedName name="captados" localSheetId="40">#REF!</definedName>
    <definedName name="captados" localSheetId="54">#REF!</definedName>
    <definedName name="captados" localSheetId="55">#REF!</definedName>
    <definedName name="captados" localSheetId="52">#REF!</definedName>
    <definedName name="captados" localSheetId="23">#REF!</definedName>
    <definedName name="captados" localSheetId="51">#REF!</definedName>
    <definedName name="captados" localSheetId="53">#REF!</definedName>
    <definedName name="captados" localSheetId="20">#REF!</definedName>
    <definedName name="captados">#REF!</definedName>
    <definedName name="CAr" localSheetId="34">#REF!</definedName>
    <definedName name="CAr" localSheetId="35">#REF!</definedName>
    <definedName name="CAr" localSheetId="50">#REF!</definedName>
    <definedName name="CAr" localSheetId="15">#REF!</definedName>
    <definedName name="CAr" localSheetId="29">#REF!</definedName>
    <definedName name="CAr" localSheetId="30">#REF!</definedName>
    <definedName name="CAr" localSheetId="47">#REF!</definedName>
    <definedName name="CAr" localSheetId="44">#REF!</definedName>
    <definedName name="CAr" localSheetId="45">#REF!</definedName>
    <definedName name="CAr" localSheetId="46">#REF!</definedName>
    <definedName name="CAr" localSheetId="31">#REF!</definedName>
    <definedName name="CAr" localSheetId="32">#REF!</definedName>
    <definedName name="CAr" localSheetId="33">#REF!</definedName>
    <definedName name="CAr" localSheetId="36">#REF!</definedName>
    <definedName name="CAr" localSheetId="37">#REF!</definedName>
    <definedName name="CAr" localSheetId="38">#REF!</definedName>
    <definedName name="CAr" localSheetId="39">#REF!</definedName>
    <definedName name="CAr" localSheetId="40">#REF!</definedName>
    <definedName name="CAr" localSheetId="54">#REF!</definedName>
    <definedName name="CAr" localSheetId="55">#REF!</definedName>
    <definedName name="CAr" localSheetId="52">#REF!</definedName>
    <definedName name="CAr" localSheetId="23">#REF!</definedName>
    <definedName name="CAr" localSheetId="51">#REF!</definedName>
    <definedName name="CAr" localSheetId="53">#REF!</definedName>
    <definedName name="CAr" localSheetId="20">#REF!</definedName>
    <definedName name="CAr">#REF!</definedName>
    <definedName name="CategoryCode" localSheetId="50">#REF!</definedName>
    <definedName name="CategoryCode" localSheetId="47">#REF!</definedName>
    <definedName name="CategoryCode" localSheetId="44">#REF!</definedName>
    <definedName name="CategoryCode" localSheetId="45">#REF!</definedName>
    <definedName name="CategoryCode" localSheetId="46">#REF!</definedName>
    <definedName name="CategoryCode" localSheetId="37">#REF!</definedName>
    <definedName name="CategoryCode" localSheetId="40">#REF!</definedName>
    <definedName name="CategoryCode" localSheetId="54">#REF!</definedName>
    <definedName name="CategoryCode" localSheetId="55">#REF!</definedName>
    <definedName name="CategoryCode" localSheetId="52">#REF!</definedName>
    <definedName name="CategoryCode" localSheetId="51">#REF!</definedName>
    <definedName name="CategoryCode" localSheetId="53">#REF!</definedName>
    <definedName name="CategoryCode">#REF!</definedName>
    <definedName name="cc" localSheetId="58" hidden="1">{"Riqfin97",#N/A,FALSE,"Tran";"Riqfinpro",#N/A,FALSE,"Tran"}</definedName>
    <definedName name="cc" localSheetId="16" hidden="1">{"Riqfin97",#N/A,FALSE,"Tran";"Riqfinpro",#N/A,FALSE,"Tran"}</definedName>
    <definedName name="cc" localSheetId="61" hidden="1">{"Riqfin97",#N/A,FALSE,"Tran";"Riqfinpro",#N/A,FALSE,"Tran"}</definedName>
    <definedName name="cc" localSheetId="62" hidden="1">{"Riqfin97",#N/A,FALSE,"Tran";"Riqfinpro",#N/A,FALSE,"Tran"}</definedName>
    <definedName name="cc" localSheetId="50" hidden="1">{"Riqfin97",#N/A,FALSE,"Tran";"Riqfinpro",#N/A,FALSE,"Tran"}</definedName>
    <definedName name="cc" localSheetId="63" hidden="1">{"Riqfin97",#N/A,FALSE,"Tran";"Riqfinpro",#N/A,FALSE,"Tran"}</definedName>
    <definedName name="cc" localSheetId="15" hidden="1">{"Riqfin97",#N/A,FALSE,"Tran";"Riqfinpro",#N/A,FALSE,"Tran"}</definedName>
    <definedName name="cc" localSheetId="1" hidden="1">{"Riqfin97",#N/A,FALSE,"Tran";"Riqfinpro",#N/A,FALSE,"Tran"}</definedName>
    <definedName name="cc" localSheetId="43" hidden="1">{"Riqfin97",#N/A,FALSE,"Tran";"Riqfinpro",#N/A,FALSE,"Tran"}</definedName>
    <definedName name="cc" localSheetId="29" hidden="1">{"Riqfin97",#N/A,FALSE,"Tran";"Riqfinpro",#N/A,FALSE,"Tran"}</definedName>
    <definedName name="cc" localSheetId="30" hidden="1">{"Riqfin97",#N/A,FALSE,"Tran";"Riqfinpro",#N/A,FALSE,"Tran"}</definedName>
    <definedName name="cc" localSheetId="44" hidden="1">{"Riqfin97",#N/A,FALSE,"Tran";"Riqfinpro",#N/A,FALSE,"Tran"}</definedName>
    <definedName name="cc" localSheetId="59" hidden="1">{"Riqfin97",#N/A,FALSE,"Tran";"Riqfinpro",#N/A,FALSE,"Tran"}</definedName>
    <definedName name="cc" localSheetId="13" hidden="1">{"Riqfin97",#N/A,FALSE,"Tran";"Riqfinpro",#N/A,FALSE,"Tran"}</definedName>
    <definedName name="cc" localSheetId="0" hidden="1">{"Riqfin97",#N/A,FALSE,"Tran";"Riqfinpro",#N/A,FALSE,"Tran"}</definedName>
    <definedName name="cc" localSheetId="57" hidden="1">{"Riqfin97",#N/A,FALSE,"Tran";"Riqfinpro",#N/A,FALSE,"Tran"}</definedName>
    <definedName name="cc" localSheetId="56" hidden="1">{"Riqfin97",#N/A,FALSE,"Tran";"Riqfinpro",#N/A,FALSE,"Tran"}</definedName>
    <definedName name="cc" localSheetId="54" hidden="1">{"Riqfin97",#N/A,FALSE,"Tran";"Riqfinpro",#N/A,FALSE,"Tran"}</definedName>
    <definedName name="cc" localSheetId="52" hidden="1">{"Riqfin97",#N/A,FALSE,"Tran";"Riqfinpro",#N/A,FALSE,"Tran"}</definedName>
    <definedName name="cc" localSheetId="23" hidden="1">{"Riqfin97",#N/A,FALSE,"Tran";"Riqfinpro",#N/A,FALSE,"Tran"}</definedName>
    <definedName name="cc" localSheetId="51" hidden="1">{"Riqfin97",#N/A,FALSE,"Tran";"Riqfinpro",#N/A,FALSE,"Tran"}</definedName>
    <definedName name="cc" localSheetId="53" hidden="1">{"Riqfin97",#N/A,FALSE,"Tran";"Riqfinpro",#N/A,FALSE,"Tran"}</definedName>
    <definedName name="cc" localSheetId="60" hidden="1">{"Riqfin97",#N/A,FALSE,"Tran";"Riqfinpro",#N/A,FALSE,"Tran"}</definedName>
    <definedName name="cc" hidden="1">{"Riqfin97",#N/A,FALSE,"Tran";"Riqfinpro",#N/A,FALSE,"Tran"}</definedName>
    <definedName name="CCC" localSheetId="50">#REF!</definedName>
    <definedName name="CCC" localSheetId="44">#REF!</definedName>
    <definedName name="CCC" localSheetId="54">#REF!</definedName>
    <definedName name="CCC" localSheetId="52">#REF!</definedName>
    <definedName name="CCC" localSheetId="51">#REF!</definedName>
    <definedName name="CCC" localSheetId="53">#REF!</definedName>
    <definedName name="ccc">[54]!ccc</definedName>
    <definedName name="cccc" localSheetId="50">#N/A</definedName>
    <definedName name="cccc" localSheetId="44">#N/A</definedName>
    <definedName name="cccc" localSheetId="54">#N/A</definedName>
    <definedName name="cccc" localSheetId="52">#N/A</definedName>
    <definedName name="cccc" localSheetId="51">#N/A</definedName>
    <definedName name="cccc" localSheetId="53">#N/A</definedName>
    <definedName name="cccc">[54]!cccc</definedName>
    <definedName name="ccccc" localSheetId="58" hidden="1">{"Minpmon",#N/A,FALSE,"Monthinput"}</definedName>
    <definedName name="ccccc" localSheetId="16" hidden="1">{"Minpmon",#N/A,FALSE,"Monthinput"}</definedName>
    <definedName name="ccccc" localSheetId="61" hidden="1">{"Minpmon",#N/A,FALSE,"Monthinput"}</definedName>
    <definedName name="ccccc" localSheetId="62" hidden="1">{"Minpmon",#N/A,FALSE,"Monthinput"}</definedName>
    <definedName name="ccccc" localSheetId="50" hidden="1">{"Minpmon",#N/A,FALSE,"Monthinput"}</definedName>
    <definedName name="ccccc" localSheetId="63" hidden="1">{"Minpmon",#N/A,FALSE,"Monthinput"}</definedName>
    <definedName name="ccccc" localSheetId="15" hidden="1">{"Minpmon",#N/A,FALSE,"Monthinput"}</definedName>
    <definedName name="ccccc" localSheetId="1" hidden="1">{"Minpmon",#N/A,FALSE,"Monthinput"}</definedName>
    <definedName name="ccccc" localSheetId="43" hidden="1">{"Minpmon",#N/A,FALSE,"Monthinput"}</definedName>
    <definedName name="ccccc" localSheetId="29" hidden="1">{"Minpmon",#N/A,FALSE,"Monthinput"}</definedName>
    <definedName name="ccccc" localSheetId="30" hidden="1">{"Minpmon",#N/A,FALSE,"Monthinput"}</definedName>
    <definedName name="ccccc" localSheetId="44" hidden="1">{"Minpmon",#N/A,FALSE,"Monthinput"}</definedName>
    <definedName name="ccccc" localSheetId="59" hidden="1">{"Minpmon",#N/A,FALSE,"Monthinput"}</definedName>
    <definedName name="ccccc" localSheetId="13" hidden="1">{"Minpmon",#N/A,FALSE,"Monthinput"}</definedName>
    <definedName name="ccccc" localSheetId="0" hidden="1">{"Minpmon",#N/A,FALSE,"Monthinput"}</definedName>
    <definedName name="ccccc" localSheetId="57" hidden="1">{"Minpmon",#N/A,FALSE,"Monthinput"}</definedName>
    <definedName name="ccccc" localSheetId="56" hidden="1">{"Minpmon",#N/A,FALSE,"Monthinput"}</definedName>
    <definedName name="ccccc" localSheetId="54" hidden="1">{"Minpmon",#N/A,FALSE,"Monthinput"}</definedName>
    <definedName name="ccccc" localSheetId="52" hidden="1">{"Minpmon",#N/A,FALSE,"Monthinput"}</definedName>
    <definedName name="ccccc" localSheetId="23" hidden="1">{"Minpmon",#N/A,FALSE,"Monthinput"}</definedName>
    <definedName name="ccccc" localSheetId="51" hidden="1">{"Minpmon",#N/A,FALSE,"Monthinput"}</definedName>
    <definedName name="ccccc" localSheetId="53" hidden="1">{"Minpmon",#N/A,FALSE,"Monthinput"}</definedName>
    <definedName name="ccccc" localSheetId="60" hidden="1">{"Minpmon",#N/A,FALSE,"Monthinput"}</definedName>
    <definedName name="ccccc" hidden="1">{"Minpmon",#N/A,FALSE,"Monthinput"}</definedName>
    <definedName name="cccm" localSheetId="58" hidden="1">{"Riqfin97",#N/A,FALSE,"Tran";"Riqfinpro",#N/A,FALSE,"Tran"}</definedName>
    <definedName name="cccm" localSheetId="16" hidden="1">{"Riqfin97",#N/A,FALSE,"Tran";"Riqfinpro",#N/A,FALSE,"Tran"}</definedName>
    <definedName name="cccm" localSheetId="61" hidden="1">{"Riqfin97",#N/A,FALSE,"Tran";"Riqfinpro",#N/A,FALSE,"Tran"}</definedName>
    <definedName name="cccm" localSheetId="62" hidden="1">{"Riqfin97",#N/A,FALSE,"Tran";"Riqfinpro",#N/A,FALSE,"Tran"}</definedName>
    <definedName name="cccm" localSheetId="50" hidden="1">{"Riqfin97",#N/A,FALSE,"Tran";"Riqfinpro",#N/A,FALSE,"Tran"}</definedName>
    <definedName name="cccm" localSheetId="63" hidden="1">{"Riqfin97",#N/A,FALSE,"Tran";"Riqfinpro",#N/A,FALSE,"Tran"}</definedName>
    <definedName name="cccm" localSheetId="15" hidden="1">{"Riqfin97",#N/A,FALSE,"Tran";"Riqfinpro",#N/A,FALSE,"Tran"}</definedName>
    <definedName name="cccm" localSheetId="1" hidden="1">{"Riqfin97",#N/A,FALSE,"Tran";"Riqfinpro",#N/A,FALSE,"Tran"}</definedName>
    <definedName name="cccm" localSheetId="43" hidden="1">{"Riqfin97",#N/A,FALSE,"Tran";"Riqfinpro",#N/A,FALSE,"Tran"}</definedName>
    <definedName name="cccm" localSheetId="29" hidden="1">{"Riqfin97",#N/A,FALSE,"Tran";"Riqfinpro",#N/A,FALSE,"Tran"}</definedName>
    <definedName name="cccm" localSheetId="30" hidden="1">{"Riqfin97",#N/A,FALSE,"Tran";"Riqfinpro",#N/A,FALSE,"Tran"}</definedName>
    <definedName name="cccm" localSheetId="44" hidden="1">{"Riqfin97",#N/A,FALSE,"Tran";"Riqfinpro",#N/A,FALSE,"Tran"}</definedName>
    <definedName name="cccm" localSheetId="59" hidden="1">{"Riqfin97",#N/A,FALSE,"Tran";"Riqfinpro",#N/A,FALSE,"Tran"}</definedName>
    <definedName name="cccm" localSheetId="13" hidden="1">{"Riqfin97",#N/A,FALSE,"Tran";"Riqfinpro",#N/A,FALSE,"Tran"}</definedName>
    <definedName name="cccm" localSheetId="0" hidden="1">{"Riqfin97",#N/A,FALSE,"Tran";"Riqfinpro",#N/A,FALSE,"Tran"}</definedName>
    <definedName name="cccm" localSheetId="57" hidden="1">{"Riqfin97",#N/A,FALSE,"Tran";"Riqfinpro",#N/A,FALSE,"Tran"}</definedName>
    <definedName name="cccm" localSheetId="56" hidden="1">{"Riqfin97",#N/A,FALSE,"Tran";"Riqfinpro",#N/A,FALSE,"Tran"}</definedName>
    <definedName name="cccm" localSheetId="54" hidden="1">{"Riqfin97",#N/A,FALSE,"Tran";"Riqfinpro",#N/A,FALSE,"Tran"}</definedName>
    <definedName name="cccm" localSheetId="52" hidden="1">{"Riqfin97",#N/A,FALSE,"Tran";"Riqfinpro",#N/A,FALSE,"Tran"}</definedName>
    <definedName name="cccm" localSheetId="23" hidden="1">{"Riqfin97",#N/A,FALSE,"Tran";"Riqfinpro",#N/A,FALSE,"Tran"}</definedName>
    <definedName name="cccm" localSheetId="51" hidden="1">{"Riqfin97",#N/A,FALSE,"Tran";"Riqfinpro",#N/A,FALSE,"Tran"}</definedName>
    <definedName name="cccm" localSheetId="53" hidden="1">{"Riqfin97",#N/A,FALSE,"Tran";"Riqfinpro",#N/A,FALSE,"Tran"}</definedName>
    <definedName name="cccm" localSheetId="60" hidden="1">{"Riqfin97",#N/A,FALSE,"Tran";"Riqfinpro",#N/A,FALSE,"Tran"}</definedName>
    <definedName name="cccm" hidden="1">{"Riqfin97",#N/A,FALSE,"Tran";"Riqfinpro",#N/A,FALSE,"Tran"}</definedName>
    <definedName name="ccme98" localSheetId="34">[27]Programa!#REF!</definedName>
    <definedName name="ccme98" localSheetId="35">[27]Programa!#REF!</definedName>
    <definedName name="ccme98" localSheetId="50">[27]Programa!#REF!</definedName>
    <definedName name="ccme98" localSheetId="15">[27]Programa!#REF!</definedName>
    <definedName name="ccme98" localSheetId="29">[27]Programa!#REF!</definedName>
    <definedName name="ccme98" localSheetId="30">[27]Programa!#REF!</definedName>
    <definedName name="ccme98" localSheetId="47">[27]Programa!#REF!</definedName>
    <definedName name="ccme98" localSheetId="44">[27]Programa!#REF!</definedName>
    <definedName name="ccme98" localSheetId="45">[27]Programa!#REF!</definedName>
    <definedName name="ccme98" localSheetId="46">[27]Programa!#REF!</definedName>
    <definedName name="ccme98" localSheetId="31">[27]Programa!#REF!</definedName>
    <definedName name="ccme98" localSheetId="32">[27]Programa!#REF!</definedName>
    <definedName name="ccme98" localSheetId="33">[27]Programa!#REF!</definedName>
    <definedName name="ccme98" localSheetId="36">[27]Programa!#REF!</definedName>
    <definedName name="ccme98" localSheetId="37">[27]Programa!#REF!</definedName>
    <definedName name="ccme98" localSheetId="38">[27]Programa!#REF!</definedName>
    <definedName name="ccme98" localSheetId="39">[27]Programa!#REF!</definedName>
    <definedName name="ccme98" localSheetId="40">[27]Programa!#REF!</definedName>
    <definedName name="ccme98" localSheetId="54">[27]Programa!#REF!</definedName>
    <definedName name="ccme98" localSheetId="55">[27]Programa!#REF!</definedName>
    <definedName name="ccme98" localSheetId="52">[27]Programa!#REF!</definedName>
    <definedName name="ccme98" localSheetId="23">[27]Programa!#REF!</definedName>
    <definedName name="ccme98" localSheetId="51">[27]Programa!#REF!</definedName>
    <definedName name="ccme98" localSheetId="53">[27]Programa!#REF!</definedName>
    <definedName name="ccme98" localSheetId="20">[27]Programa!#REF!</definedName>
    <definedName name="ccme98">[27]Programa!#REF!</definedName>
    <definedName name="ccme98j" localSheetId="34">[27]Programa!#REF!</definedName>
    <definedName name="ccme98j" localSheetId="35">[27]Programa!#REF!</definedName>
    <definedName name="ccme98j" localSheetId="50">[27]Programa!#REF!</definedName>
    <definedName name="ccme98j" localSheetId="15">[27]Programa!#REF!</definedName>
    <definedName name="ccme98j" localSheetId="29">[27]Programa!#REF!</definedName>
    <definedName name="ccme98j" localSheetId="30">[27]Programa!#REF!</definedName>
    <definedName name="ccme98j" localSheetId="47">[27]Programa!#REF!</definedName>
    <definedName name="ccme98j" localSheetId="44">[27]Programa!#REF!</definedName>
    <definedName name="ccme98j" localSheetId="45">[27]Programa!#REF!</definedName>
    <definedName name="ccme98j" localSheetId="46">[27]Programa!#REF!</definedName>
    <definedName name="ccme98j" localSheetId="31">[27]Programa!#REF!</definedName>
    <definedName name="ccme98j" localSheetId="32">[27]Programa!#REF!</definedName>
    <definedName name="ccme98j" localSheetId="33">[27]Programa!#REF!</definedName>
    <definedName name="ccme98j" localSheetId="36">[27]Programa!#REF!</definedName>
    <definedName name="ccme98j" localSheetId="37">[27]Programa!#REF!</definedName>
    <definedName name="ccme98j" localSheetId="38">[27]Programa!#REF!</definedName>
    <definedName name="ccme98j" localSheetId="39">[27]Programa!#REF!</definedName>
    <definedName name="ccme98j" localSheetId="40">[27]Programa!#REF!</definedName>
    <definedName name="ccme98j" localSheetId="54">[27]Programa!#REF!</definedName>
    <definedName name="ccme98j" localSheetId="55">[27]Programa!#REF!</definedName>
    <definedName name="ccme98j" localSheetId="52">[27]Programa!#REF!</definedName>
    <definedName name="ccme98j" localSheetId="23">[27]Programa!#REF!</definedName>
    <definedName name="ccme98j" localSheetId="51">[27]Programa!#REF!</definedName>
    <definedName name="ccme98j" localSheetId="53">[27]Programa!#REF!</definedName>
    <definedName name="ccme98j" localSheetId="20">[27]Programa!#REF!</definedName>
    <definedName name="ccme98j">[27]Programa!#REF!</definedName>
    <definedName name="cd" localSheetId="50">#REF!</definedName>
    <definedName name="cd" localSheetId="47">#REF!</definedName>
    <definedName name="cd" localSheetId="44">#REF!</definedName>
    <definedName name="cd" localSheetId="45">#REF!</definedName>
    <definedName name="cd" localSheetId="46">#REF!</definedName>
    <definedName name="cd" localSheetId="37">#REF!</definedName>
    <definedName name="cd" localSheetId="40">#REF!</definedName>
    <definedName name="cd" localSheetId="54">#REF!</definedName>
    <definedName name="cd" localSheetId="55">#REF!</definedName>
    <definedName name="cd" localSheetId="52">#REF!</definedName>
    <definedName name="cd" localSheetId="51">#REF!</definedName>
    <definedName name="cd" localSheetId="53">#REF!</definedName>
    <definedName name="cd">#REF!</definedName>
    <definedName name="cde" localSheetId="58" hidden="1">{"Riqfin97",#N/A,FALSE,"Tran";"Riqfinpro",#N/A,FALSE,"Tran"}</definedName>
    <definedName name="cde" localSheetId="16" hidden="1">{"Riqfin97",#N/A,FALSE,"Tran";"Riqfinpro",#N/A,FALSE,"Tran"}</definedName>
    <definedName name="cde" localSheetId="61" hidden="1">{"Riqfin97",#N/A,FALSE,"Tran";"Riqfinpro",#N/A,FALSE,"Tran"}</definedName>
    <definedName name="cde" localSheetId="62" hidden="1">{"Riqfin97",#N/A,FALSE,"Tran";"Riqfinpro",#N/A,FALSE,"Tran"}</definedName>
    <definedName name="cde" localSheetId="50" hidden="1">{"Riqfin97",#N/A,FALSE,"Tran";"Riqfinpro",#N/A,FALSE,"Tran"}</definedName>
    <definedName name="cde" localSheetId="63" hidden="1">{"Riqfin97",#N/A,FALSE,"Tran";"Riqfinpro",#N/A,FALSE,"Tran"}</definedName>
    <definedName name="cde" localSheetId="15" hidden="1">{"Riqfin97",#N/A,FALSE,"Tran";"Riqfinpro",#N/A,FALSE,"Tran"}</definedName>
    <definedName name="cde" localSheetId="1" hidden="1">{"Riqfin97",#N/A,FALSE,"Tran";"Riqfinpro",#N/A,FALSE,"Tran"}</definedName>
    <definedName name="cde" localSheetId="43" hidden="1">{"Riqfin97",#N/A,FALSE,"Tran";"Riqfinpro",#N/A,FALSE,"Tran"}</definedName>
    <definedName name="cde" localSheetId="29" hidden="1">{"Riqfin97",#N/A,FALSE,"Tran";"Riqfinpro",#N/A,FALSE,"Tran"}</definedName>
    <definedName name="cde" localSheetId="30" hidden="1">{"Riqfin97",#N/A,FALSE,"Tran";"Riqfinpro",#N/A,FALSE,"Tran"}</definedName>
    <definedName name="cde" localSheetId="44" hidden="1">{"Riqfin97",#N/A,FALSE,"Tran";"Riqfinpro",#N/A,FALSE,"Tran"}</definedName>
    <definedName name="cde" localSheetId="59" hidden="1">{"Riqfin97",#N/A,FALSE,"Tran";"Riqfinpro",#N/A,FALSE,"Tran"}</definedName>
    <definedName name="cde" localSheetId="13" hidden="1">{"Riqfin97",#N/A,FALSE,"Tran";"Riqfinpro",#N/A,FALSE,"Tran"}</definedName>
    <definedName name="cde" localSheetId="0" hidden="1">{"Riqfin97",#N/A,FALSE,"Tran";"Riqfinpro",#N/A,FALSE,"Tran"}</definedName>
    <definedName name="cde" localSheetId="57" hidden="1">{"Riqfin97",#N/A,FALSE,"Tran";"Riqfinpro",#N/A,FALSE,"Tran"}</definedName>
    <definedName name="cde" localSheetId="56" hidden="1">{"Riqfin97",#N/A,FALSE,"Tran";"Riqfinpro",#N/A,FALSE,"Tran"}</definedName>
    <definedName name="cde" localSheetId="54" hidden="1">{"Riqfin97",#N/A,FALSE,"Tran";"Riqfinpro",#N/A,FALSE,"Tran"}</definedName>
    <definedName name="cde" localSheetId="52" hidden="1">{"Riqfin97",#N/A,FALSE,"Tran";"Riqfinpro",#N/A,FALSE,"Tran"}</definedName>
    <definedName name="cde" localSheetId="23" hidden="1">{"Riqfin97",#N/A,FALSE,"Tran";"Riqfinpro",#N/A,FALSE,"Tran"}</definedName>
    <definedName name="cde" localSheetId="51" hidden="1">{"Riqfin97",#N/A,FALSE,"Tran";"Riqfinpro",#N/A,FALSE,"Tran"}</definedName>
    <definedName name="cde" localSheetId="53" hidden="1">{"Riqfin97",#N/A,FALSE,"Tran";"Riqfinpro",#N/A,FALSE,"Tran"}</definedName>
    <definedName name="cde" localSheetId="60" hidden="1">{"Riqfin97",#N/A,FALSE,"Tran";"Riqfinpro",#N/A,FALSE,"Tran"}</definedName>
    <definedName name="cde" hidden="1">{"Riqfin97",#N/A,FALSE,"Tran";"Riqfinpro",#N/A,FALSE,"Tran"}</definedName>
    <definedName name="CellsShaded_AMER">192</definedName>
    <definedName name="CellsShaded_EAP">132</definedName>
    <definedName name="CellsShaded_IND">0</definedName>
    <definedName name="CellsShaded_MENA">86</definedName>
    <definedName name="CellsShaded_SA">24</definedName>
    <definedName name="CellsShaded_SSA">276</definedName>
    <definedName name="CellsShaded_TOTAL">710</definedName>
    <definedName name="cerdito2" localSheetId="34">#REF!</definedName>
    <definedName name="cerdito2" localSheetId="35">#REF!</definedName>
    <definedName name="cerdito2" localSheetId="50">#REF!</definedName>
    <definedName name="cerdito2" localSheetId="15">#REF!</definedName>
    <definedName name="cerdito2" localSheetId="29">#REF!</definedName>
    <definedName name="cerdito2" localSheetId="30">#REF!</definedName>
    <definedName name="cerdito2" localSheetId="47">#REF!</definedName>
    <definedName name="cerdito2" localSheetId="44">#REF!</definedName>
    <definedName name="cerdito2" localSheetId="45">#REF!</definedName>
    <definedName name="cerdito2" localSheetId="46">#REF!</definedName>
    <definedName name="cerdito2" localSheetId="31">#REF!</definedName>
    <definedName name="cerdito2" localSheetId="32">#REF!</definedName>
    <definedName name="cerdito2" localSheetId="33">#REF!</definedName>
    <definedName name="cerdito2" localSheetId="36">#REF!</definedName>
    <definedName name="cerdito2" localSheetId="37">#REF!</definedName>
    <definedName name="cerdito2" localSheetId="38">#REF!</definedName>
    <definedName name="cerdito2" localSheetId="39">#REF!</definedName>
    <definedName name="cerdito2" localSheetId="40">#REF!</definedName>
    <definedName name="cerdito2" localSheetId="54">#REF!</definedName>
    <definedName name="cerdito2" localSheetId="55">#REF!</definedName>
    <definedName name="cerdito2" localSheetId="52">#REF!</definedName>
    <definedName name="cerdito2" localSheetId="23">#REF!</definedName>
    <definedName name="cerdito2" localSheetId="51">#REF!</definedName>
    <definedName name="cerdito2" localSheetId="53">#REF!</definedName>
    <definedName name="cerdito2" localSheetId="20">#REF!</definedName>
    <definedName name="cerdito2">#REF!</definedName>
    <definedName name="CG" localSheetId="34">#REF!</definedName>
    <definedName name="CG" localSheetId="35">#REF!</definedName>
    <definedName name="CG" localSheetId="50">#REF!</definedName>
    <definedName name="CG" localSheetId="15">#REF!</definedName>
    <definedName name="CG" localSheetId="29">#REF!</definedName>
    <definedName name="CG" localSheetId="30">#REF!</definedName>
    <definedName name="CG" localSheetId="47">#REF!</definedName>
    <definedName name="CG" localSheetId="44">#REF!</definedName>
    <definedName name="CG" localSheetId="45">#REF!</definedName>
    <definedName name="CG" localSheetId="46">#REF!</definedName>
    <definedName name="CG" localSheetId="31">#REF!</definedName>
    <definedName name="CG" localSheetId="32">#REF!</definedName>
    <definedName name="CG" localSheetId="33">#REF!</definedName>
    <definedName name="CG" localSheetId="36">#REF!</definedName>
    <definedName name="CG" localSheetId="37">#REF!</definedName>
    <definedName name="CG" localSheetId="38">#REF!</definedName>
    <definedName name="CG" localSheetId="39">#REF!</definedName>
    <definedName name="CG" localSheetId="40">#REF!</definedName>
    <definedName name="CG" localSheetId="54">#REF!</definedName>
    <definedName name="CG" localSheetId="55">#REF!</definedName>
    <definedName name="CG" localSheetId="52">#REF!</definedName>
    <definedName name="CG" localSheetId="23">#REF!</definedName>
    <definedName name="CG" localSheetId="51">#REF!</definedName>
    <definedName name="CG" localSheetId="53">#REF!</definedName>
    <definedName name="CG" localSheetId="20">#REF!</definedName>
    <definedName name="CG">#REF!</definedName>
    <definedName name="CGperc" localSheetId="34">#REF!</definedName>
    <definedName name="CGperc" localSheetId="35">#REF!</definedName>
    <definedName name="CGperc" localSheetId="50">#REF!</definedName>
    <definedName name="CGperc" localSheetId="15">#REF!</definedName>
    <definedName name="CGperc" localSheetId="29">#REF!</definedName>
    <definedName name="CGperc" localSheetId="30">#REF!</definedName>
    <definedName name="CGperc" localSheetId="47">#REF!</definedName>
    <definedName name="CGperc" localSheetId="44">#REF!</definedName>
    <definedName name="CGperc" localSheetId="45">#REF!</definedName>
    <definedName name="CGperc" localSheetId="46">#REF!</definedName>
    <definedName name="CGperc" localSheetId="31">#REF!</definedName>
    <definedName name="CGperc" localSheetId="32">#REF!</definedName>
    <definedName name="CGperc" localSheetId="33">#REF!</definedName>
    <definedName name="CGperc" localSheetId="36">#REF!</definedName>
    <definedName name="CGperc" localSheetId="37">#REF!</definedName>
    <definedName name="CGperc" localSheetId="38">#REF!</definedName>
    <definedName name="CGperc" localSheetId="39">#REF!</definedName>
    <definedName name="CGperc" localSheetId="40">#REF!</definedName>
    <definedName name="CGperc" localSheetId="54">#REF!</definedName>
    <definedName name="CGperc" localSheetId="55">#REF!</definedName>
    <definedName name="CGperc" localSheetId="52">#REF!</definedName>
    <definedName name="CGperc" localSheetId="23">#REF!</definedName>
    <definedName name="CGperc" localSheetId="51">#REF!</definedName>
    <definedName name="CGperc" localSheetId="53">#REF!</definedName>
    <definedName name="CGperc" localSheetId="20">#REF!</definedName>
    <definedName name="CGperc">#REF!</definedName>
    <definedName name="CheckRange">'[57]Sector Summary'!$V$21:$V$50,'[57]Sector Summary'!$V$56:$V$89,'[57]Sector Summary'!$AG$97:$AG$119,'[57]Sector Summary'!$AG$126:$AG$145</definedName>
    <definedName name="Chg" localSheetId="50">#REF!</definedName>
    <definedName name="Chg" localSheetId="47">#REF!</definedName>
    <definedName name="Chg" localSheetId="44">#REF!</definedName>
    <definedName name="Chg" localSheetId="45">#REF!</definedName>
    <definedName name="Chg" localSheetId="46">#REF!</definedName>
    <definedName name="Chg" localSheetId="37">#REF!</definedName>
    <definedName name="Chg" localSheetId="40">#REF!</definedName>
    <definedName name="Chg" localSheetId="54">#REF!</definedName>
    <definedName name="Chg" localSheetId="55">#REF!</definedName>
    <definedName name="Chg" localSheetId="52">#REF!</definedName>
    <definedName name="Chg" localSheetId="51">#REF!</definedName>
    <definedName name="Chg" localSheetId="53">#REF!</definedName>
    <definedName name="Chg">#REF!</definedName>
    <definedName name="CHILE" localSheetId="34">#REF!</definedName>
    <definedName name="CHILE" localSheetId="35">#REF!</definedName>
    <definedName name="CHILE" localSheetId="50">#REF!</definedName>
    <definedName name="CHILE" localSheetId="15">#REF!</definedName>
    <definedName name="CHILE" localSheetId="29">#REF!</definedName>
    <definedName name="CHILE" localSheetId="30">#REF!</definedName>
    <definedName name="CHILE" localSheetId="47">#REF!</definedName>
    <definedName name="CHILE" localSheetId="44">#REF!</definedName>
    <definedName name="CHILE" localSheetId="45">#REF!</definedName>
    <definedName name="CHILE" localSheetId="46">#REF!</definedName>
    <definedName name="CHILE" localSheetId="31">#REF!</definedName>
    <definedName name="CHILE" localSheetId="32">#REF!</definedName>
    <definedName name="CHILE" localSheetId="33">#REF!</definedName>
    <definedName name="CHILE" localSheetId="36">#REF!</definedName>
    <definedName name="CHILE" localSheetId="37">#REF!</definedName>
    <definedName name="CHILE" localSheetId="38">#REF!</definedName>
    <definedName name="CHILE" localSheetId="39">#REF!</definedName>
    <definedName name="CHILE" localSheetId="40">#REF!</definedName>
    <definedName name="CHILE" localSheetId="54">#REF!</definedName>
    <definedName name="CHILE" localSheetId="55">#REF!</definedName>
    <definedName name="CHILE" localSheetId="52">#REF!</definedName>
    <definedName name="CHILE" localSheetId="23">#REF!</definedName>
    <definedName name="CHILE" localSheetId="51">#REF!</definedName>
    <definedName name="CHILE" localSheetId="53">#REF!</definedName>
    <definedName name="CHILE" localSheetId="20">#REF!</definedName>
    <definedName name="CHILE">#REF!</definedName>
    <definedName name="CHK" localSheetId="34">#REF!</definedName>
    <definedName name="CHK" localSheetId="35">#REF!</definedName>
    <definedName name="CHK" localSheetId="50">#REF!</definedName>
    <definedName name="CHK" localSheetId="15">#REF!</definedName>
    <definedName name="CHK" localSheetId="29">#REF!</definedName>
    <definedName name="CHK" localSheetId="30">#REF!</definedName>
    <definedName name="CHK" localSheetId="47">#REF!</definedName>
    <definedName name="CHK" localSheetId="44">#REF!</definedName>
    <definedName name="CHK" localSheetId="45">#REF!</definedName>
    <definedName name="CHK" localSheetId="46">#REF!</definedName>
    <definedName name="CHK" localSheetId="31">#REF!</definedName>
    <definedName name="CHK" localSheetId="32">#REF!</definedName>
    <definedName name="CHK" localSheetId="33">#REF!</definedName>
    <definedName name="CHK" localSheetId="36">#REF!</definedName>
    <definedName name="CHK" localSheetId="37">#REF!</definedName>
    <definedName name="CHK" localSheetId="38">#REF!</definedName>
    <definedName name="CHK" localSheetId="39">#REF!</definedName>
    <definedName name="CHK" localSheetId="40">#REF!</definedName>
    <definedName name="CHK" localSheetId="54">#REF!</definedName>
    <definedName name="CHK" localSheetId="55">#REF!</definedName>
    <definedName name="CHK" localSheetId="52">#REF!</definedName>
    <definedName name="CHK" localSheetId="23">#REF!</definedName>
    <definedName name="CHK" localSheetId="51">#REF!</definedName>
    <definedName name="CHK" localSheetId="53">#REF!</definedName>
    <definedName name="CHK" localSheetId="20">#REF!</definedName>
    <definedName name="CHK">#REF!</definedName>
    <definedName name="CHK5.1" localSheetId="50">#REF!</definedName>
    <definedName name="CHK5.1" localSheetId="47">#REF!</definedName>
    <definedName name="CHK5.1" localSheetId="44">#REF!</definedName>
    <definedName name="CHK5.1" localSheetId="45">#REF!</definedName>
    <definedName name="CHK5.1" localSheetId="46">#REF!</definedName>
    <definedName name="CHK5.1" localSheetId="37">#REF!</definedName>
    <definedName name="CHK5.1" localSheetId="40">#REF!</definedName>
    <definedName name="CHK5.1" localSheetId="54">#REF!</definedName>
    <definedName name="CHK5.1" localSheetId="55">#REF!</definedName>
    <definedName name="CHK5.1" localSheetId="52">#REF!</definedName>
    <definedName name="CHK5.1" localSheetId="51">#REF!</definedName>
    <definedName name="CHK5.1" localSheetId="53">#REF!</definedName>
    <definedName name="CHK5.1">#REF!</definedName>
    <definedName name="CHOOSE" localSheetId="50">#REF!</definedName>
    <definedName name="CHOOSE" localSheetId="47">#REF!</definedName>
    <definedName name="CHOOSE" localSheetId="44">#REF!</definedName>
    <definedName name="CHOOSE" localSheetId="45">#REF!</definedName>
    <definedName name="CHOOSE" localSheetId="46">#REF!</definedName>
    <definedName name="CHOOSE" localSheetId="37">#REF!</definedName>
    <definedName name="CHOOSE" localSheetId="40">#REF!</definedName>
    <definedName name="CHOOSE" localSheetId="54">#REF!</definedName>
    <definedName name="CHOOSE" localSheetId="55">#REF!</definedName>
    <definedName name="CHOOSE" localSheetId="52">#REF!</definedName>
    <definedName name="CHOOSE" localSheetId="51">#REF!</definedName>
    <definedName name="CHOOSE" localSheetId="53">#REF!</definedName>
    <definedName name="CHOOSE">#REF!</definedName>
    <definedName name="chris" localSheetId="34">[56]MS!#REF!</definedName>
    <definedName name="chris" localSheetId="35">[56]MS!#REF!</definedName>
    <definedName name="chris" localSheetId="50">[56]MS!#REF!</definedName>
    <definedName name="chris" localSheetId="15">[56]MS!#REF!</definedName>
    <definedName name="chris" localSheetId="27">[56]MS!#REF!</definedName>
    <definedName name="chris" localSheetId="24">[56]MS!#REF!</definedName>
    <definedName name="chris" localSheetId="26">[56]MS!#REF!</definedName>
    <definedName name="chris" localSheetId="43">[56]MS!#REF!</definedName>
    <definedName name="chris" localSheetId="29">[56]MS!#REF!</definedName>
    <definedName name="chris" localSheetId="30">[56]MS!#REF!</definedName>
    <definedName name="chris" localSheetId="47">[56]MS!#REF!</definedName>
    <definedName name="chris" localSheetId="44">[56]MS!#REF!</definedName>
    <definedName name="chris" localSheetId="45">[56]MS!#REF!</definedName>
    <definedName name="chris" localSheetId="46">[56]MS!#REF!</definedName>
    <definedName name="chris" localSheetId="31">[56]MS!#REF!</definedName>
    <definedName name="chris" localSheetId="32">[56]MS!#REF!</definedName>
    <definedName name="chris" localSheetId="33">[56]MS!#REF!</definedName>
    <definedName name="chris" localSheetId="36">[56]MS!#REF!</definedName>
    <definedName name="chris" localSheetId="37">[56]MS!#REF!</definedName>
    <definedName name="chris" localSheetId="38">[56]MS!#REF!</definedName>
    <definedName name="chris" localSheetId="39">[56]MS!#REF!</definedName>
    <definedName name="chris" localSheetId="40">[56]MS!#REF!</definedName>
    <definedName name="chris" localSheetId="25">[56]MS!#REF!</definedName>
    <definedName name="chris" localSheetId="54">[56]MS!#REF!</definedName>
    <definedName name="chris" localSheetId="55">[56]MS!#REF!</definedName>
    <definedName name="chris" localSheetId="52">[56]MS!#REF!</definedName>
    <definedName name="chris" localSheetId="23">[56]MS!#REF!</definedName>
    <definedName name="chris" localSheetId="51">[56]MS!#REF!</definedName>
    <definedName name="chris" localSheetId="12">[56]MS!#REF!</definedName>
    <definedName name="chris" localSheetId="53">[56]MS!#REF!</definedName>
    <definedName name="chris" localSheetId="49">[56]MS!#REF!</definedName>
    <definedName name="chris" localSheetId="20">[56]MS!#REF!</definedName>
    <definedName name="chris">[56]MS!#REF!</definedName>
    <definedName name="cifras_" localSheetId="34">#REF!</definedName>
    <definedName name="cifras_" localSheetId="35">#REF!</definedName>
    <definedName name="cifras_" localSheetId="50">#REF!</definedName>
    <definedName name="cifras_" localSheetId="15">#REF!</definedName>
    <definedName name="cifras_" localSheetId="29">#REF!</definedName>
    <definedName name="cifras_" localSheetId="30">#REF!</definedName>
    <definedName name="cifras_" localSheetId="47">#REF!</definedName>
    <definedName name="cifras_" localSheetId="44">#REF!</definedName>
    <definedName name="cifras_" localSheetId="45">#REF!</definedName>
    <definedName name="cifras_" localSheetId="46">#REF!</definedName>
    <definedName name="cifras_" localSheetId="31">#REF!</definedName>
    <definedName name="cifras_" localSheetId="32">#REF!</definedName>
    <definedName name="cifras_" localSheetId="33">#REF!</definedName>
    <definedName name="cifras_" localSheetId="36">#REF!</definedName>
    <definedName name="cifras_" localSheetId="37">#REF!</definedName>
    <definedName name="cifras_" localSheetId="38">#REF!</definedName>
    <definedName name="cifras_" localSheetId="39">#REF!</definedName>
    <definedName name="cifras_" localSheetId="40">#REF!</definedName>
    <definedName name="cifras_" localSheetId="54">#REF!</definedName>
    <definedName name="cifras_" localSheetId="55">#REF!</definedName>
    <definedName name="cifras_" localSheetId="52">#REF!</definedName>
    <definedName name="cifras_" localSheetId="23">#REF!</definedName>
    <definedName name="cifras_" localSheetId="51">#REF!</definedName>
    <definedName name="cifras_" localSheetId="53">#REF!</definedName>
    <definedName name="cifras_" localSheetId="20">#REF!</definedName>
    <definedName name="cifras_">#REF!</definedName>
    <definedName name="cirr" localSheetId="50">#REF!</definedName>
    <definedName name="cirr" localSheetId="47">#REF!</definedName>
    <definedName name="cirr" localSheetId="44">#REF!</definedName>
    <definedName name="cirr" localSheetId="45">#REF!</definedName>
    <definedName name="cirr" localSheetId="46">#REF!</definedName>
    <definedName name="cirr" localSheetId="37">#REF!</definedName>
    <definedName name="cirr" localSheetId="40">#REF!</definedName>
    <definedName name="cirr" localSheetId="54">#REF!</definedName>
    <definedName name="cirr" localSheetId="55">#REF!</definedName>
    <definedName name="cirr" localSheetId="52">#REF!</definedName>
    <definedName name="cirr" localSheetId="51">#REF!</definedName>
    <definedName name="cirr" localSheetId="53">#REF!</definedName>
    <definedName name="cirr">#REF!</definedName>
    <definedName name="Citadel_MD">'[58]Meta Data'!$A$2:$A$13</definedName>
    <definedName name="ClassDescriptions" localSheetId="50">#REF!</definedName>
    <definedName name="ClassDescriptions" localSheetId="47">#REF!</definedName>
    <definedName name="ClassDescriptions" localSheetId="44">#REF!</definedName>
    <definedName name="ClassDescriptions" localSheetId="45">#REF!</definedName>
    <definedName name="ClassDescriptions" localSheetId="46">#REF!</definedName>
    <definedName name="ClassDescriptions" localSheetId="37">#REF!</definedName>
    <definedName name="ClassDescriptions" localSheetId="40">#REF!</definedName>
    <definedName name="ClassDescriptions" localSheetId="54">#REF!</definedName>
    <definedName name="ClassDescriptions" localSheetId="55">#REF!</definedName>
    <definedName name="ClassDescriptions" localSheetId="52">#REF!</definedName>
    <definedName name="ClassDescriptions" localSheetId="51">#REF!</definedName>
    <definedName name="ClassDescriptions" localSheetId="53">#REF!</definedName>
    <definedName name="ClassDescriptions">#REF!</definedName>
    <definedName name="CleanupDataCC" localSheetId="50">#REF!</definedName>
    <definedName name="CleanupDataCC" localSheetId="47">#REF!</definedName>
    <definedName name="CleanupDataCC" localSheetId="44">#REF!</definedName>
    <definedName name="CleanupDataCC" localSheetId="45">#REF!</definedName>
    <definedName name="CleanupDataCC" localSheetId="46">#REF!</definedName>
    <definedName name="CleanupDataCC" localSheetId="37">#REF!</definedName>
    <definedName name="CleanupDataCC" localSheetId="40">#REF!</definedName>
    <definedName name="CleanupDataCC" localSheetId="54">#REF!</definedName>
    <definedName name="CleanupDataCC" localSheetId="55">#REF!</definedName>
    <definedName name="CleanupDataCC" localSheetId="52">#REF!</definedName>
    <definedName name="CleanupDataCC" localSheetId="51">#REF!</definedName>
    <definedName name="CleanupDataCC" localSheetId="53">#REF!</definedName>
    <definedName name="CleanupDataCC">#REF!</definedName>
    <definedName name="CleanupDataSendTime" localSheetId="50">#REF!</definedName>
    <definedName name="CleanupDataSendTime" localSheetId="47">#REF!</definedName>
    <definedName name="CleanupDataSendTime" localSheetId="44">#REF!</definedName>
    <definedName name="CleanupDataSendTime" localSheetId="45">#REF!</definedName>
    <definedName name="CleanupDataSendTime" localSheetId="46">#REF!</definedName>
    <definedName name="CleanupDataSendTime" localSheetId="37">#REF!</definedName>
    <definedName name="CleanupDataSendTime" localSheetId="40">#REF!</definedName>
    <definedName name="CleanupDataSendTime" localSheetId="54">#REF!</definedName>
    <definedName name="CleanupDataSendTime" localSheetId="55">#REF!</definedName>
    <definedName name="CleanupDataSendTime" localSheetId="52">#REF!</definedName>
    <definedName name="CleanupDataSendTime" localSheetId="51">#REF!</definedName>
    <definedName name="CleanupDataSendTime" localSheetId="53">#REF!</definedName>
    <definedName name="CleanupDataSendTime">#REF!</definedName>
    <definedName name="CleanupDataSubject" localSheetId="50">#REF!</definedName>
    <definedName name="CleanupDataSubject" localSheetId="47">#REF!</definedName>
    <definedName name="CleanupDataSubject" localSheetId="44">#REF!</definedName>
    <definedName name="CleanupDataSubject" localSheetId="45">#REF!</definedName>
    <definedName name="CleanupDataSubject" localSheetId="46">#REF!</definedName>
    <definedName name="CleanupDataSubject" localSheetId="37">#REF!</definedName>
    <definedName name="CleanupDataSubject" localSheetId="40">#REF!</definedName>
    <definedName name="CleanupDataSubject" localSheetId="54">#REF!</definedName>
    <definedName name="CleanupDataSubject" localSheetId="55">#REF!</definedName>
    <definedName name="CleanupDataSubject" localSheetId="52">#REF!</definedName>
    <definedName name="CleanupDataSubject" localSheetId="51">#REF!</definedName>
    <definedName name="CleanupDataSubject" localSheetId="53">#REF!</definedName>
    <definedName name="CleanupDataSubject">#REF!</definedName>
    <definedName name="CleanupDataTo" localSheetId="50">#REF!</definedName>
    <definedName name="CleanupDataTo" localSheetId="47">#REF!</definedName>
    <definedName name="CleanupDataTo" localSheetId="44">#REF!</definedName>
    <definedName name="CleanupDataTo" localSheetId="45">#REF!</definedName>
    <definedName name="CleanupDataTo" localSheetId="46">#REF!</definedName>
    <definedName name="CleanupDataTo" localSheetId="37">#REF!</definedName>
    <definedName name="CleanupDataTo" localSheetId="40">#REF!</definedName>
    <definedName name="CleanupDataTo" localSheetId="54">#REF!</definedName>
    <definedName name="CleanupDataTo" localSheetId="55">#REF!</definedName>
    <definedName name="CleanupDataTo" localSheetId="52">#REF!</definedName>
    <definedName name="CleanupDataTo" localSheetId="51">#REF!</definedName>
    <definedName name="CleanupDataTo" localSheetId="53">#REF!</definedName>
    <definedName name="CleanupDataTo">#REF!</definedName>
    <definedName name="client" localSheetId="50">[38]Instructions!#REF!</definedName>
    <definedName name="client" localSheetId="47">[38]Instructions!#REF!</definedName>
    <definedName name="client" localSheetId="44">[38]Instructions!#REF!</definedName>
    <definedName name="client" localSheetId="45">[38]Instructions!#REF!</definedName>
    <definedName name="client" localSheetId="46">[38]Instructions!#REF!</definedName>
    <definedName name="client" localSheetId="37">[38]Instructions!#REF!</definedName>
    <definedName name="client" localSheetId="40">[38]Instructions!#REF!</definedName>
    <definedName name="client" localSheetId="54">[38]Instructions!#REF!</definedName>
    <definedName name="client" localSheetId="55">[38]Instructions!#REF!</definedName>
    <definedName name="client" localSheetId="52">[38]Instructions!#REF!</definedName>
    <definedName name="client" localSheetId="51">[38]Instructions!#REF!</definedName>
    <definedName name="client" localSheetId="53">[38]Instructions!#REF!</definedName>
    <definedName name="client">[38]Instructions!#REF!</definedName>
    <definedName name="CLIENT_DEV_CREDIT" localSheetId="50">#REF!</definedName>
    <definedName name="CLIENT_DEV_CREDIT" localSheetId="47">#REF!</definedName>
    <definedName name="CLIENT_DEV_CREDIT" localSheetId="44">#REF!</definedName>
    <definedName name="CLIENT_DEV_CREDIT" localSheetId="45">#REF!</definedName>
    <definedName name="CLIENT_DEV_CREDIT" localSheetId="46">#REF!</definedName>
    <definedName name="CLIENT_DEV_CREDIT" localSheetId="37">#REF!</definedName>
    <definedName name="CLIENT_DEV_CREDIT" localSheetId="40">#REF!</definedName>
    <definedName name="CLIENT_DEV_CREDIT" localSheetId="54">#REF!</definedName>
    <definedName name="CLIENT_DEV_CREDIT" localSheetId="55">#REF!</definedName>
    <definedName name="CLIENT_DEV_CREDIT" localSheetId="52">#REF!</definedName>
    <definedName name="CLIENT_DEV_CREDIT" localSheetId="51">#REF!</definedName>
    <definedName name="CLIENT_DEV_CREDIT" localSheetId="53">#REF!</definedName>
    <definedName name="CLIENT_DEV_CREDIT">#REF!</definedName>
    <definedName name="CLIENT_NAME">'[55]Header Info'!$E$2</definedName>
    <definedName name="client_partner" localSheetId="50">[38]Instructions!#REF!</definedName>
    <definedName name="client_partner" localSheetId="47">[38]Instructions!#REF!</definedName>
    <definedName name="client_partner" localSheetId="44">[38]Instructions!#REF!</definedName>
    <definedName name="client_partner" localSheetId="45">[38]Instructions!#REF!</definedName>
    <definedName name="client_partner" localSheetId="46">[38]Instructions!#REF!</definedName>
    <definedName name="client_partner" localSheetId="37">[38]Instructions!#REF!</definedName>
    <definedName name="client_partner" localSheetId="40">[38]Instructions!#REF!</definedName>
    <definedName name="client_partner" localSheetId="54">[38]Instructions!#REF!</definedName>
    <definedName name="client_partner" localSheetId="55">[38]Instructions!#REF!</definedName>
    <definedName name="client_partner" localSheetId="52">[38]Instructions!#REF!</definedName>
    <definedName name="client_partner" localSheetId="51">[38]Instructions!#REF!</definedName>
    <definedName name="client_partner" localSheetId="53">[38]Instructions!#REF!</definedName>
    <definedName name="client_partner">[38]Instructions!#REF!</definedName>
    <definedName name="cmca" localSheetId="34">#REF!</definedName>
    <definedName name="cmca" localSheetId="35">#REF!</definedName>
    <definedName name="cmca" localSheetId="50">#REF!</definedName>
    <definedName name="cmca" localSheetId="15">#REF!</definedName>
    <definedName name="cmca" localSheetId="29">#REF!</definedName>
    <definedName name="cmca" localSheetId="30">#REF!</definedName>
    <definedName name="cmca" localSheetId="47">#REF!</definedName>
    <definedName name="cmca" localSheetId="44">#REF!</definedName>
    <definedName name="cmca" localSheetId="45">#REF!</definedName>
    <definedName name="cmca" localSheetId="46">#REF!</definedName>
    <definedName name="cmca" localSheetId="31">#REF!</definedName>
    <definedName name="cmca" localSheetId="32">#REF!</definedName>
    <definedName name="cmca" localSheetId="33">#REF!</definedName>
    <definedName name="cmca" localSheetId="36">#REF!</definedName>
    <definedName name="cmca" localSheetId="37">#REF!</definedName>
    <definedName name="cmca" localSheetId="38">#REF!</definedName>
    <definedName name="cmca" localSheetId="39">#REF!</definedName>
    <definedName name="cmca" localSheetId="40">#REF!</definedName>
    <definedName name="cmca" localSheetId="54">#REF!</definedName>
    <definedName name="cmca" localSheetId="55">#REF!</definedName>
    <definedName name="cmca" localSheetId="52">#REF!</definedName>
    <definedName name="cmca" localSheetId="23">#REF!</definedName>
    <definedName name="cmca" localSheetId="51">#REF!</definedName>
    <definedName name="cmca" localSheetId="53">#REF!</definedName>
    <definedName name="cmca" localSheetId="20">#REF!</definedName>
    <definedName name="cmca">#REF!</definedName>
    <definedName name="COL" localSheetId="34">[36]Projections!#REF!</definedName>
    <definedName name="COL" localSheetId="35">[36]Projections!#REF!</definedName>
    <definedName name="COL" localSheetId="50">[36]Projections!#REF!</definedName>
    <definedName name="COL" localSheetId="15">[36]Projections!#REF!</definedName>
    <definedName name="COL" localSheetId="29">[36]Projections!#REF!</definedName>
    <definedName name="COL" localSheetId="30">[36]Projections!#REF!</definedName>
    <definedName name="COL" localSheetId="47">[36]Projections!#REF!</definedName>
    <definedName name="COL" localSheetId="44">[36]Projections!#REF!</definedName>
    <definedName name="COL" localSheetId="45">[36]Projections!#REF!</definedName>
    <definedName name="COL" localSheetId="46">[36]Projections!#REF!</definedName>
    <definedName name="COL" localSheetId="31">[36]Projections!#REF!</definedName>
    <definedName name="COL" localSheetId="32">[36]Projections!#REF!</definedName>
    <definedName name="COL" localSheetId="33">[36]Projections!#REF!</definedName>
    <definedName name="COL" localSheetId="36">[36]Projections!#REF!</definedName>
    <definedName name="COL" localSheetId="37">[36]Projections!#REF!</definedName>
    <definedName name="COL" localSheetId="38">[36]Projections!#REF!</definedName>
    <definedName name="COL" localSheetId="39">[36]Projections!#REF!</definedName>
    <definedName name="COL" localSheetId="40">[36]Projections!#REF!</definedName>
    <definedName name="COL" localSheetId="54">[36]Projections!#REF!</definedName>
    <definedName name="COL" localSheetId="55">[36]Projections!#REF!</definedName>
    <definedName name="COL" localSheetId="52">[36]Projections!#REF!</definedName>
    <definedName name="COL" localSheetId="23">[36]Projections!#REF!</definedName>
    <definedName name="COL" localSheetId="51">[36]Projections!#REF!</definedName>
    <definedName name="COL" localSheetId="53">[36]Projections!#REF!</definedName>
    <definedName name="COL" localSheetId="20">[36]Projections!#REF!</definedName>
    <definedName name="COL">[36]Projections!#REF!</definedName>
    <definedName name="Colombia___Summary_Accounts_of_the_Financial_System" localSheetId="58">base-flow</definedName>
    <definedName name="Colombia___Summary_Accounts_of_the_Financial_System" localSheetId="34">base-flow</definedName>
    <definedName name="Colombia___Summary_Accounts_of_the_Financial_System" localSheetId="35">base-flow</definedName>
    <definedName name="Colombia___Summary_Accounts_of_the_Financial_System" localSheetId="16">base-flow</definedName>
    <definedName name="Colombia___Summary_Accounts_of_the_Financial_System" localSheetId="61">base-flow</definedName>
    <definedName name="Colombia___Summary_Accounts_of_the_Financial_System" localSheetId="62">base-flow</definedName>
    <definedName name="Colombia___Summary_Accounts_of_the_Financial_System" localSheetId="50">base-flow</definedName>
    <definedName name="Colombia___Summary_Accounts_of_the_Financial_System" localSheetId="63">base-flow</definedName>
    <definedName name="Colombia___Summary_Accounts_of_the_Financial_System" localSheetId="15">base-flow</definedName>
    <definedName name="Colombia___Summary_Accounts_of_the_Financial_System" localSheetId="1">base-flow</definedName>
    <definedName name="Colombia___Summary_Accounts_of_the_Financial_System" localSheetId="43">base-flow</definedName>
    <definedName name="Colombia___Summary_Accounts_of_the_Financial_System" localSheetId="29">base-flow</definedName>
    <definedName name="Colombia___Summary_Accounts_of_the_Financial_System" localSheetId="30">base-flow</definedName>
    <definedName name="Colombia___Summary_Accounts_of_the_Financial_System" localSheetId="47">base-flow</definedName>
    <definedName name="Colombia___Summary_Accounts_of_the_Financial_System" localSheetId="44">base-flow</definedName>
    <definedName name="Colombia___Summary_Accounts_of_the_Financial_System" localSheetId="45">base-flow</definedName>
    <definedName name="Colombia___Summary_Accounts_of_the_Financial_System" localSheetId="46">base-flow</definedName>
    <definedName name="Colombia___Summary_Accounts_of_the_Financial_System" localSheetId="31">base-flow</definedName>
    <definedName name="Colombia___Summary_Accounts_of_the_Financial_System" localSheetId="32">base-flow</definedName>
    <definedName name="Colombia___Summary_Accounts_of_the_Financial_System" localSheetId="33">base-flow</definedName>
    <definedName name="Colombia___Summary_Accounts_of_the_Financial_System" localSheetId="59">base-flow</definedName>
    <definedName name="Colombia___Summary_Accounts_of_the_Financial_System" localSheetId="36">base-flow</definedName>
    <definedName name="Colombia___Summary_Accounts_of_the_Financial_System" localSheetId="37">base-flow</definedName>
    <definedName name="Colombia___Summary_Accounts_of_the_Financial_System" localSheetId="38">base-flow</definedName>
    <definedName name="Colombia___Summary_Accounts_of_the_Financial_System" localSheetId="39">base-flow</definedName>
    <definedName name="Colombia___Summary_Accounts_of_the_Financial_System" localSheetId="40">base-flow</definedName>
    <definedName name="Colombia___Summary_Accounts_of_the_Financial_System" localSheetId="13">base-flow</definedName>
    <definedName name="Colombia___Summary_Accounts_of_the_Financial_System" localSheetId="0">base-flow</definedName>
    <definedName name="Colombia___Summary_Accounts_of_the_Financial_System" localSheetId="57">base-flow</definedName>
    <definedName name="Colombia___Summary_Accounts_of_the_Financial_System" localSheetId="56">base-flow</definedName>
    <definedName name="Colombia___Summary_Accounts_of_the_Financial_System" localSheetId="54">base-flow</definedName>
    <definedName name="Colombia___Summary_Accounts_of_the_Financial_System" localSheetId="55">base-flow</definedName>
    <definedName name="Colombia___Summary_Accounts_of_the_Financial_System" localSheetId="52">base-flow</definedName>
    <definedName name="Colombia___Summary_Accounts_of_the_Financial_System" localSheetId="23">base-flow</definedName>
    <definedName name="Colombia___Summary_Accounts_of_the_Financial_System" localSheetId="51">base-flow</definedName>
    <definedName name="Colombia___Summary_Accounts_of_the_Financial_System" localSheetId="53">base-flow</definedName>
    <definedName name="Colombia___Summary_Accounts_of_the_Financial_System" localSheetId="60">base-flow</definedName>
    <definedName name="Colombia___Summary_Accounts_of_the_Financial_System" localSheetId="20">base-flow</definedName>
    <definedName name="Colombia___Summary_Accounts_of_the_Financial_System">base-flow</definedName>
    <definedName name="COMMERCIALBANK" localSheetId="50">#REF!</definedName>
    <definedName name="COMMERCIALBANK" localSheetId="47">#REF!</definedName>
    <definedName name="COMMERCIALBANK" localSheetId="44">#REF!</definedName>
    <definedName name="COMMERCIALBANK" localSheetId="45">#REF!</definedName>
    <definedName name="COMMERCIALBANK" localSheetId="46">#REF!</definedName>
    <definedName name="COMMERCIALBANK" localSheetId="37">#REF!</definedName>
    <definedName name="COMMERCIALBANK" localSheetId="40">#REF!</definedName>
    <definedName name="COMMERCIALBANK" localSheetId="54">#REF!</definedName>
    <definedName name="COMMERCIALBANK" localSheetId="55">#REF!</definedName>
    <definedName name="COMMERCIALBANK" localSheetId="52">#REF!</definedName>
    <definedName name="COMMERCIALBANK" localSheetId="51">#REF!</definedName>
    <definedName name="COMMERCIALBANK" localSheetId="53">#REF!</definedName>
    <definedName name="COMMERCIALBANK">#REF!</definedName>
    <definedName name="ComparisonCharts" localSheetId="50">#REF!</definedName>
    <definedName name="ComparisonCharts" localSheetId="47">#REF!</definedName>
    <definedName name="ComparisonCharts" localSheetId="44">#REF!</definedName>
    <definedName name="ComparisonCharts" localSheetId="45">#REF!</definedName>
    <definedName name="ComparisonCharts" localSheetId="46">#REF!</definedName>
    <definedName name="ComparisonCharts" localSheetId="37">#REF!</definedName>
    <definedName name="ComparisonCharts" localSheetId="40">#REF!</definedName>
    <definedName name="ComparisonCharts" localSheetId="54">#REF!</definedName>
    <definedName name="ComparisonCharts" localSheetId="55">#REF!</definedName>
    <definedName name="ComparisonCharts" localSheetId="52">#REF!</definedName>
    <definedName name="ComparisonCharts" localSheetId="51">#REF!</definedName>
    <definedName name="ComparisonCharts" localSheetId="53">#REF!</definedName>
    <definedName name="ComparisonCharts">#REF!</definedName>
    <definedName name="Complexity">[59]Lists!$D$2:$D$6</definedName>
    <definedName name="ComplexRegistration" localSheetId="50">#REF!</definedName>
    <definedName name="ComplexRegistration" localSheetId="47">#REF!</definedName>
    <definedName name="ComplexRegistration" localSheetId="44">#REF!</definedName>
    <definedName name="ComplexRegistration" localSheetId="45">#REF!</definedName>
    <definedName name="ComplexRegistration" localSheetId="46">#REF!</definedName>
    <definedName name="ComplexRegistration" localSheetId="37">#REF!</definedName>
    <definedName name="ComplexRegistration" localSheetId="40">#REF!</definedName>
    <definedName name="ComplexRegistration" localSheetId="54">#REF!</definedName>
    <definedName name="ComplexRegistration" localSheetId="55">#REF!</definedName>
    <definedName name="ComplexRegistration" localSheetId="52">#REF!</definedName>
    <definedName name="ComplexRegistration" localSheetId="51">#REF!</definedName>
    <definedName name="ComplexRegistration" localSheetId="53">#REF!</definedName>
    <definedName name="ComplexRegistration">#REF!</definedName>
    <definedName name="ComponentTypes" localSheetId="50">#REF!</definedName>
    <definedName name="ComponentTypes" localSheetId="47">#REF!</definedName>
    <definedName name="ComponentTypes" localSheetId="44">#REF!</definedName>
    <definedName name="ComponentTypes" localSheetId="45">#REF!</definedName>
    <definedName name="ComponentTypes" localSheetId="46">#REF!</definedName>
    <definedName name="ComponentTypes" localSheetId="37">#REF!</definedName>
    <definedName name="ComponentTypes" localSheetId="40">#REF!</definedName>
    <definedName name="ComponentTypes" localSheetId="54">#REF!</definedName>
    <definedName name="ComponentTypes" localSheetId="55">#REF!</definedName>
    <definedName name="ComponentTypes" localSheetId="52">#REF!</definedName>
    <definedName name="ComponentTypes" localSheetId="51">#REF!</definedName>
    <definedName name="ComponentTypes" localSheetId="53">#REF!</definedName>
    <definedName name="ComponentTypes">#REF!</definedName>
    <definedName name="Computation_of_Retiring_Benefits___2014_2015_TCH_sorted" localSheetId="34">#REF!</definedName>
    <definedName name="Computation_of_Retiring_Benefits___2014_2015_TCH_sorted" localSheetId="35">#REF!</definedName>
    <definedName name="Computation_of_Retiring_Benefits___2014_2015_TCH_sorted" localSheetId="50">#REF!</definedName>
    <definedName name="Computation_of_Retiring_Benefits___2014_2015_TCH_sorted" localSheetId="15">#REF!</definedName>
    <definedName name="Computation_of_Retiring_Benefits___2014_2015_TCH_sorted" localSheetId="29">#REF!</definedName>
    <definedName name="Computation_of_Retiring_Benefits___2014_2015_TCH_sorted" localSheetId="30">#REF!</definedName>
    <definedName name="Computation_of_Retiring_Benefits___2014_2015_TCH_sorted" localSheetId="47">#REF!</definedName>
    <definedName name="Computation_of_Retiring_Benefits___2014_2015_TCH_sorted" localSheetId="44">#REF!</definedName>
    <definedName name="Computation_of_Retiring_Benefits___2014_2015_TCH_sorted" localSheetId="45">#REF!</definedName>
    <definedName name="Computation_of_Retiring_Benefits___2014_2015_TCH_sorted" localSheetId="46">#REF!</definedName>
    <definedName name="Computation_of_Retiring_Benefits___2014_2015_TCH_sorted" localSheetId="31">#REF!</definedName>
    <definedName name="Computation_of_Retiring_Benefits___2014_2015_TCH_sorted" localSheetId="32">#REF!</definedName>
    <definedName name="Computation_of_Retiring_Benefits___2014_2015_TCH_sorted" localSheetId="33">#REF!</definedName>
    <definedName name="Computation_of_Retiring_Benefits___2014_2015_TCH_sorted" localSheetId="36">#REF!</definedName>
    <definedName name="Computation_of_Retiring_Benefits___2014_2015_TCH_sorted" localSheetId="37">#REF!</definedName>
    <definedName name="Computation_of_Retiring_Benefits___2014_2015_TCH_sorted" localSheetId="38">#REF!</definedName>
    <definedName name="Computation_of_Retiring_Benefits___2014_2015_TCH_sorted" localSheetId="39">#REF!</definedName>
    <definedName name="Computation_of_Retiring_Benefits___2014_2015_TCH_sorted" localSheetId="40">#REF!</definedName>
    <definedName name="Computation_of_Retiring_Benefits___2014_2015_TCH_sorted" localSheetId="54">#REF!</definedName>
    <definedName name="Computation_of_Retiring_Benefits___2014_2015_TCH_sorted" localSheetId="55">#REF!</definedName>
    <definedName name="Computation_of_Retiring_Benefits___2014_2015_TCH_sorted" localSheetId="52">#REF!</definedName>
    <definedName name="Computation_of_Retiring_Benefits___2014_2015_TCH_sorted" localSheetId="23">#REF!</definedName>
    <definedName name="Computation_of_Retiring_Benefits___2014_2015_TCH_sorted" localSheetId="51">#REF!</definedName>
    <definedName name="Computation_of_Retiring_Benefits___2014_2015_TCH_sorted" localSheetId="53">#REF!</definedName>
    <definedName name="Computation_of_Retiring_Benefits___2014_2015_TCH_sorted" localSheetId="20">#REF!</definedName>
    <definedName name="Computation_of_Retiring_Benefits___2014_2015_TCH_sorted">#REF!</definedName>
    <definedName name="Computation_of_Retiring_Benefits___2016_2017___S" localSheetId="34">#REF!</definedName>
    <definedName name="Computation_of_Retiring_Benefits___2016_2017___S" localSheetId="35">#REF!</definedName>
    <definedName name="Computation_of_Retiring_Benefits___2016_2017___S" localSheetId="50">#REF!</definedName>
    <definedName name="Computation_of_Retiring_Benefits___2016_2017___S" localSheetId="15">#REF!</definedName>
    <definedName name="Computation_of_Retiring_Benefits___2016_2017___S" localSheetId="29">#REF!</definedName>
    <definedName name="Computation_of_Retiring_Benefits___2016_2017___S" localSheetId="30">#REF!</definedName>
    <definedName name="Computation_of_Retiring_Benefits___2016_2017___S" localSheetId="47">#REF!</definedName>
    <definedName name="Computation_of_Retiring_Benefits___2016_2017___S" localSheetId="44">#REF!</definedName>
    <definedName name="Computation_of_Retiring_Benefits___2016_2017___S" localSheetId="45">#REF!</definedName>
    <definedName name="Computation_of_Retiring_Benefits___2016_2017___S" localSheetId="46">#REF!</definedName>
    <definedName name="Computation_of_Retiring_Benefits___2016_2017___S" localSheetId="31">#REF!</definedName>
    <definedName name="Computation_of_Retiring_Benefits___2016_2017___S" localSheetId="32">#REF!</definedName>
    <definedName name="Computation_of_Retiring_Benefits___2016_2017___S" localSheetId="33">#REF!</definedName>
    <definedName name="Computation_of_Retiring_Benefits___2016_2017___S" localSheetId="36">#REF!</definedName>
    <definedName name="Computation_of_Retiring_Benefits___2016_2017___S" localSheetId="37">#REF!</definedName>
    <definedName name="Computation_of_Retiring_Benefits___2016_2017___S" localSheetId="38">#REF!</definedName>
    <definedName name="Computation_of_Retiring_Benefits___2016_2017___S" localSheetId="39">#REF!</definedName>
    <definedName name="Computation_of_Retiring_Benefits___2016_2017___S" localSheetId="40">#REF!</definedName>
    <definedName name="Computation_of_Retiring_Benefits___2016_2017___S" localSheetId="54">#REF!</definedName>
    <definedName name="Computation_of_Retiring_Benefits___2016_2017___S" localSheetId="55">#REF!</definedName>
    <definedName name="Computation_of_Retiring_Benefits___2016_2017___S" localSheetId="52">#REF!</definedName>
    <definedName name="Computation_of_Retiring_Benefits___2016_2017___S" localSheetId="23">#REF!</definedName>
    <definedName name="Computation_of_Retiring_Benefits___2016_2017___S" localSheetId="51">#REF!</definedName>
    <definedName name="Computation_of_Retiring_Benefits___2016_2017___S" localSheetId="53">#REF!</definedName>
    <definedName name="Computation_of_Retiring_Benefits___2016_2017___S" localSheetId="20">#REF!</definedName>
    <definedName name="Computation_of_Retiring_Benefits___2016_2017___S">#REF!</definedName>
    <definedName name="CONCK" localSheetId="34">#REF!</definedName>
    <definedName name="CONCK" localSheetId="35">#REF!</definedName>
    <definedName name="CONCK" localSheetId="50">#REF!</definedName>
    <definedName name="CONCK" localSheetId="15">#REF!</definedName>
    <definedName name="CONCK" localSheetId="29">#REF!</definedName>
    <definedName name="CONCK" localSheetId="30">#REF!</definedName>
    <definedName name="CONCK" localSheetId="47">#REF!</definedName>
    <definedName name="CONCK" localSheetId="44">#REF!</definedName>
    <definedName name="CONCK" localSheetId="45">#REF!</definedName>
    <definedName name="CONCK" localSheetId="46">#REF!</definedName>
    <definedName name="CONCK" localSheetId="31">#REF!</definedName>
    <definedName name="CONCK" localSheetId="32">#REF!</definedName>
    <definedName name="CONCK" localSheetId="33">#REF!</definedName>
    <definedName name="CONCK" localSheetId="36">#REF!</definedName>
    <definedName name="CONCK" localSheetId="37">#REF!</definedName>
    <definedName name="CONCK" localSheetId="38">#REF!</definedName>
    <definedName name="CONCK" localSheetId="39">#REF!</definedName>
    <definedName name="CONCK" localSheetId="40">#REF!</definedName>
    <definedName name="CONCK" localSheetId="54">#REF!</definedName>
    <definedName name="CONCK" localSheetId="55">#REF!</definedName>
    <definedName name="CONCK" localSheetId="52">#REF!</definedName>
    <definedName name="CONCK" localSheetId="23">#REF!</definedName>
    <definedName name="CONCK" localSheetId="51">#REF!</definedName>
    <definedName name="CONCK" localSheetId="53">#REF!</definedName>
    <definedName name="CONCK" localSheetId="20">#REF!</definedName>
    <definedName name="CONCK">#REF!</definedName>
    <definedName name="cons" localSheetId="34">#REF!</definedName>
    <definedName name="cons" localSheetId="35">#REF!</definedName>
    <definedName name="cons" localSheetId="50">#REF!</definedName>
    <definedName name="cons" localSheetId="15">#REF!</definedName>
    <definedName name="cons" localSheetId="29">#REF!</definedName>
    <definedName name="cons" localSheetId="30">#REF!</definedName>
    <definedName name="cons" localSheetId="47">#REF!</definedName>
    <definedName name="cons" localSheetId="44">#REF!</definedName>
    <definedName name="cons" localSheetId="45">#REF!</definedName>
    <definedName name="cons" localSheetId="46">#REF!</definedName>
    <definedName name="cons" localSheetId="31">#REF!</definedName>
    <definedName name="cons" localSheetId="32">#REF!</definedName>
    <definedName name="cons" localSheetId="33">#REF!</definedName>
    <definedName name="cons" localSheetId="36">#REF!</definedName>
    <definedName name="cons" localSheetId="37">#REF!</definedName>
    <definedName name="cons" localSheetId="38">#REF!</definedName>
    <definedName name="cons" localSheetId="39">#REF!</definedName>
    <definedName name="cons" localSheetId="40">#REF!</definedName>
    <definedName name="cons" localSheetId="54">#REF!</definedName>
    <definedName name="cons" localSheetId="55">#REF!</definedName>
    <definedName name="cons" localSheetId="52">#REF!</definedName>
    <definedName name="cons" localSheetId="23">#REF!</definedName>
    <definedName name="cons" localSheetId="51">#REF!</definedName>
    <definedName name="cons" localSheetId="53">#REF!</definedName>
    <definedName name="cons" localSheetId="20">#REF!</definedName>
    <definedName name="cons">#REF!</definedName>
    <definedName name="CONSOL" localSheetId="50">#REF!</definedName>
    <definedName name="CONSOL" localSheetId="47">#REF!</definedName>
    <definedName name="CONSOL" localSheetId="44">#REF!</definedName>
    <definedName name="CONSOL" localSheetId="45">#REF!</definedName>
    <definedName name="CONSOL" localSheetId="46">#REF!</definedName>
    <definedName name="CONSOL" localSheetId="37">#REF!</definedName>
    <definedName name="CONSOL" localSheetId="40">#REF!</definedName>
    <definedName name="CONSOL" localSheetId="54">#REF!</definedName>
    <definedName name="CONSOL" localSheetId="55">#REF!</definedName>
    <definedName name="CONSOL" localSheetId="52">#REF!</definedName>
    <definedName name="CONSOL" localSheetId="51">#REF!</definedName>
    <definedName name="CONSOL" localSheetId="53">#REF!</definedName>
    <definedName name="CONSOL">#REF!</definedName>
    <definedName name="CONSOLC2" localSheetId="50">#REF!</definedName>
    <definedName name="CONSOLC2" localSheetId="47">#REF!</definedName>
    <definedName name="CONSOLC2" localSheetId="44">#REF!</definedName>
    <definedName name="CONSOLC2" localSheetId="45">#REF!</definedName>
    <definedName name="CONSOLC2" localSheetId="46">#REF!</definedName>
    <definedName name="CONSOLC2" localSheetId="37">#REF!</definedName>
    <definedName name="CONSOLC2" localSheetId="40">#REF!</definedName>
    <definedName name="CONSOLC2" localSheetId="54">#REF!</definedName>
    <definedName name="CONSOLC2" localSheetId="55">#REF!</definedName>
    <definedName name="CONSOLC2" localSheetId="52">#REF!</definedName>
    <definedName name="CONSOLC2" localSheetId="51">#REF!</definedName>
    <definedName name="CONSOLC2" localSheetId="53">#REF!</definedName>
    <definedName name="CONSOLC2">#REF!</definedName>
    <definedName name="ConsolidationBasisDownload">[60]Control!$D$15:$E$22</definedName>
    <definedName name="ContactNames" localSheetId="50">#REF!</definedName>
    <definedName name="ContactNames" localSheetId="47">#REF!</definedName>
    <definedName name="ContactNames" localSheetId="44">#REF!</definedName>
    <definedName name="ContactNames" localSheetId="45">#REF!</definedName>
    <definedName name="ContactNames" localSheetId="46">#REF!</definedName>
    <definedName name="ContactNames" localSheetId="37">#REF!</definedName>
    <definedName name="ContactNames" localSheetId="40">#REF!</definedName>
    <definedName name="ContactNames" localSheetId="54">#REF!</definedName>
    <definedName name="ContactNames" localSheetId="55">#REF!</definedName>
    <definedName name="ContactNames" localSheetId="52">#REF!</definedName>
    <definedName name="ContactNames" localSheetId="51">#REF!</definedName>
    <definedName name="ContactNames" localSheetId="53">#REF!</definedName>
    <definedName name="ContactNames">#REF!</definedName>
    <definedName name="contacto" localSheetId="34">#REF!</definedName>
    <definedName name="contacto" localSheetId="35">#REF!</definedName>
    <definedName name="contacto" localSheetId="50">#REF!</definedName>
    <definedName name="contacto" localSheetId="15">#REF!</definedName>
    <definedName name="contacto" localSheetId="29">#REF!</definedName>
    <definedName name="contacto" localSheetId="30">#REF!</definedName>
    <definedName name="contacto" localSheetId="47">#REF!</definedName>
    <definedName name="contacto" localSheetId="44">#REF!</definedName>
    <definedName name="contacto" localSheetId="45">#REF!</definedName>
    <definedName name="contacto" localSheetId="46">#REF!</definedName>
    <definedName name="contacto" localSheetId="31">#REF!</definedName>
    <definedName name="contacto" localSheetId="32">#REF!</definedName>
    <definedName name="contacto" localSheetId="33">#REF!</definedName>
    <definedName name="contacto" localSheetId="36">#REF!</definedName>
    <definedName name="contacto" localSheetId="37">#REF!</definedName>
    <definedName name="contacto" localSheetId="38">#REF!</definedName>
    <definedName name="contacto" localSheetId="39">#REF!</definedName>
    <definedName name="contacto" localSheetId="40">#REF!</definedName>
    <definedName name="contacto" localSheetId="54">#REF!</definedName>
    <definedName name="contacto" localSheetId="55">#REF!</definedName>
    <definedName name="contacto" localSheetId="52">#REF!</definedName>
    <definedName name="contacto" localSheetId="23">#REF!</definedName>
    <definedName name="contacto" localSheetId="51">#REF!</definedName>
    <definedName name="contacto" localSheetId="53">#REF!</definedName>
    <definedName name="contacto" localSheetId="20">#REF!</definedName>
    <definedName name="contacto">#REF!</definedName>
    <definedName name="Contents" localSheetId="50">#REF!</definedName>
    <definedName name="Contents" localSheetId="47">#REF!</definedName>
    <definedName name="Contents" localSheetId="44">#REF!</definedName>
    <definedName name="Contents" localSheetId="45">#REF!</definedName>
    <definedName name="Contents" localSheetId="46">#REF!</definedName>
    <definedName name="Contents" localSheetId="37">#REF!</definedName>
    <definedName name="Contents" localSheetId="40">#REF!</definedName>
    <definedName name="Contents" localSheetId="54">#REF!</definedName>
    <definedName name="Contents" localSheetId="55">#REF!</definedName>
    <definedName name="Contents" localSheetId="52">#REF!</definedName>
    <definedName name="Contents" localSheetId="51">#REF!</definedName>
    <definedName name="Contents" localSheetId="53">#REF!</definedName>
    <definedName name="Contents">#REF!</definedName>
    <definedName name="COPRA" localSheetId="34">#REF!</definedName>
    <definedName name="COPRA" localSheetId="35">#REF!</definedName>
    <definedName name="COPRA" localSheetId="50">#REF!</definedName>
    <definedName name="COPRA" localSheetId="15">#REF!</definedName>
    <definedName name="COPRA" localSheetId="27">#REF!</definedName>
    <definedName name="COPRA" localSheetId="24">#REF!</definedName>
    <definedName name="COPRA" localSheetId="26">#REF!</definedName>
    <definedName name="COPRA" localSheetId="29">#REF!</definedName>
    <definedName name="COPRA" localSheetId="42">#REF!</definedName>
    <definedName name="COPRA" localSheetId="30">#REF!</definedName>
    <definedName name="COPRA" localSheetId="47">#REF!</definedName>
    <definedName name="COPRA" localSheetId="44">#REF!</definedName>
    <definedName name="COPRA" localSheetId="45">#REF!</definedName>
    <definedName name="COPRA" localSheetId="46">#REF!</definedName>
    <definedName name="COPRA" localSheetId="31">#REF!</definedName>
    <definedName name="COPRA" localSheetId="32">#REF!</definedName>
    <definedName name="COPRA" localSheetId="33">#REF!</definedName>
    <definedName name="COPRA" localSheetId="36">#REF!</definedName>
    <definedName name="COPRA" localSheetId="37">#REF!</definedName>
    <definedName name="COPRA" localSheetId="38">#REF!</definedName>
    <definedName name="COPRA" localSheetId="39">#REF!</definedName>
    <definedName name="COPRA" localSheetId="40">#REF!</definedName>
    <definedName name="COPRA" localSheetId="25">#REF!</definedName>
    <definedName name="COPRA" localSheetId="54">#REF!</definedName>
    <definedName name="COPRA" localSheetId="55">#REF!</definedName>
    <definedName name="COPRA" localSheetId="52">#REF!</definedName>
    <definedName name="COPRA" localSheetId="23">#REF!</definedName>
    <definedName name="COPRA" localSheetId="51">#REF!</definedName>
    <definedName name="COPRA" localSheetId="12">#REF!</definedName>
    <definedName name="COPRA" localSheetId="53">#REF!</definedName>
    <definedName name="COPRA" localSheetId="60">#REF!</definedName>
    <definedName name="COPRA" localSheetId="20">#REF!</definedName>
    <definedName name="COPRA">#REF!</definedName>
    <definedName name="copystart" localSheetId="50">#REF!</definedName>
    <definedName name="copystart" localSheetId="47">#REF!</definedName>
    <definedName name="copystart" localSheetId="44">#REF!</definedName>
    <definedName name="copystart" localSheetId="45">#REF!</definedName>
    <definedName name="copystart" localSheetId="46">#REF!</definedName>
    <definedName name="copystart" localSheetId="37">#REF!</definedName>
    <definedName name="copystart" localSheetId="40">#REF!</definedName>
    <definedName name="copystart" localSheetId="54">#REF!</definedName>
    <definedName name="copystart" localSheetId="55">#REF!</definedName>
    <definedName name="copystart" localSheetId="52">#REF!</definedName>
    <definedName name="copystart" localSheetId="51">#REF!</definedName>
    <definedName name="copystart" localSheetId="53">#REF!</definedName>
    <definedName name="copystart">#REF!</definedName>
    <definedName name="Copytodebt" localSheetId="50">'[8]in-out'!#REF!</definedName>
    <definedName name="Copytodebt" localSheetId="47">'[8]in-out'!#REF!</definedName>
    <definedName name="Copytodebt" localSheetId="44">'[8]in-out'!#REF!</definedName>
    <definedName name="Copytodebt" localSheetId="45">'[8]in-out'!#REF!</definedName>
    <definedName name="Copytodebt" localSheetId="46">'[8]in-out'!#REF!</definedName>
    <definedName name="Copytodebt" localSheetId="37">'[8]in-out'!#REF!</definedName>
    <definedName name="Copytodebt" localSheetId="40">'[8]in-out'!#REF!</definedName>
    <definedName name="Copytodebt" localSheetId="54">'[8]in-out'!#REF!</definedName>
    <definedName name="Copytodebt" localSheetId="55">'[8]in-out'!#REF!</definedName>
    <definedName name="Copytodebt" localSheetId="52">'[8]in-out'!#REF!</definedName>
    <definedName name="Copytodebt" localSheetId="51">'[8]in-out'!#REF!</definedName>
    <definedName name="Copytodebt" localSheetId="53">'[8]in-out'!#REF!</definedName>
    <definedName name="Copytodebt">'[8]in-out'!#REF!</definedName>
    <definedName name="Core" localSheetId="50">#REF!</definedName>
    <definedName name="Core" localSheetId="47">#REF!</definedName>
    <definedName name="Core" localSheetId="44">#REF!</definedName>
    <definedName name="Core" localSheetId="45">#REF!</definedName>
    <definedName name="Core" localSheetId="46">#REF!</definedName>
    <definedName name="Core" localSheetId="37">#REF!</definedName>
    <definedName name="Core" localSheetId="40">#REF!</definedName>
    <definedName name="Core" localSheetId="54">#REF!</definedName>
    <definedName name="Core" localSheetId="55">#REF!</definedName>
    <definedName name="Core" localSheetId="52">#REF!</definedName>
    <definedName name="Core" localSheetId="51">#REF!</definedName>
    <definedName name="Core" localSheetId="53">#REF!</definedName>
    <definedName name="Core">#REF!</definedName>
    <definedName name="COUNT" localSheetId="58">'[7]Public Debt; holder &amp; Terms'!#REF!</definedName>
    <definedName name="COUNT" localSheetId="34">'[4]Public Debt; holder &amp; Terms'!#REF!</definedName>
    <definedName name="COUNT" localSheetId="35">'[4]Public Debt; holder &amp; Terms'!#REF!</definedName>
    <definedName name="COUNT" localSheetId="61">'[7]Public Debt; holder &amp; Terms'!#REF!</definedName>
    <definedName name="COUNT" localSheetId="62">'[7]Public Debt; holder &amp; Terms'!#REF!</definedName>
    <definedName name="COUNT" localSheetId="50">#REF!</definedName>
    <definedName name="COUNT" localSheetId="63">'[7]Public Debt; holder &amp; Terms'!#REF!</definedName>
    <definedName name="COUNT" localSheetId="15">'[7]Public Debt; holder &amp; Terms'!#REF!</definedName>
    <definedName name="COUNT" localSheetId="27">'[7]Public Debt; holder &amp; Terms'!#REF!</definedName>
    <definedName name="COUNT" localSheetId="24">'[7]Public Debt; holder &amp; Terms'!#REF!</definedName>
    <definedName name="COUNT" localSheetId="26">'[7]Public Debt; holder &amp; Terms'!#REF!</definedName>
    <definedName name="COUNT" localSheetId="1">'[7]Public Debt; holder &amp; Terms'!#REF!</definedName>
    <definedName name="COUNT" localSheetId="29">'[5]Public Debt; holder &amp; Terms'!#REF!</definedName>
    <definedName name="COUNT" localSheetId="41">'[4]Public Debt; holder &amp; Terms'!#REF!</definedName>
    <definedName name="COUNT" localSheetId="42">'[6]Public Debt; holder &amp; Terms'!#REF!</definedName>
    <definedName name="COUNT" localSheetId="30">'[5]Public Debt; holder &amp; Terms'!#REF!</definedName>
    <definedName name="COUNT" localSheetId="47">'[7]Public Debt; holder &amp; Terms'!#REF!</definedName>
    <definedName name="COUNT" localSheetId="44">#REF!</definedName>
    <definedName name="COUNT" localSheetId="45">'[7]Public Debt; holder &amp; Terms'!#REF!</definedName>
    <definedName name="COUNT" localSheetId="46">'[7]Public Debt; holder &amp; Terms'!#REF!</definedName>
    <definedName name="COUNT" localSheetId="31">'[4]Public Debt; holder &amp; Terms'!#REF!</definedName>
    <definedName name="COUNT" localSheetId="32">'[4]Public Debt; holder &amp; Terms'!#REF!</definedName>
    <definedName name="COUNT" localSheetId="33">'[4]Public Debt; holder &amp; Terms'!#REF!</definedName>
    <definedName name="COUNT" localSheetId="59">'[7]Public Debt; holder &amp; Terms'!#REF!</definedName>
    <definedName name="COUNT" localSheetId="36">'[4]Public Debt; holder &amp; Terms'!#REF!</definedName>
    <definedName name="COUNT" localSheetId="37">'[4]Public Debt; holder &amp; Terms'!#REF!</definedName>
    <definedName name="COUNT" localSheetId="38">'[4]Public Debt; holder &amp; Terms'!#REF!</definedName>
    <definedName name="COUNT" localSheetId="39">'[4]Public Debt; holder &amp; Terms'!#REF!</definedName>
    <definedName name="COUNT" localSheetId="40">'[4]Public Debt; holder &amp; Terms'!#REF!</definedName>
    <definedName name="COUNT" localSheetId="13">'[7]Public Debt; holder &amp; Terms'!#REF!</definedName>
    <definedName name="COUNT" localSheetId="0">'[7]Public Debt; holder &amp; Terms'!#REF!</definedName>
    <definedName name="COUNT" localSheetId="25">'[7]Public Debt; holder &amp; Terms'!#REF!</definedName>
    <definedName name="COUNT" localSheetId="54">#REF!</definedName>
    <definedName name="COUNT" localSheetId="55">'[7]Public Debt; holder &amp; Terms'!#REF!</definedName>
    <definedName name="COUNT" localSheetId="52">#REF!</definedName>
    <definedName name="COUNT" localSheetId="23">'[7]Public Debt; holder &amp; Terms'!#REF!</definedName>
    <definedName name="COUNT" localSheetId="51">#REF!</definedName>
    <definedName name="COUNT" localSheetId="12">'[7]Public Debt; holder &amp; Terms'!#REF!</definedName>
    <definedName name="COUNT" localSheetId="53">#REF!</definedName>
    <definedName name="COUNT" localSheetId="60">'[61]Public Debt; holder &amp; Terms'!#REF!</definedName>
    <definedName name="COUNT" localSheetId="20">'[7]Public Debt; holder &amp; Terms'!#REF!</definedName>
    <definedName name="COUNT">'[7]Public Debt; holder &amp; Terms'!#REF!</definedName>
    <definedName name="COUNTER" localSheetId="50">#REF!</definedName>
    <definedName name="COUNTER" localSheetId="47">#REF!</definedName>
    <definedName name="COUNTER" localSheetId="44">#REF!</definedName>
    <definedName name="COUNTER" localSheetId="45">#REF!</definedName>
    <definedName name="COUNTER" localSheetId="46">#REF!</definedName>
    <definedName name="COUNTER" localSheetId="37">#REF!</definedName>
    <definedName name="COUNTER" localSheetId="40">#REF!</definedName>
    <definedName name="COUNTER" localSheetId="54">#REF!</definedName>
    <definedName name="COUNTER" localSheetId="55">#REF!</definedName>
    <definedName name="COUNTER" localSheetId="52">#REF!</definedName>
    <definedName name="COUNTER" localSheetId="51">#REF!</definedName>
    <definedName name="COUNTER" localSheetId="53">#REF!</definedName>
    <definedName name="COUNTER">#REF!</definedName>
    <definedName name="COUNTRIES" localSheetId="34">[62]Countries_Master!#REF!</definedName>
    <definedName name="COUNTRIES" localSheetId="35">[62]Countries_Master!#REF!</definedName>
    <definedName name="COUNTRIES" localSheetId="61">[62]Countries_Master!#REF!</definedName>
    <definedName name="COUNTRIES" localSheetId="62">[62]Countries_Master!#REF!</definedName>
    <definedName name="Countries" localSheetId="50">#REF!</definedName>
    <definedName name="COUNTRIES" localSheetId="63">[62]Countries_Master!#REF!</definedName>
    <definedName name="COUNTRIES" localSheetId="15">[62]Countries_Master!#REF!</definedName>
    <definedName name="COUNTRIES" localSheetId="1">[62]Countries_Master!#REF!</definedName>
    <definedName name="COUNTRIES" localSheetId="29">[62]Countries_Master!#REF!</definedName>
    <definedName name="COUNTRIES" localSheetId="30">[62]Countries_Master!#REF!</definedName>
    <definedName name="COUNTRIES" localSheetId="47">[62]Countries_Master!#REF!</definedName>
    <definedName name="Countries" localSheetId="44">#REF!</definedName>
    <definedName name="COUNTRIES" localSheetId="45">[62]Countries_Master!#REF!</definedName>
    <definedName name="COUNTRIES" localSheetId="46">[62]Countries_Master!#REF!</definedName>
    <definedName name="COUNTRIES" localSheetId="31">[62]Countries_Master!#REF!</definedName>
    <definedName name="COUNTRIES" localSheetId="32">[62]Countries_Master!#REF!</definedName>
    <definedName name="COUNTRIES" localSheetId="33">[62]Countries_Master!#REF!</definedName>
    <definedName name="COUNTRIES" localSheetId="36">[62]Countries_Master!#REF!</definedName>
    <definedName name="COUNTRIES" localSheetId="37">[62]Countries_Master!#REF!</definedName>
    <definedName name="COUNTRIES" localSheetId="38">[62]Countries_Master!#REF!</definedName>
    <definedName name="COUNTRIES" localSheetId="39">[62]Countries_Master!#REF!</definedName>
    <definedName name="COUNTRIES" localSheetId="40">[62]Countries_Master!#REF!</definedName>
    <definedName name="COUNTRIES" localSheetId="13">[62]Countries_Master!#REF!</definedName>
    <definedName name="COUNTRIES" localSheetId="0">[62]Countries_Master!#REF!</definedName>
    <definedName name="Countries" localSheetId="54">#REF!</definedName>
    <definedName name="COUNTRIES" localSheetId="55">[62]Countries_Master!#REF!</definedName>
    <definedName name="Countries" localSheetId="52">#REF!</definedName>
    <definedName name="COUNTRIES" localSheetId="23">[62]Countries_Master!#REF!</definedName>
    <definedName name="Countries" localSheetId="51">#REF!</definedName>
    <definedName name="Countries" localSheetId="53">#REF!</definedName>
    <definedName name="COUNTRIES" localSheetId="20">[62]Countries_Master!#REF!</definedName>
    <definedName name="COUNTRIES">[62]Countries_Master!#REF!</definedName>
    <definedName name="Countries_Master" localSheetId="34">[62]Countries_Master!#REF!</definedName>
    <definedName name="Countries_Master" localSheetId="35">[62]Countries_Master!#REF!</definedName>
    <definedName name="Countries_Master" localSheetId="61">[62]Countries_Master!#REF!</definedName>
    <definedName name="Countries_Master" localSheetId="62">[62]Countries_Master!#REF!</definedName>
    <definedName name="Countries_Master" localSheetId="50">[62]Countries_Master!#REF!</definedName>
    <definedName name="Countries_Master" localSheetId="63">[62]Countries_Master!#REF!</definedName>
    <definedName name="Countries_Master" localSheetId="15">[62]Countries_Master!#REF!</definedName>
    <definedName name="Countries_Master" localSheetId="1">[62]Countries_Master!#REF!</definedName>
    <definedName name="Countries_Master" localSheetId="29">[62]Countries_Master!#REF!</definedName>
    <definedName name="Countries_Master" localSheetId="30">[62]Countries_Master!#REF!</definedName>
    <definedName name="Countries_Master" localSheetId="47">[62]Countries_Master!#REF!</definedName>
    <definedName name="Countries_Master" localSheetId="44">[62]Countries_Master!#REF!</definedName>
    <definedName name="Countries_Master" localSheetId="45">[62]Countries_Master!#REF!</definedName>
    <definedName name="Countries_Master" localSheetId="46">[62]Countries_Master!#REF!</definedName>
    <definedName name="Countries_Master" localSheetId="31">[62]Countries_Master!#REF!</definedName>
    <definedName name="Countries_Master" localSheetId="32">[62]Countries_Master!#REF!</definedName>
    <definedName name="Countries_Master" localSheetId="33">[62]Countries_Master!#REF!</definedName>
    <definedName name="Countries_Master" localSheetId="36">[62]Countries_Master!#REF!</definedName>
    <definedName name="Countries_Master" localSheetId="37">[62]Countries_Master!#REF!</definedName>
    <definedName name="Countries_Master" localSheetId="38">[62]Countries_Master!#REF!</definedName>
    <definedName name="Countries_Master" localSheetId="39">[62]Countries_Master!#REF!</definedName>
    <definedName name="Countries_Master" localSheetId="40">[62]Countries_Master!#REF!</definedName>
    <definedName name="Countries_Master" localSheetId="13">[62]Countries_Master!#REF!</definedName>
    <definedName name="Countries_Master" localSheetId="0">[62]Countries_Master!#REF!</definedName>
    <definedName name="Countries_Master" localSheetId="54">[62]Countries_Master!#REF!</definedName>
    <definedName name="Countries_Master" localSheetId="55">[62]Countries_Master!#REF!</definedName>
    <definedName name="Countries_Master" localSheetId="52">[62]Countries_Master!#REF!</definedName>
    <definedName name="Countries_Master" localSheetId="23">[62]Countries_Master!#REF!</definedName>
    <definedName name="Countries_Master" localSheetId="51">[62]Countries_Master!#REF!</definedName>
    <definedName name="Countries_Master" localSheetId="53">[62]Countries_Master!#REF!</definedName>
    <definedName name="Countries_Master" localSheetId="20">[62]Countries_Master!#REF!</definedName>
    <definedName name="Countries_Master">[62]Countries_Master!#REF!</definedName>
    <definedName name="Countrylogos">'[63]Country logos'!$A$3:$B$10</definedName>
    <definedName name="cp" localSheetId="34" hidden="1">'[64]C Summary'!#REF!</definedName>
    <definedName name="cp" localSheetId="35" hidden="1">'[64]C Summary'!#REF!</definedName>
    <definedName name="cp" localSheetId="61" hidden="1">'[64]C Summary'!#REF!</definedName>
    <definedName name="cp" localSheetId="62" hidden="1">'[64]C Summary'!#REF!</definedName>
    <definedName name="cp" localSheetId="50" hidden="1">'[64]C Summary'!#REF!</definedName>
    <definedName name="cp" localSheetId="63" hidden="1">'[64]C Summary'!#REF!</definedName>
    <definedName name="cp" localSheetId="15" hidden="1">'[64]C Summary'!#REF!</definedName>
    <definedName name="cp" localSheetId="1" hidden="1">'[64]C Summary'!#REF!</definedName>
    <definedName name="cp" localSheetId="29" hidden="1">'[64]C Summary'!#REF!</definedName>
    <definedName name="cp" localSheetId="30" hidden="1">'[64]C Summary'!#REF!</definedName>
    <definedName name="cp" localSheetId="47" hidden="1">'[64]C Summary'!#REF!</definedName>
    <definedName name="cp" localSheetId="44" hidden="1">'[64]C Summary'!#REF!</definedName>
    <definedName name="cp" localSheetId="45" hidden="1">'[64]C Summary'!#REF!</definedName>
    <definedName name="cp" localSheetId="46" hidden="1">'[64]C Summary'!#REF!</definedName>
    <definedName name="cp" localSheetId="31" hidden="1">'[64]C Summary'!#REF!</definedName>
    <definedName name="cp" localSheetId="32" hidden="1">'[64]C Summary'!#REF!</definedName>
    <definedName name="cp" localSheetId="33" hidden="1">'[64]C Summary'!#REF!</definedName>
    <definedName name="cp" localSheetId="36" hidden="1">'[64]C Summary'!#REF!</definedName>
    <definedName name="cp" localSheetId="37" hidden="1">'[64]C Summary'!#REF!</definedName>
    <definedName name="cp" localSheetId="38" hidden="1">'[64]C Summary'!#REF!</definedName>
    <definedName name="cp" localSheetId="39" hidden="1">'[64]C Summary'!#REF!</definedName>
    <definedName name="cp" localSheetId="40" hidden="1">'[64]C Summary'!#REF!</definedName>
    <definedName name="cp" localSheetId="13" hidden="1">'[64]C Summary'!#REF!</definedName>
    <definedName name="cp" localSheetId="0" hidden="1">'[64]C Summary'!#REF!</definedName>
    <definedName name="cp" localSheetId="54" hidden="1">'[64]C Summary'!#REF!</definedName>
    <definedName name="cp" localSheetId="55" hidden="1">'[64]C Summary'!#REF!</definedName>
    <definedName name="cp" localSheetId="52" hidden="1">'[64]C Summary'!#REF!</definedName>
    <definedName name="cp" localSheetId="23" hidden="1">'[64]C Summary'!#REF!</definedName>
    <definedName name="cp" localSheetId="51" hidden="1">'[64]C Summary'!#REF!</definedName>
    <definedName name="cp" localSheetId="53" hidden="1">'[64]C Summary'!#REF!</definedName>
    <definedName name="cp" localSheetId="20" hidden="1">'[64]C Summary'!#REF!</definedName>
    <definedName name="cp" hidden="1">'[64]C Summary'!#REF!</definedName>
    <definedName name="CPF" localSheetId="50">#REF!</definedName>
    <definedName name="CPF" localSheetId="47">#REF!</definedName>
    <definedName name="CPF" localSheetId="44">#REF!</definedName>
    <definedName name="CPF" localSheetId="45">#REF!</definedName>
    <definedName name="CPF" localSheetId="46">#REF!</definedName>
    <definedName name="CPF" localSheetId="37">#REF!</definedName>
    <definedName name="CPF" localSheetId="40">#REF!</definedName>
    <definedName name="CPF" localSheetId="54">#REF!</definedName>
    <definedName name="CPF" localSheetId="55">#REF!</definedName>
    <definedName name="CPF" localSheetId="52">#REF!</definedName>
    <definedName name="CPF" localSheetId="51">#REF!</definedName>
    <definedName name="CPF" localSheetId="53">#REF!</definedName>
    <definedName name="CPF">#REF!</definedName>
    <definedName name="CPI_Core" localSheetId="50">#REF!</definedName>
    <definedName name="CPI_Core" localSheetId="47">#REF!</definedName>
    <definedName name="CPI_Core" localSheetId="44">#REF!</definedName>
    <definedName name="CPI_Core" localSheetId="45">#REF!</definedName>
    <definedName name="CPI_Core" localSheetId="46">#REF!</definedName>
    <definedName name="CPI_Core" localSheetId="37">#REF!</definedName>
    <definedName name="CPI_Core" localSheetId="40">#REF!</definedName>
    <definedName name="CPI_Core" localSheetId="54">#REF!</definedName>
    <definedName name="CPI_Core" localSheetId="55">#REF!</definedName>
    <definedName name="CPI_Core" localSheetId="52">#REF!</definedName>
    <definedName name="CPI_Core" localSheetId="51">#REF!</definedName>
    <definedName name="CPI_Core" localSheetId="53">#REF!</definedName>
    <definedName name="CPI_Core">#REF!</definedName>
    <definedName name="CPI_NAT_monthly" localSheetId="50">#REF!</definedName>
    <definedName name="CPI_NAT_monthly" localSheetId="47">#REF!</definedName>
    <definedName name="CPI_NAT_monthly" localSheetId="44">#REF!</definedName>
    <definedName name="CPI_NAT_monthly" localSheetId="45">#REF!</definedName>
    <definedName name="CPI_NAT_monthly" localSheetId="46">#REF!</definedName>
    <definedName name="CPI_NAT_monthly" localSheetId="37">#REF!</definedName>
    <definedName name="CPI_NAT_monthly" localSheetId="40">#REF!</definedName>
    <definedName name="CPI_NAT_monthly" localSheetId="54">#REF!</definedName>
    <definedName name="CPI_NAT_monthly" localSheetId="55">#REF!</definedName>
    <definedName name="CPI_NAT_monthly" localSheetId="52">#REF!</definedName>
    <definedName name="CPI_NAT_monthly" localSheetId="51">#REF!</definedName>
    <definedName name="CPI_NAT_monthly" localSheetId="53">#REF!</definedName>
    <definedName name="CPI_NAT_monthly">#REF!</definedName>
    <definedName name="CRECWM">[65]SUPUESTOS!A$15</definedName>
    <definedName name="cred98" localSheetId="34">[27]Programa!#REF!</definedName>
    <definedName name="cred98" localSheetId="35">[27]Programa!#REF!</definedName>
    <definedName name="cred98" localSheetId="50">[27]Programa!#REF!</definedName>
    <definedName name="cred98" localSheetId="15">[27]Programa!#REF!</definedName>
    <definedName name="cred98" localSheetId="29">[27]Programa!#REF!</definedName>
    <definedName name="cred98" localSheetId="30">[27]Programa!#REF!</definedName>
    <definedName name="cred98" localSheetId="47">[27]Programa!#REF!</definedName>
    <definedName name="cred98" localSheetId="44">[27]Programa!#REF!</definedName>
    <definedName name="cred98" localSheetId="45">[27]Programa!#REF!</definedName>
    <definedName name="cred98" localSheetId="46">[27]Programa!#REF!</definedName>
    <definedName name="cred98" localSheetId="31">[27]Programa!#REF!</definedName>
    <definedName name="cred98" localSheetId="32">[27]Programa!#REF!</definedName>
    <definedName name="cred98" localSheetId="33">[27]Programa!#REF!</definedName>
    <definedName name="cred98" localSheetId="36">[27]Programa!#REF!</definedName>
    <definedName name="cred98" localSheetId="37">[27]Programa!#REF!</definedName>
    <definedName name="cred98" localSheetId="38">[27]Programa!#REF!</definedName>
    <definedName name="cred98" localSheetId="39">[27]Programa!#REF!</definedName>
    <definedName name="cred98" localSheetId="40">[27]Programa!#REF!</definedName>
    <definedName name="cred98" localSheetId="54">[27]Programa!#REF!</definedName>
    <definedName name="cred98" localSheetId="55">[27]Programa!#REF!</definedName>
    <definedName name="cred98" localSheetId="52">[27]Programa!#REF!</definedName>
    <definedName name="cred98" localSheetId="23">[27]Programa!#REF!</definedName>
    <definedName name="cred98" localSheetId="51">[27]Programa!#REF!</definedName>
    <definedName name="cred98" localSheetId="53">[27]Programa!#REF!</definedName>
    <definedName name="cred98" localSheetId="20">[27]Programa!#REF!</definedName>
    <definedName name="cred98">[27]Programa!#REF!</definedName>
    <definedName name="cred98j" localSheetId="34">[27]Programa!#REF!</definedName>
    <definedName name="cred98j" localSheetId="35">[27]Programa!#REF!</definedName>
    <definedName name="cred98j" localSheetId="50">[27]Programa!#REF!</definedName>
    <definedName name="cred98j" localSheetId="15">[27]Programa!#REF!</definedName>
    <definedName name="cred98j" localSheetId="29">[27]Programa!#REF!</definedName>
    <definedName name="cred98j" localSheetId="30">[27]Programa!#REF!</definedName>
    <definedName name="cred98j" localSheetId="47">[27]Programa!#REF!</definedName>
    <definedName name="cred98j" localSheetId="44">[27]Programa!#REF!</definedName>
    <definedName name="cred98j" localSheetId="45">[27]Programa!#REF!</definedName>
    <definedName name="cred98j" localSheetId="46">[27]Programa!#REF!</definedName>
    <definedName name="cred98j" localSheetId="31">[27]Programa!#REF!</definedName>
    <definedName name="cred98j" localSheetId="32">[27]Programa!#REF!</definedName>
    <definedName name="cred98j" localSheetId="33">[27]Programa!#REF!</definedName>
    <definedName name="cred98j" localSheetId="36">[27]Programa!#REF!</definedName>
    <definedName name="cred98j" localSheetId="37">[27]Programa!#REF!</definedName>
    <definedName name="cred98j" localSheetId="38">[27]Programa!#REF!</definedName>
    <definedName name="cred98j" localSheetId="39">[27]Programa!#REF!</definedName>
    <definedName name="cred98j" localSheetId="40">[27]Programa!#REF!</definedName>
    <definedName name="cred98j" localSheetId="54">[27]Programa!#REF!</definedName>
    <definedName name="cred98j" localSheetId="55">[27]Programa!#REF!</definedName>
    <definedName name="cred98j" localSheetId="52">[27]Programa!#REF!</definedName>
    <definedName name="cred98j" localSheetId="23">[27]Programa!#REF!</definedName>
    <definedName name="cred98j" localSheetId="51">[27]Programa!#REF!</definedName>
    <definedName name="cred98j" localSheetId="53">[27]Programa!#REF!</definedName>
    <definedName name="cred98j" localSheetId="20">[27]Programa!#REF!</definedName>
    <definedName name="cred98j">[27]Programa!#REF!</definedName>
    <definedName name="CREDITO" localSheetId="34">#REF!</definedName>
    <definedName name="CREDITO" localSheetId="35">#REF!</definedName>
    <definedName name="CREDITO" localSheetId="50">#REF!</definedName>
    <definedName name="CREDITO" localSheetId="15">#REF!</definedName>
    <definedName name="CREDITO" localSheetId="29">#REF!</definedName>
    <definedName name="CREDITO" localSheetId="30">#REF!</definedName>
    <definedName name="CREDITO" localSheetId="47">#REF!</definedName>
    <definedName name="CREDITO" localSheetId="44">#REF!</definedName>
    <definedName name="CREDITO" localSheetId="45">#REF!</definedName>
    <definedName name="CREDITO" localSheetId="46">#REF!</definedName>
    <definedName name="CREDITO" localSheetId="31">#REF!</definedName>
    <definedName name="CREDITO" localSheetId="32">#REF!</definedName>
    <definedName name="CREDITO" localSheetId="33">#REF!</definedName>
    <definedName name="CREDITO" localSheetId="36">#REF!</definedName>
    <definedName name="CREDITO" localSheetId="37">#REF!</definedName>
    <definedName name="CREDITO" localSheetId="38">#REF!</definedName>
    <definedName name="CREDITO" localSheetId="39">#REF!</definedName>
    <definedName name="CREDITO" localSheetId="40">#REF!</definedName>
    <definedName name="CREDITO" localSheetId="54">#REF!</definedName>
    <definedName name="CREDITO" localSheetId="55">#REF!</definedName>
    <definedName name="CREDITO" localSheetId="52">#REF!</definedName>
    <definedName name="CREDITO" localSheetId="23">#REF!</definedName>
    <definedName name="CREDITO" localSheetId="51">#REF!</definedName>
    <definedName name="CREDITO" localSheetId="53">#REF!</definedName>
    <definedName name="CREDITO" localSheetId="20">#REF!</definedName>
    <definedName name="CREDITO">#REF!</definedName>
    <definedName name="CREDITO1" localSheetId="34">#REF!</definedName>
    <definedName name="CREDITO1" localSheetId="35">#REF!</definedName>
    <definedName name="CREDITO1" localSheetId="50">#REF!</definedName>
    <definedName name="CREDITO1" localSheetId="15">#REF!</definedName>
    <definedName name="CREDITO1" localSheetId="29">#REF!</definedName>
    <definedName name="CREDITO1" localSheetId="30">#REF!</definedName>
    <definedName name="CREDITO1" localSheetId="47">#REF!</definedName>
    <definedName name="CREDITO1" localSheetId="44">#REF!</definedName>
    <definedName name="CREDITO1" localSheetId="45">#REF!</definedName>
    <definedName name="CREDITO1" localSheetId="46">#REF!</definedName>
    <definedName name="CREDITO1" localSheetId="31">#REF!</definedName>
    <definedName name="CREDITO1" localSheetId="32">#REF!</definedName>
    <definedName name="CREDITO1" localSheetId="33">#REF!</definedName>
    <definedName name="CREDITO1" localSheetId="36">#REF!</definedName>
    <definedName name="CREDITO1" localSheetId="37">#REF!</definedName>
    <definedName name="CREDITO1" localSheetId="38">#REF!</definedName>
    <definedName name="CREDITO1" localSheetId="39">#REF!</definedName>
    <definedName name="CREDITO1" localSheetId="40">#REF!</definedName>
    <definedName name="CREDITO1" localSheetId="54">#REF!</definedName>
    <definedName name="CREDITO1" localSheetId="55">#REF!</definedName>
    <definedName name="CREDITO1" localSheetId="52">#REF!</definedName>
    <definedName name="CREDITO1" localSheetId="23">#REF!</definedName>
    <definedName name="CREDITO1" localSheetId="51">#REF!</definedName>
    <definedName name="CREDITO1" localSheetId="53">#REF!</definedName>
    <definedName name="CREDITO1" localSheetId="20">#REF!</definedName>
    <definedName name="CREDITO1">#REF!</definedName>
    <definedName name="CrossMerchandising" localSheetId="50">#REF!</definedName>
    <definedName name="CrossMerchandising" localSheetId="47">#REF!</definedName>
    <definedName name="CrossMerchandising" localSheetId="44">#REF!</definedName>
    <definedName name="CrossMerchandising" localSheetId="45">#REF!</definedName>
    <definedName name="CrossMerchandising" localSheetId="46">#REF!</definedName>
    <definedName name="CrossMerchandising" localSheetId="37">#REF!</definedName>
    <definedName name="CrossMerchandising" localSheetId="40">#REF!</definedName>
    <definedName name="CrossMerchandising" localSheetId="54">#REF!</definedName>
    <definedName name="CrossMerchandising" localSheetId="55">#REF!</definedName>
    <definedName name="CrossMerchandising" localSheetId="52">#REF!</definedName>
    <definedName name="CrossMerchandising" localSheetId="51">#REF!</definedName>
    <definedName name="CrossMerchandising" localSheetId="53">#REF!</definedName>
    <definedName name="CrossMerchandising">#REF!</definedName>
    <definedName name="csmrate">'[52]Burn Rates'!$G$8</definedName>
    <definedName name="CTOOMA00" localSheetId="34">#REF!</definedName>
    <definedName name="CTOOMA00" localSheetId="35">#REF!</definedName>
    <definedName name="CTOOMA00" localSheetId="50">#REF!</definedName>
    <definedName name="CTOOMA00" localSheetId="15">#REF!</definedName>
    <definedName name="CTOOMA00" localSheetId="29">#REF!</definedName>
    <definedName name="CTOOMA00" localSheetId="30">#REF!</definedName>
    <definedName name="CTOOMA00" localSheetId="47">#REF!</definedName>
    <definedName name="CTOOMA00" localSheetId="44">#REF!</definedName>
    <definedName name="CTOOMA00" localSheetId="45">#REF!</definedName>
    <definedName name="CTOOMA00" localSheetId="46">#REF!</definedName>
    <definedName name="CTOOMA00" localSheetId="31">#REF!</definedName>
    <definedName name="CTOOMA00" localSheetId="32">#REF!</definedName>
    <definedName name="CTOOMA00" localSheetId="33">#REF!</definedName>
    <definedName name="CTOOMA00" localSheetId="36">#REF!</definedName>
    <definedName name="CTOOMA00" localSheetId="37">#REF!</definedName>
    <definedName name="CTOOMA00" localSheetId="38">#REF!</definedName>
    <definedName name="CTOOMA00" localSheetId="39">#REF!</definedName>
    <definedName name="CTOOMA00" localSheetId="40">#REF!</definedName>
    <definedName name="CTOOMA00" localSheetId="54">#REF!</definedName>
    <definedName name="CTOOMA00" localSheetId="55">#REF!</definedName>
    <definedName name="CTOOMA00" localSheetId="52">#REF!</definedName>
    <definedName name="CTOOMA00" localSheetId="23">#REF!</definedName>
    <definedName name="CTOOMA00" localSheetId="51">#REF!</definedName>
    <definedName name="CTOOMA00" localSheetId="53">#REF!</definedName>
    <definedName name="CTOOMA00" localSheetId="20">#REF!</definedName>
    <definedName name="CTOOMA00">#REF!</definedName>
    <definedName name="CTOOMA97" localSheetId="34">#REF!</definedName>
    <definedName name="CTOOMA97" localSheetId="35">#REF!</definedName>
    <definedName name="CTOOMA97" localSheetId="50">#REF!</definedName>
    <definedName name="CTOOMA97" localSheetId="15">#REF!</definedName>
    <definedName name="CTOOMA97" localSheetId="29">#REF!</definedName>
    <definedName name="CTOOMA97" localSheetId="30">#REF!</definedName>
    <definedName name="CTOOMA97" localSheetId="47">#REF!</definedName>
    <definedName name="CTOOMA97" localSheetId="44">#REF!</definedName>
    <definedName name="CTOOMA97" localSheetId="45">#REF!</definedName>
    <definedName name="CTOOMA97" localSheetId="46">#REF!</definedName>
    <definedName name="CTOOMA97" localSheetId="31">#REF!</definedName>
    <definedName name="CTOOMA97" localSheetId="32">#REF!</definedName>
    <definedName name="CTOOMA97" localSheetId="33">#REF!</definedName>
    <definedName name="CTOOMA97" localSheetId="36">#REF!</definedName>
    <definedName name="CTOOMA97" localSheetId="37">#REF!</definedName>
    <definedName name="CTOOMA97" localSheetId="38">#REF!</definedName>
    <definedName name="CTOOMA97" localSheetId="39">#REF!</definedName>
    <definedName name="CTOOMA97" localSheetId="40">#REF!</definedName>
    <definedName name="CTOOMA97" localSheetId="54">#REF!</definedName>
    <definedName name="CTOOMA97" localSheetId="55">#REF!</definedName>
    <definedName name="CTOOMA97" localSheetId="52">#REF!</definedName>
    <definedName name="CTOOMA97" localSheetId="23">#REF!</definedName>
    <definedName name="CTOOMA97" localSheetId="51">#REF!</definedName>
    <definedName name="CTOOMA97" localSheetId="53">#REF!</definedName>
    <definedName name="CTOOMA97" localSheetId="20">#REF!</definedName>
    <definedName name="CTOOMA97">#REF!</definedName>
    <definedName name="CTOOMA98" localSheetId="34">#REF!</definedName>
    <definedName name="CTOOMA98" localSheetId="35">#REF!</definedName>
    <definedName name="CTOOMA98" localSheetId="50">#REF!</definedName>
    <definedName name="CTOOMA98" localSheetId="15">#REF!</definedName>
    <definedName name="CTOOMA98" localSheetId="29">#REF!</definedName>
    <definedName name="CTOOMA98" localSheetId="30">#REF!</definedName>
    <definedName name="CTOOMA98" localSheetId="47">#REF!</definedName>
    <definedName name="CTOOMA98" localSheetId="44">#REF!</definedName>
    <definedName name="CTOOMA98" localSheetId="45">#REF!</definedName>
    <definedName name="CTOOMA98" localSheetId="46">#REF!</definedName>
    <definedName name="CTOOMA98" localSheetId="31">#REF!</definedName>
    <definedName name="CTOOMA98" localSheetId="32">#REF!</definedName>
    <definedName name="CTOOMA98" localSheetId="33">#REF!</definedName>
    <definedName name="CTOOMA98" localSheetId="36">#REF!</definedName>
    <definedName name="CTOOMA98" localSheetId="37">#REF!</definedName>
    <definedName name="CTOOMA98" localSheetId="38">#REF!</definedName>
    <definedName name="CTOOMA98" localSheetId="39">#REF!</definedName>
    <definedName name="CTOOMA98" localSheetId="40">#REF!</definedName>
    <definedName name="CTOOMA98" localSheetId="54">#REF!</definedName>
    <definedName name="CTOOMA98" localSheetId="55">#REF!</definedName>
    <definedName name="CTOOMA98" localSheetId="52">#REF!</definedName>
    <definedName name="CTOOMA98" localSheetId="23">#REF!</definedName>
    <definedName name="CTOOMA98" localSheetId="51">#REF!</definedName>
    <definedName name="CTOOMA98" localSheetId="53">#REF!</definedName>
    <definedName name="CTOOMA98" localSheetId="20">#REF!</definedName>
    <definedName name="CTOOMA98">#REF!</definedName>
    <definedName name="CTOOMA99" localSheetId="34">#REF!</definedName>
    <definedName name="CTOOMA99" localSheetId="35">#REF!</definedName>
    <definedName name="CTOOMA99" localSheetId="50">#REF!</definedName>
    <definedName name="CTOOMA99" localSheetId="15">#REF!</definedName>
    <definedName name="CTOOMA99" localSheetId="29">#REF!</definedName>
    <definedName name="CTOOMA99" localSheetId="30">#REF!</definedName>
    <definedName name="CTOOMA99" localSheetId="47">#REF!</definedName>
    <definedName name="CTOOMA99" localSheetId="44">#REF!</definedName>
    <definedName name="CTOOMA99" localSheetId="45">#REF!</definedName>
    <definedName name="CTOOMA99" localSheetId="46">#REF!</definedName>
    <definedName name="CTOOMA99" localSheetId="31">#REF!</definedName>
    <definedName name="CTOOMA99" localSheetId="32">#REF!</definedName>
    <definedName name="CTOOMA99" localSheetId="33">#REF!</definedName>
    <definedName name="CTOOMA99" localSheetId="36">#REF!</definedName>
    <definedName name="CTOOMA99" localSheetId="37">#REF!</definedName>
    <definedName name="CTOOMA99" localSheetId="38">#REF!</definedName>
    <definedName name="CTOOMA99" localSheetId="39">#REF!</definedName>
    <definedName name="CTOOMA99" localSheetId="40">#REF!</definedName>
    <definedName name="CTOOMA99" localSheetId="54">#REF!</definedName>
    <definedName name="CTOOMA99" localSheetId="55">#REF!</definedName>
    <definedName name="CTOOMA99" localSheetId="52">#REF!</definedName>
    <definedName name="CTOOMA99" localSheetId="23">#REF!</definedName>
    <definedName name="CTOOMA99" localSheetId="51">#REF!</definedName>
    <definedName name="CTOOMA99" localSheetId="53">#REF!</definedName>
    <definedName name="CTOOMA99" localSheetId="20">#REF!</definedName>
    <definedName name="CTOOMA99">#REF!</definedName>
    <definedName name="CTOOMV00" localSheetId="34">#REF!</definedName>
    <definedName name="CTOOMV00" localSheetId="35">#REF!</definedName>
    <definedName name="CTOOMV00" localSheetId="50">#REF!</definedName>
    <definedName name="CTOOMV00" localSheetId="15">#REF!</definedName>
    <definedName name="CTOOMV00" localSheetId="29">#REF!</definedName>
    <definedName name="CTOOMV00" localSheetId="30">#REF!</definedName>
    <definedName name="CTOOMV00" localSheetId="47">#REF!</definedName>
    <definedName name="CTOOMV00" localSheetId="44">#REF!</definedName>
    <definedName name="CTOOMV00" localSheetId="45">#REF!</definedName>
    <definedName name="CTOOMV00" localSheetId="46">#REF!</definedName>
    <definedName name="CTOOMV00" localSheetId="31">#REF!</definedName>
    <definedName name="CTOOMV00" localSheetId="32">#REF!</definedName>
    <definedName name="CTOOMV00" localSheetId="33">#REF!</definedName>
    <definedName name="CTOOMV00" localSheetId="36">#REF!</definedName>
    <definedName name="CTOOMV00" localSheetId="37">#REF!</definedName>
    <definedName name="CTOOMV00" localSheetId="38">#REF!</definedName>
    <definedName name="CTOOMV00" localSheetId="39">#REF!</definedName>
    <definedName name="CTOOMV00" localSheetId="40">#REF!</definedName>
    <definedName name="CTOOMV00" localSheetId="54">#REF!</definedName>
    <definedName name="CTOOMV00" localSheetId="55">#REF!</definedName>
    <definedName name="CTOOMV00" localSheetId="52">#REF!</definedName>
    <definedName name="CTOOMV00" localSheetId="23">#REF!</definedName>
    <definedName name="CTOOMV00" localSheetId="51">#REF!</definedName>
    <definedName name="CTOOMV00" localSheetId="53">#REF!</definedName>
    <definedName name="CTOOMV00" localSheetId="20">#REF!</definedName>
    <definedName name="CTOOMV00">#REF!</definedName>
    <definedName name="CTOOMV97" localSheetId="34">#REF!</definedName>
    <definedName name="CTOOMV97" localSheetId="35">#REF!</definedName>
    <definedName name="CTOOMV97" localSheetId="50">#REF!</definedName>
    <definedName name="CTOOMV97" localSheetId="15">#REF!</definedName>
    <definedName name="CTOOMV97" localSheetId="29">#REF!</definedName>
    <definedName name="CTOOMV97" localSheetId="30">#REF!</definedName>
    <definedName name="CTOOMV97" localSheetId="47">#REF!</definedName>
    <definedName name="CTOOMV97" localSheetId="44">#REF!</definedName>
    <definedName name="CTOOMV97" localSheetId="45">#REF!</definedName>
    <definedName name="CTOOMV97" localSheetId="46">#REF!</definedName>
    <definedName name="CTOOMV97" localSheetId="31">#REF!</definedName>
    <definedName name="CTOOMV97" localSheetId="32">#REF!</definedName>
    <definedName name="CTOOMV97" localSheetId="33">#REF!</definedName>
    <definedName name="CTOOMV97" localSheetId="36">#REF!</definedName>
    <definedName name="CTOOMV97" localSheetId="37">#REF!</definedName>
    <definedName name="CTOOMV97" localSheetId="38">#REF!</definedName>
    <definedName name="CTOOMV97" localSheetId="39">#REF!</definedName>
    <definedName name="CTOOMV97" localSheetId="40">#REF!</definedName>
    <definedName name="CTOOMV97" localSheetId="54">#REF!</definedName>
    <definedName name="CTOOMV97" localSheetId="55">#REF!</definedName>
    <definedName name="CTOOMV97" localSheetId="52">#REF!</definedName>
    <definedName name="CTOOMV97" localSheetId="23">#REF!</definedName>
    <definedName name="CTOOMV97" localSheetId="51">#REF!</definedName>
    <definedName name="CTOOMV97" localSheetId="53">#REF!</definedName>
    <definedName name="CTOOMV97" localSheetId="20">#REF!</definedName>
    <definedName name="CTOOMV97">#REF!</definedName>
    <definedName name="CTOOMV98" localSheetId="34">#REF!</definedName>
    <definedName name="CTOOMV98" localSheetId="35">#REF!</definedName>
    <definedName name="CTOOMV98" localSheetId="50">#REF!</definedName>
    <definedName name="CTOOMV98" localSheetId="15">#REF!</definedName>
    <definedName name="CTOOMV98" localSheetId="29">#REF!</definedName>
    <definedName name="CTOOMV98" localSheetId="30">#REF!</definedName>
    <definedName name="CTOOMV98" localSheetId="47">#REF!</definedName>
    <definedName name="CTOOMV98" localSheetId="44">#REF!</definedName>
    <definedName name="CTOOMV98" localSheetId="45">#REF!</definedName>
    <definedName name="CTOOMV98" localSheetId="46">#REF!</definedName>
    <definedName name="CTOOMV98" localSheetId="31">#REF!</definedName>
    <definedName name="CTOOMV98" localSheetId="32">#REF!</definedName>
    <definedName name="CTOOMV98" localSheetId="33">#REF!</definedName>
    <definedName name="CTOOMV98" localSheetId="36">#REF!</definedName>
    <definedName name="CTOOMV98" localSheetId="37">#REF!</definedName>
    <definedName name="CTOOMV98" localSheetId="38">#REF!</definedName>
    <definedName name="CTOOMV98" localSheetId="39">#REF!</definedName>
    <definedName name="CTOOMV98" localSheetId="40">#REF!</definedName>
    <definedName name="CTOOMV98" localSheetId="54">#REF!</definedName>
    <definedName name="CTOOMV98" localSheetId="55">#REF!</definedName>
    <definedName name="CTOOMV98" localSheetId="52">#REF!</definedName>
    <definedName name="CTOOMV98" localSheetId="23">#REF!</definedName>
    <definedName name="CTOOMV98" localSheetId="51">#REF!</definedName>
    <definedName name="CTOOMV98" localSheetId="53">#REF!</definedName>
    <definedName name="CTOOMV98" localSheetId="20">#REF!</definedName>
    <definedName name="CTOOMV98">#REF!</definedName>
    <definedName name="CTOOMV99" localSheetId="34">#REF!</definedName>
    <definedName name="CTOOMV99" localSheetId="35">#REF!</definedName>
    <definedName name="CTOOMV99" localSheetId="50">#REF!</definedName>
    <definedName name="CTOOMV99" localSheetId="15">#REF!</definedName>
    <definedName name="CTOOMV99" localSheetId="29">#REF!</definedName>
    <definedName name="CTOOMV99" localSheetId="30">#REF!</definedName>
    <definedName name="CTOOMV99" localSheetId="47">#REF!</definedName>
    <definedName name="CTOOMV99" localSheetId="44">#REF!</definedName>
    <definedName name="CTOOMV99" localSheetId="45">#REF!</definedName>
    <definedName name="CTOOMV99" localSheetId="46">#REF!</definedName>
    <definedName name="CTOOMV99" localSheetId="31">#REF!</definedName>
    <definedName name="CTOOMV99" localSheetId="32">#REF!</definedName>
    <definedName name="CTOOMV99" localSheetId="33">#REF!</definedName>
    <definedName name="CTOOMV99" localSheetId="36">#REF!</definedName>
    <definedName name="CTOOMV99" localSheetId="37">#REF!</definedName>
    <definedName name="CTOOMV99" localSheetId="38">#REF!</definedName>
    <definedName name="CTOOMV99" localSheetId="39">#REF!</definedName>
    <definedName name="CTOOMV99" localSheetId="40">#REF!</definedName>
    <definedName name="CTOOMV99" localSheetId="54">#REF!</definedName>
    <definedName name="CTOOMV99" localSheetId="55">#REF!</definedName>
    <definedName name="CTOOMV99" localSheetId="52">#REF!</definedName>
    <definedName name="CTOOMV99" localSheetId="23">#REF!</definedName>
    <definedName name="CTOOMV99" localSheetId="51">#REF!</definedName>
    <definedName name="CTOOMV99" localSheetId="53">#REF!</definedName>
    <definedName name="CTOOMV99" localSheetId="20">#REF!</definedName>
    <definedName name="CTOOMV99">#REF!</definedName>
    <definedName name="cu1_" localSheetId="34">[66]Cuadro1!#REF!</definedName>
    <definedName name="cu1_" localSheetId="35">[66]Cuadro1!#REF!</definedName>
    <definedName name="cu1_" localSheetId="50">[66]Cuadro1!#REF!</definedName>
    <definedName name="cu1_" localSheetId="15">[66]Cuadro1!#REF!</definedName>
    <definedName name="cu1_" localSheetId="29">[66]Cuadro1!#REF!</definedName>
    <definedName name="cu1_" localSheetId="30">[66]Cuadro1!#REF!</definedName>
    <definedName name="cu1_" localSheetId="47">[66]Cuadro1!#REF!</definedName>
    <definedName name="cu1_" localSheetId="44">[66]Cuadro1!#REF!</definedName>
    <definedName name="cu1_" localSheetId="45">[66]Cuadro1!#REF!</definedName>
    <definedName name="cu1_" localSheetId="46">[66]Cuadro1!#REF!</definedName>
    <definedName name="cu1_" localSheetId="31">[66]Cuadro1!#REF!</definedName>
    <definedName name="cu1_" localSheetId="32">[66]Cuadro1!#REF!</definedName>
    <definedName name="cu1_" localSheetId="33">[66]Cuadro1!#REF!</definedName>
    <definedName name="cu1_" localSheetId="36">[66]Cuadro1!#REF!</definedName>
    <definedName name="cu1_" localSheetId="37">[66]Cuadro1!#REF!</definedName>
    <definedName name="cu1_" localSheetId="38">[66]Cuadro1!#REF!</definedName>
    <definedName name="cu1_" localSheetId="39">[66]Cuadro1!#REF!</definedName>
    <definedName name="cu1_" localSheetId="40">[66]Cuadro1!#REF!</definedName>
    <definedName name="cu1_" localSheetId="54">[66]Cuadro1!#REF!</definedName>
    <definedName name="cu1_" localSheetId="55">[66]Cuadro1!#REF!</definedName>
    <definedName name="cu1_" localSheetId="52">[66]Cuadro1!#REF!</definedName>
    <definedName name="cu1_" localSheetId="23">[66]Cuadro1!#REF!</definedName>
    <definedName name="cu1_" localSheetId="51">[66]Cuadro1!#REF!</definedName>
    <definedName name="cu1_" localSheetId="53">[66]Cuadro1!#REF!</definedName>
    <definedName name="cu1_" localSheetId="20">[66]Cuadro1!#REF!</definedName>
    <definedName name="cu1_">[66]Cuadro1!#REF!</definedName>
    <definedName name="cu3_" localSheetId="34">#REF!</definedName>
    <definedName name="cu3_" localSheetId="35">#REF!</definedName>
    <definedName name="cu3_" localSheetId="50">#REF!</definedName>
    <definedName name="cu3_" localSheetId="15">#REF!</definedName>
    <definedName name="cu3_" localSheetId="29">#REF!</definedName>
    <definedName name="cu3_" localSheetId="30">#REF!</definedName>
    <definedName name="cu3_" localSheetId="47">#REF!</definedName>
    <definedName name="cu3_" localSheetId="44">#REF!</definedName>
    <definedName name="cu3_" localSheetId="45">#REF!</definedName>
    <definedName name="cu3_" localSheetId="46">#REF!</definedName>
    <definedName name="cu3_" localSheetId="31">#REF!</definedName>
    <definedName name="cu3_" localSheetId="32">#REF!</definedName>
    <definedName name="cu3_" localSheetId="33">#REF!</definedName>
    <definedName name="cu3_" localSheetId="36">#REF!</definedName>
    <definedName name="cu3_" localSheetId="37">#REF!</definedName>
    <definedName name="cu3_" localSheetId="38">#REF!</definedName>
    <definedName name="cu3_" localSheetId="39">#REF!</definedName>
    <definedName name="cu3_" localSheetId="40">#REF!</definedName>
    <definedName name="cu3_" localSheetId="54">#REF!</definedName>
    <definedName name="cu3_" localSheetId="55">#REF!</definedName>
    <definedName name="cu3_" localSheetId="52">#REF!</definedName>
    <definedName name="cu3_" localSheetId="23">#REF!</definedName>
    <definedName name="cu3_" localSheetId="51">#REF!</definedName>
    <definedName name="cu3_" localSheetId="53">#REF!</definedName>
    <definedName name="cu3_" localSheetId="20">#REF!</definedName>
    <definedName name="cu3_">#REF!</definedName>
    <definedName name="cu5_" localSheetId="34">[67]Cuadro5!#REF!</definedName>
    <definedName name="cu5_" localSheetId="35">[67]Cuadro5!#REF!</definedName>
    <definedName name="cu5_" localSheetId="50">[67]Cuadro5!#REF!</definedName>
    <definedName name="cu5_" localSheetId="15">[67]Cuadro5!#REF!</definedName>
    <definedName name="cu5_" localSheetId="29">[67]Cuadro5!#REF!</definedName>
    <definedName name="cu5_" localSheetId="30">[67]Cuadro5!#REF!</definedName>
    <definedName name="cu5_" localSheetId="47">[67]Cuadro5!#REF!</definedName>
    <definedName name="cu5_" localSheetId="44">[67]Cuadro5!#REF!</definedName>
    <definedName name="cu5_" localSheetId="45">[67]Cuadro5!#REF!</definedName>
    <definedName name="cu5_" localSheetId="46">[67]Cuadro5!#REF!</definedName>
    <definedName name="cu5_" localSheetId="31">[67]Cuadro5!#REF!</definedName>
    <definedName name="cu5_" localSheetId="32">[67]Cuadro5!#REF!</definedName>
    <definedName name="cu5_" localSheetId="33">[67]Cuadro5!#REF!</definedName>
    <definedName name="cu5_" localSheetId="36">[67]Cuadro5!#REF!</definedName>
    <definedName name="cu5_" localSheetId="37">[67]Cuadro5!#REF!</definedName>
    <definedName name="cu5_" localSheetId="38">[67]Cuadro5!#REF!</definedName>
    <definedName name="cu5_" localSheetId="39">[67]Cuadro5!#REF!</definedName>
    <definedName name="cu5_" localSheetId="40">[67]Cuadro5!#REF!</definedName>
    <definedName name="cu5_" localSheetId="54">[67]Cuadro5!#REF!</definedName>
    <definedName name="cu5_" localSheetId="55">[67]Cuadro5!#REF!</definedName>
    <definedName name="cu5_" localSheetId="52">[67]Cuadro5!#REF!</definedName>
    <definedName name="cu5_" localSheetId="23">[67]Cuadro5!#REF!</definedName>
    <definedName name="cu5_" localSheetId="51">[67]Cuadro5!#REF!</definedName>
    <definedName name="cu5_" localSheetId="53">[67]Cuadro5!#REF!</definedName>
    <definedName name="cu5_" localSheetId="20">[67]Cuadro5!#REF!</definedName>
    <definedName name="cu5_">[67]Cuadro5!#REF!</definedName>
    <definedName name="CUADRO_No_9_C" localSheetId="34">#REF!</definedName>
    <definedName name="CUADRO_No_9_C" localSheetId="35">#REF!</definedName>
    <definedName name="CUADRO_No_9_C" localSheetId="50">#REF!</definedName>
    <definedName name="CUADRO_No_9_C" localSheetId="15">#REF!</definedName>
    <definedName name="CUADRO_No_9_C" localSheetId="29">#REF!</definedName>
    <definedName name="CUADRO_No_9_C" localSheetId="30">#REF!</definedName>
    <definedName name="CUADRO_No_9_C" localSheetId="47">#REF!</definedName>
    <definedName name="CUADRO_No_9_C" localSheetId="44">#REF!</definedName>
    <definedName name="CUADRO_No_9_C" localSheetId="45">#REF!</definedName>
    <definedName name="CUADRO_No_9_C" localSheetId="46">#REF!</definedName>
    <definedName name="CUADRO_No_9_C" localSheetId="31">#REF!</definedName>
    <definedName name="CUADRO_No_9_C" localSheetId="32">#REF!</definedName>
    <definedName name="CUADRO_No_9_C" localSheetId="33">#REF!</definedName>
    <definedName name="CUADRO_No_9_C" localSheetId="36">#REF!</definedName>
    <definedName name="CUADRO_No_9_C" localSheetId="37">#REF!</definedName>
    <definedName name="CUADRO_No_9_C" localSheetId="38">#REF!</definedName>
    <definedName name="CUADRO_No_9_C" localSheetId="39">#REF!</definedName>
    <definedName name="CUADRO_No_9_C" localSheetId="40">#REF!</definedName>
    <definedName name="CUADRO_No_9_C" localSheetId="54">#REF!</definedName>
    <definedName name="CUADRO_No_9_C" localSheetId="55">#REF!</definedName>
    <definedName name="CUADRO_No_9_C" localSheetId="52">#REF!</definedName>
    <definedName name="CUADRO_No_9_C" localSheetId="23">#REF!</definedName>
    <definedName name="CUADRO_No_9_C" localSheetId="51">#REF!</definedName>
    <definedName name="CUADRO_No_9_C" localSheetId="53">#REF!</definedName>
    <definedName name="CUADRO_No_9_C" localSheetId="20">#REF!</definedName>
    <definedName name="CUADRO_No_9_C">#REF!</definedName>
    <definedName name="cuadro1" localSheetId="34">#REF!</definedName>
    <definedName name="cuadro1" localSheetId="35">#REF!</definedName>
    <definedName name="cuadro1" localSheetId="50">#REF!</definedName>
    <definedName name="cuadro1" localSheetId="15">#REF!</definedName>
    <definedName name="cuadro1" localSheetId="29">#REF!</definedName>
    <definedName name="cuadro1" localSheetId="30">#REF!</definedName>
    <definedName name="cuadro1" localSheetId="47">#REF!</definedName>
    <definedName name="cuadro1" localSheetId="44">#REF!</definedName>
    <definedName name="cuadro1" localSheetId="45">#REF!</definedName>
    <definedName name="cuadro1" localSheetId="46">#REF!</definedName>
    <definedName name="cuadro1" localSheetId="31">#REF!</definedName>
    <definedName name="cuadro1" localSheetId="32">#REF!</definedName>
    <definedName name="cuadro1" localSheetId="33">#REF!</definedName>
    <definedName name="cuadro1" localSheetId="36">#REF!</definedName>
    <definedName name="cuadro1" localSheetId="37">#REF!</definedName>
    <definedName name="cuadro1" localSheetId="38">#REF!</definedName>
    <definedName name="cuadro1" localSheetId="39">#REF!</definedName>
    <definedName name="cuadro1" localSheetId="40">#REF!</definedName>
    <definedName name="cuadro1" localSheetId="54">#REF!</definedName>
    <definedName name="cuadro1" localSheetId="55">#REF!</definedName>
    <definedName name="cuadro1" localSheetId="52">#REF!</definedName>
    <definedName name="cuadro1" localSheetId="23">#REF!</definedName>
    <definedName name="cuadro1" localSheetId="51">#REF!</definedName>
    <definedName name="cuadro1" localSheetId="53">#REF!</definedName>
    <definedName name="cuadro1" localSheetId="20">#REF!</definedName>
    <definedName name="cuadro1">#REF!</definedName>
    <definedName name="CUADRO9" localSheetId="34">#REF!</definedName>
    <definedName name="CUADRO9" localSheetId="35">#REF!</definedName>
    <definedName name="CUADRO9" localSheetId="50">#REF!</definedName>
    <definedName name="CUADRO9" localSheetId="15">#REF!</definedName>
    <definedName name="CUADRO9" localSheetId="29">#REF!</definedName>
    <definedName name="CUADRO9" localSheetId="30">#REF!</definedName>
    <definedName name="CUADRO9" localSheetId="47">#REF!</definedName>
    <definedName name="CUADRO9" localSheetId="44">#REF!</definedName>
    <definedName name="CUADRO9" localSheetId="45">#REF!</definedName>
    <definedName name="CUADRO9" localSheetId="46">#REF!</definedName>
    <definedName name="CUADRO9" localSheetId="31">#REF!</definedName>
    <definedName name="CUADRO9" localSheetId="32">#REF!</definedName>
    <definedName name="CUADRO9" localSheetId="33">#REF!</definedName>
    <definedName name="CUADRO9" localSheetId="36">#REF!</definedName>
    <definedName name="CUADRO9" localSheetId="37">#REF!</definedName>
    <definedName name="CUADRO9" localSheetId="38">#REF!</definedName>
    <definedName name="CUADRO9" localSheetId="39">#REF!</definedName>
    <definedName name="CUADRO9" localSheetId="40">#REF!</definedName>
    <definedName name="CUADRO9" localSheetId="54">#REF!</definedName>
    <definedName name="CUADRO9" localSheetId="55">#REF!</definedName>
    <definedName name="CUADRO9" localSheetId="52">#REF!</definedName>
    <definedName name="CUADRO9" localSheetId="23">#REF!</definedName>
    <definedName name="CUADRO9" localSheetId="51">#REF!</definedName>
    <definedName name="CUADRO9" localSheetId="53">#REF!</definedName>
    <definedName name="CUADRO9" localSheetId="20">#REF!</definedName>
    <definedName name="CUADRO9">#REF!</definedName>
    <definedName name="CUADRO9A" localSheetId="34">#REF!</definedName>
    <definedName name="CUADRO9A" localSheetId="35">#REF!</definedName>
    <definedName name="CUADRO9A" localSheetId="50">#REF!</definedName>
    <definedName name="CUADRO9A" localSheetId="15">#REF!</definedName>
    <definedName name="CUADRO9A" localSheetId="29">#REF!</definedName>
    <definedName name="CUADRO9A" localSheetId="30">#REF!</definedName>
    <definedName name="CUADRO9A" localSheetId="47">#REF!</definedName>
    <definedName name="CUADRO9A" localSheetId="44">#REF!</definedName>
    <definedName name="CUADRO9A" localSheetId="45">#REF!</definedName>
    <definedName name="CUADRO9A" localSheetId="46">#REF!</definedName>
    <definedName name="CUADRO9A" localSheetId="31">#REF!</definedName>
    <definedName name="CUADRO9A" localSheetId="32">#REF!</definedName>
    <definedName name="CUADRO9A" localSheetId="33">#REF!</definedName>
    <definedName name="CUADRO9A" localSheetId="36">#REF!</definedName>
    <definedName name="CUADRO9A" localSheetId="37">#REF!</definedName>
    <definedName name="CUADRO9A" localSheetId="38">#REF!</definedName>
    <definedName name="CUADRO9A" localSheetId="39">#REF!</definedName>
    <definedName name="CUADRO9A" localSheetId="40">#REF!</definedName>
    <definedName name="CUADRO9A" localSheetId="54">#REF!</definedName>
    <definedName name="CUADRO9A" localSheetId="55">#REF!</definedName>
    <definedName name="CUADRO9A" localSheetId="52">#REF!</definedName>
    <definedName name="CUADRO9A" localSheetId="23">#REF!</definedName>
    <definedName name="CUADRO9A" localSheetId="51">#REF!</definedName>
    <definedName name="CUADRO9A" localSheetId="53">#REF!</definedName>
    <definedName name="CUADRO9A" localSheetId="20">#REF!</definedName>
    <definedName name="CUADRO9A">#REF!</definedName>
    <definedName name="CUADRO9B" localSheetId="34">#REF!</definedName>
    <definedName name="CUADRO9B" localSheetId="35">#REF!</definedName>
    <definedName name="CUADRO9B" localSheetId="50">#REF!</definedName>
    <definedName name="CUADRO9B" localSheetId="15">#REF!</definedName>
    <definedName name="CUADRO9B" localSheetId="29">#REF!</definedName>
    <definedName name="CUADRO9B" localSheetId="30">#REF!</definedName>
    <definedName name="CUADRO9B" localSheetId="47">#REF!</definedName>
    <definedName name="CUADRO9B" localSheetId="44">#REF!</definedName>
    <definedName name="CUADRO9B" localSheetId="45">#REF!</definedName>
    <definedName name="CUADRO9B" localSheetId="46">#REF!</definedName>
    <definedName name="CUADRO9B" localSheetId="31">#REF!</definedName>
    <definedName name="CUADRO9B" localSheetId="32">#REF!</definedName>
    <definedName name="CUADRO9B" localSheetId="33">#REF!</definedName>
    <definedName name="CUADRO9B" localSheetId="36">#REF!</definedName>
    <definedName name="CUADRO9B" localSheetId="37">#REF!</definedName>
    <definedName name="CUADRO9B" localSheetId="38">#REF!</definedName>
    <definedName name="CUADRO9B" localSheetId="39">#REF!</definedName>
    <definedName name="CUADRO9B" localSheetId="40">#REF!</definedName>
    <definedName name="CUADRO9B" localSheetId="54">#REF!</definedName>
    <definedName name="CUADRO9B" localSheetId="55">#REF!</definedName>
    <definedName name="CUADRO9B" localSheetId="52">#REF!</definedName>
    <definedName name="CUADRO9B" localSheetId="23">#REF!</definedName>
    <definedName name="CUADRO9B" localSheetId="51">#REF!</definedName>
    <definedName name="CUADRO9B" localSheetId="53">#REF!</definedName>
    <definedName name="CUADRO9B" localSheetId="20">#REF!</definedName>
    <definedName name="CUADRO9B">#REF!</definedName>
    <definedName name="cuadroa_" localSheetId="34">#REF!</definedName>
    <definedName name="cuadroa_" localSheetId="35">#REF!</definedName>
    <definedName name="cuadroa_" localSheetId="50">#REF!</definedName>
    <definedName name="cuadroa_" localSheetId="15">#REF!</definedName>
    <definedName name="cuadroa_" localSheetId="29">#REF!</definedName>
    <definedName name="cuadroa_" localSheetId="30">#REF!</definedName>
    <definedName name="cuadroa_" localSheetId="47">#REF!</definedName>
    <definedName name="cuadroa_" localSheetId="44">#REF!</definedName>
    <definedName name="cuadroa_" localSheetId="45">#REF!</definedName>
    <definedName name="cuadroa_" localSheetId="46">#REF!</definedName>
    <definedName name="cuadroa_" localSheetId="31">#REF!</definedName>
    <definedName name="cuadroa_" localSheetId="32">#REF!</definedName>
    <definedName name="cuadroa_" localSheetId="33">#REF!</definedName>
    <definedName name="cuadroa_" localSheetId="36">#REF!</definedName>
    <definedName name="cuadroa_" localSheetId="37">#REF!</definedName>
    <definedName name="cuadroa_" localSheetId="38">#REF!</definedName>
    <definedName name="cuadroa_" localSheetId="39">#REF!</definedName>
    <definedName name="cuadroa_" localSheetId="40">#REF!</definedName>
    <definedName name="cuadroa_" localSheetId="54">#REF!</definedName>
    <definedName name="cuadroa_" localSheetId="55">#REF!</definedName>
    <definedName name="cuadroa_" localSheetId="52">#REF!</definedName>
    <definedName name="cuadroa_" localSheetId="23">#REF!</definedName>
    <definedName name="cuadroa_" localSheetId="51">#REF!</definedName>
    <definedName name="cuadroa_" localSheetId="53">#REF!</definedName>
    <definedName name="cuadroa_" localSheetId="20">#REF!</definedName>
    <definedName name="cuadroa_">#REF!</definedName>
    <definedName name="cuadrob_" localSheetId="34">#REF!</definedName>
    <definedName name="cuadrob_" localSheetId="35">#REF!</definedName>
    <definedName name="cuadrob_" localSheetId="50">#REF!</definedName>
    <definedName name="cuadrob_" localSheetId="15">#REF!</definedName>
    <definedName name="cuadrob_" localSheetId="29">#REF!</definedName>
    <definedName name="cuadrob_" localSheetId="30">#REF!</definedName>
    <definedName name="cuadrob_" localSheetId="47">#REF!</definedName>
    <definedName name="cuadrob_" localSheetId="44">#REF!</definedName>
    <definedName name="cuadrob_" localSheetId="45">#REF!</definedName>
    <definedName name="cuadrob_" localSheetId="46">#REF!</definedName>
    <definedName name="cuadrob_" localSheetId="31">#REF!</definedName>
    <definedName name="cuadrob_" localSheetId="32">#REF!</definedName>
    <definedName name="cuadrob_" localSheetId="33">#REF!</definedName>
    <definedName name="cuadrob_" localSheetId="36">#REF!</definedName>
    <definedName name="cuadrob_" localSheetId="37">#REF!</definedName>
    <definedName name="cuadrob_" localSheetId="38">#REF!</definedName>
    <definedName name="cuadrob_" localSheetId="39">#REF!</definedName>
    <definedName name="cuadrob_" localSheetId="40">#REF!</definedName>
    <definedName name="cuadrob_" localSheetId="54">#REF!</definedName>
    <definedName name="cuadrob_" localSheetId="55">#REF!</definedName>
    <definedName name="cuadrob_" localSheetId="52">#REF!</definedName>
    <definedName name="cuadrob_" localSheetId="23">#REF!</definedName>
    <definedName name="cuadrob_" localSheetId="51">#REF!</definedName>
    <definedName name="cuadrob_" localSheetId="53">#REF!</definedName>
    <definedName name="cuadrob_" localSheetId="20">#REF!</definedName>
    <definedName name="cuadrob_">#REF!</definedName>
    <definedName name="CUASEMA" localSheetId="34">#REF!</definedName>
    <definedName name="CUASEMA" localSheetId="35">#REF!</definedName>
    <definedName name="CUASEMA" localSheetId="50">#REF!</definedName>
    <definedName name="CUASEMA" localSheetId="15">#REF!</definedName>
    <definedName name="CUASEMA" localSheetId="29">#REF!</definedName>
    <definedName name="CUASEMA" localSheetId="30">#REF!</definedName>
    <definedName name="CUASEMA" localSheetId="47">#REF!</definedName>
    <definedName name="CUASEMA" localSheetId="44">#REF!</definedName>
    <definedName name="CUASEMA" localSheetId="45">#REF!</definedName>
    <definedName name="CUASEMA" localSheetId="46">#REF!</definedName>
    <definedName name="CUASEMA" localSheetId="31">#REF!</definedName>
    <definedName name="CUASEMA" localSheetId="32">#REF!</definedName>
    <definedName name="CUASEMA" localSheetId="33">#REF!</definedName>
    <definedName name="CUASEMA" localSheetId="36">#REF!</definedName>
    <definedName name="CUASEMA" localSheetId="37">#REF!</definedName>
    <definedName name="CUASEMA" localSheetId="38">#REF!</definedName>
    <definedName name="CUASEMA" localSheetId="39">#REF!</definedName>
    <definedName name="CUASEMA" localSheetId="40">#REF!</definedName>
    <definedName name="CUASEMA" localSheetId="54">#REF!</definedName>
    <definedName name="CUASEMA" localSheetId="55">#REF!</definedName>
    <definedName name="CUASEMA" localSheetId="52">#REF!</definedName>
    <definedName name="CUASEMA" localSheetId="23">#REF!</definedName>
    <definedName name="CUASEMA" localSheetId="51">#REF!</definedName>
    <definedName name="CUASEMA" localSheetId="53">#REF!</definedName>
    <definedName name="CUASEMA" localSheetId="20">#REF!</definedName>
    <definedName name="CUASEMA">#REF!</definedName>
    <definedName name="Currency_list" localSheetId="50">[68]Temp!#REF!</definedName>
    <definedName name="Currency_list" localSheetId="47">[68]Temp!#REF!</definedName>
    <definedName name="Currency_list" localSheetId="44">[68]Temp!#REF!</definedName>
    <definedName name="Currency_list" localSheetId="45">[68]Temp!#REF!</definedName>
    <definedName name="Currency_list" localSheetId="46">[68]Temp!#REF!</definedName>
    <definedName name="Currency_list" localSheetId="37">[68]Temp!#REF!</definedName>
    <definedName name="Currency_list" localSheetId="40">[68]Temp!#REF!</definedName>
    <definedName name="Currency_list" localSheetId="54">[68]Temp!#REF!</definedName>
    <definedName name="Currency_list" localSheetId="55">[68]Temp!#REF!</definedName>
    <definedName name="Currency_list" localSheetId="52">[68]Temp!#REF!</definedName>
    <definedName name="Currency_list" localSheetId="51">[68]Temp!#REF!</definedName>
    <definedName name="Currency_list" localSheetId="53">[68]Temp!#REF!</definedName>
    <definedName name="Currency_list">[68]Temp!#REF!</definedName>
    <definedName name="Currency_list_1" localSheetId="50">[68]Temp!#REF!</definedName>
    <definedName name="Currency_list_1" localSheetId="47">[68]Temp!#REF!</definedName>
    <definedName name="Currency_list_1" localSheetId="44">[68]Temp!#REF!</definedName>
    <definedName name="Currency_list_1" localSheetId="45">[68]Temp!#REF!</definedName>
    <definedName name="Currency_list_1" localSheetId="46">[68]Temp!#REF!</definedName>
    <definedName name="Currency_list_1" localSheetId="37">[68]Temp!#REF!</definedName>
    <definedName name="Currency_list_1" localSheetId="40">[68]Temp!#REF!</definedName>
    <definedName name="Currency_list_1" localSheetId="54">[68]Temp!#REF!</definedName>
    <definedName name="Currency_list_1" localSheetId="55">[68]Temp!#REF!</definedName>
    <definedName name="Currency_list_1" localSheetId="52">[68]Temp!#REF!</definedName>
    <definedName name="Currency_list_1" localSheetId="51">[68]Temp!#REF!</definedName>
    <definedName name="Currency_list_1" localSheetId="53">[68]Temp!#REF!</definedName>
    <definedName name="Currency_list_1">[68]Temp!#REF!</definedName>
    <definedName name="CurrencyList">'[69]Report Form'!$B$5:$B$5</definedName>
    <definedName name="CurrentTeamAllocApproved" localSheetId="50">[70]Team!#REF!</definedName>
    <definedName name="CurrentTeamAllocApproved" localSheetId="47">[70]Team!#REF!</definedName>
    <definedName name="CurrentTeamAllocApproved" localSheetId="44">[70]Team!#REF!</definedName>
    <definedName name="CurrentTeamAllocApproved" localSheetId="45">[70]Team!#REF!</definedName>
    <definedName name="CurrentTeamAllocApproved" localSheetId="46">[70]Team!#REF!</definedName>
    <definedName name="CurrentTeamAllocApproved" localSheetId="37">[70]Team!#REF!</definedName>
    <definedName name="CurrentTeamAllocApproved" localSheetId="40">[70]Team!#REF!</definedName>
    <definedName name="CurrentTeamAllocApproved" localSheetId="54">[70]Team!#REF!</definedName>
    <definedName name="CurrentTeamAllocApproved" localSheetId="55">[70]Team!#REF!</definedName>
    <definedName name="CurrentTeamAllocApproved" localSheetId="52">[70]Team!#REF!</definedName>
    <definedName name="CurrentTeamAllocApproved" localSheetId="51">[70]Team!#REF!</definedName>
    <definedName name="CurrentTeamAllocApproved" localSheetId="53">[70]Team!#REF!</definedName>
    <definedName name="CurrentTeamAllocApproved">[70]Team!#REF!</definedName>
    <definedName name="CurrentTeamAllocPct">[70]Team!$F$1</definedName>
    <definedName name="CurrentTeamAvailableDate">[70]Team!$H$1</definedName>
    <definedName name="CurrentTeamCheckOnboarding" localSheetId="50">[70]Team!#REF!</definedName>
    <definedName name="CurrentTeamCheckOnboarding" localSheetId="47">[70]Team!#REF!</definedName>
    <definedName name="CurrentTeamCheckOnboarding" localSheetId="44">[70]Team!#REF!</definedName>
    <definedName name="CurrentTeamCheckOnboarding" localSheetId="45">[70]Team!#REF!</definedName>
    <definedName name="CurrentTeamCheckOnboarding" localSheetId="46">[70]Team!#REF!</definedName>
    <definedName name="CurrentTeamCheckOnboarding" localSheetId="37">[70]Team!#REF!</definedName>
    <definedName name="CurrentTeamCheckOnboarding" localSheetId="40">[70]Team!#REF!</definedName>
    <definedName name="CurrentTeamCheckOnboarding" localSheetId="54">[70]Team!#REF!</definedName>
    <definedName name="CurrentTeamCheckOnboarding" localSheetId="55">[70]Team!#REF!</definedName>
    <definedName name="CurrentTeamCheckOnboarding" localSheetId="52">[70]Team!#REF!</definedName>
    <definedName name="CurrentTeamCheckOnboarding" localSheetId="51">[70]Team!#REF!</definedName>
    <definedName name="CurrentTeamCheckOnboarding" localSheetId="53">[70]Team!#REF!</definedName>
    <definedName name="CurrentTeamCheckOnboarding">[70]Team!#REF!</definedName>
    <definedName name="CurrentTeamCheckPool" localSheetId="50">[70]Team!#REF!</definedName>
    <definedName name="CurrentTeamCheckPool" localSheetId="47">[70]Team!#REF!</definedName>
    <definedName name="CurrentTeamCheckPool" localSheetId="44">[70]Team!#REF!</definedName>
    <definedName name="CurrentTeamCheckPool" localSheetId="45">[70]Team!#REF!</definedName>
    <definedName name="CurrentTeamCheckPool" localSheetId="46">[70]Team!#REF!</definedName>
    <definedName name="CurrentTeamCheckPool" localSheetId="37">[70]Team!#REF!</definedName>
    <definedName name="CurrentTeamCheckPool" localSheetId="40">[70]Team!#REF!</definedName>
    <definedName name="CurrentTeamCheckPool" localSheetId="54">[70]Team!#REF!</definedName>
    <definedName name="CurrentTeamCheckPool" localSheetId="55">[70]Team!#REF!</definedName>
    <definedName name="CurrentTeamCheckPool" localSheetId="52">[70]Team!#REF!</definedName>
    <definedName name="CurrentTeamCheckPool" localSheetId="51">[70]Team!#REF!</definedName>
    <definedName name="CurrentTeamCheckPool" localSheetId="53">[70]Team!#REF!</definedName>
    <definedName name="CurrentTeamCheckPool">[70]Team!#REF!</definedName>
    <definedName name="CurrentTeamCheckProjects" localSheetId="50">[70]Team!#REF!</definedName>
    <definedName name="CurrentTeamCheckProjects" localSheetId="47">[70]Team!#REF!</definedName>
    <definedName name="CurrentTeamCheckProjects" localSheetId="44">[70]Team!#REF!</definedName>
    <definedName name="CurrentTeamCheckProjects" localSheetId="45">[70]Team!#REF!</definedName>
    <definedName name="CurrentTeamCheckProjects" localSheetId="46">[70]Team!#REF!</definedName>
    <definedName name="CurrentTeamCheckProjects" localSheetId="37">[70]Team!#REF!</definedName>
    <definedName name="CurrentTeamCheckProjects" localSheetId="40">[70]Team!#REF!</definedName>
    <definedName name="CurrentTeamCheckProjects" localSheetId="54">[70]Team!#REF!</definedName>
    <definedName name="CurrentTeamCheckProjects" localSheetId="55">[70]Team!#REF!</definedName>
    <definedName name="CurrentTeamCheckProjects" localSheetId="52">[70]Team!#REF!</definedName>
    <definedName name="CurrentTeamCheckProjects" localSheetId="51">[70]Team!#REF!</definedName>
    <definedName name="CurrentTeamCheckProjects" localSheetId="53">[70]Team!#REF!</definedName>
    <definedName name="CurrentTeamCheckProjects">[70]Team!#REF!</definedName>
    <definedName name="CurrentTeamCheckPyramid" localSheetId="50">[70]Team!#REF!</definedName>
    <definedName name="CurrentTeamCheckPyramid" localSheetId="47">[70]Team!#REF!</definedName>
    <definedName name="CurrentTeamCheckPyramid" localSheetId="44">[70]Team!#REF!</definedName>
    <definedName name="CurrentTeamCheckPyramid" localSheetId="45">[70]Team!#REF!</definedName>
    <definedName name="CurrentTeamCheckPyramid" localSheetId="46">[70]Team!#REF!</definedName>
    <definedName name="CurrentTeamCheckPyramid" localSheetId="37">[70]Team!#REF!</definedName>
    <definedName name="CurrentTeamCheckPyramid" localSheetId="40">[70]Team!#REF!</definedName>
    <definedName name="CurrentTeamCheckPyramid" localSheetId="54">[70]Team!#REF!</definedName>
    <definedName name="CurrentTeamCheckPyramid" localSheetId="55">[70]Team!#REF!</definedName>
    <definedName name="CurrentTeamCheckPyramid" localSheetId="52">[70]Team!#REF!</definedName>
    <definedName name="CurrentTeamCheckPyramid" localSheetId="51">[70]Team!#REF!</definedName>
    <definedName name="CurrentTeamCheckPyramid" localSheetId="53">[70]Team!#REF!</definedName>
    <definedName name="CurrentTeamCheckPyramid">[70]Team!#REF!</definedName>
    <definedName name="CurrentTeamCheckStructure" localSheetId="50">[70]Team!#REF!</definedName>
    <definedName name="CurrentTeamCheckStructure" localSheetId="47">[70]Team!#REF!</definedName>
    <definedName name="CurrentTeamCheckStructure" localSheetId="44">[70]Team!#REF!</definedName>
    <definedName name="CurrentTeamCheckStructure" localSheetId="45">[70]Team!#REF!</definedName>
    <definedName name="CurrentTeamCheckStructure" localSheetId="46">[70]Team!#REF!</definedName>
    <definedName name="CurrentTeamCheckStructure" localSheetId="37">[70]Team!#REF!</definedName>
    <definedName name="CurrentTeamCheckStructure" localSheetId="40">[70]Team!#REF!</definedName>
    <definedName name="CurrentTeamCheckStructure" localSheetId="54">[70]Team!#REF!</definedName>
    <definedName name="CurrentTeamCheckStructure" localSheetId="55">[70]Team!#REF!</definedName>
    <definedName name="CurrentTeamCheckStructure" localSheetId="52">[70]Team!#REF!</definedName>
    <definedName name="CurrentTeamCheckStructure" localSheetId="51">[70]Team!#REF!</definedName>
    <definedName name="CurrentTeamCheckStructure" localSheetId="53">[70]Team!#REF!</definedName>
    <definedName name="CurrentTeamCheckStructure">[70]Team!#REF!</definedName>
    <definedName name="CurrentTeamClear">[70]Team!$H$2:$H$454</definedName>
    <definedName name="CurrentTeamGeography">[70]Team!$C$1</definedName>
    <definedName name="CurrentTeamName">[70]Team!$A:$A</definedName>
    <definedName name="CurrentTeamNotes">[70]Team!$E$1</definedName>
    <definedName name="CurrentTeamProjectName">[70]Team!$D$1</definedName>
    <definedName name="CurrentTeamRate" localSheetId="50">[70]Team!#REF!</definedName>
    <definedName name="CurrentTeamRate" localSheetId="47">[70]Team!#REF!</definedName>
    <definedName name="CurrentTeamRate" localSheetId="44">[70]Team!#REF!</definedName>
    <definedName name="CurrentTeamRate" localSheetId="45">[70]Team!#REF!</definedName>
    <definedName name="CurrentTeamRate" localSheetId="46">[70]Team!#REF!</definedName>
    <definedName name="CurrentTeamRate" localSheetId="37">[70]Team!#REF!</definedName>
    <definedName name="CurrentTeamRate" localSheetId="40">[70]Team!#REF!</definedName>
    <definedName name="CurrentTeamRate" localSheetId="54">[70]Team!#REF!</definedName>
    <definedName name="CurrentTeamRate" localSheetId="55">[70]Team!#REF!</definedName>
    <definedName name="CurrentTeamRate" localSheetId="52">[70]Team!#REF!</definedName>
    <definedName name="CurrentTeamRate" localSheetId="51">[70]Team!#REF!</definedName>
    <definedName name="CurrentTeamRate" localSheetId="53">[70]Team!#REF!</definedName>
    <definedName name="CurrentTeamRate">[70]Team!#REF!</definedName>
    <definedName name="CurrentTeamTitle">[70]Team!$B$1</definedName>
    <definedName name="CurrentTeamToday">[70]Team!$P$1</definedName>
    <definedName name="CurrVintage">[71]Current!$D$66</definedName>
    <definedName name="CustContact" localSheetId="50">#REF!</definedName>
    <definedName name="CustContact" localSheetId="47">#REF!</definedName>
    <definedName name="CustContact" localSheetId="44">#REF!</definedName>
    <definedName name="CustContact" localSheetId="45">#REF!</definedName>
    <definedName name="CustContact" localSheetId="46">#REF!</definedName>
    <definedName name="CustContact" localSheetId="37">#REF!</definedName>
    <definedName name="CustContact" localSheetId="40">#REF!</definedName>
    <definedName name="CustContact" localSheetId="54">#REF!</definedName>
    <definedName name="CustContact" localSheetId="55">#REF!</definedName>
    <definedName name="CustContact" localSheetId="52">#REF!</definedName>
    <definedName name="CustContact" localSheetId="51">#REF!</definedName>
    <definedName name="CustContact" localSheetId="53">#REF!</definedName>
    <definedName name="CustContact">#REF!</definedName>
    <definedName name="CustomLists" localSheetId="50">#REF!</definedName>
    <definedName name="CustomLists" localSheetId="47">#REF!</definedName>
    <definedName name="CustomLists" localSheetId="44">#REF!</definedName>
    <definedName name="CustomLists" localSheetId="45">#REF!</definedName>
    <definedName name="CustomLists" localSheetId="46">#REF!</definedName>
    <definedName name="CustomLists" localSheetId="37">#REF!</definedName>
    <definedName name="CustomLists" localSheetId="40">#REF!</definedName>
    <definedName name="CustomLists" localSheetId="54">#REF!</definedName>
    <definedName name="CustomLists" localSheetId="55">#REF!</definedName>
    <definedName name="CustomLists" localSheetId="52">#REF!</definedName>
    <definedName name="CustomLists" localSheetId="51">#REF!</definedName>
    <definedName name="CustomLists" localSheetId="53">#REF!</definedName>
    <definedName name="CustomLists">#REF!</definedName>
    <definedName name="d" localSheetId="34">#REF!</definedName>
    <definedName name="d" localSheetId="35">#REF!</definedName>
    <definedName name="d" localSheetId="50">#REF!</definedName>
    <definedName name="d" localSheetId="15">#REF!</definedName>
    <definedName name="d" localSheetId="29">#REF!</definedName>
    <definedName name="d" localSheetId="30">#REF!</definedName>
    <definedName name="d" localSheetId="47">#REF!</definedName>
    <definedName name="d" localSheetId="44">#REF!</definedName>
    <definedName name="d" localSheetId="45">#REF!</definedName>
    <definedName name="d" localSheetId="46">#REF!</definedName>
    <definedName name="d" localSheetId="31">#REF!</definedName>
    <definedName name="d" localSheetId="32">#REF!</definedName>
    <definedName name="d" localSheetId="33">#REF!</definedName>
    <definedName name="d" localSheetId="36">#REF!</definedName>
    <definedName name="d" localSheetId="37">#REF!</definedName>
    <definedName name="d" localSheetId="38">#REF!</definedName>
    <definedName name="d" localSheetId="39">#REF!</definedName>
    <definedName name="d" localSheetId="40">#REF!</definedName>
    <definedName name="d" localSheetId="54">#REF!</definedName>
    <definedName name="d" localSheetId="55">#REF!</definedName>
    <definedName name="d" localSheetId="52">#REF!</definedName>
    <definedName name="d" localSheetId="23">#REF!</definedName>
    <definedName name="d" localSheetId="51">#REF!</definedName>
    <definedName name="d" localSheetId="53">#REF!</definedName>
    <definedName name="d" localSheetId="20">#REF!</definedName>
    <definedName name="d">#REF!</definedName>
    <definedName name="D_B" localSheetId="50">#REF!</definedName>
    <definedName name="D_B" localSheetId="47">#REF!</definedName>
    <definedName name="D_B" localSheetId="44">#REF!</definedName>
    <definedName name="D_B" localSheetId="45">#REF!</definedName>
    <definedName name="D_B" localSheetId="46">#REF!</definedName>
    <definedName name="D_B" localSheetId="37">#REF!</definedName>
    <definedName name="D_B" localSheetId="40">#REF!</definedName>
    <definedName name="D_B" localSheetId="54">#REF!</definedName>
    <definedName name="D_B" localSheetId="55">#REF!</definedName>
    <definedName name="D_B" localSheetId="52">#REF!</definedName>
    <definedName name="D_B" localSheetId="51">#REF!</definedName>
    <definedName name="D_B" localSheetId="53">#REF!</definedName>
    <definedName name="D_B">#REF!</definedName>
    <definedName name="D_EDNA_B" localSheetId="50">[72]DA!#REF!</definedName>
    <definedName name="D_EDNA_B" localSheetId="47">[72]DA!#REF!</definedName>
    <definedName name="D_EDNA_B" localSheetId="44">[72]DA!#REF!</definedName>
    <definedName name="D_EDNA_B" localSheetId="45">[72]DA!#REF!</definedName>
    <definedName name="D_EDNA_B" localSheetId="46">[72]DA!#REF!</definedName>
    <definedName name="D_EDNA_B" localSheetId="37">[72]DA!#REF!</definedName>
    <definedName name="D_EDNA_B" localSheetId="40">[72]DA!#REF!</definedName>
    <definedName name="D_EDNA_B" localSheetId="54">[72]DA!#REF!</definedName>
    <definedName name="D_EDNA_B" localSheetId="55">[72]DA!#REF!</definedName>
    <definedName name="D_EDNA_B" localSheetId="52">[72]DA!#REF!</definedName>
    <definedName name="D_EDNA_B" localSheetId="51">[72]DA!#REF!</definedName>
    <definedName name="D_EDNA_B" localSheetId="53">[72]DA!#REF!</definedName>
    <definedName name="D_EDNA_B">[72]DA!#REF!</definedName>
    <definedName name="D_EDNA_D" localSheetId="50">[72]DA!#REF!</definedName>
    <definedName name="D_EDNA_D" localSheetId="47">[72]DA!#REF!</definedName>
    <definedName name="D_EDNA_D" localSheetId="44">[72]DA!#REF!</definedName>
    <definedName name="D_EDNA_D" localSheetId="45">[72]DA!#REF!</definedName>
    <definedName name="D_EDNA_D" localSheetId="46">[72]DA!#REF!</definedName>
    <definedName name="D_EDNA_D" localSheetId="37">[72]DA!#REF!</definedName>
    <definedName name="D_EDNA_D" localSheetId="40">[72]DA!#REF!</definedName>
    <definedName name="D_EDNA_D" localSheetId="54">[72]DA!#REF!</definedName>
    <definedName name="D_EDNA_D" localSheetId="55">[72]DA!#REF!</definedName>
    <definedName name="D_EDNA_D" localSheetId="52">[72]DA!#REF!</definedName>
    <definedName name="D_EDNA_D" localSheetId="51">[72]DA!#REF!</definedName>
    <definedName name="D_EDNA_D" localSheetId="53">[72]DA!#REF!</definedName>
    <definedName name="D_EDNA_D">[72]DA!#REF!</definedName>
    <definedName name="D_EDNA_T" localSheetId="50">[72]DA!#REF!</definedName>
    <definedName name="D_EDNA_T" localSheetId="47">[72]DA!#REF!</definedName>
    <definedName name="D_EDNA_T" localSheetId="44">[72]DA!#REF!</definedName>
    <definedName name="D_EDNA_T" localSheetId="45">[72]DA!#REF!</definedName>
    <definedName name="D_EDNA_T" localSheetId="46">[72]DA!#REF!</definedName>
    <definedName name="D_EDNA_T" localSheetId="37">[72]DA!#REF!</definedName>
    <definedName name="D_EDNA_T" localSheetId="40">[72]DA!#REF!</definedName>
    <definedName name="D_EDNA_T" localSheetId="54">[72]DA!#REF!</definedName>
    <definedName name="D_EDNA_T" localSheetId="55">[72]DA!#REF!</definedName>
    <definedName name="D_EDNA_T" localSheetId="52">[72]DA!#REF!</definedName>
    <definedName name="D_EDNA_T" localSheetId="51">[72]DA!#REF!</definedName>
    <definedName name="D_EDNA_T" localSheetId="53">[72]DA!#REF!</definedName>
    <definedName name="D_EDNA_T">[72]DA!#REF!</definedName>
    <definedName name="D_EDNE" localSheetId="50">[72]DA!#REF!</definedName>
    <definedName name="D_EDNE" localSheetId="47">[72]DA!#REF!</definedName>
    <definedName name="D_EDNE" localSheetId="44">[72]DA!#REF!</definedName>
    <definedName name="D_EDNE" localSheetId="45">[72]DA!#REF!</definedName>
    <definedName name="D_EDNE" localSheetId="46">[72]DA!#REF!</definedName>
    <definedName name="D_EDNE" localSheetId="37">[72]DA!#REF!</definedName>
    <definedName name="D_EDNE" localSheetId="40">[72]DA!#REF!</definedName>
    <definedName name="D_EDNE" localSheetId="54">[72]DA!#REF!</definedName>
    <definedName name="D_EDNE" localSheetId="55">[72]DA!#REF!</definedName>
    <definedName name="D_EDNE" localSheetId="52">[72]DA!#REF!</definedName>
    <definedName name="D_EDNE" localSheetId="51">[72]DA!#REF!</definedName>
    <definedName name="D_EDNE" localSheetId="53">[72]DA!#REF!</definedName>
    <definedName name="D_EDNE">[72]DA!#REF!</definedName>
    <definedName name="D_G" localSheetId="50">#REF!</definedName>
    <definedName name="D_G" localSheetId="47">#REF!</definedName>
    <definedName name="D_G" localSheetId="44">#REF!</definedName>
    <definedName name="D_G" localSheetId="45">#REF!</definedName>
    <definedName name="D_G" localSheetId="46">#REF!</definedName>
    <definedName name="D_G" localSheetId="37">#REF!</definedName>
    <definedName name="D_G" localSheetId="40">#REF!</definedName>
    <definedName name="D_G" localSheetId="54">#REF!</definedName>
    <definedName name="D_G" localSheetId="55">#REF!</definedName>
    <definedName name="D_G" localSheetId="52">#REF!</definedName>
    <definedName name="D_G" localSheetId="51">#REF!</definedName>
    <definedName name="D_G" localSheetId="53">#REF!</definedName>
    <definedName name="D_G">#REF!</definedName>
    <definedName name="D_Ind" localSheetId="50">#REF!</definedName>
    <definedName name="D_Ind" localSheetId="47">#REF!</definedName>
    <definedName name="D_Ind" localSheetId="44">#REF!</definedName>
    <definedName name="D_Ind" localSheetId="45">#REF!</definedName>
    <definedName name="D_Ind" localSheetId="46">#REF!</definedName>
    <definedName name="D_Ind" localSheetId="37">#REF!</definedName>
    <definedName name="D_Ind" localSheetId="40">#REF!</definedName>
    <definedName name="D_Ind" localSheetId="54">#REF!</definedName>
    <definedName name="D_Ind" localSheetId="55">#REF!</definedName>
    <definedName name="D_Ind" localSheetId="52">#REF!</definedName>
    <definedName name="D_Ind" localSheetId="51">#REF!</definedName>
    <definedName name="D_Ind" localSheetId="53">#REF!</definedName>
    <definedName name="D_Ind">#REF!</definedName>
    <definedName name="D_L" localSheetId="50">#REF!</definedName>
    <definedName name="D_L" localSheetId="47">#REF!</definedName>
    <definedName name="D_L" localSheetId="44">#REF!</definedName>
    <definedName name="D_L" localSheetId="45">#REF!</definedName>
    <definedName name="D_L" localSheetId="46">#REF!</definedName>
    <definedName name="D_L" localSheetId="37">#REF!</definedName>
    <definedName name="D_L" localSheetId="40">#REF!</definedName>
    <definedName name="D_L" localSheetId="54">#REF!</definedName>
    <definedName name="D_L" localSheetId="55">#REF!</definedName>
    <definedName name="D_L" localSheetId="52">#REF!</definedName>
    <definedName name="D_L" localSheetId="51">#REF!</definedName>
    <definedName name="D_L" localSheetId="53">#REF!</definedName>
    <definedName name="D_L">#REF!</definedName>
    <definedName name="D_O" localSheetId="50">#REF!</definedName>
    <definedName name="D_O" localSheetId="47">#REF!</definedName>
    <definedName name="D_O" localSheetId="44">#REF!</definedName>
    <definedName name="D_O" localSheetId="45">#REF!</definedName>
    <definedName name="D_O" localSheetId="46">#REF!</definedName>
    <definedName name="D_O" localSheetId="37">#REF!</definedName>
    <definedName name="D_O" localSheetId="40">#REF!</definedName>
    <definedName name="D_O" localSheetId="54">#REF!</definedName>
    <definedName name="D_O" localSheetId="55">#REF!</definedName>
    <definedName name="D_O" localSheetId="52">#REF!</definedName>
    <definedName name="D_O" localSheetId="51">#REF!</definedName>
    <definedName name="D_O" localSheetId="53">#REF!</definedName>
    <definedName name="D_O">#REF!</definedName>
    <definedName name="D_S" localSheetId="50">#REF!</definedName>
    <definedName name="D_S" localSheetId="47">#REF!</definedName>
    <definedName name="D_S" localSheetId="44">#REF!</definedName>
    <definedName name="D_S" localSheetId="45">#REF!</definedName>
    <definedName name="D_S" localSheetId="46">#REF!</definedName>
    <definedName name="D_S" localSheetId="37">#REF!</definedName>
    <definedName name="D_S" localSheetId="40">#REF!</definedName>
    <definedName name="D_S" localSheetId="54">#REF!</definedName>
    <definedName name="D_S" localSheetId="55">#REF!</definedName>
    <definedName name="D_S" localSheetId="52">#REF!</definedName>
    <definedName name="D_S" localSheetId="51">#REF!</definedName>
    <definedName name="D_S" localSheetId="53">#REF!</definedName>
    <definedName name="D_S">#REF!</definedName>
    <definedName name="D_SRM" localSheetId="50">#REF!</definedName>
    <definedName name="D_SRM" localSheetId="47">#REF!</definedName>
    <definedName name="D_SRM" localSheetId="44">#REF!</definedName>
    <definedName name="D_SRM" localSheetId="45">#REF!</definedName>
    <definedName name="D_SRM" localSheetId="46">#REF!</definedName>
    <definedName name="D_SRM" localSheetId="37">#REF!</definedName>
    <definedName name="D_SRM" localSheetId="40">#REF!</definedName>
    <definedName name="D_SRM" localSheetId="54">#REF!</definedName>
    <definedName name="D_SRM" localSheetId="55">#REF!</definedName>
    <definedName name="D_SRM" localSheetId="52">#REF!</definedName>
    <definedName name="D_SRM" localSheetId="51">#REF!</definedName>
    <definedName name="D_SRM" localSheetId="53">#REF!</definedName>
    <definedName name="D_SRM">#REF!</definedName>
    <definedName name="D_SY" localSheetId="50">#REF!</definedName>
    <definedName name="D_SY" localSheetId="47">#REF!</definedName>
    <definedName name="D_SY" localSheetId="44">#REF!</definedName>
    <definedName name="D_SY" localSheetId="45">#REF!</definedName>
    <definedName name="D_SY" localSheetId="46">#REF!</definedName>
    <definedName name="D_SY" localSheetId="37">#REF!</definedName>
    <definedName name="D_SY" localSheetId="40">#REF!</definedName>
    <definedName name="D_SY" localSheetId="54">#REF!</definedName>
    <definedName name="D_SY" localSheetId="55">#REF!</definedName>
    <definedName name="D_SY" localSheetId="52">#REF!</definedName>
    <definedName name="D_SY" localSheetId="51">#REF!</definedName>
    <definedName name="D_SY" localSheetId="53">#REF!</definedName>
    <definedName name="D_SY">#REF!</definedName>
    <definedName name="DA" localSheetId="34">#REF!</definedName>
    <definedName name="DA" localSheetId="35">#REF!</definedName>
    <definedName name="da" localSheetId="50">#REF!</definedName>
    <definedName name="DA" localSheetId="15">#REF!</definedName>
    <definedName name="DA" localSheetId="29">#REF!</definedName>
    <definedName name="DA" localSheetId="30">#REF!</definedName>
    <definedName name="DA" localSheetId="47">#REF!</definedName>
    <definedName name="da" localSheetId="44">#REF!</definedName>
    <definedName name="DA" localSheetId="45">#REF!</definedName>
    <definedName name="DA" localSheetId="46">#REF!</definedName>
    <definedName name="DA" localSheetId="31">#REF!</definedName>
    <definedName name="DA" localSheetId="32">#REF!</definedName>
    <definedName name="DA" localSheetId="33">#REF!</definedName>
    <definedName name="DA" localSheetId="36">#REF!</definedName>
    <definedName name="DA" localSheetId="37">#REF!</definedName>
    <definedName name="DA" localSheetId="38">#REF!</definedName>
    <definedName name="DA" localSheetId="39">#REF!</definedName>
    <definedName name="DA" localSheetId="40">#REF!</definedName>
    <definedName name="da" localSheetId="54">#REF!</definedName>
    <definedName name="DA" localSheetId="55">#REF!</definedName>
    <definedName name="da" localSheetId="52">#REF!</definedName>
    <definedName name="DA" localSheetId="23">#REF!</definedName>
    <definedName name="da" localSheetId="51">#REF!</definedName>
    <definedName name="DA" localSheetId="53">#REF!</definedName>
    <definedName name="DA" localSheetId="20">#REF!</definedName>
    <definedName name="DA">#REF!</definedName>
    <definedName name="DABproj">#N/A</definedName>
    <definedName name="DAGproj">#N/A</definedName>
    <definedName name="DAperc" localSheetId="34">#REF!</definedName>
    <definedName name="DAperc" localSheetId="35">#REF!</definedName>
    <definedName name="DAperc" localSheetId="50">#REF!</definedName>
    <definedName name="DAperc" localSheetId="15">#REF!</definedName>
    <definedName name="DAperc" localSheetId="29">#REF!</definedName>
    <definedName name="DAperc" localSheetId="30">#REF!</definedName>
    <definedName name="DAperc" localSheetId="47">#REF!</definedName>
    <definedName name="DAperc" localSheetId="44">#REF!</definedName>
    <definedName name="DAperc" localSheetId="45">#REF!</definedName>
    <definedName name="DAperc" localSheetId="46">#REF!</definedName>
    <definedName name="DAperc" localSheetId="31">#REF!</definedName>
    <definedName name="DAperc" localSheetId="32">#REF!</definedName>
    <definedName name="DAperc" localSheetId="33">#REF!</definedName>
    <definedName name="DAperc" localSheetId="36">#REF!</definedName>
    <definedName name="DAperc" localSheetId="37">#REF!</definedName>
    <definedName name="DAperc" localSheetId="38">#REF!</definedName>
    <definedName name="DAperc" localSheetId="39">#REF!</definedName>
    <definedName name="DAperc" localSheetId="40">#REF!</definedName>
    <definedName name="DAperc" localSheetId="54">#REF!</definedName>
    <definedName name="DAperc" localSheetId="55">#REF!</definedName>
    <definedName name="DAperc" localSheetId="52">#REF!</definedName>
    <definedName name="DAperc" localSheetId="23">#REF!</definedName>
    <definedName name="DAperc" localSheetId="51">#REF!</definedName>
    <definedName name="DAperc" localSheetId="53">#REF!</definedName>
    <definedName name="DAperc" localSheetId="20">#REF!</definedName>
    <definedName name="DAperc">#REF!</definedName>
    <definedName name="DAproj">#N/A</definedName>
    <definedName name="DASD">#N/A</definedName>
    <definedName name="DASDB">#N/A</definedName>
    <definedName name="DASDG">#N/A</definedName>
    <definedName name="DATA_ILD_1" localSheetId="50">#REF!</definedName>
    <definedName name="DATA_ILD_1" localSheetId="47">#REF!</definedName>
    <definedName name="DATA_ILD_1" localSheetId="44">#REF!</definedName>
    <definedName name="DATA_ILD_1" localSheetId="45">#REF!</definedName>
    <definedName name="DATA_ILD_1" localSheetId="46">#REF!</definedName>
    <definedName name="DATA_ILD_1" localSheetId="37">#REF!</definedName>
    <definedName name="DATA_ILD_1" localSheetId="40">#REF!</definedName>
    <definedName name="DATA_ILD_1" localSheetId="54">#REF!</definedName>
    <definedName name="DATA_ILD_1" localSheetId="55">#REF!</definedName>
    <definedName name="DATA_ILD_1" localSheetId="52">#REF!</definedName>
    <definedName name="DATA_ILD_1" localSheetId="51">#REF!</definedName>
    <definedName name="DATA_ILD_1" localSheetId="53">#REF!</definedName>
    <definedName name="DATA_ILD_1">#REF!</definedName>
    <definedName name="DATA_ILD_2" localSheetId="50">#REF!</definedName>
    <definedName name="DATA_ILD_2" localSheetId="47">#REF!</definedName>
    <definedName name="DATA_ILD_2" localSheetId="44">#REF!</definedName>
    <definedName name="DATA_ILD_2" localSheetId="45">#REF!</definedName>
    <definedName name="DATA_ILD_2" localSheetId="46">#REF!</definedName>
    <definedName name="DATA_ILD_2" localSheetId="37">#REF!</definedName>
    <definedName name="DATA_ILD_2" localSheetId="40">#REF!</definedName>
    <definedName name="DATA_ILD_2" localSheetId="54">#REF!</definedName>
    <definedName name="DATA_ILD_2" localSheetId="55">#REF!</definedName>
    <definedName name="DATA_ILD_2" localSheetId="52">#REF!</definedName>
    <definedName name="DATA_ILD_2" localSheetId="51">#REF!</definedName>
    <definedName name="DATA_ILD_2" localSheetId="53">#REF!</definedName>
    <definedName name="DATA_ILD_2">#REF!</definedName>
    <definedName name="_xlnm.Database" localSheetId="34">#REF!</definedName>
    <definedName name="_xlnm.Database" localSheetId="35">#REF!</definedName>
    <definedName name="_xlnm.Database" localSheetId="50">#REF!</definedName>
    <definedName name="_xlnm.Database" localSheetId="15">#REF!</definedName>
    <definedName name="_xlnm.Database" localSheetId="27">#REF!</definedName>
    <definedName name="_xlnm.Database" localSheetId="24">#REF!</definedName>
    <definedName name="_xlnm.Database" localSheetId="26">#REF!</definedName>
    <definedName name="_xlnm.Database" localSheetId="43">#REF!</definedName>
    <definedName name="_xlnm.Database" localSheetId="29">#REF!</definedName>
    <definedName name="_xlnm.Database" localSheetId="30">#REF!</definedName>
    <definedName name="_xlnm.Database" localSheetId="47">#REF!</definedName>
    <definedName name="_xlnm.Database" localSheetId="44">#REF!</definedName>
    <definedName name="_xlnm.Database" localSheetId="45">#REF!</definedName>
    <definedName name="_xlnm.Database" localSheetId="46">#REF!</definedName>
    <definedName name="_xlnm.Database" localSheetId="31">#REF!</definedName>
    <definedName name="_xlnm.Database" localSheetId="32">#REF!</definedName>
    <definedName name="_xlnm.Database" localSheetId="33">#REF!</definedName>
    <definedName name="_xlnm.Database" localSheetId="36">#REF!</definedName>
    <definedName name="_xlnm.Database" localSheetId="37">#REF!</definedName>
    <definedName name="_xlnm.Database" localSheetId="38">#REF!</definedName>
    <definedName name="_xlnm.Database" localSheetId="39">#REF!</definedName>
    <definedName name="_xlnm.Database" localSheetId="40">#REF!</definedName>
    <definedName name="_xlnm.Database" localSheetId="25">#REF!</definedName>
    <definedName name="_xlnm.Database" localSheetId="54">#REF!</definedName>
    <definedName name="_xlnm.Database" localSheetId="55">#REF!</definedName>
    <definedName name="_xlnm.Database" localSheetId="52">#REF!</definedName>
    <definedName name="_xlnm.Database" localSheetId="23">#REF!</definedName>
    <definedName name="_xlnm.Database" localSheetId="51">#REF!</definedName>
    <definedName name="_xlnm.Database" localSheetId="12">#REF!</definedName>
    <definedName name="_xlnm.Database" localSheetId="53">#REF!</definedName>
    <definedName name="_xlnm.Database" localSheetId="20">#REF!</definedName>
    <definedName name="_xlnm.Database">#REF!</definedName>
    <definedName name="DataCheck">'[57]Sector Summary'!$V$21:$V$50,'[57]Sector Summary'!$V$56:$V$89,'[57]Sector Summary'!$AG$97:$AG$119,'[57]Sector Summary'!$AG$126:$AG$145</definedName>
    <definedName name="Dataexp" localSheetId="50">#REF!</definedName>
    <definedName name="Dataexp" localSheetId="47">#REF!</definedName>
    <definedName name="Dataexp" localSheetId="44">#REF!</definedName>
    <definedName name="Dataexp" localSheetId="45">#REF!</definedName>
    <definedName name="Dataexp" localSheetId="46">#REF!</definedName>
    <definedName name="Dataexp" localSheetId="37">#REF!</definedName>
    <definedName name="Dataexp" localSheetId="40">#REF!</definedName>
    <definedName name="Dataexp" localSheetId="54">#REF!</definedName>
    <definedName name="Dataexp" localSheetId="55">#REF!</definedName>
    <definedName name="Dataexp" localSheetId="52">#REF!</definedName>
    <definedName name="Dataexp" localSheetId="51">#REF!</definedName>
    <definedName name="Dataexp" localSheetId="53">#REF!</definedName>
    <definedName name="Dataexp">#REF!</definedName>
    <definedName name="Dataimp" localSheetId="50">#REF!</definedName>
    <definedName name="Dataimp" localSheetId="47">#REF!</definedName>
    <definedName name="Dataimp" localSheetId="44">#REF!</definedName>
    <definedName name="Dataimp" localSheetId="45">#REF!</definedName>
    <definedName name="Dataimp" localSheetId="46">#REF!</definedName>
    <definedName name="Dataimp" localSheetId="37">#REF!</definedName>
    <definedName name="Dataimp" localSheetId="40">#REF!</definedName>
    <definedName name="Dataimp" localSheetId="54">#REF!</definedName>
    <definedName name="Dataimp" localSheetId="55">#REF!</definedName>
    <definedName name="Dataimp" localSheetId="52">#REF!</definedName>
    <definedName name="Dataimp" localSheetId="51">#REF!</definedName>
    <definedName name="Dataimp" localSheetId="53">#REF!</definedName>
    <definedName name="Dataimp">#REF!</definedName>
    <definedName name="DataRange">'[57]Sector Summary'!$V$50,'[57]Sector Summary'!$V$89,'[57]Sector Summary'!$AG$119,'[57]Sector Summary'!$AG$145</definedName>
    <definedName name="date" localSheetId="50">#REF!</definedName>
    <definedName name="date" localSheetId="44">#REF!</definedName>
    <definedName name="date" localSheetId="54">#REF!</definedName>
    <definedName name="date" localSheetId="52">#REF!</definedName>
    <definedName name="date" localSheetId="51">#REF!</definedName>
    <definedName name="date" localSheetId="53">#REF!</definedName>
    <definedName name="Date">[71]Current!$D$67</definedName>
    <definedName name="DATES" localSheetId="34">[73]ARG!#REF!</definedName>
    <definedName name="DATES" localSheetId="35">[73]ARG!#REF!</definedName>
    <definedName name="DATES" localSheetId="50">#REF!</definedName>
    <definedName name="DATES" localSheetId="15">[73]ARG!#REF!</definedName>
    <definedName name="DATES" localSheetId="29">[73]ARG!#REF!</definedName>
    <definedName name="DATES" localSheetId="30">[73]ARG!#REF!</definedName>
    <definedName name="DATES" localSheetId="47">[73]ARG!#REF!</definedName>
    <definedName name="DATES" localSheetId="44">#REF!</definedName>
    <definedName name="DATES" localSheetId="45">[73]ARG!#REF!</definedName>
    <definedName name="DATES" localSheetId="46">[73]ARG!#REF!</definedName>
    <definedName name="DATES" localSheetId="31">[73]ARG!#REF!</definedName>
    <definedName name="DATES" localSheetId="32">[73]ARG!#REF!</definedName>
    <definedName name="DATES" localSheetId="33">[73]ARG!#REF!</definedName>
    <definedName name="DATES" localSheetId="36">[73]ARG!#REF!</definedName>
    <definedName name="DATES" localSheetId="37">[73]ARG!#REF!</definedName>
    <definedName name="DATES" localSheetId="38">[73]ARG!#REF!</definedName>
    <definedName name="DATES" localSheetId="39">[73]ARG!#REF!</definedName>
    <definedName name="DATES" localSheetId="40">[73]ARG!#REF!</definedName>
    <definedName name="DATES" localSheetId="54">#REF!</definedName>
    <definedName name="DATES" localSheetId="55">[73]ARG!#REF!</definedName>
    <definedName name="DATES" localSheetId="52">#REF!</definedName>
    <definedName name="DATES" localSheetId="23">[73]ARG!#REF!</definedName>
    <definedName name="DATES" localSheetId="51">#REF!</definedName>
    <definedName name="DATES" localSheetId="53">#REF!</definedName>
    <definedName name="DATES" localSheetId="20">[73]ARG!#REF!</definedName>
    <definedName name="DATES">[73]ARG!#REF!</definedName>
    <definedName name="dates_w" localSheetId="34">#REF!</definedName>
    <definedName name="dates_w" localSheetId="35">#REF!</definedName>
    <definedName name="dates_w" localSheetId="50">#REF!</definedName>
    <definedName name="dates_w" localSheetId="15">#REF!</definedName>
    <definedName name="dates_w" localSheetId="29">#REF!</definedName>
    <definedName name="dates_w" localSheetId="30">#REF!</definedName>
    <definedName name="dates_w" localSheetId="47">#REF!</definedName>
    <definedName name="dates_w" localSheetId="44">#REF!</definedName>
    <definedName name="dates_w" localSheetId="45">#REF!</definedName>
    <definedName name="dates_w" localSheetId="46">#REF!</definedName>
    <definedName name="dates_w" localSheetId="31">#REF!</definedName>
    <definedName name="dates_w" localSheetId="32">#REF!</definedName>
    <definedName name="dates_w" localSheetId="33">#REF!</definedName>
    <definedName name="dates_w" localSheetId="36">#REF!</definedName>
    <definedName name="dates_w" localSheetId="37">#REF!</definedName>
    <definedName name="dates_w" localSheetId="38">#REF!</definedName>
    <definedName name="dates_w" localSheetId="39">#REF!</definedName>
    <definedName name="dates_w" localSheetId="40">#REF!</definedName>
    <definedName name="dates_w" localSheetId="54">#REF!</definedName>
    <definedName name="dates_w" localSheetId="55">#REF!</definedName>
    <definedName name="dates_w" localSheetId="52">#REF!</definedName>
    <definedName name="dates_w" localSheetId="23">#REF!</definedName>
    <definedName name="dates_w" localSheetId="51">#REF!</definedName>
    <definedName name="dates_w" localSheetId="53">#REF!</definedName>
    <definedName name="dates_w" localSheetId="20">#REF!</definedName>
    <definedName name="dates_w">#REF!</definedName>
    <definedName name="Dates1" localSheetId="50">#REF!</definedName>
    <definedName name="Dates1" localSheetId="47">#REF!</definedName>
    <definedName name="Dates1" localSheetId="44">#REF!</definedName>
    <definedName name="Dates1" localSheetId="45">#REF!</definedName>
    <definedName name="Dates1" localSheetId="46">#REF!</definedName>
    <definedName name="Dates1" localSheetId="37">#REF!</definedName>
    <definedName name="Dates1" localSheetId="40">#REF!</definedName>
    <definedName name="Dates1" localSheetId="54">#REF!</definedName>
    <definedName name="Dates1" localSheetId="55">#REF!</definedName>
    <definedName name="Dates1" localSheetId="52">#REF!</definedName>
    <definedName name="Dates1" localSheetId="51">#REF!</definedName>
    <definedName name="Dates1" localSheetId="53">#REF!</definedName>
    <definedName name="Dates1">#REF!</definedName>
    <definedName name="datoact" localSheetId="34">#REF!</definedName>
    <definedName name="datoact" localSheetId="35">#REF!</definedName>
    <definedName name="datoact" localSheetId="50">#REF!</definedName>
    <definedName name="datoact" localSheetId="15">#REF!</definedName>
    <definedName name="datoact" localSheetId="29">#REF!</definedName>
    <definedName name="datoact" localSheetId="30">#REF!</definedName>
    <definedName name="datoact" localSheetId="47">#REF!</definedName>
    <definedName name="datoact" localSheetId="44">#REF!</definedName>
    <definedName name="datoact" localSheetId="45">#REF!</definedName>
    <definedName name="datoact" localSheetId="46">#REF!</definedName>
    <definedName name="datoact" localSheetId="31">#REF!</definedName>
    <definedName name="datoact" localSheetId="32">#REF!</definedName>
    <definedName name="datoact" localSheetId="33">#REF!</definedName>
    <definedName name="datoact" localSheetId="36">#REF!</definedName>
    <definedName name="datoact" localSheetId="37">#REF!</definedName>
    <definedName name="datoact" localSheetId="38">#REF!</definedName>
    <definedName name="datoact" localSheetId="39">#REF!</definedName>
    <definedName name="datoact" localSheetId="40">#REF!</definedName>
    <definedName name="datoact" localSheetId="54">#REF!</definedName>
    <definedName name="datoact" localSheetId="55">#REF!</definedName>
    <definedName name="datoact" localSheetId="52">#REF!</definedName>
    <definedName name="datoact" localSheetId="23">#REF!</definedName>
    <definedName name="datoact" localSheetId="51">#REF!</definedName>
    <definedName name="datoact" localSheetId="53">#REF!</definedName>
    <definedName name="datoact" localSheetId="20">#REF!</definedName>
    <definedName name="datoact">#REF!</definedName>
    <definedName name="daw" localSheetId="50">'[40]Add-Ins'!#REF!</definedName>
    <definedName name="daw" localSheetId="47">'[40]Add-Ins'!#REF!</definedName>
    <definedName name="daw" localSheetId="44">'[40]Add-Ins'!#REF!</definedName>
    <definedName name="daw" localSheetId="45">'[40]Add-Ins'!#REF!</definedName>
    <definedName name="daw" localSheetId="46">'[40]Add-Ins'!#REF!</definedName>
    <definedName name="daw" localSheetId="37">'[40]Add-Ins'!#REF!</definedName>
    <definedName name="daw" localSheetId="40">'[40]Add-Ins'!#REF!</definedName>
    <definedName name="daw" localSheetId="54">'[40]Add-Ins'!#REF!</definedName>
    <definedName name="daw" localSheetId="55">'[40]Add-Ins'!#REF!</definedName>
    <definedName name="daw" localSheetId="52">'[40]Add-Ins'!#REF!</definedName>
    <definedName name="daw" localSheetId="51">'[40]Add-Ins'!#REF!</definedName>
    <definedName name="daw" localSheetId="53">'[40]Add-Ins'!#REF!</definedName>
    <definedName name="daw">'[40]Add-Ins'!#REF!</definedName>
    <definedName name="DAYS_IN_WEEK" localSheetId="50">#REF!</definedName>
    <definedName name="DAYS_IN_WEEK" localSheetId="47">#REF!</definedName>
    <definedName name="DAYS_IN_WEEK" localSheetId="44">#REF!</definedName>
    <definedName name="DAYS_IN_WEEK" localSheetId="45">#REF!</definedName>
    <definedName name="DAYS_IN_WEEK" localSheetId="46">#REF!</definedName>
    <definedName name="DAYS_IN_WEEK" localSheetId="37">#REF!</definedName>
    <definedName name="DAYS_IN_WEEK" localSheetId="40">#REF!</definedName>
    <definedName name="DAYS_IN_WEEK" localSheetId="54">#REF!</definedName>
    <definedName name="DAYS_IN_WEEK" localSheetId="55">#REF!</definedName>
    <definedName name="DAYS_IN_WEEK" localSheetId="52">#REF!</definedName>
    <definedName name="DAYS_IN_WEEK" localSheetId="51">#REF!</definedName>
    <definedName name="DAYS_IN_WEEK" localSheetId="53">#REF!</definedName>
    <definedName name="DAYS_IN_WEEK">#REF!</definedName>
    <definedName name="days_in_week1" localSheetId="50">#REF!</definedName>
    <definedName name="days_in_week1" localSheetId="47">#REF!</definedName>
    <definedName name="days_in_week1" localSheetId="44">#REF!</definedName>
    <definedName name="days_in_week1" localSheetId="45">#REF!</definedName>
    <definedName name="days_in_week1" localSheetId="46">#REF!</definedName>
    <definedName name="days_in_week1" localSheetId="37">#REF!</definedName>
    <definedName name="days_in_week1" localSheetId="40">#REF!</definedName>
    <definedName name="days_in_week1" localSheetId="54">#REF!</definedName>
    <definedName name="days_in_week1" localSheetId="55">#REF!</definedName>
    <definedName name="days_in_week1" localSheetId="52">#REF!</definedName>
    <definedName name="days_in_week1" localSheetId="51">#REF!</definedName>
    <definedName name="days_in_week1" localSheetId="53">#REF!</definedName>
    <definedName name="days_in_week1">#REF!</definedName>
    <definedName name="days_till_rate_increase">[74]Admin!$B$11</definedName>
    <definedName name="DB" localSheetId="50">#REF!</definedName>
    <definedName name="DB" localSheetId="47">#REF!</definedName>
    <definedName name="DB" localSheetId="44">#REF!</definedName>
    <definedName name="DB" localSheetId="45">#REF!</definedName>
    <definedName name="DB" localSheetId="46">#REF!</definedName>
    <definedName name="DB" localSheetId="37">#REF!</definedName>
    <definedName name="DB" localSheetId="40">#REF!</definedName>
    <definedName name="DB" localSheetId="54">#REF!</definedName>
    <definedName name="DB" localSheetId="55">#REF!</definedName>
    <definedName name="DB" localSheetId="52">#REF!</definedName>
    <definedName name="DB" localSheetId="51">#REF!</definedName>
    <definedName name="DB" localSheetId="53">#REF!</definedName>
    <definedName name="DB">#REF!</definedName>
    <definedName name="DBName" localSheetId="50">#REF!</definedName>
    <definedName name="DBName" localSheetId="47">#REF!</definedName>
    <definedName name="DBName" localSheetId="44">#REF!</definedName>
    <definedName name="DBName" localSheetId="45">#REF!</definedName>
    <definedName name="DBName" localSheetId="46">#REF!</definedName>
    <definedName name="DBName" localSheetId="37">#REF!</definedName>
    <definedName name="DBName" localSheetId="40">#REF!</definedName>
    <definedName name="DBName" localSheetId="54">#REF!</definedName>
    <definedName name="DBName" localSheetId="55">#REF!</definedName>
    <definedName name="DBName" localSheetId="52">#REF!</definedName>
    <definedName name="DBName" localSheetId="51">#REF!</definedName>
    <definedName name="DBName" localSheetId="53">#REF!</definedName>
    <definedName name="DBName">#REF!</definedName>
    <definedName name="DBPassword" localSheetId="50">#REF!</definedName>
    <definedName name="DBPassword" localSheetId="47">#REF!</definedName>
    <definedName name="DBPassword" localSheetId="44">#REF!</definedName>
    <definedName name="DBPassword" localSheetId="45">#REF!</definedName>
    <definedName name="DBPassword" localSheetId="46">#REF!</definedName>
    <definedName name="DBPassword" localSheetId="37">#REF!</definedName>
    <definedName name="DBPassword" localSheetId="40">#REF!</definedName>
    <definedName name="DBPassword" localSheetId="54">#REF!</definedName>
    <definedName name="DBPassword" localSheetId="55">#REF!</definedName>
    <definedName name="DBPassword" localSheetId="52">#REF!</definedName>
    <definedName name="DBPassword" localSheetId="51">#REF!</definedName>
    <definedName name="DBPassword" localSheetId="53">#REF!</definedName>
    <definedName name="DBPassword">#REF!</definedName>
    <definedName name="DBproj">#N/A</definedName>
    <definedName name="DBServer" localSheetId="50">#REF!</definedName>
    <definedName name="DBServer" localSheetId="47">#REF!</definedName>
    <definedName name="DBServer" localSheetId="44">#REF!</definedName>
    <definedName name="DBServer" localSheetId="45">#REF!</definedName>
    <definedName name="DBServer" localSheetId="46">#REF!</definedName>
    <definedName name="DBServer" localSheetId="37">#REF!</definedName>
    <definedName name="DBServer" localSheetId="40">#REF!</definedName>
    <definedName name="DBServer" localSheetId="54">#REF!</definedName>
    <definedName name="DBServer" localSheetId="55">#REF!</definedName>
    <definedName name="DBServer" localSheetId="52">#REF!</definedName>
    <definedName name="DBServer" localSheetId="51">#REF!</definedName>
    <definedName name="DBServer" localSheetId="53">#REF!</definedName>
    <definedName name="DBServer">#REF!</definedName>
    <definedName name="DBUser" localSheetId="50">#REF!</definedName>
    <definedName name="DBUser" localSheetId="47">#REF!</definedName>
    <definedName name="DBUser" localSheetId="44">#REF!</definedName>
    <definedName name="DBUser" localSheetId="45">#REF!</definedName>
    <definedName name="DBUser" localSheetId="46">#REF!</definedName>
    <definedName name="DBUser" localSheetId="37">#REF!</definedName>
    <definedName name="DBUser" localSheetId="40">#REF!</definedName>
    <definedName name="DBUser" localSheetId="54">#REF!</definedName>
    <definedName name="DBUser" localSheetId="55">#REF!</definedName>
    <definedName name="DBUser" localSheetId="52">#REF!</definedName>
    <definedName name="DBUser" localSheetId="51">#REF!</definedName>
    <definedName name="DBUser" localSheetId="53">#REF!</definedName>
    <definedName name="DBUser">#REF!</definedName>
    <definedName name="dcc98j" localSheetId="34">[27]Programa!#REF!</definedName>
    <definedName name="dcc98j" localSheetId="35">[27]Programa!#REF!</definedName>
    <definedName name="dcc98j" localSheetId="50">[27]Programa!#REF!</definedName>
    <definedName name="dcc98j" localSheetId="15">[27]Programa!#REF!</definedName>
    <definedName name="dcc98j" localSheetId="29">[27]Programa!#REF!</definedName>
    <definedName name="dcc98j" localSheetId="30">[27]Programa!#REF!</definedName>
    <definedName name="dcc98j" localSheetId="47">[27]Programa!#REF!</definedName>
    <definedName name="dcc98j" localSheetId="44">[27]Programa!#REF!</definedName>
    <definedName name="dcc98j" localSheetId="45">[27]Programa!#REF!</definedName>
    <definedName name="dcc98j" localSheetId="46">[27]Programa!#REF!</definedName>
    <definedName name="dcc98j" localSheetId="31">[27]Programa!#REF!</definedName>
    <definedName name="dcc98j" localSheetId="32">[27]Programa!#REF!</definedName>
    <definedName name="dcc98j" localSheetId="33">[27]Programa!#REF!</definedName>
    <definedName name="dcc98j" localSheetId="36">[27]Programa!#REF!</definedName>
    <definedName name="dcc98j" localSheetId="37">[27]Programa!#REF!</definedName>
    <definedName name="dcc98j" localSheetId="38">[27]Programa!#REF!</definedName>
    <definedName name="dcc98j" localSheetId="39">[27]Programa!#REF!</definedName>
    <definedName name="dcc98j" localSheetId="40">[27]Programa!#REF!</definedName>
    <definedName name="dcc98j" localSheetId="54">[27]Programa!#REF!</definedName>
    <definedName name="dcc98j" localSheetId="55">[27]Programa!#REF!</definedName>
    <definedName name="dcc98j" localSheetId="52">[27]Programa!#REF!</definedName>
    <definedName name="dcc98j" localSheetId="23">[27]Programa!#REF!</definedName>
    <definedName name="dcc98j" localSheetId="51">[27]Programa!#REF!</definedName>
    <definedName name="dcc98j" localSheetId="53">[27]Programa!#REF!</definedName>
    <definedName name="dcc98j" localSheetId="20">[27]Programa!#REF!</definedName>
    <definedName name="dcc98j">[27]Programa!#REF!</definedName>
    <definedName name="dcsrate">'[52]Burn Rates'!$G$9</definedName>
    <definedName name="dd" localSheetId="58" hidden="1">{"Riqfin97",#N/A,FALSE,"Tran";"Riqfinpro",#N/A,FALSE,"Tran"}</definedName>
    <definedName name="dd" localSheetId="16" hidden="1">{"Riqfin97",#N/A,FALSE,"Tran";"Riqfinpro",#N/A,FALSE,"Tran"}</definedName>
    <definedName name="dd" localSheetId="61" hidden="1">{"Riqfin97",#N/A,FALSE,"Tran";"Riqfinpro",#N/A,FALSE,"Tran"}</definedName>
    <definedName name="dd" localSheetId="62" hidden="1">{"Riqfin97",#N/A,FALSE,"Tran";"Riqfinpro",#N/A,FALSE,"Tran"}</definedName>
    <definedName name="dd" localSheetId="50">'[39]Estimation Metrics'!$C$41:$D$52</definedName>
    <definedName name="dd" localSheetId="63" hidden="1">{"Riqfin97",#N/A,FALSE,"Tran";"Riqfinpro",#N/A,FALSE,"Tran"}</definedName>
    <definedName name="dd" localSheetId="15" hidden="1">{"Riqfin97",#N/A,FALSE,"Tran";"Riqfinpro",#N/A,FALSE,"Tran"}</definedName>
    <definedName name="dd" localSheetId="1" hidden="1">{"Riqfin97",#N/A,FALSE,"Tran";"Riqfinpro",#N/A,FALSE,"Tran"}</definedName>
    <definedName name="dd" localSheetId="43" hidden="1">{"Riqfin97",#N/A,FALSE,"Tran";"Riqfinpro",#N/A,FALSE,"Tran"}</definedName>
    <definedName name="dd" localSheetId="29" hidden="1">{"Riqfin97",#N/A,FALSE,"Tran";"Riqfinpro",#N/A,FALSE,"Tran"}</definedName>
    <definedName name="dd" localSheetId="30" hidden="1">{"Riqfin97",#N/A,FALSE,"Tran";"Riqfinpro",#N/A,FALSE,"Tran"}</definedName>
    <definedName name="dd" localSheetId="44">'[39]Estimation Metrics'!$C$41:$D$52</definedName>
    <definedName name="dd" localSheetId="59" hidden="1">{"Riqfin97",#N/A,FALSE,"Tran";"Riqfinpro",#N/A,FALSE,"Tran"}</definedName>
    <definedName name="dd" localSheetId="13" hidden="1">{"Riqfin97",#N/A,FALSE,"Tran";"Riqfinpro",#N/A,FALSE,"Tran"}</definedName>
    <definedName name="dd" localSheetId="0" hidden="1">{"Riqfin97",#N/A,FALSE,"Tran";"Riqfinpro",#N/A,FALSE,"Tran"}</definedName>
    <definedName name="dd" localSheetId="57" hidden="1">{"Riqfin97",#N/A,FALSE,"Tran";"Riqfinpro",#N/A,FALSE,"Tran"}</definedName>
    <definedName name="dd" localSheetId="56" hidden="1">{"Riqfin97",#N/A,FALSE,"Tran";"Riqfinpro",#N/A,FALSE,"Tran"}</definedName>
    <definedName name="dd" localSheetId="54">'[39]Estimation Metrics'!$C$41:$D$52</definedName>
    <definedName name="dd" localSheetId="52">'[39]Estimation Metrics'!$C$41:$D$52</definedName>
    <definedName name="dd" localSheetId="23" hidden="1">{"Riqfin97",#N/A,FALSE,"Tran";"Riqfinpro",#N/A,FALSE,"Tran"}</definedName>
    <definedName name="dd" localSheetId="51">'[39]Estimation Metrics'!$C$41:$D$52</definedName>
    <definedName name="dd" localSheetId="53">'[39]Estimation Metrics'!$C$41:$D$52</definedName>
    <definedName name="dd" localSheetId="60" hidden="1">{"Riqfin97",#N/A,FALSE,"Tran";"Riqfinpro",#N/A,FALSE,"Tran"}</definedName>
    <definedName name="dd" hidden="1">{"Riqfin97",#N/A,FALSE,"Tran";"Riqfinpro",#N/A,FALSE,"Tran"}</definedName>
    <definedName name="ddd" localSheetId="58" hidden="1">{"Riqfin97",#N/A,FALSE,"Tran";"Riqfinpro",#N/A,FALSE,"Tran"}</definedName>
    <definedName name="ddd" localSheetId="16" hidden="1">{"Riqfin97",#N/A,FALSE,"Tran";"Riqfinpro",#N/A,FALSE,"Tran"}</definedName>
    <definedName name="ddd" localSheetId="61" hidden="1">{"Riqfin97",#N/A,FALSE,"Tran";"Riqfinpro",#N/A,FALSE,"Tran"}</definedName>
    <definedName name="ddd" localSheetId="62" hidden="1">{"Riqfin97",#N/A,FALSE,"Tran";"Riqfinpro",#N/A,FALSE,"Tran"}</definedName>
    <definedName name="ddd" localSheetId="50" hidden="1">{"Riqfin97",#N/A,FALSE,"Tran";"Riqfinpro",#N/A,FALSE,"Tran"}</definedName>
    <definedName name="ddd" localSheetId="63" hidden="1">{"Riqfin97",#N/A,FALSE,"Tran";"Riqfinpro",#N/A,FALSE,"Tran"}</definedName>
    <definedName name="ddd" localSheetId="15" hidden="1">{"Riqfin97",#N/A,FALSE,"Tran";"Riqfinpro",#N/A,FALSE,"Tran"}</definedName>
    <definedName name="ddd" localSheetId="1" hidden="1">{"Riqfin97",#N/A,FALSE,"Tran";"Riqfinpro",#N/A,FALSE,"Tran"}</definedName>
    <definedName name="ddd" localSheetId="43" hidden="1">{"Riqfin97",#N/A,FALSE,"Tran";"Riqfinpro",#N/A,FALSE,"Tran"}</definedName>
    <definedName name="ddd" localSheetId="29" hidden="1">{"Riqfin97",#N/A,FALSE,"Tran";"Riqfinpro",#N/A,FALSE,"Tran"}</definedName>
    <definedName name="ddd" localSheetId="30" hidden="1">{"Riqfin97",#N/A,FALSE,"Tran";"Riqfinpro",#N/A,FALSE,"Tran"}</definedName>
    <definedName name="ddd" localSheetId="44" hidden="1">{"Riqfin97",#N/A,FALSE,"Tran";"Riqfinpro",#N/A,FALSE,"Tran"}</definedName>
    <definedName name="ddd" localSheetId="59" hidden="1">{"Riqfin97",#N/A,FALSE,"Tran";"Riqfinpro",#N/A,FALSE,"Tran"}</definedName>
    <definedName name="ddd" localSheetId="13" hidden="1">{"Riqfin97",#N/A,FALSE,"Tran";"Riqfinpro",#N/A,FALSE,"Tran"}</definedName>
    <definedName name="ddd" localSheetId="0" hidden="1">{"Riqfin97",#N/A,FALSE,"Tran";"Riqfinpro",#N/A,FALSE,"Tran"}</definedName>
    <definedName name="ddd" localSheetId="57" hidden="1">{"Riqfin97",#N/A,FALSE,"Tran";"Riqfinpro",#N/A,FALSE,"Tran"}</definedName>
    <definedName name="ddd" localSheetId="56" hidden="1">{"Riqfin97",#N/A,FALSE,"Tran";"Riqfinpro",#N/A,FALSE,"Tran"}</definedName>
    <definedName name="ddd" localSheetId="54" hidden="1">{"Riqfin97",#N/A,FALSE,"Tran";"Riqfinpro",#N/A,FALSE,"Tran"}</definedName>
    <definedName name="ddd" localSheetId="52" hidden="1">{"Riqfin97",#N/A,FALSE,"Tran";"Riqfinpro",#N/A,FALSE,"Tran"}</definedName>
    <definedName name="ddd" localSheetId="23" hidden="1">{"Riqfin97",#N/A,FALSE,"Tran";"Riqfinpro",#N/A,FALSE,"Tran"}</definedName>
    <definedName name="ddd" localSheetId="51" hidden="1">{"Riqfin97",#N/A,FALSE,"Tran";"Riqfinpro",#N/A,FALSE,"Tran"}</definedName>
    <definedName name="ddd" localSheetId="53" hidden="1">{"Riqfin97",#N/A,FALSE,"Tran";"Riqfinpro",#N/A,FALSE,"Tran"}</definedName>
    <definedName name="ddd" localSheetId="60" hidden="1">{"Riqfin97",#N/A,FALSE,"Tran";"Riqfinpro",#N/A,FALSE,"Tran"}</definedName>
    <definedName name="ddd" hidden="1">{"Riqfin97",#N/A,FALSE,"Tran";"Riqfinpro",#N/A,FALSE,"Tran"}</definedName>
    <definedName name="dddd" localSheetId="58" hidden="1">{"Minpmon",#N/A,FALSE,"Monthinput"}</definedName>
    <definedName name="dddd" localSheetId="16" hidden="1">{"Minpmon",#N/A,FALSE,"Monthinput"}</definedName>
    <definedName name="dddd" localSheetId="61" hidden="1">{"Minpmon",#N/A,FALSE,"Monthinput"}</definedName>
    <definedName name="dddd" localSheetId="62" hidden="1">{"Minpmon",#N/A,FALSE,"Monthinput"}</definedName>
    <definedName name="dddd" localSheetId="50" hidden="1">{"Minpmon",#N/A,FALSE,"Monthinput"}</definedName>
    <definedName name="dddd" localSheetId="63" hidden="1">{"Minpmon",#N/A,FALSE,"Monthinput"}</definedName>
    <definedName name="dddd" localSheetId="15" hidden="1">{"Minpmon",#N/A,FALSE,"Monthinput"}</definedName>
    <definedName name="dddd" localSheetId="1" hidden="1">{"Minpmon",#N/A,FALSE,"Monthinput"}</definedName>
    <definedName name="dddd" localSheetId="43" hidden="1">{"Minpmon",#N/A,FALSE,"Monthinput"}</definedName>
    <definedName name="dddd" localSheetId="29" hidden="1">{"Minpmon",#N/A,FALSE,"Monthinput"}</definedName>
    <definedName name="dddd" localSheetId="30" hidden="1">{"Minpmon",#N/A,FALSE,"Monthinput"}</definedName>
    <definedName name="dddd" localSheetId="44" hidden="1">{"Minpmon",#N/A,FALSE,"Monthinput"}</definedName>
    <definedName name="dddd" localSheetId="59" hidden="1">{"Minpmon",#N/A,FALSE,"Monthinput"}</definedName>
    <definedName name="dddd" localSheetId="13" hidden="1">{"Minpmon",#N/A,FALSE,"Monthinput"}</definedName>
    <definedName name="dddd" localSheetId="0" hidden="1">{"Minpmon",#N/A,FALSE,"Monthinput"}</definedName>
    <definedName name="dddd" localSheetId="57" hidden="1">{"Minpmon",#N/A,FALSE,"Monthinput"}</definedName>
    <definedName name="dddd" localSheetId="56" hidden="1">{"Minpmon",#N/A,FALSE,"Monthinput"}</definedName>
    <definedName name="dddd" localSheetId="54" hidden="1">{"Minpmon",#N/A,FALSE,"Monthinput"}</definedName>
    <definedName name="dddd" localSheetId="52" hidden="1">{"Minpmon",#N/A,FALSE,"Monthinput"}</definedName>
    <definedName name="dddd" localSheetId="23" hidden="1">{"Minpmon",#N/A,FALSE,"Monthinput"}</definedName>
    <definedName name="dddd" localSheetId="51" hidden="1">{"Minpmon",#N/A,FALSE,"Monthinput"}</definedName>
    <definedName name="dddd" localSheetId="53" hidden="1">{"Minpmon",#N/A,FALSE,"Monthinput"}</definedName>
    <definedName name="dddd" localSheetId="60" hidden="1">{"Minpmon",#N/A,FALSE,"Monthinput"}</definedName>
    <definedName name="dddd" hidden="1">{"Minpmon",#N/A,FALSE,"Monthinput"}</definedName>
    <definedName name="dddddd" localSheetId="58" hidden="1">{"Tab1",#N/A,FALSE,"P";"Tab2",#N/A,FALSE,"P"}</definedName>
    <definedName name="dddddd" localSheetId="16" hidden="1">{"Tab1",#N/A,FALSE,"P";"Tab2",#N/A,FALSE,"P"}</definedName>
    <definedName name="dddddd" localSheetId="61" hidden="1">{"Tab1",#N/A,FALSE,"P";"Tab2",#N/A,FALSE,"P"}</definedName>
    <definedName name="dddddd" localSheetId="62" hidden="1">{"Tab1",#N/A,FALSE,"P";"Tab2",#N/A,FALSE,"P"}</definedName>
    <definedName name="dddddd" localSheetId="50" hidden="1">{"Tab1",#N/A,FALSE,"P";"Tab2",#N/A,FALSE,"P"}</definedName>
    <definedName name="dddddd" localSheetId="63" hidden="1">{"Tab1",#N/A,FALSE,"P";"Tab2",#N/A,FALSE,"P"}</definedName>
    <definedName name="dddddd" localSheetId="15" hidden="1">{"Tab1",#N/A,FALSE,"P";"Tab2",#N/A,FALSE,"P"}</definedName>
    <definedName name="dddddd" localSheetId="1" hidden="1">{"Tab1",#N/A,FALSE,"P";"Tab2",#N/A,FALSE,"P"}</definedName>
    <definedName name="dddddd" localSheetId="43" hidden="1">{"Tab1",#N/A,FALSE,"P";"Tab2",#N/A,FALSE,"P"}</definedName>
    <definedName name="dddddd" localSheetId="29" hidden="1">{"Tab1",#N/A,FALSE,"P";"Tab2",#N/A,FALSE,"P"}</definedName>
    <definedName name="dddddd" localSheetId="30" hidden="1">{"Tab1",#N/A,FALSE,"P";"Tab2",#N/A,FALSE,"P"}</definedName>
    <definedName name="dddddd" localSheetId="44" hidden="1">{"Tab1",#N/A,FALSE,"P";"Tab2",#N/A,FALSE,"P"}</definedName>
    <definedName name="dddddd" localSheetId="59" hidden="1">{"Tab1",#N/A,FALSE,"P";"Tab2",#N/A,FALSE,"P"}</definedName>
    <definedName name="dddddd" localSheetId="13" hidden="1">{"Tab1",#N/A,FALSE,"P";"Tab2",#N/A,FALSE,"P"}</definedName>
    <definedName name="dddddd" localSheetId="0" hidden="1">{"Tab1",#N/A,FALSE,"P";"Tab2",#N/A,FALSE,"P"}</definedName>
    <definedName name="dddddd" localSheetId="57" hidden="1">{"Tab1",#N/A,FALSE,"P";"Tab2",#N/A,FALSE,"P"}</definedName>
    <definedName name="dddddd" localSheetId="56" hidden="1">{"Tab1",#N/A,FALSE,"P";"Tab2",#N/A,FALSE,"P"}</definedName>
    <definedName name="dddddd" localSheetId="54" hidden="1">{"Tab1",#N/A,FALSE,"P";"Tab2",#N/A,FALSE,"P"}</definedName>
    <definedName name="dddddd" localSheetId="52" hidden="1">{"Tab1",#N/A,FALSE,"P";"Tab2",#N/A,FALSE,"P"}</definedName>
    <definedName name="dddddd" localSheetId="23" hidden="1">{"Tab1",#N/A,FALSE,"P";"Tab2",#N/A,FALSE,"P"}</definedName>
    <definedName name="dddddd" localSheetId="51" hidden="1">{"Tab1",#N/A,FALSE,"P";"Tab2",#N/A,FALSE,"P"}</definedName>
    <definedName name="dddddd" localSheetId="53" hidden="1">{"Tab1",#N/A,FALSE,"P";"Tab2",#N/A,FALSE,"P"}</definedName>
    <definedName name="dddddd" localSheetId="60" hidden="1">{"Tab1",#N/A,FALSE,"P";"Tab2",#N/A,FALSE,"P"}</definedName>
    <definedName name="dddddd" hidden="1">{"Tab1",#N/A,FALSE,"P";"Tab2",#N/A,FALSE,"P"}</definedName>
    <definedName name="DEBRIEF" localSheetId="50">#REF!</definedName>
    <definedName name="DEBRIEF" localSheetId="47">#REF!</definedName>
    <definedName name="DEBRIEF" localSheetId="44">#REF!</definedName>
    <definedName name="DEBRIEF" localSheetId="45">#REF!</definedName>
    <definedName name="DEBRIEF" localSheetId="46">#REF!</definedName>
    <definedName name="DEBRIEF" localSheetId="37">#REF!</definedName>
    <definedName name="DEBRIEF" localSheetId="40">#REF!</definedName>
    <definedName name="DEBRIEF" localSheetId="54">#REF!</definedName>
    <definedName name="DEBRIEF" localSheetId="55">#REF!</definedName>
    <definedName name="DEBRIEF" localSheetId="52">#REF!</definedName>
    <definedName name="DEBRIEF" localSheetId="51">#REF!</definedName>
    <definedName name="DEBRIEF" localSheetId="53">#REF!</definedName>
    <definedName name="DEBRIEF">#REF!</definedName>
    <definedName name="debt" localSheetId="34">#REF!</definedName>
    <definedName name="debt" localSheetId="35">#REF!</definedName>
    <definedName name="DEBT" localSheetId="50">#REF!</definedName>
    <definedName name="debt" localSheetId="15">#REF!</definedName>
    <definedName name="debt" localSheetId="29">#REF!</definedName>
    <definedName name="debt" localSheetId="30">#REF!</definedName>
    <definedName name="debt" localSheetId="47">#REF!</definedName>
    <definedName name="DEBT" localSheetId="44">#REF!</definedName>
    <definedName name="debt" localSheetId="45">#REF!</definedName>
    <definedName name="debt" localSheetId="46">#REF!</definedName>
    <definedName name="debt" localSheetId="31">#REF!</definedName>
    <definedName name="debt" localSheetId="32">#REF!</definedName>
    <definedName name="debt" localSheetId="33">#REF!</definedName>
    <definedName name="debt" localSheetId="36">#REF!</definedName>
    <definedName name="debt" localSheetId="37">#REF!</definedName>
    <definedName name="debt" localSheetId="38">#REF!</definedName>
    <definedName name="debt" localSheetId="39">#REF!</definedName>
    <definedName name="debt" localSheetId="40">#REF!</definedName>
    <definedName name="DEBT" localSheetId="54">#REF!</definedName>
    <definedName name="debt" localSheetId="55">#REF!</definedName>
    <definedName name="DEBT" localSheetId="52">#REF!</definedName>
    <definedName name="debt" localSheetId="23">#REF!</definedName>
    <definedName name="DEBT" localSheetId="51">#REF!</definedName>
    <definedName name="debt" localSheetId="53">#REF!</definedName>
    <definedName name="debt" localSheetId="20">#REF!</definedName>
    <definedName name="debt">#REF!</definedName>
    <definedName name="DEBT1" localSheetId="34">#REF!</definedName>
    <definedName name="DEBT1" localSheetId="35">#REF!</definedName>
    <definedName name="DEBT1" localSheetId="50">#REF!</definedName>
    <definedName name="DEBT1" localSheetId="15">#REF!</definedName>
    <definedName name="DEBT1" localSheetId="29">#REF!</definedName>
    <definedName name="DEBT1" localSheetId="30">#REF!</definedName>
    <definedName name="DEBT1" localSheetId="47">#REF!</definedName>
    <definedName name="DEBT1" localSheetId="44">#REF!</definedName>
    <definedName name="DEBT1" localSheetId="45">#REF!</definedName>
    <definedName name="DEBT1" localSheetId="46">#REF!</definedName>
    <definedName name="DEBT1" localSheetId="31">#REF!</definedName>
    <definedName name="DEBT1" localSheetId="32">#REF!</definedName>
    <definedName name="DEBT1" localSheetId="33">#REF!</definedName>
    <definedName name="DEBT1" localSheetId="36">#REF!</definedName>
    <definedName name="DEBT1" localSheetId="37">#REF!</definedName>
    <definedName name="DEBT1" localSheetId="38">#REF!</definedName>
    <definedName name="DEBT1" localSheetId="39">#REF!</definedName>
    <definedName name="DEBT1" localSheetId="40">#REF!</definedName>
    <definedName name="DEBT1" localSheetId="54">#REF!</definedName>
    <definedName name="DEBT1" localSheetId="55">#REF!</definedName>
    <definedName name="DEBT1" localSheetId="52">#REF!</definedName>
    <definedName name="DEBT1" localSheetId="23">#REF!</definedName>
    <definedName name="DEBT1" localSheetId="51">#REF!</definedName>
    <definedName name="DEBT1" localSheetId="53">#REF!</definedName>
    <definedName name="DEBT1" localSheetId="20">#REF!</definedName>
    <definedName name="DEBT1">#REF!</definedName>
    <definedName name="DEBT10" localSheetId="34">#REF!</definedName>
    <definedName name="DEBT10" localSheetId="35">#REF!</definedName>
    <definedName name="DEBT10" localSheetId="50">#REF!</definedName>
    <definedName name="DEBT10" localSheetId="15">#REF!</definedName>
    <definedName name="DEBT10" localSheetId="29">#REF!</definedName>
    <definedName name="DEBT10" localSheetId="30">#REF!</definedName>
    <definedName name="DEBT10" localSheetId="47">#REF!</definedName>
    <definedName name="DEBT10" localSheetId="44">#REF!</definedName>
    <definedName name="DEBT10" localSheetId="45">#REF!</definedName>
    <definedName name="DEBT10" localSheetId="46">#REF!</definedName>
    <definedName name="DEBT10" localSheetId="31">#REF!</definedName>
    <definedName name="DEBT10" localSheetId="32">#REF!</definedName>
    <definedName name="DEBT10" localSheetId="33">#REF!</definedName>
    <definedName name="DEBT10" localSheetId="36">#REF!</definedName>
    <definedName name="DEBT10" localSheetId="37">#REF!</definedName>
    <definedName name="DEBT10" localSheetId="38">#REF!</definedName>
    <definedName name="DEBT10" localSheetId="39">#REF!</definedName>
    <definedName name="DEBT10" localSheetId="40">#REF!</definedName>
    <definedName name="DEBT10" localSheetId="54">#REF!</definedName>
    <definedName name="DEBT10" localSheetId="55">#REF!</definedName>
    <definedName name="DEBT10" localSheetId="52">#REF!</definedName>
    <definedName name="DEBT10" localSheetId="23">#REF!</definedName>
    <definedName name="DEBT10" localSheetId="51">#REF!</definedName>
    <definedName name="DEBT10" localSheetId="53">#REF!</definedName>
    <definedName name="DEBT10" localSheetId="20">#REF!</definedName>
    <definedName name="DEBT10">#REF!</definedName>
    <definedName name="DEBT11" localSheetId="34">#REF!</definedName>
    <definedName name="DEBT11" localSheetId="35">#REF!</definedName>
    <definedName name="DEBT11" localSheetId="50">#REF!</definedName>
    <definedName name="DEBT11" localSheetId="15">#REF!</definedName>
    <definedName name="DEBT11" localSheetId="29">#REF!</definedName>
    <definedName name="DEBT11" localSheetId="30">#REF!</definedName>
    <definedName name="DEBT11" localSheetId="47">#REF!</definedName>
    <definedName name="DEBT11" localSheetId="44">#REF!</definedName>
    <definedName name="DEBT11" localSheetId="45">#REF!</definedName>
    <definedName name="DEBT11" localSheetId="46">#REF!</definedName>
    <definedName name="DEBT11" localSheetId="31">#REF!</definedName>
    <definedName name="DEBT11" localSheetId="32">#REF!</definedName>
    <definedName name="DEBT11" localSheetId="33">#REF!</definedName>
    <definedName name="DEBT11" localSheetId="36">#REF!</definedName>
    <definedName name="DEBT11" localSheetId="37">#REF!</definedName>
    <definedName name="DEBT11" localSheetId="38">#REF!</definedName>
    <definedName name="DEBT11" localSheetId="39">#REF!</definedName>
    <definedName name="DEBT11" localSheetId="40">#REF!</definedName>
    <definedName name="DEBT11" localSheetId="54">#REF!</definedName>
    <definedName name="DEBT11" localSheetId="55">#REF!</definedName>
    <definedName name="DEBT11" localSheetId="52">#REF!</definedName>
    <definedName name="DEBT11" localSheetId="23">#REF!</definedName>
    <definedName name="DEBT11" localSheetId="51">#REF!</definedName>
    <definedName name="DEBT11" localSheetId="53">#REF!</definedName>
    <definedName name="DEBT11" localSheetId="20">#REF!</definedName>
    <definedName name="DEBT11">#REF!</definedName>
    <definedName name="DEBT12" localSheetId="34">#REF!</definedName>
    <definedName name="DEBT12" localSheetId="35">#REF!</definedName>
    <definedName name="DEBT12" localSheetId="50">#REF!</definedName>
    <definedName name="DEBT12" localSheetId="15">#REF!</definedName>
    <definedName name="DEBT12" localSheetId="29">#REF!</definedName>
    <definedName name="DEBT12" localSheetId="30">#REF!</definedName>
    <definedName name="DEBT12" localSheetId="47">#REF!</definedName>
    <definedName name="DEBT12" localSheetId="44">#REF!</definedName>
    <definedName name="DEBT12" localSheetId="45">#REF!</definedName>
    <definedName name="DEBT12" localSheetId="46">#REF!</definedName>
    <definedName name="DEBT12" localSheetId="31">#REF!</definedName>
    <definedName name="DEBT12" localSheetId="32">#REF!</definedName>
    <definedName name="DEBT12" localSheetId="33">#REF!</definedName>
    <definedName name="DEBT12" localSheetId="36">#REF!</definedName>
    <definedName name="DEBT12" localSheetId="37">#REF!</definedName>
    <definedName name="DEBT12" localSheetId="38">#REF!</definedName>
    <definedName name="DEBT12" localSheetId="39">#REF!</definedName>
    <definedName name="DEBT12" localSheetId="40">#REF!</definedName>
    <definedName name="DEBT12" localSheetId="54">#REF!</definedName>
    <definedName name="DEBT12" localSheetId="55">#REF!</definedName>
    <definedName name="DEBT12" localSheetId="52">#REF!</definedName>
    <definedName name="DEBT12" localSheetId="23">#REF!</definedName>
    <definedName name="DEBT12" localSheetId="51">#REF!</definedName>
    <definedName name="DEBT12" localSheetId="53">#REF!</definedName>
    <definedName name="DEBT12" localSheetId="20">#REF!</definedName>
    <definedName name="DEBT12">#REF!</definedName>
    <definedName name="DEBT13" localSheetId="34">#REF!</definedName>
    <definedName name="DEBT13" localSheetId="35">#REF!</definedName>
    <definedName name="DEBT13" localSheetId="50">#REF!</definedName>
    <definedName name="DEBT13" localSheetId="15">#REF!</definedName>
    <definedName name="DEBT13" localSheetId="29">#REF!</definedName>
    <definedName name="DEBT13" localSheetId="30">#REF!</definedName>
    <definedName name="DEBT13" localSheetId="47">#REF!</definedName>
    <definedName name="DEBT13" localSheetId="44">#REF!</definedName>
    <definedName name="DEBT13" localSheetId="45">#REF!</definedName>
    <definedName name="DEBT13" localSheetId="46">#REF!</definedName>
    <definedName name="DEBT13" localSheetId="31">#REF!</definedName>
    <definedName name="DEBT13" localSheetId="32">#REF!</definedName>
    <definedName name="DEBT13" localSheetId="33">#REF!</definedName>
    <definedName name="DEBT13" localSheetId="36">#REF!</definedName>
    <definedName name="DEBT13" localSheetId="37">#REF!</definedName>
    <definedName name="DEBT13" localSheetId="38">#REF!</definedName>
    <definedName name="DEBT13" localSheetId="39">#REF!</definedName>
    <definedName name="DEBT13" localSheetId="40">#REF!</definedName>
    <definedName name="DEBT13" localSheetId="54">#REF!</definedName>
    <definedName name="DEBT13" localSheetId="55">#REF!</definedName>
    <definedName name="DEBT13" localSheetId="52">#REF!</definedName>
    <definedName name="DEBT13" localSheetId="23">#REF!</definedName>
    <definedName name="DEBT13" localSheetId="51">#REF!</definedName>
    <definedName name="DEBT13" localSheetId="53">#REF!</definedName>
    <definedName name="DEBT13" localSheetId="20">#REF!</definedName>
    <definedName name="DEBT13">#REF!</definedName>
    <definedName name="DEBT14" localSheetId="34">#REF!</definedName>
    <definedName name="DEBT14" localSheetId="35">#REF!</definedName>
    <definedName name="DEBT14" localSheetId="50">#REF!</definedName>
    <definedName name="DEBT14" localSheetId="15">#REF!</definedName>
    <definedName name="DEBT14" localSheetId="29">#REF!</definedName>
    <definedName name="DEBT14" localSheetId="30">#REF!</definedName>
    <definedName name="DEBT14" localSheetId="47">#REF!</definedName>
    <definedName name="DEBT14" localSheetId="44">#REF!</definedName>
    <definedName name="DEBT14" localSheetId="45">#REF!</definedName>
    <definedName name="DEBT14" localSheetId="46">#REF!</definedName>
    <definedName name="DEBT14" localSheetId="31">#REF!</definedName>
    <definedName name="DEBT14" localSheetId="32">#REF!</definedName>
    <definedName name="DEBT14" localSheetId="33">#REF!</definedName>
    <definedName name="DEBT14" localSheetId="36">#REF!</definedName>
    <definedName name="DEBT14" localSheetId="37">#REF!</definedName>
    <definedName name="DEBT14" localSheetId="38">#REF!</definedName>
    <definedName name="DEBT14" localSheetId="39">#REF!</definedName>
    <definedName name="DEBT14" localSheetId="40">#REF!</definedName>
    <definedName name="DEBT14" localSheetId="54">#REF!</definedName>
    <definedName name="DEBT14" localSheetId="55">#REF!</definedName>
    <definedName name="DEBT14" localSheetId="52">#REF!</definedName>
    <definedName name="DEBT14" localSheetId="23">#REF!</definedName>
    <definedName name="DEBT14" localSheetId="51">#REF!</definedName>
    <definedName name="DEBT14" localSheetId="53">#REF!</definedName>
    <definedName name="DEBT14" localSheetId="20">#REF!</definedName>
    <definedName name="DEBT14">#REF!</definedName>
    <definedName name="DEBT15" localSheetId="34">#REF!</definedName>
    <definedName name="DEBT15" localSheetId="35">#REF!</definedName>
    <definedName name="DEBT15" localSheetId="50">#REF!</definedName>
    <definedName name="DEBT15" localSheetId="15">#REF!</definedName>
    <definedName name="DEBT15" localSheetId="29">#REF!</definedName>
    <definedName name="DEBT15" localSheetId="30">#REF!</definedName>
    <definedName name="DEBT15" localSheetId="47">#REF!</definedName>
    <definedName name="DEBT15" localSheetId="44">#REF!</definedName>
    <definedName name="DEBT15" localSheetId="45">#REF!</definedName>
    <definedName name="DEBT15" localSheetId="46">#REF!</definedName>
    <definedName name="DEBT15" localSheetId="31">#REF!</definedName>
    <definedName name="DEBT15" localSheetId="32">#REF!</definedName>
    <definedName name="DEBT15" localSheetId="33">#REF!</definedName>
    <definedName name="DEBT15" localSheetId="36">#REF!</definedName>
    <definedName name="DEBT15" localSheetId="37">#REF!</definedName>
    <definedName name="DEBT15" localSheetId="38">#REF!</definedName>
    <definedName name="DEBT15" localSheetId="39">#REF!</definedName>
    <definedName name="DEBT15" localSheetId="40">#REF!</definedName>
    <definedName name="DEBT15" localSheetId="54">#REF!</definedName>
    <definedName name="DEBT15" localSheetId="55">#REF!</definedName>
    <definedName name="DEBT15" localSheetId="52">#REF!</definedName>
    <definedName name="DEBT15" localSheetId="23">#REF!</definedName>
    <definedName name="DEBT15" localSheetId="51">#REF!</definedName>
    <definedName name="DEBT15" localSheetId="53">#REF!</definedName>
    <definedName name="DEBT15" localSheetId="20">#REF!</definedName>
    <definedName name="DEBT15">#REF!</definedName>
    <definedName name="DEBT16" localSheetId="34">#REF!</definedName>
    <definedName name="DEBT16" localSheetId="35">#REF!</definedName>
    <definedName name="DEBT16" localSheetId="50">#REF!</definedName>
    <definedName name="DEBT16" localSheetId="15">#REF!</definedName>
    <definedName name="DEBT16" localSheetId="29">#REF!</definedName>
    <definedName name="DEBT16" localSheetId="30">#REF!</definedName>
    <definedName name="DEBT16" localSheetId="47">#REF!</definedName>
    <definedName name="DEBT16" localSheetId="44">#REF!</definedName>
    <definedName name="DEBT16" localSheetId="45">#REF!</definedName>
    <definedName name="DEBT16" localSheetId="46">#REF!</definedName>
    <definedName name="DEBT16" localSheetId="31">#REF!</definedName>
    <definedName name="DEBT16" localSheetId="32">#REF!</definedName>
    <definedName name="DEBT16" localSheetId="33">#REF!</definedName>
    <definedName name="DEBT16" localSheetId="36">#REF!</definedName>
    <definedName name="DEBT16" localSheetId="37">#REF!</definedName>
    <definedName name="DEBT16" localSheetId="38">#REF!</definedName>
    <definedName name="DEBT16" localSheetId="39">#REF!</definedName>
    <definedName name="DEBT16" localSheetId="40">#REF!</definedName>
    <definedName name="DEBT16" localSheetId="54">#REF!</definedName>
    <definedName name="DEBT16" localSheetId="55">#REF!</definedName>
    <definedName name="DEBT16" localSheetId="52">#REF!</definedName>
    <definedName name="DEBT16" localSheetId="23">#REF!</definedName>
    <definedName name="DEBT16" localSheetId="51">#REF!</definedName>
    <definedName name="DEBT16" localSheetId="53">#REF!</definedName>
    <definedName name="DEBT16" localSheetId="20">#REF!</definedName>
    <definedName name="DEBT16">#REF!</definedName>
    <definedName name="DEBT2" localSheetId="34">#REF!</definedName>
    <definedName name="DEBT2" localSheetId="35">#REF!</definedName>
    <definedName name="DEBT2" localSheetId="50">#REF!</definedName>
    <definedName name="DEBT2" localSheetId="15">#REF!</definedName>
    <definedName name="DEBT2" localSheetId="29">#REF!</definedName>
    <definedName name="DEBT2" localSheetId="30">#REF!</definedName>
    <definedName name="DEBT2" localSheetId="47">#REF!</definedName>
    <definedName name="DEBT2" localSheetId="44">#REF!</definedName>
    <definedName name="DEBT2" localSheetId="45">#REF!</definedName>
    <definedName name="DEBT2" localSheetId="46">#REF!</definedName>
    <definedName name="DEBT2" localSheetId="31">#REF!</definedName>
    <definedName name="DEBT2" localSheetId="32">#REF!</definedName>
    <definedName name="DEBT2" localSheetId="33">#REF!</definedName>
    <definedName name="DEBT2" localSheetId="36">#REF!</definedName>
    <definedName name="DEBT2" localSheetId="37">#REF!</definedName>
    <definedName name="DEBT2" localSheetId="38">#REF!</definedName>
    <definedName name="DEBT2" localSheetId="39">#REF!</definedName>
    <definedName name="DEBT2" localSheetId="40">#REF!</definedName>
    <definedName name="DEBT2" localSheetId="54">#REF!</definedName>
    <definedName name="DEBT2" localSheetId="55">#REF!</definedName>
    <definedName name="DEBT2" localSheetId="52">#REF!</definedName>
    <definedName name="DEBT2" localSheetId="23">#REF!</definedName>
    <definedName name="DEBT2" localSheetId="51">#REF!</definedName>
    <definedName name="DEBT2" localSheetId="53">#REF!</definedName>
    <definedName name="DEBT2" localSheetId="20">#REF!</definedName>
    <definedName name="DEBT2">#REF!</definedName>
    <definedName name="DEBT3" localSheetId="34">#REF!</definedName>
    <definedName name="DEBT3" localSheetId="35">#REF!</definedName>
    <definedName name="DEBT3" localSheetId="50">#REF!</definedName>
    <definedName name="DEBT3" localSheetId="15">#REF!</definedName>
    <definedName name="DEBT3" localSheetId="29">#REF!</definedName>
    <definedName name="DEBT3" localSheetId="30">#REF!</definedName>
    <definedName name="DEBT3" localSheetId="47">#REF!</definedName>
    <definedName name="DEBT3" localSheetId="44">#REF!</definedName>
    <definedName name="DEBT3" localSheetId="45">#REF!</definedName>
    <definedName name="DEBT3" localSheetId="46">#REF!</definedName>
    <definedName name="DEBT3" localSheetId="31">#REF!</definedName>
    <definedName name="DEBT3" localSheetId="32">#REF!</definedName>
    <definedName name="DEBT3" localSheetId="33">#REF!</definedName>
    <definedName name="DEBT3" localSheetId="36">#REF!</definedName>
    <definedName name="DEBT3" localSheetId="37">#REF!</definedName>
    <definedName name="DEBT3" localSheetId="38">#REF!</definedName>
    <definedName name="DEBT3" localSheetId="39">#REF!</definedName>
    <definedName name="DEBT3" localSheetId="40">#REF!</definedName>
    <definedName name="DEBT3" localSheetId="54">#REF!</definedName>
    <definedName name="DEBT3" localSheetId="55">#REF!</definedName>
    <definedName name="DEBT3" localSheetId="52">#REF!</definedName>
    <definedName name="DEBT3" localSheetId="23">#REF!</definedName>
    <definedName name="DEBT3" localSheetId="51">#REF!</definedName>
    <definedName name="DEBT3" localSheetId="53">#REF!</definedName>
    <definedName name="DEBT3" localSheetId="20">#REF!</definedName>
    <definedName name="DEBT3">#REF!</definedName>
    <definedName name="DEBT4" localSheetId="34">#REF!</definedName>
    <definedName name="DEBT4" localSheetId="35">#REF!</definedName>
    <definedName name="DEBT4" localSheetId="50">#REF!</definedName>
    <definedName name="DEBT4" localSheetId="15">#REF!</definedName>
    <definedName name="DEBT4" localSheetId="29">#REF!</definedName>
    <definedName name="DEBT4" localSheetId="30">#REF!</definedName>
    <definedName name="DEBT4" localSheetId="47">#REF!</definedName>
    <definedName name="DEBT4" localSheetId="44">#REF!</definedName>
    <definedName name="DEBT4" localSheetId="45">#REF!</definedName>
    <definedName name="DEBT4" localSheetId="46">#REF!</definedName>
    <definedName name="DEBT4" localSheetId="31">#REF!</definedName>
    <definedName name="DEBT4" localSheetId="32">#REF!</definedName>
    <definedName name="DEBT4" localSheetId="33">#REF!</definedName>
    <definedName name="DEBT4" localSheetId="36">#REF!</definedName>
    <definedName name="DEBT4" localSheetId="37">#REF!</definedName>
    <definedName name="DEBT4" localSheetId="38">#REF!</definedName>
    <definedName name="DEBT4" localSheetId="39">#REF!</definedName>
    <definedName name="DEBT4" localSheetId="40">#REF!</definedName>
    <definedName name="DEBT4" localSheetId="54">#REF!</definedName>
    <definedName name="DEBT4" localSheetId="55">#REF!</definedName>
    <definedName name="DEBT4" localSheetId="52">#REF!</definedName>
    <definedName name="DEBT4" localSheetId="23">#REF!</definedName>
    <definedName name="DEBT4" localSheetId="51">#REF!</definedName>
    <definedName name="DEBT4" localSheetId="53">#REF!</definedName>
    <definedName name="DEBT4" localSheetId="20">#REF!</definedName>
    <definedName name="DEBT4">#REF!</definedName>
    <definedName name="DEBT5" localSheetId="34">#REF!</definedName>
    <definedName name="DEBT5" localSheetId="35">#REF!</definedName>
    <definedName name="DEBT5" localSheetId="50">#REF!</definedName>
    <definedName name="DEBT5" localSheetId="15">#REF!</definedName>
    <definedName name="DEBT5" localSheetId="29">#REF!</definedName>
    <definedName name="DEBT5" localSheetId="30">#REF!</definedName>
    <definedName name="DEBT5" localSheetId="47">#REF!</definedName>
    <definedName name="DEBT5" localSheetId="44">#REF!</definedName>
    <definedName name="DEBT5" localSheetId="45">#REF!</definedName>
    <definedName name="DEBT5" localSheetId="46">#REF!</definedName>
    <definedName name="DEBT5" localSheetId="31">#REF!</definedName>
    <definedName name="DEBT5" localSheetId="32">#REF!</definedName>
    <definedName name="DEBT5" localSheetId="33">#REF!</definedName>
    <definedName name="DEBT5" localSheetId="36">#REF!</definedName>
    <definedName name="DEBT5" localSheetId="37">#REF!</definedName>
    <definedName name="DEBT5" localSheetId="38">#REF!</definedName>
    <definedName name="DEBT5" localSheetId="39">#REF!</definedName>
    <definedName name="DEBT5" localSheetId="40">#REF!</definedName>
    <definedName name="DEBT5" localSheetId="54">#REF!</definedName>
    <definedName name="DEBT5" localSheetId="55">#REF!</definedName>
    <definedName name="DEBT5" localSheetId="52">#REF!</definedName>
    <definedName name="DEBT5" localSheetId="23">#REF!</definedName>
    <definedName name="DEBT5" localSheetId="51">#REF!</definedName>
    <definedName name="DEBT5" localSheetId="53">#REF!</definedName>
    <definedName name="DEBT5" localSheetId="20">#REF!</definedName>
    <definedName name="DEBT5">#REF!</definedName>
    <definedName name="DEBT6" localSheetId="34">#REF!</definedName>
    <definedName name="DEBT6" localSheetId="35">#REF!</definedName>
    <definedName name="DEBT6" localSheetId="50">#REF!</definedName>
    <definedName name="DEBT6" localSheetId="15">#REF!</definedName>
    <definedName name="DEBT6" localSheetId="29">#REF!</definedName>
    <definedName name="DEBT6" localSheetId="30">#REF!</definedName>
    <definedName name="DEBT6" localSheetId="47">#REF!</definedName>
    <definedName name="DEBT6" localSheetId="44">#REF!</definedName>
    <definedName name="DEBT6" localSheetId="45">#REF!</definedName>
    <definedName name="DEBT6" localSheetId="46">#REF!</definedName>
    <definedName name="DEBT6" localSheetId="31">#REF!</definedName>
    <definedName name="DEBT6" localSheetId="32">#REF!</definedName>
    <definedName name="DEBT6" localSheetId="33">#REF!</definedName>
    <definedName name="DEBT6" localSheetId="36">#REF!</definedName>
    <definedName name="DEBT6" localSheetId="37">#REF!</definedName>
    <definedName name="DEBT6" localSheetId="38">#REF!</definedName>
    <definedName name="DEBT6" localSheetId="39">#REF!</definedName>
    <definedName name="DEBT6" localSheetId="40">#REF!</definedName>
    <definedName name="DEBT6" localSheetId="54">#REF!</definedName>
    <definedName name="DEBT6" localSheetId="55">#REF!</definedName>
    <definedName name="DEBT6" localSheetId="52">#REF!</definedName>
    <definedName name="DEBT6" localSheetId="23">#REF!</definedName>
    <definedName name="DEBT6" localSheetId="51">#REF!</definedName>
    <definedName name="DEBT6" localSheetId="53">#REF!</definedName>
    <definedName name="DEBT6" localSheetId="20">#REF!</definedName>
    <definedName name="DEBT6">#REF!</definedName>
    <definedName name="DEBT7" localSheetId="34">#REF!</definedName>
    <definedName name="DEBT7" localSheetId="35">#REF!</definedName>
    <definedName name="DEBT7" localSheetId="50">#REF!</definedName>
    <definedName name="DEBT7" localSheetId="15">#REF!</definedName>
    <definedName name="DEBT7" localSheetId="29">#REF!</definedName>
    <definedName name="DEBT7" localSheetId="30">#REF!</definedName>
    <definedName name="DEBT7" localSheetId="47">#REF!</definedName>
    <definedName name="DEBT7" localSheetId="44">#REF!</definedName>
    <definedName name="DEBT7" localSheetId="45">#REF!</definedName>
    <definedName name="DEBT7" localSheetId="46">#REF!</definedName>
    <definedName name="DEBT7" localSheetId="31">#REF!</definedName>
    <definedName name="DEBT7" localSheetId="32">#REF!</definedName>
    <definedName name="DEBT7" localSheetId="33">#REF!</definedName>
    <definedName name="DEBT7" localSheetId="36">#REF!</definedName>
    <definedName name="DEBT7" localSheetId="37">#REF!</definedName>
    <definedName name="DEBT7" localSheetId="38">#REF!</definedName>
    <definedName name="DEBT7" localSheetId="39">#REF!</definedName>
    <definedName name="DEBT7" localSheetId="40">#REF!</definedName>
    <definedName name="DEBT7" localSheetId="54">#REF!</definedName>
    <definedName name="DEBT7" localSheetId="55">#REF!</definedName>
    <definedName name="DEBT7" localSheetId="52">#REF!</definedName>
    <definedName name="DEBT7" localSheetId="23">#REF!</definedName>
    <definedName name="DEBT7" localSheetId="51">#REF!</definedName>
    <definedName name="DEBT7" localSheetId="53">#REF!</definedName>
    <definedName name="DEBT7" localSheetId="20">#REF!</definedName>
    <definedName name="DEBT7">#REF!</definedName>
    <definedName name="DEBT8" localSheetId="34">#REF!</definedName>
    <definedName name="DEBT8" localSheetId="35">#REF!</definedName>
    <definedName name="DEBT8" localSheetId="50">#REF!</definedName>
    <definedName name="DEBT8" localSheetId="15">#REF!</definedName>
    <definedName name="DEBT8" localSheetId="29">#REF!</definedName>
    <definedName name="DEBT8" localSheetId="30">#REF!</definedName>
    <definedName name="DEBT8" localSheetId="47">#REF!</definedName>
    <definedName name="DEBT8" localSheetId="44">#REF!</definedName>
    <definedName name="DEBT8" localSheetId="45">#REF!</definedName>
    <definedName name="DEBT8" localSheetId="46">#REF!</definedName>
    <definedName name="DEBT8" localSheetId="31">#REF!</definedName>
    <definedName name="DEBT8" localSheetId="32">#REF!</definedName>
    <definedName name="DEBT8" localSheetId="33">#REF!</definedName>
    <definedName name="DEBT8" localSheetId="36">#REF!</definedName>
    <definedName name="DEBT8" localSheetId="37">#REF!</definedName>
    <definedName name="DEBT8" localSheetId="38">#REF!</definedName>
    <definedName name="DEBT8" localSheetId="39">#REF!</definedName>
    <definedName name="DEBT8" localSheetId="40">#REF!</definedName>
    <definedName name="DEBT8" localSheetId="54">#REF!</definedName>
    <definedName name="DEBT8" localSheetId="55">#REF!</definedName>
    <definedName name="DEBT8" localSheetId="52">#REF!</definedName>
    <definedName name="DEBT8" localSheetId="23">#REF!</definedName>
    <definedName name="DEBT8" localSheetId="51">#REF!</definedName>
    <definedName name="DEBT8" localSheetId="53">#REF!</definedName>
    <definedName name="DEBT8" localSheetId="20">#REF!</definedName>
    <definedName name="DEBT8">#REF!</definedName>
    <definedName name="DEBT9" localSheetId="34">#REF!</definedName>
    <definedName name="DEBT9" localSheetId="35">#REF!</definedName>
    <definedName name="DEBT9" localSheetId="50">#REF!</definedName>
    <definedName name="DEBT9" localSheetId="15">#REF!</definedName>
    <definedName name="DEBT9" localSheetId="29">#REF!</definedName>
    <definedName name="DEBT9" localSheetId="30">#REF!</definedName>
    <definedName name="DEBT9" localSheetId="47">#REF!</definedName>
    <definedName name="DEBT9" localSheetId="44">#REF!</definedName>
    <definedName name="DEBT9" localSheetId="45">#REF!</definedName>
    <definedName name="DEBT9" localSheetId="46">#REF!</definedName>
    <definedName name="DEBT9" localSheetId="31">#REF!</definedName>
    <definedName name="DEBT9" localSheetId="32">#REF!</definedName>
    <definedName name="DEBT9" localSheetId="33">#REF!</definedName>
    <definedName name="DEBT9" localSheetId="36">#REF!</definedName>
    <definedName name="DEBT9" localSheetId="37">#REF!</definedName>
    <definedName name="DEBT9" localSheetId="38">#REF!</definedName>
    <definedName name="DEBT9" localSheetId="39">#REF!</definedName>
    <definedName name="DEBT9" localSheetId="40">#REF!</definedName>
    <definedName name="DEBT9" localSheetId="54">#REF!</definedName>
    <definedName name="DEBT9" localSheetId="55">#REF!</definedName>
    <definedName name="DEBT9" localSheetId="52">#REF!</definedName>
    <definedName name="DEBT9" localSheetId="23">#REF!</definedName>
    <definedName name="DEBT9" localSheetId="51">#REF!</definedName>
    <definedName name="DEBT9" localSheetId="53">#REF!</definedName>
    <definedName name="DEBT9" localSheetId="20">#REF!</definedName>
    <definedName name="DEBT9">#REF!</definedName>
    <definedName name="Dec05Cap" localSheetId="50">#REF!</definedName>
    <definedName name="Dec05Cap" localSheetId="47">#REF!</definedName>
    <definedName name="Dec05Cap" localSheetId="44">#REF!</definedName>
    <definedName name="Dec05Cap" localSheetId="45">#REF!</definedName>
    <definedName name="Dec05Cap" localSheetId="46">#REF!</definedName>
    <definedName name="Dec05Cap" localSheetId="37">#REF!</definedName>
    <definedName name="Dec05Cap" localSheetId="40">#REF!</definedName>
    <definedName name="Dec05Cap" localSheetId="54">#REF!</definedName>
    <definedName name="Dec05Cap" localSheetId="55">#REF!</definedName>
    <definedName name="Dec05Cap" localSheetId="52">#REF!</definedName>
    <definedName name="Dec05Cap" localSheetId="51">#REF!</definedName>
    <definedName name="Dec05Cap" localSheetId="53">#REF!</definedName>
    <definedName name="Dec05Cap">#REF!</definedName>
    <definedName name="Dec06Cap" localSheetId="50">#REF!</definedName>
    <definedName name="Dec06Cap" localSheetId="47">#REF!</definedName>
    <definedName name="Dec06Cap" localSheetId="44">#REF!</definedName>
    <definedName name="Dec06Cap" localSheetId="45">#REF!</definedName>
    <definedName name="Dec06Cap" localSheetId="46">#REF!</definedName>
    <definedName name="Dec06Cap" localSheetId="37">#REF!</definedName>
    <definedName name="Dec06Cap" localSheetId="40">#REF!</definedName>
    <definedName name="Dec06Cap" localSheetId="54">#REF!</definedName>
    <definedName name="Dec06Cap" localSheetId="55">#REF!</definedName>
    <definedName name="Dec06Cap" localSheetId="52">#REF!</definedName>
    <definedName name="Dec06Cap" localSheetId="51">#REF!</definedName>
    <definedName name="Dec06Cap" localSheetId="53">#REF!</definedName>
    <definedName name="Dec06Cap">#REF!</definedName>
    <definedName name="December">'[45]Variance Explanations'!$O$10:$O$84,'[45]Variance Explanations'!$O$98:$O$178,'[45]Variance Explanations'!$O$190:$O$252,'[45]Variance Explanations'!$O$252,'[45]Variance Explanations'!$O$264:$O$343,'[45]Variance Explanations'!$O$356:$O$409,'[45]Variance Explanations'!$O$424:$O$485,'[45]Variance Explanations'!$O$508:$O$555</definedName>
    <definedName name="def_title_enum">[75]Pricing!$D$10:$D$60</definedName>
    <definedName name="DEFL" localSheetId="50">#REF!</definedName>
    <definedName name="DEFL" localSheetId="47">#REF!</definedName>
    <definedName name="DEFL" localSheetId="44">#REF!</definedName>
    <definedName name="DEFL" localSheetId="45">#REF!</definedName>
    <definedName name="DEFL" localSheetId="46">#REF!</definedName>
    <definedName name="DEFL" localSheetId="37">#REF!</definedName>
    <definedName name="DEFL" localSheetId="40">#REF!</definedName>
    <definedName name="DEFL" localSheetId="54">#REF!</definedName>
    <definedName name="DEFL" localSheetId="55">#REF!</definedName>
    <definedName name="DEFL" localSheetId="52">#REF!</definedName>
    <definedName name="DEFL" localSheetId="51">#REF!</definedName>
    <definedName name="DEFL" localSheetId="53">#REF!</definedName>
    <definedName name="DEFL">#REF!</definedName>
    <definedName name="Delete_Range" hidden="1">"""Q3:W17"""</definedName>
    <definedName name="Deliver" localSheetId="50">#REF!</definedName>
    <definedName name="Deliver" localSheetId="47">#REF!</definedName>
    <definedName name="Deliver" localSheetId="44">#REF!</definedName>
    <definedName name="Deliver" localSheetId="45">#REF!</definedName>
    <definedName name="Deliver" localSheetId="46">#REF!</definedName>
    <definedName name="Deliver" localSheetId="37">#REF!</definedName>
    <definedName name="Deliver" localSheetId="40">#REF!</definedName>
    <definedName name="Deliver" localSheetId="54">#REF!</definedName>
    <definedName name="Deliver" localSheetId="55">#REF!</definedName>
    <definedName name="Deliver" localSheetId="52">#REF!</definedName>
    <definedName name="Deliver" localSheetId="51">#REF!</definedName>
    <definedName name="Deliver" localSheetId="53">#REF!</definedName>
    <definedName name="Deliver">#REF!</definedName>
    <definedName name="Delivery_Roles">[41]Roles!$B$2:$B$161</definedName>
    <definedName name="Delivery_Select">'[41]Project Overview'!$C$14</definedName>
    <definedName name="deposits_J98" localSheetId="50">#REF!</definedName>
    <definedName name="deposits_J98" localSheetId="47">#REF!</definedName>
    <definedName name="deposits_J98" localSheetId="44">#REF!</definedName>
    <definedName name="deposits_J98" localSheetId="45">#REF!</definedName>
    <definedName name="deposits_J98" localSheetId="46">#REF!</definedName>
    <definedName name="deposits_J98" localSheetId="37">#REF!</definedName>
    <definedName name="deposits_J98" localSheetId="40">#REF!</definedName>
    <definedName name="deposits_J98" localSheetId="54">#REF!</definedName>
    <definedName name="deposits_J98" localSheetId="55">#REF!</definedName>
    <definedName name="deposits_J98" localSheetId="52">#REF!</definedName>
    <definedName name="deposits_J98" localSheetId="51">#REF!</definedName>
    <definedName name="deposits_J98" localSheetId="53">#REF!</definedName>
    <definedName name="deposits_J98">#REF!</definedName>
    <definedName name="der" localSheetId="58" hidden="1">{"Tab1",#N/A,FALSE,"P";"Tab2",#N/A,FALSE,"P"}</definedName>
    <definedName name="der" localSheetId="16" hidden="1">{"Tab1",#N/A,FALSE,"P";"Tab2",#N/A,FALSE,"P"}</definedName>
    <definedName name="der" localSheetId="61" hidden="1">{"Tab1",#N/A,FALSE,"P";"Tab2",#N/A,FALSE,"P"}</definedName>
    <definedName name="der" localSheetId="62" hidden="1">{"Tab1",#N/A,FALSE,"P";"Tab2",#N/A,FALSE,"P"}</definedName>
    <definedName name="der" localSheetId="50" hidden="1">{"Tab1",#N/A,FALSE,"P";"Tab2",#N/A,FALSE,"P"}</definedName>
    <definedName name="der" localSheetId="63" hidden="1">{"Tab1",#N/A,FALSE,"P";"Tab2",#N/A,FALSE,"P"}</definedName>
    <definedName name="der" localSheetId="15" hidden="1">{"Tab1",#N/A,FALSE,"P";"Tab2",#N/A,FALSE,"P"}</definedName>
    <definedName name="der" localSheetId="1" hidden="1">{"Tab1",#N/A,FALSE,"P";"Tab2",#N/A,FALSE,"P"}</definedName>
    <definedName name="der" localSheetId="43" hidden="1">{"Tab1",#N/A,FALSE,"P";"Tab2",#N/A,FALSE,"P"}</definedName>
    <definedName name="der" localSheetId="29" hidden="1">{"Tab1",#N/A,FALSE,"P";"Tab2",#N/A,FALSE,"P"}</definedName>
    <definedName name="der" localSheetId="30" hidden="1">{"Tab1",#N/A,FALSE,"P";"Tab2",#N/A,FALSE,"P"}</definedName>
    <definedName name="der" localSheetId="44" hidden="1">{"Tab1",#N/A,FALSE,"P";"Tab2",#N/A,FALSE,"P"}</definedName>
    <definedName name="der" localSheetId="59" hidden="1">{"Tab1",#N/A,FALSE,"P";"Tab2",#N/A,FALSE,"P"}</definedName>
    <definedName name="der" localSheetId="13" hidden="1">{"Tab1",#N/A,FALSE,"P";"Tab2",#N/A,FALSE,"P"}</definedName>
    <definedName name="der" localSheetId="0" hidden="1">{"Tab1",#N/A,FALSE,"P";"Tab2",#N/A,FALSE,"P"}</definedName>
    <definedName name="der" localSheetId="57" hidden="1">{"Tab1",#N/A,FALSE,"P";"Tab2",#N/A,FALSE,"P"}</definedName>
    <definedName name="der" localSheetId="56" hidden="1">{"Tab1",#N/A,FALSE,"P";"Tab2",#N/A,FALSE,"P"}</definedName>
    <definedName name="der" localSheetId="54" hidden="1">{"Tab1",#N/A,FALSE,"P";"Tab2",#N/A,FALSE,"P"}</definedName>
    <definedName name="der" localSheetId="52" hidden="1">{"Tab1",#N/A,FALSE,"P";"Tab2",#N/A,FALSE,"P"}</definedName>
    <definedName name="der" localSheetId="23" hidden="1">{"Tab1",#N/A,FALSE,"P";"Tab2",#N/A,FALSE,"P"}</definedName>
    <definedName name="der" localSheetId="51" hidden="1">{"Tab1",#N/A,FALSE,"P";"Tab2",#N/A,FALSE,"P"}</definedName>
    <definedName name="der" localSheetId="53" hidden="1">{"Tab1",#N/A,FALSE,"P";"Tab2",#N/A,FALSE,"P"}</definedName>
    <definedName name="der" localSheetId="60" hidden="1">{"Tab1",#N/A,FALSE,"P";"Tab2",#N/A,FALSE,"P"}</definedName>
    <definedName name="der" hidden="1">{"Tab1",#N/A,FALSE,"P";"Tab2",#N/A,FALSE,"P"}</definedName>
    <definedName name="des_metrics_component">[76]Metrics!$B$6:$B$17</definedName>
    <definedName name="des_metrics_component_list">[76]Metrics!$B$7:$B$17</definedName>
    <definedName name="des_metrics_implement_list">[76]Metrics!$D$6:$F$6</definedName>
    <definedName name="des_metrics_table">[76]Metrics!$B$6:$F$17</definedName>
    <definedName name="des_role_over_exp" localSheetId="50">[40]Roles!#REF!</definedName>
    <definedName name="des_role_over_exp" localSheetId="47">[40]Roles!#REF!</definedName>
    <definedName name="des_role_over_exp" localSheetId="44">[40]Roles!#REF!</definedName>
    <definedName name="des_role_over_exp" localSheetId="45">[40]Roles!#REF!</definedName>
    <definedName name="des_role_over_exp" localSheetId="46">[40]Roles!#REF!</definedName>
    <definedName name="des_role_over_exp" localSheetId="37">[40]Roles!#REF!</definedName>
    <definedName name="des_role_over_exp" localSheetId="40">[40]Roles!#REF!</definedName>
    <definedName name="des_role_over_exp" localSheetId="54">[40]Roles!#REF!</definedName>
    <definedName name="des_role_over_exp" localSheetId="55">[40]Roles!#REF!</definedName>
    <definedName name="des_role_over_exp" localSheetId="52">[40]Roles!#REF!</definedName>
    <definedName name="des_role_over_exp" localSheetId="51">[40]Roles!#REF!</definedName>
    <definedName name="des_role_over_exp" localSheetId="53">[40]Roles!#REF!</definedName>
    <definedName name="des_role_over_exp">[40]Roles!#REF!</definedName>
    <definedName name="des_role_over_exp_1" localSheetId="50">[42]Roles!#REF!</definedName>
    <definedName name="des_role_over_exp_1" localSheetId="47">[42]Roles!#REF!</definedName>
    <definedName name="des_role_over_exp_1" localSheetId="44">[42]Roles!#REF!</definedName>
    <definedName name="des_role_over_exp_1" localSheetId="45">[42]Roles!#REF!</definedName>
    <definedName name="des_role_over_exp_1" localSheetId="46">[42]Roles!#REF!</definedName>
    <definedName name="des_role_over_exp_1" localSheetId="37">[42]Roles!#REF!</definedName>
    <definedName name="des_role_over_exp_1" localSheetId="40">[42]Roles!#REF!</definedName>
    <definedName name="des_role_over_exp_1" localSheetId="54">[42]Roles!#REF!</definedName>
    <definedName name="des_role_over_exp_1" localSheetId="55">[42]Roles!#REF!</definedName>
    <definedName name="des_role_over_exp_1" localSheetId="52">[42]Roles!#REF!</definedName>
    <definedName name="des_role_over_exp_1" localSheetId="51">[42]Roles!#REF!</definedName>
    <definedName name="des_role_over_exp_1" localSheetId="53">[42]Roles!#REF!</definedName>
    <definedName name="des_role_over_exp_1">[42]Roles!#REF!</definedName>
    <definedName name="des_role_over_exp1" localSheetId="50">[40]Roles!#REF!</definedName>
    <definedName name="des_role_over_exp1" localSheetId="47">[40]Roles!#REF!</definedName>
    <definedName name="des_role_over_exp1" localSheetId="44">[40]Roles!#REF!</definedName>
    <definedName name="des_role_over_exp1" localSheetId="45">[40]Roles!#REF!</definedName>
    <definedName name="des_role_over_exp1" localSheetId="46">[40]Roles!#REF!</definedName>
    <definedName name="des_role_over_exp1" localSheetId="37">[40]Roles!#REF!</definedName>
    <definedName name="des_role_over_exp1" localSheetId="40">[40]Roles!#REF!</definedName>
    <definedName name="des_role_over_exp1" localSheetId="54">[40]Roles!#REF!</definedName>
    <definedName name="des_role_over_exp1" localSheetId="55">[40]Roles!#REF!</definedName>
    <definedName name="des_role_over_exp1" localSheetId="52">[40]Roles!#REF!</definedName>
    <definedName name="des_role_over_exp1" localSheetId="51">[40]Roles!#REF!</definedName>
    <definedName name="des_role_over_exp1" localSheetId="53">[40]Roles!#REF!</definedName>
    <definedName name="des_role_over_exp1">[40]Roles!#REF!</definedName>
    <definedName name="des_rp_database_title">'[77]Des | Resource Plan-Detail'!$E$12:$E$103</definedName>
    <definedName name="des_total_gen_exp" localSheetId="50">[40]Roles!#REF!</definedName>
    <definedName name="des_total_gen_exp" localSheetId="47">[40]Roles!#REF!</definedName>
    <definedName name="des_total_gen_exp" localSheetId="44">[40]Roles!#REF!</definedName>
    <definedName name="des_total_gen_exp" localSheetId="45">[40]Roles!#REF!</definedName>
    <definedName name="des_total_gen_exp" localSheetId="46">[40]Roles!#REF!</definedName>
    <definedName name="des_total_gen_exp" localSheetId="37">[40]Roles!#REF!</definedName>
    <definedName name="des_total_gen_exp" localSheetId="40">[40]Roles!#REF!</definedName>
    <definedName name="des_total_gen_exp" localSheetId="54">[40]Roles!#REF!</definedName>
    <definedName name="des_total_gen_exp" localSheetId="55">[40]Roles!#REF!</definedName>
    <definedName name="des_total_gen_exp" localSheetId="52">[40]Roles!#REF!</definedName>
    <definedName name="des_total_gen_exp" localSheetId="51">[40]Roles!#REF!</definedName>
    <definedName name="des_total_gen_exp" localSheetId="53">[40]Roles!#REF!</definedName>
    <definedName name="des_total_gen_exp">[40]Roles!#REF!</definedName>
    <definedName name="des_total_gen_exp1" localSheetId="50">[40]Roles!#REF!</definedName>
    <definedName name="des_total_gen_exp1" localSheetId="47">[40]Roles!#REF!</definedName>
    <definedName name="des_total_gen_exp1" localSheetId="44">[40]Roles!#REF!</definedName>
    <definedName name="des_total_gen_exp1" localSheetId="45">[40]Roles!#REF!</definedName>
    <definedName name="des_total_gen_exp1" localSheetId="46">[40]Roles!#REF!</definedName>
    <definedName name="des_total_gen_exp1" localSheetId="37">[40]Roles!#REF!</definedName>
    <definedName name="des_total_gen_exp1" localSheetId="40">[40]Roles!#REF!</definedName>
    <definedName name="des_total_gen_exp1" localSheetId="54">[40]Roles!#REF!</definedName>
    <definedName name="des_total_gen_exp1" localSheetId="55">[40]Roles!#REF!</definedName>
    <definedName name="des_total_gen_exp1" localSheetId="52">[40]Roles!#REF!</definedName>
    <definedName name="des_total_gen_exp1" localSheetId="51">[40]Roles!#REF!</definedName>
    <definedName name="des_total_gen_exp1" localSheetId="53">[40]Roles!#REF!</definedName>
    <definedName name="des_total_gen_exp1">[40]Roles!#REF!</definedName>
    <definedName name="des_total_rg_loe_exp" localSheetId="50">[40]Roles!#REF!</definedName>
    <definedName name="des_total_rg_loe_exp" localSheetId="47">[40]Roles!#REF!</definedName>
    <definedName name="des_total_rg_loe_exp" localSheetId="44">[40]Roles!#REF!</definedName>
    <definedName name="des_total_rg_loe_exp" localSheetId="45">[40]Roles!#REF!</definedName>
    <definedName name="des_total_rg_loe_exp" localSheetId="46">[40]Roles!#REF!</definedName>
    <definedName name="des_total_rg_loe_exp" localSheetId="37">[40]Roles!#REF!</definedName>
    <definedName name="des_total_rg_loe_exp" localSheetId="40">[40]Roles!#REF!</definedName>
    <definedName name="des_total_rg_loe_exp" localSheetId="54">[40]Roles!#REF!</definedName>
    <definedName name="des_total_rg_loe_exp" localSheetId="55">[40]Roles!#REF!</definedName>
    <definedName name="des_total_rg_loe_exp" localSheetId="52">[40]Roles!#REF!</definedName>
    <definedName name="des_total_rg_loe_exp" localSheetId="51">[40]Roles!#REF!</definedName>
    <definedName name="des_total_rg_loe_exp" localSheetId="53">[40]Roles!#REF!</definedName>
    <definedName name="des_total_rg_loe_exp">[40]Roles!#REF!</definedName>
    <definedName name="des_total_rg_loe_exp_1" localSheetId="50">[42]Roles!#REF!</definedName>
    <definedName name="des_total_rg_loe_exp_1" localSheetId="47">[42]Roles!#REF!</definedName>
    <definedName name="des_total_rg_loe_exp_1" localSheetId="44">[42]Roles!#REF!</definedName>
    <definedName name="des_total_rg_loe_exp_1" localSheetId="45">[42]Roles!#REF!</definedName>
    <definedName name="des_total_rg_loe_exp_1" localSheetId="46">[42]Roles!#REF!</definedName>
    <definedName name="des_total_rg_loe_exp_1" localSheetId="37">[42]Roles!#REF!</definedName>
    <definedName name="des_total_rg_loe_exp_1" localSheetId="40">[42]Roles!#REF!</definedName>
    <definedName name="des_total_rg_loe_exp_1" localSheetId="54">[42]Roles!#REF!</definedName>
    <definedName name="des_total_rg_loe_exp_1" localSheetId="55">[42]Roles!#REF!</definedName>
    <definedName name="des_total_rg_loe_exp_1" localSheetId="52">[42]Roles!#REF!</definedName>
    <definedName name="des_total_rg_loe_exp_1" localSheetId="51">[42]Roles!#REF!</definedName>
    <definedName name="des_total_rg_loe_exp_1" localSheetId="53">[42]Roles!#REF!</definedName>
    <definedName name="des_total_rg_loe_exp_1">[42]Roles!#REF!</definedName>
    <definedName name="des_total_rg_loe_exp_nogen" localSheetId="50">[40]Roles!#REF!</definedName>
    <definedName name="des_total_rg_loe_exp_nogen" localSheetId="47">[40]Roles!#REF!</definedName>
    <definedName name="des_total_rg_loe_exp_nogen" localSheetId="44">[40]Roles!#REF!</definedName>
    <definedName name="des_total_rg_loe_exp_nogen" localSheetId="45">[40]Roles!#REF!</definedName>
    <definedName name="des_total_rg_loe_exp_nogen" localSheetId="46">[40]Roles!#REF!</definedName>
    <definedName name="des_total_rg_loe_exp_nogen" localSheetId="37">[40]Roles!#REF!</definedName>
    <definedName name="des_total_rg_loe_exp_nogen" localSheetId="40">[40]Roles!#REF!</definedName>
    <definedName name="des_total_rg_loe_exp_nogen" localSheetId="54">[40]Roles!#REF!</definedName>
    <definedName name="des_total_rg_loe_exp_nogen" localSheetId="55">[40]Roles!#REF!</definedName>
    <definedName name="des_total_rg_loe_exp_nogen" localSheetId="52">[40]Roles!#REF!</definedName>
    <definedName name="des_total_rg_loe_exp_nogen" localSheetId="51">[40]Roles!#REF!</definedName>
    <definedName name="des_total_rg_loe_exp_nogen" localSheetId="53">[40]Roles!#REF!</definedName>
    <definedName name="des_total_rg_loe_exp_nogen">[40]Roles!#REF!</definedName>
    <definedName name="des_total_rg_loe_exp_nogen_1" localSheetId="50">[42]Roles!#REF!</definedName>
    <definedName name="des_total_rg_loe_exp_nogen_1" localSheetId="47">[42]Roles!#REF!</definedName>
    <definedName name="des_total_rg_loe_exp_nogen_1" localSheetId="44">[42]Roles!#REF!</definedName>
    <definedName name="des_total_rg_loe_exp_nogen_1" localSheetId="45">[42]Roles!#REF!</definedName>
    <definedName name="des_total_rg_loe_exp_nogen_1" localSheetId="46">[42]Roles!#REF!</definedName>
    <definedName name="des_total_rg_loe_exp_nogen_1" localSheetId="37">[42]Roles!#REF!</definedName>
    <definedName name="des_total_rg_loe_exp_nogen_1" localSheetId="40">[42]Roles!#REF!</definedName>
    <definedName name="des_total_rg_loe_exp_nogen_1" localSheetId="54">[42]Roles!#REF!</definedName>
    <definedName name="des_total_rg_loe_exp_nogen_1" localSheetId="55">[42]Roles!#REF!</definedName>
    <definedName name="des_total_rg_loe_exp_nogen_1" localSheetId="52">[42]Roles!#REF!</definedName>
    <definedName name="des_total_rg_loe_exp_nogen_1" localSheetId="51">[42]Roles!#REF!</definedName>
    <definedName name="des_total_rg_loe_exp_nogen_1" localSheetId="53">[42]Roles!#REF!</definedName>
    <definedName name="des_total_rg_loe_exp_nogen_1">[42]Roles!#REF!</definedName>
    <definedName name="des_total_rg_loe_exp_nogen1" localSheetId="50">[40]Roles!#REF!</definedName>
    <definedName name="des_total_rg_loe_exp_nogen1" localSheetId="47">[40]Roles!#REF!</definedName>
    <definedName name="des_total_rg_loe_exp_nogen1" localSheetId="44">[40]Roles!#REF!</definedName>
    <definedName name="des_total_rg_loe_exp_nogen1" localSheetId="45">[40]Roles!#REF!</definedName>
    <definedName name="des_total_rg_loe_exp_nogen1" localSheetId="46">[40]Roles!#REF!</definedName>
    <definedName name="des_total_rg_loe_exp_nogen1" localSheetId="37">[40]Roles!#REF!</definedName>
    <definedName name="des_total_rg_loe_exp_nogen1" localSheetId="40">[40]Roles!#REF!</definedName>
    <definedName name="des_total_rg_loe_exp_nogen1" localSheetId="54">[40]Roles!#REF!</definedName>
    <definedName name="des_total_rg_loe_exp_nogen1" localSheetId="55">[40]Roles!#REF!</definedName>
    <definedName name="des_total_rg_loe_exp_nogen1" localSheetId="52">[40]Roles!#REF!</definedName>
    <definedName name="des_total_rg_loe_exp_nogen1" localSheetId="51">[40]Roles!#REF!</definedName>
    <definedName name="des_total_rg_loe_exp_nogen1" localSheetId="53">[40]Roles!#REF!</definedName>
    <definedName name="des_total_rg_loe_exp_nogen1">[40]Roles!#REF!</definedName>
    <definedName name="des_total_rg_loe_Exp1" localSheetId="50">[40]Roles!#REF!</definedName>
    <definedName name="des_total_rg_loe_Exp1" localSheetId="47">[40]Roles!#REF!</definedName>
    <definedName name="des_total_rg_loe_Exp1" localSheetId="44">[40]Roles!#REF!</definedName>
    <definedName name="des_total_rg_loe_Exp1" localSheetId="45">[40]Roles!#REF!</definedName>
    <definedName name="des_total_rg_loe_Exp1" localSheetId="46">[40]Roles!#REF!</definedName>
    <definedName name="des_total_rg_loe_Exp1" localSheetId="37">[40]Roles!#REF!</definedName>
    <definedName name="des_total_rg_loe_Exp1" localSheetId="40">[40]Roles!#REF!</definedName>
    <definedName name="des_total_rg_loe_Exp1" localSheetId="54">[40]Roles!#REF!</definedName>
    <definedName name="des_total_rg_loe_Exp1" localSheetId="55">[40]Roles!#REF!</definedName>
    <definedName name="des_total_rg_loe_Exp1" localSheetId="52">[40]Roles!#REF!</definedName>
    <definedName name="des_total_rg_loe_Exp1" localSheetId="51">[40]Roles!#REF!</definedName>
    <definedName name="des_total_rg_loe_Exp1" localSheetId="53">[40]Roles!#REF!</definedName>
    <definedName name="des_total_rg_loe_Exp1">[40]Roles!#REF!</definedName>
    <definedName name="des_total_team_exp" localSheetId="50">[40]Roles!#REF!</definedName>
    <definedName name="des_total_team_exp" localSheetId="47">[40]Roles!#REF!</definedName>
    <definedName name="des_total_team_exp" localSheetId="44">[40]Roles!#REF!</definedName>
    <definedName name="des_total_team_exp" localSheetId="45">[40]Roles!#REF!</definedName>
    <definedName name="des_total_team_exp" localSheetId="46">[40]Roles!#REF!</definedName>
    <definedName name="des_total_team_exp" localSheetId="37">[40]Roles!#REF!</definedName>
    <definedName name="des_total_team_exp" localSheetId="40">[40]Roles!#REF!</definedName>
    <definedName name="des_total_team_exp" localSheetId="54">[40]Roles!#REF!</definedName>
    <definedName name="des_total_team_exp" localSheetId="55">[40]Roles!#REF!</definedName>
    <definedName name="des_total_team_exp" localSheetId="52">[40]Roles!#REF!</definedName>
    <definedName name="des_total_team_exp" localSheetId="51">[40]Roles!#REF!</definedName>
    <definedName name="des_total_team_exp" localSheetId="53">[40]Roles!#REF!</definedName>
    <definedName name="des_total_team_exp">[40]Roles!#REF!</definedName>
    <definedName name="des_total_team_exp_1" localSheetId="50">[42]Roles!#REF!</definedName>
    <definedName name="des_total_team_exp_1" localSheetId="47">[42]Roles!#REF!</definedName>
    <definedName name="des_total_team_exp_1" localSheetId="44">[42]Roles!#REF!</definedName>
    <definedName name="des_total_team_exp_1" localSheetId="45">[42]Roles!#REF!</definedName>
    <definedName name="des_total_team_exp_1" localSheetId="46">[42]Roles!#REF!</definedName>
    <definedName name="des_total_team_exp_1" localSheetId="37">[42]Roles!#REF!</definedName>
    <definedName name="des_total_team_exp_1" localSheetId="40">[42]Roles!#REF!</definedName>
    <definedName name="des_total_team_exp_1" localSheetId="54">[42]Roles!#REF!</definedName>
    <definedName name="des_total_team_exp_1" localSheetId="55">[42]Roles!#REF!</definedName>
    <definedName name="des_total_team_exp_1" localSheetId="52">[42]Roles!#REF!</definedName>
    <definedName name="des_total_team_exp_1" localSheetId="51">[42]Roles!#REF!</definedName>
    <definedName name="des_total_team_exp_1" localSheetId="53">[42]Roles!#REF!</definedName>
    <definedName name="des_total_team_exp_1">[42]Roles!#REF!</definedName>
    <definedName name="des_total_team_exp1" localSheetId="50">[40]Roles!#REF!</definedName>
    <definedName name="des_total_team_exp1" localSheetId="47">[40]Roles!#REF!</definedName>
    <definedName name="des_total_team_exp1" localSheetId="44">[40]Roles!#REF!</definedName>
    <definedName name="des_total_team_exp1" localSheetId="45">[40]Roles!#REF!</definedName>
    <definedName name="des_total_team_exp1" localSheetId="46">[40]Roles!#REF!</definedName>
    <definedName name="des_total_team_exp1" localSheetId="37">[40]Roles!#REF!</definedName>
    <definedName name="des_total_team_exp1" localSheetId="40">[40]Roles!#REF!</definedName>
    <definedName name="des_total_team_exp1" localSheetId="54">[40]Roles!#REF!</definedName>
    <definedName name="des_total_team_exp1" localSheetId="55">[40]Roles!#REF!</definedName>
    <definedName name="des_total_team_exp1" localSheetId="52">[40]Roles!#REF!</definedName>
    <definedName name="des_total_team_exp1" localSheetId="51">[40]Roles!#REF!</definedName>
    <definedName name="des_total_team_exp1" localSheetId="53">[40]Roles!#REF!</definedName>
    <definedName name="des_total_team_exp1">[40]Roles!#REF!</definedName>
    <definedName name="Detectability" localSheetId="50">#REF!</definedName>
    <definedName name="Detectability" localSheetId="47">#REF!</definedName>
    <definedName name="Detectability" localSheetId="44">#REF!</definedName>
    <definedName name="Detectability" localSheetId="45">#REF!</definedName>
    <definedName name="Detectability" localSheetId="46">#REF!</definedName>
    <definedName name="Detectability" localSheetId="37">#REF!</definedName>
    <definedName name="Detectability" localSheetId="40">#REF!</definedName>
    <definedName name="Detectability" localSheetId="54">#REF!</definedName>
    <definedName name="Detectability" localSheetId="55">#REF!</definedName>
    <definedName name="Detectability" localSheetId="52">#REF!</definedName>
    <definedName name="Detectability" localSheetId="51">#REF!</definedName>
    <definedName name="Detectability" localSheetId="53">#REF!</definedName>
    <definedName name="Detectability">#REF!</definedName>
    <definedName name="DEV_TEAM_SIZE" localSheetId="50">#REF!</definedName>
    <definedName name="DEV_TEAM_SIZE" localSheetId="47">#REF!</definedName>
    <definedName name="DEV_TEAM_SIZE" localSheetId="44">#REF!</definedName>
    <definedName name="DEV_TEAM_SIZE" localSheetId="45">#REF!</definedName>
    <definedName name="DEV_TEAM_SIZE" localSheetId="46">#REF!</definedName>
    <definedName name="DEV_TEAM_SIZE" localSheetId="37">#REF!</definedName>
    <definedName name="DEV_TEAM_SIZE" localSheetId="40">#REF!</definedName>
    <definedName name="DEV_TEAM_SIZE" localSheetId="54">#REF!</definedName>
    <definedName name="DEV_TEAM_SIZE" localSheetId="55">#REF!</definedName>
    <definedName name="DEV_TEAM_SIZE" localSheetId="52">#REF!</definedName>
    <definedName name="DEV_TEAM_SIZE" localSheetId="51">#REF!</definedName>
    <definedName name="DEV_TEAM_SIZE" localSheetId="53">#REF!</definedName>
    <definedName name="DEV_TEAM_SIZE">#REF!</definedName>
    <definedName name="dfdf" localSheetId="58" hidden="1">{#N/A,#N/A,FALSE,"slvsrtb1";#N/A,#N/A,FALSE,"slvsrtb2";#N/A,#N/A,FALSE,"slvsrtb3";#N/A,#N/A,FALSE,"slvsrtb4";#N/A,#N/A,FALSE,"slvsrtb5";#N/A,#N/A,FALSE,"slvsrtb6";#N/A,#N/A,FALSE,"slvsrtb7";#N/A,#N/A,FALSE,"slvsrtb8";#N/A,#N/A,FALSE,"slvsrtb9";#N/A,#N/A,FALSE,"slvsrtb10";#N/A,#N/A,FALSE,"slvsrtb12"}</definedName>
    <definedName name="dfdf" localSheetId="16" hidden="1">{#N/A,#N/A,FALSE,"slvsrtb1";#N/A,#N/A,FALSE,"slvsrtb2";#N/A,#N/A,FALSE,"slvsrtb3";#N/A,#N/A,FALSE,"slvsrtb4";#N/A,#N/A,FALSE,"slvsrtb5";#N/A,#N/A,FALSE,"slvsrtb6";#N/A,#N/A,FALSE,"slvsrtb7";#N/A,#N/A,FALSE,"slvsrtb8";#N/A,#N/A,FALSE,"slvsrtb9";#N/A,#N/A,FALSE,"slvsrtb10";#N/A,#N/A,FALSE,"slvsrtb12"}</definedName>
    <definedName name="dfdf" localSheetId="61" hidden="1">{#N/A,#N/A,FALSE,"slvsrtb1";#N/A,#N/A,FALSE,"slvsrtb2";#N/A,#N/A,FALSE,"slvsrtb3";#N/A,#N/A,FALSE,"slvsrtb4";#N/A,#N/A,FALSE,"slvsrtb5";#N/A,#N/A,FALSE,"slvsrtb6";#N/A,#N/A,FALSE,"slvsrtb7";#N/A,#N/A,FALSE,"slvsrtb8";#N/A,#N/A,FALSE,"slvsrtb9";#N/A,#N/A,FALSE,"slvsrtb10";#N/A,#N/A,FALSE,"slvsrtb12"}</definedName>
    <definedName name="dfdf" localSheetId="62" hidden="1">{#N/A,#N/A,FALSE,"slvsrtb1";#N/A,#N/A,FALSE,"slvsrtb2";#N/A,#N/A,FALSE,"slvsrtb3";#N/A,#N/A,FALSE,"slvsrtb4";#N/A,#N/A,FALSE,"slvsrtb5";#N/A,#N/A,FALSE,"slvsrtb6";#N/A,#N/A,FALSE,"slvsrtb7";#N/A,#N/A,FALSE,"slvsrtb8";#N/A,#N/A,FALSE,"slvsrtb9";#N/A,#N/A,FALSE,"slvsrtb10";#N/A,#N/A,FALSE,"slvsrtb12"}</definedName>
    <definedName name="dfdf" localSheetId="50" hidden="1">{#N/A,#N/A,FALSE,"slvsrtb1";#N/A,#N/A,FALSE,"slvsrtb2";#N/A,#N/A,FALSE,"slvsrtb3";#N/A,#N/A,FALSE,"slvsrtb4";#N/A,#N/A,FALSE,"slvsrtb5";#N/A,#N/A,FALSE,"slvsrtb6";#N/A,#N/A,FALSE,"slvsrtb7";#N/A,#N/A,FALSE,"slvsrtb8";#N/A,#N/A,FALSE,"slvsrtb9";#N/A,#N/A,FALSE,"slvsrtb10";#N/A,#N/A,FALSE,"slvsrtb12"}</definedName>
    <definedName name="dfdf" localSheetId="63" hidden="1">{#N/A,#N/A,FALSE,"slvsrtb1";#N/A,#N/A,FALSE,"slvsrtb2";#N/A,#N/A,FALSE,"slvsrtb3";#N/A,#N/A,FALSE,"slvsrtb4";#N/A,#N/A,FALSE,"slvsrtb5";#N/A,#N/A,FALSE,"slvsrtb6";#N/A,#N/A,FALSE,"slvsrtb7";#N/A,#N/A,FALSE,"slvsrtb8";#N/A,#N/A,FALSE,"slvsrtb9";#N/A,#N/A,FALSE,"slvsrtb10";#N/A,#N/A,FALSE,"slvsrtb12"}</definedName>
    <definedName name="dfdf" localSheetId="15" hidden="1">{#N/A,#N/A,FALSE,"slvsrtb1";#N/A,#N/A,FALSE,"slvsrtb2";#N/A,#N/A,FALSE,"slvsrtb3";#N/A,#N/A,FALSE,"slvsrtb4";#N/A,#N/A,FALSE,"slvsrtb5";#N/A,#N/A,FALSE,"slvsrtb6";#N/A,#N/A,FALSE,"slvsrtb7";#N/A,#N/A,FALSE,"slvsrtb8";#N/A,#N/A,FALSE,"slvsrtb9";#N/A,#N/A,FALSE,"slvsrtb10";#N/A,#N/A,FALSE,"slvsrtb12"}</definedName>
    <definedName name="dfdf" localSheetId="1" hidden="1">{#N/A,#N/A,FALSE,"slvsrtb1";#N/A,#N/A,FALSE,"slvsrtb2";#N/A,#N/A,FALSE,"slvsrtb3";#N/A,#N/A,FALSE,"slvsrtb4";#N/A,#N/A,FALSE,"slvsrtb5";#N/A,#N/A,FALSE,"slvsrtb6";#N/A,#N/A,FALSE,"slvsrtb7";#N/A,#N/A,FALSE,"slvsrtb8";#N/A,#N/A,FALSE,"slvsrtb9";#N/A,#N/A,FALSE,"slvsrtb10";#N/A,#N/A,FALSE,"slvsrtb12"}</definedName>
    <definedName name="dfdf" localSheetId="43" hidden="1">{#N/A,#N/A,FALSE,"slvsrtb1";#N/A,#N/A,FALSE,"slvsrtb2";#N/A,#N/A,FALSE,"slvsrtb3";#N/A,#N/A,FALSE,"slvsrtb4";#N/A,#N/A,FALSE,"slvsrtb5";#N/A,#N/A,FALSE,"slvsrtb6";#N/A,#N/A,FALSE,"slvsrtb7";#N/A,#N/A,FALSE,"slvsrtb8";#N/A,#N/A,FALSE,"slvsrtb9";#N/A,#N/A,FALSE,"slvsrtb10";#N/A,#N/A,FALSE,"slvsrtb12"}</definedName>
    <definedName name="dfdf" localSheetId="29" hidden="1">{#N/A,#N/A,FALSE,"slvsrtb1";#N/A,#N/A,FALSE,"slvsrtb2";#N/A,#N/A,FALSE,"slvsrtb3";#N/A,#N/A,FALSE,"slvsrtb4";#N/A,#N/A,FALSE,"slvsrtb5";#N/A,#N/A,FALSE,"slvsrtb6";#N/A,#N/A,FALSE,"slvsrtb7";#N/A,#N/A,FALSE,"slvsrtb8";#N/A,#N/A,FALSE,"slvsrtb9";#N/A,#N/A,FALSE,"slvsrtb10";#N/A,#N/A,FALSE,"slvsrtb12"}</definedName>
    <definedName name="dfdf" localSheetId="30" hidden="1">{#N/A,#N/A,FALSE,"slvsrtb1";#N/A,#N/A,FALSE,"slvsrtb2";#N/A,#N/A,FALSE,"slvsrtb3";#N/A,#N/A,FALSE,"slvsrtb4";#N/A,#N/A,FALSE,"slvsrtb5";#N/A,#N/A,FALSE,"slvsrtb6";#N/A,#N/A,FALSE,"slvsrtb7";#N/A,#N/A,FALSE,"slvsrtb8";#N/A,#N/A,FALSE,"slvsrtb9";#N/A,#N/A,FALSE,"slvsrtb10";#N/A,#N/A,FALSE,"slvsrtb12"}</definedName>
    <definedName name="dfdf" localSheetId="44" hidden="1">{#N/A,#N/A,FALSE,"slvsrtb1";#N/A,#N/A,FALSE,"slvsrtb2";#N/A,#N/A,FALSE,"slvsrtb3";#N/A,#N/A,FALSE,"slvsrtb4";#N/A,#N/A,FALSE,"slvsrtb5";#N/A,#N/A,FALSE,"slvsrtb6";#N/A,#N/A,FALSE,"slvsrtb7";#N/A,#N/A,FALSE,"slvsrtb8";#N/A,#N/A,FALSE,"slvsrtb9";#N/A,#N/A,FALSE,"slvsrtb10";#N/A,#N/A,FALSE,"slvsrtb12"}</definedName>
    <definedName name="dfdf" localSheetId="59" hidden="1">{#N/A,#N/A,FALSE,"slvsrtb1";#N/A,#N/A,FALSE,"slvsrtb2";#N/A,#N/A,FALSE,"slvsrtb3";#N/A,#N/A,FALSE,"slvsrtb4";#N/A,#N/A,FALSE,"slvsrtb5";#N/A,#N/A,FALSE,"slvsrtb6";#N/A,#N/A,FALSE,"slvsrtb7";#N/A,#N/A,FALSE,"slvsrtb8";#N/A,#N/A,FALSE,"slvsrtb9";#N/A,#N/A,FALSE,"slvsrtb10";#N/A,#N/A,FALSE,"slvsrtb12"}</definedName>
    <definedName name="dfdf" localSheetId="13" hidden="1">{#N/A,#N/A,FALSE,"slvsrtb1";#N/A,#N/A,FALSE,"slvsrtb2";#N/A,#N/A,FALSE,"slvsrtb3";#N/A,#N/A,FALSE,"slvsrtb4";#N/A,#N/A,FALSE,"slvsrtb5";#N/A,#N/A,FALSE,"slvsrtb6";#N/A,#N/A,FALSE,"slvsrtb7";#N/A,#N/A,FALSE,"slvsrtb8";#N/A,#N/A,FALSE,"slvsrtb9";#N/A,#N/A,FALSE,"slvsrtb10";#N/A,#N/A,FALSE,"slvsrtb12"}</definedName>
    <definedName name="dfdf" localSheetId="0" hidden="1">{#N/A,#N/A,FALSE,"slvsrtb1";#N/A,#N/A,FALSE,"slvsrtb2";#N/A,#N/A,FALSE,"slvsrtb3";#N/A,#N/A,FALSE,"slvsrtb4";#N/A,#N/A,FALSE,"slvsrtb5";#N/A,#N/A,FALSE,"slvsrtb6";#N/A,#N/A,FALSE,"slvsrtb7";#N/A,#N/A,FALSE,"slvsrtb8";#N/A,#N/A,FALSE,"slvsrtb9";#N/A,#N/A,FALSE,"slvsrtb10";#N/A,#N/A,FALSE,"slvsrtb12"}</definedName>
    <definedName name="dfdf" localSheetId="57" hidden="1">{#N/A,#N/A,FALSE,"slvsrtb1";#N/A,#N/A,FALSE,"slvsrtb2";#N/A,#N/A,FALSE,"slvsrtb3";#N/A,#N/A,FALSE,"slvsrtb4";#N/A,#N/A,FALSE,"slvsrtb5";#N/A,#N/A,FALSE,"slvsrtb6";#N/A,#N/A,FALSE,"slvsrtb7";#N/A,#N/A,FALSE,"slvsrtb8";#N/A,#N/A,FALSE,"slvsrtb9";#N/A,#N/A,FALSE,"slvsrtb10";#N/A,#N/A,FALSE,"slvsrtb12"}</definedName>
    <definedName name="dfdf" localSheetId="56" hidden="1">{#N/A,#N/A,FALSE,"slvsrtb1";#N/A,#N/A,FALSE,"slvsrtb2";#N/A,#N/A,FALSE,"slvsrtb3";#N/A,#N/A,FALSE,"slvsrtb4";#N/A,#N/A,FALSE,"slvsrtb5";#N/A,#N/A,FALSE,"slvsrtb6";#N/A,#N/A,FALSE,"slvsrtb7";#N/A,#N/A,FALSE,"slvsrtb8";#N/A,#N/A,FALSE,"slvsrtb9";#N/A,#N/A,FALSE,"slvsrtb10";#N/A,#N/A,FALSE,"slvsrtb12"}</definedName>
    <definedName name="dfdf" localSheetId="54" hidden="1">{#N/A,#N/A,FALSE,"slvsrtb1";#N/A,#N/A,FALSE,"slvsrtb2";#N/A,#N/A,FALSE,"slvsrtb3";#N/A,#N/A,FALSE,"slvsrtb4";#N/A,#N/A,FALSE,"slvsrtb5";#N/A,#N/A,FALSE,"slvsrtb6";#N/A,#N/A,FALSE,"slvsrtb7";#N/A,#N/A,FALSE,"slvsrtb8";#N/A,#N/A,FALSE,"slvsrtb9";#N/A,#N/A,FALSE,"slvsrtb10";#N/A,#N/A,FALSE,"slvsrtb12"}</definedName>
    <definedName name="dfdf" localSheetId="52" hidden="1">{#N/A,#N/A,FALSE,"slvsrtb1";#N/A,#N/A,FALSE,"slvsrtb2";#N/A,#N/A,FALSE,"slvsrtb3";#N/A,#N/A,FALSE,"slvsrtb4";#N/A,#N/A,FALSE,"slvsrtb5";#N/A,#N/A,FALSE,"slvsrtb6";#N/A,#N/A,FALSE,"slvsrtb7";#N/A,#N/A,FALSE,"slvsrtb8";#N/A,#N/A,FALSE,"slvsrtb9";#N/A,#N/A,FALSE,"slvsrtb10";#N/A,#N/A,FALSE,"slvsrtb12"}</definedName>
    <definedName name="dfdf" localSheetId="23" hidden="1">{#N/A,#N/A,FALSE,"slvsrtb1";#N/A,#N/A,FALSE,"slvsrtb2";#N/A,#N/A,FALSE,"slvsrtb3";#N/A,#N/A,FALSE,"slvsrtb4";#N/A,#N/A,FALSE,"slvsrtb5";#N/A,#N/A,FALSE,"slvsrtb6";#N/A,#N/A,FALSE,"slvsrtb7";#N/A,#N/A,FALSE,"slvsrtb8";#N/A,#N/A,FALSE,"slvsrtb9";#N/A,#N/A,FALSE,"slvsrtb10";#N/A,#N/A,FALSE,"slvsrtb12"}</definedName>
    <definedName name="dfdf" localSheetId="51" hidden="1">{#N/A,#N/A,FALSE,"slvsrtb1";#N/A,#N/A,FALSE,"slvsrtb2";#N/A,#N/A,FALSE,"slvsrtb3";#N/A,#N/A,FALSE,"slvsrtb4";#N/A,#N/A,FALSE,"slvsrtb5";#N/A,#N/A,FALSE,"slvsrtb6";#N/A,#N/A,FALSE,"slvsrtb7";#N/A,#N/A,FALSE,"slvsrtb8";#N/A,#N/A,FALSE,"slvsrtb9";#N/A,#N/A,FALSE,"slvsrtb10";#N/A,#N/A,FALSE,"slvsrtb12"}</definedName>
    <definedName name="dfdf" localSheetId="53" hidden="1">{#N/A,#N/A,FALSE,"slvsrtb1";#N/A,#N/A,FALSE,"slvsrtb2";#N/A,#N/A,FALSE,"slvsrtb3";#N/A,#N/A,FALSE,"slvsrtb4";#N/A,#N/A,FALSE,"slvsrtb5";#N/A,#N/A,FALSE,"slvsrtb6";#N/A,#N/A,FALSE,"slvsrtb7";#N/A,#N/A,FALSE,"slvsrtb8";#N/A,#N/A,FALSE,"slvsrtb9";#N/A,#N/A,FALSE,"slvsrtb10";#N/A,#N/A,FALSE,"slvsrtb12"}</definedName>
    <definedName name="dfdf" localSheetId="60" hidden="1">{#N/A,#N/A,FALSE,"slvsrtb1";#N/A,#N/A,FALSE,"slvsrtb2";#N/A,#N/A,FALSE,"slvsrtb3";#N/A,#N/A,FALSE,"slvsrtb4";#N/A,#N/A,FALSE,"slvsrtb5";#N/A,#N/A,FALSE,"slvsrtb6";#N/A,#N/A,FALSE,"slvsrtb7";#N/A,#N/A,FALSE,"slvsrtb8";#N/A,#N/A,FALSE,"slvsrtb9";#N/A,#N/A,FALSE,"slvsrtb10";#N/A,#N/A,FALSE,"slvsrtb12"}</definedName>
    <definedName name="dfdf" hidden="1">{#N/A,#N/A,FALSE,"slvsrtb1";#N/A,#N/A,FALSE,"slvsrtb2";#N/A,#N/A,FALSE,"slvsrtb3";#N/A,#N/A,FALSE,"slvsrtb4";#N/A,#N/A,FALSE,"slvsrtb5";#N/A,#N/A,FALSE,"slvsrtb6";#N/A,#N/A,FALSE,"slvsrtb7";#N/A,#N/A,FALSE,"slvsrtb8";#N/A,#N/A,FALSE,"slvsrtb9";#N/A,#N/A,FALSE,"slvsrtb10";#N/A,#N/A,FALSE,"slvsrtb12"}</definedName>
    <definedName name="DG" localSheetId="50">#REF!</definedName>
    <definedName name="DG" localSheetId="47">#REF!</definedName>
    <definedName name="DG" localSheetId="44">#REF!</definedName>
    <definedName name="DG" localSheetId="45">#REF!</definedName>
    <definedName name="DG" localSheetId="46">#REF!</definedName>
    <definedName name="DG" localSheetId="37">#REF!</definedName>
    <definedName name="DG" localSheetId="40">#REF!</definedName>
    <definedName name="DG" localSheetId="54">#REF!</definedName>
    <definedName name="DG" localSheetId="55">#REF!</definedName>
    <definedName name="DG" localSheetId="52">#REF!</definedName>
    <definedName name="DG" localSheetId="51">#REF!</definedName>
    <definedName name="DG" localSheetId="53">#REF!</definedName>
    <definedName name="DG">#REF!</definedName>
    <definedName name="DG_S" localSheetId="50">#REF!</definedName>
    <definedName name="DG_S" localSheetId="47">#REF!</definedName>
    <definedName name="DG_S" localSheetId="44">#REF!</definedName>
    <definedName name="DG_S" localSheetId="45">#REF!</definedName>
    <definedName name="DG_S" localSheetId="46">#REF!</definedName>
    <definedName name="DG_S" localSheetId="37">#REF!</definedName>
    <definedName name="DG_S" localSheetId="40">#REF!</definedName>
    <definedName name="DG_S" localSheetId="54">#REF!</definedName>
    <definedName name="DG_S" localSheetId="55">#REF!</definedName>
    <definedName name="DG_S" localSheetId="52">#REF!</definedName>
    <definedName name="DG_S" localSheetId="51">#REF!</definedName>
    <definedName name="DG_S" localSheetId="53">#REF!</definedName>
    <definedName name="DG_S">#REF!</definedName>
    <definedName name="DGproj">#N/A</definedName>
    <definedName name="DIC" localSheetId="34">#REF!</definedName>
    <definedName name="DIC" localSheetId="35">#REF!</definedName>
    <definedName name="DIC" localSheetId="50">#REF!</definedName>
    <definedName name="DIC" localSheetId="15">#REF!</definedName>
    <definedName name="DIC" localSheetId="29">#REF!</definedName>
    <definedName name="DIC" localSheetId="30">#REF!</definedName>
    <definedName name="DIC" localSheetId="47">#REF!</definedName>
    <definedName name="DIC" localSheetId="44">#REF!</definedName>
    <definedName name="DIC" localSheetId="45">#REF!</definedName>
    <definedName name="DIC" localSheetId="46">#REF!</definedName>
    <definedName name="DIC" localSheetId="31">#REF!</definedName>
    <definedName name="DIC" localSheetId="32">#REF!</definedName>
    <definedName name="DIC" localSheetId="33">#REF!</definedName>
    <definedName name="DIC" localSheetId="36">#REF!</definedName>
    <definedName name="DIC" localSheetId="37">#REF!</definedName>
    <definedName name="DIC" localSheetId="38">#REF!</definedName>
    <definedName name="DIC" localSheetId="39">#REF!</definedName>
    <definedName name="DIC" localSheetId="40">#REF!</definedName>
    <definedName name="DIC" localSheetId="54">#REF!</definedName>
    <definedName name="DIC" localSheetId="55">#REF!</definedName>
    <definedName name="DIC" localSheetId="52">#REF!</definedName>
    <definedName name="DIC" localSheetId="23">#REF!</definedName>
    <definedName name="DIC" localSheetId="51">#REF!</definedName>
    <definedName name="DIC" localSheetId="53">#REF!</definedName>
    <definedName name="DIC" localSheetId="20">#REF!</definedName>
    <definedName name="DIC">#REF!</definedName>
    <definedName name="DIC._88" localSheetId="34">#REF!</definedName>
    <definedName name="DIC._88" localSheetId="35">#REF!</definedName>
    <definedName name="DIC._88" localSheetId="50">#REF!</definedName>
    <definedName name="DIC._88" localSheetId="15">#REF!</definedName>
    <definedName name="DIC._88" localSheetId="29">#REF!</definedName>
    <definedName name="DIC._88" localSheetId="30">#REF!</definedName>
    <definedName name="DIC._88" localSheetId="47">#REF!</definedName>
    <definedName name="DIC._88" localSheetId="44">#REF!</definedName>
    <definedName name="DIC._88" localSheetId="45">#REF!</definedName>
    <definedName name="DIC._88" localSheetId="46">#REF!</definedName>
    <definedName name="DIC._88" localSheetId="31">#REF!</definedName>
    <definedName name="DIC._88" localSheetId="32">#REF!</definedName>
    <definedName name="DIC._88" localSheetId="33">#REF!</definedName>
    <definedName name="DIC._88" localSheetId="36">#REF!</definedName>
    <definedName name="DIC._88" localSheetId="37">#REF!</definedName>
    <definedName name="DIC._88" localSheetId="38">#REF!</definedName>
    <definedName name="DIC._88" localSheetId="39">#REF!</definedName>
    <definedName name="DIC._88" localSheetId="40">#REF!</definedName>
    <definedName name="DIC._88" localSheetId="54">#REF!</definedName>
    <definedName name="DIC._88" localSheetId="55">#REF!</definedName>
    <definedName name="DIC._88" localSheetId="52">#REF!</definedName>
    <definedName name="DIC._88" localSheetId="23">#REF!</definedName>
    <definedName name="DIC._88" localSheetId="51">#REF!</definedName>
    <definedName name="DIC._88" localSheetId="53">#REF!</definedName>
    <definedName name="DIC._88" localSheetId="20">#REF!</definedName>
    <definedName name="DIC._88">#REF!</definedName>
    <definedName name="DIC._89" localSheetId="34">#REF!</definedName>
    <definedName name="DIC._89" localSheetId="35">#REF!</definedName>
    <definedName name="DIC._89" localSheetId="50">#REF!</definedName>
    <definedName name="DIC._89" localSheetId="15">#REF!</definedName>
    <definedName name="DIC._89" localSheetId="29">#REF!</definedName>
    <definedName name="DIC._89" localSheetId="30">#REF!</definedName>
    <definedName name="DIC._89" localSheetId="47">#REF!</definedName>
    <definedName name="DIC._89" localSheetId="44">#REF!</definedName>
    <definedName name="DIC._89" localSheetId="45">#REF!</definedName>
    <definedName name="DIC._89" localSheetId="46">#REF!</definedName>
    <definedName name="DIC._89" localSheetId="31">#REF!</definedName>
    <definedName name="DIC._89" localSheetId="32">#REF!</definedName>
    <definedName name="DIC._89" localSheetId="33">#REF!</definedName>
    <definedName name="DIC._89" localSheetId="36">#REF!</definedName>
    <definedName name="DIC._89" localSheetId="37">#REF!</definedName>
    <definedName name="DIC._89" localSheetId="38">#REF!</definedName>
    <definedName name="DIC._89" localSheetId="39">#REF!</definedName>
    <definedName name="DIC._89" localSheetId="40">#REF!</definedName>
    <definedName name="DIC._89" localSheetId="54">#REF!</definedName>
    <definedName name="DIC._89" localSheetId="55">#REF!</definedName>
    <definedName name="DIC._89" localSheetId="52">#REF!</definedName>
    <definedName name="DIC._89" localSheetId="23">#REF!</definedName>
    <definedName name="DIC._89" localSheetId="51">#REF!</definedName>
    <definedName name="DIC._89" localSheetId="53">#REF!</definedName>
    <definedName name="DIC._89" localSheetId="20">#REF!</definedName>
    <definedName name="DIC._89">#REF!</definedName>
    <definedName name="DIFCTO00" localSheetId="34">#REF!</definedName>
    <definedName name="DIFCTO00" localSheetId="35">#REF!</definedName>
    <definedName name="DIFCTO00" localSheetId="50">#REF!</definedName>
    <definedName name="DIFCTO00" localSheetId="15">#REF!</definedName>
    <definedName name="DIFCTO00" localSheetId="29">#REF!</definedName>
    <definedName name="DIFCTO00" localSheetId="30">#REF!</definedName>
    <definedName name="DIFCTO00" localSheetId="47">#REF!</definedName>
    <definedName name="DIFCTO00" localSheetId="44">#REF!</definedName>
    <definedName name="DIFCTO00" localSheetId="45">#REF!</definedName>
    <definedName name="DIFCTO00" localSheetId="46">#REF!</definedName>
    <definedName name="DIFCTO00" localSheetId="31">#REF!</definedName>
    <definedName name="DIFCTO00" localSheetId="32">#REF!</definedName>
    <definedName name="DIFCTO00" localSheetId="33">#REF!</definedName>
    <definedName name="DIFCTO00" localSheetId="36">#REF!</definedName>
    <definedName name="DIFCTO00" localSheetId="37">#REF!</definedName>
    <definedName name="DIFCTO00" localSheetId="38">#REF!</definedName>
    <definedName name="DIFCTO00" localSheetId="39">#REF!</definedName>
    <definedName name="DIFCTO00" localSheetId="40">#REF!</definedName>
    <definedName name="DIFCTO00" localSheetId="54">#REF!</definedName>
    <definedName name="DIFCTO00" localSheetId="55">#REF!</definedName>
    <definedName name="DIFCTO00" localSheetId="52">#REF!</definedName>
    <definedName name="DIFCTO00" localSheetId="23">#REF!</definedName>
    <definedName name="DIFCTO00" localSheetId="51">#REF!</definedName>
    <definedName name="DIFCTO00" localSheetId="53">#REF!</definedName>
    <definedName name="DIFCTO00" localSheetId="20">#REF!</definedName>
    <definedName name="DIFCTO00">#REF!</definedName>
    <definedName name="DIFCTO97" localSheetId="34">#REF!</definedName>
    <definedName name="DIFCTO97" localSheetId="35">#REF!</definedName>
    <definedName name="DIFCTO97" localSheetId="50">#REF!</definedName>
    <definedName name="DIFCTO97" localSheetId="15">#REF!</definedName>
    <definedName name="DIFCTO97" localSheetId="29">#REF!</definedName>
    <definedName name="DIFCTO97" localSheetId="30">#REF!</definedName>
    <definedName name="DIFCTO97" localSheetId="47">#REF!</definedName>
    <definedName name="DIFCTO97" localSheetId="44">#REF!</definedName>
    <definedName name="DIFCTO97" localSheetId="45">#REF!</definedName>
    <definedName name="DIFCTO97" localSheetId="46">#REF!</definedName>
    <definedName name="DIFCTO97" localSheetId="31">#REF!</definedName>
    <definedName name="DIFCTO97" localSheetId="32">#REF!</definedName>
    <definedName name="DIFCTO97" localSheetId="33">#REF!</definedName>
    <definedName name="DIFCTO97" localSheetId="36">#REF!</definedName>
    <definedName name="DIFCTO97" localSheetId="37">#REF!</definedName>
    <definedName name="DIFCTO97" localSheetId="38">#REF!</definedName>
    <definedName name="DIFCTO97" localSheetId="39">#REF!</definedName>
    <definedName name="DIFCTO97" localSheetId="40">#REF!</definedName>
    <definedName name="DIFCTO97" localSheetId="54">#REF!</definedName>
    <definedName name="DIFCTO97" localSheetId="55">#REF!</definedName>
    <definedName name="DIFCTO97" localSheetId="52">#REF!</definedName>
    <definedName name="DIFCTO97" localSheetId="23">#REF!</definedName>
    <definedName name="DIFCTO97" localSheetId="51">#REF!</definedName>
    <definedName name="DIFCTO97" localSheetId="53">#REF!</definedName>
    <definedName name="DIFCTO97" localSheetId="20">#REF!</definedName>
    <definedName name="DIFCTO97">#REF!</definedName>
    <definedName name="DIFCTO98" localSheetId="34">#REF!</definedName>
    <definedName name="DIFCTO98" localSheetId="35">#REF!</definedName>
    <definedName name="DIFCTO98" localSheetId="50">#REF!</definedName>
    <definedName name="DIFCTO98" localSheetId="15">#REF!</definedName>
    <definedName name="DIFCTO98" localSheetId="29">#REF!</definedName>
    <definedName name="DIFCTO98" localSheetId="30">#REF!</definedName>
    <definedName name="DIFCTO98" localSheetId="47">#REF!</definedName>
    <definedName name="DIFCTO98" localSheetId="44">#REF!</definedName>
    <definedName name="DIFCTO98" localSheetId="45">#REF!</definedName>
    <definedName name="DIFCTO98" localSheetId="46">#REF!</definedName>
    <definedName name="DIFCTO98" localSheetId="31">#REF!</definedName>
    <definedName name="DIFCTO98" localSheetId="32">#REF!</definedName>
    <definedName name="DIFCTO98" localSheetId="33">#REF!</definedName>
    <definedName name="DIFCTO98" localSheetId="36">#REF!</definedName>
    <definedName name="DIFCTO98" localSheetId="37">#REF!</definedName>
    <definedName name="DIFCTO98" localSheetId="38">#REF!</definedName>
    <definedName name="DIFCTO98" localSheetId="39">#REF!</definedName>
    <definedName name="DIFCTO98" localSheetId="40">#REF!</definedName>
    <definedName name="DIFCTO98" localSheetId="54">#REF!</definedName>
    <definedName name="DIFCTO98" localSheetId="55">#REF!</definedName>
    <definedName name="DIFCTO98" localSheetId="52">#REF!</definedName>
    <definedName name="DIFCTO98" localSheetId="23">#REF!</definedName>
    <definedName name="DIFCTO98" localSheetId="51">#REF!</definedName>
    <definedName name="DIFCTO98" localSheetId="53">#REF!</definedName>
    <definedName name="DIFCTO98" localSheetId="20">#REF!</definedName>
    <definedName name="DIFCTO98">#REF!</definedName>
    <definedName name="DIFCTO99" localSheetId="34">#REF!</definedName>
    <definedName name="DIFCTO99" localSheetId="35">#REF!</definedName>
    <definedName name="DIFCTO99" localSheetId="50">#REF!</definedName>
    <definedName name="DIFCTO99" localSheetId="15">#REF!</definedName>
    <definedName name="DIFCTO99" localSheetId="29">#REF!</definedName>
    <definedName name="DIFCTO99" localSheetId="30">#REF!</definedName>
    <definedName name="DIFCTO99" localSheetId="47">#REF!</definedName>
    <definedName name="DIFCTO99" localSheetId="44">#REF!</definedName>
    <definedName name="DIFCTO99" localSheetId="45">#REF!</definedName>
    <definedName name="DIFCTO99" localSheetId="46">#REF!</definedName>
    <definedName name="DIFCTO99" localSheetId="31">#REF!</definedName>
    <definedName name="DIFCTO99" localSheetId="32">#REF!</definedName>
    <definedName name="DIFCTO99" localSheetId="33">#REF!</definedName>
    <definedName name="DIFCTO99" localSheetId="36">#REF!</definedName>
    <definedName name="DIFCTO99" localSheetId="37">#REF!</definedName>
    <definedName name="DIFCTO99" localSheetId="38">#REF!</definedName>
    <definedName name="DIFCTO99" localSheetId="39">#REF!</definedName>
    <definedName name="DIFCTO99" localSheetId="40">#REF!</definedName>
    <definedName name="DIFCTO99" localSheetId="54">#REF!</definedName>
    <definedName name="DIFCTO99" localSheetId="55">#REF!</definedName>
    <definedName name="DIFCTO99" localSheetId="52">#REF!</definedName>
    <definedName name="DIFCTO99" localSheetId="23">#REF!</definedName>
    <definedName name="DIFCTO99" localSheetId="51">#REF!</definedName>
    <definedName name="DIFCTO99" localSheetId="53">#REF!</definedName>
    <definedName name="DIFCTO99" localSheetId="20">#REF!</definedName>
    <definedName name="DIFCTO99">#REF!</definedName>
    <definedName name="Discount_IDA">[78]NPV!$B$28</definedName>
    <definedName name="Discount_NC" localSheetId="50">[78]NPV!#REF!</definedName>
    <definedName name="Discount_NC" localSheetId="47">[78]NPV!#REF!</definedName>
    <definedName name="Discount_NC" localSheetId="44">[78]NPV!#REF!</definedName>
    <definedName name="Discount_NC" localSheetId="45">[78]NPV!#REF!</definedName>
    <definedName name="Discount_NC" localSheetId="46">[78]NPV!#REF!</definedName>
    <definedName name="Discount_NC" localSheetId="37">[78]NPV!#REF!</definedName>
    <definedName name="Discount_NC" localSheetId="40">[78]NPV!#REF!</definedName>
    <definedName name="Discount_NC" localSheetId="54">[78]NPV!#REF!</definedName>
    <definedName name="Discount_NC" localSheetId="55">[78]NPV!#REF!</definedName>
    <definedName name="Discount_NC" localSheetId="52">[78]NPV!#REF!</definedName>
    <definedName name="Discount_NC" localSheetId="51">[78]NPV!#REF!</definedName>
    <definedName name="Discount_NC" localSheetId="53">[78]NPV!#REF!</definedName>
    <definedName name="Discount_NC">[78]NPV!#REF!</definedName>
    <definedName name="DiscountRate" localSheetId="50">#REF!</definedName>
    <definedName name="DiscountRate" localSheetId="47">#REF!</definedName>
    <definedName name="DiscountRate" localSheetId="44">#REF!</definedName>
    <definedName name="DiscountRate" localSheetId="45">#REF!</definedName>
    <definedName name="DiscountRate" localSheetId="46">#REF!</definedName>
    <definedName name="DiscountRate" localSheetId="37">#REF!</definedName>
    <definedName name="DiscountRate" localSheetId="40">#REF!</definedName>
    <definedName name="DiscountRate" localSheetId="54">#REF!</definedName>
    <definedName name="DiscountRate" localSheetId="55">#REF!</definedName>
    <definedName name="DiscountRate" localSheetId="52">#REF!</definedName>
    <definedName name="DiscountRate" localSheetId="51">#REF!</definedName>
    <definedName name="DiscountRate" localSheetId="53">#REF!</definedName>
    <definedName name="DiscountRate">#REF!</definedName>
    <definedName name="DLX1.USE">[79]Sheet1!$B$2:$AL$5</definedName>
    <definedName name="DLX2.USE" localSheetId="34">[80]Haver!#REF!</definedName>
    <definedName name="DLX2.USE" localSheetId="35">[80]Haver!#REF!</definedName>
    <definedName name="DLX2.USE" localSheetId="50">[80]Haver!#REF!</definedName>
    <definedName name="DLX2.USE" localSheetId="15">[80]Haver!#REF!</definedName>
    <definedName name="DLX2.USE" localSheetId="29">[80]Haver!#REF!</definedName>
    <definedName name="DLX2.USE" localSheetId="30">[80]Haver!#REF!</definedName>
    <definedName name="DLX2.USE" localSheetId="47">[80]Haver!#REF!</definedName>
    <definedName name="DLX2.USE" localSheetId="44">[80]Haver!#REF!</definedName>
    <definedName name="DLX2.USE" localSheetId="45">[80]Haver!#REF!</definedName>
    <definedName name="DLX2.USE" localSheetId="46">[80]Haver!#REF!</definedName>
    <definedName name="DLX2.USE" localSheetId="31">[80]Haver!#REF!</definedName>
    <definedName name="DLX2.USE" localSheetId="32">[80]Haver!#REF!</definedName>
    <definedName name="DLX2.USE" localSheetId="33">[80]Haver!#REF!</definedName>
    <definedName name="DLX2.USE" localSheetId="36">[80]Haver!#REF!</definedName>
    <definedName name="DLX2.USE" localSheetId="37">[80]Haver!#REF!</definedName>
    <definedName name="DLX2.USE" localSheetId="38">[80]Haver!#REF!</definedName>
    <definedName name="DLX2.USE" localSheetId="39">[80]Haver!#REF!</definedName>
    <definedName name="DLX2.USE" localSheetId="40">[80]Haver!#REF!</definedName>
    <definedName name="DLX2.USE" localSheetId="54">[80]Haver!#REF!</definedName>
    <definedName name="DLX2.USE" localSheetId="55">[80]Haver!#REF!</definedName>
    <definedName name="DLX2.USE" localSheetId="52">[80]Haver!#REF!</definedName>
    <definedName name="DLX2.USE" localSheetId="23">[80]Haver!#REF!</definedName>
    <definedName name="DLX2.USE" localSheetId="51">[80]Haver!#REF!</definedName>
    <definedName name="DLX2.USE" localSheetId="53">[80]Haver!#REF!</definedName>
    <definedName name="DLX2.USE" localSheetId="20">[80]Haver!#REF!</definedName>
    <definedName name="DLX2.USE">[80]Haver!#REF!</definedName>
    <definedName name="DMBYS" localSheetId="50">[65]RESULTADOS!$86:$86</definedName>
    <definedName name="DMBYS" localSheetId="44">[65]RESULTADOS!$86:$86</definedName>
    <definedName name="DMBYS" localSheetId="54">[65]RESULTADOS!$86:$86</definedName>
    <definedName name="DMBYS" localSheetId="52">[65]RESULTADOS!$86:$86</definedName>
    <definedName name="DMBYS" localSheetId="51">[65]RESULTADOS!$86:$86</definedName>
    <definedName name="DMBYS" localSheetId="53">[65]RESULTADOS!$86:$86</definedName>
    <definedName name="DMBYS">[65]RESULTADOS!$A$86:$IV$86</definedName>
    <definedName name="DNP">[65]SUPUESTOS!A$18</definedName>
    <definedName name="DO" localSheetId="50">#REF!</definedName>
    <definedName name="DO" localSheetId="47">#REF!</definedName>
    <definedName name="DO" localSheetId="44">#REF!</definedName>
    <definedName name="DO" localSheetId="45">#REF!</definedName>
    <definedName name="DO" localSheetId="46">#REF!</definedName>
    <definedName name="DO" localSheetId="37">#REF!</definedName>
    <definedName name="DO" localSheetId="40">#REF!</definedName>
    <definedName name="DO" localSheetId="54">#REF!</definedName>
    <definedName name="DO" localSheetId="55">#REF!</definedName>
    <definedName name="DO" localSheetId="52">#REF!</definedName>
    <definedName name="DO" localSheetId="51">#REF!</definedName>
    <definedName name="DO" localSheetId="53">#REF!</definedName>
    <definedName name="DO">#REF!</definedName>
    <definedName name="docint" localSheetId="34">#REF!</definedName>
    <definedName name="docint" localSheetId="35">#REF!</definedName>
    <definedName name="docint" localSheetId="50">#REF!</definedName>
    <definedName name="docint" localSheetId="15">#REF!</definedName>
    <definedName name="docint" localSheetId="29">#REF!</definedName>
    <definedName name="docint" localSheetId="30">#REF!</definedName>
    <definedName name="docint" localSheetId="47">#REF!</definedName>
    <definedName name="docint" localSheetId="44">#REF!</definedName>
    <definedName name="docint" localSheetId="45">#REF!</definedName>
    <definedName name="docint" localSheetId="46">#REF!</definedName>
    <definedName name="docint" localSheetId="31">#REF!</definedName>
    <definedName name="docint" localSheetId="32">#REF!</definedName>
    <definedName name="docint" localSheetId="33">#REF!</definedName>
    <definedName name="docint" localSheetId="36">#REF!</definedName>
    <definedName name="docint" localSheetId="37">#REF!</definedName>
    <definedName name="docint" localSheetId="38">#REF!</definedName>
    <definedName name="docint" localSheetId="39">#REF!</definedName>
    <definedName name="docint" localSheetId="40">#REF!</definedName>
    <definedName name="docint" localSheetId="54">#REF!</definedName>
    <definedName name="docint" localSheetId="55">#REF!</definedName>
    <definedName name="docint" localSheetId="52">#REF!</definedName>
    <definedName name="docint" localSheetId="23">#REF!</definedName>
    <definedName name="docint" localSheetId="51">#REF!</definedName>
    <definedName name="docint" localSheetId="53">#REF!</definedName>
    <definedName name="docint" localSheetId="20">#REF!</definedName>
    <definedName name="docint">#REF!</definedName>
    <definedName name="DocumentLegend" localSheetId="50">#REF!</definedName>
    <definedName name="DocumentLegend" localSheetId="47">#REF!</definedName>
    <definedName name="DocumentLegend" localSheetId="44">#REF!</definedName>
    <definedName name="DocumentLegend" localSheetId="45">#REF!</definedName>
    <definedName name="DocumentLegend" localSheetId="46">#REF!</definedName>
    <definedName name="DocumentLegend" localSheetId="37">#REF!</definedName>
    <definedName name="DocumentLegend" localSheetId="40">#REF!</definedName>
    <definedName name="DocumentLegend" localSheetId="54">#REF!</definedName>
    <definedName name="DocumentLegend" localSheetId="55">#REF!</definedName>
    <definedName name="DocumentLegend" localSheetId="52">#REF!</definedName>
    <definedName name="DocumentLegend" localSheetId="51">#REF!</definedName>
    <definedName name="DocumentLegend" localSheetId="53">#REF!</definedName>
    <definedName name="DocumentLegend">#REF!</definedName>
    <definedName name="DOMAINS">'[81]Source Data'!$D$2:$D$14</definedName>
    <definedName name="DOT" localSheetId="50">#REF!</definedName>
    <definedName name="DOT" localSheetId="47">#REF!</definedName>
    <definedName name="DOT" localSheetId="44">#REF!</definedName>
    <definedName name="DOT" localSheetId="45">#REF!</definedName>
    <definedName name="DOT" localSheetId="46">#REF!</definedName>
    <definedName name="DOT" localSheetId="37">#REF!</definedName>
    <definedName name="DOT" localSheetId="40">#REF!</definedName>
    <definedName name="DOT" localSheetId="54">#REF!</definedName>
    <definedName name="DOT" localSheetId="55">#REF!</definedName>
    <definedName name="DOT" localSheetId="52">#REF!</definedName>
    <definedName name="DOT" localSheetId="51">#REF!</definedName>
    <definedName name="DOT" localSheetId="53">#REF!</definedName>
    <definedName name="DOT">#REF!</definedName>
    <definedName name="DPOB">[65]SUPUESTOS!A$7</definedName>
    <definedName name="Dproj">#N/A</definedName>
    <definedName name="DRFP" localSheetId="50">'[65]SMONET-FINANC'!$99:$99</definedName>
    <definedName name="DRFP" localSheetId="44">'[65]SMONET-FINANC'!$99:$99</definedName>
    <definedName name="DRFP" localSheetId="54">'[65]SMONET-FINANC'!$99:$99</definedName>
    <definedName name="DRFP" localSheetId="52">'[65]SMONET-FINANC'!$99:$99</definedName>
    <definedName name="DRFP" localSheetId="51">'[65]SMONET-FINANC'!$99:$99</definedName>
    <definedName name="DRFP" localSheetId="53">'[65]SMONET-FINANC'!$99:$99</definedName>
    <definedName name="DRFP">'[65]SMONET-FINANC'!$A$99:$IV$99</definedName>
    <definedName name="Drop_down1">'[82]CMIC Team Calendar'!$L$3:$L$13</definedName>
    <definedName name="DS" localSheetId="50">#REF!</definedName>
    <definedName name="DS" localSheetId="47">#REF!</definedName>
    <definedName name="DS" localSheetId="44">#REF!</definedName>
    <definedName name="DS" localSheetId="45">#REF!</definedName>
    <definedName name="DS" localSheetId="46">#REF!</definedName>
    <definedName name="DS" localSheetId="37">#REF!</definedName>
    <definedName name="DS" localSheetId="40">#REF!</definedName>
    <definedName name="DS" localSheetId="54">#REF!</definedName>
    <definedName name="DS" localSheetId="55">#REF!</definedName>
    <definedName name="DS" localSheetId="52">#REF!</definedName>
    <definedName name="DS" localSheetId="51">#REF!</definedName>
    <definedName name="DS" localSheetId="53">#REF!</definedName>
    <definedName name="DS">#REF!</definedName>
    <definedName name="DSA_Assumptions" localSheetId="50">#REF!</definedName>
    <definedName name="DSA_Assumptions" localSheetId="47">#REF!</definedName>
    <definedName name="DSA_Assumptions" localSheetId="44">#REF!</definedName>
    <definedName name="DSA_Assumptions" localSheetId="45">#REF!</definedName>
    <definedName name="DSA_Assumptions" localSheetId="46">#REF!</definedName>
    <definedName name="DSA_Assumptions" localSheetId="37">#REF!</definedName>
    <definedName name="DSA_Assumptions" localSheetId="40">#REF!</definedName>
    <definedName name="DSA_Assumptions" localSheetId="54">#REF!</definedName>
    <definedName name="DSA_Assumptions" localSheetId="55">#REF!</definedName>
    <definedName name="DSA_Assumptions" localSheetId="52">#REF!</definedName>
    <definedName name="DSA_Assumptions" localSheetId="51">#REF!</definedName>
    <definedName name="DSA_Assumptions" localSheetId="53">#REF!</definedName>
    <definedName name="DSA_Assumptions">#REF!</definedName>
    <definedName name="DSD">#N/A</definedName>
    <definedName name="DSD_S">#N/A</definedName>
    <definedName name="DSDB">#N/A</definedName>
    <definedName name="dsdf" localSheetId="50">#REF!</definedName>
    <definedName name="dsdf" localSheetId="47">#REF!</definedName>
    <definedName name="dsdf" localSheetId="44">#REF!</definedName>
    <definedName name="dsdf" localSheetId="45">#REF!</definedName>
    <definedName name="dsdf" localSheetId="46">#REF!</definedName>
    <definedName name="dsdf" localSheetId="37">#REF!</definedName>
    <definedName name="dsdf" localSheetId="40">#REF!</definedName>
    <definedName name="dsdf" localSheetId="54">#REF!</definedName>
    <definedName name="dsdf" localSheetId="55">#REF!</definedName>
    <definedName name="dsdf" localSheetId="52">#REF!</definedName>
    <definedName name="dsdf" localSheetId="51">#REF!</definedName>
    <definedName name="dsdf" localSheetId="53">#REF!</definedName>
    <definedName name="dsdf">#REF!</definedName>
    <definedName name="DSDG">#N/A</definedName>
    <definedName name="DSI" localSheetId="50">#REF!</definedName>
    <definedName name="DSI" localSheetId="47">#REF!</definedName>
    <definedName name="DSI" localSheetId="44">#REF!</definedName>
    <definedName name="DSI" localSheetId="45">#REF!</definedName>
    <definedName name="DSI" localSheetId="46">#REF!</definedName>
    <definedName name="DSI" localSheetId="37">#REF!</definedName>
    <definedName name="DSI" localSheetId="40">#REF!</definedName>
    <definedName name="DSI" localSheetId="54">#REF!</definedName>
    <definedName name="DSI" localSheetId="55">#REF!</definedName>
    <definedName name="DSI" localSheetId="52">#REF!</definedName>
    <definedName name="DSI" localSheetId="51">#REF!</definedName>
    <definedName name="DSI" localSheetId="53">#REF!</definedName>
    <definedName name="DSI">#REF!</definedName>
    <definedName name="DSIBproj">#N/A</definedName>
    <definedName name="DSIGproj">#N/A</definedName>
    <definedName name="DSIproj">#N/A</definedName>
    <definedName name="DSISD">#N/A</definedName>
    <definedName name="DSISDB">#N/A</definedName>
    <definedName name="DSISDG">#N/A</definedName>
    <definedName name="DSP" localSheetId="50">#REF!</definedName>
    <definedName name="DSP" localSheetId="47">#REF!</definedName>
    <definedName name="DSP" localSheetId="44">#REF!</definedName>
    <definedName name="DSP" localSheetId="45">#REF!</definedName>
    <definedName name="DSP" localSheetId="46">#REF!</definedName>
    <definedName name="DSP" localSheetId="37">#REF!</definedName>
    <definedName name="DSP" localSheetId="40">#REF!</definedName>
    <definedName name="DSP" localSheetId="54">#REF!</definedName>
    <definedName name="DSP" localSheetId="55">#REF!</definedName>
    <definedName name="DSP" localSheetId="52">#REF!</definedName>
    <definedName name="DSP" localSheetId="51">#REF!</definedName>
    <definedName name="DSP" localSheetId="53">#REF!</definedName>
    <definedName name="DSP">#REF!</definedName>
    <definedName name="DSPBproj">#N/A</definedName>
    <definedName name="DSPG" localSheetId="50">#REF!</definedName>
    <definedName name="DSPG" localSheetId="47">#REF!</definedName>
    <definedName name="DSPG" localSheetId="44">#REF!</definedName>
    <definedName name="DSPG" localSheetId="45">#REF!</definedName>
    <definedName name="DSPG" localSheetId="46">#REF!</definedName>
    <definedName name="DSPG" localSheetId="37">#REF!</definedName>
    <definedName name="DSPG" localSheetId="40">#REF!</definedName>
    <definedName name="DSPG" localSheetId="54">#REF!</definedName>
    <definedName name="DSPG" localSheetId="55">#REF!</definedName>
    <definedName name="DSPG" localSheetId="52">#REF!</definedName>
    <definedName name="DSPG" localSheetId="51">#REF!</definedName>
    <definedName name="DSPG" localSheetId="53">#REF!</definedName>
    <definedName name="DSPG">#REF!</definedName>
    <definedName name="DSPGproj">#N/A</definedName>
    <definedName name="DSPproj">#N/A</definedName>
    <definedName name="DSPSD">#N/A</definedName>
    <definedName name="DSPSDB">#N/A</definedName>
    <definedName name="DSPSDG">#N/A</definedName>
    <definedName name="dwa" localSheetId="50">'[40]Add-Ins'!#REF!</definedName>
    <definedName name="dwa" localSheetId="47">'[40]Add-Ins'!#REF!</definedName>
    <definedName name="dwa" localSheetId="44">'[40]Add-Ins'!#REF!</definedName>
    <definedName name="dwa" localSheetId="45">'[40]Add-Ins'!#REF!</definedName>
    <definedName name="dwa" localSheetId="46">'[40]Add-Ins'!#REF!</definedName>
    <definedName name="dwa" localSheetId="37">'[40]Add-Ins'!#REF!</definedName>
    <definedName name="dwa" localSheetId="40">'[40]Add-Ins'!#REF!</definedName>
    <definedName name="dwa" localSheetId="54">'[40]Add-Ins'!#REF!</definedName>
    <definedName name="dwa" localSheetId="55">'[40]Add-Ins'!#REF!</definedName>
    <definedName name="dwa" localSheetId="52">'[40]Add-Ins'!#REF!</definedName>
    <definedName name="dwa" localSheetId="51">'[40]Add-Ins'!#REF!</definedName>
    <definedName name="dwa" localSheetId="53">'[40]Add-Ins'!#REF!</definedName>
    <definedName name="dwa">'[40]Add-Ins'!#REF!</definedName>
    <definedName name="DXBYS" localSheetId="50">[65]RESULTADOS!$82:$82</definedName>
    <definedName name="DXBYS" localSheetId="44">[65]RESULTADOS!$82:$82</definedName>
    <definedName name="DXBYS" localSheetId="54">[65]RESULTADOS!$82:$82</definedName>
    <definedName name="DXBYS" localSheetId="52">[65]RESULTADOS!$82:$82</definedName>
    <definedName name="DXBYS" localSheetId="51">[65]RESULTADOS!$82:$82</definedName>
    <definedName name="DXBYS" localSheetId="53">[65]RESULTADOS!$82:$82</definedName>
    <definedName name="DXBYS">[65]RESULTADOS!$A$82:$IV$82</definedName>
    <definedName name="E" localSheetId="34">'[83]PIB EN CORR'!#REF!</definedName>
    <definedName name="E" localSheetId="35">'[83]PIB EN CORR'!#REF!</definedName>
    <definedName name="E" localSheetId="50">'[83]PIB EN CORR'!#REF!</definedName>
    <definedName name="E" localSheetId="15">'[83]PIB EN CORR'!#REF!</definedName>
    <definedName name="E" localSheetId="29">'[83]PIB EN CORR'!#REF!</definedName>
    <definedName name="E" localSheetId="30">'[83]PIB EN CORR'!#REF!</definedName>
    <definedName name="E" localSheetId="47">'[83]PIB EN CORR'!#REF!</definedName>
    <definedName name="E" localSheetId="44">'[83]PIB EN CORR'!#REF!</definedName>
    <definedName name="E" localSheetId="45">'[83]PIB EN CORR'!#REF!</definedName>
    <definedName name="E" localSheetId="46">'[83]PIB EN CORR'!#REF!</definedName>
    <definedName name="E" localSheetId="31">'[83]PIB EN CORR'!#REF!</definedName>
    <definedName name="E" localSheetId="32">'[83]PIB EN CORR'!#REF!</definedName>
    <definedName name="E" localSheetId="33">'[83]PIB EN CORR'!#REF!</definedName>
    <definedName name="E" localSheetId="36">'[83]PIB EN CORR'!#REF!</definedName>
    <definedName name="E" localSheetId="37">'[83]PIB EN CORR'!#REF!</definedName>
    <definedName name="E" localSheetId="38">'[83]PIB EN CORR'!#REF!</definedName>
    <definedName name="E" localSheetId="39">'[83]PIB EN CORR'!#REF!</definedName>
    <definedName name="E" localSheetId="40">'[83]PIB EN CORR'!#REF!</definedName>
    <definedName name="E" localSheetId="54">'[83]PIB EN CORR'!#REF!</definedName>
    <definedName name="E" localSheetId="55">'[83]PIB EN CORR'!#REF!</definedName>
    <definedName name="E" localSheetId="52">'[83]PIB EN CORR'!#REF!</definedName>
    <definedName name="E" localSheetId="23">'[83]PIB EN CORR'!#REF!</definedName>
    <definedName name="E" localSheetId="51">'[83]PIB EN CORR'!#REF!</definedName>
    <definedName name="E" localSheetId="53">'[83]PIB EN CORR'!#REF!</definedName>
    <definedName name="E" localSheetId="20">'[83]PIB EN CORR'!#REF!</definedName>
    <definedName name="E">'[83]PIB EN CORR'!#REF!</definedName>
    <definedName name="EBRD" localSheetId="50">#REF!</definedName>
    <definedName name="EBRD" localSheetId="47">#REF!</definedName>
    <definedName name="EBRD" localSheetId="44">#REF!</definedName>
    <definedName name="EBRD" localSheetId="45">#REF!</definedName>
    <definedName name="EBRD" localSheetId="46">#REF!</definedName>
    <definedName name="EBRD" localSheetId="37">#REF!</definedName>
    <definedName name="EBRD" localSheetId="40">#REF!</definedName>
    <definedName name="EBRD" localSheetId="54">#REF!</definedName>
    <definedName name="EBRD" localSheetId="55">#REF!</definedName>
    <definedName name="EBRD" localSheetId="52">#REF!</definedName>
    <definedName name="EBRD" localSheetId="51">#REF!</definedName>
    <definedName name="EBRD" localSheetId="53">#REF!</definedName>
    <definedName name="EBRD">#REF!</definedName>
    <definedName name="EC_Deposits_Rates" localSheetId="50">#REF!</definedName>
    <definedName name="EC_Deposits_Rates" localSheetId="47">#REF!</definedName>
    <definedName name="EC_Deposits_Rates" localSheetId="44">#REF!</definedName>
    <definedName name="EC_Deposits_Rates" localSheetId="45">#REF!</definedName>
    <definedName name="EC_Deposits_Rates" localSheetId="46">#REF!</definedName>
    <definedName name="EC_Deposits_Rates" localSheetId="37">#REF!</definedName>
    <definedName name="EC_Deposits_Rates" localSheetId="40">#REF!</definedName>
    <definedName name="EC_Deposits_Rates" localSheetId="54">#REF!</definedName>
    <definedName name="EC_Deposits_Rates" localSheetId="55">#REF!</definedName>
    <definedName name="EC_Deposits_Rates" localSheetId="52">#REF!</definedName>
    <definedName name="EC_Deposits_Rates" localSheetId="51">#REF!</definedName>
    <definedName name="EC_Deposits_Rates" localSheetId="53">#REF!</definedName>
    <definedName name="EC_Deposits_Rates" localSheetId="49">#REF!</definedName>
    <definedName name="EC_Deposits_Rates">#REF!</definedName>
    <definedName name="EC_Dollar_credits" localSheetId="50">#REF!</definedName>
    <definedName name="EC_Dollar_credits" localSheetId="47">#REF!</definedName>
    <definedName name="EC_Dollar_credits" localSheetId="44">#REF!</definedName>
    <definedName name="EC_Dollar_credits" localSheetId="45">#REF!</definedName>
    <definedName name="EC_Dollar_credits" localSheetId="46">#REF!</definedName>
    <definedName name="EC_Dollar_credits" localSheetId="37">#REF!</definedName>
    <definedName name="EC_Dollar_credits" localSheetId="40">#REF!</definedName>
    <definedName name="EC_Dollar_credits" localSheetId="54">#REF!</definedName>
    <definedName name="EC_Dollar_credits" localSheetId="55">#REF!</definedName>
    <definedName name="EC_Dollar_credits" localSheetId="52">#REF!</definedName>
    <definedName name="EC_Dollar_credits" localSheetId="51">#REF!</definedName>
    <definedName name="EC_Dollar_credits" localSheetId="53">#REF!</definedName>
    <definedName name="EC_Dollar_credits" localSheetId="49">#REF!</definedName>
    <definedName name="EC_Dollar_credits">#REF!</definedName>
    <definedName name="EC_Dollars" localSheetId="50">#REF!</definedName>
    <definedName name="EC_Dollars" localSheetId="47">#REF!</definedName>
    <definedName name="EC_Dollars" localSheetId="44">#REF!</definedName>
    <definedName name="EC_Dollars" localSheetId="45">#REF!</definedName>
    <definedName name="EC_Dollars" localSheetId="46">#REF!</definedName>
    <definedName name="EC_Dollars" localSheetId="37">#REF!</definedName>
    <definedName name="EC_Dollars" localSheetId="40">#REF!</definedName>
    <definedName name="EC_Dollars" localSheetId="54">#REF!</definedName>
    <definedName name="EC_Dollars" localSheetId="55">#REF!</definedName>
    <definedName name="EC_Dollars" localSheetId="52">#REF!</definedName>
    <definedName name="EC_Dollars" localSheetId="51">#REF!</definedName>
    <definedName name="EC_Dollars" localSheetId="53">#REF!</definedName>
    <definedName name="EC_Dollars" localSheetId="49">#REF!</definedName>
    <definedName name="EC_Dollars">#REF!</definedName>
    <definedName name="ECCB" localSheetId="50">#REF!</definedName>
    <definedName name="ECCB" localSheetId="47">#REF!</definedName>
    <definedName name="ECCB" localSheetId="44">#REF!</definedName>
    <definedName name="ECCB" localSheetId="45">#REF!</definedName>
    <definedName name="ECCB" localSheetId="46">#REF!</definedName>
    <definedName name="ECCB" localSheetId="37">#REF!</definedName>
    <definedName name="ECCB" localSheetId="40">#REF!</definedName>
    <definedName name="ECCB" localSheetId="54">#REF!</definedName>
    <definedName name="ECCB" localSheetId="55">#REF!</definedName>
    <definedName name="ECCB" localSheetId="52">#REF!</definedName>
    <definedName name="ECCB" localSheetId="51">#REF!</definedName>
    <definedName name="ECCB" localSheetId="53">#REF!</definedName>
    <definedName name="ECCB">#REF!</definedName>
    <definedName name="Economic_sectors">'[84]Schedule 12'!$D$37</definedName>
    <definedName name="EDNA">#N/A</definedName>
    <definedName name="EDNA_B" localSheetId="50">[72]Q6!#REF!</definedName>
    <definedName name="EDNA_B" localSheetId="47">[72]Q6!#REF!</definedName>
    <definedName name="EDNA_B" localSheetId="44">[72]Q6!#REF!</definedName>
    <definedName name="EDNA_B" localSheetId="45">[72]Q6!#REF!</definedName>
    <definedName name="EDNA_B" localSheetId="46">[72]Q6!#REF!</definedName>
    <definedName name="EDNA_B" localSheetId="37">[72]Q6!#REF!</definedName>
    <definedName name="EDNA_B" localSheetId="40">[72]Q6!#REF!</definedName>
    <definedName name="EDNA_B" localSheetId="54">[72]Q6!#REF!</definedName>
    <definedName name="EDNA_B" localSheetId="55">[72]Q6!#REF!</definedName>
    <definedName name="EDNA_B" localSheetId="52">[72]Q6!#REF!</definedName>
    <definedName name="EDNA_B" localSheetId="51">[72]Q6!#REF!</definedName>
    <definedName name="EDNA_B" localSheetId="53">[72]Q6!#REF!</definedName>
    <definedName name="EDNA_B">[72]Q6!#REF!</definedName>
    <definedName name="EDNA_D" localSheetId="50">[72]Q7!#REF!</definedName>
    <definedName name="EDNA_D" localSheetId="47">[72]Q7!#REF!</definedName>
    <definedName name="EDNA_D" localSheetId="44">[72]Q7!#REF!</definedName>
    <definedName name="EDNA_D" localSheetId="45">[72]Q7!#REF!</definedName>
    <definedName name="EDNA_D" localSheetId="46">[72]Q7!#REF!</definedName>
    <definedName name="EDNA_D" localSheetId="37">[72]Q7!#REF!</definedName>
    <definedName name="EDNA_D" localSheetId="40">[72]Q7!#REF!</definedName>
    <definedName name="EDNA_D" localSheetId="54">[72]Q7!#REF!</definedName>
    <definedName name="EDNA_D" localSheetId="55">[72]Q7!#REF!</definedName>
    <definedName name="EDNA_D" localSheetId="52">[72]Q7!#REF!</definedName>
    <definedName name="EDNA_D" localSheetId="51">[72]Q7!#REF!</definedName>
    <definedName name="EDNA_D" localSheetId="53">[72]Q7!#REF!</definedName>
    <definedName name="EDNA_D">[72]Q7!#REF!</definedName>
    <definedName name="EDNA_T" localSheetId="50">[72]Q5!#REF!</definedName>
    <definedName name="EDNA_T" localSheetId="47">[72]Q5!#REF!</definedName>
    <definedName name="EDNA_T" localSheetId="44">[72]Q5!#REF!</definedName>
    <definedName name="EDNA_T" localSheetId="45">[72]Q5!#REF!</definedName>
    <definedName name="EDNA_T" localSheetId="46">[72]Q5!#REF!</definedName>
    <definedName name="EDNA_T" localSheetId="37">[72]Q5!#REF!</definedName>
    <definedName name="EDNA_T" localSheetId="40">[72]Q5!#REF!</definedName>
    <definedName name="EDNA_T" localSheetId="54">[72]Q5!#REF!</definedName>
    <definedName name="EDNA_T" localSheetId="55">[72]Q5!#REF!</definedName>
    <definedName name="EDNA_T" localSheetId="52">[72]Q5!#REF!</definedName>
    <definedName name="EDNA_T" localSheetId="51">[72]Q5!#REF!</definedName>
    <definedName name="EDNA_T" localSheetId="53">[72]Q5!#REF!</definedName>
    <definedName name="EDNA_T">[72]Q5!#REF!</definedName>
    <definedName name="EDNE" localSheetId="50">[72]Q7!#REF!</definedName>
    <definedName name="EDNE" localSheetId="47">[72]Q7!#REF!</definedName>
    <definedName name="EDNE" localSheetId="44">[72]Q7!#REF!</definedName>
    <definedName name="EDNE" localSheetId="45">[72]Q7!#REF!</definedName>
    <definedName name="EDNE" localSheetId="46">[72]Q7!#REF!</definedName>
    <definedName name="EDNE" localSheetId="37">[72]Q7!#REF!</definedName>
    <definedName name="EDNE" localSheetId="40">[72]Q7!#REF!</definedName>
    <definedName name="EDNE" localSheetId="54">[72]Q7!#REF!</definedName>
    <definedName name="EDNE" localSheetId="55">[72]Q7!#REF!</definedName>
    <definedName name="EDNE" localSheetId="52">[72]Q7!#REF!</definedName>
    <definedName name="EDNE" localSheetId="51">[72]Q7!#REF!</definedName>
    <definedName name="EDNE" localSheetId="53">[72]Q7!#REF!</definedName>
    <definedName name="EDNE">[72]Q7!#REF!</definedName>
    <definedName name="edr" localSheetId="58" hidden="1">{"Riqfin97",#N/A,FALSE,"Tran";"Riqfinpro",#N/A,FALSE,"Tran"}</definedName>
    <definedName name="edr" localSheetId="16" hidden="1">{"Riqfin97",#N/A,FALSE,"Tran";"Riqfinpro",#N/A,FALSE,"Tran"}</definedName>
    <definedName name="edr" localSheetId="61" hidden="1">{"Riqfin97",#N/A,FALSE,"Tran";"Riqfinpro",#N/A,FALSE,"Tran"}</definedName>
    <definedName name="edr" localSheetId="62" hidden="1">{"Riqfin97",#N/A,FALSE,"Tran";"Riqfinpro",#N/A,FALSE,"Tran"}</definedName>
    <definedName name="edr" localSheetId="50" hidden="1">{"Riqfin97",#N/A,FALSE,"Tran";"Riqfinpro",#N/A,FALSE,"Tran"}</definedName>
    <definedName name="edr" localSheetId="63" hidden="1">{"Riqfin97",#N/A,FALSE,"Tran";"Riqfinpro",#N/A,FALSE,"Tran"}</definedName>
    <definedName name="edr" localSheetId="15" hidden="1">{"Riqfin97",#N/A,FALSE,"Tran";"Riqfinpro",#N/A,FALSE,"Tran"}</definedName>
    <definedName name="edr" localSheetId="1" hidden="1">{"Riqfin97",#N/A,FALSE,"Tran";"Riqfinpro",#N/A,FALSE,"Tran"}</definedName>
    <definedName name="edr" localSheetId="43" hidden="1">{"Riqfin97",#N/A,FALSE,"Tran";"Riqfinpro",#N/A,FALSE,"Tran"}</definedName>
    <definedName name="edr" localSheetId="29" hidden="1">{"Riqfin97",#N/A,FALSE,"Tran";"Riqfinpro",#N/A,FALSE,"Tran"}</definedName>
    <definedName name="edr" localSheetId="30" hidden="1">{"Riqfin97",#N/A,FALSE,"Tran";"Riqfinpro",#N/A,FALSE,"Tran"}</definedName>
    <definedName name="edr" localSheetId="44" hidden="1">{"Riqfin97",#N/A,FALSE,"Tran";"Riqfinpro",#N/A,FALSE,"Tran"}</definedName>
    <definedName name="edr" localSheetId="59" hidden="1">{"Riqfin97",#N/A,FALSE,"Tran";"Riqfinpro",#N/A,FALSE,"Tran"}</definedName>
    <definedName name="edr" localSheetId="13" hidden="1">{"Riqfin97",#N/A,FALSE,"Tran";"Riqfinpro",#N/A,FALSE,"Tran"}</definedName>
    <definedName name="edr" localSheetId="0" hidden="1">{"Riqfin97",#N/A,FALSE,"Tran";"Riqfinpro",#N/A,FALSE,"Tran"}</definedName>
    <definedName name="edr" localSheetId="57" hidden="1">{"Riqfin97",#N/A,FALSE,"Tran";"Riqfinpro",#N/A,FALSE,"Tran"}</definedName>
    <definedName name="edr" localSheetId="56" hidden="1">{"Riqfin97",#N/A,FALSE,"Tran";"Riqfinpro",#N/A,FALSE,"Tran"}</definedName>
    <definedName name="edr" localSheetId="54" hidden="1">{"Riqfin97",#N/A,FALSE,"Tran";"Riqfinpro",#N/A,FALSE,"Tran"}</definedName>
    <definedName name="edr" localSheetId="52" hidden="1">{"Riqfin97",#N/A,FALSE,"Tran";"Riqfinpro",#N/A,FALSE,"Tran"}</definedName>
    <definedName name="edr" localSheetId="23" hidden="1">{"Riqfin97",#N/A,FALSE,"Tran";"Riqfinpro",#N/A,FALSE,"Tran"}</definedName>
    <definedName name="edr" localSheetId="51" hidden="1">{"Riqfin97",#N/A,FALSE,"Tran";"Riqfinpro",#N/A,FALSE,"Tran"}</definedName>
    <definedName name="edr" localSheetId="53" hidden="1">{"Riqfin97",#N/A,FALSE,"Tran";"Riqfinpro",#N/A,FALSE,"Tran"}</definedName>
    <definedName name="edr" localSheetId="60" hidden="1">{"Riqfin97",#N/A,FALSE,"Tran";"Riqfinpro",#N/A,FALSE,"Tran"}</definedName>
    <definedName name="edr" hidden="1">{"Riqfin97",#N/A,FALSE,"Tran";"Riqfinpro",#N/A,FALSE,"Tran"}</definedName>
    <definedName name="ee" localSheetId="58" hidden="1">{"Tab1",#N/A,FALSE,"P";"Tab2",#N/A,FALSE,"P"}</definedName>
    <definedName name="ee" localSheetId="16" hidden="1">{"Tab1",#N/A,FALSE,"P";"Tab2",#N/A,FALSE,"P"}</definedName>
    <definedName name="ee" localSheetId="61" hidden="1">{"Tab1",#N/A,FALSE,"P";"Tab2",#N/A,FALSE,"P"}</definedName>
    <definedName name="ee" localSheetId="62" hidden="1">{"Tab1",#N/A,FALSE,"P";"Tab2",#N/A,FALSE,"P"}</definedName>
    <definedName name="ee" localSheetId="50" hidden="1">{"Tab1",#N/A,FALSE,"P";"Tab2",#N/A,FALSE,"P"}</definedName>
    <definedName name="ee" localSheetId="63" hidden="1">{"Tab1",#N/A,FALSE,"P";"Tab2",#N/A,FALSE,"P"}</definedName>
    <definedName name="ee" localSheetId="15" hidden="1">{"Tab1",#N/A,FALSE,"P";"Tab2",#N/A,FALSE,"P"}</definedName>
    <definedName name="ee" localSheetId="1" hidden="1">{"Tab1",#N/A,FALSE,"P";"Tab2",#N/A,FALSE,"P"}</definedName>
    <definedName name="ee" localSheetId="43" hidden="1">{"Tab1",#N/A,FALSE,"P";"Tab2",#N/A,FALSE,"P"}</definedName>
    <definedName name="ee" localSheetId="29" hidden="1">{"Tab1",#N/A,FALSE,"P";"Tab2",#N/A,FALSE,"P"}</definedName>
    <definedName name="ee" localSheetId="30" hidden="1">{"Tab1",#N/A,FALSE,"P";"Tab2",#N/A,FALSE,"P"}</definedName>
    <definedName name="ee" localSheetId="44" hidden="1">{"Tab1",#N/A,FALSE,"P";"Tab2",#N/A,FALSE,"P"}</definedName>
    <definedName name="ee" localSheetId="59" hidden="1">{"Tab1",#N/A,FALSE,"P";"Tab2",#N/A,FALSE,"P"}</definedName>
    <definedName name="ee" localSheetId="13" hidden="1">{"Tab1",#N/A,FALSE,"P";"Tab2",#N/A,FALSE,"P"}</definedName>
    <definedName name="ee" localSheetId="0" hidden="1">{"Tab1",#N/A,FALSE,"P";"Tab2",#N/A,FALSE,"P"}</definedName>
    <definedName name="ee" localSheetId="57" hidden="1">{"Tab1",#N/A,FALSE,"P";"Tab2",#N/A,FALSE,"P"}</definedName>
    <definedName name="ee" localSheetId="56" hidden="1">{"Tab1",#N/A,FALSE,"P";"Tab2",#N/A,FALSE,"P"}</definedName>
    <definedName name="ee" localSheetId="54" hidden="1">{"Tab1",#N/A,FALSE,"P";"Tab2",#N/A,FALSE,"P"}</definedName>
    <definedName name="ee" localSheetId="52" hidden="1">{"Tab1",#N/A,FALSE,"P";"Tab2",#N/A,FALSE,"P"}</definedName>
    <definedName name="ee" localSheetId="23" hidden="1">{"Tab1",#N/A,FALSE,"P";"Tab2",#N/A,FALSE,"P"}</definedName>
    <definedName name="ee" localSheetId="51" hidden="1">{"Tab1",#N/A,FALSE,"P";"Tab2",#N/A,FALSE,"P"}</definedName>
    <definedName name="ee" localSheetId="53" hidden="1">{"Tab1",#N/A,FALSE,"P";"Tab2",#N/A,FALSE,"P"}</definedName>
    <definedName name="ee" localSheetId="60" hidden="1">{"Tab1",#N/A,FALSE,"P";"Tab2",#N/A,FALSE,"P"}</definedName>
    <definedName name="ee" hidden="1">{"Tab1",#N/A,FALSE,"P";"Tab2",#N/A,FALSE,"P"}</definedName>
    <definedName name="eee" localSheetId="58" hidden="1">{"Tab1",#N/A,FALSE,"P";"Tab2",#N/A,FALSE,"P"}</definedName>
    <definedName name="eee" localSheetId="16" hidden="1">{"Tab1",#N/A,FALSE,"P";"Tab2",#N/A,FALSE,"P"}</definedName>
    <definedName name="eee" localSheetId="61" hidden="1">{"Tab1",#N/A,FALSE,"P";"Tab2",#N/A,FALSE,"P"}</definedName>
    <definedName name="eee" localSheetId="62" hidden="1">{"Tab1",#N/A,FALSE,"P";"Tab2",#N/A,FALSE,"P"}</definedName>
    <definedName name="eee" localSheetId="50" hidden="1">'[85]Treasury Bills FEB'!$F$4:$F$5</definedName>
    <definedName name="eee" localSheetId="63" hidden="1">{"Tab1",#N/A,FALSE,"P";"Tab2",#N/A,FALSE,"P"}</definedName>
    <definedName name="eee" localSheetId="15" hidden="1">{"Tab1",#N/A,FALSE,"P";"Tab2",#N/A,FALSE,"P"}</definedName>
    <definedName name="eee" localSheetId="1" hidden="1">{"Tab1",#N/A,FALSE,"P";"Tab2",#N/A,FALSE,"P"}</definedName>
    <definedName name="eee" localSheetId="43" hidden="1">{"Tab1",#N/A,FALSE,"P";"Tab2",#N/A,FALSE,"P"}</definedName>
    <definedName name="eee" localSheetId="29" hidden="1">{"Tab1",#N/A,FALSE,"P";"Tab2",#N/A,FALSE,"P"}</definedName>
    <definedName name="eee" localSheetId="30" hidden="1">{"Tab1",#N/A,FALSE,"P";"Tab2",#N/A,FALSE,"P"}</definedName>
    <definedName name="eee" localSheetId="44" hidden="1">'[85]Treasury Bills FEB'!$F$4:$F$5</definedName>
    <definedName name="eee" localSheetId="59" hidden="1">{"Tab1",#N/A,FALSE,"P";"Tab2",#N/A,FALSE,"P"}</definedName>
    <definedName name="eee" localSheetId="13" hidden="1">{"Tab1",#N/A,FALSE,"P";"Tab2",#N/A,FALSE,"P"}</definedName>
    <definedName name="eee" localSheetId="0" hidden="1">{"Tab1",#N/A,FALSE,"P";"Tab2",#N/A,FALSE,"P"}</definedName>
    <definedName name="eee" localSheetId="57" hidden="1">{"Tab1",#N/A,FALSE,"P";"Tab2",#N/A,FALSE,"P"}</definedName>
    <definedName name="eee" localSheetId="56" hidden="1">{"Tab1",#N/A,FALSE,"P";"Tab2",#N/A,FALSE,"P"}</definedName>
    <definedName name="eee" localSheetId="54" hidden="1">'[85]Treasury Bills FEB'!$F$4:$F$5</definedName>
    <definedName name="eee" localSheetId="52" hidden="1">'[85]Treasury Bills FEB'!$F$4:$F$5</definedName>
    <definedName name="eee" localSheetId="23" hidden="1">{"Tab1",#N/A,FALSE,"P";"Tab2",#N/A,FALSE,"P"}</definedName>
    <definedName name="eee" localSheetId="51" hidden="1">'[85]Treasury Bills FEB'!$F$4:$F$5</definedName>
    <definedName name="eee" localSheetId="53" hidden="1">'[85]Treasury Bills FEB'!$F$4:$F$5</definedName>
    <definedName name="eee" localSheetId="60" hidden="1">{"Tab1",#N/A,FALSE,"P";"Tab2",#N/A,FALSE,"P"}</definedName>
    <definedName name="eee" hidden="1">{"Tab1",#N/A,FALSE,"P";"Tab2",#N/A,FALSE,"P"}</definedName>
    <definedName name="eeee" localSheetId="58" hidden="1">{"Riqfin97",#N/A,FALSE,"Tran";"Riqfinpro",#N/A,FALSE,"Tran"}</definedName>
    <definedName name="eeee" localSheetId="16" hidden="1">{"Riqfin97",#N/A,FALSE,"Tran";"Riqfinpro",#N/A,FALSE,"Tran"}</definedName>
    <definedName name="eeee" localSheetId="61" hidden="1">{"Riqfin97",#N/A,FALSE,"Tran";"Riqfinpro",#N/A,FALSE,"Tran"}</definedName>
    <definedName name="eeee" localSheetId="62" hidden="1">{"Riqfin97",#N/A,FALSE,"Tran";"Riqfinpro",#N/A,FALSE,"Tran"}</definedName>
    <definedName name="eeee" localSheetId="50" hidden="1">{"Riqfin97",#N/A,FALSE,"Tran";"Riqfinpro",#N/A,FALSE,"Tran"}</definedName>
    <definedName name="eeee" localSheetId="63" hidden="1">{"Riqfin97",#N/A,FALSE,"Tran";"Riqfinpro",#N/A,FALSE,"Tran"}</definedName>
    <definedName name="eeee" localSheetId="15" hidden="1">{"Riqfin97",#N/A,FALSE,"Tran";"Riqfinpro",#N/A,FALSE,"Tran"}</definedName>
    <definedName name="eeee" localSheetId="1" hidden="1">{"Riqfin97",#N/A,FALSE,"Tran";"Riqfinpro",#N/A,FALSE,"Tran"}</definedName>
    <definedName name="eeee" localSheetId="43" hidden="1">{"Riqfin97",#N/A,FALSE,"Tran";"Riqfinpro",#N/A,FALSE,"Tran"}</definedName>
    <definedName name="eeee" localSheetId="29" hidden="1">{"Riqfin97",#N/A,FALSE,"Tran";"Riqfinpro",#N/A,FALSE,"Tran"}</definedName>
    <definedName name="eeee" localSheetId="30" hidden="1">{"Riqfin97",#N/A,FALSE,"Tran";"Riqfinpro",#N/A,FALSE,"Tran"}</definedName>
    <definedName name="eeee" localSheetId="44" hidden="1">{"Riqfin97",#N/A,FALSE,"Tran";"Riqfinpro",#N/A,FALSE,"Tran"}</definedName>
    <definedName name="eeee" localSheetId="59" hidden="1">{"Riqfin97",#N/A,FALSE,"Tran";"Riqfinpro",#N/A,FALSE,"Tran"}</definedName>
    <definedName name="eeee" localSheetId="13" hidden="1">{"Riqfin97",#N/A,FALSE,"Tran";"Riqfinpro",#N/A,FALSE,"Tran"}</definedName>
    <definedName name="eeee" localSheetId="0" hidden="1">{"Riqfin97",#N/A,FALSE,"Tran";"Riqfinpro",#N/A,FALSE,"Tran"}</definedName>
    <definedName name="eeee" localSheetId="57" hidden="1">{"Riqfin97",#N/A,FALSE,"Tran";"Riqfinpro",#N/A,FALSE,"Tran"}</definedName>
    <definedName name="eeee" localSheetId="56" hidden="1">{"Riqfin97",#N/A,FALSE,"Tran";"Riqfinpro",#N/A,FALSE,"Tran"}</definedName>
    <definedName name="eeee" localSheetId="54" hidden="1">{"Riqfin97",#N/A,FALSE,"Tran";"Riqfinpro",#N/A,FALSE,"Tran"}</definedName>
    <definedName name="eeee" localSheetId="52" hidden="1">{"Riqfin97",#N/A,FALSE,"Tran";"Riqfinpro",#N/A,FALSE,"Tran"}</definedName>
    <definedName name="eeee" localSheetId="23" hidden="1">{"Riqfin97",#N/A,FALSE,"Tran";"Riqfinpro",#N/A,FALSE,"Tran"}</definedName>
    <definedName name="eeee" localSheetId="51" hidden="1">{"Riqfin97",#N/A,FALSE,"Tran";"Riqfinpro",#N/A,FALSE,"Tran"}</definedName>
    <definedName name="eeee" localSheetId="53" hidden="1">{"Riqfin97",#N/A,FALSE,"Tran";"Riqfinpro",#N/A,FALSE,"Tran"}</definedName>
    <definedName name="eeee" localSheetId="60" hidden="1">{"Riqfin97",#N/A,FALSE,"Tran";"Riqfinpro",#N/A,FALSE,"Tran"}</definedName>
    <definedName name="eeee" hidden="1">{"Riqfin97",#N/A,FALSE,"Tran";"Riqfinpro",#N/A,FALSE,"Tran"}</definedName>
    <definedName name="eeeee" localSheetId="58" hidden="1">{"Riqfin97",#N/A,FALSE,"Tran";"Riqfinpro",#N/A,FALSE,"Tran"}</definedName>
    <definedName name="eeeee" localSheetId="16" hidden="1">{"Riqfin97",#N/A,FALSE,"Tran";"Riqfinpro",#N/A,FALSE,"Tran"}</definedName>
    <definedName name="eeeee" localSheetId="61" hidden="1">{"Riqfin97",#N/A,FALSE,"Tran";"Riqfinpro",#N/A,FALSE,"Tran"}</definedName>
    <definedName name="eeeee" localSheetId="62" hidden="1">{"Riqfin97",#N/A,FALSE,"Tran";"Riqfinpro",#N/A,FALSE,"Tran"}</definedName>
    <definedName name="eeeee" localSheetId="50" hidden="1">{"Riqfin97",#N/A,FALSE,"Tran";"Riqfinpro",#N/A,FALSE,"Tran"}</definedName>
    <definedName name="eeeee" localSheetId="63" hidden="1">{"Riqfin97",#N/A,FALSE,"Tran";"Riqfinpro",#N/A,FALSE,"Tran"}</definedName>
    <definedName name="eeeee" localSheetId="15" hidden="1">{"Riqfin97",#N/A,FALSE,"Tran";"Riqfinpro",#N/A,FALSE,"Tran"}</definedName>
    <definedName name="eeeee" localSheetId="1" hidden="1">{"Riqfin97",#N/A,FALSE,"Tran";"Riqfinpro",#N/A,FALSE,"Tran"}</definedName>
    <definedName name="eeeee" localSheetId="43" hidden="1">{"Riqfin97",#N/A,FALSE,"Tran";"Riqfinpro",#N/A,FALSE,"Tran"}</definedName>
    <definedName name="eeeee" localSheetId="29" hidden="1">{"Riqfin97",#N/A,FALSE,"Tran";"Riqfinpro",#N/A,FALSE,"Tran"}</definedName>
    <definedName name="eeeee" localSheetId="30" hidden="1">{"Riqfin97",#N/A,FALSE,"Tran";"Riqfinpro",#N/A,FALSE,"Tran"}</definedName>
    <definedName name="eeeee" localSheetId="44" hidden="1">{"Riqfin97",#N/A,FALSE,"Tran";"Riqfinpro",#N/A,FALSE,"Tran"}</definedName>
    <definedName name="eeeee" localSheetId="59" hidden="1">{"Riqfin97",#N/A,FALSE,"Tran";"Riqfinpro",#N/A,FALSE,"Tran"}</definedName>
    <definedName name="eeeee" localSheetId="13" hidden="1">{"Riqfin97",#N/A,FALSE,"Tran";"Riqfinpro",#N/A,FALSE,"Tran"}</definedName>
    <definedName name="eeeee" localSheetId="0" hidden="1">{"Riqfin97",#N/A,FALSE,"Tran";"Riqfinpro",#N/A,FALSE,"Tran"}</definedName>
    <definedName name="eeeee" localSheetId="57" hidden="1">{"Riqfin97",#N/A,FALSE,"Tran";"Riqfinpro",#N/A,FALSE,"Tran"}</definedName>
    <definedName name="eeeee" localSheetId="56" hidden="1">{"Riqfin97",#N/A,FALSE,"Tran";"Riqfinpro",#N/A,FALSE,"Tran"}</definedName>
    <definedName name="eeeee" localSheetId="54" hidden="1">{"Riqfin97",#N/A,FALSE,"Tran";"Riqfinpro",#N/A,FALSE,"Tran"}</definedName>
    <definedName name="eeeee" localSheetId="52" hidden="1">{"Riqfin97",#N/A,FALSE,"Tran";"Riqfinpro",#N/A,FALSE,"Tran"}</definedName>
    <definedName name="eeeee" localSheetId="23" hidden="1">{"Riqfin97",#N/A,FALSE,"Tran";"Riqfinpro",#N/A,FALSE,"Tran"}</definedName>
    <definedName name="eeeee" localSheetId="51" hidden="1">{"Riqfin97",#N/A,FALSE,"Tran";"Riqfinpro",#N/A,FALSE,"Tran"}</definedName>
    <definedName name="eeeee" localSheetId="53" hidden="1">{"Riqfin97",#N/A,FALSE,"Tran";"Riqfinpro",#N/A,FALSE,"Tran"}</definedName>
    <definedName name="eeeee" localSheetId="60" hidden="1">{"Riqfin97",#N/A,FALSE,"Tran";"Riqfinpro",#N/A,FALSE,"Tran"}</definedName>
    <definedName name="eeeee" hidden="1">{"Riqfin97",#N/A,FALSE,"Tran";"Riqfinpro",#N/A,FALSE,"Tran"}</definedName>
    <definedName name="Elec" localSheetId="34">#REF!</definedName>
    <definedName name="Elec" localSheetId="35">#REF!</definedName>
    <definedName name="Elec" localSheetId="15">#REF!</definedName>
    <definedName name="Elec" localSheetId="29">#REF!</definedName>
    <definedName name="Elec" localSheetId="30">#REF!</definedName>
    <definedName name="Elec" localSheetId="47">#REF!</definedName>
    <definedName name="Elec" localSheetId="44">#REF!</definedName>
    <definedName name="Elec" localSheetId="45">#REF!</definedName>
    <definedName name="Elec" localSheetId="46">#REF!</definedName>
    <definedName name="Elec" localSheetId="31">#REF!</definedName>
    <definedName name="Elec" localSheetId="32">#REF!</definedName>
    <definedName name="Elec" localSheetId="33">#REF!</definedName>
    <definedName name="Elec" localSheetId="36">#REF!</definedName>
    <definedName name="Elec" localSheetId="37">#REF!</definedName>
    <definedName name="Elec" localSheetId="38">#REF!</definedName>
    <definedName name="Elec" localSheetId="39">#REF!</definedName>
    <definedName name="Elec" localSheetId="40">#REF!</definedName>
    <definedName name="Elec" localSheetId="54">#REF!</definedName>
    <definedName name="Elec" localSheetId="55">#REF!</definedName>
    <definedName name="Elec" localSheetId="52">#REF!</definedName>
    <definedName name="Elec" localSheetId="23">#REF!</definedName>
    <definedName name="Elec" localSheetId="51">#REF!</definedName>
    <definedName name="Elec" localSheetId="53">#REF!</definedName>
    <definedName name="Elec">#REF!</definedName>
    <definedName name="elect" localSheetId="34">#REF!</definedName>
    <definedName name="elect" localSheetId="35">#REF!</definedName>
    <definedName name="elect" localSheetId="50">#REF!</definedName>
    <definedName name="elect" localSheetId="15">#REF!</definedName>
    <definedName name="elect" localSheetId="29">#REF!</definedName>
    <definedName name="elect" localSheetId="30">#REF!</definedName>
    <definedName name="elect" localSheetId="47">#REF!</definedName>
    <definedName name="elect" localSheetId="44">#REF!</definedName>
    <definedName name="elect" localSheetId="45">#REF!</definedName>
    <definedName name="elect" localSheetId="46">#REF!</definedName>
    <definedName name="elect" localSheetId="31">#REF!</definedName>
    <definedName name="elect" localSheetId="32">#REF!</definedName>
    <definedName name="elect" localSheetId="33">#REF!</definedName>
    <definedName name="elect" localSheetId="36">#REF!</definedName>
    <definedName name="elect" localSheetId="37">#REF!</definedName>
    <definedName name="elect" localSheetId="38">#REF!</definedName>
    <definedName name="elect" localSheetId="39">#REF!</definedName>
    <definedName name="elect" localSheetId="40">#REF!</definedName>
    <definedName name="elect" localSheetId="54">#REF!</definedName>
    <definedName name="elect" localSheetId="55">#REF!</definedName>
    <definedName name="elect" localSheetId="52">#REF!</definedName>
    <definedName name="elect" localSheetId="23">#REF!</definedName>
    <definedName name="elect" localSheetId="51">#REF!</definedName>
    <definedName name="elect" localSheetId="53">#REF!</definedName>
    <definedName name="elect" localSheetId="20">#REF!</definedName>
    <definedName name="elect">#REF!</definedName>
    <definedName name="EMETEL" localSheetId="34">#REF!</definedName>
    <definedName name="EMETEL" localSheetId="35">#REF!</definedName>
    <definedName name="EMETEL" localSheetId="50">#REF!</definedName>
    <definedName name="EMETEL" localSheetId="15">#REF!</definedName>
    <definedName name="EMETEL" localSheetId="29">#REF!</definedName>
    <definedName name="EMETEL" localSheetId="30">#REF!</definedName>
    <definedName name="EMETEL" localSheetId="47">#REF!</definedName>
    <definedName name="EMETEL" localSheetId="44">#REF!</definedName>
    <definedName name="EMETEL" localSheetId="45">#REF!</definedName>
    <definedName name="EMETEL" localSheetId="46">#REF!</definedName>
    <definedName name="EMETEL" localSheetId="31">#REF!</definedName>
    <definedName name="EMETEL" localSheetId="32">#REF!</definedName>
    <definedName name="EMETEL" localSheetId="33">#REF!</definedName>
    <definedName name="EMETEL" localSheetId="36">#REF!</definedName>
    <definedName name="EMETEL" localSheetId="37">#REF!</definedName>
    <definedName name="EMETEL" localSheetId="38">#REF!</definedName>
    <definedName name="EMETEL" localSheetId="39">#REF!</definedName>
    <definedName name="EMETEL" localSheetId="40">#REF!</definedName>
    <definedName name="EMETEL" localSheetId="54">#REF!</definedName>
    <definedName name="EMETEL" localSheetId="55">#REF!</definedName>
    <definedName name="EMETEL" localSheetId="52">#REF!</definedName>
    <definedName name="EMETEL" localSheetId="23">#REF!</definedName>
    <definedName name="EMETEL" localSheetId="51">#REF!</definedName>
    <definedName name="EMETEL" localSheetId="53">#REF!</definedName>
    <definedName name="EMETEL" localSheetId="20">#REF!</definedName>
    <definedName name="EMETEL">#REF!</definedName>
    <definedName name="emi98j" localSheetId="34">[27]Programa!#REF!</definedName>
    <definedName name="emi98j" localSheetId="35">[27]Programa!#REF!</definedName>
    <definedName name="emi98j" localSheetId="50">[27]Programa!#REF!</definedName>
    <definedName name="emi98j" localSheetId="15">[27]Programa!#REF!</definedName>
    <definedName name="emi98j" localSheetId="29">[27]Programa!#REF!</definedName>
    <definedName name="emi98j" localSheetId="30">[27]Programa!#REF!</definedName>
    <definedName name="emi98j" localSheetId="47">[27]Programa!#REF!</definedName>
    <definedName name="emi98j" localSheetId="44">[27]Programa!#REF!</definedName>
    <definedName name="emi98j" localSheetId="45">[27]Programa!#REF!</definedName>
    <definedName name="emi98j" localSheetId="46">[27]Programa!#REF!</definedName>
    <definedName name="emi98j" localSheetId="31">[27]Programa!#REF!</definedName>
    <definedName name="emi98j" localSheetId="32">[27]Programa!#REF!</definedName>
    <definedName name="emi98j" localSheetId="33">[27]Programa!#REF!</definedName>
    <definedName name="emi98j" localSheetId="36">[27]Programa!#REF!</definedName>
    <definedName name="emi98j" localSheetId="37">[27]Programa!#REF!</definedName>
    <definedName name="emi98j" localSheetId="38">[27]Programa!#REF!</definedName>
    <definedName name="emi98j" localSheetId="39">[27]Programa!#REF!</definedName>
    <definedName name="emi98j" localSheetId="40">[27]Programa!#REF!</definedName>
    <definedName name="emi98j" localSheetId="54">[27]Programa!#REF!</definedName>
    <definedName name="emi98j" localSheetId="55">[27]Programa!#REF!</definedName>
    <definedName name="emi98j" localSheetId="52">[27]Programa!#REF!</definedName>
    <definedName name="emi98j" localSheetId="23">[27]Programa!#REF!</definedName>
    <definedName name="emi98j" localSheetId="51">[27]Programa!#REF!</definedName>
    <definedName name="emi98j" localSheetId="53">[27]Programa!#REF!</definedName>
    <definedName name="emi98j" localSheetId="20">[27]Programa!#REF!</definedName>
    <definedName name="emi98j">[27]Programa!#REF!</definedName>
    <definedName name="empty" localSheetId="50">#REF!</definedName>
    <definedName name="empty" localSheetId="47">#REF!</definedName>
    <definedName name="empty" localSheetId="44">#REF!</definedName>
    <definedName name="empty" localSheetId="45">#REF!</definedName>
    <definedName name="empty" localSheetId="46">#REF!</definedName>
    <definedName name="empty" localSheetId="37">#REF!</definedName>
    <definedName name="empty" localSheetId="40">#REF!</definedName>
    <definedName name="empty" localSheetId="54">#REF!</definedName>
    <definedName name="empty" localSheetId="55">#REF!</definedName>
    <definedName name="empty" localSheetId="52">#REF!</definedName>
    <definedName name="empty" localSheetId="51">#REF!</definedName>
    <definedName name="empty" localSheetId="53">#REF!</definedName>
    <definedName name="empty">#REF!</definedName>
    <definedName name="end_date">'[55]Header Info'!$H$2</definedName>
    <definedName name="ENDA" localSheetId="50">#N/A</definedName>
    <definedName name="ENDA" localSheetId="44">#N/A</definedName>
    <definedName name="ENDA" localSheetId="54">#N/A</definedName>
    <definedName name="ENDA" localSheetId="52">#N/A</definedName>
    <definedName name="ENDA" localSheetId="51">#N/A</definedName>
    <definedName name="ENDA" localSheetId="53">#N/A</definedName>
    <definedName name="ENDA">[51]Q6!$E$150:$AH$150</definedName>
    <definedName name="ENE" localSheetId="34">#REF!</definedName>
    <definedName name="ENE" localSheetId="35">#REF!</definedName>
    <definedName name="ENE" localSheetId="50">#REF!</definedName>
    <definedName name="ENE" localSheetId="15">#REF!</definedName>
    <definedName name="ENE" localSheetId="29">#REF!</definedName>
    <definedName name="ENE" localSheetId="30">#REF!</definedName>
    <definedName name="ENE" localSheetId="47">#REF!</definedName>
    <definedName name="ENE" localSheetId="44">#REF!</definedName>
    <definedName name="ENE" localSheetId="45">#REF!</definedName>
    <definedName name="ENE" localSheetId="46">#REF!</definedName>
    <definedName name="ENE" localSheetId="31">#REF!</definedName>
    <definedName name="ENE" localSheetId="32">#REF!</definedName>
    <definedName name="ENE" localSheetId="33">#REF!</definedName>
    <definedName name="ENE" localSheetId="36">#REF!</definedName>
    <definedName name="ENE" localSheetId="37">#REF!</definedName>
    <definedName name="ENE" localSheetId="38">#REF!</definedName>
    <definedName name="ENE" localSheetId="39">#REF!</definedName>
    <definedName name="ENE" localSheetId="40">#REF!</definedName>
    <definedName name="ENE" localSheetId="54">#REF!</definedName>
    <definedName name="ENE" localSheetId="55">#REF!</definedName>
    <definedName name="ENE" localSheetId="52">#REF!</definedName>
    <definedName name="ENE" localSheetId="23">#REF!</definedName>
    <definedName name="ENE" localSheetId="51">#REF!</definedName>
    <definedName name="ENE" localSheetId="53">#REF!</definedName>
    <definedName name="ENE" localSheetId="20">#REF!</definedName>
    <definedName name="ENE">#REF!</definedName>
    <definedName name="ENE._89" localSheetId="34">#REF!</definedName>
    <definedName name="ENE._89" localSheetId="35">#REF!</definedName>
    <definedName name="ENE._89" localSheetId="50">#REF!</definedName>
    <definedName name="ENE._89" localSheetId="15">#REF!</definedName>
    <definedName name="ENE._89" localSheetId="29">#REF!</definedName>
    <definedName name="ENE._89" localSheetId="30">#REF!</definedName>
    <definedName name="ENE._89" localSheetId="47">#REF!</definedName>
    <definedName name="ENE._89" localSheetId="44">#REF!</definedName>
    <definedName name="ENE._89" localSheetId="45">#REF!</definedName>
    <definedName name="ENE._89" localSheetId="46">#REF!</definedName>
    <definedName name="ENE._89" localSheetId="31">#REF!</definedName>
    <definedName name="ENE._89" localSheetId="32">#REF!</definedName>
    <definedName name="ENE._89" localSheetId="33">#REF!</definedName>
    <definedName name="ENE._89" localSheetId="36">#REF!</definedName>
    <definedName name="ENE._89" localSheetId="37">#REF!</definedName>
    <definedName name="ENE._89" localSheetId="38">#REF!</definedName>
    <definedName name="ENE._89" localSheetId="39">#REF!</definedName>
    <definedName name="ENE._89" localSheetId="40">#REF!</definedName>
    <definedName name="ENE._89" localSheetId="54">#REF!</definedName>
    <definedName name="ENE._89" localSheetId="55">#REF!</definedName>
    <definedName name="ENE._89" localSheetId="52">#REF!</definedName>
    <definedName name="ENE._89" localSheetId="23">#REF!</definedName>
    <definedName name="ENE._89" localSheetId="51">#REF!</definedName>
    <definedName name="ENE._89" localSheetId="53">#REF!</definedName>
    <definedName name="ENE._89" localSheetId="20">#REF!</definedName>
    <definedName name="ENE._89">#REF!</definedName>
    <definedName name="ENE._90" localSheetId="34">#REF!</definedName>
    <definedName name="ENE._90" localSheetId="35">#REF!</definedName>
    <definedName name="ENE._90" localSheetId="50">#REF!</definedName>
    <definedName name="ENE._90" localSheetId="15">#REF!</definedName>
    <definedName name="ENE._90" localSheetId="29">#REF!</definedName>
    <definedName name="ENE._90" localSheetId="30">#REF!</definedName>
    <definedName name="ENE._90" localSheetId="47">#REF!</definedName>
    <definedName name="ENE._90" localSheetId="44">#REF!</definedName>
    <definedName name="ENE._90" localSheetId="45">#REF!</definedName>
    <definedName name="ENE._90" localSheetId="46">#REF!</definedName>
    <definedName name="ENE._90" localSheetId="31">#REF!</definedName>
    <definedName name="ENE._90" localSheetId="32">#REF!</definedName>
    <definedName name="ENE._90" localSheetId="33">#REF!</definedName>
    <definedName name="ENE._90" localSheetId="36">#REF!</definedName>
    <definedName name="ENE._90" localSheetId="37">#REF!</definedName>
    <definedName name="ENE._90" localSheetId="38">#REF!</definedName>
    <definedName name="ENE._90" localSheetId="39">#REF!</definedName>
    <definedName name="ENE._90" localSheetId="40">#REF!</definedName>
    <definedName name="ENE._90" localSheetId="54">#REF!</definedName>
    <definedName name="ENE._90" localSheetId="55">#REF!</definedName>
    <definedName name="ENE._90" localSheetId="52">#REF!</definedName>
    <definedName name="ENE._90" localSheetId="23">#REF!</definedName>
    <definedName name="ENE._90" localSheetId="51">#REF!</definedName>
    <definedName name="ENE._90" localSheetId="53">#REF!</definedName>
    <definedName name="ENE._90" localSheetId="20">#REF!</definedName>
    <definedName name="ENE._90">#REF!</definedName>
    <definedName name="ErrorsForecasting" localSheetId="50">#REF!</definedName>
    <definedName name="ErrorsForecasting" localSheetId="47">#REF!</definedName>
    <definedName name="ErrorsForecasting" localSheetId="44">#REF!</definedName>
    <definedName name="ErrorsForecasting" localSheetId="45">#REF!</definedName>
    <definedName name="ErrorsForecasting" localSheetId="46">#REF!</definedName>
    <definedName name="ErrorsForecasting" localSheetId="37">#REF!</definedName>
    <definedName name="ErrorsForecasting" localSheetId="40">#REF!</definedName>
    <definedName name="ErrorsForecasting" localSheetId="54">#REF!</definedName>
    <definedName name="ErrorsForecasting" localSheetId="55">#REF!</definedName>
    <definedName name="ErrorsForecasting" localSheetId="52">#REF!</definedName>
    <definedName name="ErrorsForecasting" localSheetId="51">#REF!</definedName>
    <definedName name="ErrorsForecasting" localSheetId="53">#REF!</definedName>
    <definedName name="ErrorsForecasting">#REF!</definedName>
    <definedName name="ert" localSheetId="58" hidden="1">{"Minpmon",#N/A,FALSE,"Monthinput"}</definedName>
    <definedName name="ert" localSheetId="16" hidden="1">{"Minpmon",#N/A,FALSE,"Monthinput"}</definedName>
    <definedName name="ert" localSheetId="61" hidden="1">{"Minpmon",#N/A,FALSE,"Monthinput"}</definedName>
    <definedName name="ert" localSheetId="62" hidden="1">{"Minpmon",#N/A,FALSE,"Monthinput"}</definedName>
    <definedName name="ert" localSheetId="50" hidden="1">{"Minpmon",#N/A,FALSE,"Monthinput"}</definedName>
    <definedName name="ert" localSheetId="63" hidden="1">{"Minpmon",#N/A,FALSE,"Monthinput"}</definedName>
    <definedName name="ert" localSheetId="15" hidden="1">{"Minpmon",#N/A,FALSE,"Monthinput"}</definedName>
    <definedName name="ert" localSheetId="1" hidden="1">{"Minpmon",#N/A,FALSE,"Monthinput"}</definedName>
    <definedName name="ert" localSheetId="43" hidden="1">{"Minpmon",#N/A,FALSE,"Monthinput"}</definedName>
    <definedName name="ert" localSheetId="29" hidden="1">{"Minpmon",#N/A,FALSE,"Monthinput"}</definedName>
    <definedName name="ert" localSheetId="30" hidden="1">{"Minpmon",#N/A,FALSE,"Monthinput"}</definedName>
    <definedName name="ert" localSheetId="44" hidden="1">{"Minpmon",#N/A,FALSE,"Monthinput"}</definedName>
    <definedName name="ert" localSheetId="59" hidden="1">{"Minpmon",#N/A,FALSE,"Monthinput"}</definedName>
    <definedName name="ert" localSheetId="13" hidden="1">{"Minpmon",#N/A,FALSE,"Monthinput"}</definedName>
    <definedName name="ert" localSheetId="0" hidden="1">{"Minpmon",#N/A,FALSE,"Monthinput"}</definedName>
    <definedName name="ert" localSheetId="57" hidden="1">{"Minpmon",#N/A,FALSE,"Monthinput"}</definedName>
    <definedName name="ert" localSheetId="56" hidden="1">{"Minpmon",#N/A,FALSE,"Monthinput"}</definedName>
    <definedName name="ert" localSheetId="54" hidden="1">{"Minpmon",#N/A,FALSE,"Monthinput"}</definedName>
    <definedName name="ert" localSheetId="52" hidden="1">{"Minpmon",#N/A,FALSE,"Monthinput"}</definedName>
    <definedName name="ert" localSheetId="23" hidden="1">{"Minpmon",#N/A,FALSE,"Monthinput"}</definedName>
    <definedName name="ert" localSheetId="51" hidden="1">{"Minpmon",#N/A,FALSE,"Monthinput"}</definedName>
    <definedName name="ert" localSheetId="53" hidden="1">{"Minpmon",#N/A,FALSE,"Monthinput"}</definedName>
    <definedName name="ert" localSheetId="60" hidden="1">{"Minpmon",#N/A,FALSE,"Monthinput"}</definedName>
    <definedName name="ert" hidden="1">{"Minpmon",#N/A,FALSE,"Monthinput"}</definedName>
    <definedName name="ESAF_QUAR_GDP" localSheetId="50">#REF!</definedName>
    <definedName name="ESAF_QUAR_GDP" localSheetId="47">#REF!</definedName>
    <definedName name="ESAF_QUAR_GDP" localSheetId="44">#REF!</definedName>
    <definedName name="ESAF_QUAR_GDP" localSheetId="45">#REF!</definedName>
    <definedName name="ESAF_QUAR_GDP" localSheetId="46">#REF!</definedName>
    <definedName name="ESAF_QUAR_GDP" localSheetId="37">#REF!</definedName>
    <definedName name="ESAF_QUAR_GDP" localSheetId="40">#REF!</definedName>
    <definedName name="ESAF_QUAR_GDP" localSheetId="54">#REF!</definedName>
    <definedName name="ESAF_QUAR_GDP" localSheetId="55">#REF!</definedName>
    <definedName name="ESAF_QUAR_GDP" localSheetId="52">#REF!</definedName>
    <definedName name="ESAF_QUAR_GDP" localSheetId="51">#REF!</definedName>
    <definedName name="ESAF_QUAR_GDP" localSheetId="53">#REF!</definedName>
    <definedName name="ESAF_QUAR_GDP">#REF!</definedName>
    <definedName name="esafr" localSheetId="50">#REF!</definedName>
    <definedName name="esafr" localSheetId="47">#REF!</definedName>
    <definedName name="esafr" localSheetId="44">#REF!</definedName>
    <definedName name="esafr" localSheetId="45">#REF!</definedName>
    <definedName name="esafr" localSheetId="46">#REF!</definedName>
    <definedName name="esafr" localSheetId="37">#REF!</definedName>
    <definedName name="esafr" localSheetId="40">#REF!</definedName>
    <definedName name="esafr" localSheetId="54">#REF!</definedName>
    <definedName name="esafr" localSheetId="55">#REF!</definedName>
    <definedName name="esafr" localSheetId="52">#REF!</definedName>
    <definedName name="esafr" localSheetId="51">#REF!</definedName>
    <definedName name="esafr" localSheetId="53">#REF!</definedName>
    <definedName name="esafr">#REF!</definedName>
    <definedName name="Escenario_AG" localSheetId="34">#REF!</definedName>
    <definedName name="Escenario_AG" localSheetId="35">#REF!</definedName>
    <definedName name="Escenario_AG" localSheetId="50">#REF!</definedName>
    <definedName name="Escenario_AG" localSheetId="15">#REF!</definedName>
    <definedName name="Escenario_AG" localSheetId="29">#REF!</definedName>
    <definedName name="Escenario_AG" localSheetId="30">#REF!</definedName>
    <definedName name="Escenario_AG" localSheetId="47">#REF!</definedName>
    <definedName name="Escenario_AG" localSheetId="44">#REF!</definedName>
    <definedName name="Escenario_AG" localSheetId="45">#REF!</definedName>
    <definedName name="Escenario_AG" localSheetId="46">#REF!</definedName>
    <definedName name="Escenario_AG" localSheetId="31">#REF!</definedName>
    <definedName name="Escenario_AG" localSheetId="32">#REF!</definedName>
    <definedName name="Escenario_AG" localSheetId="33">#REF!</definedName>
    <definedName name="Escenario_AG" localSheetId="36">#REF!</definedName>
    <definedName name="Escenario_AG" localSheetId="37">#REF!</definedName>
    <definedName name="Escenario_AG" localSheetId="38">#REF!</definedName>
    <definedName name="Escenario_AG" localSheetId="39">#REF!</definedName>
    <definedName name="Escenario_AG" localSheetId="40">#REF!</definedName>
    <definedName name="Escenario_AG" localSheetId="54">#REF!</definedName>
    <definedName name="Escenario_AG" localSheetId="55">#REF!</definedName>
    <definedName name="Escenario_AG" localSheetId="52">#REF!</definedName>
    <definedName name="Escenario_AG" localSheetId="23">#REF!</definedName>
    <definedName name="Escenario_AG" localSheetId="51">#REF!</definedName>
    <definedName name="Escenario_AG" localSheetId="53">#REF!</definedName>
    <definedName name="Escenario_AG" localSheetId="20">#REF!</definedName>
    <definedName name="Escenario_AG">#REF!</definedName>
    <definedName name="Escenario_HI" localSheetId="34">#REF!</definedName>
    <definedName name="Escenario_HI" localSheetId="35">#REF!</definedName>
    <definedName name="Escenario_HI" localSheetId="50">#REF!</definedName>
    <definedName name="Escenario_HI" localSheetId="15">#REF!</definedName>
    <definedName name="Escenario_HI" localSheetId="29">#REF!</definedName>
    <definedName name="Escenario_HI" localSheetId="30">#REF!</definedName>
    <definedName name="Escenario_HI" localSheetId="47">#REF!</definedName>
    <definedName name="Escenario_HI" localSheetId="44">#REF!</definedName>
    <definedName name="Escenario_HI" localSheetId="45">#REF!</definedName>
    <definedName name="Escenario_HI" localSheetId="46">#REF!</definedName>
    <definedName name="Escenario_HI" localSheetId="31">#REF!</definedName>
    <definedName name="Escenario_HI" localSheetId="32">#REF!</definedName>
    <definedName name="Escenario_HI" localSheetId="33">#REF!</definedName>
    <definedName name="Escenario_HI" localSheetId="36">#REF!</definedName>
    <definedName name="Escenario_HI" localSheetId="37">#REF!</definedName>
    <definedName name="Escenario_HI" localSheetId="38">#REF!</definedName>
    <definedName name="Escenario_HI" localSheetId="39">#REF!</definedName>
    <definedName name="Escenario_HI" localSheetId="40">#REF!</definedName>
    <definedName name="Escenario_HI" localSheetId="54">#REF!</definedName>
    <definedName name="Escenario_HI" localSheetId="55">#REF!</definedName>
    <definedName name="Escenario_HI" localSheetId="52">#REF!</definedName>
    <definedName name="Escenario_HI" localSheetId="23">#REF!</definedName>
    <definedName name="Escenario_HI" localSheetId="51">#REF!</definedName>
    <definedName name="Escenario_HI" localSheetId="53">#REF!</definedName>
    <definedName name="Escenario_HI" localSheetId="20">#REF!</definedName>
    <definedName name="Escenario_HI">#REF!</definedName>
    <definedName name="est" localSheetId="34">#REF!</definedName>
    <definedName name="est" localSheetId="35">#REF!</definedName>
    <definedName name="est" localSheetId="50">#REF!</definedName>
    <definedName name="est" localSheetId="15">#REF!</definedName>
    <definedName name="est" localSheetId="29">#REF!</definedName>
    <definedName name="est" localSheetId="30">#REF!</definedName>
    <definedName name="est" localSheetId="47">#REF!</definedName>
    <definedName name="est" localSheetId="44">#REF!</definedName>
    <definedName name="est" localSheetId="45">#REF!</definedName>
    <definedName name="est" localSheetId="46">#REF!</definedName>
    <definedName name="est" localSheetId="31">#REF!</definedName>
    <definedName name="est" localSheetId="32">#REF!</definedName>
    <definedName name="est" localSheetId="33">#REF!</definedName>
    <definedName name="est" localSheetId="36">#REF!</definedName>
    <definedName name="est" localSheetId="37">#REF!</definedName>
    <definedName name="est" localSheetId="38">#REF!</definedName>
    <definedName name="est" localSheetId="39">#REF!</definedName>
    <definedName name="est" localSheetId="40">#REF!</definedName>
    <definedName name="est" localSheetId="54">#REF!</definedName>
    <definedName name="est" localSheetId="55">#REF!</definedName>
    <definedName name="est" localSheetId="52">#REF!</definedName>
    <definedName name="est" localSheetId="23">#REF!</definedName>
    <definedName name="est" localSheetId="51">#REF!</definedName>
    <definedName name="est" localSheetId="53">#REF!</definedName>
    <definedName name="est" localSheetId="20">#REF!</definedName>
    <definedName name="est">#REF!</definedName>
    <definedName name="Estimated">'[86]Trade by SITC'!$AD$7</definedName>
    <definedName name="ExchangeBLR">[87]Config!$B$9</definedName>
    <definedName name="ExchangeGUR">[87]Config!$B$10</definedName>
    <definedName name="ExchangeUS">[87]Config!$B$8</definedName>
    <definedName name="ExitWRS" localSheetId="50">[88]Main!$AB$25</definedName>
    <definedName name="ExitWRS" localSheetId="44">[88]Main!$AB$25</definedName>
    <definedName name="ExitWRS" localSheetId="54">[88]Main!$AB$25</definedName>
    <definedName name="ExitWRS" localSheetId="52">[88]Main!$AB$25</definedName>
    <definedName name="ExitWRS" localSheetId="51">[88]Main!$AB$25</definedName>
    <definedName name="ExitWRS" localSheetId="53">[88]Main!$AB$25</definedName>
    <definedName name="ExitWRS">[89]Main!$AB$25</definedName>
    <definedName name="EXPLANATIONS" localSheetId="50">#REF!</definedName>
    <definedName name="EXPLANATIONS" localSheetId="47">#REF!</definedName>
    <definedName name="EXPLANATIONS" localSheetId="44">#REF!</definedName>
    <definedName name="EXPLANATIONS" localSheetId="45">#REF!</definedName>
    <definedName name="EXPLANATIONS" localSheetId="46">#REF!</definedName>
    <definedName name="EXPLANATIONS" localSheetId="37">#REF!</definedName>
    <definedName name="EXPLANATIONS" localSheetId="40">#REF!</definedName>
    <definedName name="EXPLANATIONS" localSheetId="54">#REF!</definedName>
    <definedName name="EXPLANATIONS" localSheetId="55">#REF!</definedName>
    <definedName name="EXPLANATIONS" localSheetId="52">#REF!</definedName>
    <definedName name="EXPLANATIONS" localSheetId="51">#REF!</definedName>
    <definedName name="EXPLANATIONS" localSheetId="53">#REF!</definedName>
    <definedName name="EXPLANATIONS">#REF!</definedName>
    <definedName name="ExternalData_1" localSheetId="5" hidden="1">'Janai''s Blog Info'!$A$1:$S$2</definedName>
    <definedName name="f" localSheetId="50">#N/A</definedName>
    <definedName name="f" localSheetId="44">#N/A</definedName>
    <definedName name="f" localSheetId="54">#N/A</definedName>
    <definedName name="f" localSheetId="52">#N/A</definedName>
    <definedName name="f" localSheetId="51">#N/A</definedName>
    <definedName name="f" localSheetId="53">#N/A</definedName>
    <definedName name="f">[54]!f</definedName>
    <definedName name="FactorCodes" localSheetId="50">#REF!</definedName>
    <definedName name="FactorCodes" localSheetId="47">#REF!</definedName>
    <definedName name="FactorCodes" localSheetId="44">#REF!</definedName>
    <definedName name="FactorCodes" localSheetId="45">#REF!</definedName>
    <definedName name="FactorCodes" localSheetId="46">#REF!</definedName>
    <definedName name="FactorCodes" localSheetId="37">#REF!</definedName>
    <definedName name="FactorCodes" localSheetId="40">#REF!</definedName>
    <definedName name="FactorCodes" localSheetId="54">#REF!</definedName>
    <definedName name="FactorCodes" localSheetId="55">#REF!</definedName>
    <definedName name="FactorCodes" localSheetId="52">#REF!</definedName>
    <definedName name="FactorCodes" localSheetId="51">#REF!</definedName>
    <definedName name="FactorCodes" localSheetId="53">#REF!</definedName>
    <definedName name="FactorCodes">#REF!</definedName>
    <definedName name="FactorFrequency" localSheetId="50">#REF!</definedName>
    <definedName name="FactorFrequency" localSheetId="47">#REF!</definedName>
    <definedName name="FactorFrequency" localSheetId="44">#REF!</definedName>
    <definedName name="FactorFrequency" localSheetId="45">#REF!</definedName>
    <definedName name="FactorFrequency" localSheetId="46">#REF!</definedName>
    <definedName name="FactorFrequency" localSheetId="37">#REF!</definedName>
    <definedName name="FactorFrequency" localSheetId="40">#REF!</definedName>
    <definedName name="FactorFrequency" localSheetId="54">#REF!</definedName>
    <definedName name="FactorFrequency" localSheetId="55">#REF!</definedName>
    <definedName name="FactorFrequency" localSheetId="52">#REF!</definedName>
    <definedName name="FactorFrequency" localSheetId="51">#REF!</definedName>
    <definedName name="FactorFrequency" localSheetId="53">#REF!</definedName>
    <definedName name="FactorFrequency">#REF!</definedName>
    <definedName name="FactorLabel" localSheetId="50">#REF!</definedName>
    <definedName name="FactorLabel" localSheetId="47">#REF!</definedName>
    <definedName name="FactorLabel" localSheetId="44">#REF!</definedName>
    <definedName name="FactorLabel" localSheetId="45">#REF!</definedName>
    <definedName name="FactorLabel" localSheetId="46">#REF!</definedName>
    <definedName name="FactorLabel" localSheetId="37">#REF!</definedName>
    <definedName name="FactorLabel" localSheetId="40">#REF!</definedName>
    <definedName name="FactorLabel" localSheetId="54">#REF!</definedName>
    <definedName name="FactorLabel" localSheetId="55">#REF!</definedName>
    <definedName name="FactorLabel" localSheetId="52">#REF!</definedName>
    <definedName name="FactorLabel" localSheetId="51">#REF!</definedName>
    <definedName name="FactorLabel" localSheetId="53">#REF!</definedName>
    <definedName name="FactorLabel">#REF!</definedName>
    <definedName name="factors" localSheetId="50">#REF!</definedName>
    <definedName name="factors" localSheetId="47">#REF!</definedName>
    <definedName name="factors" localSheetId="44">#REF!</definedName>
    <definedName name="factors" localSheetId="45">#REF!</definedName>
    <definedName name="factors" localSheetId="46">#REF!</definedName>
    <definedName name="factors" localSheetId="37">#REF!</definedName>
    <definedName name="factors" localSheetId="40">#REF!</definedName>
    <definedName name="factors" localSheetId="54">#REF!</definedName>
    <definedName name="factors" localSheetId="55">#REF!</definedName>
    <definedName name="factors" localSheetId="52">#REF!</definedName>
    <definedName name="factors" localSheetId="51">#REF!</definedName>
    <definedName name="factors" localSheetId="53">#REF!</definedName>
    <definedName name="factors">#REF!</definedName>
    <definedName name="FactorValues" localSheetId="50">#REF!</definedName>
    <definedName name="FactorValues" localSheetId="47">#REF!</definedName>
    <definedName name="FactorValues" localSheetId="44">#REF!</definedName>
    <definedName name="FactorValues" localSheetId="45">#REF!</definedName>
    <definedName name="FactorValues" localSheetId="46">#REF!</definedName>
    <definedName name="FactorValues" localSheetId="37">#REF!</definedName>
    <definedName name="FactorValues" localSheetId="40">#REF!</definedName>
    <definedName name="FactorValues" localSheetId="54">#REF!</definedName>
    <definedName name="FactorValues" localSheetId="55">#REF!</definedName>
    <definedName name="FactorValues" localSheetId="52">#REF!</definedName>
    <definedName name="FactorValues" localSheetId="51">#REF!</definedName>
    <definedName name="FactorValues" localSheetId="53">#REF!</definedName>
    <definedName name="FactorValues">#REF!</definedName>
    <definedName name="fdfd" localSheetId="50">#REF!</definedName>
    <definedName name="fdfd" localSheetId="47">#REF!</definedName>
    <definedName name="fdfd" localSheetId="44">#REF!</definedName>
    <definedName name="fdfd" localSheetId="45">#REF!</definedName>
    <definedName name="fdfd" localSheetId="46">#REF!</definedName>
    <definedName name="fdfd" localSheetId="37">#REF!</definedName>
    <definedName name="fdfd" localSheetId="40">#REF!</definedName>
    <definedName name="fdfd" localSheetId="54">#REF!</definedName>
    <definedName name="fdfd" localSheetId="55">#REF!</definedName>
    <definedName name="fdfd" localSheetId="52">#REF!</definedName>
    <definedName name="fdfd" localSheetId="51">#REF!</definedName>
    <definedName name="fdfd" localSheetId="53">#REF!</definedName>
    <definedName name="fdfd">#REF!</definedName>
    <definedName name="fdsklfj" localSheetId="50">#REF!</definedName>
    <definedName name="fdsklfj" localSheetId="47">#REF!</definedName>
    <definedName name="fdsklfj" localSheetId="44">#REF!</definedName>
    <definedName name="fdsklfj" localSheetId="45">#REF!</definedName>
    <definedName name="fdsklfj" localSheetId="46">#REF!</definedName>
    <definedName name="fdsklfj" localSheetId="37">#REF!</definedName>
    <definedName name="fdsklfj" localSheetId="40">#REF!</definedName>
    <definedName name="fdsklfj" localSheetId="54">#REF!</definedName>
    <definedName name="fdsklfj" localSheetId="55">#REF!</definedName>
    <definedName name="fdsklfj" localSheetId="52">#REF!</definedName>
    <definedName name="fdsklfj" localSheetId="51">#REF!</definedName>
    <definedName name="fdsklfj" localSheetId="53">#REF!</definedName>
    <definedName name="fdsklfj">#REF!</definedName>
    <definedName name="feb" localSheetId="34">[27]Programa!#REF!</definedName>
    <definedName name="feb" localSheetId="35">[27]Programa!#REF!</definedName>
    <definedName name="feb" localSheetId="50">[27]Programa!#REF!</definedName>
    <definedName name="feb" localSheetId="15">[27]Programa!#REF!</definedName>
    <definedName name="feb" localSheetId="29">[27]Programa!#REF!</definedName>
    <definedName name="feb" localSheetId="30">[27]Programa!#REF!</definedName>
    <definedName name="feb" localSheetId="47">[27]Programa!#REF!</definedName>
    <definedName name="feb" localSheetId="44">[27]Programa!#REF!</definedName>
    <definedName name="feb" localSheetId="45">[27]Programa!#REF!</definedName>
    <definedName name="feb" localSheetId="46">[27]Programa!#REF!</definedName>
    <definedName name="feb" localSheetId="31">[27]Programa!#REF!</definedName>
    <definedName name="feb" localSheetId="32">[27]Programa!#REF!</definedName>
    <definedName name="feb" localSheetId="33">[27]Programa!#REF!</definedName>
    <definedName name="feb" localSheetId="36">[27]Programa!#REF!</definedName>
    <definedName name="feb" localSheetId="37">[27]Programa!#REF!</definedName>
    <definedName name="feb" localSheetId="38">[27]Programa!#REF!</definedName>
    <definedName name="feb" localSheetId="39">[27]Programa!#REF!</definedName>
    <definedName name="feb" localSheetId="40">[27]Programa!#REF!</definedName>
    <definedName name="feb" localSheetId="54">[27]Programa!#REF!</definedName>
    <definedName name="feb" localSheetId="55">[27]Programa!#REF!</definedName>
    <definedName name="feb" localSheetId="52">[27]Programa!#REF!</definedName>
    <definedName name="feb" localSheetId="23">[27]Programa!#REF!</definedName>
    <definedName name="feb" localSheetId="51">[27]Programa!#REF!</definedName>
    <definedName name="feb" localSheetId="53">[27]Programa!#REF!</definedName>
    <definedName name="feb" localSheetId="20">[27]Programa!#REF!</definedName>
    <definedName name="feb">[27]Programa!#REF!</definedName>
    <definedName name="FEB._89" localSheetId="34">#REF!</definedName>
    <definedName name="FEB._89" localSheetId="35">#REF!</definedName>
    <definedName name="FEB._89" localSheetId="50">#REF!</definedName>
    <definedName name="FEB._89" localSheetId="15">#REF!</definedName>
    <definedName name="FEB._89" localSheetId="29">#REF!</definedName>
    <definedName name="FEB._89" localSheetId="30">#REF!</definedName>
    <definedName name="FEB._89" localSheetId="47">#REF!</definedName>
    <definedName name="FEB._89" localSheetId="44">#REF!</definedName>
    <definedName name="FEB._89" localSheetId="45">#REF!</definedName>
    <definedName name="FEB._89" localSheetId="46">#REF!</definedName>
    <definedName name="FEB._89" localSheetId="31">#REF!</definedName>
    <definedName name="FEB._89" localSheetId="32">#REF!</definedName>
    <definedName name="FEB._89" localSheetId="33">#REF!</definedName>
    <definedName name="FEB._89" localSheetId="36">#REF!</definedName>
    <definedName name="FEB._89" localSheetId="37">#REF!</definedName>
    <definedName name="FEB._89" localSheetId="38">#REF!</definedName>
    <definedName name="FEB._89" localSheetId="39">#REF!</definedName>
    <definedName name="FEB._89" localSheetId="40">#REF!</definedName>
    <definedName name="FEB._89" localSheetId="54">#REF!</definedName>
    <definedName name="FEB._89" localSheetId="55">#REF!</definedName>
    <definedName name="FEB._89" localSheetId="52">#REF!</definedName>
    <definedName name="FEB._89" localSheetId="23">#REF!</definedName>
    <definedName name="FEB._89" localSheetId="51">#REF!</definedName>
    <definedName name="FEB._89" localSheetId="53">#REF!</definedName>
    <definedName name="FEB._89" localSheetId="20">#REF!</definedName>
    <definedName name="FEB._89">#REF!</definedName>
    <definedName name="Feb06Cap" localSheetId="50">#REF!</definedName>
    <definedName name="Feb06Cap" localSheetId="47">#REF!</definedName>
    <definedName name="Feb06Cap" localSheetId="44">#REF!</definedName>
    <definedName name="Feb06Cap" localSheetId="45">#REF!</definedName>
    <definedName name="Feb06Cap" localSheetId="46">#REF!</definedName>
    <definedName name="Feb06Cap" localSheetId="37">#REF!</definedName>
    <definedName name="Feb06Cap" localSheetId="40">#REF!</definedName>
    <definedName name="Feb06Cap" localSheetId="54">#REF!</definedName>
    <definedName name="Feb06Cap" localSheetId="55">#REF!</definedName>
    <definedName name="Feb06Cap" localSheetId="52">#REF!</definedName>
    <definedName name="Feb06Cap" localSheetId="51">#REF!</definedName>
    <definedName name="Feb06Cap" localSheetId="53">#REF!</definedName>
    <definedName name="Feb06Cap">#REF!</definedName>
    <definedName name="February">'[45]Variance Explanations'!$E$10:$E$84,'[45]Variance Explanations'!$E$98:$E$178,'[45]Variance Explanations'!$E$190:$E$252,'[45]Variance Explanations'!$E$252,'[45]Variance Explanations'!$E$264:$E$343,'[45]Variance Explanations'!$E$356:$E$409,'[45]Variance Explanations'!$E$424:$E$485,'[45]Variance Explanations'!$E$508:$E$555</definedName>
    <definedName name="fecha" localSheetId="34">[27]Programa!#REF!</definedName>
    <definedName name="fecha" localSheetId="35">[27]Programa!#REF!</definedName>
    <definedName name="fecha" localSheetId="50">[27]Programa!#REF!</definedName>
    <definedName name="fecha" localSheetId="15">[27]Programa!#REF!</definedName>
    <definedName name="fecha" localSheetId="29">[27]Programa!#REF!</definedName>
    <definedName name="fecha" localSheetId="30">[27]Programa!#REF!</definedName>
    <definedName name="fecha" localSheetId="47">[27]Programa!#REF!</definedName>
    <definedName name="fecha" localSheetId="44">[27]Programa!#REF!</definedName>
    <definedName name="fecha" localSheetId="45">[27]Programa!#REF!</definedName>
    <definedName name="fecha" localSheetId="46">[27]Programa!#REF!</definedName>
    <definedName name="fecha" localSheetId="31">[27]Programa!#REF!</definedName>
    <definedName name="fecha" localSheetId="32">[27]Programa!#REF!</definedName>
    <definedName name="fecha" localSheetId="33">[27]Programa!#REF!</definedName>
    <definedName name="fecha" localSheetId="36">[27]Programa!#REF!</definedName>
    <definedName name="fecha" localSheetId="37">[27]Programa!#REF!</definedName>
    <definedName name="fecha" localSheetId="38">[27]Programa!#REF!</definedName>
    <definedName name="fecha" localSheetId="39">[27]Programa!#REF!</definedName>
    <definedName name="fecha" localSheetId="40">[27]Programa!#REF!</definedName>
    <definedName name="fecha" localSheetId="54">[27]Programa!#REF!</definedName>
    <definedName name="fecha" localSheetId="55">[27]Programa!#REF!</definedName>
    <definedName name="fecha" localSheetId="52">[27]Programa!#REF!</definedName>
    <definedName name="fecha" localSheetId="23">[27]Programa!#REF!</definedName>
    <definedName name="fecha" localSheetId="51">[27]Programa!#REF!</definedName>
    <definedName name="fecha" localSheetId="53">[27]Programa!#REF!</definedName>
    <definedName name="fecha" localSheetId="20">[27]Programa!#REF!</definedName>
    <definedName name="fecha">[27]Programa!#REF!</definedName>
    <definedName name="fecha1" localSheetId="34">#REF!</definedName>
    <definedName name="fecha1" localSheetId="35">#REF!</definedName>
    <definedName name="fecha1" localSheetId="50">#REF!</definedName>
    <definedName name="fecha1" localSheetId="15">#REF!</definedName>
    <definedName name="fecha1" localSheetId="29">#REF!</definedName>
    <definedName name="fecha1" localSheetId="30">#REF!</definedName>
    <definedName name="fecha1" localSheetId="47">#REF!</definedName>
    <definedName name="fecha1" localSheetId="44">#REF!</definedName>
    <definedName name="fecha1" localSheetId="45">#REF!</definedName>
    <definedName name="fecha1" localSheetId="46">#REF!</definedName>
    <definedName name="fecha1" localSheetId="31">#REF!</definedName>
    <definedName name="fecha1" localSheetId="32">#REF!</definedName>
    <definedName name="fecha1" localSheetId="33">#REF!</definedName>
    <definedName name="fecha1" localSheetId="36">#REF!</definedName>
    <definedName name="fecha1" localSheetId="37">#REF!</definedName>
    <definedName name="fecha1" localSheetId="38">#REF!</definedName>
    <definedName name="fecha1" localSheetId="39">#REF!</definedName>
    <definedName name="fecha1" localSheetId="40">#REF!</definedName>
    <definedName name="fecha1" localSheetId="54">#REF!</definedName>
    <definedName name="fecha1" localSheetId="55">#REF!</definedName>
    <definedName name="fecha1" localSheetId="52">#REF!</definedName>
    <definedName name="fecha1" localSheetId="23">#REF!</definedName>
    <definedName name="fecha1" localSheetId="51">#REF!</definedName>
    <definedName name="fecha1" localSheetId="53">#REF!</definedName>
    <definedName name="fecha1" localSheetId="20">#REF!</definedName>
    <definedName name="fecha1">#REF!</definedName>
    <definedName name="fed" localSheetId="58" hidden="1">{"Riqfin97",#N/A,FALSE,"Tran";"Riqfinpro",#N/A,FALSE,"Tran"}</definedName>
    <definedName name="fed" localSheetId="16" hidden="1">{"Riqfin97",#N/A,FALSE,"Tran";"Riqfinpro",#N/A,FALSE,"Tran"}</definedName>
    <definedName name="fed" localSheetId="61" hidden="1">{"Riqfin97",#N/A,FALSE,"Tran";"Riqfinpro",#N/A,FALSE,"Tran"}</definedName>
    <definedName name="fed" localSheetId="62" hidden="1">{"Riqfin97",#N/A,FALSE,"Tran";"Riqfinpro",#N/A,FALSE,"Tran"}</definedName>
    <definedName name="fed" localSheetId="50" hidden="1">{"Riqfin97",#N/A,FALSE,"Tran";"Riqfinpro",#N/A,FALSE,"Tran"}</definedName>
    <definedName name="fed" localSheetId="63" hidden="1">{"Riqfin97",#N/A,FALSE,"Tran";"Riqfinpro",#N/A,FALSE,"Tran"}</definedName>
    <definedName name="fed" localSheetId="15" hidden="1">{"Riqfin97",#N/A,FALSE,"Tran";"Riqfinpro",#N/A,FALSE,"Tran"}</definedName>
    <definedName name="fed" localSheetId="1" hidden="1">{"Riqfin97",#N/A,FALSE,"Tran";"Riqfinpro",#N/A,FALSE,"Tran"}</definedName>
    <definedName name="fed" localSheetId="43" hidden="1">{"Riqfin97",#N/A,FALSE,"Tran";"Riqfinpro",#N/A,FALSE,"Tran"}</definedName>
    <definedName name="fed" localSheetId="29" hidden="1">{"Riqfin97",#N/A,FALSE,"Tran";"Riqfinpro",#N/A,FALSE,"Tran"}</definedName>
    <definedName name="fed" localSheetId="30" hidden="1">{"Riqfin97",#N/A,FALSE,"Tran";"Riqfinpro",#N/A,FALSE,"Tran"}</definedName>
    <definedName name="fed" localSheetId="44" hidden="1">{"Riqfin97",#N/A,FALSE,"Tran";"Riqfinpro",#N/A,FALSE,"Tran"}</definedName>
    <definedName name="fed" localSheetId="59" hidden="1">{"Riqfin97",#N/A,FALSE,"Tran";"Riqfinpro",#N/A,FALSE,"Tran"}</definedName>
    <definedName name="fed" localSheetId="13" hidden="1">{"Riqfin97",#N/A,FALSE,"Tran";"Riqfinpro",#N/A,FALSE,"Tran"}</definedName>
    <definedName name="fed" localSheetId="0" hidden="1">{"Riqfin97",#N/A,FALSE,"Tran";"Riqfinpro",#N/A,FALSE,"Tran"}</definedName>
    <definedName name="fed" localSheetId="57" hidden="1">{"Riqfin97",#N/A,FALSE,"Tran";"Riqfinpro",#N/A,FALSE,"Tran"}</definedName>
    <definedName name="fed" localSheetId="56" hidden="1">{"Riqfin97",#N/A,FALSE,"Tran";"Riqfinpro",#N/A,FALSE,"Tran"}</definedName>
    <definedName name="fed" localSheetId="54" hidden="1">{"Riqfin97",#N/A,FALSE,"Tran";"Riqfinpro",#N/A,FALSE,"Tran"}</definedName>
    <definedName name="fed" localSheetId="52" hidden="1">{"Riqfin97",#N/A,FALSE,"Tran";"Riqfinpro",#N/A,FALSE,"Tran"}</definedName>
    <definedName name="fed" localSheetId="23" hidden="1">{"Riqfin97",#N/A,FALSE,"Tran";"Riqfinpro",#N/A,FALSE,"Tran"}</definedName>
    <definedName name="fed" localSheetId="51" hidden="1">{"Riqfin97",#N/A,FALSE,"Tran";"Riqfinpro",#N/A,FALSE,"Tran"}</definedName>
    <definedName name="fed" localSheetId="53" hidden="1">{"Riqfin97",#N/A,FALSE,"Tran";"Riqfinpro",#N/A,FALSE,"Tran"}</definedName>
    <definedName name="fed" localSheetId="60" hidden="1">{"Riqfin97",#N/A,FALSE,"Tran";"Riqfinpro",#N/A,FALSE,"Tran"}</definedName>
    <definedName name="fed" hidden="1">{"Riqfin97",#N/A,FALSE,"Tran";"Riqfinpro",#N/A,FALSE,"Tran"}</definedName>
    <definedName name="fer" localSheetId="58" hidden="1">{"Riqfin97",#N/A,FALSE,"Tran";"Riqfinpro",#N/A,FALSE,"Tran"}</definedName>
    <definedName name="fer" localSheetId="16" hidden="1">{"Riqfin97",#N/A,FALSE,"Tran";"Riqfinpro",#N/A,FALSE,"Tran"}</definedName>
    <definedName name="fer" localSheetId="61" hidden="1">{"Riqfin97",#N/A,FALSE,"Tran";"Riqfinpro",#N/A,FALSE,"Tran"}</definedName>
    <definedName name="fer" localSheetId="62" hidden="1">{"Riqfin97",#N/A,FALSE,"Tran";"Riqfinpro",#N/A,FALSE,"Tran"}</definedName>
    <definedName name="fer" localSheetId="50" hidden="1">{"Riqfin97",#N/A,FALSE,"Tran";"Riqfinpro",#N/A,FALSE,"Tran"}</definedName>
    <definedName name="fer" localSheetId="63" hidden="1">{"Riqfin97",#N/A,FALSE,"Tran";"Riqfinpro",#N/A,FALSE,"Tran"}</definedName>
    <definedName name="fer" localSheetId="15" hidden="1">{"Riqfin97",#N/A,FALSE,"Tran";"Riqfinpro",#N/A,FALSE,"Tran"}</definedName>
    <definedName name="fer" localSheetId="1" hidden="1">{"Riqfin97",#N/A,FALSE,"Tran";"Riqfinpro",#N/A,FALSE,"Tran"}</definedName>
    <definedName name="fer" localSheetId="43" hidden="1">{"Riqfin97",#N/A,FALSE,"Tran";"Riqfinpro",#N/A,FALSE,"Tran"}</definedName>
    <definedName name="fer" localSheetId="29" hidden="1">{"Riqfin97",#N/A,FALSE,"Tran";"Riqfinpro",#N/A,FALSE,"Tran"}</definedName>
    <definedName name="fer" localSheetId="30" hidden="1">{"Riqfin97",#N/A,FALSE,"Tran";"Riqfinpro",#N/A,FALSE,"Tran"}</definedName>
    <definedName name="fer" localSheetId="44" hidden="1">{"Riqfin97",#N/A,FALSE,"Tran";"Riqfinpro",#N/A,FALSE,"Tran"}</definedName>
    <definedName name="fer" localSheetId="59" hidden="1">{"Riqfin97",#N/A,FALSE,"Tran";"Riqfinpro",#N/A,FALSE,"Tran"}</definedName>
    <definedName name="fer" localSheetId="13" hidden="1">{"Riqfin97",#N/A,FALSE,"Tran";"Riqfinpro",#N/A,FALSE,"Tran"}</definedName>
    <definedName name="fer" localSheetId="0" hidden="1">{"Riqfin97",#N/A,FALSE,"Tran";"Riqfinpro",#N/A,FALSE,"Tran"}</definedName>
    <definedName name="fer" localSheetId="57" hidden="1">{"Riqfin97",#N/A,FALSE,"Tran";"Riqfinpro",#N/A,FALSE,"Tran"}</definedName>
    <definedName name="fer" localSheetId="56" hidden="1">{"Riqfin97",#N/A,FALSE,"Tran";"Riqfinpro",#N/A,FALSE,"Tran"}</definedName>
    <definedName name="fer" localSheetId="54" hidden="1">{"Riqfin97",#N/A,FALSE,"Tran";"Riqfinpro",#N/A,FALSE,"Tran"}</definedName>
    <definedName name="fer" localSheetId="52" hidden="1">{"Riqfin97",#N/A,FALSE,"Tran";"Riqfinpro",#N/A,FALSE,"Tran"}</definedName>
    <definedName name="fer" localSheetId="23" hidden="1">{"Riqfin97",#N/A,FALSE,"Tran";"Riqfinpro",#N/A,FALSE,"Tran"}</definedName>
    <definedName name="fer" localSheetId="51" hidden="1">{"Riqfin97",#N/A,FALSE,"Tran";"Riqfinpro",#N/A,FALSE,"Tran"}</definedName>
    <definedName name="fer" localSheetId="53" hidden="1">{"Riqfin97",#N/A,FALSE,"Tran";"Riqfinpro",#N/A,FALSE,"Tran"}</definedName>
    <definedName name="fer" localSheetId="60" hidden="1">{"Riqfin97",#N/A,FALSE,"Tran";"Riqfinpro",#N/A,FALSE,"Tran"}</definedName>
    <definedName name="fer" hidden="1">{"Riqfin97",#N/A,FALSE,"Tran";"Riqfinpro",#N/A,FALSE,"Tran"}</definedName>
    <definedName name="ff" localSheetId="58" hidden="1">{"Tab1",#N/A,FALSE,"P";"Tab2",#N/A,FALSE,"P"}</definedName>
    <definedName name="ff" localSheetId="16" hidden="1">{"Tab1",#N/A,FALSE,"P";"Tab2",#N/A,FALSE,"P"}</definedName>
    <definedName name="ff" localSheetId="61" hidden="1">{"Tab1",#N/A,FALSE,"P";"Tab2",#N/A,FALSE,"P"}</definedName>
    <definedName name="ff" localSheetId="62" hidden="1">{"Tab1",#N/A,FALSE,"P";"Tab2",#N/A,FALSE,"P"}</definedName>
    <definedName name="ff" localSheetId="50" hidden="1">{"Tab1",#N/A,FALSE,"P";"Tab2",#N/A,FALSE,"P"}</definedName>
    <definedName name="ff" localSheetId="63" hidden="1">{"Tab1",#N/A,FALSE,"P";"Tab2",#N/A,FALSE,"P"}</definedName>
    <definedName name="ff" localSheetId="15" hidden="1">{"Tab1",#N/A,FALSE,"P";"Tab2",#N/A,FALSE,"P"}</definedName>
    <definedName name="ff" localSheetId="1" hidden="1">{"Tab1",#N/A,FALSE,"P";"Tab2",#N/A,FALSE,"P"}</definedName>
    <definedName name="ff" localSheetId="43" hidden="1">{"Tab1",#N/A,FALSE,"P";"Tab2",#N/A,FALSE,"P"}</definedName>
    <definedName name="ff" localSheetId="29" hidden="1">{"Tab1",#N/A,FALSE,"P";"Tab2",#N/A,FALSE,"P"}</definedName>
    <definedName name="ff" localSheetId="30" hidden="1">{"Tab1",#N/A,FALSE,"P";"Tab2",#N/A,FALSE,"P"}</definedName>
    <definedName name="ff" localSheetId="44" hidden="1">{"Tab1",#N/A,FALSE,"P";"Tab2",#N/A,FALSE,"P"}</definedName>
    <definedName name="ff" localSheetId="59" hidden="1">{"Tab1",#N/A,FALSE,"P";"Tab2",#N/A,FALSE,"P"}</definedName>
    <definedName name="ff" localSheetId="13" hidden="1">{"Tab1",#N/A,FALSE,"P";"Tab2",#N/A,FALSE,"P"}</definedName>
    <definedName name="ff" localSheetId="0" hidden="1">{"Tab1",#N/A,FALSE,"P";"Tab2",#N/A,FALSE,"P"}</definedName>
    <definedName name="ff" localSheetId="57" hidden="1">{"Tab1",#N/A,FALSE,"P";"Tab2",#N/A,FALSE,"P"}</definedName>
    <definedName name="ff" localSheetId="56" hidden="1">{"Tab1",#N/A,FALSE,"P";"Tab2",#N/A,FALSE,"P"}</definedName>
    <definedName name="ff" localSheetId="54" hidden="1">{"Tab1",#N/A,FALSE,"P";"Tab2",#N/A,FALSE,"P"}</definedName>
    <definedName name="ff" localSheetId="52" hidden="1">{"Tab1",#N/A,FALSE,"P";"Tab2",#N/A,FALSE,"P"}</definedName>
    <definedName name="ff" localSheetId="23" hidden="1">{"Tab1",#N/A,FALSE,"P";"Tab2",#N/A,FALSE,"P"}</definedName>
    <definedName name="ff" localSheetId="51" hidden="1">{"Tab1",#N/A,FALSE,"P";"Tab2",#N/A,FALSE,"P"}</definedName>
    <definedName name="ff" localSheetId="53" hidden="1">{"Tab1",#N/A,FALSE,"P";"Tab2",#N/A,FALSE,"P"}</definedName>
    <definedName name="ff" localSheetId="60" hidden="1">{"Tab1",#N/A,FALSE,"P";"Tab2",#N/A,FALSE,"P"}</definedName>
    <definedName name="ff" hidden="1">{"Tab1",#N/A,FALSE,"P";"Tab2",#N/A,FALSE,"P"}</definedName>
    <definedName name="fff" localSheetId="58" hidden="1">{"Tab1",#N/A,FALSE,"P";"Tab2",#N/A,FALSE,"P"}</definedName>
    <definedName name="fff" localSheetId="16" hidden="1">{"Tab1",#N/A,FALSE,"P";"Tab2",#N/A,FALSE,"P"}</definedName>
    <definedName name="fff" localSheetId="61" hidden="1">{"Tab1",#N/A,FALSE,"P";"Tab2",#N/A,FALSE,"P"}</definedName>
    <definedName name="fff" localSheetId="62" hidden="1">{"Tab1",#N/A,FALSE,"P";"Tab2",#N/A,FALSE,"P"}</definedName>
    <definedName name="fff" localSheetId="50" hidden="1">{"Tab1",#N/A,FALSE,"P";"Tab2",#N/A,FALSE,"P"}</definedName>
    <definedName name="fff" localSheetId="63" hidden="1">{"Tab1",#N/A,FALSE,"P";"Tab2",#N/A,FALSE,"P"}</definedName>
    <definedName name="fff" localSheetId="15" hidden="1">{"Tab1",#N/A,FALSE,"P";"Tab2",#N/A,FALSE,"P"}</definedName>
    <definedName name="fff" localSheetId="1" hidden="1">{"Tab1",#N/A,FALSE,"P";"Tab2",#N/A,FALSE,"P"}</definedName>
    <definedName name="fff" localSheetId="43" hidden="1">{"Tab1",#N/A,FALSE,"P";"Tab2",#N/A,FALSE,"P"}</definedName>
    <definedName name="fff" localSheetId="29" hidden="1">{"Tab1",#N/A,FALSE,"P";"Tab2",#N/A,FALSE,"P"}</definedName>
    <definedName name="fff" localSheetId="30" hidden="1">{"Tab1",#N/A,FALSE,"P";"Tab2",#N/A,FALSE,"P"}</definedName>
    <definedName name="fff" localSheetId="44" hidden="1">{"Tab1",#N/A,FALSE,"P";"Tab2",#N/A,FALSE,"P"}</definedName>
    <definedName name="fff" localSheetId="59" hidden="1">{"Tab1",#N/A,FALSE,"P";"Tab2",#N/A,FALSE,"P"}</definedName>
    <definedName name="fff" localSheetId="13" hidden="1">{"Tab1",#N/A,FALSE,"P";"Tab2",#N/A,FALSE,"P"}</definedName>
    <definedName name="fff" localSheetId="0" hidden="1">{"Tab1",#N/A,FALSE,"P";"Tab2",#N/A,FALSE,"P"}</definedName>
    <definedName name="fff" localSheetId="57" hidden="1">{"Tab1",#N/A,FALSE,"P";"Tab2",#N/A,FALSE,"P"}</definedName>
    <definedName name="fff" localSheetId="56" hidden="1">{"Tab1",#N/A,FALSE,"P";"Tab2",#N/A,FALSE,"P"}</definedName>
    <definedName name="fff" localSheetId="54" hidden="1">{"Tab1",#N/A,FALSE,"P";"Tab2",#N/A,FALSE,"P"}</definedName>
    <definedName name="fff" localSheetId="52" hidden="1">{"Tab1",#N/A,FALSE,"P";"Tab2",#N/A,FALSE,"P"}</definedName>
    <definedName name="fff" localSheetId="23" hidden="1">{"Tab1",#N/A,FALSE,"P";"Tab2",#N/A,FALSE,"P"}</definedName>
    <definedName name="fff" localSheetId="51" hidden="1">{"Tab1",#N/A,FALSE,"P";"Tab2",#N/A,FALSE,"P"}</definedName>
    <definedName name="fff" localSheetId="53" hidden="1">{"Tab1",#N/A,FALSE,"P";"Tab2",#N/A,FALSE,"P"}</definedName>
    <definedName name="fff" localSheetId="60" hidden="1">{"Tab1",#N/A,FALSE,"P";"Tab2",#N/A,FALSE,"P"}</definedName>
    <definedName name="fff" hidden="1">{"Tab1",#N/A,FALSE,"P";"Tab2",#N/A,FALSE,"P"}</definedName>
    <definedName name="ffff" localSheetId="58" hidden="1">{"Riqfin97",#N/A,FALSE,"Tran";"Riqfinpro",#N/A,FALSE,"Tran"}</definedName>
    <definedName name="ffff" localSheetId="16" hidden="1">{"Riqfin97",#N/A,FALSE,"Tran";"Riqfinpro",#N/A,FALSE,"Tran"}</definedName>
    <definedName name="ffff" localSheetId="61" hidden="1">{"Riqfin97",#N/A,FALSE,"Tran";"Riqfinpro",#N/A,FALSE,"Tran"}</definedName>
    <definedName name="ffff" localSheetId="62" hidden="1">{"Riqfin97",#N/A,FALSE,"Tran";"Riqfinpro",#N/A,FALSE,"Tran"}</definedName>
    <definedName name="ffff" localSheetId="50" hidden="1">{"Riqfin97",#N/A,FALSE,"Tran";"Riqfinpro",#N/A,FALSE,"Tran"}</definedName>
    <definedName name="ffff" localSheetId="63" hidden="1">{"Riqfin97",#N/A,FALSE,"Tran";"Riqfinpro",#N/A,FALSE,"Tran"}</definedName>
    <definedName name="ffff" localSheetId="15" hidden="1">{"Riqfin97",#N/A,FALSE,"Tran";"Riqfinpro",#N/A,FALSE,"Tran"}</definedName>
    <definedName name="ffff" localSheetId="1" hidden="1">{"Riqfin97",#N/A,FALSE,"Tran";"Riqfinpro",#N/A,FALSE,"Tran"}</definedName>
    <definedName name="ffff" localSheetId="43" hidden="1">{"Riqfin97",#N/A,FALSE,"Tran";"Riqfinpro",#N/A,FALSE,"Tran"}</definedName>
    <definedName name="ffff" localSheetId="29" hidden="1">{"Riqfin97",#N/A,FALSE,"Tran";"Riqfinpro",#N/A,FALSE,"Tran"}</definedName>
    <definedName name="ffff" localSheetId="30" hidden="1">{"Riqfin97",#N/A,FALSE,"Tran";"Riqfinpro",#N/A,FALSE,"Tran"}</definedName>
    <definedName name="ffff" localSheetId="44" hidden="1">{"Riqfin97",#N/A,FALSE,"Tran";"Riqfinpro",#N/A,FALSE,"Tran"}</definedName>
    <definedName name="ffff" localSheetId="59" hidden="1">{"Riqfin97",#N/A,FALSE,"Tran";"Riqfinpro",#N/A,FALSE,"Tran"}</definedName>
    <definedName name="ffff" localSheetId="13" hidden="1">{"Riqfin97",#N/A,FALSE,"Tran";"Riqfinpro",#N/A,FALSE,"Tran"}</definedName>
    <definedName name="ffff" localSheetId="0" hidden="1">{"Riqfin97",#N/A,FALSE,"Tran";"Riqfinpro",#N/A,FALSE,"Tran"}</definedName>
    <definedName name="ffff" localSheetId="57" hidden="1">{"Riqfin97",#N/A,FALSE,"Tran";"Riqfinpro",#N/A,FALSE,"Tran"}</definedName>
    <definedName name="ffff" localSheetId="56" hidden="1">{"Riqfin97",#N/A,FALSE,"Tran";"Riqfinpro",#N/A,FALSE,"Tran"}</definedName>
    <definedName name="ffff" localSheetId="54" hidden="1">{"Riqfin97",#N/A,FALSE,"Tran";"Riqfinpro",#N/A,FALSE,"Tran"}</definedName>
    <definedName name="ffff" localSheetId="52" hidden="1">{"Riqfin97",#N/A,FALSE,"Tran";"Riqfinpro",#N/A,FALSE,"Tran"}</definedName>
    <definedName name="ffff" localSheetId="23" hidden="1">{"Riqfin97",#N/A,FALSE,"Tran";"Riqfinpro",#N/A,FALSE,"Tran"}</definedName>
    <definedName name="ffff" localSheetId="51" hidden="1">{"Riqfin97",#N/A,FALSE,"Tran";"Riqfinpro",#N/A,FALSE,"Tran"}</definedName>
    <definedName name="ffff" localSheetId="53" hidden="1">{"Riqfin97",#N/A,FALSE,"Tran";"Riqfinpro",#N/A,FALSE,"Tran"}</definedName>
    <definedName name="ffff" localSheetId="60" hidden="1">{"Riqfin97",#N/A,FALSE,"Tran";"Riqfinpro",#N/A,FALSE,"Tran"}</definedName>
    <definedName name="ffff" hidden="1">{"Riqfin97",#N/A,FALSE,"Tran";"Riqfinpro",#N/A,FALSE,"Tran"}</definedName>
    <definedName name="ffffff" localSheetId="58" hidden="1">{"Tab1",#N/A,FALSE,"P";"Tab2",#N/A,FALSE,"P"}</definedName>
    <definedName name="ffffff" localSheetId="16" hidden="1">{"Tab1",#N/A,FALSE,"P";"Tab2",#N/A,FALSE,"P"}</definedName>
    <definedName name="ffffff" localSheetId="61" hidden="1">{"Tab1",#N/A,FALSE,"P";"Tab2",#N/A,FALSE,"P"}</definedName>
    <definedName name="ffffff" localSheetId="62" hidden="1">{"Tab1",#N/A,FALSE,"P";"Tab2",#N/A,FALSE,"P"}</definedName>
    <definedName name="ffffff" localSheetId="50" hidden="1">{"Tab1",#N/A,FALSE,"P";"Tab2",#N/A,FALSE,"P"}</definedName>
    <definedName name="ffffff" localSheetId="63" hidden="1">{"Tab1",#N/A,FALSE,"P";"Tab2",#N/A,FALSE,"P"}</definedName>
    <definedName name="ffffff" localSheetId="15" hidden="1">{"Tab1",#N/A,FALSE,"P";"Tab2",#N/A,FALSE,"P"}</definedName>
    <definedName name="ffffff" localSheetId="1" hidden="1">{"Tab1",#N/A,FALSE,"P";"Tab2",#N/A,FALSE,"P"}</definedName>
    <definedName name="ffffff" localSheetId="43" hidden="1">{"Tab1",#N/A,FALSE,"P";"Tab2",#N/A,FALSE,"P"}</definedName>
    <definedName name="ffffff" localSheetId="29" hidden="1">{"Tab1",#N/A,FALSE,"P";"Tab2",#N/A,FALSE,"P"}</definedName>
    <definedName name="ffffff" localSheetId="30" hidden="1">{"Tab1",#N/A,FALSE,"P";"Tab2",#N/A,FALSE,"P"}</definedName>
    <definedName name="ffffff" localSheetId="44" hidden="1">{"Tab1",#N/A,FALSE,"P";"Tab2",#N/A,FALSE,"P"}</definedName>
    <definedName name="ffffff" localSheetId="59" hidden="1">{"Tab1",#N/A,FALSE,"P";"Tab2",#N/A,FALSE,"P"}</definedName>
    <definedName name="ffffff" localSheetId="13" hidden="1">{"Tab1",#N/A,FALSE,"P";"Tab2",#N/A,FALSE,"P"}</definedName>
    <definedName name="ffffff" localSheetId="0" hidden="1">{"Tab1",#N/A,FALSE,"P";"Tab2",#N/A,FALSE,"P"}</definedName>
    <definedName name="ffffff" localSheetId="57" hidden="1">{"Tab1",#N/A,FALSE,"P";"Tab2",#N/A,FALSE,"P"}</definedName>
    <definedName name="ffffff" localSheetId="56" hidden="1">{"Tab1",#N/A,FALSE,"P";"Tab2",#N/A,FALSE,"P"}</definedName>
    <definedName name="ffffff" localSheetId="54" hidden="1">{"Tab1",#N/A,FALSE,"P";"Tab2",#N/A,FALSE,"P"}</definedName>
    <definedName name="ffffff" localSheetId="52" hidden="1">{"Tab1",#N/A,FALSE,"P";"Tab2",#N/A,FALSE,"P"}</definedName>
    <definedName name="ffffff" localSheetId="23" hidden="1">{"Tab1",#N/A,FALSE,"P";"Tab2",#N/A,FALSE,"P"}</definedName>
    <definedName name="ffffff" localSheetId="51" hidden="1">{"Tab1",#N/A,FALSE,"P";"Tab2",#N/A,FALSE,"P"}</definedName>
    <definedName name="ffffff" localSheetId="53" hidden="1">{"Tab1",#N/A,FALSE,"P";"Tab2",#N/A,FALSE,"P"}</definedName>
    <definedName name="ffffff" localSheetId="60" hidden="1">{"Tab1",#N/A,FALSE,"P";"Tab2",#N/A,FALSE,"P"}</definedName>
    <definedName name="ffffff" hidden="1">{"Tab1",#N/A,FALSE,"P";"Tab2",#N/A,FALSE,"P"}</definedName>
    <definedName name="fffffff" localSheetId="58" hidden="1">{"Minpmon",#N/A,FALSE,"Monthinput"}</definedName>
    <definedName name="fffffff" localSheetId="16" hidden="1">{"Minpmon",#N/A,FALSE,"Monthinput"}</definedName>
    <definedName name="fffffff" localSheetId="61" hidden="1">{"Minpmon",#N/A,FALSE,"Monthinput"}</definedName>
    <definedName name="fffffff" localSheetId="62" hidden="1">{"Minpmon",#N/A,FALSE,"Monthinput"}</definedName>
    <definedName name="fffffff" localSheetId="50" hidden="1">{"Minpmon",#N/A,FALSE,"Monthinput"}</definedName>
    <definedName name="fffffff" localSheetId="63" hidden="1">{"Minpmon",#N/A,FALSE,"Monthinput"}</definedName>
    <definedName name="fffffff" localSheetId="15" hidden="1">{"Minpmon",#N/A,FALSE,"Monthinput"}</definedName>
    <definedName name="fffffff" localSheetId="1" hidden="1">{"Minpmon",#N/A,FALSE,"Monthinput"}</definedName>
    <definedName name="fffffff" localSheetId="43" hidden="1">{"Minpmon",#N/A,FALSE,"Monthinput"}</definedName>
    <definedName name="fffffff" localSheetId="29" hidden="1">{"Minpmon",#N/A,FALSE,"Monthinput"}</definedName>
    <definedName name="fffffff" localSheetId="30" hidden="1">{"Minpmon",#N/A,FALSE,"Monthinput"}</definedName>
    <definedName name="fffffff" localSheetId="44" hidden="1">{"Minpmon",#N/A,FALSE,"Monthinput"}</definedName>
    <definedName name="fffffff" localSheetId="59" hidden="1">{"Minpmon",#N/A,FALSE,"Monthinput"}</definedName>
    <definedName name="fffffff" localSheetId="13" hidden="1">{"Minpmon",#N/A,FALSE,"Monthinput"}</definedName>
    <definedName name="fffffff" localSheetId="0" hidden="1">{"Minpmon",#N/A,FALSE,"Monthinput"}</definedName>
    <definedName name="fffffff" localSheetId="57" hidden="1">{"Minpmon",#N/A,FALSE,"Monthinput"}</definedName>
    <definedName name="fffffff" localSheetId="56" hidden="1">{"Minpmon",#N/A,FALSE,"Monthinput"}</definedName>
    <definedName name="fffffff" localSheetId="54" hidden="1">{"Minpmon",#N/A,FALSE,"Monthinput"}</definedName>
    <definedName name="fffffff" localSheetId="52" hidden="1">{"Minpmon",#N/A,FALSE,"Monthinput"}</definedName>
    <definedName name="fffffff" localSheetId="23" hidden="1">{"Minpmon",#N/A,FALSE,"Monthinput"}</definedName>
    <definedName name="fffffff" localSheetId="51" hidden="1">{"Minpmon",#N/A,FALSE,"Monthinput"}</definedName>
    <definedName name="fffffff" localSheetId="53" hidden="1">{"Minpmon",#N/A,FALSE,"Monthinput"}</definedName>
    <definedName name="fffffff" localSheetId="60" hidden="1">{"Minpmon",#N/A,FALSE,"Monthinput"}</definedName>
    <definedName name="fffffff" hidden="1">{"Minpmon",#N/A,FALSE,"Monthinput"}</definedName>
    <definedName name="fgdfgd" localSheetId="34">#REF!</definedName>
    <definedName name="fgdfgd" localSheetId="35">#REF!</definedName>
    <definedName name="fgdfgd" localSheetId="50">#REF!</definedName>
    <definedName name="fgdfgd" localSheetId="15">#REF!</definedName>
    <definedName name="fgdfgd" localSheetId="27">#REF!</definedName>
    <definedName name="fgdfgd" localSheetId="24">#REF!</definedName>
    <definedName name="fgdfgd" localSheetId="26">#REF!</definedName>
    <definedName name="fgdfgd" localSheetId="43">#REF!</definedName>
    <definedName name="fgdfgd" localSheetId="29">#REF!</definedName>
    <definedName name="fgdfgd" localSheetId="30">#REF!</definedName>
    <definedName name="fgdfgd" localSheetId="47">#REF!</definedName>
    <definedName name="fgdfgd" localSheetId="44">#REF!</definedName>
    <definedName name="fgdfgd" localSheetId="45">#REF!</definedName>
    <definedName name="fgdfgd" localSheetId="46">#REF!</definedName>
    <definedName name="fgdfgd" localSheetId="31">#REF!</definedName>
    <definedName name="fgdfgd" localSheetId="32">#REF!</definedName>
    <definedName name="fgdfgd" localSheetId="33">#REF!</definedName>
    <definedName name="fgdfgd" localSheetId="36">#REF!</definedName>
    <definedName name="fgdfgd" localSheetId="37">#REF!</definedName>
    <definedName name="fgdfgd" localSheetId="38">#REF!</definedName>
    <definedName name="fgdfgd" localSheetId="39">#REF!</definedName>
    <definedName name="fgdfgd" localSheetId="40">#REF!</definedName>
    <definedName name="fgdfgd" localSheetId="25">#REF!</definedName>
    <definedName name="fgdfgd" localSheetId="54">#REF!</definedName>
    <definedName name="fgdfgd" localSheetId="55">#REF!</definedName>
    <definedName name="fgdfgd" localSheetId="52">#REF!</definedName>
    <definedName name="fgdfgd" localSheetId="23">#REF!</definedName>
    <definedName name="fgdfgd" localSheetId="51">#REF!</definedName>
    <definedName name="fgdfgd" localSheetId="12">#REF!</definedName>
    <definedName name="fgdfgd" localSheetId="53">#REF!</definedName>
    <definedName name="fgdfgd" localSheetId="49">#REF!</definedName>
    <definedName name="fgdfgd" localSheetId="20">#REF!</definedName>
    <definedName name="fgdfgd">#REF!</definedName>
    <definedName name="fgf" localSheetId="58" hidden="1">{"Riqfin97",#N/A,FALSE,"Tran";"Riqfinpro",#N/A,FALSE,"Tran"}</definedName>
    <definedName name="fgf" localSheetId="16" hidden="1">{"Riqfin97",#N/A,FALSE,"Tran";"Riqfinpro",#N/A,FALSE,"Tran"}</definedName>
    <definedName name="fgf" localSheetId="61" hidden="1">{"Riqfin97",#N/A,FALSE,"Tran";"Riqfinpro",#N/A,FALSE,"Tran"}</definedName>
    <definedName name="fgf" localSheetId="62" hidden="1">{"Riqfin97",#N/A,FALSE,"Tran";"Riqfinpro",#N/A,FALSE,"Tran"}</definedName>
    <definedName name="fgf" localSheetId="50" hidden="1">{"Riqfin97",#N/A,FALSE,"Tran";"Riqfinpro",#N/A,FALSE,"Tran"}</definedName>
    <definedName name="fgf" localSheetId="63" hidden="1">{"Riqfin97",#N/A,FALSE,"Tran";"Riqfinpro",#N/A,FALSE,"Tran"}</definedName>
    <definedName name="fgf" localSheetId="15" hidden="1">{"Riqfin97",#N/A,FALSE,"Tran";"Riqfinpro",#N/A,FALSE,"Tran"}</definedName>
    <definedName name="fgf" localSheetId="1" hidden="1">{"Riqfin97",#N/A,FALSE,"Tran";"Riqfinpro",#N/A,FALSE,"Tran"}</definedName>
    <definedName name="fgf" localSheetId="43" hidden="1">{"Riqfin97",#N/A,FALSE,"Tran";"Riqfinpro",#N/A,FALSE,"Tran"}</definedName>
    <definedName name="fgf" localSheetId="29" hidden="1">{"Riqfin97",#N/A,FALSE,"Tran";"Riqfinpro",#N/A,FALSE,"Tran"}</definedName>
    <definedName name="fgf" localSheetId="30" hidden="1">{"Riqfin97",#N/A,FALSE,"Tran";"Riqfinpro",#N/A,FALSE,"Tran"}</definedName>
    <definedName name="fgf" localSheetId="44" hidden="1">{"Riqfin97",#N/A,FALSE,"Tran";"Riqfinpro",#N/A,FALSE,"Tran"}</definedName>
    <definedName name="fgf" localSheetId="59" hidden="1">{"Riqfin97",#N/A,FALSE,"Tran";"Riqfinpro",#N/A,FALSE,"Tran"}</definedName>
    <definedName name="fgf" localSheetId="13" hidden="1">{"Riqfin97",#N/A,FALSE,"Tran";"Riqfinpro",#N/A,FALSE,"Tran"}</definedName>
    <definedName name="fgf" localSheetId="0" hidden="1">{"Riqfin97",#N/A,FALSE,"Tran";"Riqfinpro",#N/A,FALSE,"Tran"}</definedName>
    <definedName name="fgf" localSheetId="57" hidden="1">{"Riqfin97",#N/A,FALSE,"Tran";"Riqfinpro",#N/A,FALSE,"Tran"}</definedName>
    <definedName name="fgf" localSheetId="56" hidden="1">{"Riqfin97",#N/A,FALSE,"Tran";"Riqfinpro",#N/A,FALSE,"Tran"}</definedName>
    <definedName name="fgf" localSheetId="54" hidden="1">{"Riqfin97",#N/A,FALSE,"Tran";"Riqfinpro",#N/A,FALSE,"Tran"}</definedName>
    <definedName name="fgf" localSheetId="52" hidden="1">{"Riqfin97",#N/A,FALSE,"Tran";"Riqfinpro",#N/A,FALSE,"Tran"}</definedName>
    <definedName name="fgf" localSheetId="23" hidden="1">{"Riqfin97",#N/A,FALSE,"Tran";"Riqfinpro",#N/A,FALSE,"Tran"}</definedName>
    <definedName name="fgf" localSheetId="51" hidden="1">{"Riqfin97",#N/A,FALSE,"Tran";"Riqfinpro",#N/A,FALSE,"Tran"}</definedName>
    <definedName name="fgf" localSheetId="53" hidden="1">{"Riqfin97",#N/A,FALSE,"Tran";"Riqfinpro",#N/A,FALSE,"Tran"}</definedName>
    <definedName name="fgf" localSheetId="60" hidden="1">{"Riqfin97",#N/A,FALSE,"Tran";"Riqfinpro",#N/A,FALSE,"Tran"}</definedName>
    <definedName name="fgf" hidden="1">{"Riqfin97",#N/A,FALSE,"Tran";"Riqfinpro",#N/A,FALSE,"Tran"}</definedName>
    <definedName name="fig3a" localSheetId="34">#REF!</definedName>
    <definedName name="fig3a" localSheetId="35">#REF!</definedName>
    <definedName name="fig3a" localSheetId="50">#REF!</definedName>
    <definedName name="fig3a" localSheetId="15">#REF!</definedName>
    <definedName name="fig3a" localSheetId="29">#REF!</definedName>
    <definedName name="fig3a" localSheetId="30">#REF!</definedName>
    <definedName name="fig3a" localSheetId="47">#REF!</definedName>
    <definedName name="fig3a" localSheetId="44">#REF!</definedName>
    <definedName name="fig3a" localSheetId="45">#REF!</definedName>
    <definedName name="fig3a" localSheetId="46">#REF!</definedName>
    <definedName name="fig3a" localSheetId="31">#REF!</definedName>
    <definedName name="fig3a" localSheetId="32">#REF!</definedName>
    <definedName name="fig3a" localSheetId="33">#REF!</definedName>
    <definedName name="fig3a" localSheetId="36">#REF!</definedName>
    <definedName name="fig3a" localSheetId="37">#REF!</definedName>
    <definedName name="fig3a" localSheetId="38">#REF!</definedName>
    <definedName name="fig3a" localSheetId="39">#REF!</definedName>
    <definedName name="fig3a" localSheetId="40">#REF!</definedName>
    <definedName name="fig3a" localSheetId="54">#REF!</definedName>
    <definedName name="fig3a" localSheetId="55">#REF!</definedName>
    <definedName name="fig3a" localSheetId="52">#REF!</definedName>
    <definedName name="fig3a" localSheetId="23">#REF!</definedName>
    <definedName name="fig3a" localSheetId="51">#REF!</definedName>
    <definedName name="fig3a" localSheetId="53">#REF!</definedName>
    <definedName name="fig3a" localSheetId="20">#REF!</definedName>
    <definedName name="fig3a">#REF!</definedName>
    <definedName name="FILES" localSheetId="34">#REF!</definedName>
    <definedName name="FILES" localSheetId="35">#REF!</definedName>
    <definedName name="FILES" localSheetId="50">#REF!</definedName>
    <definedName name="FILES" localSheetId="15">#REF!</definedName>
    <definedName name="FILES" localSheetId="27">#REF!</definedName>
    <definedName name="FILES" localSheetId="24">#REF!</definedName>
    <definedName name="FILES" localSheetId="26">#REF!</definedName>
    <definedName name="FILES" localSheetId="43">#REF!</definedName>
    <definedName name="FILES" localSheetId="29">#REF!</definedName>
    <definedName name="FILES" localSheetId="30">#REF!</definedName>
    <definedName name="FILES" localSheetId="47">#REF!</definedName>
    <definedName name="FILES" localSheetId="44">#REF!</definedName>
    <definedName name="FILES" localSheetId="45">#REF!</definedName>
    <definedName name="FILES" localSheetId="46">#REF!</definedName>
    <definedName name="FILES" localSheetId="31">#REF!</definedName>
    <definedName name="FILES" localSheetId="32">#REF!</definedName>
    <definedName name="FILES" localSheetId="33">#REF!</definedName>
    <definedName name="FILES" localSheetId="36">#REF!</definedName>
    <definedName name="FILES" localSheetId="37">#REF!</definedName>
    <definedName name="FILES" localSheetId="38">#REF!</definedName>
    <definedName name="FILES" localSheetId="39">#REF!</definedName>
    <definedName name="FILES" localSheetId="40">#REF!</definedName>
    <definedName name="FILES" localSheetId="25">#REF!</definedName>
    <definedName name="FILES" localSheetId="54">#REF!</definedName>
    <definedName name="FILES" localSheetId="55">#REF!</definedName>
    <definedName name="FILES" localSheetId="52">#REF!</definedName>
    <definedName name="FILES" localSheetId="23">#REF!</definedName>
    <definedName name="FILES" localSheetId="51">#REF!</definedName>
    <definedName name="FILES" localSheetId="12">#REF!</definedName>
    <definedName name="FILES" localSheetId="53">#REF!</definedName>
    <definedName name="FILES" localSheetId="49">#REF!</definedName>
    <definedName name="FILES" localSheetId="20">#REF!</definedName>
    <definedName name="FILES">#REF!</definedName>
    <definedName name="fin" localSheetId="34">#REF!</definedName>
    <definedName name="fin" localSheetId="35">#REF!</definedName>
    <definedName name="fin" localSheetId="50">#REF!</definedName>
    <definedName name="fin" localSheetId="15">#REF!</definedName>
    <definedName name="fin" localSheetId="29">#REF!</definedName>
    <definedName name="fin" localSheetId="30">#REF!</definedName>
    <definedName name="fin" localSheetId="47">#REF!</definedName>
    <definedName name="fin" localSheetId="44">#REF!</definedName>
    <definedName name="fin" localSheetId="45">#REF!</definedName>
    <definedName name="fin" localSheetId="46">#REF!</definedName>
    <definedName name="fin" localSheetId="31">#REF!</definedName>
    <definedName name="fin" localSheetId="32">#REF!</definedName>
    <definedName name="fin" localSheetId="33">#REF!</definedName>
    <definedName name="fin" localSheetId="36">#REF!</definedName>
    <definedName name="fin" localSheetId="37">#REF!</definedName>
    <definedName name="fin" localSheetId="38">#REF!</definedName>
    <definedName name="fin" localSheetId="39">#REF!</definedName>
    <definedName name="fin" localSheetId="40">#REF!</definedName>
    <definedName name="fin" localSheetId="54">#REF!</definedName>
    <definedName name="fin" localSheetId="55">#REF!</definedName>
    <definedName name="fin" localSheetId="52">#REF!</definedName>
    <definedName name="fin" localSheetId="23">#REF!</definedName>
    <definedName name="fin" localSheetId="51">#REF!</definedName>
    <definedName name="fin" localSheetId="53">#REF!</definedName>
    <definedName name="fin" localSheetId="20">#REF!</definedName>
    <definedName name="fin">#REF!</definedName>
    <definedName name="finan" localSheetId="34">#REF!</definedName>
    <definedName name="finan" localSheetId="35">#REF!</definedName>
    <definedName name="finan" localSheetId="50">#REF!</definedName>
    <definedName name="finan" localSheetId="15">#REF!</definedName>
    <definedName name="finan" localSheetId="29">#REF!</definedName>
    <definedName name="finan" localSheetId="30">#REF!</definedName>
    <definedName name="finan" localSheetId="47">#REF!</definedName>
    <definedName name="finan" localSheetId="44">#REF!</definedName>
    <definedName name="finan" localSheetId="45">#REF!</definedName>
    <definedName name="finan" localSheetId="46">#REF!</definedName>
    <definedName name="finan" localSheetId="31">#REF!</definedName>
    <definedName name="finan" localSheetId="32">#REF!</definedName>
    <definedName name="finan" localSheetId="33">#REF!</definedName>
    <definedName name="finan" localSheetId="36">#REF!</definedName>
    <definedName name="finan" localSheetId="37">#REF!</definedName>
    <definedName name="finan" localSheetId="38">#REF!</definedName>
    <definedName name="finan" localSheetId="39">#REF!</definedName>
    <definedName name="finan" localSheetId="40">#REF!</definedName>
    <definedName name="finan" localSheetId="54">#REF!</definedName>
    <definedName name="finan" localSheetId="55">#REF!</definedName>
    <definedName name="finan" localSheetId="52">#REF!</definedName>
    <definedName name="finan" localSheetId="23">#REF!</definedName>
    <definedName name="finan" localSheetId="51">#REF!</definedName>
    <definedName name="finan" localSheetId="53">#REF!</definedName>
    <definedName name="finan" localSheetId="20">#REF!</definedName>
    <definedName name="finan">#REF!</definedName>
    <definedName name="finan1" localSheetId="34">#REF!</definedName>
    <definedName name="finan1" localSheetId="35">#REF!</definedName>
    <definedName name="finan1" localSheetId="50">#REF!</definedName>
    <definedName name="finan1" localSheetId="15">#REF!</definedName>
    <definedName name="finan1" localSheetId="29">#REF!</definedName>
    <definedName name="finan1" localSheetId="30">#REF!</definedName>
    <definedName name="finan1" localSheetId="47">#REF!</definedName>
    <definedName name="finan1" localSheetId="44">#REF!</definedName>
    <definedName name="finan1" localSheetId="45">#REF!</definedName>
    <definedName name="finan1" localSheetId="46">#REF!</definedName>
    <definedName name="finan1" localSheetId="31">#REF!</definedName>
    <definedName name="finan1" localSheetId="32">#REF!</definedName>
    <definedName name="finan1" localSheetId="33">#REF!</definedName>
    <definedName name="finan1" localSheetId="36">#REF!</definedName>
    <definedName name="finan1" localSheetId="37">#REF!</definedName>
    <definedName name="finan1" localSheetId="38">#REF!</definedName>
    <definedName name="finan1" localSheetId="39">#REF!</definedName>
    <definedName name="finan1" localSheetId="40">#REF!</definedName>
    <definedName name="finan1" localSheetId="54">#REF!</definedName>
    <definedName name="finan1" localSheetId="55">#REF!</definedName>
    <definedName name="finan1" localSheetId="52">#REF!</definedName>
    <definedName name="finan1" localSheetId="23">#REF!</definedName>
    <definedName name="finan1" localSheetId="51">#REF!</definedName>
    <definedName name="finan1" localSheetId="53">#REF!</definedName>
    <definedName name="finan1" localSheetId="20">#REF!</definedName>
    <definedName name="finan1">#REF!</definedName>
    <definedName name="finan3_D" localSheetId="34">#REF!</definedName>
    <definedName name="finan3_D" localSheetId="35">#REF!</definedName>
    <definedName name="finan3_D" localSheetId="50">#REF!</definedName>
    <definedName name="finan3_D" localSheetId="15">#REF!</definedName>
    <definedName name="finan3_D" localSheetId="29">#REF!</definedName>
    <definedName name="finan3_D" localSheetId="30">#REF!</definedName>
    <definedName name="finan3_D" localSheetId="47">#REF!</definedName>
    <definedName name="finan3_D" localSheetId="44">#REF!</definedName>
    <definedName name="finan3_D" localSheetId="45">#REF!</definedName>
    <definedName name="finan3_D" localSheetId="46">#REF!</definedName>
    <definedName name="finan3_D" localSheetId="31">#REF!</definedName>
    <definedName name="finan3_D" localSheetId="32">#REF!</definedName>
    <definedName name="finan3_D" localSheetId="33">#REF!</definedName>
    <definedName name="finan3_D" localSheetId="36">#REF!</definedName>
    <definedName name="finan3_D" localSheetId="37">#REF!</definedName>
    <definedName name="finan3_D" localSheetId="38">#REF!</definedName>
    <definedName name="finan3_D" localSheetId="39">#REF!</definedName>
    <definedName name="finan3_D" localSheetId="40">#REF!</definedName>
    <definedName name="finan3_D" localSheetId="54">#REF!</definedName>
    <definedName name="finan3_D" localSheetId="55">#REF!</definedName>
    <definedName name="finan3_D" localSheetId="52">#REF!</definedName>
    <definedName name="finan3_D" localSheetId="23">#REF!</definedName>
    <definedName name="finan3_D" localSheetId="51">#REF!</definedName>
    <definedName name="finan3_D" localSheetId="53">#REF!</definedName>
    <definedName name="finan3_D" localSheetId="20">#REF!</definedName>
    <definedName name="finan3_D">#REF!</definedName>
    <definedName name="Financing" localSheetId="58" hidden="1">{"Tab1",#N/A,FALSE,"P";"Tab2",#N/A,FALSE,"P"}</definedName>
    <definedName name="Financing" localSheetId="16" hidden="1">{"Tab1",#N/A,FALSE,"P";"Tab2",#N/A,FALSE,"P"}</definedName>
    <definedName name="Financing" localSheetId="61" hidden="1">{"Tab1",#N/A,FALSE,"P";"Tab2",#N/A,FALSE,"P"}</definedName>
    <definedName name="Financing" localSheetId="62" hidden="1">{"Tab1",#N/A,FALSE,"P";"Tab2",#N/A,FALSE,"P"}</definedName>
    <definedName name="Financing" localSheetId="50" hidden="1">{"Tab1",#N/A,FALSE,"P";"Tab2",#N/A,FALSE,"P"}</definedName>
    <definedName name="Financing" localSheetId="63" hidden="1">{"Tab1",#N/A,FALSE,"P";"Tab2",#N/A,FALSE,"P"}</definedName>
    <definedName name="Financing" localSheetId="15" hidden="1">{"Tab1",#N/A,FALSE,"P";"Tab2",#N/A,FALSE,"P"}</definedName>
    <definedName name="Financing" localSheetId="1" hidden="1">{"Tab1",#N/A,FALSE,"P";"Tab2",#N/A,FALSE,"P"}</definedName>
    <definedName name="Financing" localSheetId="43" hidden="1">{"Tab1",#N/A,FALSE,"P";"Tab2",#N/A,FALSE,"P"}</definedName>
    <definedName name="Financing" localSheetId="29" hidden="1">{"Tab1",#N/A,FALSE,"P";"Tab2",#N/A,FALSE,"P"}</definedName>
    <definedName name="Financing" localSheetId="30" hidden="1">{"Tab1",#N/A,FALSE,"P";"Tab2",#N/A,FALSE,"P"}</definedName>
    <definedName name="Financing" localSheetId="44" hidden="1">{"Tab1",#N/A,FALSE,"P";"Tab2",#N/A,FALSE,"P"}</definedName>
    <definedName name="Financing" localSheetId="59" hidden="1">{"Tab1",#N/A,FALSE,"P";"Tab2",#N/A,FALSE,"P"}</definedName>
    <definedName name="Financing" localSheetId="13" hidden="1">{"Tab1",#N/A,FALSE,"P";"Tab2",#N/A,FALSE,"P"}</definedName>
    <definedName name="Financing" localSheetId="0" hidden="1">{"Tab1",#N/A,FALSE,"P";"Tab2",#N/A,FALSE,"P"}</definedName>
    <definedName name="Financing" localSheetId="57" hidden="1">{"Tab1",#N/A,FALSE,"P";"Tab2",#N/A,FALSE,"P"}</definedName>
    <definedName name="Financing" localSheetId="56" hidden="1">{"Tab1",#N/A,FALSE,"P";"Tab2",#N/A,FALSE,"P"}</definedName>
    <definedName name="Financing" localSheetId="54" hidden="1">{"Tab1",#N/A,FALSE,"P";"Tab2",#N/A,FALSE,"P"}</definedName>
    <definedName name="Financing" localSheetId="52" hidden="1">{"Tab1",#N/A,FALSE,"P";"Tab2",#N/A,FALSE,"P"}</definedName>
    <definedName name="Financing" localSheetId="23" hidden="1">{"Tab1",#N/A,FALSE,"P";"Tab2",#N/A,FALSE,"P"}</definedName>
    <definedName name="Financing" localSheetId="51" hidden="1">{"Tab1",#N/A,FALSE,"P";"Tab2",#N/A,FALSE,"P"}</definedName>
    <definedName name="Financing" localSheetId="53" hidden="1">{"Tab1",#N/A,FALSE,"P";"Tab2",#N/A,FALSE,"P"}</definedName>
    <definedName name="Financing" localSheetId="60" hidden="1">{"Tab1",#N/A,FALSE,"P";"Tab2",#N/A,FALSE,"P"}</definedName>
    <definedName name="Financing" hidden="1">{"Tab1",#N/A,FALSE,"P";"Tab2",#N/A,FALSE,"P"}</definedName>
    <definedName name="FIP" localSheetId="50">[90]Q4!#REF!</definedName>
    <definedName name="FIP" localSheetId="47">[90]Q4!#REF!</definedName>
    <definedName name="FIP" localSheetId="44">[90]Q4!#REF!</definedName>
    <definedName name="FIP" localSheetId="45">[90]Q4!#REF!</definedName>
    <definedName name="FIP" localSheetId="46">[90]Q4!#REF!</definedName>
    <definedName name="FIP" localSheetId="37">[90]Q4!#REF!</definedName>
    <definedName name="FIP" localSheetId="40">[90]Q4!#REF!</definedName>
    <definedName name="FIP" localSheetId="54">[90]Q4!#REF!</definedName>
    <definedName name="FIP" localSheetId="55">[90]Q4!#REF!</definedName>
    <definedName name="FIP" localSheetId="52">[90]Q4!#REF!</definedName>
    <definedName name="FIP" localSheetId="51">[90]Q4!#REF!</definedName>
    <definedName name="FIP" localSheetId="53">[90]Q4!#REF!</definedName>
    <definedName name="FIP">[90]Q4!#REF!</definedName>
    <definedName name="First" localSheetId="50">#REF!</definedName>
    <definedName name="First" localSheetId="47">#REF!</definedName>
    <definedName name="First" localSheetId="44">#REF!</definedName>
    <definedName name="First" localSheetId="45">#REF!</definedName>
    <definedName name="First" localSheetId="46">#REF!</definedName>
    <definedName name="First" localSheetId="37">#REF!</definedName>
    <definedName name="First" localSheetId="40">#REF!</definedName>
    <definedName name="First" localSheetId="54">#REF!</definedName>
    <definedName name="First" localSheetId="55">#REF!</definedName>
    <definedName name="First" localSheetId="52">#REF!</definedName>
    <definedName name="First" localSheetId="51">#REF!</definedName>
    <definedName name="First" localSheetId="53">#REF!</definedName>
    <definedName name="First">#REF!</definedName>
    <definedName name="FIRSTQTRS">'[91]SKN Fiscal (38)'!$Y$8</definedName>
    <definedName name="Fisc" localSheetId="50">#REF!</definedName>
    <definedName name="Fisc" localSheetId="47">#REF!</definedName>
    <definedName name="Fisc" localSheetId="44">#REF!</definedName>
    <definedName name="Fisc" localSheetId="45">#REF!</definedName>
    <definedName name="Fisc" localSheetId="46">#REF!</definedName>
    <definedName name="Fisc" localSheetId="37">#REF!</definedName>
    <definedName name="Fisc" localSheetId="40">#REF!</definedName>
    <definedName name="Fisc" localSheetId="54">#REF!</definedName>
    <definedName name="Fisc" localSheetId="55">#REF!</definedName>
    <definedName name="Fisc" localSheetId="52">#REF!</definedName>
    <definedName name="Fisc" localSheetId="51">#REF!</definedName>
    <definedName name="Fisc" localSheetId="53">#REF!</definedName>
    <definedName name="Fisc">#REF!</definedName>
    <definedName name="FISINP">[49]fiscal!$B$6:$M$45</definedName>
    <definedName name="FISUM" localSheetId="34">#REF!</definedName>
    <definedName name="FISUM" localSheetId="35">#REF!</definedName>
    <definedName name="FISUM" localSheetId="50">#REF!</definedName>
    <definedName name="FISUM" localSheetId="15">#REF!</definedName>
    <definedName name="FISUM" localSheetId="29">#REF!</definedName>
    <definedName name="FISUM" localSheetId="30">#REF!</definedName>
    <definedName name="FISUM" localSheetId="47">#REF!</definedName>
    <definedName name="FISUM" localSheetId="44">#REF!</definedName>
    <definedName name="FISUM" localSheetId="45">#REF!</definedName>
    <definedName name="FISUM" localSheetId="46">#REF!</definedName>
    <definedName name="FISUM" localSheetId="31">#REF!</definedName>
    <definedName name="FISUM" localSheetId="32">#REF!</definedName>
    <definedName name="FISUM" localSheetId="33">#REF!</definedName>
    <definedName name="FISUM" localSheetId="36">#REF!</definedName>
    <definedName name="FISUM" localSheetId="37">#REF!</definedName>
    <definedName name="FISUM" localSheetId="38">#REF!</definedName>
    <definedName name="FISUM" localSheetId="39">#REF!</definedName>
    <definedName name="FISUM" localSheetId="40">#REF!</definedName>
    <definedName name="FISUM" localSheetId="54">#REF!</definedName>
    <definedName name="FISUM" localSheetId="55">#REF!</definedName>
    <definedName name="FISUM" localSheetId="52">#REF!</definedName>
    <definedName name="FISUM" localSheetId="23">#REF!</definedName>
    <definedName name="FISUM" localSheetId="51">#REF!</definedName>
    <definedName name="FISUM" localSheetId="53">#REF!</definedName>
    <definedName name="FISUM" localSheetId="20">#REF!</definedName>
    <definedName name="FISUM">#REF!</definedName>
    <definedName name="FLIBOR" localSheetId="50">[90]Q4!#REF!</definedName>
    <definedName name="FLIBOR" localSheetId="47">[90]Q4!#REF!</definedName>
    <definedName name="FLIBOR" localSheetId="44">[90]Q4!#REF!</definedName>
    <definedName name="FLIBOR" localSheetId="45">[90]Q4!#REF!</definedName>
    <definedName name="FLIBOR" localSheetId="46">[90]Q4!#REF!</definedName>
    <definedName name="FLIBOR" localSheetId="37">[90]Q4!#REF!</definedName>
    <definedName name="FLIBOR" localSheetId="40">[90]Q4!#REF!</definedName>
    <definedName name="FLIBOR" localSheetId="54">[90]Q4!#REF!</definedName>
    <definedName name="FLIBOR" localSheetId="55">[90]Q4!#REF!</definedName>
    <definedName name="FLIBOR" localSheetId="52">[90]Q4!#REF!</definedName>
    <definedName name="FLIBOR" localSheetId="51">[90]Q4!#REF!</definedName>
    <definedName name="FLIBOR" localSheetId="53">[90]Q4!#REF!</definedName>
    <definedName name="FLIBOR">[90]Q4!#REF!</definedName>
    <definedName name="FLOPEC" localSheetId="34">#REF!</definedName>
    <definedName name="FLOPEC" localSheetId="35">#REF!</definedName>
    <definedName name="FLOPEC" localSheetId="50">#REF!</definedName>
    <definedName name="FLOPEC" localSheetId="15">#REF!</definedName>
    <definedName name="FLOPEC" localSheetId="29">#REF!</definedName>
    <definedName name="FLOPEC" localSheetId="30">#REF!</definedName>
    <definedName name="FLOPEC" localSheetId="47">#REF!</definedName>
    <definedName name="FLOPEC" localSheetId="44">#REF!</definedName>
    <definedName name="FLOPEC" localSheetId="45">#REF!</definedName>
    <definedName name="FLOPEC" localSheetId="46">#REF!</definedName>
    <definedName name="FLOPEC" localSheetId="31">#REF!</definedName>
    <definedName name="FLOPEC" localSheetId="32">#REF!</definedName>
    <definedName name="FLOPEC" localSheetId="33">#REF!</definedName>
    <definedName name="FLOPEC" localSheetId="36">#REF!</definedName>
    <definedName name="FLOPEC" localSheetId="37">#REF!</definedName>
    <definedName name="FLOPEC" localSheetId="38">#REF!</definedName>
    <definedName name="FLOPEC" localSheetId="39">#REF!</definedName>
    <definedName name="FLOPEC" localSheetId="40">#REF!</definedName>
    <definedName name="FLOPEC" localSheetId="54">#REF!</definedName>
    <definedName name="FLOPEC" localSheetId="55">#REF!</definedName>
    <definedName name="FLOPEC" localSheetId="52">#REF!</definedName>
    <definedName name="FLOPEC" localSheetId="23">#REF!</definedName>
    <definedName name="FLOPEC" localSheetId="51">#REF!</definedName>
    <definedName name="FLOPEC" localSheetId="53">#REF!</definedName>
    <definedName name="FLOPEC" localSheetId="20">#REF!</definedName>
    <definedName name="FLOPEC">#REF!</definedName>
    <definedName name="fluct" localSheetId="34">#REF!</definedName>
    <definedName name="fluct" localSheetId="35">#REF!</definedName>
    <definedName name="fluct" localSheetId="50">#REF!</definedName>
    <definedName name="fluct" localSheetId="15">#REF!</definedName>
    <definedName name="fluct" localSheetId="29">#REF!</definedName>
    <definedName name="fluct" localSheetId="30">#REF!</definedName>
    <definedName name="fluct" localSheetId="47">#REF!</definedName>
    <definedName name="fluct" localSheetId="44">#REF!</definedName>
    <definedName name="fluct" localSheetId="45">#REF!</definedName>
    <definedName name="fluct" localSheetId="46">#REF!</definedName>
    <definedName name="fluct" localSheetId="31">#REF!</definedName>
    <definedName name="fluct" localSheetId="32">#REF!</definedName>
    <definedName name="fluct" localSheetId="33">#REF!</definedName>
    <definedName name="fluct" localSheetId="36">#REF!</definedName>
    <definedName name="fluct" localSheetId="37">#REF!</definedName>
    <definedName name="fluct" localSheetId="38">#REF!</definedName>
    <definedName name="fluct" localSheetId="39">#REF!</definedName>
    <definedName name="fluct" localSheetId="40">#REF!</definedName>
    <definedName name="fluct" localSheetId="54">#REF!</definedName>
    <definedName name="fluct" localSheetId="55">#REF!</definedName>
    <definedName name="fluct" localSheetId="52">#REF!</definedName>
    <definedName name="fluct" localSheetId="23">#REF!</definedName>
    <definedName name="fluct" localSheetId="51">#REF!</definedName>
    <definedName name="fluct" localSheetId="53">#REF!</definedName>
    <definedName name="fluct" localSheetId="20">#REF!</definedName>
    <definedName name="fluct">#REF!</definedName>
    <definedName name="flujo1">[26]FMI!$A$4:$CM$42</definedName>
    <definedName name="flujo2">[26]FMI!$A$44:$CM$80</definedName>
    <definedName name="FLUJO3">[26]FMI!$A$86:$CM$117</definedName>
    <definedName name="FLUJOS">[26]FMI!$A$5:$BV$77</definedName>
    <definedName name="FODESEC" localSheetId="34">#REF!</definedName>
    <definedName name="FODESEC" localSheetId="35">#REF!</definedName>
    <definedName name="FODESEC" localSheetId="50">#REF!</definedName>
    <definedName name="FODESEC" localSheetId="15">#REF!</definedName>
    <definedName name="FODESEC" localSheetId="29">#REF!</definedName>
    <definedName name="FODESEC" localSheetId="30">#REF!</definedName>
    <definedName name="FODESEC" localSheetId="47">#REF!</definedName>
    <definedName name="FODESEC" localSheetId="44">#REF!</definedName>
    <definedName name="FODESEC" localSheetId="45">#REF!</definedName>
    <definedName name="FODESEC" localSheetId="46">#REF!</definedName>
    <definedName name="FODESEC" localSheetId="31">#REF!</definedName>
    <definedName name="FODESEC" localSheetId="32">#REF!</definedName>
    <definedName name="FODESEC" localSheetId="33">#REF!</definedName>
    <definedName name="FODESEC" localSheetId="36">#REF!</definedName>
    <definedName name="FODESEC" localSheetId="37">#REF!</definedName>
    <definedName name="FODESEC" localSheetId="38">#REF!</definedName>
    <definedName name="FODESEC" localSheetId="39">#REF!</definedName>
    <definedName name="FODESEC" localSheetId="40">#REF!</definedName>
    <definedName name="FODESEC" localSheetId="54">#REF!</definedName>
    <definedName name="FODESEC" localSheetId="55">#REF!</definedName>
    <definedName name="FODESEC" localSheetId="52">#REF!</definedName>
    <definedName name="FODESEC" localSheetId="23">#REF!</definedName>
    <definedName name="FODESEC" localSheetId="51">#REF!</definedName>
    <definedName name="FODESEC" localSheetId="53">#REF!</definedName>
    <definedName name="FODESEC" localSheetId="20">#REF!</definedName>
    <definedName name="FODESEC">#REF!</definedName>
    <definedName name="FOH_List" localSheetId="50">#REF!</definedName>
    <definedName name="FOH_List" localSheetId="47">#REF!</definedName>
    <definedName name="FOH_List" localSheetId="44">#REF!</definedName>
    <definedName name="FOH_List" localSheetId="45">#REF!</definedName>
    <definedName name="FOH_List" localSheetId="46">#REF!</definedName>
    <definedName name="FOH_List" localSheetId="37">#REF!</definedName>
    <definedName name="FOH_List" localSheetId="40">#REF!</definedName>
    <definedName name="FOH_List" localSheetId="54">#REF!</definedName>
    <definedName name="FOH_List" localSheetId="55">#REF!</definedName>
    <definedName name="FOH_List" localSheetId="52">#REF!</definedName>
    <definedName name="FOH_List" localSheetId="51">#REF!</definedName>
    <definedName name="FOH_List" localSheetId="53">#REF!</definedName>
    <definedName name="FOH_List">#REF!</definedName>
    <definedName name="FOOTENOTE">'[92]FISCAL-RF (29)'!$AC$8</definedName>
    <definedName name="FOOTENOTEND" localSheetId="50">#REF!</definedName>
    <definedName name="FOOTENOTEND" localSheetId="47">#REF!</definedName>
    <definedName name="FOOTENOTEND" localSheetId="44">#REF!</definedName>
    <definedName name="FOOTENOTEND" localSheetId="45">#REF!</definedName>
    <definedName name="FOOTENOTEND" localSheetId="46">#REF!</definedName>
    <definedName name="FOOTENOTEND" localSheetId="37">#REF!</definedName>
    <definedName name="FOOTENOTEND" localSheetId="40">#REF!</definedName>
    <definedName name="FOOTENOTEND" localSheetId="54">#REF!</definedName>
    <definedName name="FOOTENOTEND" localSheetId="55">#REF!</definedName>
    <definedName name="FOOTENOTEND" localSheetId="52">#REF!</definedName>
    <definedName name="FOOTENOTEND" localSheetId="51">#REF!</definedName>
    <definedName name="FOOTENOTEND" localSheetId="53">#REF!</definedName>
    <definedName name="FOOTENOTEND">#REF!</definedName>
    <definedName name="FOOTENOTERD" localSheetId="50">#REF!</definedName>
    <definedName name="FOOTENOTERD" localSheetId="47">#REF!</definedName>
    <definedName name="FOOTENOTERD" localSheetId="44">#REF!</definedName>
    <definedName name="FOOTENOTERD" localSheetId="45">#REF!</definedName>
    <definedName name="FOOTENOTERD" localSheetId="46">#REF!</definedName>
    <definedName name="FOOTENOTERD" localSheetId="37">#REF!</definedName>
    <definedName name="FOOTENOTERD" localSheetId="40">#REF!</definedName>
    <definedName name="FOOTENOTERD" localSheetId="54">#REF!</definedName>
    <definedName name="FOOTENOTERD" localSheetId="55">#REF!</definedName>
    <definedName name="FOOTENOTERD" localSheetId="52">#REF!</definedName>
    <definedName name="FOOTENOTERD" localSheetId="51">#REF!</definedName>
    <definedName name="FOOTENOTERD" localSheetId="53">#REF!</definedName>
    <definedName name="FOOTENOTERD">#REF!</definedName>
    <definedName name="footnote" localSheetId="50">#REF!</definedName>
    <definedName name="footnote" localSheetId="47">#REF!</definedName>
    <definedName name="footnote" localSheetId="44">#REF!</definedName>
    <definedName name="footnote" localSheetId="45">#REF!</definedName>
    <definedName name="footnote" localSheetId="46">#REF!</definedName>
    <definedName name="footnote" localSheetId="37">#REF!</definedName>
    <definedName name="footnote" localSheetId="40">#REF!</definedName>
    <definedName name="footnote" localSheetId="54">#REF!</definedName>
    <definedName name="footnote" localSheetId="55">#REF!</definedName>
    <definedName name="footnote" localSheetId="52">#REF!</definedName>
    <definedName name="footnote" localSheetId="51">#REF!</definedName>
    <definedName name="footnote" localSheetId="53">#REF!</definedName>
    <definedName name="footnote">#REF!</definedName>
    <definedName name="FOOTNOTEFIRST" localSheetId="50">#REF!</definedName>
    <definedName name="FOOTNOTEFIRST" localSheetId="47">#REF!</definedName>
    <definedName name="FOOTNOTEFIRST" localSheetId="44">#REF!</definedName>
    <definedName name="FOOTNOTEFIRST" localSheetId="45">#REF!</definedName>
    <definedName name="FOOTNOTEFIRST" localSheetId="46">#REF!</definedName>
    <definedName name="FOOTNOTEFIRST" localSheetId="37">#REF!</definedName>
    <definedName name="FOOTNOTEFIRST" localSheetId="40">#REF!</definedName>
    <definedName name="FOOTNOTEFIRST" localSheetId="54">#REF!</definedName>
    <definedName name="FOOTNOTEFIRST" localSheetId="55">#REF!</definedName>
    <definedName name="FOOTNOTEFIRST" localSheetId="52">#REF!</definedName>
    <definedName name="FOOTNOTEFIRST" localSheetId="51">#REF!</definedName>
    <definedName name="FOOTNOTEFIRST" localSheetId="53">#REF!</definedName>
    <definedName name="FOOTNOTEFIRST">#REF!</definedName>
    <definedName name="FOOTNOTEFOURTH" localSheetId="50">#REF!</definedName>
    <definedName name="FOOTNOTEFOURTH" localSheetId="47">#REF!</definedName>
    <definedName name="FOOTNOTEFOURTH" localSheetId="44">#REF!</definedName>
    <definedName name="FOOTNOTEFOURTH" localSheetId="45">#REF!</definedName>
    <definedName name="FOOTNOTEFOURTH" localSheetId="46">#REF!</definedName>
    <definedName name="FOOTNOTEFOURTH" localSheetId="37">#REF!</definedName>
    <definedName name="FOOTNOTEFOURTH" localSheetId="40">#REF!</definedName>
    <definedName name="FOOTNOTEFOURTH" localSheetId="54">#REF!</definedName>
    <definedName name="FOOTNOTEFOURTH" localSheetId="55">#REF!</definedName>
    <definedName name="FOOTNOTEFOURTH" localSheetId="52">#REF!</definedName>
    <definedName name="FOOTNOTEFOURTH" localSheetId="51">#REF!</definedName>
    <definedName name="FOOTNOTEFOURTH" localSheetId="53">#REF!</definedName>
    <definedName name="FOOTNOTEFOURTH">#REF!</definedName>
    <definedName name="FOOTNOTEND">'[93]ANG Fiscal (13)'!$W$8</definedName>
    <definedName name="FOOTNOTEP" localSheetId="50">#REF!</definedName>
    <definedName name="FOOTNOTEP" localSheetId="47">#REF!</definedName>
    <definedName name="FOOTNOTEP" localSheetId="44">#REF!</definedName>
    <definedName name="FOOTNOTEP" localSheetId="45">#REF!</definedName>
    <definedName name="FOOTNOTEP" localSheetId="46">#REF!</definedName>
    <definedName name="FOOTNOTEP" localSheetId="37">#REF!</definedName>
    <definedName name="FOOTNOTEP" localSheetId="40">#REF!</definedName>
    <definedName name="FOOTNOTEP" localSheetId="54">#REF!</definedName>
    <definedName name="FOOTNOTEP" localSheetId="55">#REF!</definedName>
    <definedName name="FOOTNOTEP" localSheetId="52">#REF!</definedName>
    <definedName name="FOOTNOTEP" localSheetId="51">#REF!</definedName>
    <definedName name="FOOTNOTEP" localSheetId="53">#REF!</definedName>
    <definedName name="FOOTNOTEP">#REF!</definedName>
    <definedName name="FOOTNOTER" localSheetId="50">#REF!</definedName>
    <definedName name="FOOTNOTER" localSheetId="47">#REF!</definedName>
    <definedName name="FOOTNOTER" localSheetId="44">#REF!</definedName>
    <definedName name="FOOTNOTER" localSheetId="45">#REF!</definedName>
    <definedName name="FOOTNOTER" localSheetId="46">#REF!</definedName>
    <definedName name="FOOTNOTER" localSheetId="37">#REF!</definedName>
    <definedName name="FOOTNOTER" localSheetId="40">#REF!</definedName>
    <definedName name="FOOTNOTER" localSheetId="54">#REF!</definedName>
    <definedName name="FOOTNOTER" localSheetId="55">#REF!</definedName>
    <definedName name="FOOTNOTER" localSheetId="52">#REF!</definedName>
    <definedName name="FOOTNOTER" localSheetId="51">#REF!</definedName>
    <definedName name="FOOTNOTER" localSheetId="53">#REF!</definedName>
    <definedName name="FOOTNOTER">#REF!</definedName>
    <definedName name="FOOTNOTERD">'[93]ANG Fiscal (13)'!$W$9</definedName>
    <definedName name="FOOTNOTESECOND" localSheetId="50">#REF!</definedName>
    <definedName name="FOOTNOTESECOND" localSheetId="47">#REF!</definedName>
    <definedName name="FOOTNOTESECOND" localSheetId="44">#REF!</definedName>
    <definedName name="FOOTNOTESECOND" localSheetId="45">#REF!</definedName>
    <definedName name="FOOTNOTESECOND" localSheetId="46">#REF!</definedName>
    <definedName name="FOOTNOTESECOND" localSheetId="37">#REF!</definedName>
    <definedName name="FOOTNOTESECOND" localSheetId="40">#REF!</definedName>
    <definedName name="FOOTNOTESECOND" localSheetId="54">#REF!</definedName>
    <definedName name="FOOTNOTESECOND" localSheetId="55">#REF!</definedName>
    <definedName name="FOOTNOTESECOND" localSheetId="52">#REF!</definedName>
    <definedName name="FOOTNOTESECOND" localSheetId="51">#REF!</definedName>
    <definedName name="FOOTNOTESECOND" localSheetId="53">#REF!</definedName>
    <definedName name="FOOTNOTESECOND">#REF!</definedName>
    <definedName name="FOOTNOTEST">'[93]ANG Fiscal (13)'!$W$7</definedName>
    <definedName name="FOOTNOTETH">'[93]ANG Fiscal (13)'!$W$10</definedName>
    <definedName name="FOOTNOTETHIRD" localSheetId="50">#REF!</definedName>
    <definedName name="FOOTNOTETHIRD" localSheetId="47">#REF!</definedName>
    <definedName name="FOOTNOTETHIRD" localSheetId="44">#REF!</definedName>
    <definedName name="FOOTNOTETHIRD" localSheetId="45">#REF!</definedName>
    <definedName name="FOOTNOTETHIRD" localSheetId="46">#REF!</definedName>
    <definedName name="FOOTNOTETHIRD" localSheetId="37">#REF!</definedName>
    <definedName name="FOOTNOTETHIRD" localSheetId="40">#REF!</definedName>
    <definedName name="FOOTNOTETHIRD" localSheetId="54">#REF!</definedName>
    <definedName name="FOOTNOTETHIRD" localSheetId="55">#REF!</definedName>
    <definedName name="FOOTNOTETHIRD" localSheetId="52">#REF!</definedName>
    <definedName name="FOOTNOTETHIRD" localSheetId="51">#REF!</definedName>
    <definedName name="FOOTNOTETHIRD" localSheetId="53">#REF!</definedName>
    <definedName name="FOOTNOTETHIRD">#REF!</definedName>
    <definedName name="ForecastingActualVariance" localSheetId="50">#REF!</definedName>
    <definedName name="ForecastingActualVariance" localSheetId="47">#REF!</definedName>
    <definedName name="ForecastingActualVariance" localSheetId="44">#REF!</definedName>
    <definedName name="ForecastingActualVariance" localSheetId="45">#REF!</definedName>
    <definedName name="ForecastingActualVariance" localSheetId="46">#REF!</definedName>
    <definedName name="ForecastingActualVariance" localSheetId="37">#REF!</definedName>
    <definedName name="ForecastingActualVariance" localSheetId="40">#REF!</definedName>
    <definedName name="ForecastingActualVariance" localSheetId="54">#REF!</definedName>
    <definedName name="ForecastingActualVariance" localSheetId="55">#REF!</definedName>
    <definedName name="ForecastingActualVariance" localSheetId="52">#REF!</definedName>
    <definedName name="ForecastingActualVariance" localSheetId="51">#REF!</definedName>
    <definedName name="ForecastingActualVariance" localSheetId="53">#REF!</definedName>
    <definedName name="ForecastingActualVariance">#REF!</definedName>
    <definedName name="ForecastingActVar" localSheetId="50">#REF!</definedName>
    <definedName name="ForecastingActVar" localSheetId="47">#REF!</definedName>
    <definedName name="ForecastingActVar" localSheetId="44">#REF!</definedName>
    <definedName name="ForecastingActVar" localSheetId="45">#REF!</definedName>
    <definedName name="ForecastingActVar" localSheetId="46">#REF!</definedName>
    <definedName name="ForecastingActVar" localSheetId="37">#REF!</definedName>
    <definedName name="ForecastingActVar" localSheetId="40">#REF!</definedName>
    <definedName name="ForecastingActVar" localSheetId="54">#REF!</definedName>
    <definedName name="ForecastingActVar" localSheetId="55">#REF!</definedName>
    <definedName name="ForecastingActVar" localSheetId="52">#REF!</definedName>
    <definedName name="ForecastingActVar" localSheetId="51">#REF!</definedName>
    <definedName name="ForecastingActVar" localSheetId="53">#REF!</definedName>
    <definedName name="ForecastingActVar">#REF!</definedName>
    <definedName name="ForecastingFcstVar" localSheetId="50">#REF!</definedName>
    <definedName name="ForecastingFcstVar" localSheetId="47">#REF!</definedName>
    <definedName name="ForecastingFcstVar" localSheetId="44">#REF!</definedName>
    <definedName name="ForecastingFcstVar" localSheetId="45">#REF!</definedName>
    <definedName name="ForecastingFcstVar" localSheetId="46">#REF!</definedName>
    <definedName name="ForecastingFcstVar" localSheetId="37">#REF!</definedName>
    <definedName name="ForecastingFcstVar" localSheetId="40">#REF!</definedName>
    <definedName name="ForecastingFcstVar" localSheetId="54">#REF!</definedName>
    <definedName name="ForecastingFcstVar" localSheetId="55">#REF!</definedName>
    <definedName name="ForecastingFcstVar" localSheetId="52">#REF!</definedName>
    <definedName name="ForecastingFcstVar" localSheetId="51">#REF!</definedName>
    <definedName name="ForecastingFcstVar" localSheetId="53">#REF!</definedName>
    <definedName name="ForecastingFcstVar">#REF!</definedName>
    <definedName name="ForecastingFile" localSheetId="50">#REF!</definedName>
    <definedName name="ForecastingFile" localSheetId="47">#REF!</definedName>
    <definedName name="ForecastingFile" localSheetId="44">#REF!</definedName>
    <definedName name="ForecastingFile" localSheetId="45">#REF!</definedName>
    <definedName name="ForecastingFile" localSheetId="46">#REF!</definedName>
    <definedName name="ForecastingFile" localSheetId="37">#REF!</definedName>
    <definedName name="ForecastingFile" localSheetId="40">#REF!</definedName>
    <definedName name="ForecastingFile" localSheetId="54">#REF!</definedName>
    <definedName name="ForecastingFile" localSheetId="55">#REF!</definedName>
    <definedName name="ForecastingFile" localSheetId="52">#REF!</definedName>
    <definedName name="ForecastingFile" localSheetId="51">#REF!</definedName>
    <definedName name="ForecastingFile" localSheetId="53">#REF!</definedName>
    <definedName name="ForecastingFile">#REF!</definedName>
    <definedName name="ForecastingForecastVariance" localSheetId="50">#REF!</definedName>
    <definedName name="ForecastingForecastVariance" localSheetId="47">#REF!</definedName>
    <definedName name="ForecastingForecastVariance" localSheetId="44">#REF!</definedName>
    <definedName name="ForecastingForecastVariance" localSheetId="45">#REF!</definedName>
    <definedName name="ForecastingForecastVariance" localSheetId="46">#REF!</definedName>
    <definedName name="ForecastingForecastVariance" localSheetId="37">#REF!</definedName>
    <definedName name="ForecastingForecastVariance" localSheetId="40">#REF!</definedName>
    <definedName name="ForecastingForecastVariance" localSheetId="54">#REF!</definedName>
    <definedName name="ForecastingForecastVariance" localSheetId="55">#REF!</definedName>
    <definedName name="ForecastingForecastVariance" localSheetId="52">#REF!</definedName>
    <definedName name="ForecastingForecastVariance" localSheetId="51">#REF!</definedName>
    <definedName name="ForecastingForecastVariance" localSheetId="53">#REF!</definedName>
    <definedName name="ForecastingForecastVariance">#REF!</definedName>
    <definedName name="ForecastingIndustry" localSheetId="50">#REF!</definedName>
    <definedName name="ForecastingIndustry" localSheetId="47">#REF!</definedName>
    <definedName name="ForecastingIndustry" localSheetId="44">#REF!</definedName>
    <definedName name="ForecastingIndustry" localSheetId="45">#REF!</definedName>
    <definedName name="ForecastingIndustry" localSheetId="46">#REF!</definedName>
    <definedName name="ForecastingIndustry" localSheetId="37">#REF!</definedName>
    <definedName name="ForecastingIndustry" localSheetId="40">#REF!</definedName>
    <definedName name="ForecastingIndustry" localSheetId="54">#REF!</definedName>
    <definedName name="ForecastingIndustry" localSheetId="55">#REF!</definedName>
    <definedName name="ForecastingIndustry" localSheetId="52">#REF!</definedName>
    <definedName name="ForecastingIndustry" localSheetId="51">#REF!</definedName>
    <definedName name="ForecastingIndustry" localSheetId="53">#REF!</definedName>
    <definedName name="ForecastingIndustry">#REF!</definedName>
    <definedName name="ForecastingMasterFile" localSheetId="50">#REF!</definedName>
    <definedName name="ForecastingMasterFile" localSheetId="47">#REF!</definedName>
    <definedName name="ForecastingMasterFile" localSheetId="44">#REF!</definedName>
    <definedName name="ForecastingMasterFile" localSheetId="45">#REF!</definedName>
    <definedName name="ForecastingMasterFile" localSheetId="46">#REF!</definedName>
    <definedName name="ForecastingMasterFile" localSheetId="37">#REF!</definedName>
    <definedName name="ForecastingMasterFile" localSheetId="40">#REF!</definedName>
    <definedName name="ForecastingMasterFile" localSheetId="54">#REF!</definedName>
    <definedName name="ForecastingMasterFile" localSheetId="55">#REF!</definedName>
    <definedName name="ForecastingMasterFile" localSheetId="52">#REF!</definedName>
    <definedName name="ForecastingMasterFile" localSheetId="51">#REF!</definedName>
    <definedName name="ForecastingMasterFile" localSheetId="53">#REF!</definedName>
    <definedName name="ForecastingMasterFile">#REF!</definedName>
    <definedName name="ForecastingNBHrs" localSheetId="50">#REF!</definedName>
    <definedName name="ForecastingNBHrs" localSheetId="47">#REF!</definedName>
    <definedName name="ForecastingNBHrs" localSheetId="44">#REF!</definedName>
    <definedName name="ForecastingNBHrs" localSheetId="45">#REF!</definedName>
    <definedName name="ForecastingNBHrs" localSheetId="46">#REF!</definedName>
    <definedName name="ForecastingNBHrs" localSheetId="37">#REF!</definedName>
    <definedName name="ForecastingNBHrs" localSheetId="40">#REF!</definedName>
    <definedName name="ForecastingNBHrs" localSheetId="54">#REF!</definedName>
    <definedName name="ForecastingNBHrs" localSheetId="55">#REF!</definedName>
    <definedName name="ForecastingNBHrs" localSheetId="52">#REF!</definedName>
    <definedName name="ForecastingNBHrs" localSheetId="51">#REF!</definedName>
    <definedName name="ForecastingNBHrs" localSheetId="53">#REF!</definedName>
    <definedName name="ForecastingNBHrs">#REF!</definedName>
    <definedName name="ForecastingOnlyNeg" localSheetId="50">#REF!</definedName>
    <definedName name="ForecastingOnlyNeg" localSheetId="47">#REF!</definedName>
    <definedName name="ForecastingOnlyNeg" localSheetId="44">#REF!</definedName>
    <definedName name="ForecastingOnlyNeg" localSheetId="45">#REF!</definedName>
    <definedName name="ForecastingOnlyNeg" localSheetId="46">#REF!</definedName>
    <definedName name="ForecastingOnlyNeg" localSheetId="37">#REF!</definedName>
    <definedName name="ForecastingOnlyNeg" localSheetId="40">#REF!</definedName>
    <definedName name="ForecastingOnlyNeg" localSheetId="54">#REF!</definedName>
    <definedName name="ForecastingOnlyNeg" localSheetId="55">#REF!</definedName>
    <definedName name="ForecastingOnlyNeg" localSheetId="52">#REF!</definedName>
    <definedName name="ForecastingOnlyNeg" localSheetId="51">#REF!</definedName>
    <definedName name="ForecastingOnlyNeg" localSheetId="53">#REF!</definedName>
    <definedName name="ForecastingOnlyNeg">#REF!</definedName>
    <definedName name="ForecastingQuarterStart" localSheetId="50">#REF!</definedName>
    <definedName name="ForecastingQuarterStart" localSheetId="47">#REF!</definedName>
    <definedName name="ForecastingQuarterStart" localSheetId="44">#REF!</definedName>
    <definedName name="ForecastingQuarterStart" localSheetId="45">#REF!</definedName>
    <definedName name="ForecastingQuarterStart" localSheetId="46">#REF!</definedName>
    <definedName name="ForecastingQuarterStart" localSheetId="37">#REF!</definedName>
    <definedName name="ForecastingQuarterStart" localSheetId="40">#REF!</definedName>
    <definedName name="ForecastingQuarterStart" localSheetId="54">#REF!</definedName>
    <definedName name="ForecastingQuarterStart" localSheetId="55">#REF!</definedName>
    <definedName name="ForecastingQuarterStart" localSheetId="52">#REF!</definedName>
    <definedName name="ForecastingQuarterStart" localSheetId="51">#REF!</definedName>
    <definedName name="ForecastingQuarterStart" localSheetId="53">#REF!</definedName>
    <definedName name="ForecastingQuarterStart">#REF!</definedName>
    <definedName name="ForecastingRefresh" localSheetId="50">#REF!</definedName>
    <definedName name="ForecastingRefresh" localSheetId="47">#REF!</definedName>
    <definedName name="ForecastingRefresh" localSheetId="44">#REF!</definedName>
    <definedName name="ForecastingRefresh" localSheetId="45">#REF!</definedName>
    <definedName name="ForecastingRefresh" localSheetId="46">#REF!</definedName>
    <definedName name="ForecastingRefresh" localSheetId="37">#REF!</definedName>
    <definedName name="ForecastingRefresh" localSheetId="40">#REF!</definedName>
    <definedName name="ForecastingRefresh" localSheetId="54">#REF!</definedName>
    <definedName name="ForecastingRefresh" localSheetId="55">#REF!</definedName>
    <definedName name="ForecastingRefresh" localSheetId="52">#REF!</definedName>
    <definedName name="ForecastingRefresh" localSheetId="51">#REF!</definedName>
    <definedName name="ForecastingRefresh" localSheetId="53">#REF!</definedName>
    <definedName name="ForecastingRefresh">#REF!</definedName>
    <definedName name="Foreign_Currency" localSheetId="50">#REF!</definedName>
    <definedName name="Foreign_Currency" localSheetId="47">#REF!</definedName>
    <definedName name="Foreign_Currency" localSheetId="44">#REF!</definedName>
    <definedName name="Foreign_Currency" localSheetId="45">#REF!</definedName>
    <definedName name="Foreign_Currency" localSheetId="46">#REF!</definedName>
    <definedName name="Foreign_Currency" localSheetId="37">#REF!</definedName>
    <definedName name="Foreign_Currency" localSheetId="40">#REF!</definedName>
    <definedName name="Foreign_Currency" localSheetId="54">#REF!</definedName>
    <definedName name="Foreign_Currency" localSheetId="55">#REF!</definedName>
    <definedName name="Foreign_Currency" localSheetId="52">#REF!</definedName>
    <definedName name="Foreign_Currency" localSheetId="51">#REF!</definedName>
    <definedName name="Foreign_Currency" localSheetId="53">#REF!</definedName>
    <definedName name="Foreign_Currency" localSheetId="49">#REF!</definedName>
    <definedName name="Foreign_Currency">#REF!</definedName>
    <definedName name="Foreign_Currency_CREDITS" localSheetId="50">#REF!</definedName>
    <definedName name="Foreign_Currency_CREDITS" localSheetId="47">#REF!</definedName>
    <definedName name="Foreign_Currency_CREDITS" localSheetId="44">#REF!</definedName>
    <definedName name="Foreign_Currency_CREDITS" localSheetId="45">#REF!</definedName>
    <definedName name="Foreign_Currency_CREDITS" localSheetId="46">#REF!</definedName>
    <definedName name="Foreign_Currency_CREDITS" localSheetId="37">#REF!</definedName>
    <definedName name="Foreign_Currency_CREDITS" localSheetId="40">#REF!</definedName>
    <definedName name="Foreign_Currency_CREDITS" localSheetId="54">#REF!</definedName>
    <definedName name="Foreign_Currency_CREDITS" localSheetId="55">#REF!</definedName>
    <definedName name="Foreign_Currency_CREDITS" localSheetId="52">#REF!</definedName>
    <definedName name="Foreign_Currency_CREDITS" localSheetId="51">#REF!</definedName>
    <definedName name="Foreign_Currency_CREDITS" localSheetId="53">#REF!</definedName>
    <definedName name="Foreign_Currency_CREDITS" localSheetId="49">#REF!</definedName>
    <definedName name="Foreign_Currency_CREDITS">#REF!</definedName>
    <definedName name="Foreign_Currency_Rates" localSheetId="50">#REF!</definedName>
    <definedName name="Foreign_Currency_Rates" localSheetId="47">#REF!</definedName>
    <definedName name="Foreign_Currency_Rates" localSheetId="44">#REF!</definedName>
    <definedName name="Foreign_Currency_Rates" localSheetId="45">#REF!</definedName>
    <definedName name="Foreign_Currency_Rates" localSheetId="46">#REF!</definedName>
    <definedName name="Foreign_Currency_Rates" localSheetId="37">#REF!</definedName>
    <definedName name="Foreign_Currency_Rates" localSheetId="40">#REF!</definedName>
    <definedName name="Foreign_Currency_Rates" localSheetId="54">#REF!</definedName>
    <definedName name="Foreign_Currency_Rates" localSheetId="55">#REF!</definedName>
    <definedName name="Foreign_Currency_Rates" localSheetId="52">#REF!</definedName>
    <definedName name="Foreign_Currency_Rates" localSheetId="51">#REF!</definedName>
    <definedName name="Foreign_Currency_Rates" localSheetId="53">#REF!</definedName>
    <definedName name="Foreign_Currency_Rates" localSheetId="49">#REF!</definedName>
    <definedName name="Foreign_Currency_Rates">#REF!</definedName>
    <definedName name="formato" localSheetId="34">#REF!</definedName>
    <definedName name="formato" localSheetId="35">#REF!</definedName>
    <definedName name="formato" localSheetId="50">#REF!</definedName>
    <definedName name="formato" localSheetId="15">#REF!</definedName>
    <definedName name="formato" localSheetId="29">#REF!</definedName>
    <definedName name="formato" localSheetId="30">#REF!</definedName>
    <definedName name="formato" localSheetId="47">#REF!</definedName>
    <definedName name="formato" localSheetId="44">#REF!</definedName>
    <definedName name="formato" localSheetId="45">#REF!</definedName>
    <definedName name="formato" localSheetId="46">#REF!</definedName>
    <definedName name="formato" localSheetId="31">#REF!</definedName>
    <definedName name="formato" localSheetId="32">#REF!</definedName>
    <definedName name="formato" localSheetId="33">#REF!</definedName>
    <definedName name="formato" localSheetId="36">#REF!</definedName>
    <definedName name="formato" localSheetId="37">#REF!</definedName>
    <definedName name="formato" localSheetId="38">#REF!</definedName>
    <definedName name="formato" localSheetId="39">#REF!</definedName>
    <definedName name="formato" localSheetId="40">#REF!</definedName>
    <definedName name="formato" localSheetId="54">#REF!</definedName>
    <definedName name="formato" localSheetId="55">#REF!</definedName>
    <definedName name="formato" localSheetId="52">#REF!</definedName>
    <definedName name="formato" localSheetId="23">#REF!</definedName>
    <definedName name="formato" localSheetId="51">#REF!</definedName>
    <definedName name="formato" localSheetId="53">#REF!</definedName>
    <definedName name="formato" localSheetId="20">#REF!</definedName>
    <definedName name="formato">#REF!</definedName>
    <definedName name="Fourth" localSheetId="50">#REF!</definedName>
    <definedName name="Fourth" localSheetId="47">#REF!</definedName>
    <definedName name="Fourth" localSheetId="44">#REF!</definedName>
    <definedName name="Fourth" localSheetId="45">#REF!</definedName>
    <definedName name="Fourth" localSheetId="46">#REF!</definedName>
    <definedName name="Fourth" localSheetId="37">#REF!</definedName>
    <definedName name="Fourth" localSheetId="40">#REF!</definedName>
    <definedName name="Fourth" localSheetId="54">#REF!</definedName>
    <definedName name="Fourth" localSheetId="55">#REF!</definedName>
    <definedName name="Fourth" localSheetId="52">#REF!</definedName>
    <definedName name="Fourth" localSheetId="51">#REF!</definedName>
    <definedName name="Fourth" localSheetId="53">#REF!</definedName>
    <definedName name="Fourth">#REF!</definedName>
    <definedName name="FRAMENO" localSheetId="50">#REF!</definedName>
    <definedName name="FRAMENO" localSheetId="47">#REF!</definedName>
    <definedName name="FRAMENO" localSheetId="44">#REF!</definedName>
    <definedName name="FRAMENO" localSheetId="45">#REF!</definedName>
    <definedName name="FRAMENO" localSheetId="46">#REF!</definedName>
    <definedName name="FRAMENO" localSheetId="37">#REF!</definedName>
    <definedName name="FRAMENO" localSheetId="40">#REF!</definedName>
    <definedName name="FRAMENO" localSheetId="54">#REF!</definedName>
    <definedName name="FRAMENO" localSheetId="55">#REF!</definedName>
    <definedName name="FRAMENO" localSheetId="52">#REF!</definedName>
    <definedName name="FRAMENO" localSheetId="51">#REF!</definedName>
    <definedName name="FRAMENO" localSheetId="53">#REF!</definedName>
    <definedName name="FRAMENO">#REF!</definedName>
    <definedName name="framework_macro" localSheetId="50">#REF!</definedName>
    <definedName name="framework_macro" localSheetId="47">#REF!</definedName>
    <definedName name="framework_macro" localSheetId="44">#REF!</definedName>
    <definedName name="framework_macro" localSheetId="45">#REF!</definedName>
    <definedName name="framework_macro" localSheetId="46">#REF!</definedName>
    <definedName name="framework_macro" localSheetId="37">#REF!</definedName>
    <definedName name="framework_macro" localSheetId="40">#REF!</definedName>
    <definedName name="framework_macro" localSheetId="54">#REF!</definedName>
    <definedName name="framework_macro" localSheetId="55">#REF!</definedName>
    <definedName name="framework_macro" localSheetId="52">#REF!</definedName>
    <definedName name="framework_macro" localSheetId="51">#REF!</definedName>
    <definedName name="framework_macro" localSheetId="53">#REF!</definedName>
    <definedName name="framework_macro">#REF!</definedName>
    <definedName name="framework_macro_new" localSheetId="50">#REF!</definedName>
    <definedName name="framework_macro_new" localSheetId="47">#REF!</definedName>
    <definedName name="framework_macro_new" localSheetId="44">#REF!</definedName>
    <definedName name="framework_macro_new" localSheetId="45">#REF!</definedName>
    <definedName name="framework_macro_new" localSheetId="46">#REF!</definedName>
    <definedName name="framework_macro_new" localSheetId="37">#REF!</definedName>
    <definedName name="framework_macro_new" localSheetId="40">#REF!</definedName>
    <definedName name="framework_macro_new" localSheetId="54">#REF!</definedName>
    <definedName name="framework_macro_new" localSheetId="55">#REF!</definedName>
    <definedName name="framework_macro_new" localSheetId="52">#REF!</definedName>
    <definedName name="framework_macro_new" localSheetId="51">#REF!</definedName>
    <definedName name="framework_macro_new" localSheetId="53">#REF!</definedName>
    <definedName name="framework_macro_new">#REF!</definedName>
    <definedName name="framework_monetary" localSheetId="50">#REF!</definedName>
    <definedName name="framework_monetary" localSheetId="47">#REF!</definedName>
    <definedName name="framework_monetary" localSheetId="44">#REF!</definedName>
    <definedName name="framework_monetary" localSheetId="45">#REF!</definedName>
    <definedName name="framework_monetary" localSheetId="46">#REF!</definedName>
    <definedName name="framework_monetary" localSheetId="37">#REF!</definedName>
    <definedName name="framework_monetary" localSheetId="40">#REF!</definedName>
    <definedName name="framework_monetary" localSheetId="54">#REF!</definedName>
    <definedName name="framework_monetary" localSheetId="55">#REF!</definedName>
    <definedName name="framework_monetary" localSheetId="52">#REF!</definedName>
    <definedName name="framework_monetary" localSheetId="51">#REF!</definedName>
    <definedName name="framework_monetary" localSheetId="53">#REF!</definedName>
    <definedName name="framework_monetary">#REF!</definedName>
    <definedName name="frameworks">[74]Admin!$B$19:$B$21</definedName>
    <definedName name="FRAMEYES" localSheetId="50">#REF!</definedName>
    <definedName name="FRAMEYES" localSheetId="47">#REF!</definedName>
    <definedName name="FRAMEYES" localSheetId="44">#REF!</definedName>
    <definedName name="FRAMEYES" localSheetId="45">#REF!</definedName>
    <definedName name="FRAMEYES" localSheetId="46">#REF!</definedName>
    <definedName name="FRAMEYES" localSheetId="37">#REF!</definedName>
    <definedName name="FRAMEYES" localSheetId="40">#REF!</definedName>
    <definedName name="FRAMEYES" localSheetId="54">#REF!</definedName>
    <definedName name="FRAMEYES" localSheetId="55">#REF!</definedName>
    <definedName name="FRAMEYES" localSheetId="52">#REF!</definedName>
    <definedName name="FRAMEYES" localSheetId="51">#REF!</definedName>
    <definedName name="FRAMEYES" localSheetId="53">#REF!</definedName>
    <definedName name="FRAMEYES">#REF!</definedName>
    <definedName name="fre" localSheetId="58" hidden="1">{"Tab1",#N/A,FALSE,"P";"Tab2",#N/A,FALSE,"P"}</definedName>
    <definedName name="fre" localSheetId="16" hidden="1">{"Tab1",#N/A,FALSE,"P";"Tab2",#N/A,FALSE,"P"}</definedName>
    <definedName name="fre" localSheetId="61" hidden="1">{"Tab1",#N/A,FALSE,"P";"Tab2",#N/A,FALSE,"P"}</definedName>
    <definedName name="fre" localSheetId="62" hidden="1">{"Tab1",#N/A,FALSE,"P";"Tab2",#N/A,FALSE,"P"}</definedName>
    <definedName name="fre" localSheetId="50" hidden="1">{"Tab1",#N/A,FALSE,"P";"Tab2",#N/A,FALSE,"P"}</definedName>
    <definedName name="fre" localSheetId="63" hidden="1">{"Tab1",#N/A,FALSE,"P";"Tab2",#N/A,FALSE,"P"}</definedName>
    <definedName name="fre" localSheetId="15" hidden="1">{"Tab1",#N/A,FALSE,"P";"Tab2",#N/A,FALSE,"P"}</definedName>
    <definedName name="fre" localSheetId="1" hidden="1">{"Tab1",#N/A,FALSE,"P";"Tab2",#N/A,FALSE,"P"}</definedName>
    <definedName name="fre" localSheetId="43" hidden="1">{"Tab1",#N/A,FALSE,"P";"Tab2",#N/A,FALSE,"P"}</definedName>
    <definedName name="fre" localSheetId="29" hidden="1">{"Tab1",#N/A,FALSE,"P";"Tab2",#N/A,FALSE,"P"}</definedName>
    <definedName name="fre" localSheetId="30" hidden="1">{"Tab1",#N/A,FALSE,"P";"Tab2",#N/A,FALSE,"P"}</definedName>
    <definedName name="fre" localSheetId="44" hidden="1">{"Tab1",#N/A,FALSE,"P";"Tab2",#N/A,FALSE,"P"}</definedName>
    <definedName name="fre" localSheetId="59" hidden="1">{"Tab1",#N/A,FALSE,"P";"Tab2",#N/A,FALSE,"P"}</definedName>
    <definedName name="fre" localSheetId="13" hidden="1">{"Tab1",#N/A,FALSE,"P";"Tab2",#N/A,FALSE,"P"}</definedName>
    <definedName name="fre" localSheetId="0" hidden="1">{"Tab1",#N/A,FALSE,"P";"Tab2",#N/A,FALSE,"P"}</definedName>
    <definedName name="fre" localSheetId="57" hidden="1">{"Tab1",#N/A,FALSE,"P";"Tab2",#N/A,FALSE,"P"}</definedName>
    <definedName name="fre" localSheetId="56" hidden="1">{"Tab1",#N/A,FALSE,"P";"Tab2",#N/A,FALSE,"P"}</definedName>
    <definedName name="fre" localSheetId="54" hidden="1">{"Tab1",#N/A,FALSE,"P";"Tab2",#N/A,FALSE,"P"}</definedName>
    <definedName name="fre" localSheetId="52" hidden="1">{"Tab1",#N/A,FALSE,"P";"Tab2",#N/A,FALSE,"P"}</definedName>
    <definedName name="fre" localSheetId="23" hidden="1">{"Tab1",#N/A,FALSE,"P";"Tab2",#N/A,FALSE,"P"}</definedName>
    <definedName name="fre" localSheetId="51" hidden="1">{"Tab1",#N/A,FALSE,"P";"Tab2",#N/A,FALSE,"P"}</definedName>
    <definedName name="fre" localSheetId="53" hidden="1">{"Tab1",#N/A,FALSE,"P";"Tab2",#N/A,FALSE,"P"}</definedName>
    <definedName name="fre" localSheetId="60" hidden="1">{"Tab1",#N/A,FALSE,"P";"Tab2",#N/A,FALSE,"P"}</definedName>
    <definedName name="fre" hidden="1">{"Tab1",#N/A,FALSE,"P";"Tab2",#N/A,FALSE,"P"}</definedName>
    <definedName name="FREQUENCY" localSheetId="34">#REF!</definedName>
    <definedName name="FREQUENCY" localSheetId="35">#REF!</definedName>
    <definedName name="FREQUENCY" localSheetId="50">#REF!</definedName>
    <definedName name="FREQUENCY" localSheetId="15">#REF!</definedName>
    <definedName name="FREQUENCY" localSheetId="29">#REF!</definedName>
    <definedName name="FREQUENCY" localSheetId="30">#REF!</definedName>
    <definedName name="FREQUENCY" localSheetId="47">#REF!</definedName>
    <definedName name="FREQUENCY" localSheetId="44">#REF!</definedName>
    <definedName name="FREQUENCY" localSheetId="45">#REF!</definedName>
    <definedName name="FREQUENCY" localSheetId="46">#REF!</definedName>
    <definedName name="FREQUENCY" localSheetId="31">#REF!</definedName>
    <definedName name="FREQUENCY" localSheetId="32">#REF!</definedName>
    <definedName name="FREQUENCY" localSheetId="33">#REF!</definedName>
    <definedName name="FREQUENCY" localSheetId="36">#REF!</definedName>
    <definedName name="FREQUENCY" localSheetId="37">#REF!</definedName>
    <definedName name="FREQUENCY" localSheetId="38">#REF!</definedName>
    <definedName name="FREQUENCY" localSheetId="39">#REF!</definedName>
    <definedName name="FREQUENCY" localSheetId="40">#REF!</definedName>
    <definedName name="FREQUENCY" localSheetId="54">#REF!</definedName>
    <definedName name="FREQUENCY" localSheetId="55">#REF!</definedName>
    <definedName name="FREQUENCY" localSheetId="52">#REF!</definedName>
    <definedName name="FREQUENCY" localSheetId="23">#REF!</definedName>
    <definedName name="FREQUENCY" localSheetId="51">#REF!</definedName>
    <definedName name="FREQUENCY" localSheetId="53">#REF!</definedName>
    <definedName name="FREQUENCY" localSheetId="20">#REF!</definedName>
    <definedName name="FREQUENCY">#REF!</definedName>
    <definedName name="FrequencyList">'[94]Report Form'!$D$4:$D$20</definedName>
    <definedName name="FS" localSheetId="50">#REF!</definedName>
    <definedName name="FS" localSheetId="47">#REF!</definedName>
    <definedName name="FS" localSheetId="44">#REF!</definedName>
    <definedName name="FS" localSheetId="45">#REF!</definedName>
    <definedName name="FS" localSheetId="46">#REF!</definedName>
    <definedName name="FS" localSheetId="37">#REF!</definedName>
    <definedName name="FS" localSheetId="40">#REF!</definedName>
    <definedName name="FS" localSheetId="54">#REF!</definedName>
    <definedName name="FS" localSheetId="55">#REF!</definedName>
    <definedName name="FS" localSheetId="52">#REF!</definedName>
    <definedName name="FS" localSheetId="51">#REF!</definedName>
    <definedName name="FS" localSheetId="53">#REF!</definedName>
    <definedName name="FS">#REF!</definedName>
    <definedName name="fsrate">'[52]Burn Rates'!$G$20</definedName>
    <definedName name="ftaref" localSheetId="34">#REF!</definedName>
    <definedName name="ftaref" localSheetId="35">#REF!</definedName>
    <definedName name="ftaref" localSheetId="50">#REF!</definedName>
    <definedName name="ftaref" localSheetId="15">#REF!</definedName>
    <definedName name="ftaref" localSheetId="29">#REF!</definedName>
    <definedName name="ftaref" localSheetId="30">#REF!</definedName>
    <definedName name="ftaref" localSheetId="47">#REF!</definedName>
    <definedName name="ftaref" localSheetId="44">#REF!</definedName>
    <definedName name="ftaref" localSheetId="45">#REF!</definedName>
    <definedName name="ftaref" localSheetId="46">#REF!</definedName>
    <definedName name="ftaref" localSheetId="31">#REF!</definedName>
    <definedName name="ftaref" localSheetId="32">#REF!</definedName>
    <definedName name="ftaref" localSheetId="33">#REF!</definedName>
    <definedName name="ftaref" localSheetId="36">#REF!</definedName>
    <definedName name="ftaref" localSheetId="37">#REF!</definedName>
    <definedName name="ftaref" localSheetId="38">#REF!</definedName>
    <definedName name="ftaref" localSheetId="39">#REF!</definedName>
    <definedName name="ftaref" localSheetId="40">#REF!</definedName>
    <definedName name="ftaref" localSheetId="54">#REF!</definedName>
    <definedName name="ftaref" localSheetId="55">#REF!</definedName>
    <definedName name="ftaref" localSheetId="52">#REF!</definedName>
    <definedName name="ftaref" localSheetId="23">#REF!</definedName>
    <definedName name="ftaref" localSheetId="51">#REF!</definedName>
    <definedName name="ftaref" localSheetId="53">#REF!</definedName>
    <definedName name="ftaref" localSheetId="20">#REF!</definedName>
    <definedName name="ftaref">#REF!</definedName>
    <definedName name="ftconf" localSheetId="34">#REF!</definedName>
    <definedName name="ftconf" localSheetId="35">#REF!</definedName>
    <definedName name="ftconf" localSheetId="50">#REF!</definedName>
    <definedName name="ftconf" localSheetId="15">#REF!</definedName>
    <definedName name="ftconf" localSheetId="29">#REF!</definedName>
    <definedName name="ftconf" localSheetId="30">#REF!</definedName>
    <definedName name="ftconf" localSheetId="47">#REF!</definedName>
    <definedName name="ftconf" localSheetId="44">#REF!</definedName>
    <definedName name="ftconf" localSheetId="45">#REF!</definedName>
    <definedName name="ftconf" localSheetId="46">#REF!</definedName>
    <definedName name="ftconf" localSheetId="31">#REF!</definedName>
    <definedName name="ftconf" localSheetId="32">#REF!</definedName>
    <definedName name="ftconf" localSheetId="33">#REF!</definedName>
    <definedName name="ftconf" localSheetId="36">#REF!</definedName>
    <definedName name="ftconf" localSheetId="37">#REF!</definedName>
    <definedName name="ftconf" localSheetId="38">#REF!</definedName>
    <definedName name="ftconf" localSheetId="39">#REF!</definedName>
    <definedName name="ftconf" localSheetId="40">#REF!</definedName>
    <definedName name="ftconf" localSheetId="54">#REF!</definedName>
    <definedName name="ftconf" localSheetId="55">#REF!</definedName>
    <definedName name="ftconf" localSheetId="52">#REF!</definedName>
    <definedName name="ftconf" localSheetId="23">#REF!</definedName>
    <definedName name="ftconf" localSheetId="51">#REF!</definedName>
    <definedName name="ftconf" localSheetId="53">#REF!</definedName>
    <definedName name="ftconf" localSheetId="20">#REF!</definedName>
    <definedName name="ftconf">#REF!</definedName>
    <definedName name="FTE_Rate" localSheetId="50">[95]Risks!#REF!</definedName>
    <definedName name="FTE_Rate" localSheetId="47">[95]Risks!#REF!</definedName>
    <definedName name="FTE_Rate" localSheetId="44">[95]Risks!#REF!</definedName>
    <definedName name="FTE_Rate" localSheetId="45">[95]Risks!#REF!</definedName>
    <definedName name="FTE_Rate" localSheetId="46">[95]Risks!#REF!</definedName>
    <definedName name="FTE_Rate" localSheetId="37">[95]Risks!#REF!</definedName>
    <definedName name="FTE_Rate" localSheetId="40">[95]Risks!#REF!</definedName>
    <definedName name="FTE_Rate" localSheetId="54">[95]Risks!#REF!</definedName>
    <definedName name="FTE_Rate" localSheetId="55">[95]Risks!#REF!</definedName>
    <definedName name="FTE_Rate" localSheetId="52">[95]Risks!#REF!</definedName>
    <definedName name="FTE_Rate" localSheetId="51">[95]Risks!#REF!</definedName>
    <definedName name="FTE_Rate" localSheetId="53">[95]Risks!#REF!</definedName>
    <definedName name="FTE_Rate">[95]Risks!#REF!</definedName>
    <definedName name="fte_rate1" localSheetId="50">[95]Risks!#REF!</definedName>
    <definedName name="fte_rate1" localSheetId="47">[95]Risks!#REF!</definedName>
    <definedName name="fte_rate1" localSheetId="44">[95]Risks!#REF!</definedName>
    <definedName name="fte_rate1" localSheetId="45">[95]Risks!#REF!</definedName>
    <definedName name="fte_rate1" localSheetId="46">[95]Risks!#REF!</definedName>
    <definedName name="fte_rate1" localSheetId="37">[95]Risks!#REF!</definedName>
    <definedName name="fte_rate1" localSheetId="40">[95]Risks!#REF!</definedName>
    <definedName name="fte_rate1" localSheetId="54">[95]Risks!#REF!</definedName>
    <definedName name="fte_rate1" localSheetId="55">[95]Risks!#REF!</definedName>
    <definedName name="fte_rate1" localSheetId="52">[95]Risks!#REF!</definedName>
    <definedName name="fte_rate1" localSheetId="51">[95]Risks!#REF!</definedName>
    <definedName name="fte_rate1" localSheetId="53">[95]Risks!#REF!</definedName>
    <definedName name="fte_rate1">[95]Risks!#REF!</definedName>
    <definedName name="ftfp_end_date" localSheetId="50">#REF!</definedName>
    <definedName name="ftfp_end_date" localSheetId="47">#REF!</definedName>
    <definedName name="ftfp_end_date" localSheetId="44">#REF!</definedName>
    <definedName name="ftfp_end_date" localSheetId="45">#REF!</definedName>
    <definedName name="ftfp_end_date" localSheetId="46">#REF!</definedName>
    <definedName name="ftfp_end_date" localSheetId="37">#REF!</definedName>
    <definedName name="ftfp_end_date" localSheetId="40">#REF!</definedName>
    <definedName name="ftfp_end_date" localSheetId="54">#REF!</definedName>
    <definedName name="ftfp_end_date" localSheetId="55">#REF!</definedName>
    <definedName name="ftfp_end_date" localSheetId="52">#REF!</definedName>
    <definedName name="ftfp_end_date" localSheetId="51">#REF!</definedName>
    <definedName name="ftfp_end_date" localSheetId="53">#REF!</definedName>
    <definedName name="ftfp_end_date">#REF!</definedName>
    <definedName name="ftfp_start_date" localSheetId="50">#REF!</definedName>
    <definedName name="ftfp_start_date" localSheetId="47">#REF!</definedName>
    <definedName name="ftfp_start_date" localSheetId="44">#REF!</definedName>
    <definedName name="ftfp_start_date" localSheetId="45">#REF!</definedName>
    <definedName name="ftfp_start_date" localSheetId="46">#REF!</definedName>
    <definedName name="ftfp_start_date" localSheetId="37">#REF!</definedName>
    <definedName name="ftfp_start_date" localSheetId="40">#REF!</definedName>
    <definedName name="ftfp_start_date" localSheetId="54">#REF!</definedName>
    <definedName name="ftfp_start_date" localSheetId="55">#REF!</definedName>
    <definedName name="ftfp_start_date" localSheetId="52">#REF!</definedName>
    <definedName name="ftfp_start_date" localSheetId="51">#REF!</definedName>
    <definedName name="ftfp_start_date" localSheetId="53">#REF!</definedName>
    <definedName name="ftfp_start_date">#REF!</definedName>
    <definedName name="ftima" localSheetId="34">#REF!</definedName>
    <definedName name="ftima" localSheetId="35">#REF!</definedName>
    <definedName name="ftima" localSheetId="50">#REF!</definedName>
    <definedName name="ftima" localSheetId="15">#REF!</definedName>
    <definedName name="ftima" localSheetId="29">#REF!</definedName>
    <definedName name="ftima" localSheetId="30">#REF!</definedName>
    <definedName name="ftima" localSheetId="47">#REF!</definedName>
    <definedName name="ftima" localSheetId="44">#REF!</definedName>
    <definedName name="ftima" localSheetId="45">#REF!</definedName>
    <definedName name="ftima" localSheetId="46">#REF!</definedName>
    <definedName name="ftima" localSheetId="31">#REF!</definedName>
    <definedName name="ftima" localSheetId="32">#REF!</definedName>
    <definedName name="ftima" localSheetId="33">#REF!</definedName>
    <definedName name="ftima" localSheetId="36">#REF!</definedName>
    <definedName name="ftima" localSheetId="37">#REF!</definedName>
    <definedName name="ftima" localSheetId="38">#REF!</definedName>
    <definedName name="ftima" localSheetId="39">#REF!</definedName>
    <definedName name="ftima" localSheetId="40">#REF!</definedName>
    <definedName name="ftima" localSheetId="54">#REF!</definedName>
    <definedName name="ftima" localSheetId="55">#REF!</definedName>
    <definedName name="ftima" localSheetId="52">#REF!</definedName>
    <definedName name="ftima" localSheetId="23">#REF!</definedName>
    <definedName name="ftima" localSheetId="51">#REF!</definedName>
    <definedName name="ftima" localSheetId="53">#REF!</definedName>
    <definedName name="ftima" localSheetId="20">#REF!</definedName>
    <definedName name="ftima">#REF!</definedName>
    <definedName name="ftimaf" localSheetId="34">#REF!</definedName>
    <definedName name="ftimaf" localSheetId="35">#REF!</definedName>
    <definedName name="ftimaf" localSheetId="50">#REF!</definedName>
    <definedName name="ftimaf" localSheetId="15">#REF!</definedName>
    <definedName name="ftimaf" localSheetId="29">#REF!</definedName>
    <definedName name="ftimaf" localSheetId="30">#REF!</definedName>
    <definedName name="ftimaf" localSheetId="47">#REF!</definedName>
    <definedName name="ftimaf" localSheetId="44">#REF!</definedName>
    <definedName name="ftimaf" localSheetId="45">#REF!</definedName>
    <definedName name="ftimaf" localSheetId="46">#REF!</definedName>
    <definedName name="ftimaf" localSheetId="31">#REF!</definedName>
    <definedName name="ftimaf" localSheetId="32">#REF!</definedName>
    <definedName name="ftimaf" localSheetId="33">#REF!</definedName>
    <definedName name="ftimaf" localSheetId="36">#REF!</definedName>
    <definedName name="ftimaf" localSheetId="37">#REF!</definedName>
    <definedName name="ftimaf" localSheetId="38">#REF!</definedName>
    <definedName name="ftimaf" localSheetId="39">#REF!</definedName>
    <definedName name="ftimaf" localSheetId="40">#REF!</definedName>
    <definedName name="ftimaf" localSheetId="54">#REF!</definedName>
    <definedName name="ftimaf" localSheetId="55">#REF!</definedName>
    <definedName name="ftimaf" localSheetId="52">#REF!</definedName>
    <definedName name="ftimaf" localSheetId="23">#REF!</definedName>
    <definedName name="ftimaf" localSheetId="51">#REF!</definedName>
    <definedName name="ftimaf" localSheetId="53">#REF!</definedName>
    <definedName name="ftimaf" localSheetId="20">#REF!</definedName>
    <definedName name="ftimaf">#REF!</definedName>
    <definedName name="ftr" localSheetId="58" hidden="1">{"Riqfin97",#N/A,FALSE,"Tran";"Riqfinpro",#N/A,FALSE,"Tran"}</definedName>
    <definedName name="ftr" localSheetId="16" hidden="1">{"Riqfin97",#N/A,FALSE,"Tran";"Riqfinpro",#N/A,FALSE,"Tran"}</definedName>
    <definedName name="ftr" localSheetId="61" hidden="1">{"Riqfin97",#N/A,FALSE,"Tran";"Riqfinpro",#N/A,FALSE,"Tran"}</definedName>
    <definedName name="ftr" localSheetId="62" hidden="1">{"Riqfin97",#N/A,FALSE,"Tran";"Riqfinpro",#N/A,FALSE,"Tran"}</definedName>
    <definedName name="ftr" localSheetId="50" hidden="1">{"Riqfin97",#N/A,FALSE,"Tran";"Riqfinpro",#N/A,FALSE,"Tran"}</definedName>
    <definedName name="ftr" localSheetId="63" hidden="1">{"Riqfin97",#N/A,FALSE,"Tran";"Riqfinpro",#N/A,FALSE,"Tran"}</definedName>
    <definedName name="ftr" localSheetId="15" hidden="1">{"Riqfin97",#N/A,FALSE,"Tran";"Riqfinpro",#N/A,FALSE,"Tran"}</definedName>
    <definedName name="ftr" localSheetId="1" hidden="1">{"Riqfin97",#N/A,FALSE,"Tran";"Riqfinpro",#N/A,FALSE,"Tran"}</definedName>
    <definedName name="ftr" localSheetId="43" hidden="1">{"Riqfin97",#N/A,FALSE,"Tran";"Riqfinpro",#N/A,FALSE,"Tran"}</definedName>
    <definedName name="ftr" localSheetId="29" hidden="1">{"Riqfin97",#N/A,FALSE,"Tran";"Riqfinpro",#N/A,FALSE,"Tran"}</definedName>
    <definedName name="ftr" localSheetId="30" hidden="1">{"Riqfin97",#N/A,FALSE,"Tran";"Riqfinpro",#N/A,FALSE,"Tran"}</definedName>
    <definedName name="ftr" localSheetId="44" hidden="1">{"Riqfin97",#N/A,FALSE,"Tran";"Riqfinpro",#N/A,FALSE,"Tran"}</definedName>
    <definedName name="ftr" localSheetId="59" hidden="1">{"Riqfin97",#N/A,FALSE,"Tran";"Riqfinpro",#N/A,FALSE,"Tran"}</definedName>
    <definedName name="ftr" localSheetId="13" hidden="1">{"Riqfin97",#N/A,FALSE,"Tran";"Riqfinpro",#N/A,FALSE,"Tran"}</definedName>
    <definedName name="ftr" localSheetId="0" hidden="1">{"Riqfin97",#N/A,FALSE,"Tran";"Riqfinpro",#N/A,FALSE,"Tran"}</definedName>
    <definedName name="ftr" localSheetId="57" hidden="1">{"Riqfin97",#N/A,FALSE,"Tran";"Riqfinpro",#N/A,FALSE,"Tran"}</definedName>
    <definedName name="ftr" localSheetId="56" hidden="1">{"Riqfin97",#N/A,FALSE,"Tran";"Riqfinpro",#N/A,FALSE,"Tran"}</definedName>
    <definedName name="ftr" localSheetId="54" hidden="1">{"Riqfin97",#N/A,FALSE,"Tran";"Riqfinpro",#N/A,FALSE,"Tran"}</definedName>
    <definedName name="ftr" localSheetId="52" hidden="1">{"Riqfin97",#N/A,FALSE,"Tran";"Riqfinpro",#N/A,FALSE,"Tran"}</definedName>
    <definedName name="ftr" localSheetId="23" hidden="1">{"Riqfin97",#N/A,FALSE,"Tran";"Riqfinpro",#N/A,FALSE,"Tran"}</definedName>
    <definedName name="ftr" localSheetId="51" hidden="1">{"Riqfin97",#N/A,FALSE,"Tran";"Riqfinpro",#N/A,FALSE,"Tran"}</definedName>
    <definedName name="ftr" localSheetId="53" hidden="1">{"Riqfin97",#N/A,FALSE,"Tran";"Riqfinpro",#N/A,FALSE,"Tran"}</definedName>
    <definedName name="ftr" localSheetId="60" hidden="1">{"Riqfin97",#N/A,FALSE,"Tran";"Riqfinpro",#N/A,FALSE,"Tran"}</definedName>
    <definedName name="ftr" hidden="1">{"Riqfin97",#N/A,FALSE,"Tran";"Riqfinpro",#N/A,FALSE,"Tran"}</definedName>
    <definedName name="fty" localSheetId="58" hidden="1">{"Riqfin97",#N/A,FALSE,"Tran";"Riqfinpro",#N/A,FALSE,"Tran"}</definedName>
    <definedName name="fty" localSheetId="16" hidden="1">{"Riqfin97",#N/A,FALSE,"Tran";"Riqfinpro",#N/A,FALSE,"Tran"}</definedName>
    <definedName name="fty" localSheetId="61" hidden="1">{"Riqfin97",#N/A,FALSE,"Tran";"Riqfinpro",#N/A,FALSE,"Tran"}</definedName>
    <definedName name="fty" localSheetId="62" hidden="1">{"Riqfin97",#N/A,FALSE,"Tran";"Riqfinpro",#N/A,FALSE,"Tran"}</definedName>
    <definedName name="fty" localSheetId="50" hidden="1">{"Riqfin97",#N/A,FALSE,"Tran";"Riqfinpro",#N/A,FALSE,"Tran"}</definedName>
    <definedName name="fty" localSheetId="63" hidden="1">{"Riqfin97",#N/A,FALSE,"Tran";"Riqfinpro",#N/A,FALSE,"Tran"}</definedName>
    <definedName name="fty" localSheetId="15" hidden="1">{"Riqfin97",#N/A,FALSE,"Tran";"Riqfinpro",#N/A,FALSE,"Tran"}</definedName>
    <definedName name="fty" localSheetId="1" hidden="1">{"Riqfin97",#N/A,FALSE,"Tran";"Riqfinpro",#N/A,FALSE,"Tran"}</definedName>
    <definedName name="fty" localSheetId="43" hidden="1">{"Riqfin97",#N/A,FALSE,"Tran";"Riqfinpro",#N/A,FALSE,"Tran"}</definedName>
    <definedName name="fty" localSheetId="29" hidden="1">{"Riqfin97",#N/A,FALSE,"Tran";"Riqfinpro",#N/A,FALSE,"Tran"}</definedName>
    <definedName name="fty" localSheetId="30" hidden="1">{"Riqfin97",#N/A,FALSE,"Tran";"Riqfinpro",#N/A,FALSE,"Tran"}</definedName>
    <definedName name="fty" localSheetId="44" hidden="1">{"Riqfin97",#N/A,FALSE,"Tran";"Riqfinpro",#N/A,FALSE,"Tran"}</definedName>
    <definedName name="fty" localSheetId="59" hidden="1">{"Riqfin97",#N/A,FALSE,"Tran";"Riqfinpro",#N/A,FALSE,"Tran"}</definedName>
    <definedName name="fty" localSheetId="13" hidden="1">{"Riqfin97",#N/A,FALSE,"Tran";"Riqfinpro",#N/A,FALSE,"Tran"}</definedName>
    <definedName name="fty" localSheetId="0" hidden="1">{"Riqfin97",#N/A,FALSE,"Tran";"Riqfinpro",#N/A,FALSE,"Tran"}</definedName>
    <definedName name="fty" localSheetId="57" hidden="1">{"Riqfin97",#N/A,FALSE,"Tran";"Riqfinpro",#N/A,FALSE,"Tran"}</definedName>
    <definedName name="fty" localSheetId="56" hidden="1">{"Riqfin97",#N/A,FALSE,"Tran";"Riqfinpro",#N/A,FALSE,"Tran"}</definedName>
    <definedName name="fty" localSheetId="54" hidden="1">{"Riqfin97",#N/A,FALSE,"Tran";"Riqfinpro",#N/A,FALSE,"Tran"}</definedName>
    <definedName name="fty" localSheetId="52" hidden="1">{"Riqfin97",#N/A,FALSE,"Tran";"Riqfinpro",#N/A,FALSE,"Tran"}</definedName>
    <definedName name="fty" localSheetId="23" hidden="1">{"Riqfin97",#N/A,FALSE,"Tran";"Riqfinpro",#N/A,FALSE,"Tran"}</definedName>
    <definedName name="fty" localSheetId="51" hidden="1">{"Riqfin97",#N/A,FALSE,"Tran";"Riqfinpro",#N/A,FALSE,"Tran"}</definedName>
    <definedName name="fty" localSheetId="53" hidden="1">{"Riqfin97",#N/A,FALSE,"Tran";"Riqfinpro",#N/A,FALSE,"Tran"}</definedName>
    <definedName name="fty" localSheetId="60" hidden="1">{"Riqfin97",#N/A,FALSE,"Tran";"Riqfinpro",#N/A,FALSE,"Tran"}</definedName>
    <definedName name="fty" hidden="1">{"Riqfin97",#N/A,FALSE,"Tran";"Riqfinpro",#N/A,FALSE,"Tran"}</definedName>
    <definedName name="full_role_enum" localSheetId="50">[40]Roles!#REF!</definedName>
    <definedName name="full_role_enum" localSheetId="47">[40]Roles!#REF!</definedName>
    <definedName name="full_role_enum" localSheetId="44">[40]Roles!#REF!</definedName>
    <definedName name="full_role_enum" localSheetId="45">[40]Roles!#REF!</definedName>
    <definedName name="full_role_enum" localSheetId="46">[40]Roles!#REF!</definedName>
    <definedName name="full_role_enum" localSheetId="37">[40]Roles!#REF!</definedName>
    <definedName name="full_role_enum" localSheetId="40">[40]Roles!#REF!</definedName>
    <definedName name="full_role_enum" localSheetId="54">[40]Roles!#REF!</definedName>
    <definedName name="full_role_enum" localSheetId="55">[40]Roles!#REF!</definedName>
    <definedName name="full_role_enum" localSheetId="52">[40]Roles!#REF!</definedName>
    <definedName name="full_role_enum" localSheetId="51">[40]Roles!#REF!</definedName>
    <definedName name="full_role_enum" localSheetId="53">[40]Roles!#REF!</definedName>
    <definedName name="full_role_enum">[40]Roles!#REF!</definedName>
    <definedName name="full_role_enum_1" localSheetId="50">[42]Roles!#REF!</definedName>
    <definedName name="full_role_enum_1" localSheetId="47">[42]Roles!#REF!</definedName>
    <definedName name="full_role_enum_1" localSheetId="44">[42]Roles!#REF!</definedName>
    <definedName name="full_role_enum_1" localSheetId="45">[42]Roles!#REF!</definedName>
    <definedName name="full_role_enum_1" localSheetId="46">[42]Roles!#REF!</definedName>
    <definedName name="full_role_enum_1" localSheetId="37">[42]Roles!#REF!</definedName>
    <definedName name="full_role_enum_1" localSheetId="40">[42]Roles!#REF!</definedName>
    <definedName name="full_role_enum_1" localSheetId="54">[42]Roles!#REF!</definedName>
    <definedName name="full_role_enum_1" localSheetId="55">[42]Roles!#REF!</definedName>
    <definedName name="full_role_enum_1" localSheetId="52">[42]Roles!#REF!</definedName>
    <definedName name="full_role_enum_1" localSheetId="51">[42]Roles!#REF!</definedName>
    <definedName name="full_role_enum_1" localSheetId="53">[42]Roles!#REF!</definedName>
    <definedName name="full_role_enum_1">[42]Roles!#REF!</definedName>
    <definedName name="full_role_enum_nogen" localSheetId="50">[40]Roles!#REF!</definedName>
    <definedName name="full_role_enum_nogen" localSheetId="47">[40]Roles!#REF!</definedName>
    <definedName name="full_role_enum_nogen" localSheetId="44">[40]Roles!#REF!</definedName>
    <definedName name="full_role_enum_nogen" localSheetId="45">[40]Roles!#REF!</definedName>
    <definedName name="full_role_enum_nogen" localSheetId="46">[40]Roles!#REF!</definedName>
    <definedName name="full_role_enum_nogen" localSheetId="37">[40]Roles!#REF!</definedName>
    <definedName name="full_role_enum_nogen" localSheetId="40">[40]Roles!#REF!</definedName>
    <definedName name="full_role_enum_nogen" localSheetId="54">[40]Roles!#REF!</definedName>
    <definedName name="full_role_enum_nogen" localSheetId="55">[40]Roles!#REF!</definedName>
    <definedName name="full_role_enum_nogen" localSheetId="52">[40]Roles!#REF!</definedName>
    <definedName name="full_role_enum_nogen" localSheetId="51">[40]Roles!#REF!</definedName>
    <definedName name="full_role_enum_nogen" localSheetId="53">[40]Roles!#REF!</definedName>
    <definedName name="full_role_enum_nogen">[40]Roles!#REF!</definedName>
    <definedName name="full_role_enum_nogen_1" localSheetId="50">[42]Roles!#REF!</definedName>
    <definedName name="full_role_enum_nogen_1" localSheetId="47">[42]Roles!#REF!</definedName>
    <definedName name="full_role_enum_nogen_1" localSheetId="44">[42]Roles!#REF!</definedName>
    <definedName name="full_role_enum_nogen_1" localSheetId="45">[42]Roles!#REF!</definedName>
    <definedName name="full_role_enum_nogen_1" localSheetId="46">[42]Roles!#REF!</definedName>
    <definedName name="full_role_enum_nogen_1" localSheetId="37">[42]Roles!#REF!</definedName>
    <definedName name="full_role_enum_nogen_1" localSheetId="40">[42]Roles!#REF!</definedName>
    <definedName name="full_role_enum_nogen_1" localSheetId="54">[42]Roles!#REF!</definedName>
    <definedName name="full_role_enum_nogen_1" localSheetId="55">[42]Roles!#REF!</definedName>
    <definedName name="full_role_enum_nogen_1" localSheetId="52">[42]Roles!#REF!</definedName>
    <definedName name="full_role_enum_nogen_1" localSheetId="51">[42]Roles!#REF!</definedName>
    <definedName name="full_role_enum_nogen_1" localSheetId="53">[42]Roles!#REF!</definedName>
    <definedName name="full_role_enum_nogen_1">[42]Roles!#REF!</definedName>
    <definedName name="full_role_enum1" localSheetId="50">[40]Roles!#REF!</definedName>
    <definedName name="full_role_enum1" localSheetId="47">[40]Roles!#REF!</definedName>
    <definedName name="full_role_enum1" localSheetId="44">[40]Roles!#REF!</definedName>
    <definedName name="full_role_enum1" localSheetId="45">[40]Roles!#REF!</definedName>
    <definedName name="full_role_enum1" localSheetId="46">[40]Roles!#REF!</definedName>
    <definedName name="full_role_enum1" localSheetId="37">[40]Roles!#REF!</definedName>
    <definedName name="full_role_enum1" localSheetId="40">[40]Roles!#REF!</definedName>
    <definedName name="full_role_enum1" localSheetId="54">[40]Roles!#REF!</definedName>
    <definedName name="full_role_enum1" localSheetId="55">[40]Roles!#REF!</definedName>
    <definedName name="full_role_enum1" localSheetId="52">[40]Roles!#REF!</definedName>
    <definedName name="full_role_enum1" localSheetId="51">[40]Roles!#REF!</definedName>
    <definedName name="full_role_enum1" localSheetId="53">[40]Roles!#REF!</definedName>
    <definedName name="full_role_enum1">[40]Roles!#REF!</definedName>
    <definedName name="FX_INR">[96]Rates!$B$16</definedName>
    <definedName name="g" localSheetId="34">#REF!</definedName>
    <definedName name="g" localSheetId="35">#REF!</definedName>
    <definedName name="g" localSheetId="50">#REF!</definedName>
    <definedName name="g" localSheetId="15">#REF!</definedName>
    <definedName name="g" localSheetId="29">#REF!</definedName>
    <definedName name="g" localSheetId="30">#REF!</definedName>
    <definedName name="g" localSheetId="47">#REF!</definedName>
    <definedName name="g" localSheetId="44">#REF!</definedName>
    <definedName name="g" localSheetId="45">#REF!</definedName>
    <definedName name="g" localSheetId="46">#REF!</definedName>
    <definedName name="g" localSheetId="31">#REF!</definedName>
    <definedName name="g" localSheetId="32">#REF!</definedName>
    <definedName name="g" localSheetId="33">#REF!</definedName>
    <definedName name="g" localSheetId="36">#REF!</definedName>
    <definedName name="g" localSheetId="37">#REF!</definedName>
    <definedName name="g" localSheetId="38">#REF!</definedName>
    <definedName name="g" localSheetId="39">#REF!</definedName>
    <definedName name="g" localSheetId="40">#REF!</definedName>
    <definedName name="g" localSheetId="54">#REF!</definedName>
    <definedName name="g" localSheetId="55">#REF!</definedName>
    <definedName name="g" localSheetId="52">#REF!</definedName>
    <definedName name="g" localSheetId="23">#REF!</definedName>
    <definedName name="g" localSheetId="51">#REF!</definedName>
    <definedName name="g" localSheetId="53">#REF!</definedName>
    <definedName name="g" localSheetId="20">#REF!</definedName>
    <definedName name="g">#REF!</definedName>
    <definedName name="GAP" localSheetId="50">#REF!</definedName>
    <definedName name="GAP" localSheetId="47">#REF!</definedName>
    <definedName name="GAP" localSheetId="44">#REF!</definedName>
    <definedName name="GAP" localSheetId="45">#REF!</definedName>
    <definedName name="GAP" localSheetId="46">#REF!</definedName>
    <definedName name="GAP" localSheetId="37">#REF!</definedName>
    <definedName name="GAP" localSheetId="40">#REF!</definedName>
    <definedName name="GAP" localSheetId="54">#REF!</definedName>
    <definedName name="GAP" localSheetId="55">#REF!</definedName>
    <definedName name="GAP" localSheetId="52">#REF!</definedName>
    <definedName name="GAP" localSheetId="51">#REF!</definedName>
    <definedName name="GAP" localSheetId="53">#REF!</definedName>
    <definedName name="GAP">#REF!</definedName>
    <definedName name="GAPFGFROM" localSheetId="50">#REF!</definedName>
    <definedName name="GAPFGFROM" localSheetId="47">#REF!</definedName>
    <definedName name="GAPFGFROM" localSheetId="44">#REF!</definedName>
    <definedName name="GAPFGFROM" localSheetId="45">#REF!</definedName>
    <definedName name="GAPFGFROM" localSheetId="46">#REF!</definedName>
    <definedName name="GAPFGFROM" localSheetId="37">#REF!</definedName>
    <definedName name="GAPFGFROM" localSheetId="40">#REF!</definedName>
    <definedName name="GAPFGFROM" localSheetId="54">#REF!</definedName>
    <definedName name="GAPFGFROM" localSheetId="55">#REF!</definedName>
    <definedName name="GAPFGFROM" localSheetId="52">#REF!</definedName>
    <definedName name="GAPFGFROM" localSheetId="51">#REF!</definedName>
    <definedName name="GAPFGFROM" localSheetId="53">#REF!</definedName>
    <definedName name="GAPFGFROM">#REF!</definedName>
    <definedName name="GAPFGTO" localSheetId="50">#REF!</definedName>
    <definedName name="GAPFGTO" localSheetId="47">#REF!</definedName>
    <definedName name="GAPFGTO" localSheetId="44">#REF!</definedName>
    <definedName name="GAPFGTO" localSheetId="45">#REF!</definedName>
    <definedName name="GAPFGTO" localSheetId="46">#REF!</definedName>
    <definedName name="GAPFGTO" localSheetId="37">#REF!</definedName>
    <definedName name="GAPFGTO" localSheetId="40">#REF!</definedName>
    <definedName name="GAPFGTO" localSheetId="54">#REF!</definedName>
    <definedName name="GAPFGTO" localSheetId="55">#REF!</definedName>
    <definedName name="GAPFGTO" localSheetId="52">#REF!</definedName>
    <definedName name="GAPFGTO" localSheetId="51">#REF!</definedName>
    <definedName name="GAPFGTO" localSheetId="53">#REF!</definedName>
    <definedName name="GAPFGTO">#REF!</definedName>
    <definedName name="GAPSTFROM" localSheetId="50">#REF!</definedName>
    <definedName name="GAPSTFROM" localSheetId="47">#REF!</definedName>
    <definedName name="GAPSTFROM" localSheetId="44">#REF!</definedName>
    <definedName name="GAPSTFROM" localSheetId="45">#REF!</definedName>
    <definedName name="GAPSTFROM" localSheetId="46">#REF!</definedName>
    <definedName name="GAPSTFROM" localSheetId="37">#REF!</definedName>
    <definedName name="GAPSTFROM" localSheetId="40">#REF!</definedName>
    <definedName name="GAPSTFROM" localSheetId="54">#REF!</definedName>
    <definedName name="GAPSTFROM" localSheetId="55">#REF!</definedName>
    <definedName name="GAPSTFROM" localSheetId="52">#REF!</definedName>
    <definedName name="GAPSTFROM" localSheetId="51">#REF!</definedName>
    <definedName name="GAPSTFROM" localSheetId="53">#REF!</definedName>
    <definedName name="GAPSTFROM">#REF!</definedName>
    <definedName name="GAPSTTO" localSheetId="50">#REF!</definedName>
    <definedName name="GAPSTTO" localSheetId="47">#REF!</definedName>
    <definedName name="GAPSTTO" localSheetId="44">#REF!</definedName>
    <definedName name="GAPSTTO" localSheetId="45">#REF!</definedName>
    <definedName name="GAPSTTO" localSheetId="46">#REF!</definedName>
    <definedName name="GAPSTTO" localSheetId="37">#REF!</definedName>
    <definedName name="GAPSTTO" localSheetId="40">#REF!</definedName>
    <definedName name="GAPSTTO" localSheetId="54">#REF!</definedName>
    <definedName name="GAPSTTO" localSheetId="55">#REF!</definedName>
    <definedName name="GAPSTTO" localSheetId="52">#REF!</definedName>
    <definedName name="GAPSTTO" localSheetId="51">#REF!</definedName>
    <definedName name="GAPSTTO" localSheetId="53">#REF!</definedName>
    <definedName name="GAPSTTO">#REF!</definedName>
    <definedName name="GAPTEST" localSheetId="50">#REF!</definedName>
    <definedName name="GAPTEST" localSheetId="47">#REF!</definedName>
    <definedName name="GAPTEST" localSheetId="44">#REF!</definedName>
    <definedName name="GAPTEST" localSheetId="45">#REF!</definedName>
    <definedName name="GAPTEST" localSheetId="46">#REF!</definedName>
    <definedName name="GAPTEST" localSheetId="37">#REF!</definedName>
    <definedName name="GAPTEST" localSheetId="40">#REF!</definedName>
    <definedName name="GAPTEST" localSheetId="54">#REF!</definedName>
    <definedName name="GAPTEST" localSheetId="55">#REF!</definedName>
    <definedName name="GAPTEST" localSheetId="52">#REF!</definedName>
    <definedName name="GAPTEST" localSheetId="51">#REF!</definedName>
    <definedName name="GAPTEST" localSheetId="53">#REF!</definedName>
    <definedName name="GAPTEST">#REF!</definedName>
    <definedName name="GAPTESTFG" localSheetId="50">#REF!</definedName>
    <definedName name="GAPTESTFG" localSheetId="47">#REF!</definedName>
    <definedName name="GAPTESTFG" localSheetId="44">#REF!</definedName>
    <definedName name="GAPTESTFG" localSheetId="45">#REF!</definedName>
    <definedName name="GAPTESTFG" localSheetId="46">#REF!</definedName>
    <definedName name="GAPTESTFG" localSheetId="37">#REF!</definedName>
    <definedName name="GAPTESTFG" localSheetId="40">#REF!</definedName>
    <definedName name="GAPTESTFG" localSheetId="54">#REF!</definedName>
    <definedName name="GAPTESTFG" localSheetId="55">#REF!</definedName>
    <definedName name="GAPTESTFG" localSheetId="52">#REF!</definedName>
    <definedName name="GAPTESTFG" localSheetId="51">#REF!</definedName>
    <definedName name="GAPTESTFG" localSheetId="53">#REF!</definedName>
    <definedName name="GAPTESTFG">#REF!</definedName>
    <definedName name="GATO" localSheetId="34">#REF!</definedName>
    <definedName name="GATO" localSheetId="35">#REF!</definedName>
    <definedName name="GATO" localSheetId="50">#REF!</definedName>
    <definedName name="GATO" localSheetId="15">#REF!</definedName>
    <definedName name="GATO" localSheetId="29">#REF!</definedName>
    <definedName name="GATO" localSheetId="30">#REF!</definedName>
    <definedName name="GATO" localSheetId="47">#REF!</definedName>
    <definedName name="GATO" localSheetId="44">#REF!</definedName>
    <definedName name="GATO" localSheetId="45">#REF!</definedName>
    <definedName name="GATO" localSheetId="46">#REF!</definedName>
    <definedName name="GATO" localSheetId="31">#REF!</definedName>
    <definedName name="GATO" localSheetId="32">#REF!</definedName>
    <definedName name="GATO" localSheetId="33">#REF!</definedName>
    <definedName name="GATO" localSheetId="36">#REF!</definedName>
    <definedName name="GATO" localSheetId="37">#REF!</definedName>
    <definedName name="GATO" localSheetId="38">#REF!</definedName>
    <definedName name="GATO" localSheetId="39">#REF!</definedName>
    <definedName name="GATO" localSheetId="40">#REF!</definedName>
    <definedName name="GATO" localSheetId="54">#REF!</definedName>
    <definedName name="GATO" localSheetId="55">#REF!</definedName>
    <definedName name="GATO" localSheetId="52">#REF!</definedName>
    <definedName name="GATO" localSheetId="23">#REF!</definedName>
    <definedName name="GATO" localSheetId="51">#REF!</definedName>
    <definedName name="GATO" localSheetId="53">#REF!</definedName>
    <definedName name="GATO" localSheetId="20">#REF!</definedName>
    <definedName name="GATO">#REF!</definedName>
    <definedName name="GAZZETTE" localSheetId="50">#REF!</definedName>
    <definedName name="GAZZETTE" localSheetId="47">#REF!</definedName>
    <definedName name="GAZZETTE" localSheetId="44">#REF!</definedName>
    <definedName name="GAZZETTE" localSheetId="45">#REF!</definedName>
    <definedName name="GAZZETTE" localSheetId="46">#REF!</definedName>
    <definedName name="GAZZETTE" localSheetId="37">#REF!</definedName>
    <definedName name="GAZZETTE" localSheetId="40">#REF!</definedName>
    <definedName name="GAZZETTE" localSheetId="54">#REF!</definedName>
    <definedName name="GAZZETTE" localSheetId="55">#REF!</definedName>
    <definedName name="GAZZETTE" localSheetId="52">#REF!</definedName>
    <definedName name="GAZZETTE" localSheetId="51">#REF!</definedName>
    <definedName name="GAZZETTE" localSheetId="53">#REF!</definedName>
    <definedName name="GAZZETTE">#REF!</definedName>
    <definedName name="GCB_NGDP">#N/A</definedName>
    <definedName name="GCENL" localSheetId="34">#REF!</definedName>
    <definedName name="GCENL" localSheetId="35">#REF!</definedName>
    <definedName name="GCENL" localSheetId="50">#REF!</definedName>
    <definedName name="GCENL" localSheetId="15">#REF!</definedName>
    <definedName name="GCENL" localSheetId="29">#REF!</definedName>
    <definedName name="GCENL" localSheetId="30">#REF!</definedName>
    <definedName name="GCENL" localSheetId="47">#REF!</definedName>
    <definedName name="GCENL" localSheetId="44">#REF!</definedName>
    <definedName name="GCENL" localSheetId="45">#REF!</definedName>
    <definedName name="GCENL" localSheetId="46">#REF!</definedName>
    <definedName name="GCENL" localSheetId="31">#REF!</definedName>
    <definedName name="GCENL" localSheetId="32">#REF!</definedName>
    <definedName name="GCENL" localSheetId="33">#REF!</definedName>
    <definedName name="GCENL" localSheetId="36">#REF!</definedName>
    <definedName name="GCENL" localSheetId="37">#REF!</definedName>
    <definedName name="GCENL" localSheetId="38">#REF!</definedName>
    <definedName name="GCENL" localSheetId="39">#REF!</definedName>
    <definedName name="GCENL" localSheetId="40">#REF!</definedName>
    <definedName name="GCENL" localSheetId="54">#REF!</definedName>
    <definedName name="GCENL" localSheetId="55">#REF!</definedName>
    <definedName name="GCENL" localSheetId="52">#REF!</definedName>
    <definedName name="GCENL" localSheetId="23">#REF!</definedName>
    <definedName name="GCENL" localSheetId="51">#REF!</definedName>
    <definedName name="GCENL" localSheetId="12">#REF!</definedName>
    <definedName name="GCENL" localSheetId="53">#REF!</definedName>
    <definedName name="GCENL" localSheetId="49">#REF!</definedName>
    <definedName name="GCENL" localSheetId="20">#REF!</definedName>
    <definedName name="GCENL">#REF!</definedName>
    <definedName name="GCRG" localSheetId="34">#REF!</definedName>
    <definedName name="GCRG" localSheetId="35">#REF!</definedName>
    <definedName name="GCRG" localSheetId="50">#REF!</definedName>
    <definedName name="GCRG" localSheetId="15">#REF!</definedName>
    <definedName name="GCRG" localSheetId="29">#REF!</definedName>
    <definedName name="GCRG" localSheetId="30">#REF!</definedName>
    <definedName name="GCRG" localSheetId="47">#REF!</definedName>
    <definedName name="GCRG" localSheetId="44">#REF!</definedName>
    <definedName name="GCRG" localSheetId="45">#REF!</definedName>
    <definedName name="GCRG" localSheetId="46">#REF!</definedName>
    <definedName name="GCRG" localSheetId="31">#REF!</definedName>
    <definedName name="GCRG" localSheetId="32">#REF!</definedName>
    <definedName name="GCRG" localSheetId="33">#REF!</definedName>
    <definedName name="GCRG" localSheetId="36">#REF!</definedName>
    <definedName name="GCRG" localSheetId="37">#REF!</definedName>
    <definedName name="GCRG" localSheetId="38">#REF!</definedName>
    <definedName name="GCRG" localSheetId="39">#REF!</definedName>
    <definedName name="GCRG" localSheetId="40">#REF!</definedName>
    <definedName name="GCRG" localSheetId="54">#REF!</definedName>
    <definedName name="GCRG" localSheetId="55">#REF!</definedName>
    <definedName name="GCRG" localSheetId="52">#REF!</definedName>
    <definedName name="GCRG" localSheetId="23">#REF!</definedName>
    <definedName name="GCRG" localSheetId="51">#REF!</definedName>
    <definedName name="GCRG" localSheetId="12">#REF!</definedName>
    <definedName name="GCRG" localSheetId="53">#REF!</definedName>
    <definedName name="GCRG" localSheetId="49">#REF!</definedName>
    <definedName name="GCRG" localSheetId="20">#REF!</definedName>
    <definedName name="GCRG">#REF!</definedName>
    <definedName name="gen_tot_loe_exp" localSheetId="50">'[40]Total LOE'!#REF!</definedName>
    <definedName name="gen_tot_loe_exp" localSheetId="47">'[40]Total LOE'!#REF!</definedName>
    <definedName name="gen_tot_loe_exp" localSheetId="44">'[40]Total LOE'!#REF!</definedName>
    <definedName name="gen_tot_loe_exp" localSheetId="45">'[40]Total LOE'!#REF!</definedName>
    <definedName name="gen_tot_loe_exp" localSheetId="46">'[40]Total LOE'!#REF!</definedName>
    <definedName name="gen_tot_loe_exp" localSheetId="37">'[40]Total LOE'!#REF!</definedName>
    <definedName name="gen_tot_loe_exp" localSheetId="40">'[40]Total LOE'!#REF!</definedName>
    <definedName name="gen_tot_loe_exp" localSheetId="54">'[40]Total LOE'!#REF!</definedName>
    <definedName name="gen_tot_loe_exp" localSheetId="55">'[40]Total LOE'!#REF!</definedName>
    <definedName name="gen_tot_loe_exp" localSheetId="52">'[40]Total LOE'!#REF!</definedName>
    <definedName name="gen_tot_loe_exp" localSheetId="51">'[40]Total LOE'!#REF!</definedName>
    <definedName name="gen_tot_loe_exp" localSheetId="53">'[40]Total LOE'!#REF!</definedName>
    <definedName name="gen_tot_loe_exp">'[40]Total LOE'!#REF!</definedName>
    <definedName name="gen_tot_loe_exp_1" localSheetId="50">'[42]Total LOE'!#REF!</definedName>
    <definedName name="gen_tot_loe_exp_1" localSheetId="47">'[42]Total LOE'!#REF!</definedName>
    <definedName name="gen_tot_loe_exp_1" localSheetId="44">'[42]Total LOE'!#REF!</definedName>
    <definedName name="gen_tot_loe_exp_1" localSheetId="45">'[42]Total LOE'!#REF!</definedName>
    <definedName name="gen_tot_loe_exp_1" localSheetId="46">'[42]Total LOE'!#REF!</definedName>
    <definedName name="gen_tot_loe_exp_1" localSheetId="37">'[42]Total LOE'!#REF!</definedName>
    <definedName name="gen_tot_loe_exp_1" localSheetId="40">'[42]Total LOE'!#REF!</definedName>
    <definedName name="gen_tot_loe_exp_1" localSheetId="54">'[42]Total LOE'!#REF!</definedName>
    <definedName name="gen_tot_loe_exp_1" localSheetId="55">'[42]Total LOE'!#REF!</definedName>
    <definedName name="gen_tot_loe_exp_1" localSheetId="52">'[42]Total LOE'!#REF!</definedName>
    <definedName name="gen_tot_loe_exp_1" localSheetId="51">'[42]Total LOE'!#REF!</definedName>
    <definedName name="gen_tot_loe_exp_1" localSheetId="53">'[42]Total LOE'!#REF!</definedName>
    <definedName name="gen_tot_loe_exp_1">'[42]Total LOE'!#REF!</definedName>
    <definedName name="gen_tot_loe_exp1" localSheetId="50">'[40]Total LOE'!#REF!</definedName>
    <definedName name="gen_tot_loe_exp1" localSheetId="47">'[40]Total LOE'!#REF!</definedName>
    <definedName name="gen_tot_loe_exp1" localSheetId="44">'[40]Total LOE'!#REF!</definedName>
    <definedName name="gen_tot_loe_exp1" localSheetId="45">'[40]Total LOE'!#REF!</definedName>
    <definedName name="gen_tot_loe_exp1" localSheetId="46">'[40]Total LOE'!#REF!</definedName>
    <definedName name="gen_tot_loe_exp1" localSheetId="37">'[40]Total LOE'!#REF!</definedName>
    <definedName name="gen_tot_loe_exp1" localSheetId="40">'[40]Total LOE'!#REF!</definedName>
    <definedName name="gen_tot_loe_exp1" localSheetId="54">'[40]Total LOE'!#REF!</definedName>
    <definedName name="gen_tot_loe_exp1" localSheetId="55">'[40]Total LOE'!#REF!</definedName>
    <definedName name="gen_tot_loe_exp1" localSheetId="52">'[40]Total LOE'!#REF!</definedName>
    <definedName name="gen_tot_loe_exp1" localSheetId="51">'[40]Total LOE'!#REF!</definedName>
    <definedName name="gen_tot_loe_exp1" localSheetId="53">'[40]Total LOE'!#REF!</definedName>
    <definedName name="gen_tot_loe_exp1">'[40]Total LOE'!#REF!</definedName>
    <definedName name="General_List" localSheetId="50">#REF!</definedName>
    <definedName name="General_List" localSheetId="47">#REF!</definedName>
    <definedName name="General_List" localSheetId="44">#REF!</definedName>
    <definedName name="General_List" localSheetId="45">#REF!</definedName>
    <definedName name="General_List" localSheetId="46">#REF!</definedName>
    <definedName name="General_List" localSheetId="37">#REF!</definedName>
    <definedName name="General_List" localSheetId="40">#REF!</definedName>
    <definedName name="General_List" localSheetId="54">#REF!</definedName>
    <definedName name="General_List" localSheetId="55">#REF!</definedName>
    <definedName name="General_List" localSheetId="52">#REF!</definedName>
    <definedName name="General_List" localSheetId="51">#REF!</definedName>
    <definedName name="General_List" localSheetId="53">#REF!</definedName>
    <definedName name="General_List">#REF!</definedName>
    <definedName name="GeneralFunctionality" localSheetId="50">#REF!</definedName>
    <definedName name="GeneralFunctionality" localSheetId="47">#REF!</definedName>
    <definedName name="GeneralFunctionality" localSheetId="44">#REF!</definedName>
    <definedName name="GeneralFunctionality" localSheetId="45">#REF!</definedName>
    <definedName name="GeneralFunctionality" localSheetId="46">#REF!</definedName>
    <definedName name="GeneralFunctionality" localSheetId="37">#REF!</definedName>
    <definedName name="GeneralFunctionality" localSheetId="40">#REF!</definedName>
    <definedName name="GeneralFunctionality" localSheetId="54">#REF!</definedName>
    <definedName name="GeneralFunctionality" localSheetId="55">#REF!</definedName>
    <definedName name="GeneralFunctionality" localSheetId="52">#REF!</definedName>
    <definedName name="GeneralFunctionality" localSheetId="51">#REF!</definedName>
    <definedName name="GeneralFunctionality" localSheetId="53">#REF!</definedName>
    <definedName name="GeneralFunctionality">#REF!</definedName>
    <definedName name="GeneralFunctionaltiy" localSheetId="50">#REF!</definedName>
    <definedName name="GeneralFunctionaltiy" localSheetId="47">#REF!</definedName>
    <definedName name="GeneralFunctionaltiy" localSheetId="44">#REF!</definedName>
    <definedName name="GeneralFunctionaltiy" localSheetId="45">#REF!</definedName>
    <definedName name="GeneralFunctionaltiy" localSheetId="46">#REF!</definedName>
    <definedName name="GeneralFunctionaltiy" localSheetId="37">#REF!</definedName>
    <definedName name="GeneralFunctionaltiy" localSheetId="40">#REF!</definedName>
    <definedName name="GeneralFunctionaltiy" localSheetId="54">#REF!</definedName>
    <definedName name="GeneralFunctionaltiy" localSheetId="55">#REF!</definedName>
    <definedName name="GeneralFunctionaltiy" localSheetId="52">#REF!</definedName>
    <definedName name="GeneralFunctionaltiy" localSheetId="51">#REF!</definedName>
    <definedName name="GeneralFunctionaltiy" localSheetId="53">#REF!</definedName>
    <definedName name="GeneralFunctionaltiy">#REF!</definedName>
    <definedName name="GEOGRAPHY">'[81]Source Data'!$C$2:$C$4</definedName>
    <definedName name="GG" localSheetId="34">#REF!</definedName>
    <definedName name="GG" localSheetId="35">#REF!</definedName>
    <definedName name="GG" localSheetId="50">#REF!</definedName>
    <definedName name="GG" localSheetId="15">#REF!</definedName>
    <definedName name="GG" localSheetId="29">#REF!</definedName>
    <definedName name="GG" localSheetId="30">#REF!</definedName>
    <definedName name="GG" localSheetId="47">#REF!</definedName>
    <definedName name="GG" localSheetId="44">#REF!</definedName>
    <definedName name="GG" localSheetId="45">#REF!</definedName>
    <definedName name="GG" localSheetId="46">#REF!</definedName>
    <definedName name="GG" localSheetId="31">#REF!</definedName>
    <definedName name="GG" localSheetId="32">#REF!</definedName>
    <definedName name="GG" localSheetId="33">#REF!</definedName>
    <definedName name="GG" localSheetId="36">#REF!</definedName>
    <definedName name="GG" localSheetId="37">#REF!</definedName>
    <definedName name="GG" localSheetId="38">#REF!</definedName>
    <definedName name="GG" localSheetId="39">#REF!</definedName>
    <definedName name="GG" localSheetId="40">#REF!</definedName>
    <definedName name="GG" localSheetId="54">#REF!</definedName>
    <definedName name="GG" localSheetId="55">#REF!</definedName>
    <definedName name="GG" localSheetId="52">#REF!</definedName>
    <definedName name="GG" localSheetId="23">#REF!</definedName>
    <definedName name="GG" localSheetId="51">#REF!</definedName>
    <definedName name="GG" localSheetId="53">#REF!</definedName>
    <definedName name="GG" localSheetId="20">#REF!</definedName>
    <definedName name="GG">#REF!</definedName>
    <definedName name="GGB_NGDP">#N/A</definedName>
    <definedName name="GGBXI" localSheetId="50">[90]Q4!#REF!</definedName>
    <definedName name="GGBXI" localSheetId="47">[90]Q4!#REF!</definedName>
    <definedName name="GGBXI" localSheetId="44">[90]Q4!#REF!</definedName>
    <definedName name="GGBXI" localSheetId="45">[90]Q4!#REF!</definedName>
    <definedName name="GGBXI" localSheetId="46">[90]Q4!#REF!</definedName>
    <definedName name="GGBXI" localSheetId="37">[90]Q4!#REF!</definedName>
    <definedName name="GGBXI" localSheetId="40">[90]Q4!#REF!</definedName>
    <definedName name="GGBXI" localSheetId="54">[90]Q4!#REF!</definedName>
    <definedName name="GGBXI" localSheetId="55">[90]Q4!#REF!</definedName>
    <definedName name="GGBXI" localSheetId="52">[90]Q4!#REF!</definedName>
    <definedName name="GGBXI" localSheetId="51">[90]Q4!#REF!</definedName>
    <definedName name="GGBXI" localSheetId="53">[90]Q4!#REF!</definedName>
    <definedName name="GGBXI">[90]Q4!#REF!</definedName>
    <definedName name="GGENL" localSheetId="34">#REF!</definedName>
    <definedName name="GGENL" localSheetId="35">#REF!</definedName>
    <definedName name="GGENL" localSheetId="50">#REF!</definedName>
    <definedName name="GGENL" localSheetId="15">#REF!</definedName>
    <definedName name="GGENL" localSheetId="29">#REF!</definedName>
    <definedName name="GGENL" localSheetId="30">#REF!</definedName>
    <definedName name="GGENL" localSheetId="47">#REF!</definedName>
    <definedName name="GGENL" localSheetId="44">#REF!</definedName>
    <definedName name="GGENL" localSheetId="45">#REF!</definedName>
    <definedName name="GGENL" localSheetId="46">#REF!</definedName>
    <definedName name="GGENL" localSheetId="31">#REF!</definedName>
    <definedName name="GGENL" localSheetId="32">#REF!</definedName>
    <definedName name="GGENL" localSheetId="33">#REF!</definedName>
    <definedName name="GGENL" localSheetId="36">#REF!</definedName>
    <definedName name="GGENL" localSheetId="37">#REF!</definedName>
    <definedName name="GGENL" localSheetId="38">#REF!</definedName>
    <definedName name="GGENL" localSheetId="39">#REF!</definedName>
    <definedName name="GGENL" localSheetId="40">#REF!</definedName>
    <definedName name="GGENL" localSheetId="54">#REF!</definedName>
    <definedName name="GGENL" localSheetId="55">#REF!</definedName>
    <definedName name="GGENL" localSheetId="52">#REF!</definedName>
    <definedName name="GGENL" localSheetId="23">#REF!</definedName>
    <definedName name="GGENL" localSheetId="51">#REF!</definedName>
    <definedName name="GGENL" localSheetId="12">#REF!</definedName>
    <definedName name="GGENL" localSheetId="53">#REF!</definedName>
    <definedName name="GGENL" localSheetId="49">#REF!</definedName>
    <definedName name="GGENL" localSheetId="20">#REF!</definedName>
    <definedName name="GGENL">#REF!</definedName>
    <definedName name="ggg" localSheetId="58" hidden="1">{"Riqfin97",#N/A,FALSE,"Tran";"Riqfinpro",#N/A,FALSE,"Tran"}</definedName>
    <definedName name="ggg" localSheetId="16" hidden="1">{"Riqfin97",#N/A,FALSE,"Tran";"Riqfinpro",#N/A,FALSE,"Tran"}</definedName>
    <definedName name="ggg" localSheetId="61" hidden="1">{"Riqfin97",#N/A,FALSE,"Tran";"Riqfinpro",#N/A,FALSE,"Tran"}</definedName>
    <definedName name="ggg" localSheetId="62" hidden="1">{"Riqfin97",#N/A,FALSE,"Tran";"Riqfinpro",#N/A,FALSE,"Tran"}</definedName>
    <definedName name="ggg" localSheetId="50" hidden="1">{"Riqfin97",#N/A,FALSE,"Tran";"Riqfinpro",#N/A,FALSE,"Tran"}</definedName>
    <definedName name="ggg" localSheetId="63" hidden="1">{"Riqfin97",#N/A,FALSE,"Tran";"Riqfinpro",#N/A,FALSE,"Tran"}</definedName>
    <definedName name="ggg" localSheetId="15" hidden="1">{"Riqfin97",#N/A,FALSE,"Tran";"Riqfinpro",#N/A,FALSE,"Tran"}</definedName>
    <definedName name="ggg" localSheetId="1" hidden="1">{"Riqfin97",#N/A,FALSE,"Tran";"Riqfinpro",#N/A,FALSE,"Tran"}</definedName>
    <definedName name="ggg" localSheetId="43" hidden="1">{"Riqfin97",#N/A,FALSE,"Tran";"Riqfinpro",#N/A,FALSE,"Tran"}</definedName>
    <definedName name="ggg" localSheetId="29" hidden="1">{"Riqfin97",#N/A,FALSE,"Tran";"Riqfinpro",#N/A,FALSE,"Tran"}</definedName>
    <definedName name="ggg" localSheetId="30" hidden="1">{"Riqfin97",#N/A,FALSE,"Tran";"Riqfinpro",#N/A,FALSE,"Tran"}</definedName>
    <definedName name="ggg" localSheetId="44" hidden="1">{"Riqfin97",#N/A,FALSE,"Tran";"Riqfinpro",#N/A,FALSE,"Tran"}</definedName>
    <definedName name="ggg" localSheetId="59" hidden="1">{"Riqfin97",#N/A,FALSE,"Tran";"Riqfinpro",#N/A,FALSE,"Tran"}</definedName>
    <definedName name="ggg" localSheetId="13" hidden="1">{"Riqfin97",#N/A,FALSE,"Tran";"Riqfinpro",#N/A,FALSE,"Tran"}</definedName>
    <definedName name="ggg" localSheetId="0" hidden="1">{"Riqfin97",#N/A,FALSE,"Tran";"Riqfinpro",#N/A,FALSE,"Tran"}</definedName>
    <definedName name="ggg" localSheetId="57" hidden="1">{"Riqfin97",#N/A,FALSE,"Tran";"Riqfinpro",#N/A,FALSE,"Tran"}</definedName>
    <definedName name="ggg" localSheetId="56" hidden="1">{"Riqfin97",#N/A,FALSE,"Tran";"Riqfinpro",#N/A,FALSE,"Tran"}</definedName>
    <definedName name="ggg" localSheetId="54" hidden="1">{"Riqfin97",#N/A,FALSE,"Tran";"Riqfinpro",#N/A,FALSE,"Tran"}</definedName>
    <definedName name="ggg" localSheetId="52" hidden="1">{"Riqfin97",#N/A,FALSE,"Tran";"Riqfinpro",#N/A,FALSE,"Tran"}</definedName>
    <definedName name="ggg" localSheetId="23" hidden="1">{"Riqfin97",#N/A,FALSE,"Tran";"Riqfinpro",#N/A,FALSE,"Tran"}</definedName>
    <definedName name="ggg" localSheetId="51" hidden="1">{"Riqfin97",#N/A,FALSE,"Tran";"Riqfinpro",#N/A,FALSE,"Tran"}</definedName>
    <definedName name="ggg" localSheetId="53" hidden="1">{"Riqfin97",#N/A,FALSE,"Tran";"Riqfinpro",#N/A,FALSE,"Tran"}</definedName>
    <definedName name="ggg" localSheetId="60" hidden="1">{"Riqfin97",#N/A,FALSE,"Tran";"Riqfinpro",#N/A,FALSE,"Tran"}</definedName>
    <definedName name="ggg" hidden="1">{"Riqfin97",#N/A,FALSE,"Tran";"Riqfinpro",#N/A,FALSE,"Tran"}</definedName>
    <definedName name="gggg" localSheetId="58" hidden="1">{"Minpmon",#N/A,FALSE,"Monthinput"}</definedName>
    <definedName name="gggg" localSheetId="16" hidden="1">{"Minpmon",#N/A,FALSE,"Monthinput"}</definedName>
    <definedName name="gggg" localSheetId="61" hidden="1">{"Minpmon",#N/A,FALSE,"Monthinput"}</definedName>
    <definedName name="gggg" localSheetId="62" hidden="1">{"Minpmon",#N/A,FALSE,"Monthinput"}</definedName>
    <definedName name="gggg" localSheetId="50" hidden="1">{"Minpmon",#N/A,FALSE,"Monthinput"}</definedName>
    <definedName name="gggg" localSheetId="63" hidden="1">{"Minpmon",#N/A,FALSE,"Monthinput"}</definedName>
    <definedName name="gggg" localSheetId="15" hidden="1">{"Minpmon",#N/A,FALSE,"Monthinput"}</definedName>
    <definedName name="gggg" localSheetId="1" hidden="1">{"Minpmon",#N/A,FALSE,"Monthinput"}</definedName>
    <definedName name="gggg" localSheetId="43" hidden="1">{"Minpmon",#N/A,FALSE,"Monthinput"}</definedName>
    <definedName name="gggg" localSheetId="29" hidden="1">{"Minpmon",#N/A,FALSE,"Monthinput"}</definedName>
    <definedName name="gggg" localSheetId="30" hidden="1">{"Minpmon",#N/A,FALSE,"Monthinput"}</definedName>
    <definedName name="gggg" localSheetId="44" hidden="1">{"Minpmon",#N/A,FALSE,"Monthinput"}</definedName>
    <definedName name="gggg" localSheetId="59" hidden="1">{"Minpmon",#N/A,FALSE,"Monthinput"}</definedName>
    <definedName name="gggg" localSheetId="13" hidden="1">{"Minpmon",#N/A,FALSE,"Monthinput"}</definedName>
    <definedName name="gggg" localSheetId="0" hidden="1">{"Minpmon",#N/A,FALSE,"Monthinput"}</definedName>
    <definedName name="gggg" localSheetId="57" hidden="1">{"Minpmon",#N/A,FALSE,"Monthinput"}</definedName>
    <definedName name="gggg" localSheetId="56" hidden="1">{"Minpmon",#N/A,FALSE,"Monthinput"}</definedName>
    <definedName name="gggg" localSheetId="54" hidden="1">{"Minpmon",#N/A,FALSE,"Monthinput"}</definedName>
    <definedName name="gggg" localSheetId="52" hidden="1">{"Minpmon",#N/A,FALSE,"Monthinput"}</definedName>
    <definedName name="gggg" localSheetId="23" hidden="1">{"Minpmon",#N/A,FALSE,"Monthinput"}</definedName>
    <definedName name="gggg" localSheetId="51" hidden="1">{"Minpmon",#N/A,FALSE,"Monthinput"}</definedName>
    <definedName name="gggg" localSheetId="53" hidden="1">{"Minpmon",#N/A,FALSE,"Monthinput"}</definedName>
    <definedName name="gggg" localSheetId="60" hidden="1">{"Minpmon",#N/A,FALSE,"Monthinput"}</definedName>
    <definedName name="gggg" hidden="1">{"Minpmon",#N/A,FALSE,"Monthinput"}</definedName>
    <definedName name="ggggg" localSheetId="34" hidden="1">'[97]J(Priv.Cap)'!#REF!</definedName>
    <definedName name="ggggg" localSheetId="35" hidden="1">'[97]J(Priv.Cap)'!#REF!</definedName>
    <definedName name="ggggg" localSheetId="50" hidden="1">'[97]J(Priv.Cap)'!#REF!</definedName>
    <definedName name="ggggg" localSheetId="15" hidden="1">'[97]J(Priv.Cap)'!#REF!</definedName>
    <definedName name="ggggg" localSheetId="29" hidden="1">'[97]J(Priv.Cap)'!#REF!</definedName>
    <definedName name="ggggg" localSheetId="30" hidden="1">'[97]J(Priv.Cap)'!#REF!</definedName>
    <definedName name="ggggg" localSheetId="47" hidden="1">'[97]J(Priv.Cap)'!#REF!</definedName>
    <definedName name="ggggg" localSheetId="44" hidden="1">'[97]J(Priv.Cap)'!#REF!</definedName>
    <definedName name="ggggg" localSheetId="45" hidden="1">'[97]J(Priv.Cap)'!#REF!</definedName>
    <definedName name="ggggg" localSheetId="46" hidden="1">'[97]J(Priv.Cap)'!#REF!</definedName>
    <definedName name="ggggg" localSheetId="31" hidden="1">'[97]J(Priv.Cap)'!#REF!</definedName>
    <definedName name="ggggg" localSheetId="32" hidden="1">'[97]J(Priv.Cap)'!#REF!</definedName>
    <definedName name="ggggg" localSheetId="33" hidden="1">'[97]J(Priv.Cap)'!#REF!</definedName>
    <definedName name="ggggg" localSheetId="36" hidden="1">'[97]J(Priv.Cap)'!#REF!</definedName>
    <definedName name="ggggg" localSheetId="37" hidden="1">'[97]J(Priv.Cap)'!#REF!</definedName>
    <definedName name="ggggg" localSheetId="38" hidden="1">'[97]J(Priv.Cap)'!#REF!</definedName>
    <definedName name="ggggg" localSheetId="39" hidden="1">'[97]J(Priv.Cap)'!#REF!</definedName>
    <definedName name="ggggg" localSheetId="40" hidden="1">'[97]J(Priv.Cap)'!#REF!</definedName>
    <definedName name="ggggg" localSheetId="54" hidden="1">'[97]J(Priv.Cap)'!#REF!</definedName>
    <definedName name="ggggg" localSheetId="55" hidden="1">'[97]J(Priv.Cap)'!#REF!</definedName>
    <definedName name="ggggg" localSheetId="52" hidden="1">'[97]J(Priv.Cap)'!#REF!</definedName>
    <definedName name="ggggg" localSheetId="23" hidden="1">'[97]J(Priv.Cap)'!#REF!</definedName>
    <definedName name="ggggg" localSheetId="51" hidden="1">'[97]J(Priv.Cap)'!#REF!</definedName>
    <definedName name="ggggg" localSheetId="53" hidden="1">'[97]J(Priv.Cap)'!#REF!</definedName>
    <definedName name="ggggg" localSheetId="20" hidden="1">'[97]J(Priv.Cap)'!#REF!</definedName>
    <definedName name="ggggg" hidden="1">'[97]J(Priv.Cap)'!#REF!</definedName>
    <definedName name="GGperc" localSheetId="34">#REF!</definedName>
    <definedName name="GGperc" localSheetId="35">#REF!</definedName>
    <definedName name="GGperc" localSheetId="50">#REF!</definedName>
    <definedName name="GGperc" localSheetId="15">#REF!</definedName>
    <definedName name="GGperc" localSheetId="29">#REF!</definedName>
    <definedName name="GGperc" localSheetId="30">#REF!</definedName>
    <definedName name="GGperc" localSheetId="47">#REF!</definedName>
    <definedName name="GGperc" localSheetId="44">#REF!</definedName>
    <definedName name="GGperc" localSheetId="45">#REF!</definedName>
    <definedName name="GGperc" localSheetId="46">#REF!</definedName>
    <definedName name="GGperc" localSheetId="31">#REF!</definedName>
    <definedName name="GGperc" localSheetId="32">#REF!</definedName>
    <definedName name="GGperc" localSheetId="33">#REF!</definedName>
    <definedName name="GGperc" localSheetId="36">#REF!</definedName>
    <definedName name="GGperc" localSheetId="37">#REF!</definedName>
    <definedName name="GGperc" localSheetId="38">#REF!</definedName>
    <definedName name="GGperc" localSheetId="39">#REF!</definedName>
    <definedName name="GGperc" localSheetId="40">#REF!</definedName>
    <definedName name="GGperc" localSheetId="54">#REF!</definedName>
    <definedName name="GGperc" localSheetId="55">#REF!</definedName>
    <definedName name="GGperc" localSheetId="52">#REF!</definedName>
    <definedName name="GGperc" localSheetId="23">#REF!</definedName>
    <definedName name="GGperc" localSheetId="51">#REF!</definedName>
    <definedName name="GGperc" localSheetId="53">#REF!</definedName>
    <definedName name="GGperc" localSheetId="20">#REF!</definedName>
    <definedName name="GGperc">#REF!</definedName>
    <definedName name="GGRG" localSheetId="34">#REF!</definedName>
    <definedName name="GGRG" localSheetId="35">#REF!</definedName>
    <definedName name="GGRG" localSheetId="50">#REF!</definedName>
    <definedName name="GGRG" localSheetId="15">#REF!</definedName>
    <definedName name="GGRG" localSheetId="29">#REF!</definedName>
    <definedName name="GGRG" localSheetId="30">#REF!</definedName>
    <definedName name="GGRG" localSheetId="47">#REF!</definedName>
    <definedName name="GGRG" localSheetId="44">#REF!</definedName>
    <definedName name="GGRG" localSheetId="45">#REF!</definedName>
    <definedName name="GGRG" localSheetId="46">#REF!</definedName>
    <definedName name="GGRG" localSheetId="31">#REF!</definedName>
    <definedName name="GGRG" localSheetId="32">#REF!</definedName>
    <definedName name="GGRG" localSheetId="33">#REF!</definedName>
    <definedName name="GGRG" localSheetId="36">#REF!</definedName>
    <definedName name="GGRG" localSheetId="37">#REF!</definedName>
    <definedName name="GGRG" localSheetId="38">#REF!</definedName>
    <definedName name="GGRG" localSheetId="39">#REF!</definedName>
    <definedName name="GGRG" localSheetId="40">#REF!</definedName>
    <definedName name="GGRG" localSheetId="54">#REF!</definedName>
    <definedName name="GGRG" localSheetId="55">#REF!</definedName>
    <definedName name="GGRG" localSheetId="52">#REF!</definedName>
    <definedName name="GGRG" localSheetId="23">#REF!</definedName>
    <definedName name="GGRG" localSheetId="51">#REF!</definedName>
    <definedName name="GGRG" localSheetId="12">#REF!</definedName>
    <definedName name="GGRG" localSheetId="53">#REF!</definedName>
    <definedName name="GGRG" localSheetId="49">#REF!</definedName>
    <definedName name="GGRG" localSheetId="20">#REF!</definedName>
    <definedName name="GGRG">#REF!</definedName>
    <definedName name="GGSB" localSheetId="50">[90]Q4!#REF!</definedName>
    <definedName name="GGSB" localSheetId="47">[90]Q4!#REF!</definedName>
    <definedName name="GGSB" localSheetId="44">[90]Q4!#REF!</definedName>
    <definedName name="GGSB" localSheetId="45">[90]Q4!#REF!</definedName>
    <definedName name="GGSB" localSheetId="46">[90]Q4!#REF!</definedName>
    <definedName name="GGSB" localSheetId="37">[90]Q4!#REF!</definedName>
    <definedName name="GGSB" localSheetId="40">[90]Q4!#REF!</definedName>
    <definedName name="GGSB" localSheetId="54">[90]Q4!#REF!</definedName>
    <definedName name="GGSB" localSheetId="55">[90]Q4!#REF!</definedName>
    <definedName name="GGSB" localSheetId="52">[90]Q4!#REF!</definedName>
    <definedName name="GGSB" localSheetId="51">[90]Q4!#REF!</definedName>
    <definedName name="GGSB" localSheetId="53">[90]Q4!#REF!</definedName>
    <definedName name="GGSB">[90]Q4!#REF!</definedName>
    <definedName name="GGSBXS" localSheetId="50">[90]Q4!#REF!</definedName>
    <definedName name="GGSBXS" localSheetId="47">[90]Q4!#REF!</definedName>
    <definedName name="GGSBXS" localSheetId="44">[90]Q4!#REF!</definedName>
    <definedName name="GGSBXS" localSheetId="45">[90]Q4!#REF!</definedName>
    <definedName name="GGSBXS" localSheetId="46">[90]Q4!#REF!</definedName>
    <definedName name="GGSBXS" localSheetId="37">[90]Q4!#REF!</definedName>
    <definedName name="GGSBXS" localSheetId="40">[90]Q4!#REF!</definedName>
    <definedName name="GGSBXS" localSheetId="54">[90]Q4!#REF!</definedName>
    <definedName name="GGSBXS" localSheetId="55">[90]Q4!#REF!</definedName>
    <definedName name="GGSBXS" localSheetId="52">[90]Q4!#REF!</definedName>
    <definedName name="GGSBXS" localSheetId="51">[90]Q4!#REF!</definedName>
    <definedName name="GGSBXS" localSheetId="53">[90]Q4!#REF!</definedName>
    <definedName name="GGSBXS">[90]Q4!#REF!</definedName>
    <definedName name="ght" localSheetId="58" hidden="1">{"Tab1",#N/A,FALSE,"P";"Tab2",#N/A,FALSE,"P"}</definedName>
    <definedName name="ght" localSheetId="16" hidden="1">{"Tab1",#N/A,FALSE,"P";"Tab2",#N/A,FALSE,"P"}</definedName>
    <definedName name="ght" localSheetId="61" hidden="1">{"Tab1",#N/A,FALSE,"P";"Tab2",#N/A,FALSE,"P"}</definedName>
    <definedName name="ght" localSheetId="62" hidden="1">{"Tab1",#N/A,FALSE,"P";"Tab2",#N/A,FALSE,"P"}</definedName>
    <definedName name="ght" localSheetId="50" hidden="1">{"Tab1",#N/A,FALSE,"P";"Tab2",#N/A,FALSE,"P"}</definedName>
    <definedName name="ght" localSheetId="63" hidden="1">{"Tab1",#N/A,FALSE,"P";"Tab2",#N/A,FALSE,"P"}</definedName>
    <definedName name="ght" localSheetId="15" hidden="1">{"Tab1",#N/A,FALSE,"P";"Tab2",#N/A,FALSE,"P"}</definedName>
    <definedName name="ght" localSheetId="1" hidden="1">{"Tab1",#N/A,FALSE,"P";"Tab2",#N/A,FALSE,"P"}</definedName>
    <definedName name="ght" localSheetId="43" hidden="1">{"Tab1",#N/A,FALSE,"P";"Tab2",#N/A,FALSE,"P"}</definedName>
    <definedName name="ght" localSheetId="29" hidden="1">{"Tab1",#N/A,FALSE,"P";"Tab2",#N/A,FALSE,"P"}</definedName>
    <definedName name="ght" localSheetId="30" hidden="1">{"Tab1",#N/A,FALSE,"P";"Tab2",#N/A,FALSE,"P"}</definedName>
    <definedName name="ght" localSheetId="44" hidden="1">{"Tab1",#N/A,FALSE,"P";"Tab2",#N/A,FALSE,"P"}</definedName>
    <definedName name="ght" localSheetId="59" hidden="1">{"Tab1",#N/A,FALSE,"P";"Tab2",#N/A,FALSE,"P"}</definedName>
    <definedName name="ght" localSheetId="13" hidden="1">{"Tab1",#N/A,FALSE,"P";"Tab2",#N/A,FALSE,"P"}</definedName>
    <definedName name="ght" localSheetId="0" hidden="1">{"Tab1",#N/A,FALSE,"P";"Tab2",#N/A,FALSE,"P"}</definedName>
    <definedName name="ght" localSheetId="57" hidden="1">{"Tab1",#N/A,FALSE,"P";"Tab2",#N/A,FALSE,"P"}</definedName>
    <definedName name="ght" localSheetId="56" hidden="1">{"Tab1",#N/A,FALSE,"P";"Tab2",#N/A,FALSE,"P"}</definedName>
    <definedName name="ght" localSheetId="54" hidden="1">{"Tab1",#N/A,FALSE,"P";"Tab2",#N/A,FALSE,"P"}</definedName>
    <definedName name="ght" localSheetId="52" hidden="1">{"Tab1",#N/A,FALSE,"P";"Tab2",#N/A,FALSE,"P"}</definedName>
    <definedName name="ght" localSheetId="23" hidden="1">{"Tab1",#N/A,FALSE,"P";"Tab2",#N/A,FALSE,"P"}</definedName>
    <definedName name="ght" localSheetId="51" hidden="1">{"Tab1",#N/A,FALSE,"P";"Tab2",#N/A,FALSE,"P"}</definedName>
    <definedName name="ght" localSheetId="53" hidden="1">{"Tab1",#N/A,FALSE,"P";"Tab2",#N/A,FALSE,"P"}</definedName>
    <definedName name="ght" localSheetId="60" hidden="1">{"Tab1",#N/A,FALSE,"P";"Tab2",#N/A,FALSE,"P"}</definedName>
    <definedName name="ght" hidden="1">{"Tab1",#N/A,FALSE,"P";"Tab2",#N/A,FALSE,"P"}</definedName>
    <definedName name="Grace_IDA">[78]NPV!$B$25</definedName>
    <definedName name="Grace_NC" localSheetId="50">[78]NPV!#REF!</definedName>
    <definedName name="Grace_NC" localSheetId="47">[78]NPV!#REF!</definedName>
    <definedName name="Grace_NC" localSheetId="44">[78]NPV!#REF!</definedName>
    <definedName name="Grace_NC" localSheetId="45">[78]NPV!#REF!</definedName>
    <definedName name="Grace_NC" localSheetId="46">[78]NPV!#REF!</definedName>
    <definedName name="Grace_NC" localSheetId="37">[78]NPV!#REF!</definedName>
    <definedName name="Grace_NC" localSheetId="40">[78]NPV!#REF!</definedName>
    <definedName name="Grace_NC" localSheetId="54">[78]NPV!#REF!</definedName>
    <definedName name="Grace_NC" localSheetId="55">[78]NPV!#REF!</definedName>
    <definedName name="Grace_NC" localSheetId="52">[78]NPV!#REF!</definedName>
    <definedName name="Grace_NC" localSheetId="51">[78]NPV!#REF!</definedName>
    <definedName name="Grace_NC" localSheetId="53">[78]NPV!#REF!</definedName>
    <definedName name="Grace_NC">[78]NPV!#REF!</definedName>
    <definedName name="Graph" localSheetId="50" hidden="1">#REF!</definedName>
    <definedName name="Graph" localSheetId="47" hidden="1">#REF!</definedName>
    <definedName name="Graph" localSheetId="44" hidden="1">#REF!</definedName>
    <definedName name="Graph" localSheetId="45" hidden="1">#REF!</definedName>
    <definedName name="Graph" localSheetId="46" hidden="1">#REF!</definedName>
    <definedName name="Graph" localSheetId="37" hidden="1">#REF!</definedName>
    <definedName name="Graph" localSheetId="40" hidden="1">#REF!</definedName>
    <definedName name="Graph" localSheetId="54" hidden="1">#REF!</definedName>
    <definedName name="Graph" localSheetId="55" hidden="1">#REF!</definedName>
    <definedName name="Graph" localSheetId="52" hidden="1">#REF!</definedName>
    <definedName name="Graph" localSheetId="51" hidden="1">#REF!</definedName>
    <definedName name="Graph" localSheetId="53" hidden="1">#REF!</definedName>
    <definedName name="Graph" hidden="1">#REF!</definedName>
    <definedName name="graps" localSheetId="54" hidden="1">'[85]Treasury Bills FEB'!$F$4:$F$5</definedName>
    <definedName name="graps" hidden="1">'[85]Treasury Bills FEB'!$F$4:$F$5</definedName>
    <definedName name="gre" localSheetId="58" hidden="1">{"Riqfin97",#N/A,FALSE,"Tran";"Riqfinpro",#N/A,FALSE,"Tran"}</definedName>
    <definedName name="gre" localSheetId="16" hidden="1">{"Riqfin97",#N/A,FALSE,"Tran";"Riqfinpro",#N/A,FALSE,"Tran"}</definedName>
    <definedName name="gre" localSheetId="61" hidden="1">{"Riqfin97",#N/A,FALSE,"Tran";"Riqfinpro",#N/A,FALSE,"Tran"}</definedName>
    <definedName name="gre" localSheetId="62" hidden="1">{"Riqfin97",#N/A,FALSE,"Tran";"Riqfinpro",#N/A,FALSE,"Tran"}</definedName>
    <definedName name="gre" localSheetId="50" hidden="1">{"Riqfin97",#N/A,FALSE,"Tran";"Riqfinpro",#N/A,FALSE,"Tran"}</definedName>
    <definedName name="gre" localSheetId="63" hidden="1">{"Riqfin97",#N/A,FALSE,"Tran";"Riqfinpro",#N/A,FALSE,"Tran"}</definedName>
    <definedName name="gre" localSheetId="15" hidden="1">{"Riqfin97",#N/A,FALSE,"Tran";"Riqfinpro",#N/A,FALSE,"Tran"}</definedName>
    <definedName name="gre" localSheetId="1" hidden="1">{"Riqfin97",#N/A,FALSE,"Tran";"Riqfinpro",#N/A,FALSE,"Tran"}</definedName>
    <definedName name="gre" localSheetId="43" hidden="1">{"Riqfin97",#N/A,FALSE,"Tran";"Riqfinpro",#N/A,FALSE,"Tran"}</definedName>
    <definedName name="gre" localSheetId="29" hidden="1">{"Riqfin97",#N/A,FALSE,"Tran";"Riqfinpro",#N/A,FALSE,"Tran"}</definedName>
    <definedName name="gre" localSheetId="30" hidden="1">{"Riqfin97",#N/A,FALSE,"Tran";"Riqfinpro",#N/A,FALSE,"Tran"}</definedName>
    <definedName name="gre" localSheetId="44" hidden="1">{"Riqfin97",#N/A,FALSE,"Tran";"Riqfinpro",#N/A,FALSE,"Tran"}</definedName>
    <definedName name="gre" localSheetId="59" hidden="1">{"Riqfin97",#N/A,FALSE,"Tran";"Riqfinpro",#N/A,FALSE,"Tran"}</definedName>
    <definedName name="gre" localSheetId="13" hidden="1">{"Riqfin97",#N/A,FALSE,"Tran";"Riqfinpro",#N/A,FALSE,"Tran"}</definedName>
    <definedName name="gre" localSheetId="0" hidden="1">{"Riqfin97",#N/A,FALSE,"Tran";"Riqfinpro",#N/A,FALSE,"Tran"}</definedName>
    <definedName name="gre" localSheetId="57" hidden="1">{"Riqfin97",#N/A,FALSE,"Tran";"Riqfinpro",#N/A,FALSE,"Tran"}</definedName>
    <definedName name="gre" localSheetId="56" hidden="1">{"Riqfin97",#N/A,FALSE,"Tran";"Riqfinpro",#N/A,FALSE,"Tran"}</definedName>
    <definedName name="gre" localSheetId="54" hidden="1">{"Riqfin97",#N/A,FALSE,"Tran";"Riqfinpro",#N/A,FALSE,"Tran"}</definedName>
    <definedName name="gre" localSheetId="52" hidden="1">{"Riqfin97",#N/A,FALSE,"Tran";"Riqfinpro",#N/A,FALSE,"Tran"}</definedName>
    <definedName name="gre" localSheetId="23" hidden="1">{"Riqfin97",#N/A,FALSE,"Tran";"Riqfinpro",#N/A,FALSE,"Tran"}</definedName>
    <definedName name="gre" localSheetId="51" hidden="1">{"Riqfin97",#N/A,FALSE,"Tran";"Riqfinpro",#N/A,FALSE,"Tran"}</definedName>
    <definedName name="gre" localSheetId="53" hidden="1">{"Riqfin97",#N/A,FALSE,"Tran";"Riqfinpro",#N/A,FALSE,"Tran"}</definedName>
    <definedName name="gre" localSheetId="60" hidden="1">{"Riqfin97",#N/A,FALSE,"Tran";"Riqfinpro",#N/A,FALSE,"Tran"}</definedName>
    <definedName name="gre" hidden="1">{"Riqfin97",#N/A,FALSE,"Tran";"Riqfinpro",#N/A,FALSE,"Tran"}</definedName>
    <definedName name="GroupAccount" localSheetId="50">#REF!</definedName>
    <definedName name="GroupAccount" localSheetId="47">#REF!</definedName>
    <definedName name="GroupAccount" localSheetId="44">#REF!</definedName>
    <definedName name="GroupAccount" localSheetId="45">#REF!</definedName>
    <definedName name="GroupAccount" localSheetId="46">#REF!</definedName>
    <definedName name="GroupAccount" localSheetId="37">#REF!</definedName>
    <definedName name="GroupAccount" localSheetId="40">#REF!</definedName>
    <definedName name="GroupAccount" localSheetId="54">#REF!</definedName>
    <definedName name="GroupAccount" localSheetId="55">#REF!</definedName>
    <definedName name="GroupAccount" localSheetId="52">#REF!</definedName>
    <definedName name="GroupAccount" localSheetId="51">#REF!</definedName>
    <definedName name="GroupAccount" localSheetId="53">#REF!</definedName>
    <definedName name="GroupAccount">#REF!</definedName>
    <definedName name="gsg" localSheetId="50">'[40]Add-Ins'!#REF!</definedName>
    <definedName name="gsg" localSheetId="47">'[40]Add-Ins'!#REF!</definedName>
    <definedName name="gsg" localSheetId="44">'[40]Add-Ins'!#REF!</definedName>
    <definedName name="gsg" localSheetId="45">'[40]Add-Ins'!#REF!</definedName>
    <definedName name="gsg" localSheetId="46">'[40]Add-Ins'!#REF!</definedName>
    <definedName name="gsg" localSheetId="37">'[40]Add-Ins'!#REF!</definedName>
    <definedName name="gsg" localSheetId="40">'[40]Add-Ins'!#REF!</definedName>
    <definedName name="gsg" localSheetId="54">'[40]Add-Ins'!#REF!</definedName>
    <definedName name="gsg" localSheetId="55">'[40]Add-Ins'!#REF!</definedName>
    <definedName name="gsg" localSheetId="52">'[40]Add-Ins'!#REF!</definedName>
    <definedName name="gsg" localSheetId="51">'[40]Add-Ins'!#REF!</definedName>
    <definedName name="gsg" localSheetId="53">'[40]Add-Ins'!#REF!</definedName>
    <definedName name="gsg">'[40]Add-Ins'!#REF!</definedName>
    <definedName name="gyu" localSheetId="58" hidden="1">{"Tab1",#N/A,FALSE,"P";"Tab2",#N/A,FALSE,"P"}</definedName>
    <definedName name="gyu" localSheetId="16" hidden="1">{"Tab1",#N/A,FALSE,"P";"Tab2",#N/A,FALSE,"P"}</definedName>
    <definedName name="gyu" localSheetId="61" hidden="1">{"Tab1",#N/A,FALSE,"P";"Tab2",#N/A,FALSE,"P"}</definedName>
    <definedName name="gyu" localSheetId="62" hidden="1">{"Tab1",#N/A,FALSE,"P";"Tab2",#N/A,FALSE,"P"}</definedName>
    <definedName name="gyu" localSheetId="50" hidden="1">{"Tab1",#N/A,FALSE,"P";"Tab2",#N/A,FALSE,"P"}</definedName>
    <definedName name="gyu" localSheetId="63" hidden="1">{"Tab1",#N/A,FALSE,"P";"Tab2",#N/A,FALSE,"P"}</definedName>
    <definedName name="gyu" localSheetId="15" hidden="1">{"Tab1",#N/A,FALSE,"P";"Tab2",#N/A,FALSE,"P"}</definedName>
    <definedName name="gyu" localSheetId="1" hidden="1">{"Tab1",#N/A,FALSE,"P";"Tab2",#N/A,FALSE,"P"}</definedName>
    <definedName name="gyu" localSheetId="43" hidden="1">{"Tab1",#N/A,FALSE,"P";"Tab2",#N/A,FALSE,"P"}</definedName>
    <definedName name="gyu" localSheetId="29" hidden="1">{"Tab1",#N/A,FALSE,"P";"Tab2",#N/A,FALSE,"P"}</definedName>
    <definedName name="gyu" localSheetId="30" hidden="1">{"Tab1",#N/A,FALSE,"P";"Tab2",#N/A,FALSE,"P"}</definedName>
    <definedName name="gyu" localSheetId="44" hidden="1">{"Tab1",#N/A,FALSE,"P";"Tab2",#N/A,FALSE,"P"}</definedName>
    <definedName name="gyu" localSheetId="59" hidden="1">{"Tab1",#N/A,FALSE,"P";"Tab2",#N/A,FALSE,"P"}</definedName>
    <definedName name="gyu" localSheetId="13" hidden="1">{"Tab1",#N/A,FALSE,"P";"Tab2",#N/A,FALSE,"P"}</definedName>
    <definedName name="gyu" localSheetId="0" hidden="1">{"Tab1",#N/A,FALSE,"P";"Tab2",#N/A,FALSE,"P"}</definedName>
    <definedName name="gyu" localSheetId="57" hidden="1">{"Tab1",#N/A,FALSE,"P";"Tab2",#N/A,FALSE,"P"}</definedName>
    <definedName name="gyu" localSheetId="56" hidden="1">{"Tab1",#N/A,FALSE,"P";"Tab2",#N/A,FALSE,"P"}</definedName>
    <definedName name="gyu" localSheetId="54" hidden="1">{"Tab1",#N/A,FALSE,"P";"Tab2",#N/A,FALSE,"P"}</definedName>
    <definedName name="gyu" localSheetId="52" hidden="1">{"Tab1",#N/A,FALSE,"P";"Tab2",#N/A,FALSE,"P"}</definedName>
    <definedName name="gyu" localSheetId="23" hidden="1">{"Tab1",#N/A,FALSE,"P";"Tab2",#N/A,FALSE,"P"}</definedName>
    <definedName name="gyu" localSheetId="51" hidden="1">{"Tab1",#N/A,FALSE,"P";"Tab2",#N/A,FALSE,"P"}</definedName>
    <definedName name="gyu" localSheetId="53" hidden="1">{"Tab1",#N/A,FALSE,"P";"Tab2",#N/A,FALSE,"P"}</definedName>
    <definedName name="gyu" localSheetId="60" hidden="1">{"Tab1",#N/A,FALSE,"P";"Tab2",#N/A,FALSE,"P"}</definedName>
    <definedName name="gyu" hidden="1">{"Tab1",#N/A,FALSE,"P";"Tab2",#N/A,FALSE,"P"}</definedName>
    <definedName name="gz" localSheetId="34">[98]MD5!#REF!</definedName>
    <definedName name="gz" localSheetId="35">[98]MD5!#REF!</definedName>
    <definedName name="gz" localSheetId="50">[98]MD5!#REF!</definedName>
    <definedName name="gz" localSheetId="15">[98]MD5!#REF!</definedName>
    <definedName name="gz" localSheetId="29">[98]MD5!#REF!</definedName>
    <definedName name="gz" localSheetId="30">[98]MD5!#REF!</definedName>
    <definedName name="gz" localSheetId="47">[98]MD5!#REF!</definedName>
    <definedName name="gz" localSheetId="44">[98]MD5!#REF!</definedName>
    <definedName name="gz" localSheetId="45">[98]MD5!#REF!</definedName>
    <definedName name="gz" localSheetId="46">[98]MD5!#REF!</definedName>
    <definedName name="gz" localSheetId="31">[98]MD5!#REF!</definedName>
    <definedName name="gz" localSheetId="32">[98]MD5!#REF!</definedName>
    <definedName name="gz" localSheetId="33">[98]MD5!#REF!</definedName>
    <definedName name="gz" localSheetId="36">[98]MD5!#REF!</definedName>
    <definedName name="gz" localSheetId="37">[98]MD5!#REF!</definedName>
    <definedName name="gz" localSheetId="38">[98]MD5!#REF!</definedName>
    <definedName name="gz" localSheetId="39">[98]MD5!#REF!</definedName>
    <definedName name="gz" localSheetId="40">[98]MD5!#REF!</definedName>
    <definedName name="gz" localSheetId="54">[98]MD5!#REF!</definedName>
    <definedName name="gz" localSheetId="55">[98]MD5!#REF!</definedName>
    <definedName name="gz" localSheetId="52">[98]MD5!#REF!</definedName>
    <definedName name="gz" localSheetId="23">[98]MD5!#REF!</definedName>
    <definedName name="gz" localSheetId="51">[98]MD5!#REF!</definedName>
    <definedName name="gz" localSheetId="53">[98]MD5!#REF!</definedName>
    <definedName name="gz" localSheetId="20">[98]MD5!#REF!</definedName>
    <definedName name="gz">[98]MD5!#REF!</definedName>
    <definedName name="h" localSheetId="50">#REF!</definedName>
    <definedName name="h" localSheetId="47">#REF!</definedName>
    <definedName name="h" localSheetId="44">#REF!</definedName>
    <definedName name="h" localSheetId="45">#REF!</definedName>
    <definedName name="h" localSheetId="46">#REF!</definedName>
    <definedName name="h" localSheetId="37">#REF!</definedName>
    <definedName name="h" localSheetId="40">#REF!</definedName>
    <definedName name="h" localSheetId="54">#REF!</definedName>
    <definedName name="h" localSheetId="55">#REF!</definedName>
    <definedName name="h" localSheetId="52">#REF!</definedName>
    <definedName name="h" localSheetId="51">#REF!</definedName>
    <definedName name="h" localSheetId="53">#REF!</definedName>
    <definedName name="h">#REF!</definedName>
    <definedName name="H0_Nomenclature" localSheetId="34">#REF!</definedName>
    <definedName name="H0_Nomenclature" localSheetId="35">#REF!</definedName>
    <definedName name="H0_Nomenclature" localSheetId="50">#REF!</definedName>
    <definedName name="H0_Nomenclature" localSheetId="15">#REF!</definedName>
    <definedName name="H0_Nomenclature" localSheetId="29">#REF!</definedName>
    <definedName name="H0_Nomenclature" localSheetId="30">#REF!</definedName>
    <definedName name="H0_Nomenclature" localSheetId="47">#REF!</definedName>
    <definedName name="H0_Nomenclature" localSheetId="44">#REF!</definedName>
    <definedName name="H0_Nomenclature" localSheetId="45">#REF!</definedName>
    <definedName name="H0_Nomenclature" localSheetId="46">#REF!</definedName>
    <definedName name="H0_Nomenclature" localSheetId="31">#REF!</definedName>
    <definedName name="H0_Nomenclature" localSheetId="32">#REF!</definedName>
    <definedName name="H0_Nomenclature" localSheetId="33">#REF!</definedName>
    <definedName name="H0_Nomenclature" localSheetId="36">#REF!</definedName>
    <definedName name="H0_Nomenclature" localSheetId="37">#REF!</definedName>
    <definedName name="H0_Nomenclature" localSheetId="38">#REF!</definedName>
    <definedName name="H0_Nomenclature" localSheetId="39">#REF!</definedName>
    <definedName name="H0_Nomenclature" localSheetId="40">#REF!</definedName>
    <definedName name="H0_Nomenclature" localSheetId="54">#REF!</definedName>
    <definedName name="H0_Nomenclature" localSheetId="55">#REF!</definedName>
    <definedName name="H0_Nomenclature" localSheetId="52">#REF!</definedName>
    <definedName name="H0_Nomenclature" localSheetId="23">#REF!</definedName>
    <definedName name="H0_Nomenclature" localSheetId="51">#REF!</definedName>
    <definedName name="H0_Nomenclature" localSheetId="53">#REF!</definedName>
    <definedName name="H0_Nomenclature" localSheetId="20">#REF!</definedName>
    <definedName name="H0_Nomenclature">#REF!</definedName>
    <definedName name="H1_Nomenclature" localSheetId="34">#REF!</definedName>
    <definedName name="H1_Nomenclature" localSheetId="35">#REF!</definedName>
    <definedName name="H1_Nomenclature" localSheetId="50">#REF!</definedName>
    <definedName name="H1_Nomenclature" localSheetId="15">#REF!</definedName>
    <definedName name="H1_Nomenclature" localSheetId="29">#REF!</definedName>
    <definedName name="H1_Nomenclature" localSheetId="30">#REF!</definedName>
    <definedName name="H1_Nomenclature" localSheetId="47">#REF!</definedName>
    <definedName name="H1_Nomenclature" localSheetId="44">#REF!</definedName>
    <definedName name="H1_Nomenclature" localSheetId="45">#REF!</definedName>
    <definedName name="H1_Nomenclature" localSheetId="46">#REF!</definedName>
    <definedName name="H1_Nomenclature" localSheetId="31">#REF!</definedName>
    <definedName name="H1_Nomenclature" localSheetId="32">#REF!</definedName>
    <definedName name="H1_Nomenclature" localSheetId="33">#REF!</definedName>
    <definedName name="H1_Nomenclature" localSheetId="36">#REF!</definedName>
    <definedName name="H1_Nomenclature" localSheetId="37">#REF!</definedName>
    <definedName name="H1_Nomenclature" localSheetId="38">#REF!</definedName>
    <definedName name="H1_Nomenclature" localSheetId="39">#REF!</definedName>
    <definedName name="H1_Nomenclature" localSheetId="40">#REF!</definedName>
    <definedName name="H1_Nomenclature" localSheetId="54">#REF!</definedName>
    <definedName name="H1_Nomenclature" localSheetId="55">#REF!</definedName>
    <definedName name="H1_Nomenclature" localSheetId="52">#REF!</definedName>
    <definedName name="H1_Nomenclature" localSheetId="23">#REF!</definedName>
    <definedName name="H1_Nomenclature" localSheetId="51">#REF!</definedName>
    <definedName name="H1_Nomenclature" localSheetId="53">#REF!</definedName>
    <definedName name="H1_Nomenclature" localSheetId="20">#REF!</definedName>
    <definedName name="H1_Nomenclature">#REF!</definedName>
    <definedName name="hacienda1">[99]HACIENDA!$A$2:$M$28</definedName>
    <definedName name="hacienda2">[99]HACIENDA!$A$1:$N$28</definedName>
    <definedName name="HEADING" localSheetId="50">#REF!</definedName>
    <definedName name="HEADING" localSheetId="47">#REF!</definedName>
    <definedName name="HEADING" localSheetId="44">#REF!</definedName>
    <definedName name="HEADING" localSheetId="45">#REF!</definedName>
    <definedName name="HEADING" localSheetId="46">#REF!</definedName>
    <definedName name="HEADING" localSheetId="37">#REF!</definedName>
    <definedName name="HEADING" localSheetId="40">#REF!</definedName>
    <definedName name="HEADING" localSheetId="54">#REF!</definedName>
    <definedName name="HEADING" localSheetId="55">#REF!</definedName>
    <definedName name="HEADING" localSheetId="52">#REF!</definedName>
    <definedName name="HEADING" localSheetId="51">#REF!</definedName>
    <definedName name="HEADING" localSheetId="53">#REF!</definedName>
    <definedName name="HEADING">#REF!</definedName>
    <definedName name="Heading39" localSheetId="34">#REF!</definedName>
    <definedName name="Heading39" localSheetId="35">#REF!</definedName>
    <definedName name="Heading39" localSheetId="50">#REF!</definedName>
    <definedName name="Heading39" localSheetId="15">#REF!</definedName>
    <definedName name="Heading39" localSheetId="29">#REF!</definedName>
    <definedName name="Heading39" localSheetId="30">#REF!</definedName>
    <definedName name="Heading39" localSheetId="47">#REF!</definedName>
    <definedName name="Heading39" localSheetId="44">#REF!</definedName>
    <definedName name="Heading39" localSheetId="45">#REF!</definedName>
    <definedName name="Heading39" localSheetId="46">#REF!</definedName>
    <definedName name="Heading39" localSheetId="31">#REF!</definedName>
    <definedName name="Heading39" localSheetId="32">#REF!</definedName>
    <definedName name="Heading39" localSheetId="33">#REF!</definedName>
    <definedName name="Heading39" localSheetId="36">#REF!</definedName>
    <definedName name="Heading39" localSheetId="37">#REF!</definedName>
    <definedName name="Heading39" localSheetId="38">#REF!</definedName>
    <definedName name="Heading39" localSheetId="39">#REF!</definedName>
    <definedName name="Heading39" localSheetId="40">#REF!</definedName>
    <definedName name="Heading39" localSheetId="54">#REF!</definedName>
    <definedName name="Heading39" localSheetId="55">#REF!</definedName>
    <definedName name="Heading39" localSheetId="52">#REF!</definedName>
    <definedName name="Heading39" localSheetId="23">#REF!</definedName>
    <definedName name="Heading39" localSheetId="51">#REF!</definedName>
    <definedName name="Heading39" localSheetId="53">#REF!</definedName>
    <definedName name="Heading39" localSheetId="20">#REF!</definedName>
    <definedName name="Heading39">#REF!</definedName>
    <definedName name="hhh" localSheetId="58" hidden="1">{"Minpmon",#N/A,FALSE,"Monthinput"}</definedName>
    <definedName name="hhh" localSheetId="16" hidden="1">{"Minpmon",#N/A,FALSE,"Monthinput"}</definedName>
    <definedName name="hhh" localSheetId="61" hidden="1">{"Minpmon",#N/A,FALSE,"Monthinput"}</definedName>
    <definedName name="hhh" localSheetId="62" hidden="1">{"Minpmon",#N/A,FALSE,"Monthinput"}</definedName>
    <definedName name="hhh" localSheetId="50" hidden="1">{"Minpmon",#N/A,FALSE,"Monthinput"}</definedName>
    <definedName name="hhh" localSheetId="63" hidden="1">{"Minpmon",#N/A,FALSE,"Monthinput"}</definedName>
    <definedName name="hhh" localSheetId="15" hidden="1">{"Minpmon",#N/A,FALSE,"Monthinput"}</definedName>
    <definedName name="hhh" localSheetId="1" hidden="1">{"Minpmon",#N/A,FALSE,"Monthinput"}</definedName>
    <definedName name="hhh" localSheetId="43" hidden="1">{"Minpmon",#N/A,FALSE,"Monthinput"}</definedName>
    <definedName name="hhh" localSheetId="29" hidden="1">{"Minpmon",#N/A,FALSE,"Monthinput"}</definedName>
    <definedName name="hhh" localSheetId="30" hidden="1">{"Minpmon",#N/A,FALSE,"Monthinput"}</definedName>
    <definedName name="hhh" localSheetId="44" hidden="1">{"Minpmon",#N/A,FALSE,"Monthinput"}</definedName>
    <definedName name="hhh" localSheetId="59" hidden="1">{"Minpmon",#N/A,FALSE,"Monthinput"}</definedName>
    <definedName name="hhh" localSheetId="13" hidden="1">{"Minpmon",#N/A,FALSE,"Monthinput"}</definedName>
    <definedName name="hhh" localSheetId="0" hidden="1">{"Minpmon",#N/A,FALSE,"Monthinput"}</definedName>
    <definedName name="hhh" localSheetId="57" hidden="1">{"Minpmon",#N/A,FALSE,"Monthinput"}</definedName>
    <definedName name="hhh" localSheetId="56" hidden="1">{"Minpmon",#N/A,FALSE,"Monthinput"}</definedName>
    <definedName name="hhh" localSheetId="54" hidden="1">{"Minpmon",#N/A,FALSE,"Monthinput"}</definedName>
    <definedName name="hhh" localSheetId="52" hidden="1">{"Minpmon",#N/A,FALSE,"Monthinput"}</definedName>
    <definedName name="hhh" localSheetId="23" hidden="1">{"Minpmon",#N/A,FALSE,"Monthinput"}</definedName>
    <definedName name="hhh" localSheetId="51" hidden="1">{"Minpmon",#N/A,FALSE,"Monthinput"}</definedName>
    <definedName name="hhh" localSheetId="53" hidden="1">{"Minpmon",#N/A,FALSE,"Monthinput"}</definedName>
    <definedName name="hhh" localSheetId="60" hidden="1">{"Minpmon",#N/A,FALSE,"Monthinput"}</definedName>
    <definedName name="hhh" hidden="1">{"Minpmon",#N/A,FALSE,"Monthinput"}</definedName>
    <definedName name="hhhh" localSheetId="50">#N/A</definedName>
    <definedName name="hhhh" localSheetId="44">#N/A</definedName>
    <definedName name="hhhh" localSheetId="54">#N/A</definedName>
    <definedName name="hhhh" localSheetId="52">#N/A</definedName>
    <definedName name="hhhh" localSheetId="51">#N/A</definedName>
    <definedName name="hhhh" localSheetId="53">#N/A</definedName>
    <definedName name="hhhh">[54]!hhhh</definedName>
    <definedName name="hhhhh" localSheetId="58" hidden="1">{"Tab1",#N/A,FALSE,"P";"Tab2",#N/A,FALSE,"P"}</definedName>
    <definedName name="hhhhh" localSheetId="16" hidden="1">{"Tab1",#N/A,FALSE,"P";"Tab2",#N/A,FALSE,"P"}</definedName>
    <definedName name="hhhhh" localSheetId="61" hidden="1">{"Tab1",#N/A,FALSE,"P";"Tab2",#N/A,FALSE,"P"}</definedName>
    <definedName name="hhhhh" localSheetId="62" hidden="1">{"Tab1",#N/A,FALSE,"P";"Tab2",#N/A,FALSE,"P"}</definedName>
    <definedName name="hhhhh" localSheetId="50" hidden="1">{"Tab1",#N/A,FALSE,"P";"Tab2",#N/A,FALSE,"P"}</definedName>
    <definedName name="hhhhh" localSheetId="63" hidden="1">{"Tab1",#N/A,FALSE,"P";"Tab2",#N/A,FALSE,"P"}</definedName>
    <definedName name="hhhhh" localSheetId="15" hidden="1">{"Tab1",#N/A,FALSE,"P";"Tab2",#N/A,FALSE,"P"}</definedName>
    <definedName name="hhhhh" localSheetId="1" hidden="1">{"Tab1",#N/A,FALSE,"P";"Tab2",#N/A,FALSE,"P"}</definedName>
    <definedName name="hhhhh" localSheetId="43" hidden="1">{"Tab1",#N/A,FALSE,"P";"Tab2",#N/A,FALSE,"P"}</definedName>
    <definedName name="hhhhh" localSheetId="29" hidden="1">{"Tab1",#N/A,FALSE,"P";"Tab2",#N/A,FALSE,"P"}</definedName>
    <definedName name="hhhhh" localSheetId="30" hidden="1">{"Tab1",#N/A,FALSE,"P";"Tab2",#N/A,FALSE,"P"}</definedName>
    <definedName name="hhhhh" localSheetId="44" hidden="1">{"Tab1",#N/A,FALSE,"P";"Tab2",#N/A,FALSE,"P"}</definedName>
    <definedName name="hhhhh" localSheetId="59" hidden="1">{"Tab1",#N/A,FALSE,"P";"Tab2",#N/A,FALSE,"P"}</definedName>
    <definedName name="hhhhh" localSheetId="13" hidden="1">{"Tab1",#N/A,FALSE,"P";"Tab2",#N/A,FALSE,"P"}</definedName>
    <definedName name="hhhhh" localSheetId="0" hidden="1">{"Tab1",#N/A,FALSE,"P";"Tab2",#N/A,FALSE,"P"}</definedName>
    <definedName name="hhhhh" localSheetId="57" hidden="1">{"Tab1",#N/A,FALSE,"P";"Tab2",#N/A,FALSE,"P"}</definedName>
    <definedName name="hhhhh" localSheetId="56" hidden="1">{"Tab1",#N/A,FALSE,"P";"Tab2",#N/A,FALSE,"P"}</definedName>
    <definedName name="hhhhh" localSheetId="54" hidden="1">{"Tab1",#N/A,FALSE,"P";"Tab2",#N/A,FALSE,"P"}</definedName>
    <definedName name="hhhhh" localSheetId="52" hidden="1">{"Tab1",#N/A,FALSE,"P";"Tab2",#N/A,FALSE,"P"}</definedName>
    <definedName name="hhhhh" localSheetId="23" hidden="1">{"Tab1",#N/A,FALSE,"P";"Tab2",#N/A,FALSE,"P"}</definedName>
    <definedName name="hhhhh" localSheetId="51" hidden="1">{"Tab1",#N/A,FALSE,"P";"Tab2",#N/A,FALSE,"P"}</definedName>
    <definedName name="hhhhh" localSheetId="53" hidden="1">{"Tab1",#N/A,FALSE,"P";"Tab2",#N/A,FALSE,"P"}</definedName>
    <definedName name="hhhhh" localSheetId="60" hidden="1">{"Tab1",#N/A,FALSE,"P";"Tab2",#N/A,FALSE,"P"}</definedName>
    <definedName name="hhhhh" hidden="1">{"Tab1",#N/A,FALSE,"P";"Tab2",#N/A,FALSE,"P"}</definedName>
    <definedName name="hio" localSheetId="58" hidden="1">{"Tab1",#N/A,FALSE,"P";"Tab2",#N/A,FALSE,"P"}</definedName>
    <definedName name="hio" localSheetId="16" hidden="1">{"Tab1",#N/A,FALSE,"P";"Tab2",#N/A,FALSE,"P"}</definedName>
    <definedName name="hio" localSheetId="61" hidden="1">{"Tab1",#N/A,FALSE,"P";"Tab2",#N/A,FALSE,"P"}</definedName>
    <definedName name="hio" localSheetId="62" hidden="1">{"Tab1",#N/A,FALSE,"P";"Tab2",#N/A,FALSE,"P"}</definedName>
    <definedName name="hio" localSheetId="50" hidden="1">{"Tab1",#N/A,FALSE,"P";"Tab2",#N/A,FALSE,"P"}</definedName>
    <definedName name="hio" localSheetId="63" hidden="1">{"Tab1",#N/A,FALSE,"P";"Tab2",#N/A,FALSE,"P"}</definedName>
    <definedName name="hio" localSheetId="15" hidden="1">{"Tab1",#N/A,FALSE,"P";"Tab2",#N/A,FALSE,"P"}</definedName>
    <definedName name="hio" localSheetId="1" hidden="1">{"Tab1",#N/A,FALSE,"P";"Tab2",#N/A,FALSE,"P"}</definedName>
    <definedName name="hio" localSheetId="43" hidden="1">{"Tab1",#N/A,FALSE,"P";"Tab2",#N/A,FALSE,"P"}</definedName>
    <definedName name="hio" localSheetId="29" hidden="1">{"Tab1",#N/A,FALSE,"P";"Tab2",#N/A,FALSE,"P"}</definedName>
    <definedName name="hio" localSheetId="30" hidden="1">{"Tab1",#N/A,FALSE,"P";"Tab2",#N/A,FALSE,"P"}</definedName>
    <definedName name="hio" localSheetId="44" hidden="1">{"Tab1",#N/A,FALSE,"P";"Tab2",#N/A,FALSE,"P"}</definedName>
    <definedName name="hio" localSheetId="59" hidden="1">{"Tab1",#N/A,FALSE,"P";"Tab2",#N/A,FALSE,"P"}</definedName>
    <definedName name="hio" localSheetId="13" hidden="1">{"Tab1",#N/A,FALSE,"P";"Tab2",#N/A,FALSE,"P"}</definedName>
    <definedName name="hio" localSheetId="0" hidden="1">{"Tab1",#N/A,FALSE,"P";"Tab2",#N/A,FALSE,"P"}</definedName>
    <definedName name="hio" localSheetId="57" hidden="1">{"Tab1",#N/A,FALSE,"P";"Tab2",#N/A,FALSE,"P"}</definedName>
    <definedName name="hio" localSheetId="56" hidden="1">{"Tab1",#N/A,FALSE,"P";"Tab2",#N/A,FALSE,"P"}</definedName>
    <definedName name="hio" localSheetId="54" hidden="1">{"Tab1",#N/A,FALSE,"P";"Tab2",#N/A,FALSE,"P"}</definedName>
    <definedName name="hio" localSheetId="52" hidden="1">{"Tab1",#N/A,FALSE,"P";"Tab2",#N/A,FALSE,"P"}</definedName>
    <definedName name="hio" localSheetId="23" hidden="1">{"Tab1",#N/A,FALSE,"P";"Tab2",#N/A,FALSE,"P"}</definedName>
    <definedName name="hio" localSheetId="51" hidden="1">{"Tab1",#N/A,FALSE,"P";"Tab2",#N/A,FALSE,"P"}</definedName>
    <definedName name="hio" localSheetId="53" hidden="1">{"Tab1",#N/A,FALSE,"P";"Tab2",#N/A,FALSE,"P"}</definedName>
    <definedName name="hio" localSheetId="60" hidden="1">{"Tab1",#N/A,FALSE,"P";"Tab2",#N/A,FALSE,"P"}</definedName>
    <definedName name="hio" hidden="1">{"Tab1",#N/A,FALSE,"P";"Tab2",#N/A,FALSE,"P"}</definedName>
    <definedName name="hjrate">'[52]Burn Rates'!$G$12</definedName>
    <definedName name="holidays" localSheetId="50">#REF!</definedName>
    <definedName name="holidays" localSheetId="47">#REF!</definedName>
    <definedName name="holidays" localSheetId="44">#REF!</definedName>
    <definedName name="holidays" localSheetId="45">#REF!</definedName>
    <definedName name="holidays" localSheetId="46">#REF!</definedName>
    <definedName name="holidays" localSheetId="37">#REF!</definedName>
    <definedName name="holidays" localSheetId="40">#REF!</definedName>
    <definedName name="holidays" localSheetId="54">#REF!</definedName>
    <definedName name="holidays" localSheetId="55">#REF!</definedName>
    <definedName name="holidays" localSheetId="52">#REF!</definedName>
    <definedName name="holidays" localSheetId="51">#REF!</definedName>
    <definedName name="holidays" localSheetId="53">#REF!</definedName>
    <definedName name="holidays">#REF!</definedName>
    <definedName name="holidays_1" localSheetId="50">#REF!</definedName>
    <definedName name="holidays_1" localSheetId="47">#REF!</definedName>
    <definedName name="holidays_1" localSheetId="44">#REF!</definedName>
    <definedName name="holidays_1" localSheetId="45">#REF!</definedName>
    <definedName name="holidays_1" localSheetId="46">#REF!</definedName>
    <definedName name="holidays_1" localSheetId="37">#REF!</definedName>
    <definedName name="holidays_1" localSheetId="40">#REF!</definedName>
    <definedName name="holidays_1" localSheetId="54">#REF!</definedName>
    <definedName name="holidays_1" localSheetId="55">#REF!</definedName>
    <definedName name="holidays_1" localSheetId="52">#REF!</definedName>
    <definedName name="holidays_1" localSheetId="51">#REF!</definedName>
    <definedName name="holidays_1" localSheetId="53">#REF!</definedName>
    <definedName name="holidays_1">#REF!</definedName>
    <definedName name="holidays_2" localSheetId="50">#REF!</definedName>
    <definedName name="holidays_2" localSheetId="47">#REF!</definedName>
    <definedName name="holidays_2" localSheetId="44">#REF!</definedName>
    <definedName name="holidays_2" localSheetId="45">#REF!</definedName>
    <definedName name="holidays_2" localSheetId="46">#REF!</definedName>
    <definedName name="holidays_2" localSheetId="37">#REF!</definedName>
    <definedName name="holidays_2" localSheetId="40">#REF!</definedName>
    <definedName name="holidays_2" localSheetId="54">#REF!</definedName>
    <definedName name="holidays_2" localSheetId="55">#REF!</definedName>
    <definedName name="holidays_2" localSheetId="52">#REF!</definedName>
    <definedName name="holidays_2" localSheetId="51">#REF!</definedName>
    <definedName name="holidays_2" localSheetId="53">#REF!</definedName>
    <definedName name="holidays_2">#REF!</definedName>
    <definedName name="holidays_canada" localSheetId="50">#REF!</definedName>
    <definedName name="holidays_canada" localSheetId="47">#REF!</definedName>
    <definedName name="holidays_canada" localSheetId="44">#REF!</definedName>
    <definedName name="holidays_canada" localSheetId="45">#REF!</definedName>
    <definedName name="holidays_canada" localSheetId="46">#REF!</definedName>
    <definedName name="holidays_canada" localSheetId="37">#REF!</definedName>
    <definedName name="holidays_canada" localSheetId="40">#REF!</definedName>
    <definedName name="holidays_canada" localSheetId="54">#REF!</definedName>
    <definedName name="holidays_canada" localSheetId="55">#REF!</definedName>
    <definedName name="holidays_canada" localSheetId="52">#REF!</definedName>
    <definedName name="holidays_canada" localSheetId="51">#REF!</definedName>
    <definedName name="holidays_canada" localSheetId="53">#REF!</definedName>
    <definedName name="holidays_canada">#REF!</definedName>
    <definedName name="holidays_canada_1" localSheetId="50">#REF!</definedName>
    <definedName name="holidays_canada_1" localSheetId="47">#REF!</definedName>
    <definedName name="holidays_canada_1" localSheetId="44">#REF!</definedName>
    <definedName name="holidays_canada_1" localSheetId="45">#REF!</definedName>
    <definedName name="holidays_canada_1" localSheetId="46">#REF!</definedName>
    <definedName name="holidays_canada_1" localSheetId="37">#REF!</definedName>
    <definedName name="holidays_canada_1" localSheetId="40">#REF!</definedName>
    <definedName name="holidays_canada_1" localSheetId="54">#REF!</definedName>
    <definedName name="holidays_canada_1" localSheetId="55">#REF!</definedName>
    <definedName name="holidays_canada_1" localSheetId="52">#REF!</definedName>
    <definedName name="holidays_canada_1" localSheetId="51">#REF!</definedName>
    <definedName name="holidays_canada_1" localSheetId="53">#REF!</definedName>
    <definedName name="holidays_canada_1">#REF!</definedName>
    <definedName name="holidays_canada_2" localSheetId="50">#REF!</definedName>
    <definedName name="holidays_canada_2" localSheetId="47">#REF!</definedName>
    <definedName name="holidays_canada_2" localSheetId="44">#REF!</definedName>
    <definedName name="holidays_canada_2" localSheetId="45">#REF!</definedName>
    <definedName name="holidays_canada_2" localSheetId="46">#REF!</definedName>
    <definedName name="holidays_canada_2" localSheetId="37">#REF!</definedName>
    <definedName name="holidays_canada_2" localSheetId="40">#REF!</definedName>
    <definedName name="holidays_canada_2" localSheetId="54">#REF!</definedName>
    <definedName name="holidays_canada_2" localSheetId="55">#REF!</definedName>
    <definedName name="holidays_canada_2" localSheetId="52">#REF!</definedName>
    <definedName name="holidays_canada_2" localSheetId="51">#REF!</definedName>
    <definedName name="holidays_canada_2" localSheetId="53">#REF!</definedName>
    <definedName name="holidays_canada_2">#REF!</definedName>
    <definedName name="holidays_germany" localSheetId="50">#REF!</definedName>
    <definedName name="holidays_germany" localSheetId="47">#REF!</definedName>
    <definedName name="holidays_germany" localSheetId="44">#REF!</definedName>
    <definedName name="holidays_germany" localSheetId="45">#REF!</definedName>
    <definedName name="holidays_germany" localSheetId="46">#REF!</definedName>
    <definedName name="holidays_germany" localSheetId="37">#REF!</definedName>
    <definedName name="holidays_germany" localSheetId="40">#REF!</definedName>
    <definedName name="holidays_germany" localSheetId="54">#REF!</definedName>
    <definedName name="holidays_germany" localSheetId="55">#REF!</definedName>
    <definedName name="holidays_germany" localSheetId="52">#REF!</definedName>
    <definedName name="holidays_germany" localSheetId="51">#REF!</definedName>
    <definedName name="holidays_germany" localSheetId="53">#REF!</definedName>
    <definedName name="holidays_germany">#REF!</definedName>
    <definedName name="holidays_germany_1" localSheetId="50">#REF!</definedName>
    <definedName name="holidays_germany_1" localSheetId="47">#REF!</definedName>
    <definedName name="holidays_germany_1" localSheetId="44">#REF!</definedName>
    <definedName name="holidays_germany_1" localSheetId="45">#REF!</definedName>
    <definedName name="holidays_germany_1" localSheetId="46">#REF!</definedName>
    <definedName name="holidays_germany_1" localSheetId="37">#REF!</definedName>
    <definedName name="holidays_germany_1" localSheetId="40">#REF!</definedName>
    <definedName name="holidays_germany_1" localSheetId="54">#REF!</definedName>
    <definedName name="holidays_germany_1" localSheetId="55">#REF!</definedName>
    <definedName name="holidays_germany_1" localSheetId="52">#REF!</definedName>
    <definedName name="holidays_germany_1" localSheetId="51">#REF!</definedName>
    <definedName name="holidays_germany_1" localSheetId="53">#REF!</definedName>
    <definedName name="holidays_germany_1">#REF!</definedName>
    <definedName name="holidays_germany_2" localSheetId="50">#REF!</definedName>
    <definedName name="holidays_germany_2" localSheetId="47">#REF!</definedName>
    <definedName name="holidays_germany_2" localSheetId="44">#REF!</definedName>
    <definedName name="holidays_germany_2" localSheetId="45">#REF!</definedName>
    <definedName name="holidays_germany_2" localSheetId="46">#REF!</definedName>
    <definedName name="holidays_germany_2" localSheetId="37">#REF!</definedName>
    <definedName name="holidays_germany_2" localSheetId="40">#REF!</definedName>
    <definedName name="holidays_germany_2" localSheetId="54">#REF!</definedName>
    <definedName name="holidays_germany_2" localSheetId="55">#REF!</definedName>
    <definedName name="holidays_germany_2" localSheetId="52">#REF!</definedName>
    <definedName name="holidays_germany_2" localSheetId="51">#REF!</definedName>
    <definedName name="holidays_germany_2" localSheetId="53">#REF!</definedName>
    <definedName name="holidays_germany_2">#REF!</definedName>
    <definedName name="holidays_india" localSheetId="50">#REF!</definedName>
    <definedName name="holidays_india" localSheetId="47">#REF!</definedName>
    <definedName name="holidays_india" localSheetId="44">#REF!</definedName>
    <definedName name="holidays_india" localSheetId="45">#REF!</definedName>
    <definedName name="holidays_india" localSheetId="46">#REF!</definedName>
    <definedName name="holidays_india" localSheetId="37">#REF!</definedName>
    <definedName name="holidays_india" localSheetId="40">#REF!</definedName>
    <definedName name="holidays_india" localSheetId="54">#REF!</definedName>
    <definedName name="holidays_india" localSheetId="55">#REF!</definedName>
    <definedName name="holidays_india" localSheetId="52">#REF!</definedName>
    <definedName name="holidays_india" localSheetId="51">#REF!</definedName>
    <definedName name="holidays_india" localSheetId="53">#REF!</definedName>
    <definedName name="holidays_india">#REF!</definedName>
    <definedName name="holidays_india_1" localSheetId="50">#REF!</definedName>
    <definedName name="holidays_india_1" localSheetId="47">#REF!</definedName>
    <definedName name="holidays_india_1" localSheetId="44">#REF!</definedName>
    <definedName name="holidays_india_1" localSheetId="45">#REF!</definedName>
    <definedName name="holidays_india_1" localSheetId="46">#REF!</definedName>
    <definedName name="holidays_india_1" localSheetId="37">#REF!</definedName>
    <definedName name="holidays_india_1" localSheetId="40">#REF!</definedName>
    <definedName name="holidays_india_1" localSheetId="54">#REF!</definedName>
    <definedName name="holidays_india_1" localSheetId="55">#REF!</definedName>
    <definedName name="holidays_india_1" localSheetId="52">#REF!</definedName>
    <definedName name="holidays_india_1" localSheetId="51">#REF!</definedName>
    <definedName name="holidays_india_1" localSheetId="53">#REF!</definedName>
    <definedName name="holidays_india_1">#REF!</definedName>
    <definedName name="holidays_india_2" localSheetId="50">#REF!</definedName>
    <definedName name="holidays_india_2" localSheetId="47">#REF!</definedName>
    <definedName name="holidays_india_2" localSheetId="44">#REF!</definedName>
    <definedName name="holidays_india_2" localSheetId="45">#REF!</definedName>
    <definedName name="holidays_india_2" localSheetId="46">#REF!</definedName>
    <definedName name="holidays_india_2" localSheetId="37">#REF!</definedName>
    <definedName name="holidays_india_2" localSheetId="40">#REF!</definedName>
    <definedName name="holidays_india_2" localSheetId="54">#REF!</definedName>
    <definedName name="holidays_india_2" localSheetId="55">#REF!</definedName>
    <definedName name="holidays_india_2" localSheetId="52">#REF!</definedName>
    <definedName name="holidays_india_2" localSheetId="51">#REF!</definedName>
    <definedName name="holidays_india_2" localSheetId="53">#REF!</definedName>
    <definedName name="holidays_india_2">#REF!</definedName>
    <definedName name="holidays_italy" localSheetId="50">#REF!</definedName>
    <definedName name="holidays_italy" localSheetId="47">#REF!</definedName>
    <definedName name="holidays_italy" localSheetId="44">#REF!</definedName>
    <definedName name="holidays_italy" localSheetId="45">#REF!</definedName>
    <definedName name="holidays_italy" localSheetId="46">#REF!</definedName>
    <definedName name="holidays_italy" localSheetId="37">#REF!</definedName>
    <definedName name="holidays_italy" localSheetId="40">#REF!</definedName>
    <definedName name="holidays_italy" localSheetId="54">#REF!</definedName>
    <definedName name="holidays_italy" localSheetId="55">#REF!</definedName>
    <definedName name="holidays_italy" localSheetId="52">#REF!</definedName>
    <definedName name="holidays_italy" localSheetId="51">#REF!</definedName>
    <definedName name="holidays_italy" localSheetId="53">#REF!</definedName>
    <definedName name="holidays_italy">#REF!</definedName>
    <definedName name="holidays_italy_1" localSheetId="50">#REF!</definedName>
    <definedName name="holidays_italy_1" localSheetId="47">#REF!</definedName>
    <definedName name="holidays_italy_1" localSheetId="44">#REF!</definedName>
    <definedName name="holidays_italy_1" localSheetId="45">#REF!</definedName>
    <definedName name="holidays_italy_1" localSheetId="46">#REF!</definedName>
    <definedName name="holidays_italy_1" localSheetId="37">#REF!</definedName>
    <definedName name="holidays_italy_1" localSheetId="40">#REF!</definedName>
    <definedName name="holidays_italy_1" localSheetId="54">#REF!</definedName>
    <definedName name="holidays_italy_1" localSheetId="55">#REF!</definedName>
    <definedName name="holidays_italy_1" localSheetId="52">#REF!</definedName>
    <definedName name="holidays_italy_1" localSheetId="51">#REF!</definedName>
    <definedName name="holidays_italy_1" localSheetId="53">#REF!</definedName>
    <definedName name="holidays_italy_1">#REF!</definedName>
    <definedName name="holidays_italy_2" localSheetId="50">#REF!</definedName>
    <definedName name="holidays_italy_2" localSheetId="47">#REF!</definedName>
    <definedName name="holidays_italy_2" localSheetId="44">#REF!</definedName>
    <definedName name="holidays_italy_2" localSheetId="45">#REF!</definedName>
    <definedName name="holidays_italy_2" localSheetId="46">#REF!</definedName>
    <definedName name="holidays_italy_2" localSheetId="37">#REF!</definedName>
    <definedName name="holidays_italy_2" localSheetId="40">#REF!</definedName>
    <definedName name="holidays_italy_2" localSheetId="54">#REF!</definedName>
    <definedName name="holidays_italy_2" localSheetId="55">#REF!</definedName>
    <definedName name="holidays_italy_2" localSheetId="52">#REF!</definedName>
    <definedName name="holidays_italy_2" localSheetId="51">#REF!</definedName>
    <definedName name="holidays_italy_2" localSheetId="53">#REF!</definedName>
    <definedName name="holidays_italy_2">#REF!</definedName>
    <definedName name="holidays_japan" localSheetId="50">#REF!</definedName>
    <definedName name="holidays_japan" localSheetId="47">#REF!</definedName>
    <definedName name="holidays_japan" localSheetId="44">#REF!</definedName>
    <definedName name="holidays_japan" localSheetId="45">#REF!</definedName>
    <definedName name="holidays_japan" localSheetId="46">#REF!</definedName>
    <definedName name="holidays_japan" localSheetId="37">#REF!</definedName>
    <definedName name="holidays_japan" localSheetId="40">#REF!</definedName>
    <definedName name="holidays_japan" localSheetId="54">#REF!</definedName>
    <definedName name="holidays_japan" localSheetId="55">#REF!</definedName>
    <definedName name="holidays_japan" localSheetId="52">#REF!</definedName>
    <definedName name="holidays_japan" localSheetId="51">#REF!</definedName>
    <definedName name="holidays_japan" localSheetId="53">#REF!</definedName>
    <definedName name="holidays_japan">#REF!</definedName>
    <definedName name="holidays_japan_1" localSheetId="50">#REF!</definedName>
    <definedName name="holidays_japan_1" localSheetId="47">#REF!</definedName>
    <definedName name="holidays_japan_1" localSheetId="44">#REF!</definedName>
    <definedName name="holidays_japan_1" localSheetId="45">#REF!</definedName>
    <definedName name="holidays_japan_1" localSheetId="46">#REF!</definedName>
    <definedName name="holidays_japan_1" localSheetId="37">#REF!</definedName>
    <definedName name="holidays_japan_1" localSheetId="40">#REF!</definedName>
    <definedName name="holidays_japan_1" localSheetId="54">#REF!</definedName>
    <definedName name="holidays_japan_1" localSheetId="55">#REF!</definedName>
    <definedName name="holidays_japan_1" localSheetId="52">#REF!</definedName>
    <definedName name="holidays_japan_1" localSheetId="51">#REF!</definedName>
    <definedName name="holidays_japan_1" localSheetId="53">#REF!</definedName>
    <definedName name="holidays_japan_1">#REF!</definedName>
    <definedName name="holidays_japan_2" localSheetId="50">#REF!</definedName>
    <definedName name="holidays_japan_2" localSheetId="47">#REF!</definedName>
    <definedName name="holidays_japan_2" localSheetId="44">#REF!</definedName>
    <definedName name="holidays_japan_2" localSheetId="45">#REF!</definedName>
    <definedName name="holidays_japan_2" localSheetId="46">#REF!</definedName>
    <definedName name="holidays_japan_2" localSheetId="37">#REF!</definedName>
    <definedName name="holidays_japan_2" localSheetId="40">#REF!</definedName>
    <definedName name="holidays_japan_2" localSheetId="54">#REF!</definedName>
    <definedName name="holidays_japan_2" localSheetId="55">#REF!</definedName>
    <definedName name="holidays_japan_2" localSheetId="52">#REF!</definedName>
    <definedName name="holidays_japan_2" localSheetId="51">#REF!</definedName>
    <definedName name="holidays_japan_2" localSheetId="53">#REF!</definedName>
    <definedName name="holidays_japan_2">#REF!</definedName>
    <definedName name="holidays_uk" localSheetId="50">#REF!</definedName>
    <definedName name="holidays_uk" localSheetId="47">#REF!</definedName>
    <definedName name="holidays_uk" localSheetId="44">#REF!</definedName>
    <definedName name="holidays_uk" localSheetId="45">#REF!</definedName>
    <definedName name="holidays_uk" localSheetId="46">#REF!</definedName>
    <definedName name="holidays_uk" localSheetId="37">#REF!</definedName>
    <definedName name="holidays_uk" localSheetId="40">#REF!</definedName>
    <definedName name="holidays_uk" localSheetId="54">#REF!</definedName>
    <definedName name="holidays_uk" localSheetId="55">#REF!</definedName>
    <definedName name="holidays_uk" localSheetId="52">#REF!</definedName>
    <definedName name="holidays_uk" localSheetId="51">#REF!</definedName>
    <definedName name="holidays_uk" localSheetId="53">#REF!</definedName>
    <definedName name="holidays_uk">#REF!</definedName>
    <definedName name="holidays_uk_1" localSheetId="50">#REF!</definedName>
    <definedName name="holidays_uk_1" localSheetId="47">#REF!</definedName>
    <definedName name="holidays_uk_1" localSheetId="44">#REF!</definedName>
    <definedName name="holidays_uk_1" localSheetId="45">#REF!</definedName>
    <definedName name="holidays_uk_1" localSheetId="46">#REF!</definedName>
    <definedName name="holidays_uk_1" localSheetId="37">#REF!</definedName>
    <definedName name="holidays_uk_1" localSheetId="40">#REF!</definedName>
    <definedName name="holidays_uk_1" localSheetId="54">#REF!</definedName>
    <definedName name="holidays_uk_1" localSheetId="55">#REF!</definedName>
    <definedName name="holidays_uk_1" localSheetId="52">#REF!</definedName>
    <definedName name="holidays_uk_1" localSheetId="51">#REF!</definedName>
    <definedName name="holidays_uk_1" localSheetId="53">#REF!</definedName>
    <definedName name="holidays_uk_1">#REF!</definedName>
    <definedName name="holidays_uk_2" localSheetId="50">#REF!</definedName>
    <definedName name="holidays_uk_2" localSheetId="47">#REF!</definedName>
    <definedName name="holidays_uk_2" localSheetId="44">#REF!</definedName>
    <definedName name="holidays_uk_2" localSheetId="45">#REF!</definedName>
    <definedName name="holidays_uk_2" localSheetId="46">#REF!</definedName>
    <definedName name="holidays_uk_2" localSheetId="37">#REF!</definedName>
    <definedName name="holidays_uk_2" localSheetId="40">#REF!</definedName>
    <definedName name="holidays_uk_2" localSheetId="54">#REF!</definedName>
    <definedName name="holidays_uk_2" localSheetId="55">#REF!</definedName>
    <definedName name="holidays_uk_2" localSheetId="52">#REF!</definedName>
    <definedName name="holidays_uk_2" localSheetId="51">#REF!</definedName>
    <definedName name="holidays_uk_2" localSheetId="53">#REF!</definedName>
    <definedName name="holidays_uk_2">#REF!</definedName>
    <definedName name="holidays_usa" localSheetId="50">#REF!</definedName>
    <definedName name="holidays_usa" localSheetId="47">#REF!</definedName>
    <definedName name="holidays_usa" localSheetId="44">#REF!</definedName>
    <definedName name="holidays_usa" localSheetId="45">#REF!</definedName>
    <definedName name="holidays_usa" localSheetId="46">#REF!</definedName>
    <definedName name="holidays_usa" localSheetId="37">#REF!</definedName>
    <definedName name="holidays_usa" localSheetId="40">#REF!</definedName>
    <definedName name="holidays_usa" localSheetId="54">#REF!</definedName>
    <definedName name="holidays_usa" localSheetId="55">#REF!</definedName>
    <definedName name="holidays_usa" localSheetId="52">#REF!</definedName>
    <definedName name="holidays_usa" localSheetId="51">#REF!</definedName>
    <definedName name="holidays_usa" localSheetId="53">#REF!</definedName>
    <definedName name="holidays_usa">#REF!</definedName>
    <definedName name="holidays_usa_1" localSheetId="50">#REF!</definedName>
    <definedName name="holidays_usa_1" localSheetId="47">#REF!</definedName>
    <definedName name="holidays_usa_1" localSheetId="44">#REF!</definedName>
    <definedName name="holidays_usa_1" localSheetId="45">#REF!</definedName>
    <definedName name="holidays_usa_1" localSheetId="46">#REF!</definedName>
    <definedName name="holidays_usa_1" localSheetId="37">#REF!</definedName>
    <definedName name="holidays_usa_1" localSheetId="40">#REF!</definedName>
    <definedName name="holidays_usa_1" localSheetId="54">#REF!</definedName>
    <definedName name="holidays_usa_1" localSheetId="55">#REF!</definedName>
    <definedName name="holidays_usa_1" localSheetId="52">#REF!</definedName>
    <definedName name="holidays_usa_1" localSheetId="51">#REF!</definedName>
    <definedName name="holidays_usa_1" localSheetId="53">#REF!</definedName>
    <definedName name="holidays_usa_1">#REF!</definedName>
    <definedName name="holidays_usa_2" localSheetId="50">#REF!</definedName>
    <definedName name="holidays_usa_2" localSheetId="47">#REF!</definedName>
    <definedName name="holidays_usa_2" localSheetId="44">#REF!</definedName>
    <definedName name="holidays_usa_2" localSheetId="45">#REF!</definedName>
    <definedName name="holidays_usa_2" localSheetId="46">#REF!</definedName>
    <definedName name="holidays_usa_2" localSheetId="37">#REF!</definedName>
    <definedName name="holidays_usa_2" localSheetId="40">#REF!</definedName>
    <definedName name="holidays_usa_2" localSheetId="54">#REF!</definedName>
    <definedName name="holidays_usa_2" localSheetId="55">#REF!</definedName>
    <definedName name="holidays_usa_2" localSheetId="52">#REF!</definedName>
    <definedName name="holidays_usa_2" localSheetId="51">#REF!</definedName>
    <definedName name="holidays_usa_2" localSheetId="53">#REF!</definedName>
    <definedName name="holidays_usa_2">#REF!</definedName>
    <definedName name="hora" localSheetId="34">[27]Programa!#REF!</definedName>
    <definedName name="hora" localSheetId="35">[27]Programa!#REF!</definedName>
    <definedName name="hora" localSheetId="50">[27]Programa!#REF!</definedName>
    <definedName name="hora" localSheetId="15">[27]Programa!#REF!</definedName>
    <definedName name="hora" localSheetId="29">[27]Programa!#REF!</definedName>
    <definedName name="hora" localSheetId="30">[27]Programa!#REF!</definedName>
    <definedName name="hora" localSheetId="47">[27]Programa!#REF!</definedName>
    <definedName name="hora" localSheetId="44">[27]Programa!#REF!</definedName>
    <definedName name="hora" localSheetId="45">[27]Programa!#REF!</definedName>
    <definedName name="hora" localSheetId="46">[27]Programa!#REF!</definedName>
    <definedName name="hora" localSheetId="31">[27]Programa!#REF!</definedName>
    <definedName name="hora" localSheetId="32">[27]Programa!#REF!</definedName>
    <definedName name="hora" localSheetId="33">[27]Programa!#REF!</definedName>
    <definedName name="hora" localSheetId="36">[27]Programa!#REF!</definedName>
    <definedName name="hora" localSheetId="37">[27]Programa!#REF!</definedName>
    <definedName name="hora" localSheetId="38">[27]Programa!#REF!</definedName>
    <definedName name="hora" localSheetId="39">[27]Programa!#REF!</definedName>
    <definedName name="hora" localSheetId="40">[27]Programa!#REF!</definedName>
    <definedName name="hora" localSheetId="54">[27]Programa!#REF!</definedName>
    <definedName name="hora" localSheetId="55">[27]Programa!#REF!</definedName>
    <definedName name="hora" localSheetId="52">[27]Programa!#REF!</definedName>
    <definedName name="hora" localSheetId="23">[27]Programa!#REF!</definedName>
    <definedName name="hora" localSheetId="51">[27]Programa!#REF!</definedName>
    <definedName name="hora" localSheetId="53">[27]Programa!#REF!</definedName>
    <definedName name="hora" localSheetId="20">[27]Programa!#REF!</definedName>
    <definedName name="hora">[27]Programa!#REF!</definedName>
    <definedName name="hpu" localSheetId="58" hidden="1">{"Tab1",#N/A,FALSE,"P";"Tab2",#N/A,FALSE,"P"}</definedName>
    <definedName name="hpu" localSheetId="16" hidden="1">{"Tab1",#N/A,FALSE,"P";"Tab2",#N/A,FALSE,"P"}</definedName>
    <definedName name="hpu" localSheetId="61" hidden="1">{"Tab1",#N/A,FALSE,"P";"Tab2",#N/A,FALSE,"P"}</definedName>
    <definedName name="hpu" localSheetId="62" hidden="1">{"Tab1",#N/A,FALSE,"P";"Tab2",#N/A,FALSE,"P"}</definedName>
    <definedName name="hpu" localSheetId="50" hidden="1">{"Tab1",#N/A,FALSE,"P";"Tab2",#N/A,FALSE,"P"}</definedName>
    <definedName name="hpu" localSheetId="63" hidden="1">{"Tab1",#N/A,FALSE,"P";"Tab2",#N/A,FALSE,"P"}</definedName>
    <definedName name="hpu" localSheetId="15" hidden="1">{"Tab1",#N/A,FALSE,"P";"Tab2",#N/A,FALSE,"P"}</definedName>
    <definedName name="hpu" localSheetId="1" hidden="1">{"Tab1",#N/A,FALSE,"P";"Tab2",#N/A,FALSE,"P"}</definedName>
    <definedName name="hpu" localSheetId="43" hidden="1">{"Tab1",#N/A,FALSE,"P";"Tab2",#N/A,FALSE,"P"}</definedName>
    <definedName name="hpu" localSheetId="29" hidden="1">{"Tab1",#N/A,FALSE,"P";"Tab2",#N/A,FALSE,"P"}</definedName>
    <definedName name="hpu" localSheetId="30" hidden="1">{"Tab1",#N/A,FALSE,"P";"Tab2",#N/A,FALSE,"P"}</definedName>
    <definedName name="hpu" localSheetId="44" hidden="1">{"Tab1",#N/A,FALSE,"P";"Tab2",#N/A,FALSE,"P"}</definedName>
    <definedName name="hpu" localSheetId="59" hidden="1">{"Tab1",#N/A,FALSE,"P";"Tab2",#N/A,FALSE,"P"}</definedName>
    <definedName name="hpu" localSheetId="13" hidden="1">{"Tab1",#N/A,FALSE,"P";"Tab2",#N/A,FALSE,"P"}</definedName>
    <definedName name="hpu" localSheetId="0" hidden="1">{"Tab1",#N/A,FALSE,"P";"Tab2",#N/A,FALSE,"P"}</definedName>
    <definedName name="hpu" localSheetId="57" hidden="1">{"Tab1",#N/A,FALSE,"P";"Tab2",#N/A,FALSE,"P"}</definedName>
    <definedName name="hpu" localSheetId="56" hidden="1">{"Tab1",#N/A,FALSE,"P";"Tab2",#N/A,FALSE,"P"}</definedName>
    <definedName name="hpu" localSheetId="54" hidden="1">{"Tab1",#N/A,FALSE,"P";"Tab2",#N/A,FALSE,"P"}</definedName>
    <definedName name="hpu" localSheetId="52" hidden="1">{"Tab1",#N/A,FALSE,"P";"Tab2",#N/A,FALSE,"P"}</definedName>
    <definedName name="hpu" localSheetId="23" hidden="1">{"Tab1",#N/A,FALSE,"P";"Tab2",#N/A,FALSE,"P"}</definedName>
    <definedName name="hpu" localSheetId="51" hidden="1">{"Tab1",#N/A,FALSE,"P";"Tab2",#N/A,FALSE,"P"}</definedName>
    <definedName name="hpu" localSheetId="53" hidden="1">{"Tab1",#N/A,FALSE,"P";"Tab2",#N/A,FALSE,"P"}</definedName>
    <definedName name="hpu" localSheetId="60" hidden="1">{"Tab1",#N/A,FALSE,"P";"Tab2",#N/A,FALSE,"P"}</definedName>
    <definedName name="hpu" hidden="1">{"Tab1",#N/A,FALSE,"P";"Tab2",#N/A,FALSE,"P"}</definedName>
    <definedName name="hsrate">'[52]Burn Rates'!$G$11</definedName>
    <definedName name="hui" localSheetId="58" hidden="1">{"Tab1",#N/A,FALSE,"P";"Tab2",#N/A,FALSE,"P"}</definedName>
    <definedName name="hui" localSheetId="16" hidden="1">{"Tab1",#N/A,FALSE,"P";"Tab2",#N/A,FALSE,"P"}</definedName>
    <definedName name="hui" localSheetId="61" hidden="1">{"Tab1",#N/A,FALSE,"P";"Tab2",#N/A,FALSE,"P"}</definedName>
    <definedName name="hui" localSheetId="62" hidden="1">{"Tab1",#N/A,FALSE,"P";"Tab2",#N/A,FALSE,"P"}</definedName>
    <definedName name="hui" localSheetId="50" hidden="1">{"Tab1",#N/A,FALSE,"P";"Tab2",#N/A,FALSE,"P"}</definedName>
    <definedName name="hui" localSheetId="63" hidden="1">{"Tab1",#N/A,FALSE,"P";"Tab2",#N/A,FALSE,"P"}</definedName>
    <definedName name="hui" localSheetId="15" hidden="1">{"Tab1",#N/A,FALSE,"P";"Tab2",#N/A,FALSE,"P"}</definedName>
    <definedName name="hui" localSheetId="1" hidden="1">{"Tab1",#N/A,FALSE,"P";"Tab2",#N/A,FALSE,"P"}</definedName>
    <definedName name="hui" localSheetId="43" hidden="1">{"Tab1",#N/A,FALSE,"P";"Tab2",#N/A,FALSE,"P"}</definedName>
    <definedName name="hui" localSheetId="29" hidden="1">{"Tab1",#N/A,FALSE,"P";"Tab2",#N/A,FALSE,"P"}</definedName>
    <definedName name="hui" localSheetId="30" hidden="1">{"Tab1",#N/A,FALSE,"P";"Tab2",#N/A,FALSE,"P"}</definedName>
    <definedName name="hui" localSheetId="44" hidden="1">{"Tab1",#N/A,FALSE,"P";"Tab2",#N/A,FALSE,"P"}</definedName>
    <definedName name="hui" localSheetId="59" hidden="1">{"Tab1",#N/A,FALSE,"P";"Tab2",#N/A,FALSE,"P"}</definedName>
    <definedName name="hui" localSheetId="13" hidden="1">{"Tab1",#N/A,FALSE,"P";"Tab2",#N/A,FALSE,"P"}</definedName>
    <definedName name="hui" localSheetId="0" hidden="1">{"Tab1",#N/A,FALSE,"P";"Tab2",#N/A,FALSE,"P"}</definedName>
    <definedName name="hui" localSheetId="57" hidden="1">{"Tab1",#N/A,FALSE,"P";"Tab2",#N/A,FALSE,"P"}</definedName>
    <definedName name="hui" localSheetId="56" hidden="1">{"Tab1",#N/A,FALSE,"P";"Tab2",#N/A,FALSE,"P"}</definedName>
    <definedName name="hui" localSheetId="54" hidden="1">{"Tab1",#N/A,FALSE,"P";"Tab2",#N/A,FALSE,"P"}</definedName>
    <definedName name="hui" localSheetId="52" hidden="1">{"Tab1",#N/A,FALSE,"P";"Tab2",#N/A,FALSE,"P"}</definedName>
    <definedName name="hui" localSheetId="23" hidden="1">{"Tab1",#N/A,FALSE,"P";"Tab2",#N/A,FALSE,"P"}</definedName>
    <definedName name="hui" localSheetId="51" hidden="1">{"Tab1",#N/A,FALSE,"P";"Tab2",#N/A,FALSE,"P"}</definedName>
    <definedName name="hui" localSheetId="53" hidden="1">{"Tab1",#N/A,FALSE,"P";"Tab2",#N/A,FALSE,"P"}</definedName>
    <definedName name="hui" localSheetId="60" hidden="1">{"Tab1",#N/A,FALSE,"P";"Tab2",#N/A,FALSE,"P"}</definedName>
    <definedName name="hui" hidden="1">{"Tab1",#N/A,FALSE,"P";"Tab2",#N/A,FALSE,"P"}</definedName>
    <definedName name="huo" localSheetId="58" hidden="1">{"Tab1",#N/A,FALSE,"P";"Tab2",#N/A,FALSE,"P"}</definedName>
    <definedName name="huo" localSheetId="16" hidden="1">{"Tab1",#N/A,FALSE,"P";"Tab2",#N/A,FALSE,"P"}</definedName>
    <definedName name="huo" localSheetId="61" hidden="1">{"Tab1",#N/A,FALSE,"P";"Tab2",#N/A,FALSE,"P"}</definedName>
    <definedName name="huo" localSheetId="62" hidden="1">{"Tab1",#N/A,FALSE,"P";"Tab2",#N/A,FALSE,"P"}</definedName>
    <definedName name="huo" localSheetId="50" hidden="1">{"Tab1",#N/A,FALSE,"P";"Tab2",#N/A,FALSE,"P"}</definedName>
    <definedName name="huo" localSheetId="63" hidden="1">{"Tab1",#N/A,FALSE,"P";"Tab2",#N/A,FALSE,"P"}</definedName>
    <definedName name="huo" localSheetId="15" hidden="1">{"Tab1",#N/A,FALSE,"P";"Tab2",#N/A,FALSE,"P"}</definedName>
    <definedName name="huo" localSheetId="1" hidden="1">{"Tab1",#N/A,FALSE,"P";"Tab2",#N/A,FALSE,"P"}</definedName>
    <definedName name="huo" localSheetId="43" hidden="1">{"Tab1",#N/A,FALSE,"P";"Tab2",#N/A,FALSE,"P"}</definedName>
    <definedName name="huo" localSheetId="29" hidden="1">{"Tab1",#N/A,FALSE,"P";"Tab2",#N/A,FALSE,"P"}</definedName>
    <definedName name="huo" localSheetId="30" hidden="1">{"Tab1",#N/A,FALSE,"P";"Tab2",#N/A,FALSE,"P"}</definedName>
    <definedName name="huo" localSheetId="44" hidden="1">{"Tab1",#N/A,FALSE,"P";"Tab2",#N/A,FALSE,"P"}</definedName>
    <definedName name="huo" localSheetId="59" hidden="1">{"Tab1",#N/A,FALSE,"P";"Tab2",#N/A,FALSE,"P"}</definedName>
    <definedName name="huo" localSheetId="13" hidden="1">{"Tab1",#N/A,FALSE,"P";"Tab2",#N/A,FALSE,"P"}</definedName>
    <definedName name="huo" localSheetId="0" hidden="1">{"Tab1",#N/A,FALSE,"P";"Tab2",#N/A,FALSE,"P"}</definedName>
    <definedName name="huo" localSheetId="57" hidden="1">{"Tab1",#N/A,FALSE,"P";"Tab2",#N/A,FALSE,"P"}</definedName>
    <definedName name="huo" localSheetId="56" hidden="1">{"Tab1",#N/A,FALSE,"P";"Tab2",#N/A,FALSE,"P"}</definedName>
    <definedName name="huo" localSheetId="54" hidden="1">{"Tab1",#N/A,FALSE,"P";"Tab2",#N/A,FALSE,"P"}</definedName>
    <definedName name="huo" localSheetId="52" hidden="1">{"Tab1",#N/A,FALSE,"P";"Tab2",#N/A,FALSE,"P"}</definedName>
    <definedName name="huo" localSheetId="23" hidden="1">{"Tab1",#N/A,FALSE,"P";"Tab2",#N/A,FALSE,"P"}</definedName>
    <definedName name="huo" localSheetId="51" hidden="1">{"Tab1",#N/A,FALSE,"P";"Tab2",#N/A,FALSE,"P"}</definedName>
    <definedName name="huo" localSheetId="53" hidden="1">{"Tab1",#N/A,FALSE,"P";"Tab2",#N/A,FALSE,"P"}</definedName>
    <definedName name="huo" localSheetId="60" hidden="1">{"Tab1",#N/A,FALSE,"P";"Tab2",#N/A,FALSE,"P"}</definedName>
    <definedName name="huo" hidden="1">{"Tab1",#N/A,FALSE,"P";"Tab2",#N/A,FALSE,"P"}</definedName>
    <definedName name="HUY" localSheetId="34">#REF!</definedName>
    <definedName name="HUY" localSheetId="35">#REF!</definedName>
    <definedName name="HUY" localSheetId="50">#REF!</definedName>
    <definedName name="HUY" localSheetId="15">#REF!</definedName>
    <definedName name="HUY" localSheetId="29">#REF!</definedName>
    <definedName name="HUY" localSheetId="30">#REF!</definedName>
    <definedName name="HUY" localSheetId="47">#REF!</definedName>
    <definedName name="HUY" localSheetId="44">#REF!</definedName>
    <definedName name="HUY" localSheetId="45">#REF!</definedName>
    <definedName name="HUY" localSheetId="46">#REF!</definedName>
    <definedName name="HUY" localSheetId="31">#REF!</definedName>
    <definedName name="HUY" localSheetId="32">#REF!</definedName>
    <definedName name="HUY" localSheetId="33">#REF!</definedName>
    <definedName name="HUY" localSheetId="36">#REF!</definedName>
    <definedName name="HUY" localSheetId="37">#REF!</definedName>
    <definedName name="HUY" localSheetId="38">#REF!</definedName>
    <definedName name="HUY" localSheetId="39">#REF!</definedName>
    <definedName name="HUY" localSheetId="40">#REF!</definedName>
    <definedName name="HUY" localSheetId="54">#REF!</definedName>
    <definedName name="HUY" localSheetId="55">#REF!</definedName>
    <definedName name="HUY" localSheetId="52">#REF!</definedName>
    <definedName name="HUY" localSheetId="23">#REF!</definedName>
    <definedName name="HUY" localSheetId="51">#REF!</definedName>
    <definedName name="HUY" localSheetId="53">#REF!</definedName>
    <definedName name="HUY" localSheetId="20">#REF!</definedName>
    <definedName name="HUY">#REF!</definedName>
    <definedName name="i" localSheetId="34">#REF!</definedName>
    <definedName name="i" localSheetId="35">#REF!</definedName>
    <definedName name="i" localSheetId="50">#REF!</definedName>
    <definedName name="i" localSheetId="15">#REF!</definedName>
    <definedName name="i" localSheetId="29">#REF!</definedName>
    <definedName name="i" localSheetId="30">#REF!</definedName>
    <definedName name="i" localSheetId="47">#REF!</definedName>
    <definedName name="i" localSheetId="44">#REF!</definedName>
    <definedName name="i" localSheetId="45">#REF!</definedName>
    <definedName name="i" localSheetId="46">#REF!</definedName>
    <definedName name="i" localSheetId="31">#REF!</definedName>
    <definedName name="i" localSheetId="32">#REF!</definedName>
    <definedName name="i" localSheetId="33">#REF!</definedName>
    <definedName name="i" localSheetId="36">#REF!</definedName>
    <definedName name="i" localSheetId="37">#REF!</definedName>
    <definedName name="i" localSheetId="38">#REF!</definedName>
    <definedName name="i" localSheetId="39">#REF!</definedName>
    <definedName name="i" localSheetId="40">#REF!</definedName>
    <definedName name="i" localSheetId="54">#REF!</definedName>
    <definedName name="i" localSheetId="55">#REF!</definedName>
    <definedName name="i" localSheetId="52">#REF!</definedName>
    <definedName name="i" localSheetId="23">#REF!</definedName>
    <definedName name="i" localSheetId="51">#REF!</definedName>
    <definedName name="i" localSheetId="53">#REF!</definedName>
    <definedName name="i" localSheetId="20">#REF!</definedName>
    <definedName name="i">#REF!</definedName>
    <definedName name="IBB" localSheetId="50">#REF!</definedName>
    <definedName name="IBB" localSheetId="47">#REF!</definedName>
    <definedName name="IBB" localSheetId="44">#REF!</definedName>
    <definedName name="IBB" localSheetId="45">#REF!</definedName>
    <definedName name="IBB" localSheetId="46">#REF!</definedName>
    <definedName name="IBB" localSheetId="37">#REF!</definedName>
    <definedName name="IBB" localSheetId="40">#REF!</definedName>
    <definedName name="IBB" localSheetId="54">#REF!</definedName>
    <definedName name="IBB" localSheetId="55">#REF!</definedName>
    <definedName name="IBB" localSheetId="52">#REF!</definedName>
    <definedName name="IBB" localSheetId="51">#REF!</definedName>
    <definedName name="IBB" localSheetId="53">#REF!</definedName>
    <definedName name="IBB">#REF!</definedName>
    <definedName name="IDAr" localSheetId="50">#REF!</definedName>
    <definedName name="IDAr" localSheetId="47">#REF!</definedName>
    <definedName name="IDAr" localSheetId="44">#REF!</definedName>
    <definedName name="IDAr" localSheetId="45">#REF!</definedName>
    <definedName name="IDAr" localSheetId="46">#REF!</definedName>
    <definedName name="IDAr" localSheetId="37">#REF!</definedName>
    <definedName name="IDAr" localSheetId="40">#REF!</definedName>
    <definedName name="IDAr" localSheetId="54">#REF!</definedName>
    <definedName name="IDAr" localSheetId="55">#REF!</definedName>
    <definedName name="IDAr" localSheetId="52">#REF!</definedName>
    <definedName name="IDAr" localSheetId="51">#REF!</definedName>
    <definedName name="IDAr" localSheetId="53">#REF!</definedName>
    <definedName name="IDAr">#REF!</definedName>
    <definedName name="IESS" localSheetId="34">#REF!</definedName>
    <definedName name="IESS" localSheetId="35">#REF!</definedName>
    <definedName name="IESS" localSheetId="50">#REF!</definedName>
    <definedName name="IESS" localSheetId="15">#REF!</definedName>
    <definedName name="IESS" localSheetId="29">#REF!</definedName>
    <definedName name="IESS" localSheetId="30">#REF!</definedName>
    <definedName name="IESS" localSheetId="47">#REF!</definedName>
    <definedName name="IESS" localSheetId="44">#REF!</definedName>
    <definedName name="IESS" localSheetId="45">#REF!</definedName>
    <definedName name="IESS" localSheetId="46">#REF!</definedName>
    <definedName name="IESS" localSheetId="31">#REF!</definedName>
    <definedName name="IESS" localSheetId="32">#REF!</definedName>
    <definedName name="IESS" localSheetId="33">#REF!</definedName>
    <definedName name="IESS" localSheetId="36">#REF!</definedName>
    <definedName name="IESS" localSheetId="37">#REF!</definedName>
    <definedName name="IESS" localSheetId="38">#REF!</definedName>
    <definedName name="IESS" localSheetId="39">#REF!</definedName>
    <definedName name="IESS" localSheetId="40">#REF!</definedName>
    <definedName name="IESS" localSheetId="54">#REF!</definedName>
    <definedName name="IESS" localSheetId="55">#REF!</definedName>
    <definedName name="IESS" localSheetId="52">#REF!</definedName>
    <definedName name="IESS" localSheetId="23">#REF!</definedName>
    <definedName name="IESS" localSheetId="51">#REF!</definedName>
    <definedName name="IESS" localSheetId="53">#REF!</definedName>
    <definedName name="IESS" localSheetId="20">#REF!</definedName>
    <definedName name="IESS">#REF!</definedName>
    <definedName name="IFNB" localSheetId="50">#REF!</definedName>
    <definedName name="IFNB" localSheetId="47">#REF!</definedName>
    <definedName name="IFNB" localSheetId="44">#REF!</definedName>
    <definedName name="IFNB" localSheetId="45">#REF!</definedName>
    <definedName name="IFNB" localSheetId="46">#REF!</definedName>
    <definedName name="IFNB" localSheetId="37">#REF!</definedName>
    <definedName name="IFNB" localSheetId="40">#REF!</definedName>
    <definedName name="IFNB" localSheetId="54">#REF!</definedName>
    <definedName name="IFNB" localSheetId="55">#REF!</definedName>
    <definedName name="IFNB" localSheetId="52">#REF!</definedName>
    <definedName name="IFNB" localSheetId="51">#REF!</definedName>
    <definedName name="IFNB" localSheetId="53">#REF!</definedName>
    <definedName name="IFNB">#REF!</definedName>
    <definedName name="IFSASSETS" localSheetId="50">#REF!</definedName>
    <definedName name="IFSASSETS" localSheetId="47">#REF!</definedName>
    <definedName name="IFSASSETS" localSheetId="44">#REF!</definedName>
    <definedName name="IFSASSETS" localSheetId="45">#REF!</definedName>
    <definedName name="IFSASSETS" localSheetId="46">#REF!</definedName>
    <definedName name="IFSASSETS" localSheetId="37">#REF!</definedName>
    <definedName name="IFSASSETS" localSheetId="40">#REF!</definedName>
    <definedName name="IFSASSETS" localSheetId="54">#REF!</definedName>
    <definedName name="IFSASSETS" localSheetId="55">#REF!</definedName>
    <definedName name="IFSASSETS" localSheetId="52">#REF!</definedName>
    <definedName name="IFSASSETS" localSheetId="51">#REF!</definedName>
    <definedName name="IFSASSETS" localSheetId="53">#REF!</definedName>
    <definedName name="IFSASSETS">#REF!</definedName>
    <definedName name="IFSLIABS" localSheetId="50">#REF!</definedName>
    <definedName name="IFSLIABS" localSheetId="47">#REF!</definedName>
    <definedName name="IFSLIABS" localSheetId="44">#REF!</definedName>
    <definedName name="IFSLIABS" localSheetId="45">#REF!</definedName>
    <definedName name="IFSLIABS" localSheetId="46">#REF!</definedName>
    <definedName name="IFSLIABS" localSheetId="37">#REF!</definedName>
    <definedName name="IFSLIABS" localSheetId="40">#REF!</definedName>
    <definedName name="IFSLIABS" localSheetId="54">#REF!</definedName>
    <definedName name="IFSLIABS" localSheetId="55">#REF!</definedName>
    <definedName name="IFSLIABS" localSheetId="52">#REF!</definedName>
    <definedName name="IFSLIABS" localSheetId="51">#REF!</definedName>
    <definedName name="IFSLIABS" localSheetId="53">#REF!</definedName>
    <definedName name="IFSLIABS">#REF!</definedName>
    <definedName name="ii" localSheetId="58" hidden="1">{"Tab1",#N/A,FALSE,"P";"Tab2",#N/A,FALSE,"P"}</definedName>
    <definedName name="ii" localSheetId="16" hidden="1">{"Tab1",#N/A,FALSE,"P";"Tab2",#N/A,FALSE,"P"}</definedName>
    <definedName name="ii" localSheetId="61" hidden="1">{"Tab1",#N/A,FALSE,"P";"Tab2",#N/A,FALSE,"P"}</definedName>
    <definedName name="ii" localSheetId="62" hidden="1">{"Tab1",#N/A,FALSE,"P";"Tab2",#N/A,FALSE,"P"}</definedName>
    <definedName name="ii" localSheetId="50" hidden="1">{"Tab1",#N/A,FALSE,"P";"Tab2",#N/A,FALSE,"P"}</definedName>
    <definedName name="ii" localSheetId="63" hidden="1">{"Tab1",#N/A,FALSE,"P";"Tab2",#N/A,FALSE,"P"}</definedName>
    <definedName name="ii" localSheetId="15" hidden="1">{"Tab1",#N/A,FALSE,"P";"Tab2",#N/A,FALSE,"P"}</definedName>
    <definedName name="ii" localSheetId="1" hidden="1">{"Tab1",#N/A,FALSE,"P";"Tab2",#N/A,FALSE,"P"}</definedName>
    <definedName name="ii" localSheetId="43" hidden="1">{"Tab1",#N/A,FALSE,"P";"Tab2",#N/A,FALSE,"P"}</definedName>
    <definedName name="ii" localSheetId="29" hidden="1">{"Tab1",#N/A,FALSE,"P";"Tab2",#N/A,FALSE,"P"}</definedName>
    <definedName name="ii" localSheetId="30" hidden="1">{"Tab1",#N/A,FALSE,"P";"Tab2",#N/A,FALSE,"P"}</definedName>
    <definedName name="ii" localSheetId="44" hidden="1">{"Tab1",#N/A,FALSE,"P";"Tab2",#N/A,FALSE,"P"}</definedName>
    <definedName name="ii" localSheetId="59" hidden="1">{"Tab1",#N/A,FALSE,"P";"Tab2",#N/A,FALSE,"P"}</definedName>
    <definedName name="ii" localSheetId="13" hidden="1">{"Tab1",#N/A,FALSE,"P";"Tab2",#N/A,FALSE,"P"}</definedName>
    <definedName name="ii" localSheetId="0" hidden="1">{"Tab1",#N/A,FALSE,"P";"Tab2",#N/A,FALSE,"P"}</definedName>
    <definedName name="ii" localSheetId="57" hidden="1">{"Tab1",#N/A,FALSE,"P";"Tab2",#N/A,FALSE,"P"}</definedName>
    <definedName name="ii" localSheetId="56" hidden="1">{"Tab1",#N/A,FALSE,"P";"Tab2",#N/A,FALSE,"P"}</definedName>
    <definedName name="ii" localSheetId="54" hidden="1">{"Tab1",#N/A,FALSE,"P";"Tab2",#N/A,FALSE,"P"}</definedName>
    <definedName name="ii" localSheetId="52" hidden="1">{"Tab1",#N/A,FALSE,"P";"Tab2",#N/A,FALSE,"P"}</definedName>
    <definedName name="ii" localSheetId="23" hidden="1">{"Tab1",#N/A,FALSE,"P";"Tab2",#N/A,FALSE,"P"}</definedName>
    <definedName name="ii" localSheetId="51" hidden="1">{"Tab1",#N/A,FALSE,"P";"Tab2",#N/A,FALSE,"P"}</definedName>
    <definedName name="ii" localSheetId="53" hidden="1">{"Tab1",#N/A,FALSE,"P";"Tab2",#N/A,FALSE,"P"}</definedName>
    <definedName name="ii" localSheetId="60" hidden="1">{"Tab1",#N/A,FALSE,"P";"Tab2",#N/A,FALSE,"P"}</definedName>
    <definedName name="ii" hidden="1">{"Tab1",#N/A,FALSE,"P";"Tab2",#N/A,FALSE,"P"}</definedName>
    <definedName name="ilo" localSheetId="58" hidden="1">{"Riqfin97",#N/A,FALSE,"Tran";"Riqfinpro",#N/A,FALSE,"Tran"}</definedName>
    <definedName name="ilo" localSheetId="16" hidden="1">{"Riqfin97",#N/A,FALSE,"Tran";"Riqfinpro",#N/A,FALSE,"Tran"}</definedName>
    <definedName name="ilo" localSheetId="61" hidden="1">{"Riqfin97",#N/A,FALSE,"Tran";"Riqfinpro",#N/A,FALSE,"Tran"}</definedName>
    <definedName name="ilo" localSheetId="62" hidden="1">{"Riqfin97",#N/A,FALSE,"Tran";"Riqfinpro",#N/A,FALSE,"Tran"}</definedName>
    <definedName name="ilo" localSheetId="50" hidden="1">{"Riqfin97",#N/A,FALSE,"Tran";"Riqfinpro",#N/A,FALSE,"Tran"}</definedName>
    <definedName name="ilo" localSheetId="63" hidden="1">{"Riqfin97",#N/A,FALSE,"Tran";"Riqfinpro",#N/A,FALSE,"Tran"}</definedName>
    <definedName name="ilo" localSheetId="15" hidden="1">{"Riqfin97",#N/A,FALSE,"Tran";"Riqfinpro",#N/A,FALSE,"Tran"}</definedName>
    <definedName name="ilo" localSheetId="1" hidden="1">{"Riqfin97",#N/A,FALSE,"Tran";"Riqfinpro",#N/A,FALSE,"Tran"}</definedName>
    <definedName name="ilo" localSheetId="43" hidden="1">{"Riqfin97",#N/A,FALSE,"Tran";"Riqfinpro",#N/A,FALSE,"Tran"}</definedName>
    <definedName name="ilo" localSheetId="29" hidden="1">{"Riqfin97",#N/A,FALSE,"Tran";"Riqfinpro",#N/A,FALSE,"Tran"}</definedName>
    <definedName name="ilo" localSheetId="30" hidden="1">{"Riqfin97",#N/A,FALSE,"Tran";"Riqfinpro",#N/A,FALSE,"Tran"}</definedName>
    <definedName name="ilo" localSheetId="44" hidden="1">{"Riqfin97",#N/A,FALSE,"Tran";"Riqfinpro",#N/A,FALSE,"Tran"}</definedName>
    <definedName name="ilo" localSheetId="59" hidden="1">{"Riqfin97",#N/A,FALSE,"Tran";"Riqfinpro",#N/A,FALSE,"Tran"}</definedName>
    <definedName name="ilo" localSheetId="13" hidden="1">{"Riqfin97",#N/A,FALSE,"Tran";"Riqfinpro",#N/A,FALSE,"Tran"}</definedName>
    <definedName name="ilo" localSheetId="0" hidden="1">{"Riqfin97",#N/A,FALSE,"Tran";"Riqfinpro",#N/A,FALSE,"Tran"}</definedName>
    <definedName name="ilo" localSheetId="57" hidden="1">{"Riqfin97",#N/A,FALSE,"Tran";"Riqfinpro",#N/A,FALSE,"Tran"}</definedName>
    <definedName name="ilo" localSheetId="56" hidden="1">{"Riqfin97",#N/A,FALSE,"Tran";"Riqfinpro",#N/A,FALSE,"Tran"}</definedName>
    <definedName name="ilo" localSheetId="54" hidden="1">{"Riqfin97",#N/A,FALSE,"Tran";"Riqfinpro",#N/A,FALSE,"Tran"}</definedName>
    <definedName name="ilo" localSheetId="52" hidden="1">{"Riqfin97",#N/A,FALSE,"Tran";"Riqfinpro",#N/A,FALSE,"Tran"}</definedName>
    <definedName name="ilo" localSheetId="23" hidden="1">{"Riqfin97",#N/A,FALSE,"Tran";"Riqfinpro",#N/A,FALSE,"Tran"}</definedName>
    <definedName name="ilo" localSheetId="51" hidden="1">{"Riqfin97",#N/A,FALSE,"Tran";"Riqfinpro",#N/A,FALSE,"Tran"}</definedName>
    <definedName name="ilo" localSheetId="53" hidden="1">{"Riqfin97",#N/A,FALSE,"Tran";"Riqfinpro",#N/A,FALSE,"Tran"}</definedName>
    <definedName name="ilo" localSheetId="60" hidden="1">{"Riqfin97",#N/A,FALSE,"Tran";"Riqfinpro",#N/A,FALSE,"Tran"}</definedName>
    <definedName name="ilo" hidden="1">{"Riqfin97",#N/A,FALSE,"Tran";"Riqfinpro",#N/A,FALSE,"Tran"}</definedName>
    <definedName name="ilu" localSheetId="58" hidden="1">{"Riqfin97",#N/A,FALSE,"Tran";"Riqfinpro",#N/A,FALSE,"Tran"}</definedName>
    <definedName name="ilu" localSheetId="16" hidden="1">{"Riqfin97",#N/A,FALSE,"Tran";"Riqfinpro",#N/A,FALSE,"Tran"}</definedName>
    <definedName name="ilu" localSheetId="61" hidden="1">{"Riqfin97",#N/A,FALSE,"Tran";"Riqfinpro",#N/A,FALSE,"Tran"}</definedName>
    <definedName name="ilu" localSheetId="62" hidden="1">{"Riqfin97",#N/A,FALSE,"Tran";"Riqfinpro",#N/A,FALSE,"Tran"}</definedName>
    <definedName name="ilu" localSheetId="50" hidden="1">{"Riqfin97",#N/A,FALSE,"Tran";"Riqfinpro",#N/A,FALSE,"Tran"}</definedName>
    <definedName name="ilu" localSheetId="63" hidden="1">{"Riqfin97",#N/A,FALSE,"Tran";"Riqfinpro",#N/A,FALSE,"Tran"}</definedName>
    <definedName name="ilu" localSheetId="15" hidden="1">{"Riqfin97",#N/A,FALSE,"Tran";"Riqfinpro",#N/A,FALSE,"Tran"}</definedName>
    <definedName name="ilu" localSheetId="1" hidden="1">{"Riqfin97",#N/A,FALSE,"Tran";"Riqfinpro",#N/A,FALSE,"Tran"}</definedName>
    <definedName name="ilu" localSheetId="43" hidden="1">{"Riqfin97",#N/A,FALSE,"Tran";"Riqfinpro",#N/A,FALSE,"Tran"}</definedName>
    <definedName name="ilu" localSheetId="29" hidden="1">{"Riqfin97",#N/A,FALSE,"Tran";"Riqfinpro",#N/A,FALSE,"Tran"}</definedName>
    <definedName name="ilu" localSheetId="30" hidden="1">{"Riqfin97",#N/A,FALSE,"Tran";"Riqfinpro",#N/A,FALSE,"Tran"}</definedName>
    <definedName name="ilu" localSheetId="44" hidden="1">{"Riqfin97",#N/A,FALSE,"Tran";"Riqfinpro",#N/A,FALSE,"Tran"}</definedName>
    <definedName name="ilu" localSheetId="59" hidden="1">{"Riqfin97",#N/A,FALSE,"Tran";"Riqfinpro",#N/A,FALSE,"Tran"}</definedName>
    <definedName name="ilu" localSheetId="13" hidden="1">{"Riqfin97",#N/A,FALSE,"Tran";"Riqfinpro",#N/A,FALSE,"Tran"}</definedName>
    <definedName name="ilu" localSheetId="0" hidden="1">{"Riqfin97",#N/A,FALSE,"Tran";"Riqfinpro",#N/A,FALSE,"Tran"}</definedName>
    <definedName name="ilu" localSheetId="57" hidden="1">{"Riqfin97",#N/A,FALSE,"Tran";"Riqfinpro",#N/A,FALSE,"Tran"}</definedName>
    <definedName name="ilu" localSheetId="56" hidden="1">{"Riqfin97",#N/A,FALSE,"Tran";"Riqfinpro",#N/A,FALSE,"Tran"}</definedName>
    <definedName name="ilu" localSheetId="54" hidden="1">{"Riqfin97",#N/A,FALSE,"Tran";"Riqfinpro",#N/A,FALSE,"Tran"}</definedName>
    <definedName name="ilu" localSheetId="52" hidden="1">{"Riqfin97",#N/A,FALSE,"Tran";"Riqfinpro",#N/A,FALSE,"Tran"}</definedName>
    <definedName name="ilu" localSheetId="23" hidden="1">{"Riqfin97",#N/A,FALSE,"Tran";"Riqfinpro",#N/A,FALSE,"Tran"}</definedName>
    <definedName name="ilu" localSheetId="51" hidden="1">{"Riqfin97",#N/A,FALSE,"Tran";"Riqfinpro",#N/A,FALSE,"Tran"}</definedName>
    <definedName name="ilu" localSheetId="53" hidden="1">{"Riqfin97",#N/A,FALSE,"Tran";"Riqfinpro",#N/A,FALSE,"Tran"}</definedName>
    <definedName name="ilu" localSheetId="60" hidden="1">{"Riqfin97",#N/A,FALSE,"Tran";"Riqfinpro",#N/A,FALSE,"Tran"}</definedName>
    <definedName name="ilu" hidden="1">{"Riqfin97",#N/A,FALSE,"Tran";"Riqfinpro",#N/A,FALSE,"Tran"}</definedName>
    <definedName name="IM" localSheetId="50">#REF!</definedName>
    <definedName name="IM" localSheetId="47">#REF!</definedName>
    <definedName name="IM" localSheetId="44">#REF!</definedName>
    <definedName name="IM" localSheetId="45">#REF!</definedName>
    <definedName name="IM" localSheetId="46">#REF!</definedName>
    <definedName name="IM" localSheetId="37">#REF!</definedName>
    <definedName name="IM" localSheetId="40">#REF!</definedName>
    <definedName name="IM" localSheetId="54">#REF!</definedName>
    <definedName name="IM" localSheetId="55">#REF!</definedName>
    <definedName name="IM" localSheetId="52">#REF!</definedName>
    <definedName name="IM" localSheetId="51">#REF!</definedName>
    <definedName name="IM" localSheetId="53">#REF!</definedName>
    <definedName name="IM">#REF!</definedName>
    <definedName name="ima" localSheetId="34">#REF!</definedName>
    <definedName name="ima" localSheetId="35">#REF!</definedName>
    <definedName name="ima" localSheetId="50">#REF!</definedName>
    <definedName name="ima" localSheetId="15">#REF!</definedName>
    <definedName name="ima" localSheetId="29">#REF!</definedName>
    <definedName name="ima" localSheetId="30">#REF!</definedName>
    <definedName name="ima" localSheetId="47">#REF!</definedName>
    <definedName name="ima" localSheetId="44">#REF!</definedName>
    <definedName name="ima" localSheetId="45">#REF!</definedName>
    <definedName name="ima" localSheetId="46">#REF!</definedName>
    <definedName name="ima" localSheetId="31">#REF!</definedName>
    <definedName name="ima" localSheetId="32">#REF!</definedName>
    <definedName name="ima" localSheetId="33">#REF!</definedName>
    <definedName name="ima" localSheetId="36">#REF!</definedName>
    <definedName name="ima" localSheetId="37">#REF!</definedName>
    <definedName name="ima" localSheetId="38">#REF!</definedName>
    <definedName name="ima" localSheetId="39">#REF!</definedName>
    <definedName name="ima" localSheetId="40">#REF!</definedName>
    <definedName name="ima" localSheetId="54">#REF!</definedName>
    <definedName name="ima" localSheetId="55">#REF!</definedName>
    <definedName name="ima" localSheetId="52">#REF!</definedName>
    <definedName name="ima" localSheetId="23">#REF!</definedName>
    <definedName name="ima" localSheetId="51">#REF!</definedName>
    <definedName name="ima" localSheetId="53">#REF!</definedName>
    <definedName name="ima" localSheetId="20">#REF!</definedName>
    <definedName name="ima">#REF!</definedName>
    <definedName name="imaor" localSheetId="34">#REF!</definedName>
    <definedName name="imaor" localSheetId="35">#REF!</definedName>
    <definedName name="imaor" localSheetId="50">#REF!</definedName>
    <definedName name="imaor" localSheetId="15">#REF!</definedName>
    <definedName name="imaor" localSheetId="29">#REF!</definedName>
    <definedName name="imaor" localSheetId="30">#REF!</definedName>
    <definedName name="imaor" localSheetId="47">#REF!</definedName>
    <definedName name="imaor" localSheetId="44">#REF!</definedName>
    <definedName name="imaor" localSheetId="45">#REF!</definedName>
    <definedName name="imaor" localSheetId="46">#REF!</definedName>
    <definedName name="imaor" localSheetId="31">#REF!</definedName>
    <definedName name="imaor" localSheetId="32">#REF!</definedName>
    <definedName name="imaor" localSheetId="33">#REF!</definedName>
    <definedName name="imaor" localSheetId="36">#REF!</definedName>
    <definedName name="imaor" localSheetId="37">#REF!</definedName>
    <definedName name="imaor" localSheetId="38">#REF!</definedName>
    <definedName name="imaor" localSheetId="39">#REF!</definedName>
    <definedName name="imaor" localSheetId="40">#REF!</definedName>
    <definedName name="imaor" localSheetId="54">#REF!</definedName>
    <definedName name="imaor" localSheetId="55">#REF!</definedName>
    <definedName name="imaor" localSheetId="52">#REF!</definedName>
    <definedName name="imaor" localSheetId="23">#REF!</definedName>
    <definedName name="imaor" localSheetId="51">#REF!</definedName>
    <definedName name="imaor" localSheetId="53">#REF!</definedName>
    <definedName name="imaor" localSheetId="20">#REF!</definedName>
    <definedName name="imaor">#REF!</definedName>
    <definedName name="IMF" localSheetId="50">#REF!</definedName>
    <definedName name="IMF" localSheetId="47">#REF!</definedName>
    <definedName name="IMF" localSheetId="44">#REF!</definedName>
    <definedName name="IMF" localSheetId="45">#REF!</definedName>
    <definedName name="IMF" localSheetId="46">#REF!</definedName>
    <definedName name="IMF" localSheetId="37">#REF!</definedName>
    <definedName name="IMF" localSheetId="40">#REF!</definedName>
    <definedName name="IMF" localSheetId="54">#REF!</definedName>
    <definedName name="IMF" localSheetId="55">#REF!</definedName>
    <definedName name="IMF" localSheetId="52">#REF!</definedName>
    <definedName name="IMF" localSheetId="51">#REF!</definedName>
    <definedName name="IMF" localSheetId="53">#REF!</definedName>
    <definedName name="IMF">#REF!</definedName>
    <definedName name="imp" localSheetId="50">[40]Roles!#REF!</definedName>
    <definedName name="imp" localSheetId="47">[40]Roles!#REF!</definedName>
    <definedName name="imp" localSheetId="44">[40]Roles!#REF!</definedName>
    <definedName name="imp" localSheetId="45">[40]Roles!#REF!</definedName>
    <definedName name="imp" localSheetId="46">[40]Roles!#REF!</definedName>
    <definedName name="imp" localSheetId="37">[40]Roles!#REF!</definedName>
    <definedName name="imp" localSheetId="40">[40]Roles!#REF!</definedName>
    <definedName name="imp" localSheetId="54">[40]Roles!#REF!</definedName>
    <definedName name="imp" localSheetId="55">[40]Roles!#REF!</definedName>
    <definedName name="imp" localSheetId="52">[40]Roles!#REF!</definedName>
    <definedName name="imp" localSheetId="51">[40]Roles!#REF!</definedName>
    <definedName name="imp" localSheetId="53">[40]Roles!#REF!</definedName>
    <definedName name="imp">[40]Roles!#REF!</definedName>
    <definedName name="imp_metrics_component" localSheetId="50">[76]Metrics!#REF!</definedName>
    <definedName name="imp_metrics_component" localSheetId="47">[76]Metrics!#REF!</definedName>
    <definedName name="imp_metrics_component" localSheetId="44">[76]Metrics!#REF!</definedName>
    <definedName name="imp_metrics_component" localSheetId="45">[76]Metrics!#REF!</definedName>
    <definedName name="imp_metrics_component" localSheetId="46">[76]Metrics!#REF!</definedName>
    <definedName name="imp_metrics_component" localSheetId="37">[76]Metrics!#REF!</definedName>
    <definedName name="imp_metrics_component" localSheetId="40">[76]Metrics!#REF!</definedName>
    <definedName name="imp_metrics_component" localSheetId="54">[76]Metrics!#REF!</definedName>
    <definedName name="imp_metrics_component" localSheetId="55">[76]Metrics!#REF!</definedName>
    <definedName name="imp_metrics_component" localSheetId="52">[76]Metrics!#REF!</definedName>
    <definedName name="imp_metrics_component" localSheetId="51">[76]Metrics!#REF!</definedName>
    <definedName name="imp_metrics_component" localSheetId="53">[76]Metrics!#REF!</definedName>
    <definedName name="imp_metrics_component">[76]Metrics!#REF!</definedName>
    <definedName name="imp_metrics_component_1" localSheetId="50">[100]Metrics!#REF!</definedName>
    <definedName name="imp_metrics_component_1" localSheetId="47">[100]Metrics!#REF!</definedName>
    <definedName name="imp_metrics_component_1" localSheetId="44">[100]Metrics!#REF!</definedName>
    <definedName name="imp_metrics_component_1" localSheetId="45">[100]Metrics!#REF!</definedName>
    <definedName name="imp_metrics_component_1" localSheetId="46">[100]Metrics!#REF!</definedName>
    <definedName name="imp_metrics_component_1" localSheetId="37">[100]Metrics!#REF!</definedName>
    <definedName name="imp_metrics_component_1" localSheetId="40">[100]Metrics!#REF!</definedName>
    <definedName name="imp_metrics_component_1" localSheetId="54">[100]Metrics!#REF!</definedName>
    <definedName name="imp_metrics_component_1" localSheetId="55">[100]Metrics!#REF!</definedName>
    <definedName name="imp_metrics_component_1" localSheetId="52">[100]Metrics!#REF!</definedName>
    <definedName name="imp_metrics_component_1" localSheetId="51">[100]Metrics!#REF!</definedName>
    <definedName name="imp_metrics_component_1" localSheetId="53">[100]Metrics!#REF!</definedName>
    <definedName name="imp_metrics_component_1">[100]Metrics!#REF!</definedName>
    <definedName name="imp_metrics_component_list" localSheetId="50">[76]Metrics!#REF!</definedName>
    <definedName name="imp_metrics_component_list" localSheetId="47">[76]Metrics!#REF!</definedName>
    <definedName name="imp_metrics_component_list" localSheetId="44">[76]Metrics!#REF!</definedName>
    <definedName name="imp_metrics_component_list" localSheetId="45">[76]Metrics!#REF!</definedName>
    <definedName name="imp_metrics_component_list" localSheetId="46">[76]Metrics!#REF!</definedName>
    <definedName name="imp_metrics_component_list" localSheetId="37">[76]Metrics!#REF!</definedName>
    <definedName name="imp_metrics_component_list" localSheetId="40">[76]Metrics!#REF!</definedName>
    <definedName name="imp_metrics_component_list" localSheetId="54">[76]Metrics!#REF!</definedName>
    <definedName name="imp_metrics_component_list" localSheetId="55">[76]Metrics!#REF!</definedName>
    <definedName name="imp_metrics_component_list" localSheetId="52">[76]Metrics!#REF!</definedName>
    <definedName name="imp_metrics_component_list" localSheetId="51">[76]Metrics!#REF!</definedName>
    <definedName name="imp_metrics_component_list" localSheetId="53">[76]Metrics!#REF!</definedName>
    <definedName name="imp_metrics_component_list">[76]Metrics!#REF!</definedName>
    <definedName name="imp_metrics_component_list_1" localSheetId="50">[100]Metrics!#REF!</definedName>
    <definedName name="imp_metrics_component_list_1" localSheetId="47">[100]Metrics!#REF!</definedName>
    <definedName name="imp_metrics_component_list_1" localSheetId="44">[100]Metrics!#REF!</definedName>
    <definedName name="imp_metrics_component_list_1" localSheetId="45">[100]Metrics!#REF!</definedName>
    <definedName name="imp_metrics_component_list_1" localSheetId="46">[100]Metrics!#REF!</definedName>
    <definedName name="imp_metrics_component_list_1" localSheetId="37">[100]Metrics!#REF!</definedName>
    <definedName name="imp_metrics_component_list_1" localSheetId="40">[100]Metrics!#REF!</definedName>
    <definedName name="imp_metrics_component_list_1" localSheetId="54">[100]Metrics!#REF!</definedName>
    <definedName name="imp_metrics_component_list_1" localSheetId="55">[100]Metrics!#REF!</definedName>
    <definedName name="imp_metrics_component_list_1" localSheetId="52">[100]Metrics!#REF!</definedName>
    <definedName name="imp_metrics_component_list_1" localSheetId="51">[100]Metrics!#REF!</definedName>
    <definedName name="imp_metrics_component_list_1" localSheetId="53">[100]Metrics!#REF!</definedName>
    <definedName name="imp_metrics_component_list_1">[100]Metrics!#REF!</definedName>
    <definedName name="imp_metrics_implement_list" localSheetId="50">[76]Metrics!#REF!</definedName>
    <definedName name="imp_metrics_implement_list" localSheetId="47">[76]Metrics!#REF!</definedName>
    <definedName name="imp_metrics_implement_list" localSheetId="44">[76]Metrics!#REF!</definedName>
    <definedName name="imp_metrics_implement_list" localSheetId="45">[76]Metrics!#REF!</definedName>
    <definedName name="imp_metrics_implement_list" localSheetId="46">[76]Metrics!#REF!</definedName>
    <definedName name="imp_metrics_implement_list" localSheetId="37">[76]Metrics!#REF!</definedName>
    <definedName name="imp_metrics_implement_list" localSheetId="40">[76]Metrics!#REF!</definedName>
    <definedName name="imp_metrics_implement_list" localSheetId="54">[76]Metrics!#REF!</definedName>
    <definedName name="imp_metrics_implement_list" localSheetId="55">[76]Metrics!#REF!</definedName>
    <definedName name="imp_metrics_implement_list" localSheetId="52">[76]Metrics!#REF!</definedName>
    <definedName name="imp_metrics_implement_list" localSheetId="51">[76]Metrics!#REF!</definedName>
    <definedName name="imp_metrics_implement_list" localSheetId="53">[76]Metrics!#REF!</definedName>
    <definedName name="imp_metrics_implement_list">[76]Metrics!#REF!</definedName>
    <definedName name="imp_metrics_implement_list_1" localSheetId="50">[100]Metrics!#REF!</definedName>
    <definedName name="imp_metrics_implement_list_1" localSheetId="47">[100]Metrics!#REF!</definedName>
    <definedName name="imp_metrics_implement_list_1" localSheetId="44">[100]Metrics!#REF!</definedName>
    <definedName name="imp_metrics_implement_list_1" localSheetId="45">[100]Metrics!#REF!</definedName>
    <definedName name="imp_metrics_implement_list_1" localSheetId="46">[100]Metrics!#REF!</definedName>
    <definedName name="imp_metrics_implement_list_1" localSheetId="37">[100]Metrics!#REF!</definedName>
    <definedName name="imp_metrics_implement_list_1" localSheetId="40">[100]Metrics!#REF!</definedName>
    <definedName name="imp_metrics_implement_list_1" localSheetId="54">[100]Metrics!#REF!</definedName>
    <definedName name="imp_metrics_implement_list_1" localSheetId="55">[100]Metrics!#REF!</definedName>
    <definedName name="imp_metrics_implement_list_1" localSheetId="52">[100]Metrics!#REF!</definedName>
    <definedName name="imp_metrics_implement_list_1" localSheetId="51">[100]Metrics!#REF!</definedName>
    <definedName name="imp_metrics_implement_list_1" localSheetId="53">[100]Metrics!#REF!</definedName>
    <definedName name="imp_metrics_implement_list_1">[100]Metrics!#REF!</definedName>
    <definedName name="imp_metrics_table" localSheetId="50">[76]Metrics!#REF!</definedName>
    <definedName name="imp_metrics_table" localSheetId="47">[76]Metrics!#REF!</definedName>
    <definedName name="imp_metrics_table" localSheetId="44">[76]Metrics!#REF!</definedName>
    <definedName name="imp_metrics_table" localSheetId="45">[76]Metrics!#REF!</definedName>
    <definedName name="imp_metrics_table" localSheetId="46">[76]Metrics!#REF!</definedName>
    <definedName name="imp_metrics_table" localSheetId="37">[76]Metrics!#REF!</definedName>
    <definedName name="imp_metrics_table" localSheetId="40">[76]Metrics!#REF!</definedName>
    <definedName name="imp_metrics_table" localSheetId="54">[76]Metrics!#REF!</definedName>
    <definedName name="imp_metrics_table" localSheetId="55">[76]Metrics!#REF!</definedName>
    <definedName name="imp_metrics_table" localSheetId="52">[76]Metrics!#REF!</definedName>
    <definedName name="imp_metrics_table" localSheetId="51">[76]Metrics!#REF!</definedName>
    <definedName name="imp_metrics_table" localSheetId="53">[76]Metrics!#REF!</definedName>
    <definedName name="imp_metrics_table">[76]Metrics!#REF!</definedName>
    <definedName name="imp_metrics_table_1" localSheetId="50">[100]Metrics!#REF!</definedName>
    <definedName name="imp_metrics_table_1" localSheetId="47">[100]Metrics!#REF!</definedName>
    <definedName name="imp_metrics_table_1" localSheetId="44">[100]Metrics!#REF!</definedName>
    <definedName name="imp_metrics_table_1" localSheetId="45">[100]Metrics!#REF!</definedName>
    <definedName name="imp_metrics_table_1" localSheetId="46">[100]Metrics!#REF!</definedName>
    <definedName name="imp_metrics_table_1" localSheetId="37">[100]Metrics!#REF!</definedName>
    <definedName name="imp_metrics_table_1" localSheetId="40">[100]Metrics!#REF!</definedName>
    <definedName name="imp_metrics_table_1" localSheetId="54">[100]Metrics!#REF!</definedName>
    <definedName name="imp_metrics_table_1" localSheetId="55">[100]Metrics!#REF!</definedName>
    <definedName name="imp_metrics_table_1" localSheetId="52">[100]Metrics!#REF!</definedName>
    <definedName name="imp_metrics_table_1" localSheetId="51">[100]Metrics!#REF!</definedName>
    <definedName name="imp_metrics_table_1" localSheetId="53">[100]Metrics!#REF!</definedName>
    <definedName name="imp_metrics_table_1">[100]Metrics!#REF!</definedName>
    <definedName name="imp_role_over_exp" localSheetId="50">[40]Roles!#REF!</definedName>
    <definedName name="imp_role_over_exp" localSheetId="47">[40]Roles!#REF!</definedName>
    <definedName name="imp_role_over_exp" localSheetId="44">[40]Roles!#REF!</definedName>
    <definedName name="imp_role_over_exp" localSheetId="45">[40]Roles!#REF!</definedName>
    <definedName name="imp_role_over_exp" localSheetId="46">[40]Roles!#REF!</definedName>
    <definedName name="imp_role_over_exp" localSheetId="37">[40]Roles!#REF!</definedName>
    <definedName name="imp_role_over_exp" localSheetId="40">[40]Roles!#REF!</definedName>
    <definedName name="imp_role_over_exp" localSheetId="54">[40]Roles!#REF!</definedName>
    <definedName name="imp_role_over_exp" localSheetId="55">[40]Roles!#REF!</definedName>
    <definedName name="imp_role_over_exp" localSheetId="52">[40]Roles!#REF!</definedName>
    <definedName name="imp_role_over_exp" localSheetId="51">[40]Roles!#REF!</definedName>
    <definedName name="imp_role_over_exp" localSheetId="53">[40]Roles!#REF!</definedName>
    <definedName name="imp_role_over_exp">[40]Roles!#REF!</definedName>
    <definedName name="imp_role_over_exp_1" localSheetId="50">[42]Roles!#REF!</definedName>
    <definedName name="imp_role_over_exp_1" localSheetId="47">[42]Roles!#REF!</definedName>
    <definedName name="imp_role_over_exp_1" localSheetId="44">[42]Roles!#REF!</definedName>
    <definedName name="imp_role_over_exp_1" localSheetId="45">[42]Roles!#REF!</definedName>
    <definedName name="imp_role_over_exp_1" localSheetId="46">[42]Roles!#REF!</definedName>
    <definedName name="imp_role_over_exp_1" localSheetId="37">[42]Roles!#REF!</definedName>
    <definedName name="imp_role_over_exp_1" localSheetId="40">[42]Roles!#REF!</definedName>
    <definedName name="imp_role_over_exp_1" localSheetId="54">[42]Roles!#REF!</definedName>
    <definedName name="imp_role_over_exp_1" localSheetId="55">[42]Roles!#REF!</definedName>
    <definedName name="imp_role_over_exp_1" localSheetId="52">[42]Roles!#REF!</definedName>
    <definedName name="imp_role_over_exp_1" localSheetId="51">[42]Roles!#REF!</definedName>
    <definedName name="imp_role_over_exp_1" localSheetId="53">[42]Roles!#REF!</definedName>
    <definedName name="imp_role_over_exp_1">[42]Roles!#REF!</definedName>
    <definedName name="imp_total_gen_exp" localSheetId="50">[40]Roles!#REF!</definedName>
    <definedName name="imp_total_gen_exp" localSheetId="47">[40]Roles!#REF!</definedName>
    <definedName name="imp_total_gen_exp" localSheetId="44">[40]Roles!#REF!</definedName>
    <definedName name="imp_total_gen_exp" localSheetId="45">[40]Roles!#REF!</definedName>
    <definedName name="imp_total_gen_exp" localSheetId="46">[40]Roles!#REF!</definedName>
    <definedName name="imp_total_gen_exp" localSheetId="37">[40]Roles!#REF!</definedName>
    <definedName name="imp_total_gen_exp" localSheetId="40">[40]Roles!#REF!</definedName>
    <definedName name="imp_total_gen_exp" localSheetId="54">[40]Roles!#REF!</definedName>
    <definedName name="imp_total_gen_exp" localSheetId="55">[40]Roles!#REF!</definedName>
    <definedName name="imp_total_gen_exp" localSheetId="52">[40]Roles!#REF!</definedName>
    <definedName name="imp_total_gen_exp" localSheetId="51">[40]Roles!#REF!</definedName>
    <definedName name="imp_total_gen_exp" localSheetId="53">[40]Roles!#REF!</definedName>
    <definedName name="imp_total_gen_exp">[40]Roles!#REF!</definedName>
    <definedName name="imp_total_gen_exp_1" localSheetId="50">[42]Roles!#REF!</definedName>
    <definedName name="imp_total_gen_exp_1" localSheetId="47">[42]Roles!#REF!</definedName>
    <definedName name="imp_total_gen_exp_1" localSheetId="44">[42]Roles!#REF!</definedName>
    <definedName name="imp_total_gen_exp_1" localSheetId="45">[42]Roles!#REF!</definedName>
    <definedName name="imp_total_gen_exp_1" localSheetId="46">[42]Roles!#REF!</definedName>
    <definedName name="imp_total_gen_exp_1" localSheetId="37">[42]Roles!#REF!</definedName>
    <definedName name="imp_total_gen_exp_1" localSheetId="40">[42]Roles!#REF!</definedName>
    <definedName name="imp_total_gen_exp_1" localSheetId="54">[42]Roles!#REF!</definedName>
    <definedName name="imp_total_gen_exp_1" localSheetId="55">[42]Roles!#REF!</definedName>
    <definedName name="imp_total_gen_exp_1" localSheetId="52">[42]Roles!#REF!</definedName>
    <definedName name="imp_total_gen_exp_1" localSheetId="51">[42]Roles!#REF!</definedName>
    <definedName name="imp_total_gen_exp_1" localSheetId="53">[42]Roles!#REF!</definedName>
    <definedName name="imp_total_gen_exp_1">[42]Roles!#REF!</definedName>
    <definedName name="imp_total_rg_loe_exp" localSheetId="50">[40]Roles!#REF!</definedName>
    <definedName name="imp_total_rg_loe_exp" localSheetId="47">[40]Roles!#REF!</definedName>
    <definedName name="imp_total_rg_loe_exp" localSheetId="44">[40]Roles!#REF!</definedName>
    <definedName name="imp_total_rg_loe_exp" localSheetId="45">[40]Roles!#REF!</definedName>
    <definedName name="imp_total_rg_loe_exp" localSheetId="46">[40]Roles!#REF!</definedName>
    <definedName name="imp_total_rg_loe_exp" localSheetId="37">[40]Roles!#REF!</definedName>
    <definedName name="imp_total_rg_loe_exp" localSheetId="40">[40]Roles!#REF!</definedName>
    <definedName name="imp_total_rg_loe_exp" localSheetId="54">[40]Roles!#REF!</definedName>
    <definedName name="imp_total_rg_loe_exp" localSheetId="55">[40]Roles!#REF!</definedName>
    <definedName name="imp_total_rg_loe_exp" localSheetId="52">[40]Roles!#REF!</definedName>
    <definedName name="imp_total_rg_loe_exp" localSheetId="51">[40]Roles!#REF!</definedName>
    <definedName name="imp_total_rg_loe_exp" localSheetId="53">[40]Roles!#REF!</definedName>
    <definedName name="imp_total_rg_loe_exp">[40]Roles!#REF!</definedName>
    <definedName name="imp_total_rg_loe_exp_1" localSheetId="50">[42]Roles!#REF!</definedName>
    <definedName name="imp_total_rg_loe_exp_1" localSheetId="47">[42]Roles!#REF!</definedName>
    <definedName name="imp_total_rg_loe_exp_1" localSheetId="44">[42]Roles!#REF!</definedName>
    <definedName name="imp_total_rg_loe_exp_1" localSheetId="45">[42]Roles!#REF!</definedName>
    <definedName name="imp_total_rg_loe_exp_1" localSheetId="46">[42]Roles!#REF!</definedName>
    <definedName name="imp_total_rg_loe_exp_1" localSheetId="37">[42]Roles!#REF!</definedName>
    <definedName name="imp_total_rg_loe_exp_1" localSheetId="40">[42]Roles!#REF!</definedName>
    <definedName name="imp_total_rg_loe_exp_1" localSheetId="54">[42]Roles!#REF!</definedName>
    <definedName name="imp_total_rg_loe_exp_1" localSheetId="55">[42]Roles!#REF!</definedName>
    <definedName name="imp_total_rg_loe_exp_1" localSheetId="52">[42]Roles!#REF!</definedName>
    <definedName name="imp_total_rg_loe_exp_1" localSheetId="51">[42]Roles!#REF!</definedName>
    <definedName name="imp_total_rg_loe_exp_1" localSheetId="53">[42]Roles!#REF!</definedName>
    <definedName name="imp_total_rg_loe_exp_1">[42]Roles!#REF!</definedName>
    <definedName name="imp_total_rg_loe_exp_nogen" localSheetId="50">[40]Roles!#REF!</definedName>
    <definedName name="imp_total_rg_loe_exp_nogen" localSheetId="47">[40]Roles!#REF!</definedName>
    <definedName name="imp_total_rg_loe_exp_nogen" localSheetId="44">[40]Roles!#REF!</definedName>
    <definedName name="imp_total_rg_loe_exp_nogen" localSheetId="45">[40]Roles!#REF!</definedName>
    <definedName name="imp_total_rg_loe_exp_nogen" localSheetId="46">[40]Roles!#REF!</definedName>
    <definedName name="imp_total_rg_loe_exp_nogen" localSheetId="37">[40]Roles!#REF!</definedName>
    <definedName name="imp_total_rg_loe_exp_nogen" localSheetId="40">[40]Roles!#REF!</definedName>
    <definedName name="imp_total_rg_loe_exp_nogen" localSheetId="54">[40]Roles!#REF!</definedName>
    <definedName name="imp_total_rg_loe_exp_nogen" localSheetId="55">[40]Roles!#REF!</definedName>
    <definedName name="imp_total_rg_loe_exp_nogen" localSheetId="52">[40]Roles!#REF!</definedName>
    <definedName name="imp_total_rg_loe_exp_nogen" localSheetId="51">[40]Roles!#REF!</definedName>
    <definedName name="imp_total_rg_loe_exp_nogen" localSheetId="53">[40]Roles!#REF!</definedName>
    <definedName name="imp_total_rg_loe_exp_nogen">[40]Roles!#REF!</definedName>
    <definedName name="imp_total_rg_loe_exp_nogen_1" localSheetId="50">[42]Roles!#REF!</definedName>
    <definedName name="imp_total_rg_loe_exp_nogen_1" localSheetId="47">[42]Roles!#REF!</definedName>
    <definedName name="imp_total_rg_loe_exp_nogen_1" localSheetId="44">[42]Roles!#REF!</definedName>
    <definedName name="imp_total_rg_loe_exp_nogen_1" localSheetId="45">[42]Roles!#REF!</definedName>
    <definedName name="imp_total_rg_loe_exp_nogen_1" localSheetId="46">[42]Roles!#REF!</definedName>
    <definedName name="imp_total_rg_loe_exp_nogen_1" localSheetId="37">[42]Roles!#REF!</definedName>
    <definedName name="imp_total_rg_loe_exp_nogen_1" localSheetId="40">[42]Roles!#REF!</definedName>
    <definedName name="imp_total_rg_loe_exp_nogen_1" localSheetId="54">[42]Roles!#REF!</definedName>
    <definedName name="imp_total_rg_loe_exp_nogen_1" localSheetId="55">[42]Roles!#REF!</definedName>
    <definedName name="imp_total_rg_loe_exp_nogen_1" localSheetId="52">[42]Roles!#REF!</definedName>
    <definedName name="imp_total_rg_loe_exp_nogen_1" localSheetId="51">[42]Roles!#REF!</definedName>
    <definedName name="imp_total_rg_loe_exp_nogen_1" localSheetId="53">[42]Roles!#REF!</definedName>
    <definedName name="imp_total_rg_loe_exp_nogen_1">[42]Roles!#REF!</definedName>
    <definedName name="imp_total_team_exp" localSheetId="50">[40]Roles!#REF!</definedName>
    <definedName name="imp_total_team_exp" localSheetId="47">[40]Roles!#REF!</definedName>
    <definedName name="imp_total_team_exp" localSheetId="44">[40]Roles!#REF!</definedName>
    <definedName name="imp_total_team_exp" localSheetId="45">[40]Roles!#REF!</definedName>
    <definedName name="imp_total_team_exp" localSheetId="46">[40]Roles!#REF!</definedName>
    <definedName name="imp_total_team_exp" localSheetId="37">[40]Roles!#REF!</definedName>
    <definedName name="imp_total_team_exp" localSheetId="40">[40]Roles!#REF!</definedName>
    <definedName name="imp_total_team_exp" localSheetId="54">[40]Roles!#REF!</definedName>
    <definedName name="imp_total_team_exp" localSheetId="55">[40]Roles!#REF!</definedName>
    <definedName name="imp_total_team_exp" localSheetId="52">[40]Roles!#REF!</definedName>
    <definedName name="imp_total_team_exp" localSheetId="51">[40]Roles!#REF!</definedName>
    <definedName name="imp_total_team_exp" localSheetId="53">[40]Roles!#REF!</definedName>
    <definedName name="imp_total_team_exp">[40]Roles!#REF!</definedName>
    <definedName name="imp_total_team_exp_1" localSheetId="50">[42]Roles!#REF!</definedName>
    <definedName name="imp_total_team_exp_1" localSheetId="47">[42]Roles!#REF!</definedName>
    <definedName name="imp_total_team_exp_1" localSheetId="44">[42]Roles!#REF!</definedName>
    <definedName name="imp_total_team_exp_1" localSheetId="45">[42]Roles!#REF!</definedName>
    <definedName name="imp_total_team_exp_1" localSheetId="46">[42]Roles!#REF!</definedName>
    <definedName name="imp_total_team_exp_1" localSheetId="37">[42]Roles!#REF!</definedName>
    <definedName name="imp_total_team_exp_1" localSheetId="40">[42]Roles!#REF!</definedName>
    <definedName name="imp_total_team_exp_1" localSheetId="54">[42]Roles!#REF!</definedName>
    <definedName name="imp_total_team_exp_1" localSheetId="55">[42]Roles!#REF!</definedName>
    <definedName name="imp_total_team_exp_1" localSheetId="52">[42]Roles!#REF!</definedName>
    <definedName name="imp_total_team_exp_1" localSheetId="51">[42]Roles!#REF!</definedName>
    <definedName name="imp_total_team_exp_1" localSheetId="53">[42]Roles!#REF!</definedName>
    <definedName name="imp_total_team_exp_1">[42]Roles!#REF!</definedName>
    <definedName name="Impact" localSheetId="50">#REF!</definedName>
    <definedName name="Impact" localSheetId="47">#REF!</definedName>
    <definedName name="Impact" localSheetId="44">#REF!</definedName>
    <definedName name="Impact" localSheetId="45">#REF!</definedName>
    <definedName name="Impact" localSheetId="46">#REF!</definedName>
    <definedName name="Impact" localSheetId="37">#REF!</definedName>
    <definedName name="Impact" localSheetId="40">#REF!</definedName>
    <definedName name="Impact" localSheetId="54">#REF!</definedName>
    <definedName name="Impact" localSheetId="55">#REF!</definedName>
    <definedName name="Impact" localSheetId="52">#REF!</definedName>
    <definedName name="Impact" localSheetId="51">#REF!</definedName>
    <definedName name="Impact" localSheetId="53">#REF!</definedName>
    <definedName name="Impact">#REF!</definedName>
    <definedName name="Impact2">'[101]Data Sources'!$C$2:$C$5</definedName>
    <definedName name="ImpactCodes" localSheetId="50">#REF!</definedName>
    <definedName name="ImpactCodes" localSheetId="47">#REF!</definedName>
    <definedName name="ImpactCodes" localSheetId="44">#REF!</definedName>
    <definedName name="ImpactCodes" localSheetId="45">#REF!</definedName>
    <definedName name="ImpactCodes" localSheetId="46">#REF!</definedName>
    <definedName name="ImpactCodes" localSheetId="37">#REF!</definedName>
    <definedName name="ImpactCodes" localSheetId="40">#REF!</definedName>
    <definedName name="ImpactCodes" localSheetId="54">#REF!</definedName>
    <definedName name="ImpactCodes" localSheetId="55">#REF!</definedName>
    <definedName name="ImpactCodes" localSheetId="52">#REF!</definedName>
    <definedName name="ImpactCodes" localSheetId="51">#REF!</definedName>
    <definedName name="ImpactCodes" localSheetId="53">#REF!</definedName>
    <definedName name="ImpactCodes">#REF!</definedName>
    <definedName name="ImpactedDocuments1">[102]Data!$B$1:$B$12</definedName>
    <definedName name="ImpactFrequency" localSheetId="50">#REF!</definedName>
    <definedName name="ImpactFrequency" localSheetId="47">#REF!</definedName>
    <definedName name="ImpactFrequency" localSheetId="44">#REF!</definedName>
    <definedName name="ImpactFrequency" localSheetId="45">#REF!</definedName>
    <definedName name="ImpactFrequency" localSheetId="46">#REF!</definedName>
    <definedName name="ImpactFrequency" localSheetId="37">#REF!</definedName>
    <definedName name="ImpactFrequency" localSheetId="40">#REF!</definedName>
    <definedName name="ImpactFrequency" localSheetId="54">#REF!</definedName>
    <definedName name="ImpactFrequency" localSheetId="55">#REF!</definedName>
    <definedName name="ImpactFrequency" localSheetId="52">#REF!</definedName>
    <definedName name="ImpactFrequency" localSheetId="51">#REF!</definedName>
    <definedName name="ImpactFrequency" localSheetId="53">#REF!</definedName>
    <definedName name="ImpactFrequency">#REF!</definedName>
    <definedName name="ImpactLabels" localSheetId="50">#REF!</definedName>
    <definedName name="ImpactLabels" localSheetId="47">#REF!</definedName>
    <definedName name="ImpactLabels" localSheetId="44">#REF!</definedName>
    <definedName name="ImpactLabels" localSheetId="45">#REF!</definedName>
    <definedName name="ImpactLabels" localSheetId="46">#REF!</definedName>
    <definedName name="ImpactLabels" localSheetId="37">#REF!</definedName>
    <definedName name="ImpactLabels" localSheetId="40">#REF!</definedName>
    <definedName name="ImpactLabels" localSheetId="54">#REF!</definedName>
    <definedName name="ImpactLabels" localSheetId="55">#REF!</definedName>
    <definedName name="ImpactLabels" localSheetId="52">#REF!</definedName>
    <definedName name="ImpactLabels" localSheetId="51">#REF!</definedName>
    <definedName name="ImpactLabels" localSheetId="53">#REF!</definedName>
    <definedName name="ImpactLabels">#REF!</definedName>
    <definedName name="ImpactPotential" localSheetId="50">#REF!</definedName>
    <definedName name="ImpactPotential" localSheetId="47">#REF!</definedName>
    <definedName name="ImpactPotential" localSheetId="44">#REF!</definedName>
    <definedName name="ImpactPotential" localSheetId="45">#REF!</definedName>
    <definedName name="ImpactPotential" localSheetId="46">#REF!</definedName>
    <definedName name="ImpactPotential" localSheetId="37">#REF!</definedName>
    <definedName name="ImpactPotential" localSheetId="40">#REF!</definedName>
    <definedName name="ImpactPotential" localSheetId="54">#REF!</definedName>
    <definedName name="ImpactPotential" localSheetId="55">#REF!</definedName>
    <definedName name="ImpactPotential" localSheetId="52">#REF!</definedName>
    <definedName name="ImpactPotential" localSheetId="51">#REF!</definedName>
    <definedName name="ImpactPotential" localSheetId="53">#REF!</definedName>
    <definedName name="ImpactPotential">#REF!</definedName>
    <definedName name="ImpactValues" localSheetId="50">#REF!</definedName>
    <definedName name="ImpactValues" localSheetId="47">#REF!</definedName>
    <definedName name="ImpactValues" localSheetId="44">#REF!</definedName>
    <definedName name="ImpactValues" localSheetId="45">#REF!</definedName>
    <definedName name="ImpactValues" localSheetId="46">#REF!</definedName>
    <definedName name="ImpactValues" localSheetId="37">#REF!</definedName>
    <definedName name="ImpactValues" localSheetId="40">#REF!</definedName>
    <definedName name="ImpactValues" localSheetId="54">#REF!</definedName>
    <definedName name="ImpactValues" localSheetId="55">#REF!</definedName>
    <definedName name="ImpactValues" localSheetId="52">#REF!</definedName>
    <definedName name="ImpactValues" localSheetId="51">#REF!</definedName>
    <definedName name="ImpactValues" localSheetId="53">#REF!</definedName>
    <definedName name="ImpactValues">#REF!</definedName>
    <definedName name="Importance" localSheetId="50">#REF!</definedName>
    <definedName name="Importance" localSheetId="47">#REF!</definedName>
    <definedName name="Importance" localSheetId="44">#REF!</definedName>
    <definedName name="Importance" localSheetId="45">#REF!</definedName>
    <definedName name="Importance" localSheetId="46">#REF!</definedName>
    <definedName name="Importance" localSheetId="37">#REF!</definedName>
    <definedName name="Importance" localSheetId="40">#REF!</definedName>
    <definedName name="Importance" localSheetId="54">#REF!</definedName>
    <definedName name="Importance" localSheetId="55">#REF!</definedName>
    <definedName name="Importance" localSheetId="52">#REF!</definedName>
    <definedName name="Importance" localSheetId="51">#REF!</definedName>
    <definedName name="Importance" localSheetId="53">#REF!</definedName>
    <definedName name="Importance">#REF!</definedName>
    <definedName name="ImportLevel">[103]Sheet1!$N$71:$N$74</definedName>
    <definedName name="IMPRESION" localSheetId="34">#REF!</definedName>
    <definedName name="IMPRESION" localSheetId="35">#REF!</definedName>
    <definedName name="IMPRESION" localSheetId="50">#REF!</definedName>
    <definedName name="IMPRESION" localSheetId="15">#REF!</definedName>
    <definedName name="IMPRESION" localSheetId="29">#REF!</definedName>
    <definedName name="IMPRESION" localSheetId="30">#REF!</definedName>
    <definedName name="IMPRESION" localSheetId="47">#REF!</definedName>
    <definedName name="IMPRESION" localSheetId="44">#REF!</definedName>
    <definedName name="IMPRESION" localSheetId="45">#REF!</definedName>
    <definedName name="IMPRESION" localSheetId="46">#REF!</definedName>
    <definedName name="IMPRESION" localSheetId="31">#REF!</definedName>
    <definedName name="IMPRESION" localSheetId="32">#REF!</definedName>
    <definedName name="IMPRESION" localSheetId="33">#REF!</definedName>
    <definedName name="IMPRESION" localSheetId="36">#REF!</definedName>
    <definedName name="IMPRESION" localSheetId="37">#REF!</definedName>
    <definedName name="IMPRESION" localSheetId="38">#REF!</definedName>
    <definedName name="IMPRESION" localSheetId="39">#REF!</definedName>
    <definedName name="IMPRESION" localSheetId="40">#REF!</definedName>
    <definedName name="IMPRESION" localSheetId="54">#REF!</definedName>
    <definedName name="IMPRESION" localSheetId="55">#REF!</definedName>
    <definedName name="IMPRESION" localSheetId="52">#REF!</definedName>
    <definedName name="IMPRESION" localSheetId="23">#REF!</definedName>
    <definedName name="IMPRESION" localSheetId="51">#REF!</definedName>
    <definedName name="IMPRESION" localSheetId="53">#REF!</definedName>
    <definedName name="IMPRESION" localSheetId="20">#REF!</definedName>
    <definedName name="IMPRESION">#REF!</definedName>
    <definedName name="imprima" localSheetId="34">#REF!</definedName>
    <definedName name="imprima" localSheetId="35">#REF!</definedName>
    <definedName name="imprima" localSheetId="50">#REF!</definedName>
    <definedName name="imprima" localSheetId="15">#REF!</definedName>
    <definedName name="imprima" localSheetId="29">#REF!</definedName>
    <definedName name="imprima" localSheetId="30">#REF!</definedName>
    <definedName name="imprima" localSheetId="47">#REF!</definedName>
    <definedName name="imprima" localSheetId="44">#REF!</definedName>
    <definedName name="imprima" localSheetId="45">#REF!</definedName>
    <definedName name="imprima" localSheetId="46">#REF!</definedName>
    <definedName name="imprima" localSheetId="31">#REF!</definedName>
    <definedName name="imprima" localSheetId="32">#REF!</definedName>
    <definedName name="imprima" localSheetId="33">#REF!</definedName>
    <definedName name="imprima" localSheetId="36">#REF!</definedName>
    <definedName name="imprima" localSheetId="37">#REF!</definedName>
    <definedName name="imprima" localSheetId="38">#REF!</definedName>
    <definedName name="imprima" localSheetId="39">#REF!</definedName>
    <definedName name="imprima" localSheetId="40">#REF!</definedName>
    <definedName name="imprima" localSheetId="54">#REF!</definedName>
    <definedName name="imprima" localSheetId="55">#REF!</definedName>
    <definedName name="imprima" localSheetId="52">#REF!</definedName>
    <definedName name="imprima" localSheetId="23">#REF!</definedName>
    <definedName name="imprima" localSheetId="51">#REF!</definedName>
    <definedName name="imprima" localSheetId="53">#REF!</definedName>
    <definedName name="imprima" localSheetId="20">#REF!</definedName>
    <definedName name="imprima">#REF!</definedName>
    <definedName name="Imprimir_área_IM" localSheetId="34">#REF!</definedName>
    <definedName name="Imprimir_área_IM" localSheetId="35">#REF!</definedName>
    <definedName name="Imprimir_área_IM" localSheetId="50">#REF!</definedName>
    <definedName name="Imprimir_área_IM" localSheetId="15">#REF!</definedName>
    <definedName name="Imprimir_área_IM" localSheetId="29">#REF!</definedName>
    <definedName name="Imprimir_área_IM" localSheetId="30">#REF!</definedName>
    <definedName name="Imprimir_área_IM" localSheetId="47">#REF!</definedName>
    <definedName name="Imprimir_área_IM" localSheetId="44">#REF!</definedName>
    <definedName name="Imprimir_área_IM" localSheetId="45">#REF!</definedName>
    <definedName name="Imprimir_área_IM" localSheetId="46">#REF!</definedName>
    <definedName name="Imprimir_área_IM" localSheetId="31">#REF!</definedName>
    <definedName name="Imprimir_área_IM" localSheetId="32">#REF!</definedName>
    <definedName name="Imprimir_área_IM" localSheetId="33">#REF!</definedName>
    <definedName name="Imprimir_área_IM" localSheetId="36">#REF!</definedName>
    <definedName name="Imprimir_área_IM" localSheetId="37">#REF!</definedName>
    <definedName name="Imprimir_área_IM" localSheetId="38">#REF!</definedName>
    <definedName name="Imprimir_área_IM" localSheetId="39">#REF!</definedName>
    <definedName name="Imprimir_área_IM" localSheetId="40">#REF!</definedName>
    <definedName name="Imprimir_área_IM" localSheetId="54">#REF!</definedName>
    <definedName name="Imprimir_área_IM" localSheetId="55">#REF!</definedName>
    <definedName name="Imprimir_área_IM" localSheetId="52">#REF!</definedName>
    <definedName name="Imprimir_área_IM" localSheetId="23">#REF!</definedName>
    <definedName name="Imprimir_área_IM" localSheetId="51">#REF!</definedName>
    <definedName name="Imprimir_área_IM" localSheetId="53">#REF!</definedName>
    <definedName name="Imprimir_área_IM" localSheetId="20">#REF!</definedName>
    <definedName name="Imprimir_área_IM">#REF!</definedName>
    <definedName name="inadaw" localSheetId="50">#REF!</definedName>
    <definedName name="inadaw" localSheetId="47">#REF!</definedName>
    <definedName name="inadaw" localSheetId="44">#REF!</definedName>
    <definedName name="inadaw" localSheetId="45">#REF!</definedName>
    <definedName name="inadaw" localSheetId="46">#REF!</definedName>
    <definedName name="inadaw" localSheetId="37">#REF!</definedName>
    <definedName name="inadaw" localSheetId="40">#REF!</definedName>
    <definedName name="inadaw" localSheetId="54">#REF!</definedName>
    <definedName name="inadaw" localSheetId="55">#REF!</definedName>
    <definedName name="inadaw" localSheetId="52">#REF!</definedName>
    <definedName name="inadaw" localSheetId="51">#REF!</definedName>
    <definedName name="inadaw" localSheetId="53">#REF!</definedName>
    <definedName name="inadaw">#REF!</definedName>
    <definedName name="ind" localSheetId="34">#REF!</definedName>
    <definedName name="ind" localSheetId="35">#REF!</definedName>
    <definedName name="ind" localSheetId="50">#REF!</definedName>
    <definedName name="ind" localSheetId="15">#REF!</definedName>
    <definedName name="ind" localSheetId="29">#REF!</definedName>
    <definedName name="ind" localSheetId="30">#REF!</definedName>
    <definedName name="ind" localSheetId="47">#REF!</definedName>
    <definedName name="ind" localSheetId="44">#REF!</definedName>
    <definedName name="ind" localSheetId="45">#REF!</definedName>
    <definedName name="ind" localSheetId="46">#REF!</definedName>
    <definedName name="ind" localSheetId="31">#REF!</definedName>
    <definedName name="ind" localSheetId="32">#REF!</definedName>
    <definedName name="ind" localSheetId="33">#REF!</definedName>
    <definedName name="ind" localSheetId="36">#REF!</definedName>
    <definedName name="ind" localSheetId="37">#REF!</definedName>
    <definedName name="ind" localSheetId="38">#REF!</definedName>
    <definedName name="ind" localSheetId="39">#REF!</definedName>
    <definedName name="ind" localSheetId="40">#REF!</definedName>
    <definedName name="ind" localSheetId="54">#REF!</definedName>
    <definedName name="ind" localSheetId="55">#REF!</definedName>
    <definedName name="ind" localSheetId="52">#REF!</definedName>
    <definedName name="ind" localSheetId="23">#REF!</definedName>
    <definedName name="ind" localSheetId="51">#REF!</definedName>
    <definedName name="ind" localSheetId="53">#REF!</definedName>
    <definedName name="ind" localSheetId="20">#REF!</definedName>
    <definedName name="ind">#REF!</definedName>
    <definedName name="India_Bill_Category">[41]Roles!$D$3:$D$4</definedName>
    <definedName name="India_Metro">[41]Roles!$C$2:$C$4</definedName>
    <definedName name="INDICE" localSheetId="34">[27]Programa!#REF!</definedName>
    <definedName name="INDICE" localSheetId="35">[27]Programa!#REF!</definedName>
    <definedName name="INDICE" localSheetId="50">[27]Programa!#REF!</definedName>
    <definedName name="INDICE" localSheetId="15">[27]Programa!#REF!</definedName>
    <definedName name="INDICE" localSheetId="29">[27]Programa!#REF!</definedName>
    <definedName name="INDICE" localSheetId="30">[27]Programa!#REF!</definedName>
    <definedName name="INDICE" localSheetId="47">[27]Programa!#REF!</definedName>
    <definedName name="INDICE" localSheetId="44">[27]Programa!#REF!</definedName>
    <definedName name="INDICE" localSheetId="45">[27]Programa!#REF!</definedName>
    <definedName name="INDICE" localSheetId="46">[27]Programa!#REF!</definedName>
    <definedName name="INDICE" localSheetId="31">[27]Programa!#REF!</definedName>
    <definedName name="INDICE" localSheetId="32">[27]Programa!#REF!</definedName>
    <definedName name="INDICE" localSheetId="33">[27]Programa!#REF!</definedName>
    <definedName name="INDICE" localSheetId="36">[27]Programa!#REF!</definedName>
    <definedName name="INDICE" localSheetId="37">[27]Programa!#REF!</definedName>
    <definedName name="INDICE" localSheetId="38">[27]Programa!#REF!</definedName>
    <definedName name="INDICE" localSheetId="39">[27]Programa!#REF!</definedName>
    <definedName name="INDICE" localSheetId="40">[27]Programa!#REF!</definedName>
    <definedName name="INDICE" localSheetId="54">[27]Programa!#REF!</definedName>
    <definedName name="INDICE" localSheetId="55">[27]Programa!#REF!</definedName>
    <definedName name="INDICE" localSheetId="52">[27]Programa!#REF!</definedName>
    <definedName name="INDICE" localSheetId="23">[27]Programa!#REF!</definedName>
    <definedName name="INDICE" localSheetId="51">[27]Programa!#REF!</definedName>
    <definedName name="INDICE" localSheetId="53">[27]Programa!#REF!</definedName>
    <definedName name="INDICE" localSheetId="20">[27]Programa!#REF!</definedName>
    <definedName name="INDICE">[27]Programa!#REF!</definedName>
    <definedName name="Industry_Abbrv">'[55]Header Info'!$A$2</definedName>
    <definedName name="INE" localSheetId="34">#REF!</definedName>
    <definedName name="INE" localSheetId="35">#REF!</definedName>
    <definedName name="INE" localSheetId="50">#REF!</definedName>
    <definedName name="INE" localSheetId="15">#REF!</definedName>
    <definedName name="INE" localSheetId="29">#REF!</definedName>
    <definedName name="INE" localSheetId="30">#REF!</definedName>
    <definedName name="INE" localSheetId="47">#REF!</definedName>
    <definedName name="INE" localSheetId="44">#REF!</definedName>
    <definedName name="INE" localSheetId="45">#REF!</definedName>
    <definedName name="INE" localSheetId="46">#REF!</definedName>
    <definedName name="INE" localSheetId="31">#REF!</definedName>
    <definedName name="INE" localSheetId="32">#REF!</definedName>
    <definedName name="INE" localSheetId="33">#REF!</definedName>
    <definedName name="INE" localSheetId="36">#REF!</definedName>
    <definedName name="INE" localSheetId="37">#REF!</definedName>
    <definedName name="INE" localSheetId="38">#REF!</definedName>
    <definedName name="INE" localSheetId="39">#REF!</definedName>
    <definedName name="INE" localSheetId="40">#REF!</definedName>
    <definedName name="INE" localSheetId="54">#REF!</definedName>
    <definedName name="INE" localSheetId="55">#REF!</definedName>
    <definedName name="INE" localSheetId="52">#REF!</definedName>
    <definedName name="INE" localSheetId="23">#REF!</definedName>
    <definedName name="INE" localSheetId="51">#REF!</definedName>
    <definedName name="INE" localSheetId="53">#REF!</definedName>
    <definedName name="INE" localSheetId="20">#REF!</definedName>
    <definedName name="INE">#REF!</definedName>
    <definedName name="INECEL" localSheetId="34">#REF!</definedName>
    <definedName name="INECEL" localSheetId="35">#REF!</definedName>
    <definedName name="INECEL" localSheetId="50">#REF!</definedName>
    <definedName name="INECEL" localSheetId="15">#REF!</definedName>
    <definedName name="INECEL" localSheetId="29">#REF!</definedName>
    <definedName name="INECEL" localSheetId="30">#REF!</definedName>
    <definedName name="INECEL" localSheetId="47">#REF!</definedName>
    <definedName name="INECEL" localSheetId="44">#REF!</definedName>
    <definedName name="INECEL" localSheetId="45">#REF!</definedName>
    <definedName name="INECEL" localSheetId="46">#REF!</definedName>
    <definedName name="INECEL" localSheetId="31">#REF!</definedName>
    <definedName name="INECEL" localSheetId="32">#REF!</definedName>
    <definedName name="INECEL" localSheetId="33">#REF!</definedName>
    <definedName name="INECEL" localSheetId="36">#REF!</definedName>
    <definedName name="INECEL" localSheetId="37">#REF!</definedName>
    <definedName name="INECEL" localSheetId="38">#REF!</definedName>
    <definedName name="INECEL" localSheetId="39">#REF!</definedName>
    <definedName name="INECEL" localSheetId="40">#REF!</definedName>
    <definedName name="INECEL" localSheetId="54">#REF!</definedName>
    <definedName name="INECEL" localSheetId="55">#REF!</definedName>
    <definedName name="INECEL" localSheetId="52">#REF!</definedName>
    <definedName name="INECEL" localSheetId="23">#REF!</definedName>
    <definedName name="INECEL" localSheetId="51">#REF!</definedName>
    <definedName name="INECEL" localSheetId="53">#REF!</definedName>
    <definedName name="INECEL" localSheetId="20">#REF!</definedName>
    <definedName name="INECEL">#REF!</definedName>
    <definedName name="INF">[65]SUPUESTOS!A$21</definedName>
    <definedName name="infcom" localSheetId="34">#REF!</definedName>
    <definedName name="infcom" localSheetId="35">#REF!</definedName>
    <definedName name="infcom" localSheetId="50">#REF!</definedName>
    <definedName name="infcom" localSheetId="15">#REF!</definedName>
    <definedName name="infcom" localSheetId="29">#REF!</definedName>
    <definedName name="infcom" localSheetId="30">#REF!</definedName>
    <definedName name="infcom" localSheetId="47">#REF!</definedName>
    <definedName name="infcom" localSheetId="44">#REF!</definedName>
    <definedName name="infcom" localSheetId="45">#REF!</definedName>
    <definedName name="infcom" localSheetId="46">#REF!</definedName>
    <definedName name="infcom" localSheetId="31">#REF!</definedName>
    <definedName name="infcom" localSheetId="32">#REF!</definedName>
    <definedName name="infcom" localSheetId="33">#REF!</definedName>
    <definedName name="infcom" localSheetId="36">#REF!</definedName>
    <definedName name="infcom" localSheetId="37">#REF!</definedName>
    <definedName name="infcom" localSheetId="38">#REF!</definedName>
    <definedName name="infcom" localSheetId="39">#REF!</definedName>
    <definedName name="infcom" localSheetId="40">#REF!</definedName>
    <definedName name="infcom" localSheetId="54">#REF!</definedName>
    <definedName name="infcom" localSheetId="55">#REF!</definedName>
    <definedName name="infcom" localSheetId="52">#REF!</definedName>
    <definedName name="infcom" localSheetId="23">#REF!</definedName>
    <definedName name="infcom" localSheetId="51">#REF!</definedName>
    <definedName name="infcom" localSheetId="53">#REF!</definedName>
    <definedName name="infcom" localSheetId="20">#REF!</definedName>
    <definedName name="infcom">#REF!</definedName>
    <definedName name="infest" localSheetId="34">#REF!</definedName>
    <definedName name="infest" localSheetId="35">#REF!</definedName>
    <definedName name="infest" localSheetId="50">#REF!</definedName>
    <definedName name="infest" localSheetId="15">#REF!</definedName>
    <definedName name="infest" localSheetId="29">#REF!</definedName>
    <definedName name="infest" localSheetId="30">#REF!</definedName>
    <definedName name="infest" localSheetId="47">#REF!</definedName>
    <definedName name="infest" localSheetId="44">#REF!</definedName>
    <definedName name="infest" localSheetId="45">#REF!</definedName>
    <definedName name="infest" localSheetId="46">#REF!</definedName>
    <definedName name="infest" localSheetId="31">#REF!</definedName>
    <definedName name="infest" localSheetId="32">#REF!</definedName>
    <definedName name="infest" localSheetId="33">#REF!</definedName>
    <definedName name="infest" localSheetId="36">#REF!</definedName>
    <definedName name="infest" localSheetId="37">#REF!</definedName>
    <definedName name="infest" localSheetId="38">#REF!</definedName>
    <definedName name="infest" localSheetId="39">#REF!</definedName>
    <definedName name="infest" localSheetId="40">#REF!</definedName>
    <definedName name="infest" localSheetId="54">#REF!</definedName>
    <definedName name="infest" localSheetId="55">#REF!</definedName>
    <definedName name="infest" localSheetId="52">#REF!</definedName>
    <definedName name="infest" localSheetId="23">#REF!</definedName>
    <definedName name="infest" localSheetId="51">#REF!</definedName>
    <definedName name="infest" localSheetId="53">#REF!</definedName>
    <definedName name="infest" localSheetId="20">#REF!</definedName>
    <definedName name="infest">#REF!</definedName>
    <definedName name="infobs" localSheetId="34">#REF!</definedName>
    <definedName name="infobs" localSheetId="35">#REF!</definedName>
    <definedName name="infobs" localSheetId="50">#REF!</definedName>
    <definedName name="infobs" localSheetId="15">#REF!</definedName>
    <definedName name="infobs" localSheetId="29">#REF!</definedName>
    <definedName name="infobs" localSheetId="30">#REF!</definedName>
    <definedName name="infobs" localSheetId="47">#REF!</definedName>
    <definedName name="infobs" localSheetId="44">#REF!</definedName>
    <definedName name="infobs" localSheetId="45">#REF!</definedName>
    <definedName name="infobs" localSheetId="46">#REF!</definedName>
    <definedName name="infobs" localSheetId="31">#REF!</definedName>
    <definedName name="infobs" localSheetId="32">#REF!</definedName>
    <definedName name="infobs" localSheetId="33">#REF!</definedName>
    <definedName name="infobs" localSheetId="36">#REF!</definedName>
    <definedName name="infobs" localSheetId="37">#REF!</definedName>
    <definedName name="infobs" localSheetId="38">#REF!</definedName>
    <definedName name="infobs" localSheetId="39">#REF!</definedName>
    <definedName name="infobs" localSheetId="40">#REF!</definedName>
    <definedName name="infobs" localSheetId="54">#REF!</definedName>
    <definedName name="infobs" localSheetId="55">#REF!</definedName>
    <definedName name="infobs" localSheetId="52">#REF!</definedName>
    <definedName name="infobs" localSheetId="23">#REF!</definedName>
    <definedName name="infobs" localSheetId="51">#REF!</definedName>
    <definedName name="infobs" localSheetId="53">#REF!</definedName>
    <definedName name="infobs" localSheetId="20">#REF!</definedName>
    <definedName name="infobs">#REF!</definedName>
    <definedName name="Ingram" localSheetId="50">#REF!</definedName>
    <definedName name="Ingram" localSheetId="47">#REF!</definedName>
    <definedName name="Ingram" localSheetId="44">#REF!</definedName>
    <definedName name="Ingram" localSheetId="45">#REF!</definedName>
    <definedName name="Ingram" localSheetId="46">#REF!</definedName>
    <definedName name="Ingram" localSheetId="37">#REF!</definedName>
    <definedName name="Ingram" localSheetId="40">#REF!</definedName>
    <definedName name="Ingram" localSheetId="54">#REF!</definedName>
    <definedName name="Ingram" localSheetId="55">#REF!</definedName>
    <definedName name="Ingram" localSheetId="52">#REF!</definedName>
    <definedName name="Ingram" localSheetId="51">#REF!</definedName>
    <definedName name="Ingram" localSheetId="53">#REF!</definedName>
    <definedName name="Ingram">#REF!</definedName>
    <definedName name="INPUT_2" localSheetId="34">[28]Input!#REF!</definedName>
    <definedName name="INPUT_2" localSheetId="35">[28]Input!#REF!</definedName>
    <definedName name="INPUT_2" localSheetId="50">[29]Input!#REF!</definedName>
    <definedName name="INPUT_2" localSheetId="15">[28]Input!#REF!</definedName>
    <definedName name="INPUT_2" localSheetId="29">[28]Input!#REF!</definedName>
    <definedName name="INPUT_2" localSheetId="30">[28]Input!#REF!</definedName>
    <definedName name="INPUT_2" localSheetId="47">[28]Input!#REF!</definedName>
    <definedName name="INPUT_2" localSheetId="44">[29]Input!#REF!</definedName>
    <definedName name="INPUT_2" localSheetId="45">[28]Input!#REF!</definedName>
    <definedName name="INPUT_2" localSheetId="46">[28]Input!#REF!</definedName>
    <definedName name="INPUT_2" localSheetId="31">[28]Input!#REF!</definedName>
    <definedName name="INPUT_2" localSheetId="32">[28]Input!#REF!</definedName>
    <definedName name="INPUT_2" localSheetId="33">[28]Input!#REF!</definedName>
    <definedName name="INPUT_2" localSheetId="36">[28]Input!#REF!</definedName>
    <definedName name="INPUT_2" localSheetId="37">[28]Input!#REF!</definedName>
    <definedName name="INPUT_2" localSheetId="38">[28]Input!#REF!</definedName>
    <definedName name="INPUT_2" localSheetId="39">[28]Input!#REF!</definedName>
    <definedName name="INPUT_2" localSheetId="40">[28]Input!#REF!</definedName>
    <definedName name="INPUT_2" localSheetId="54">[29]Input!#REF!</definedName>
    <definedName name="INPUT_2" localSheetId="55">[28]Input!#REF!</definedName>
    <definedName name="INPUT_2" localSheetId="52">[29]Input!#REF!</definedName>
    <definedName name="INPUT_2" localSheetId="23">[28]Input!#REF!</definedName>
    <definedName name="INPUT_2" localSheetId="51">[29]Input!#REF!</definedName>
    <definedName name="INPUT_2" localSheetId="53">[29]Input!#REF!</definedName>
    <definedName name="INPUT_2" localSheetId="20">[28]Input!#REF!</definedName>
    <definedName name="INPUT_2">[28]Input!#REF!</definedName>
    <definedName name="INPUT_4" localSheetId="34">[28]Input!#REF!</definedName>
    <definedName name="INPUT_4" localSheetId="35">[28]Input!#REF!</definedName>
    <definedName name="INPUT_4" localSheetId="50">[29]Input!#REF!</definedName>
    <definedName name="INPUT_4" localSheetId="15">[28]Input!#REF!</definedName>
    <definedName name="INPUT_4" localSheetId="29">[28]Input!#REF!</definedName>
    <definedName name="INPUT_4" localSheetId="30">[28]Input!#REF!</definedName>
    <definedName name="INPUT_4" localSheetId="47">[28]Input!#REF!</definedName>
    <definedName name="INPUT_4" localSheetId="44">[29]Input!#REF!</definedName>
    <definedName name="INPUT_4" localSheetId="45">[28]Input!#REF!</definedName>
    <definedName name="INPUT_4" localSheetId="46">[28]Input!#REF!</definedName>
    <definedName name="INPUT_4" localSheetId="31">[28]Input!#REF!</definedName>
    <definedName name="INPUT_4" localSheetId="32">[28]Input!#REF!</definedName>
    <definedName name="INPUT_4" localSheetId="33">[28]Input!#REF!</definedName>
    <definedName name="INPUT_4" localSheetId="36">[28]Input!#REF!</definedName>
    <definedName name="INPUT_4" localSheetId="37">[28]Input!#REF!</definedName>
    <definedName name="INPUT_4" localSheetId="38">[28]Input!#REF!</definedName>
    <definedName name="INPUT_4" localSheetId="39">[28]Input!#REF!</definedName>
    <definedName name="INPUT_4" localSheetId="40">[28]Input!#REF!</definedName>
    <definedName name="INPUT_4" localSheetId="54">[29]Input!#REF!</definedName>
    <definedName name="INPUT_4" localSheetId="55">[28]Input!#REF!</definedName>
    <definedName name="INPUT_4" localSheetId="52">[29]Input!#REF!</definedName>
    <definedName name="INPUT_4" localSheetId="23">[28]Input!#REF!</definedName>
    <definedName name="INPUT_4" localSheetId="51">[29]Input!#REF!</definedName>
    <definedName name="INPUT_4" localSheetId="53">[29]Input!#REF!</definedName>
    <definedName name="INPUT_4" localSheetId="20">[28]Input!#REF!</definedName>
    <definedName name="INPUT_4">[28]Input!#REF!</definedName>
    <definedName name="INPUT10R" localSheetId="50">#REF!</definedName>
    <definedName name="INPUT10R" localSheetId="47">#REF!</definedName>
    <definedName name="INPUT10R" localSheetId="44">#REF!</definedName>
    <definedName name="INPUT10R" localSheetId="45">#REF!</definedName>
    <definedName name="INPUT10R" localSheetId="46">#REF!</definedName>
    <definedName name="INPUT10R" localSheetId="37">#REF!</definedName>
    <definedName name="INPUT10R" localSheetId="40">#REF!</definedName>
    <definedName name="INPUT10R" localSheetId="54">#REF!</definedName>
    <definedName name="INPUT10R" localSheetId="55">#REF!</definedName>
    <definedName name="INPUT10R" localSheetId="52">#REF!</definedName>
    <definedName name="INPUT10R" localSheetId="51">#REF!</definedName>
    <definedName name="INPUT10R" localSheetId="53">#REF!</definedName>
    <definedName name="INPUT10R">#REF!</definedName>
    <definedName name="INPUT20R" localSheetId="50">#REF!</definedName>
    <definedName name="INPUT20R" localSheetId="47">#REF!</definedName>
    <definedName name="INPUT20R" localSheetId="44">#REF!</definedName>
    <definedName name="INPUT20R" localSheetId="45">#REF!</definedName>
    <definedName name="INPUT20R" localSheetId="46">#REF!</definedName>
    <definedName name="INPUT20R" localSheetId="37">#REF!</definedName>
    <definedName name="INPUT20R" localSheetId="40">#REF!</definedName>
    <definedName name="INPUT20R" localSheetId="54">#REF!</definedName>
    <definedName name="INPUT20R" localSheetId="55">#REF!</definedName>
    <definedName name="INPUT20R" localSheetId="52">#REF!</definedName>
    <definedName name="INPUT20R" localSheetId="51">#REF!</definedName>
    <definedName name="INPUT20R" localSheetId="53">#REF!</definedName>
    <definedName name="INPUT20R">#REF!</definedName>
    <definedName name="INPUTIFNB" localSheetId="50">#REF!</definedName>
    <definedName name="INPUTIFNB" localSheetId="47">#REF!</definedName>
    <definedName name="INPUTIFNB" localSheetId="44">#REF!</definedName>
    <definedName name="INPUTIFNB" localSheetId="45">#REF!</definedName>
    <definedName name="INPUTIFNB" localSheetId="46">#REF!</definedName>
    <definedName name="INPUTIFNB" localSheetId="37">#REF!</definedName>
    <definedName name="INPUTIFNB" localSheetId="40">#REF!</definedName>
    <definedName name="INPUTIFNB" localSheetId="54">#REF!</definedName>
    <definedName name="INPUTIFNB" localSheetId="55">#REF!</definedName>
    <definedName name="INPUTIFNB" localSheetId="52">#REF!</definedName>
    <definedName name="INPUTIFNB" localSheetId="51">#REF!</definedName>
    <definedName name="INPUTIFNB" localSheetId="53">#REF!</definedName>
    <definedName name="INPUTIFNB">#REF!</definedName>
    <definedName name="INPUTOIB" localSheetId="50">#REF!</definedName>
    <definedName name="INPUTOIB" localSheetId="47">#REF!</definedName>
    <definedName name="INPUTOIB" localSheetId="44">#REF!</definedName>
    <definedName name="INPUTOIB" localSheetId="45">#REF!</definedName>
    <definedName name="INPUTOIB" localSheetId="46">#REF!</definedName>
    <definedName name="INPUTOIB" localSheetId="37">#REF!</definedName>
    <definedName name="INPUTOIB" localSheetId="40">#REF!</definedName>
    <definedName name="INPUTOIB" localSheetId="54">#REF!</definedName>
    <definedName name="INPUTOIB" localSheetId="55">#REF!</definedName>
    <definedName name="INPUTOIB" localSheetId="52">#REF!</definedName>
    <definedName name="INPUTOIB" localSheetId="51">#REF!</definedName>
    <definedName name="INPUTOIB" localSheetId="53">#REF!</definedName>
    <definedName name="INPUTOIB">#REF!</definedName>
    <definedName name="instr_wbs" localSheetId="50">[40]Help!#REF!</definedName>
    <definedName name="instr_wbs" localSheetId="47">[40]Help!#REF!</definedName>
    <definedName name="instr_wbs" localSheetId="44">[40]Help!#REF!</definedName>
    <definedName name="instr_wbs" localSheetId="45">[40]Help!#REF!</definedName>
    <definedName name="instr_wbs" localSheetId="46">[40]Help!#REF!</definedName>
    <definedName name="instr_wbs" localSheetId="37">[40]Help!#REF!</definedName>
    <definedName name="instr_wbs" localSheetId="40">[40]Help!#REF!</definedName>
    <definedName name="instr_wbs" localSheetId="54">[40]Help!#REF!</definedName>
    <definedName name="instr_wbs" localSheetId="55">[40]Help!#REF!</definedName>
    <definedName name="instr_wbs" localSheetId="52">[40]Help!#REF!</definedName>
    <definedName name="instr_wbs" localSheetId="51">[40]Help!#REF!</definedName>
    <definedName name="instr_wbs" localSheetId="53">[40]Help!#REF!</definedName>
    <definedName name="instr_wbs">[40]Help!#REF!</definedName>
    <definedName name="instr_wbs_1" localSheetId="50">[42]Help!#REF!</definedName>
    <definedName name="instr_wbs_1" localSheetId="47">[42]Help!#REF!</definedName>
    <definedName name="instr_wbs_1" localSheetId="44">[42]Help!#REF!</definedName>
    <definedName name="instr_wbs_1" localSheetId="45">[42]Help!#REF!</definedName>
    <definedName name="instr_wbs_1" localSheetId="46">[42]Help!#REF!</definedName>
    <definedName name="instr_wbs_1" localSheetId="37">[42]Help!#REF!</definedName>
    <definedName name="instr_wbs_1" localSheetId="40">[42]Help!#REF!</definedName>
    <definedName name="instr_wbs_1" localSheetId="54">[42]Help!#REF!</definedName>
    <definedName name="instr_wbs_1" localSheetId="55">[42]Help!#REF!</definedName>
    <definedName name="instr_wbs_1" localSheetId="52">[42]Help!#REF!</definedName>
    <definedName name="instr_wbs_1" localSheetId="51">[42]Help!#REF!</definedName>
    <definedName name="instr_wbs_1" localSheetId="53">[42]Help!#REF!</definedName>
    <definedName name="instr_wbs_1">[42]Help!#REF!</definedName>
    <definedName name="INTEGRATION_TEST_PERCENTAGE" localSheetId="50">#REF!</definedName>
    <definedName name="INTEGRATION_TEST_PERCENTAGE" localSheetId="47">#REF!</definedName>
    <definedName name="INTEGRATION_TEST_PERCENTAGE" localSheetId="44">#REF!</definedName>
    <definedName name="INTEGRATION_TEST_PERCENTAGE" localSheetId="45">#REF!</definedName>
    <definedName name="INTEGRATION_TEST_PERCENTAGE" localSheetId="46">#REF!</definedName>
    <definedName name="INTEGRATION_TEST_PERCENTAGE" localSheetId="37">#REF!</definedName>
    <definedName name="INTEGRATION_TEST_PERCENTAGE" localSheetId="40">#REF!</definedName>
    <definedName name="INTEGRATION_TEST_PERCENTAGE" localSheetId="54">#REF!</definedName>
    <definedName name="INTEGRATION_TEST_PERCENTAGE" localSheetId="55">#REF!</definedName>
    <definedName name="INTEGRATION_TEST_PERCENTAGE" localSheetId="52">#REF!</definedName>
    <definedName name="INTEGRATION_TEST_PERCENTAGE" localSheetId="51">#REF!</definedName>
    <definedName name="INTEGRATION_TEST_PERCENTAGE" localSheetId="53">#REF!</definedName>
    <definedName name="INTEGRATION_TEST_PERCENTAGE">#REF!</definedName>
    <definedName name="Interest_IDA">[78]NPV!$B$27</definedName>
    <definedName name="Interest_NC" localSheetId="50">[78]NPV!#REF!</definedName>
    <definedName name="Interest_NC" localSheetId="47">[78]NPV!#REF!</definedName>
    <definedName name="Interest_NC" localSheetId="44">[78]NPV!#REF!</definedName>
    <definedName name="Interest_NC" localSheetId="45">[78]NPV!#REF!</definedName>
    <definedName name="Interest_NC" localSheetId="46">[78]NPV!#REF!</definedName>
    <definedName name="Interest_NC" localSheetId="37">[78]NPV!#REF!</definedName>
    <definedName name="Interest_NC" localSheetId="40">[78]NPV!#REF!</definedName>
    <definedName name="Interest_NC" localSheetId="54">[78]NPV!#REF!</definedName>
    <definedName name="Interest_NC" localSheetId="55">[78]NPV!#REF!</definedName>
    <definedName name="Interest_NC" localSheetId="52">[78]NPV!#REF!</definedName>
    <definedName name="Interest_NC" localSheetId="51">[78]NPV!#REF!</definedName>
    <definedName name="Interest_NC" localSheetId="53">[78]NPV!#REF!</definedName>
    <definedName name="Interest_NC">[78]NPV!#REF!</definedName>
    <definedName name="InterestRate" localSheetId="50">#REF!</definedName>
    <definedName name="InterestRate" localSheetId="47">#REF!</definedName>
    <definedName name="InterestRate" localSheetId="44">#REF!</definedName>
    <definedName name="InterestRate" localSheetId="45">#REF!</definedName>
    <definedName name="InterestRate" localSheetId="46">#REF!</definedName>
    <definedName name="InterestRate" localSheetId="37">#REF!</definedName>
    <definedName name="InterestRate" localSheetId="40">#REF!</definedName>
    <definedName name="InterestRate" localSheetId="54">#REF!</definedName>
    <definedName name="InterestRate" localSheetId="55">#REF!</definedName>
    <definedName name="InterestRate" localSheetId="52">#REF!</definedName>
    <definedName name="InterestRate" localSheetId="51">#REF!</definedName>
    <definedName name="InterestRate" localSheetId="53">#REF!</definedName>
    <definedName name="InterestRate">#REF!</definedName>
    <definedName name="InterviewType">[103]Sheet1!$P$71:$P$72</definedName>
    <definedName name="InventoryVisibility" localSheetId="50">#REF!</definedName>
    <definedName name="InventoryVisibility" localSheetId="47">#REF!</definedName>
    <definedName name="InventoryVisibility" localSheetId="44">#REF!</definedName>
    <definedName name="InventoryVisibility" localSheetId="45">#REF!</definedName>
    <definedName name="InventoryVisibility" localSheetId="46">#REF!</definedName>
    <definedName name="InventoryVisibility" localSheetId="37">#REF!</definedName>
    <definedName name="InventoryVisibility" localSheetId="40">#REF!</definedName>
    <definedName name="InventoryVisibility" localSheetId="54">#REF!</definedName>
    <definedName name="InventoryVisibility" localSheetId="55">#REF!</definedName>
    <definedName name="InventoryVisibility" localSheetId="52">#REF!</definedName>
    <definedName name="InventoryVisibility" localSheetId="51">#REF!</definedName>
    <definedName name="InventoryVisibility" localSheetId="53">#REF!</definedName>
    <definedName name="InventoryVisibility">#REF!</definedName>
    <definedName name="IO_PER_BO" localSheetId="50">#REF!</definedName>
    <definedName name="IO_PER_BO" localSheetId="47">#REF!</definedName>
    <definedName name="IO_PER_BO" localSheetId="44">#REF!</definedName>
    <definedName name="IO_PER_BO" localSheetId="45">#REF!</definedName>
    <definedName name="IO_PER_BO" localSheetId="46">#REF!</definedName>
    <definedName name="IO_PER_BO" localSheetId="37">#REF!</definedName>
    <definedName name="IO_PER_BO" localSheetId="40">#REF!</definedName>
    <definedName name="IO_PER_BO" localSheetId="54">#REF!</definedName>
    <definedName name="IO_PER_BO" localSheetId="55">#REF!</definedName>
    <definedName name="IO_PER_BO" localSheetId="52">#REF!</definedName>
    <definedName name="IO_PER_BO" localSheetId="51">#REF!</definedName>
    <definedName name="IO_PER_BO" localSheetId="53">#REF!</definedName>
    <definedName name="IO_PER_BO">#REF!</definedName>
    <definedName name="ipc" localSheetId="34">#REF!</definedName>
    <definedName name="ipc" localSheetId="35">#REF!</definedName>
    <definedName name="ipc" localSheetId="50">#REF!</definedName>
    <definedName name="ipc" localSheetId="15">#REF!</definedName>
    <definedName name="ipc" localSheetId="29">#REF!</definedName>
    <definedName name="ipc" localSheetId="30">#REF!</definedName>
    <definedName name="ipc" localSheetId="47">#REF!</definedName>
    <definedName name="ipc" localSheetId="44">#REF!</definedName>
    <definedName name="ipc" localSheetId="45">#REF!</definedName>
    <definedName name="ipc" localSheetId="46">#REF!</definedName>
    <definedName name="ipc" localSheetId="31">#REF!</definedName>
    <definedName name="ipc" localSheetId="32">#REF!</definedName>
    <definedName name="ipc" localSheetId="33">#REF!</definedName>
    <definedName name="ipc" localSheetId="36">#REF!</definedName>
    <definedName name="ipc" localSheetId="37">#REF!</definedName>
    <definedName name="ipc" localSheetId="38">#REF!</definedName>
    <definedName name="ipc" localSheetId="39">#REF!</definedName>
    <definedName name="ipc" localSheetId="40">#REF!</definedName>
    <definedName name="ipc" localSheetId="54">#REF!</definedName>
    <definedName name="ipc" localSheetId="55">#REF!</definedName>
    <definedName name="ipc" localSheetId="52">#REF!</definedName>
    <definedName name="ipc" localSheetId="23">#REF!</definedName>
    <definedName name="ipc" localSheetId="51">#REF!</definedName>
    <definedName name="ipc" localSheetId="53">#REF!</definedName>
    <definedName name="ipc" localSheetId="20">#REF!</definedName>
    <definedName name="ipc">#REF!</definedName>
    <definedName name="ipc98j" localSheetId="34">[27]Programa!#REF!</definedName>
    <definedName name="ipc98j" localSheetId="35">[27]Programa!#REF!</definedName>
    <definedName name="ipc98j" localSheetId="50">[27]Programa!#REF!</definedName>
    <definedName name="ipc98j" localSheetId="15">[27]Programa!#REF!</definedName>
    <definedName name="ipc98j" localSheetId="29">[27]Programa!#REF!</definedName>
    <definedName name="ipc98j" localSheetId="30">[27]Programa!#REF!</definedName>
    <definedName name="ipc98j" localSheetId="47">[27]Programa!#REF!</definedName>
    <definedName name="ipc98j" localSheetId="44">[27]Programa!#REF!</definedName>
    <definedName name="ipc98j" localSheetId="45">[27]Programa!#REF!</definedName>
    <definedName name="ipc98j" localSheetId="46">[27]Programa!#REF!</definedName>
    <definedName name="ipc98j" localSheetId="31">[27]Programa!#REF!</definedName>
    <definedName name="ipc98j" localSheetId="32">[27]Programa!#REF!</definedName>
    <definedName name="ipc98j" localSheetId="33">[27]Programa!#REF!</definedName>
    <definedName name="ipc98j" localSheetId="36">[27]Programa!#REF!</definedName>
    <definedName name="ipc98j" localSheetId="37">[27]Programa!#REF!</definedName>
    <definedName name="ipc98j" localSheetId="38">[27]Programa!#REF!</definedName>
    <definedName name="ipc98j" localSheetId="39">[27]Programa!#REF!</definedName>
    <definedName name="ipc98j" localSheetId="40">[27]Programa!#REF!</definedName>
    <definedName name="ipc98j" localSheetId="54">[27]Programa!#REF!</definedName>
    <definedName name="ipc98j" localSheetId="55">[27]Programa!#REF!</definedName>
    <definedName name="ipc98j" localSheetId="52">[27]Programa!#REF!</definedName>
    <definedName name="ipc98j" localSheetId="23">[27]Programa!#REF!</definedName>
    <definedName name="ipc98j" localSheetId="51">[27]Programa!#REF!</definedName>
    <definedName name="ipc98j" localSheetId="53">[27]Programa!#REF!</definedName>
    <definedName name="ipc98j" localSheetId="20">[27]Programa!#REF!</definedName>
    <definedName name="ipc98j">[27]Programa!#REF!</definedName>
    <definedName name="ipc98s" localSheetId="34">#REF!</definedName>
    <definedName name="ipc98s" localSheetId="35">#REF!</definedName>
    <definedName name="ipc98s" localSheetId="50">#REF!</definedName>
    <definedName name="ipc98s" localSheetId="15">#REF!</definedName>
    <definedName name="ipc98s" localSheetId="29">#REF!</definedName>
    <definedName name="ipc98s" localSheetId="30">#REF!</definedName>
    <definedName name="ipc98s" localSheetId="47">#REF!</definedName>
    <definedName name="ipc98s" localSheetId="44">#REF!</definedName>
    <definedName name="ipc98s" localSheetId="45">#REF!</definedName>
    <definedName name="ipc98s" localSheetId="46">#REF!</definedName>
    <definedName name="ipc98s" localSheetId="31">#REF!</definedName>
    <definedName name="ipc98s" localSheetId="32">#REF!</definedName>
    <definedName name="ipc98s" localSheetId="33">#REF!</definedName>
    <definedName name="ipc98s" localSheetId="36">#REF!</definedName>
    <definedName name="ipc98s" localSheetId="37">#REF!</definedName>
    <definedName name="ipc98s" localSheetId="38">#REF!</definedName>
    <definedName name="ipc98s" localSheetId="39">#REF!</definedName>
    <definedName name="ipc98s" localSheetId="40">#REF!</definedName>
    <definedName name="ipc98s" localSheetId="54">#REF!</definedName>
    <definedName name="ipc98s" localSheetId="55">#REF!</definedName>
    <definedName name="ipc98s" localSheetId="52">#REF!</definedName>
    <definedName name="ipc98s" localSheetId="23">#REF!</definedName>
    <definedName name="ipc98s" localSheetId="51">#REF!</definedName>
    <definedName name="ipc98s" localSheetId="53">#REF!</definedName>
    <definedName name="ipc98s" localSheetId="20">#REF!</definedName>
    <definedName name="ipc98s">#REF!</definedName>
    <definedName name="Issues" localSheetId="50">#REF!</definedName>
    <definedName name="Issues" localSheetId="47">#REF!</definedName>
    <definedName name="Issues" localSheetId="44">#REF!</definedName>
    <definedName name="Issues" localSheetId="45">#REF!</definedName>
    <definedName name="Issues" localSheetId="46">#REF!</definedName>
    <definedName name="Issues" localSheetId="37">#REF!</definedName>
    <definedName name="Issues" localSheetId="40">#REF!</definedName>
    <definedName name="Issues" localSheetId="54">#REF!</definedName>
    <definedName name="Issues" localSheetId="55">#REF!</definedName>
    <definedName name="Issues" localSheetId="52">#REF!</definedName>
    <definedName name="Issues" localSheetId="51">#REF!</definedName>
    <definedName name="Issues" localSheetId="53">#REF!</definedName>
    <definedName name="Issues">#REF!</definedName>
    <definedName name="IssueType" localSheetId="50">#REF!</definedName>
    <definedName name="IssueType" localSheetId="47">#REF!</definedName>
    <definedName name="IssueType" localSheetId="44">#REF!</definedName>
    <definedName name="IssueType" localSheetId="45">#REF!</definedName>
    <definedName name="IssueType" localSheetId="46">#REF!</definedName>
    <definedName name="IssueType" localSheetId="37">#REF!</definedName>
    <definedName name="IssueType" localSheetId="40">#REF!</definedName>
    <definedName name="IssueType" localSheetId="54">#REF!</definedName>
    <definedName name="IssueType" localSheetId="55">#REF!</definedName>
    <definedName name="IssueType" localSheetId="52">#REF!</definedName>
    <definedName name="IssueType" localSheetId="51">#REF!</definedName>
    <definedName name="IssueType" localSheetId="53">#REF!</definedName>
    <definedName name="IssueType">#REF!</definedName>
    <definedName name="istasap" localSheetId="34">#REF!</definedName>
    <definedName name="istasap" localSheetId="35">#REF!</definedName>
    <definedName name="istasap" localSheetId="50">#REF!</definedName>
    <definedName name="istasap" localSheetId="15">#REF!</definedName>
    <definedName name="istasap" localSheetId="29">#REF!</definedName>
    <definedName name="istasap" localSheetId="30">#REF!</definedName>
    <definedName name="istasap" localSheetId="47">#REF!</definedName>
    <definedName name="istasap" localSheetId="44">#REF!</definedName>
    <definedName name="istasap" localSheetId="45">#REF!</definedName>
    <definedName name="istasap" localSheetId="46">#REF!</definedName>
    <definedName name="istasap" localSheetId="31">#REF!</definedName>
    <definedName name="istasap" localSheetId="32">#REF!</definedName>
    <definedName name="istasap" localSheetId="33">#REF!</definedName>
    <definedName name="istasap" localSheetId="36">#REF!</definedName>
    <definedName name="istasap" localSheetId="37">#REF!</definedName>
    <definedName name="istasap" localSheetId="38">#REF!</definedName>
    <definedName name="istasap" localSheetId="39">#REF!</definedName>
    <definedName name="istasap" localSheetId="40">#REF!</definedName>
    <definedName name="istasap" localSheetId="54">#REF!</definedName>
    <definedName name="istasap" localSheetId="55">#REF!</definedName>
    <definedName name="istasap" localSheetId="52">#REF!</definedName>
    <definedName name="istasap" localSheetId="23">#REF!</definedName>
    <definedName name="istasap" localSheetId="51">#REF!</definedName>
    <definedName name="istasap" localSheetId="53">#REF!</definedName>
    <definedName name="istasap" localSheetId="20">#REF!</definedName>
    <definedName name="istasap">#REF!</definedName>
    <definedName name="istasasa" localSheetId="34">#REF!</definedName>
    <definedName name="istasasa" localSheetId="35">#REF!</definedName>
    <definedName name="istasasa" localSheetId="50">#REF!</definedName>
    <definedName name="istasasa" localSheetId="15">#REF!</definedName>
    <definedName name="istasasa" localSheetId="29">#REF!</definedName>
    <definedName name="istasasa" localSheetId="30">#REF!</definedName>
    <definedName name="istasasa" localSheetId="47">#REF!</definedName>
    <definedName name="istasasa" localSheetId="44">#REF!</definedName>
    <definedName name="istasasa" localSheetId="45">#REF!</definedName>
    <definedName name="istasasa" localSheetId="46">#REF!</definedName>
    <definedName name="istasasa" localSheetId="31">#REF!</definedName>
    <definedName name="istasasa" localSheetId="32">#REF!</definedName>
    <definedName name="istasasa" localSheetId="33">#REF!</definedName>
    <definedName name="istasasa" localSheetId="36">#REF!</definedName>
    <definedName name="istasasa" localSheetId="37">#REF!</definedName>
    <definedName name="istasasa" localSheetId="38">#REF!</definedName>
    <definedName name="istasasa" localSheetId="39">#REF!</definedName>
    <definedName name="istasasa" localSheetId="40">#REF!</definedName>
    <definedName name="istasasa" localSheetId="54">#REF!</definedName>
    <definedName name="istasasa" localSheetId="55">#REF!</definedName>
    <definedName name="istasasa" localSheetId="52">#REF!</definedName>
    <definedName name="istasasa" localSheetId="23">#REF!</definedName>
    <definedName name="istasasa" localSheetId="51">#REF!</definedName>
    <definedName name="istasasa" localSheetId="53">#REF!</definedName>
    <definedName name="istasasa" localSheetId="20">#REF!</definedName>
    <definedName name="istasasa">#REF!</definedName>
    <definedName name="istasasp" localSheetId="34">#REF!</definedName>
    <definedName name="istasasp" localSheetId="35">#REF!</definedName>
    <definedName name="istasasp" localSheetId="50">#REF!</definedName>
    <definedName name="istasasp" localSheetId="15">#REF!</definedName>
    <definedName name="istasasp" localSheetId="29">#REF!</definedName>
    <definedName name="istasasp" localSheetId="30">#REF!</definedName>
    <definedName name="istasasp" localSheetId="47">#REF!</definedName>
    <definedName name="istasasp" localSheetId="44">#REF!</definedName>
    <definedName name="istasasp" localSheetId="45">#REF!</definedName>
    <definedName name="istasasp" localSheetId="46">#REF!</definedName>
    <definedName name="istasasp" localSheetId="31">#REF!</definedName>
    <definedName name="istasasp" localSheetId="32">#REF!</definedName>
    <definedName name="istasasp" localSheetId="33">#REF!</definedName>
    <definedName name="istasasp" localSheetId="36">#REF!</definedName>
    <definedName name="istasasp" localSheetId="37">#REF!</definedName>
    <definedName name="istasasp" localSheetId="38">#REF!</definedName>
    <definedName name="istasasp" localSheetId="39">#REF!</definedName>
    <definedName name="istasasp" localSheetId="40">#REF!</definedName>
    <definedName name="istasasp" localSheetId="54">#REF!</definedName>
    <definedName name="istasasp" localSheetId="55">#REF!</definedName>
    <definedName name="istasasp" localSheetId="52">#REF!</definedName>
    <definedName name="istasasp" localSheetId="23">#REF!</definedName>
    <definedName name="istasasp" localSheetId="51">#REF!</definedName>
    <definedName name="istasasp" localSheetId="53">#REF!</definedName>
    <definedName name="istasasp" localSheetId="20">#REF!</definedName>
    <definedName name="istasasp">#REF!</definedName>
    <definedName name="IT_Cost" localSheetId="50">[95]Risks!#REF!</definedName>
    <definedName name="IT_Cost" localSheetId="47">[95]Risks!#REF!</definedName>
    <definedName name="IT_Cost" localSheetId="44">[95]Risks!#REF!</definedName>
    <definedName name="IT_Cost" localSheetId="45">[95]Risks!#REF!</definedName>
    <definedName name="IT_Cost" localSheetId="46">[95]Risks!#REF!</definedName>
    <definedName name="IT_Cost" localSheetId="37">[95]Risks!#REF!</definedName>
    <definedName name="IT_Cost" localSheetId="40">[95]Risks!#REF!</definedName>
    <definedName name="IT_Cost" localSheetId="54">[95]Risks!#REF!</definedName>
    <definedName name="IT_Cost" localSheetId="55">[95]Risks!#REF!</definedName>
    <definedName name="IT_Cost" localSheetId="52">[95]Risks!#REF!</definedName>
    <definedName name="IT_Cost" localSheetId="51">[95]Risks!#REF!</definedName>
    <definedName name="IT_Cost" localSheetId="53">[95]Risks!#REF!</definedName>
    <definedName name="IT_Cost">[95]Risks!#REF!</definedName>
    <definedName name="IterationStatus" localSheetId="50">#REF!</definedName>
    <definedName name="IterationStatus" localSheetId="47">#REF!</definedName>
    <definedName name="IterationStatus" localSheetId="44">#REF!</definedName>
    <definedName name="IterationStatus" localSheetId="45">#REF!</definedName>
    <definedName name="IterationStatus" localSheetId="46">#REF!</definedName>
    <definedName name="IterationStatus" localSheetId="37">#REF!</definedName>
    <definedName name="IterationStatus" localSheetId="40">#REF!</definedName>
    <definedName name="IterationStatus" localSheetId="54">#REF!</definedName>
    <definedName name="IterationStatus" localSheetId="55">#REF!</definedName>
    <definedName name="IterationStatus" localSheetId="52">#REF!</definedName>
    <definedName name="IterationStatus" localSheetId="51">#REF!</definedName>
    <definedName name="IterationStatus" localSheetId="53">#REF!</definedName>
    <definedName name="IterationStatus">#REF!</definedName>
    <definedName name="Jan">'[45]Variance Explanations'!$D$10:$D$84,'[45]Variance Explanations'!$D$98:$D$178,'[45]Variance Explanations'!$D$190:$D$252,'[45]Variance Explanations'!$D$252,'[45]Variance Explanations'!$D$264:$D$343,'[45]Variance Explanations'!$D$356:$D$409,'[45]Variance Explanations'!$D$424:$D$485,'[45]Variance Explanations'!$D$508:$D$555</definedName>
    <definedName name="Jan06Cap" localSheetId="50">#REF!</definedName>
    <definedName name="Jan06Cap" localSheetId="47">#REF!</definedName>
    <definedName name="Jan06Cap" localSheetId="44">#REF!</definedName>
    <definedName name="Jan06Cap" localSheetId="45">#REF!</definedName>
    <definedName name="Jan06Cap" localSheetId="46">#REF!</definedName>
    <definedName name="Jan06Cap" localSheetId="37">#REF!</definedName>
    <definedName name="Jan06Cap" localSheetId="40">#REF!</definedName>
    <definedName name="Jan06Cap" localSheetId="54">#REF!</definedName>
    <definedName name="Jan06Cap" localSheetId="55">#REF!</definedName>
    <definedName name="Jan06Cap" localSheetId="52">#REF!</definedName>
    <definedName name="Jan06Cap" localSheetId="51">#REF!</definedName>
    <definedName name="Jan06Cap" localSheetId="53">#REF!</definedName>
    <definedName name="Jan06Cap">#REF!</definedName>
    <definedName name="January">'[45]Variance Explanations'!$D$10:$D$84,'[45]Variance Explanations'!$D$98:$D$178,'[45]Variance Explanations'!$D$190:$D$252,'[45]Variance Explanations'!$D$252,'[45]Variance Explanations'!$D$264:$D$343,'[45]Variance Explanations'!$D$356:$D$409,'[45]Variance Explanations'!$D$424:$D$485,'[45]Variance Explanations'!$D$508:$D$555</definedName>
    <definedName name="jbrate">'[52]Burn Rates'!$G$16</definedName>
    <definedName name="jj" localSheetId="58" hidden="1">{"Riqfin97",#N/A,FALSE,"Tran";"Riqfinpro",#N/A,FALSE,"Tran"}</definedName>
    <definedName name="jj" localSheetId="16" hidden="1">{"Riqfin97",#N/A,FALSE,"Tran";"Riqfinpro",#N/A,FALSE,"Tran"}</definedName>
    <definedName name="jj" localSheetId="61" hidden="1">{"Riqfin97",#N/A,FALSE,"Tran";"Riqfinpro",#N/A,FALSE,"Tran"}</definedName>
    <definedName name="jj" localSheetId="62" hidden="1">{"Riqfin97",#N/A,FALSE,"Tran";"Riqfinpro",#N/A,FALSE,"Tran"}</definedName>
    <definedName name="jj" localSheetId="50" hidden="1">{"Riqfin97",#N/A,FALSE,"Tran";"Riqfinpro",#N/A,FALSE,"Tran"}</definedName>
    <definedName name="jj" localSheetId="63" hidden="1">{"Riqfin97",#N/A,FALSE,"Tran";"Riqfinpro",#N/A,FALSE,"Tran"}</definedName>
    <definedName name="jj" localSheetId="15" hidden="1">{"Riqfin97",#N/A,FALSE,"Tran";"Riqfinpro",#N/A,FALSE,"Tran"}</definedName>
    <definedName name="jj" localSheetId="1" hidden="1">{"Riqfin97",#N/A,FALSE,"Tran";"Riqfinpro",#N/A,FALSE,"Tran"}</definedName>
    <definedName name="jj" localSheetId="43" hidden="1">{"Riqfin97",#N/A,FALSE,"Tran";"Riqfinpro",#N/A,FALSE,"Tran"}</definedName>
    <definedName name="jj" localSheetId="29" hidden="1">{"Riqfin97",#N/A,FALSE,"Tran";"Riqfinpro",#N/A,FALSE,"Tran"}</definedName>
    <definedName name="jj" localSheetId="30" hidden="1">{"Riqfin97",#N/A,FALSE,"Tran";"Riqfinpro",#N/A,FALSE,"Tran"}</definedName>
    <definedName name="jj" localSheetId="44" hidden="1">{"Riqfin97",#N/A,FALSE,"Tran";"Riqfinpro",#N/A,FALSE,"Tran"}</definedName>
    <definedName name="jj" localSheetId="59" hidden="1">{"Riqfin97",#N/A,FALSE,"Tran";"Riqfinpro",#N/A,FALSE,"Tran"}</definedName>
    <definedName name="jj" localSheetId="13" hidden="1">{"Riqfin97",#N/A,FALSE,"Tran";"Riqfinpro",#N/A,FALSE,"Tran"}</definedName>
    <definedName name="jj" localSheetId="0" hidden="1">{"Riqfin97",#N/A,FALSE,"Tran";"Riqfinpro",#N/A,FALSE,"Tran"}</definedName>
    <definedName name="jj" localSheetId="57" hidden="1">{"Riqfin97",#N/A,FALSE,"Tran";"Riqfinpro",#N/A,FALSE,"Tran"}</definedName>
    <definedName name="jj" localSheetId="56" hidden="1">{"Riqfin97",#N/A,FALSE,"Tran";"Riqfinpro",#N/A,FALSE,"Tran"}</definedName>
    <definedName name="jj" localSheetId="54" hidden="1">{"Riqfin97",#N/A,FALSE,"Tran";"Riqfinpro",#N/A,FALSE,"Tran"}</definedName>
    <definedName name="jj" localSheetId="52" hidden="1">{"Riqfin97",#N/A,FALSE,"Tran";"Riqfinpro",#N/A,FALSE,"Tran"}</definedName>
    <definedName name="jj" localSheetId="23" hidden="1">{"Riqfin97",#N/A,FALSE,"Tran";"Riqfinpro",#N/A,FALSE,"Tran"}</definedName>
    <definedName name="jj" localSheetId="51" hidden="1">{"Riqfin97",#N/A,FALSE,"Tran";"Riqfinpro",#N/A,FALSE,"Tran"}</definedName>
    <definedName name="jj" localSheetId="53" hidden="1">{"Riqfin97",#N/A,FALSE,"Tran";"Riqfinpro",#N/A,FALSE,"Tran"}</definedName>
    <definedName name="jj" localSheetId="60" hidden="1">{"Riqfin97",#N/A,FALSE,"Tran";"Riqfinpro",#N/A,FALSE,"Tran"}</definedName>
    <definedName name="jj" hidden="1">{"Riqfin97",#N/A,FALSE,"Tran";"Riqfinpro",#N/A,FALSE,"Tran"}</definedName>
    <definedName name="jjj" localSheetId="58" hidden="1">{"Riqfin97",#N/A,FALSE,"Tran";"Riqfinpro",#N/A,FALSE,"Tran"}</definedName>
    <definedName name="jjj" localSheetId="16" hidden="1">{"Riqfin97",#N/A,FALSE,"Tran";"Riqfinpro",#N/A,FALSE,"Tran"}</definedName>
    <definedName name="jjj" localSheetId="61" hidden="1">{"Riqfin97",#N/A,FALSE,"Tran";"Riqfinpro",#N/A,FALSE,"Tran"}</definedName>
    <definedName name="jjj" localSheetId="62" hidden="1">{"Riqfin97",#N/A,FALSE,"Tran";"Riqfinpro",#N/A,FALSE,"Tran"}</definedName>
    <definedName name="jjj" localSheetId="50" hidden="1">{"Riqfin97",#N/A,FALSE,"Tran";"Riqfinpro",#N/A,FALSE,"Tran"}</definedName>
    <definedName name="jjj" localSheetId="63" hidden="1">{"Riqfin97",#N/A,FALSE,"Tran";"Riqfinpro",#N/A,FALSE,"Tran"}</definedName>
    <definedName name="jjj" localSheetId="15" hidden="1">{"Riqfin97",#N/A,FALSE,"Tran";"Riqfinpro",#N/A,FALSE,"Tran"}</definedName>
    <definedName name="jjj" localSheetId="1" hidden="1">{"Riqfin97",#N/A,FALSE,"Tran";"Riqfinpro",#N/A,FALSE,"Tran"}</definedName>
    <definedName name="jjj" localSheetId="43" hidden="1">{"Riqfin97",#N/A,FALSE,"Tran";"Riqfinpro",#N/A,FALSE,"Tran"}</definedName>
    <definedName name="jjj" localSheetId="29" hidden="1">{"Riqfin97",#N/A,FALSE,"Tran";"Riqfinpro",#N/A,FALSE,"Tran"}</definedName>
    <definedName name="jjj" localSheetId="30" hidden="1">{"Riqfin97",#N/A,FALSE,"Tran";"Riqfinpro",#N/A,FALSE,"Tran"}</definedName>
    <definedName name="jjj" localSheetId="44" hidden="1">{"Riqfin97",#N/A,FALSE,"Tran";"Riqfinpro",#N/A,FALSE,"Tran"}</definedName>
    <definedName name="jjj" localSheetId="59" hidden="1">{"Riqfin97",#N/A,FALSE,"Tran";"Riqfinpro",#N/A,FALSE,"Tran"}</definedName>
    <definedName name="jjj" localSheetId="13" hidden="1">{"Riqfin97",#N/A,FALSE,"Tran";"Riqfinpro",#N/A,FALSE,"Tran"}</definedName>
    <definedName name="jjj" localSheetId="0" hidden="1">{"Riqfin97",#N/A,FALSE,"Tran";"Riqfinpro",#N/A,FALSE,"Tran"}</definedName>
    <definedName name="jjj" localSheetId="57" hidden="1">{"Riqfin97",#N/A,FALSE,"Tran";"Riqfinpro",#N/A,FALSE,"Tran"}</definedName>
    <definedName name="jjj" localSheetId="56" hidden="1">{"Riqfin97",#N/A,FALSE,"Tran";"Riqfinpro",#N/A,FALSE,"Tran"}</definedName>
    <definedName name="jjj" localSheetId="54" hidden="1">{"Riqfin97",#N/A,FALSE,"Tran";"Riqfinpro",#N/A,FALSE,"Tran"}</definedName>
    <definedName name="jjj" localSheetId="52" hidden="1">{"Riqfin97",#N/A,FALSE,"Tran";"Riqfinpro",#N/A,FALSE,"Tran"}</definedName>
    <definedName name="jjj" localSheetId="23" hidden="1">{"Riqfin97",#N/A,FALSE,"Tran";"Riqfinpro",#N/A,FALSE,"Tran"}</definedName>
    <definedName name="jjj" localSheetId="51" hidden="1">{"Riqfin97",#N/A,FALSE,"Tran";"Riqfinpro",#N/A,FALSE,"Tran"}</definedName>
    <definedName name="jjj" localSheetId="53" hidden="1">{"Riqfin97",#N/A,FALSE,"Tran";"Riqfinpro",#N/A,FALSE,"Tran"}</definedName>
    <definedName name="jjj" localSheetId="60" hidden="1">{"Riqfin97",#N/A,FALSE,"Tran";"Riqfinpro",#N/A,FALSE,"Tran"}</definedName>
    <definedName name="jjj" hidden="1">{"Riqfin97",#N/A,FALSE,"Tran";"Riqfinpro",#N/A,FALSE,"Tran"}</definedName>
    <definedName name="jjjj" localSheetId="58" hidden="1">{"Tab1",#N/A,FALSE,"P";"Tab2",#N/A,FALSE,"P"}</definedName>
    <definedName name="jjjj" localSheetId="16" hidden="1">{"Tab1",#N/A,FALSE,"P";"Tab2",#N/A,FALSE,"P"}</definedName>
    <definedName name="jjjj" localSheetId="61" hidden="1">{"Tab1",#N/A,FALSE,"P";"Tab2",#N/A,FALSE,"P"}</definedName>
    <definedName name="jjjj" localSheetId="62" hidden="1">{"Tab1",#N/A,FALSE,"P";"Tab2",#N/A,FALSE,"P"}</definedName>
    <definedName name="jjjj" localSheetId="50" hidden="1">{"Tab1",#N/A,FALSE,"P";"Tab2",#N/A,FALSE,"P"}</definedName>
    <definedName name="jjjj" localSheetId="63" hidden="1">{"Tab1",#N/A,FALSE,"P";"Tab2",#N/A,FALSE,"P"}</definedName>
    <definedName name="jjjj" localSheetId="15" hidden="1">{"Tab1",#N/A,FALSE,"P";"Tab2",#N/A,FALSE,"P"}</definedName>
    <definedName name="jjjj" localSheetId="1" hidden="1">{"Tab1",#N/A,FALSE,"P";"Tab2",#N/A,FALSE,"P"}</definedName>
    <definedName name="jjjj" localSheetId="43" hidden="1">{"Tab1",#N/A,FALSE,"P";"Tab2",#N/A,FALSE,"P"}</definedName>
    <definedName name="jjjj" localSheetId="29" hidden="1">{"Tab1",#N/A,FALSE,"P";"Tab2",#N/A,FALSE,"P"}</definedName>
    <definedName name="jjjj" localSheetId="30" hidden="1">{"Tab1",#N/A,FALSE,"P";"Tab2",#N/A,FALSE,"P"}</definedName>
    <definedName name="jjjj" localSheetId="44" hidden="1">{"Tab1",#N/A,FALSE,"P";"Tab2",#N/A,FALSE,"P"}</definedName>
    <definedName name="jjjj" localSheetId="59" hidden="1">{"Tab1",#N/A,FALSE,"P";"Tab2",#N/A,FALSE,"P"}</definedName>
    <definedName name="jjjj" localSheetId="13" hidden="1">{"Tab1",#N/A,FALSE,"P";"Tab2",#N/A,FALSE,"P"}</definedName>
    <definedName name="jjjj" localSheetId="0" hidden="1">{"Tab1",#N/A,FALSE,"P";"Tab2",#N/A,FALSE,"P"}</definedName>
    <definedName name="jjjj" localSheetId="57" hidden="1">{"Tab1",#N/A,FALSE,"P";"Tab2",#N/A,FALSE,"P"}</definedName>
    <definedName name="jjjj" localSheetId="56" hidden="1">{"Tab1",#N/A,FALSE,"P";"Tab2",#N/A,FALSE,"P"}</definedName>
    <definedName name="jjjj" localSheetId="54" hidden="1">{"Tab1",#N/A,FALSE,"P";"Tab2",#N/A,FALSE,"P"}</definedName>
    <definedName name="jjjj" localSheetId="52" hidden="1">{"Tab1",#N/A,FALSE,"P";"Tab2",#N/A,FALSE,"P"}</definedName>
    <definedName name="jjjj" localSheetId="23" hidden="1">{"Tab1",#N/A,FALSE,"P";"Tab2",#N/A,FALSE,"P"}</definedName>
    <definedName name="jjjj" localSheetId="51" hidden="1">{"Tab1",#N/A,FALSE,"P";"Tab2",#N/A,FALSE,"P"}</definedName>
    <definedName name="jjjj" localSheetId="53" hidden="1">{"Tab1",#N/A,FALSE,"P";"Tab2",#N/A,FALSE,"P"}</definedName>
    <definedName name="jjjj" localSheetId="60" hidden="1">{"Tab1",#N/A,FALSE,"P";"Tab2",#N/A,FALSE,"P"}</definedName>
    <definedName name="jjjj" hidden="1">{"Tab1",#N/A,FALSE,"P";"Tab2",#N/A,FALSE,"P"}</definedName>
    <definedName name="jjjjjj" localSheetId="34" hidden="1">'[97]J(Priv.Cap)'!#REF!</definedName>
    <definedName name="jjjjjj" localSheetId="35" hidden="1">'[97]J(Priv.Cap)'!#REF!</definedName>
    <definedName name="jjjjjj" localSheetId="50" hidden="1">'[97]J(Priv.Cap)'!#REF!</definedName>
    <definedName name="jjjjjj" localSheetId="15" hidden="1">'[97]J(Priv.Cap)'!#REF!</definedName>
    <definedName name="jjjjjj" localSheetId="29" hidden="1">'[97]J(Priv.Cap)'!#REF!</definedName>
    <definedName name="jjjjjj" localSheetId="30" hidden="1">'[97]J(Priv.Cap)'!#REF!</definedName>
    <definedName name="jjjjjj" localSheetId="47" hidden="1">'[97]J(Priv.Cap)'!#REF!</definedName>
    <definedName name="jjjjjj" localSheetId="44" hidden="1">'[97]J(Priv.Cap)'!#REF!</definedName>
    <definedName name="jjjjjj" localSheetId="45" hidden="1">'[97]J(Priv.Cap)'!#REF!</definedName>
    <definedName name="jjjjjj" localSheetId="46" hidden="1">'[97]J(Priv.Cap)'!#REF!</definedName>
    <definedName name="jjjjjj" localSheetId="31" hidden="1">'[97]J(Priv.Cap)'!#REF!</definedName>
    <definedName name="jjjjjj" localSheetId="32" hidden="1">'[97]J(Priv.Cap)'!#REF!</definedName>
    <definedName name="jjjjjj" localSheetId="33" hidden="1">'[97]J(Priv.Cap)'!#REF!</definedName>
    <definedName name="jjjjjj" localSheetId="36" hidden="1">'[97]J(Priv.Cap)'!#REF!</definedName>
    <definedName name="jjjjjj" localSheetId="37" hidden="1">'[97]J(Priv.Cap)'!#REF!</definedName>
    <definedName name="jjjjjj" localSheetId="38" hidden="1">'[97]J(Priv.Cap)'!#REF!</definedName>
    <definedName name="jjjjjj" localSheetId="39" hidden="1">'[97]J(Priv.Cap)'!#REF!</definedName>
    <definedName name="jjjjjj" localSheetId="40" hidden="1">'[97]J(Priv.Cap)'!#REF!</definedName>
    <definedName name="jjjjjj" localSheetId="54" hidden="1">'[97]J(Priv.Cap)'!#REF!</definedName>
    <definedName name="jjjjjj" localSheetId="55" hidden="1">'[97]J(Priv.Cap)'!#REF!</definedName>
    <definedName name="jjjjjj" localSheetId="52" hidden="1">'[97]J(Priv.Cap)'!#REF!</definedName>
    <definedName name="jjjjjj" localSheetId="23" hidden="1">'[97]J(Priv.Cap)'!#REF!</definedName>
    <definedName name="jjjjjj" localSheetId="51" hidden="1">'[97]J(Priv.Cap)'!#REF!</definedName>
    <definedName name="jjjjjj" localSheetId="53" hidden="1">'[97]J(Priv.Cap)'!#REF!</definedName>
    <definedName name="jjjjjj" localSheetId="20" hidden="1">'[97]J(Priv.Cap)'!#REF!</definedName>
    <definedName name="jjjjjj" hidden="1">'[97]J(Priv.Cap)'!#REF!</definedName>
    <definedName name="jl" localSheetId="34">#REF!</definedName>
    <definedName name="jl" localSheetId="35">#REF!</definedName>
    <definedName name="jl" localSheetId="50">#REF!</definedName>
    <definedName name="jl" localSheetId="15">#REF!</definedName>
    <definedName name="jl" localSheetId="29">#REF!</definedName>
    <definedName name="jl" localSheetId="30">#REF!</definedName>
    <definedName name="jl" localSheetId="47">#REF!</definedName>
    <definedName name="jl" localSheetId="44">#REF!</definedName>
    <definedName name="jl" localSheetId="45">#REF!</definedName>
    <definedName name="jl" localSheetId="46">#REF!</definedName>
    <definedName name="jl" localSheetId="31">#REF!</definedName>
    <definedName name="jl" localSheetId="32">#REF!</definedName>
    <definedName name="jl" localSheetId="33">#REF!</definedName>
    <definedName name="jl" localSheetId="36">#REF!</definedName>
    <definedName name="jl" localSheetId="37">#REF!</definedName>
    <definedName name="jl" localSheetId="38">#REF!</definedName>
    <definedName name="jl" localSheetId="39">#REF!</definedName>
    <definedName name="jl" localSheetId="40">#REF!</definedName>
    <definedName name="jl" localSheetId="54">#REF!</definedName>
    <definedName name="jl" localSheetId="55">#REF!</definedName>
    <definedName name="jl" localSheetId="52">#REF!</definedName>
    <definedName name="jl" localSheetId="23">#REF!</definedName>
    <definedName name="jl" localSheetId="51">#REF!</definedName>
    <definedName name="jl" localSheetId="12">#REF!</definedName>
    <definedName name="jl" localSheetId="53">#REF!</definedName>
    <definedName name="jl" localSheetId="20">#REF!</definedName>
    <definedName name="jl">#REF!</definedName>
    <definedName name="JobTitles" localSheetId="50">#REF!</definedName>
    <definedName name="JobTitles" localSheetId="47">#REF!</definedName>
    <definedName name="JobTitles" localSheetId="44">#REF!</definedName>
    <definedName name="JobTitles" localSheetId="45">#REF!</definedName>
    <definedName name="JobTitles" localSheetId="46">#REF!</definedName>
    <definedName name="JobTitles" localSheetId="37">#REF!</definedName>
    <definedName name="JobTitles" localSheetId="40">#REF!</definedName>
    <definedName name="JobTitles" localSheetId="54">#REF!</definedName>
    <definedName name="JobTitles" localSheetId="55">#REF!</definedName>
    <definedName name="JobTitles" localSheetId="52">#REF!</definedName>
    <definedName name="JobTitles" localSheetId="51">#REF!</definedName>
    <definedName name="JobTitles" localSheetId="53">#REF!</definedName>
    <definedName name="JobTitles">#REF!</definedName>
    <definedName name="jui" localSheetId="58" hidden="1">{"Riqfin97",#N/A,FALSE,"Tran";"Riqfinpro",#N/A,FALSE,"Tran"}</definedName>
    <definedName name="jui" localSheetId="16" hidden="1">{"Riqfin97",#N/A,FALSE,"Tran";"Riqfinpro",#N/A,FALSE,"Tran"}</definedName>
    <definedName name="jui" localSheetId="61" hidden="1">{"Riqfin97",#N/A,FALSE,"Tran";"Riqfinpro",#N/A,FALSE,"Tran"}</definedName>
    <definedName name="jui" localSheetId="62" hidden="1">{"Riqfin97",#N/A,FALSE,"Tran";"Riqfinpro",#N/A,FALSE,"Tran"}</definedName>
    <definedName name="jui" localSheetId="50" hidden="1">{"Riqfin97",#N/A,FALSE,"Tran";"Riqfinpro",#N/A,FALSE,"Tran"}</definedName>
    <definedName name="jui" localSheetId="63" hidden="1">{"Riqfin97",#N/A,FALSE,"Tran";"Riqfinpro",#N/A,FALSE,"Tran"}</definedName>
    <definedName name="jui" localSheetId="15" hidden="1">{"Riqfin97",#N/A,FALSE,"Tran";"Riqfinpro",#N/A,FALSE,"Tran"}</definedName>
    <definedName name="jui" localSheetId="1" hidden="1">{"Riqfin97",#N/A,FALSE,"Tran";"Riqfinpro",#N/A,FALSE,"Tran"}</definedName>
    <definedName name="jui" localSheetId="43" hidden="1">{"Riqfin97",#N/A,FALSE,"Tran";"Riqfinpro",#N/A,FALSE,"Tran"}</definedName>
    <definedName name="jui" localSheetId="29" hidden="1">{"Riqfin97",#N/A,FALSE,"Tran";"Riqfinpro",#N/A,FALSE,"Tran"}</definedName>
    <definedName name="jui" localSheetId="30" hidden="1">{"Riqfin97",#N/A,FALSE,"Tran";"Riqfinpro",#N/A,FALSE,"Tran"}</definedName>
    <definedName name="jui" localSheetId="44" hidden="1">{"Riqfin97",#N/A,FALSE,"Tran";"Riqfinpro",#N/A,FALSE,"Tran"}</definedName>
    <definedName name="jui" localSheetId="59" hidden="1">{"Riqfin97",#N/A,FALSE,"Tran";"Riqfinpro",#N/A,FALSE,"Tran"}</definedName>
    <definedName name="jui" localSheetId="13" hidden="1">{"Riqfin97",#N/A,FALSE,"Tran";"Riqfinpro",#N/A,FALSE,"Tran"}</definedName>
    <definedName name="jui" localSheetId="0" hidden="1">{"Riqfin97",#N/A,FALSE,"Tran";"Riqfinpro",#N/A,FALSE,"Tran"}</definedName>
    <definedName name="jui" localSheetId="57" hidden="1">{"Riqfin97",#N/A,FALSE,"Tran";"Riqfinpro",#N/A,FALSE,"Tran"}</definedName>
    <definedName name="jui" localSheetId="56" hidden="1">{"Riqfin97",#N/A,FALSE,"Tran";"Riqfinpro",#N/A,FALSE,"Tran"}</definedName>
    <definedName name="jui" localSheetId="54" hidden="1">{"Riqfin97",#N/A,FALSE,"Tran";"Riqfinpro",#N/A,FALSE,"Tran"}</definedName>
    <definedName name="jui" localSheetId="52" hidden="1">{"Riqfin97",#N/A,FALSE,"Tran";"Riqfinpro",#N/A,FALSE,"Tran"}</definedName>
    <definedName name="jui" localSheetId="23" hidden="1">{"Riqfin97",#N/A,FALSE,"Tran";"Riqfinpro",#N/A,FALSE,"Tran"}</definedName>
    <definedName name="jui" localSheetId="51" hidden="1">{"Riqfin97",#N/A,FALSE,"Tran";"Riqfinpro",#N/A,FALSE,"Tran"}</definedName>
    <definedName name="jui" localSheetId="53" hidden="1">{"Riqfin97",#N/A,FALSE,"Tran";"Riqfinpro",#N/A,FALSE,"Tran"}</definedName>
    <definedName name="jui" localSheetId="60" hidden="1">{"Riqfin97",#N/A,FALSE,"Tran";"Riqfinpro",#N/A,FALSE,"Tran"}</definedName>
    <definedName name="jui" hidden="1">{"Riqfin97",#N/A,FALSE,"Tran";"Riqfinpro",#N/A,FALSE,"Tran"}</definedName>
    <definedName name="JUL" localSheetId="34">#REF!</definedName>
    <definedName name="JUL" localSheetId="35">#REF!</definedName>
    <definedName name="JUL" localSheetId="50">#REF!</definedName>
    <definedName name="JUL" localSheetId="15">#REF!</definedName>
    <definedName name="JUL" localSheetId="29">#REF!</definedName>
    <definedName name="JUL" localSheetId="30">#REF!</definedName>
    <definedName name="JUL" localSheetId="47">#REF!</definedName>
    <definedName name="JUL" localSheetId="44">#REF!</definedName>
    <definedName name="JUL" localSheetId="45">#REF!</definedName>
    <definedName name="JUL" localSheetId="46">#REF!</definedName>
    <definedName name="JUL" localSheetId="31">#REF!</definedName>
    <definedName name="JUL" localSheetId="32">#REF!</definedName>
    <definedName name="JUL" localSheetId="33">#REF!</definedName>
    <definedName name="JUL" localSheetId="36">#REF!</definedName>
    <definedName name="JUL" localSheetId="37">#REF!</definedName>
    <definedName name="JUL" localSheetId="38">#REF!</definedName>
    <definedName name="JUL" localSheetId="39">#REF!</definedName>
    <definedName name="JUL" localSheetId="40">#REF!</definedName>
    <definedName name="JUL" localSheetId="54">#REF!</definedName>
    <definedName name="JUL" localSheetId="55">#REF!</definedName>
    <definedName name="JUL" localSheetId="52">#REF!</definedName>
    <definedName name="JUL" localSheetId="23">#REF!</definedName>
    <definedName name="JUL" localSheetId="51">#REF!</definedName>
    <definedName name="JUL" localSheetId="53">#REF!</definedName>
    <definedName name="JUL" localSheetId="20">#REF!</definedName>
    <definedName name="JUL">#REF!</definedName>
    <definedName name="JUL._89" localSheetId="34">#REF!</definedName>
    <definedName name="JUL._89" localSheetId="35">#REF!</definedName>
    <definedName name="JUL._89" localSheetId="50">#REF!</definedName>
    <definedName name="JUL._89" localSheetId="15">#REF!</definedName>
    <definedName name="JUL._89" localSheetId="29">#REF!</definedName>
    <definedName name="JUL._89" localSheetId="30">#REF!</definedName>
    <definedName name="JUL._89" localSheetId="47">#REF!</definedName>
    <definedName name="JUL._89" localSheetId="44">#REF!</definedName>
    <definedName name="JUL._89" localSheetId="45">#REF!</definedName>
    <definedName name="JUL._89" localSheetId="46">#REF!</definedName>
    <definedName name="JUL._89" localSheetId="31">#REF!</definedName>
    <definedName name="JUL._89" localSheetId="32">#REF!</definedName>
    <definedName name="JUL._89" localSheetId="33">#REF!</definedName>
    <definedName name="JUL._89" localSheetId="36">#REF!</definedName>
    <definedName name="JUL._89" localSheetId="37">#REF!</definedName>
    <definedName name="JUL._89" localSheetId="38">#REF!</definedName>
    <definedName name="JUL._89" localSheetId="39">#REF!</definedName>
    <definedName name="JUL._89" localSheetId="40">#REF!</definedName>
    <definedName name="JUL._89" localSheetId="54">#REF!</definedName>
    <definedName name="JUL._89" localSheetId="55">#REF!</definedName>
    <definedName name="JUL._89" localSheetId="52">#REF!</definedName>
    <definedName name="JUL._89" localSheetId="23">#REF!</definedName>
    <definedName name="JUL._89" localSheetId="51">#REF!</definedName>
    <definedName name="JUL._89" localSheetId="53">#REF!</definedName>
    <definedName name="JUL._89" localSheetId="20">#REF!</definedName>
    <definedName name="JUL._89">#REF!</definedName>
    <definedName name="JUL.MD5.S" localSheetId="34">[98]MD5!#REF!</definedName>
    <definedName name="JUL.MD5.S" localSheetId="35">[98]MD5!#REF!</definedName>
    <definedName name="JUL.MD5.S" localSheetId="50">[98]MD5!#REF!</definedName>
    <definedName name="JUL.MD5.S" localSheetId="15">[98]MD5!#REF!</definedName>
    <definedName name="JUL.MD5.S" localSheetId="29">[98]MD5!#REF!</definedName>
    <definedName name="JUL.MD5.S" localSheetId="30">[98]MD5!#REF!</definedName>
    <definedName name="JUL.MD5.S" localSheetId="47">[98]MD5!#REF!</definedName>
    <definedName name="JUL.MD5.S" localSheetId="44">[98]MD5!#REF!</definedName>
    <definedName name="JUL.MD5.S" localSheetId="45">[98]MD5!#REF!</definedName>
    <definedName name="JUL.MD5.S" localSheetId="46">[98]MD5!#REF!</definedName>
    <definedName name="JUL.MD5.S" localSheetId="31">[98]MD5!#REF!</definedName>
    <definedName name="JUL.MD5.S" localSheetId="32">[98]MD5!#REF!</definedName>
    <definedName name="JUL.MD5.S" localSheetId="33">[98]MD5!#REF!</definedName>
    <definedName name="JUL.MD5.S" localSheetId="36">[98]MD5!#REF!</definedName>
    <definedName name="JUL.MD5.S" localSheetId="37">[98]MD5!#REF!</definedName>
    <definedName name="JUL.MD5.S" localSheetId="38">[98]MD5!#REF!</definedName>
    <definedName name="JUL.MD5.S" localSheetId="39">[98]MD5!#REF!</definedName>
    <definedName name="JUL.MD5.S" localSheetId="40">[98]MD5!#REF!</definedName>
    <definedName name="JUL.MD5.S" localSheetId="54">[98]MD5!#REF!</definedName>
    <definedName name="JUL.MD5.S" localSheetId="55">[98]MD5!#REF!</definedName>
    <definedName name="JUL.MD5.S" localSheetId="52">[98]MD5!#REF!</definedName>
    <definedName name="JUL.MD5.S" localSheetId="23">[98]MD5!#REF!</definedName>
    <definedName name="JUL.MD5.S" localSheetId="51">[98]MD5!#REF!</definedName>
    <definedName name="JUL.MD5.S" localSheetId="53">[98]MD5!#REF!</definedName>
    <definedName name="JUL.MD5.S" localSheetId="20">[98]MD5!#REF!</definedName>
    <definedName name="JUL.MD5.S">[98]MD5!#REF!</definedName>
    <definedName name="Jul05Cap" localSheetId="50">#REF!</definedName>
    <definedName name="Jul05Cap" localSheetId="47">#REF!</definedName>
    <definedName name="Jul05Cap" localSheetId="44">#REF!</definedName>
    <definedName name="Jul05Cap" localSheetId="45">#REF!</definedName>
    <definedName name="Jul05Cap" localSheetId="46">#REF!</definedName>
    <definedName name="Jul05Cap" localSheetId="37">#REF!</definedName>
    <definedName name="Jul05Cap" localSheetId="40">#REF!</definedName>
    <definedName name="Jul05Cap" localSheetId="54">#REF!</definedName>
    <definedName name="Jul05Cap" localSheetId="55">#REF!</definedName>
    <definedName name="Jul05Cap" localSheetId="52">#REF!</definedName>
    <definedName name="Jul05Cap" localSheetId="51">#REF!</definedName>
    <definedName name="Jul05Cap" localSheetId="53">#REF!</definedName>
    <definedName name="Jul05Cap">#REF!</definedName>
    <definedName name="Jul06Cap" localSheetId="50">#REF!</definedName>
    <definedName name="Jul06Cap" localSheetId="47">#REF!</definedName>
    <definedName name="Jul06Cap" localSheetId="44">#REF!</definedName>
    <definedName name="Jul06Cap" localSheetId="45">#REF!</definedName>
    <definedName name="Jul06Cap" localSheetId="46">#REF!</definedName>
    <definedName name="Jul06Cap" localSheetId="37">#REF!</definedName>
    <definedName name="Jul06Cap" localSheetId="40">#REF!</definedName>
    <definedName name="Jul06Cap" localSheetId="54">#REF!</definedName>
    <definedName name="Jul06Cap" localSheetId="55">#REF!</definedName>
    <definedName name="Jul06Cap" localSheetId="52">#REF!</definedName>
    <definedName name="Jul06Cap" localSheetId="51">#REF!</definedName>
    <definedName name="Jul06Cap" localSheetId="53">#REF!</definedName>
    <definedName name="Jul06Cap">#REF!</definedName>
    <definedName name="July">'[45]Variance Explanations'!$J$10:$J$84,'[45]Variance Explanations'!$J$98:$J$178,'[45]Variance Explanations'!$J$190:$J$252,'[45]Variance Explanations'!$J$252,'[45]Variance Explanations'!$J$264:$J$343,'[45]Variance Explanations'!$J$356:$J$409,'[45]Variance Explanations'!$J$424:$J$485,'[45]Variance Explanations'!$J$508:$J$555</definedName>
    <definedName name="JUN" localSheetId="34">#REF!</definedName>
    <definedName name="JUN" localSheetId="35">#REF!</definedName>
    <definedName name="JUN" localSheetId="50">#REF!</definedName>
    <definedName name="JUN" localSheetId="15">#REF!</definedName>
    <definedName name="JUN" localSheetId="29">#REF!</definedName>
    <definedName name="JUN" localSheetId="30">#REF!</definedName>
    <definedName name="JUN" localSheetId="47">#REF!</definedName>
    <definedName name="JUN" localSheetId="44">#REF!</definedName>
    <definedName name="JUN" localSheetId="45">#REF!</definedName>
    <definedName name="JUN" localSheetId="46">#REF!</definedName>
    <definedName name="JUN" localSheetId="31">#REF!</definedName>
    <definedName name="JUN" localSheetId="32">#REF!</definedName>
    <definedName name="JUN" localSheetId="33">#REF!</definedName>
    <definedName name="JUN" localSheetId="36">#REF!</definedName>
    <definedName name="JUN" localSheetId="37">#REF!</definedName>
    <definedName name="JUN" localSheetId="38">#REF!</definedName>
    <definedName name="JUN" localSheetId="39">#REF!</definedName>
    <definedName name="JUN" localSheetId="40">#REF!</definedName>
    <definedName name="JUN" localSheetId="54">#REF!</definedName>
    <definedName name="JUN" localSheetId="55">#REF!</definedName>
    <definedName name="JUN" localSheetId="52">#REF!</definedName>
    <definedName name="JUN" localSheetId="23">#REF!</definedName>
    <definedName name="JUN" localSheetId="51">#REF!</definedName>
    <definedName name="JUN" localSheetId="53">#REF!</definedName>
    <definedName name="JUN" localSheetId="20">#REF!</definedName>
    <definedName name="JUN">#REF!</definedName>
    <definedName name="JUN._89" localSheetId="34">#REF!</definedName>
    <definedName name="JUN._89" localSheetId="35">#REF!</definedName>
    <definedName name="JUN._89" localSheetId="50">#REF!</definedName>
    <definedName name="JUN._89" localSheetId="15">#REF!</definedName>
    <definedName name="JUN._89" localSheetId="29">#REF!</definedName>
    <definedName name="JUN._89" localSheetId="30">#REF!</definedName>
    <definedName name="JUN._89" localSheetId="47">#REF!</definedName>
    <definedName name="JUN._89" localSheetId="44">#REF!</definedName>
    <definedName name="JUN._89" localSheetId="45">#REF!</definedName>
    <definedName name="JUN._89" localSheetId="46">#REF!</definedName>
    <definedName name="JUN._89" localSheetId="31">#REF!</definedName>
    <definedName name="JUN._89" localSheetId="32">#REF!</definedName>
    <definedName name="JUN._89" localSheetId="33">#REF!</definedName>
    <definedName name="JUN._89" localSheetId="36">#REF!</definedName>
    <definedName name="JUN._89" localSheetId="37">#REF!</definedName>
    <definedName name="JUN._89" localSheetId="38">#REF!</definedName>
    <definedName name="JUN._89" localSheetId="39">#REF!</definedName>
    <definedName name="JUN._89" localSheetId="40">#REF!</definedName>
    <definedName name="JUN._89" localSheetId="54">#REF!</definedName>
    <definedName name="JUN._89" localSheetId="55">#REF!</definedName>
    <definedName name="JUN._89" localSheetId="52">#REF!</definedName>
    <definedName name="JUN._89" localSheetId="23">#REF!</definedName>
    <definedName name="JUN._89" localSheetId="51">#REF!</definedName>
    <definedName name="JUN._89" localSheetId="53">#REF!</definedName>
    <definedName name="JUN._89" localSheetId="20">#REF!</definedName>
    <definedName name="JUN._89">#REF!</definedName>
    <definedName name="Jun05Cap" localSheetId="50">#REF!</definedName>
    <definedName name="Jun05Cap" localSheetId="47">#REF!</definedName>
    <definedName name="Jun05Cap" localSheetId="44">#REF!</definedName>
    <definedName name="Jun05Cap" localSheetId="45">#REF!</definedName>
    <definedName name="Jun05Cap" localSheetId="46">#REF!</definedName>
    <definedName name="Jun05Cap" localSheetId="37">#REF!</definedName>
    <definedName name="Jun05Cap" localSheetId="40">#REF!</definedName>
    <definedName name="Jun05Cap" localSheetId="54">#REF!</definedName>
    <definedName name="Jun05Cap" localSheetId="55">#REF!</definedName>
    <definedName name="Jun05Cap" localSheetId="52">#REF!</definedName>
    <definedName name="Jun05Cap" localSheetId="51">#REF!</definedName>
    <definedName name="Jun05Cap" localSheetId="53">#REF!</definedName>
    <definedName name="Jun05Cap">#REF!</definedName>
    <definedName name="Jun06Cap" localSheetId="50">#REF!</definedName>
    <definedName name="Jun06Cap" localSheetId="47">#REF!</definedName>
    <definedName name="Jun06Cap" localSheetId="44">#REF!</definedName>
    <definedName name="Jun06Cap" localSheetId="45">#REF!</definedName>
    <definedName name="Jun06Cap" localSheetId="46">#REF!</definedName>
    <definedName name="Jun06Cap" localSheetId="37">#REF!</definedName>
    <definedName name="Jun06Cap" localSheetId="40">#REF!</definedName>
    <definedName name="Jun06Cap" localSheetId="54">#REF!</definedName>
    <definedName name="Jun06Cap" localSheetId="55">#REF!</definedName>
    <definedName name="Jun06Cap" localSheetId="52">#REF!</definedName>
    <definedName name="Jun06Cap" localSheetId="51">#REF!</definedName>
    <definedName name="Jun06Cap" localSheetId="53">#REF!</definedName>
    <definedName name="Jun06Cap">#REF!</definedName>
    <definedName name="June">'[45]Variance Explanations'!$I$10:$I$84,'[45]Variance Explanations'!$I$98:$I$178,'[45]Variance Explanations'!$I$190:$I$252,'[45]Variance Explanations'!$I$252,'[45]Variance Explanations'!$I$264:$I$343,'[45]Variance Explanations'!$I$356:$I$409,'[45]Variance Explanations'!$I$424:$I$485,'[45]Variance Explanations'!$I$508:$I$555</definedName>
    <definedName name="juy" localSheetId="58" hidden="1">{"Tab1",#N/A,FALSE,"P";"Tab2",#N/A,FALSE,"P"}</definedName>
    <definedName name="juy" localSheetId="16" hidden="1">{"Tab1",#N/A,FALSE,"P";"Tab2",#N/A,FALSE,"P"}</definedName>
    <definedName name="juy" localSheetId="61" hidden="1">{"Tab1",#N/A,FALSE,"P";"Tab2",#N/A,FALSE,"P"}</definedName>
    <definedName name="juy" localSheetId="62" hidden="1">{"Tab1",#N/A,FALSE,"P";"Tab2",#N/A,FALSE,"P"}</definedName>
    <definedName name="juy" localSheetId="50" hidden="1">{"Tab1",#N/A,FALSE,"P";"Tab2",#N/A,FALSE,"P"}</definedName>
    <definedName name="juy" localSheetId="63" hidden="1">{"Tab1",#N/A,FALSE,"P";"Tab2",#N/A,FALSE,"P"}</definedName>
    <definedName name="juy" localSheetId="15" hidden="1">{"Tab1",#N/A,FALSE,"P";"Tab2",#N/A,FALSE,"P"}</definedName>
    <definedName name="juy" localSheetId="1" hidden="1">{"Tab1",#N/A,FALSE,"P";"Tab2",#N/A,FALSE,"P"}</definedName>
    <definedName name="juy" localSheetId="43" hidden="1">{"Tab1",#N/A,FALSE,"P";"Tab2",#N/A,FALSE,"P"}</definedName>
    <definedName name="juy" localSheetId="29" hidden="1">{"Tab1",#N/A,FALSE,"P";"Tab2",#N/A,FALSE,"P"}</definedName>
    <definedName name="juy" localSheetId="30" hidden="1">{"Tab1",#N/A,FALSE,"P";"Tab2",#N/A,FALSE,"P"}</definedName>
    <definedName name="juy" localSheetId="44" hidden="1">{"Tab1",#N/A,FALSE,"P";"Tab2",#N/A,FALSE,"P"}</definedName>
    <definedName name="juy" localSheetId="59" hidden="1">{"Tab1",#N/A,FALSE,"P";"Tab2",#N/A,FALSE,"P"}</definedName>
    <definedName name="juy" localSheetId="13" hidden="1">{"Tab1",#N/A,FALSE,"P";"Tab2",#N/A,FALSE,"P"}</definedName>
    <definedName name="juy" localSheetId="0" hidden="1">{"Tab1",#N/A,FALSE,"P";"Tab2",#N/A,FALSE,"P"}</definedName>
    <definedName name="juy" localSheetId="57" hidden="1">{"Tab1",#N/A,FALSE,"P";"Tab2",#N/A,FALSE,"P"}</definedName>
    <definedName name="juy" localSheetId="56" hidden="1">{"Tab1",#N/A,FALSE,"P";"Tab2",#N/A,FALSE,"P"}</definedName>
    <definedName name="juy" localSheetId="54" hidden="1">{"Tab1",#N/A,FALSE,"P";"Tab2",#N/A,FALSE,"P"}</definedName>
    <definedName name="juy" localSheetId="52" hidden="1">{"Tab1",#N/A,FALSE,"P";"Tab2",#N/A,FALSE,"P"}</definedName>
    <definedName name="juy" localSheetId="23" hidden="1">{"Tab1",#N/A,FALSE,"P";"Tab2",#N/A,FALSE,"P"}</definedName>
    <definedName name="juy" localSheetId="51" hidden="1">{"Tab1",#N/A,FALSE,"P";"Tab2",#N/A,FALSE,"P"}</definedName>
    <definedName name="juy" localSheetId="53" hidden="1">{"Tab1",#N/A,FALSE,"P";"Tab2",#N/A,FALSE,"P"}</definedName>
    <definedName name="juy" localSheetId="60" hidden="1">{"Tab1",#N/A,FALSE,"P";"Tab2",#N/A,FALSE,"P"}</definedName>
    <definedName name="juy" hidden="1">{"Tab1",#N/A,FALSE,"P";"Tab2",#N/A,FALSE,"P"}</definedName>
    <definedName name="k" localSheetId="58" hidden="1">{"Riqfin97",#N/A,FALSE,"Tran";"Riqfinpro",#N/A,FALSE,"Tran"}</definedName>
    <definedName name="k" localSheetId="16" hidden="1">{"Riqfin97",#N/A,FALSE,"Tran";"Riqfinpro",#N/A,FALSE,"Tran"}</definedName>
    <definedName name="k" localSheetId="61" hidden="1">{"Riqfin97",#N/A,FALSE,"Tran";"Riqfinpro",#N/A,FALSE,"Tran"}</definedName>
    <definedName name="k" localSheetId="62" hidden="1">{"Riqfin97",#N/A,FALSE,"Tran";"Riqfinpro",#N/A,FALSE,"Tran"}</definedName>
    <definedName name="k" localSheetId="50" hidden="1">{"Riqfin97",#N/A,FALSE,"Tran";"Riqfinpro",#N/A,FALSE,"Tran"}</definedName>
    <definedName name="k" localSheetId="63" hidden="1">{"Riqfin97",#N/A,FALSE,"Tran";"Riqfinpro",#N/A,FALSE,"Tran"}</definedName>
    <definedName name="k" localSheetId="15" hidden="1">{"Riqfin97",#N/A,FALSE,"Tran";"Riqfinpro",#N/A,FALSE,"Tran"}</definedName>
    <definedName name="k" localSheetId="1" hidden="1">{"Riqfin97",#N/A,FALSE,"Tran";"Riqfinpro",#N/A,FALSE,"Tran"}</definedName>
    <definedName name="k" localSheetId="43" hidden="1">{"Riqfin97",#N/A,FALSE,"Tran";"Riqfinpro",#N/A,FALSE,"Tran"}</definedName>
    <definedName name="k" localSheetId="29" hidden="1">{"Riqfin97",#N/A,FALSE,"Tran";"Riqfinpro",#N/A,FALSE,"Tran"}</definedName>
    <definedName name="k" localSheetId="30" hidden="1">{"Riqfin97",#N/A,FALSE,"Tran";"Riqfinpro",#N/A,FALSE,"Tran"}</definedName>
    <definedName name="k" localSheetId="44" hidden="1">{"Riqfin97",#N/A,FALSE,"Tran";"Riqfinpro",#N/A,FALSE,"Tran"}</definedName>
    <definedName name="k" localSheetId="59" hidden="1">{"Riqfin97",#N/A,FALSE,"Tran";"Riqfinpro",#N/A,FALSE,"Tran"}</definedName>
    <definedName name="k" localSheetId="13" hidden="1">{"Riqfin97",#N/A,FALSE,"Tran";"Riqfinpro",#N/A,FALSE,"Tran"}</definedName>
    <definedName name="k" localSheetId="0" hidden="1">{"Riqfin97",#N/A,FALSE,"Tran";"Riqfinpro",#N/A,FALSE,"Tran"}</definedName>
    <definedName name="k" localSheetId="57" hidden="1">{"Riqfin97",#N/A,FALSE,"Tran";"Riqfinpro",#N/A,FALSE,"Tran"}</definedName>
    <definedName name="k" localSheetId="56" hidden="1">{"Riqfin97",#N/A,FALSE,"Tran";"Riqfinpro",#N/A,FALSE,"Tran"}</definedName>
    <definedName name="k" localSheetId="54" hidden="1">{"Riqfin97",#N/A,FALSE,"Tran";"Riqfinpro",#N/A,FALSE,"Tran"}</definedName>
    <definedName name="k" localSheetId="52" hidden="1">{"Riqfin97",#N/A,FALSE,"Tran";"Riqfinpro",#N/A,FALSE,"Tran"}</definedName>
    <definedName name="k" localSheetId="23" hidden="1">{"Riqfin97",#N/A,FALSE,"Tran";"Riqfinpro",#N/A,FALSE,"Tran"}</definedName>
    <definedName name="k" localSheetId="51" hidden="1">{"Riqfin97",#N/A,FALSE,"Tran";"Riqfinpro",#N/A,FALSE,"Tran"}</definedName>
    <definedName name="k" localSheetId="53" hidden="1">{"Riqfin97",#N/A,FALSE,"Tran";"Riqfinpro",#N/A,FALSE,"Tran"}</definedName>
    <definedName name="k" localSheetId="60" hidden="1">{"Riqfin97",#N/A,FALSE,"Tran";"Riqfinpro",#N/A,FALSE,"Tran"}</definedName>
    <definedName name="k" hidden="1">{"Riqfin97",#N/A,FALSE,"Tran";"Riqfinpro",#N/A,FALSE,"Tran"}</definedName>
    <definedName name="kdjfslkjd" localSheetId="50">#REF!</definedName>
    <definedName name="kdjfslkjd" localSheetId="47">#REF!</definedName>
    <definedName name="kdjfslkjd" localSheetId="44">#REF!</definedName>
    <definedName name="kdjfslkjd" localSheetId="45">#REF!</definedName>
    <definedName name="kdjfslkjd" localSheetId="46">#REF!</definedName>
    <definedName name="kdjfslkjd" localSheetId="37">#REF!</definedName>
    <definedName name="kdjfslkjd" localSheetId="40">#REF!</definedName>
    <definedName name="kdjfslkjd" localSheetId="54">#REF!</definedName>
    <definedName name="kdjfslkjd" localSheetId="55">#REF!</definedName>
    <definedName name="kdjfslkjd" localSheetId="52">#REF!</definedName>
    <definedName name="kdjfslkjd" localSheetId="51">#REF!</definedName>
    <definedName name="kdjfslkjd" localSheetId="53">#REF!</definedName>
    <definedName name="kdjfslkjd">#REF!</definedName>
    <definedName name="kecrate">'[52]Burn Rates'!$G$10</definedName>
    <definedName name="kevrate">'[52]Burn Rates'!$G$13</definedName>
    <definedName name="kio" localSheetId="58" hidden="1">{"Tab1",#N/A,FALSE,"P";"Tab2",#N/A,FALSE,"P"}</definedName>
    <definedName name="kio" localSheetId="16" hidden="1">{"Tab1",#N/A,FALSE,"P";"Tab2",#N/A,FALSE,"P"}</definedName>
    <definedName name="kio" localSheetId="61" hidden="1">{"Tab1",#N/A,FALSE,"P";"Tab2",#N/A,FALSE,"P"}</definedName>
    <definedName name="kio" localSheetId="62" hidden="1">{"Tab1",#N/A,FALSE,"P";"Tab2",#N/A,FALSE,"P"}</definedName>
    <definedName name="kio" localSheetId="50" hidden="1">{"Tab1",#N/A,FALSE,"P";"Tab2",#N/A,FALSE,"P"}</definedName>
    <definedName name="kio" localSheetId="63" hidden="1">{"Tab1",#N/A,FALSE,"P";"Tab2",#N/A,FALSE,"P"}</definedName>
    <definedName name="kio" localSheetId="15" hidden="1">{"Tab1",#N/A,FALSE,"P";"Tab2",#N/A,FALSE,"P"}</definedName>
    <definedName name="kio" localSheetId="1" hidden="1">{"Tab1",#N/A,FALSE,"P";"Tab2",#N/A,FALSE,"P"}</definedName>
    <definedName name="kio" localSheetId="43" hidden="1">{"Tab1",#N/A,FALSE,"P";"Tab2",#N/A,FALSE,"P"}</definedName>
    <definedName name="kio" localSheetId="29" hidden="1">{"Tab1",#N/A,FALSE,"P";"Tab2",#N/A,FALSE,"P"}</definedName>
    <definedName name="kio" localSheetId="30" hidden="1">{"Tab1",#N/A,FALSE,"P";"Tab2",#N/A,FALSE,"P"}</definedName>
    <definedName name="kio" localSheetId="44" hidden="1">{"Tab1",#N/A,FALSE,"P";"Tab2",#N/A,FALSE,"P"}</definedName>
    <definedName name="kio" localSheetId="59" hidden="1">{"Tab1",#N/A,FALSE,"P";"Tab2",#N/A,FALSE,"P"}</definedName>
    <definedName name="kio" localSheetId="13" hidden="1">{"Tab1",#N/A,FALSE,"P";"Tab2",#N/A,FALSE,"P"}</definedName>
    <definedName name="kio" localSheetId="0" hidden="1">{"Tab1",#N/A,FALSE,"P";"Tab2",#N/A,FALSE,"P"}</definedName>
    <definedName name="kio" localSheetId="57" hidden="1">{"Tab1",#N/A,FALSE,"P";"Tab2",#N/A,FALSE,"P"}</definedName>
    <definedName name="kio" localSheetId="56" hidden="1">{"Tab1",#N/A,FALSE,"P";"Tab2",#N/A,FALSE,"P"}</definedName>
    <definedName name="kio" localSheetId="54" hidden="1">{"Tab1",#N/A,FALSE,"P";"Tab2",#N/A,FALSE,"P"}</definedName>
    <definedName name="kio" localSheetId="52" hidden="1">{"Tab1",#N/A,FALSE,"P";"Tab2",#N/A,FALSE,"P"}</definedName>
    <definedName name="kio" localSheetId="23" hidden="1">{"Tab1",#N/A,FALSE,"P";"Tab2",#N/A,FALSE,"P"}</definedName>
    <definedName name="kio" localSheetId="51" hidden="1">{"Tab1",#N/A,FALSE,"P";"Tab2",#N/A,FALSE,"P"}</definedName>
    <definedName name="kio" localSheetId="53" hidden="1">{"Tab1",#N/A,FALSE,"P";"Tab2",#N/A,FALSE,"P"}</definedName>
    <definedName name="kio" localSheetId="60" hidden="1">{"Tab1",#N/A,FALSE,"P";"Tab2",#N/A,FALSE,"P"}</definedName>
    <definedName name="kio" hidden="1">{"Tab1",#N/A,FALSE,"P";"Tab2",#N/A,FALSE,"P"}</definedName>
    <definedName name="kiu" localSheetId="58" hidden="1">{"Riqfin97",#N/A,FALSE,"Tran";"Riqfinpro",#N/A,FALSE,"Tran"}</definedName>
    <definedName name="kiu" localSheetId="16" hidden="1">{"Riqfin97",#N/A,FALSE,"Tran";"Riqfinpro",#N/A,FALSE,"Tran"}</definedName>
    <definedName name="kiu" localSheetId="61" hidden="1">{"Riqfin97",#N/A,FALSE,"Tran";"Riqfinpro",#N/A,FALSE,"Tran"}</definedName>
    <definedName name="kiu" localSheetId="62" hidden="1">{"Riqfin97",#N/A,FALSE,"Tran";"Riqfinpro",#N/A,FALSE,"Tran"}</definedName>
    <definedName name="kiu" localSheetId="50" hidden="1">{"Riqfin97",#N/A,FALSE,"Tran";"Riqfinpro",#N/A,FALSE,"Tran"}</definedName>
    <definedName name="kiu" localSheetId="63" hidden="1">{"Riqfin97",#N/A,FALSE,"Tran";"Riqfinpro",#N/A,FALSE,"Tran"}</definedName>
    <definedName name="kiu" localSheetId="15" hidden="1">{"Riqfin97",#N/A,FALSE,"Tran";"Riqfinpro",#N/A,FALSE,"Tran"}</definedName>
    <definedName name="kiu" localSheetId="1" hidden="1">{"Riqfin97",#N/A,FALSE,"Tran";"Riqfinpro",#N/A,FALSE,"Tran"}</definedName>
    <definedName name="kiu" localSheetId="43" hidden="1">{"Riqfin97",#N/A,FALSE,"Tran";"Riqfinpro",#N/A,FALSE,"Tran"}</definedName>
    <definedName name="kiu" localSheetId="29" hidden="1">{"Riqfin97",#N/A,FALSE,"Tran";"Riqfinpro",#N/A,FALSE,"Tran"}</definedName>
    <definedName name="kiu" localSheetId="30" hidden="1">{"Riqfin97",#N/A,FALSE,"Tran";"Riqfinpro",#N/A,FALSE,"Tran"}</definedName>
    <definedName name="kiu" localSheetId="44" hidden="1">{"Riqfin97",#N/A,FALSE,"Tran";"Riqfinpro",#N/A,FALSE,"Tran"}</definedName>
    <definedName name="kiu" localSheetId="59" hidden="1">{"Riqfin97",#N/A,FALSE,"Tran";"Riqfinpro",#N/A,FALSE,"Tran"}</definedName>
    <definedName name="kiu" localSheetId="13" hidden="1">{"Riqfin97",#N/A,FALSE,"Tran";"Riqfinpro",#N/A,FALSE,"Tran"}</definedName>
    <definedName name="kiu" localSheetId="0" hidden="1">{"Riqfin97",#N/A,FALSE,"Tran";"Riqfinpro",#N/A,FALSE,"Tran"}</definedName>
    <definedName name="kiu" localSheetId="57" hidden="1">{"Riqfin97",#N/A,FALSE,"Tran";"Riqfinpro",#N/A,FALSE,"Tran"}</definedName>
    <definedName name="kiu" localSheetId="56" hidden="1">{"Riqfin97",#N/A,FALSE,"Tran";"Riqfinpro",#N/A,FALSE,"Tran"}</definedName>
    <definedName name="kiu" localSheetId="54" hidden="1">{"Riqfin97",#N/A,FALSE,"Tran";"Riqfinpro",#N/A,FALSE,"Tran"}</definedName>
    <definedName name="kiu" localSheetId="52" hidden="1">{"Riqfin97",#N/A,FALSE,"Tran";"Riqfinpro",#N/A,FALSE,"Tran"}</definedName>
    <definedName name="kiu" localSheetId="23" hidden="1">{"Riqfin97",#N/A,FALSE,"Tran";"Riqfinpro",#N/A,FALSE,"Tran"}</definedName>
    <definedName name="kiu" localSheetId="51" hidden="1">{"Riqfin97",#N/A,FALSE,"Tran";"Riqfinpro",#N/A,FALSE,"Tran"}</definedName>
    <definedName name="kiu" localSheetId="53" hidden="1">{"Riqfin97",#N/A,FALSE,"Tran";"Riqfinpro",#N/A,FALSE,"Tran"}</definedName>
    <definedName name="kiu" localSheetId="60" hidden="1">{"Riqfin97",#N/A,FALSE,"Tran";"Riqfinpro",#N/A,FALSE,"Tran"}</definedName>
    <definedName name="kiu" hidden="1">{"Riqfin97",#N/A,FALSE,"Tran";"Riqfinpro",#N/A,FALSE,"Tran"}</definedName>
    <definedName name="kk" localSheetId="58" hidden="1">{"Tab1",#N/A,FALSE,"P";"Tab2",#N/A,FALSE,"P"}</definedName>
    <definedName name="kk" localSheetId="16" hidden="1">{"Tab1",#N/A,FALSE,"P";"Tab2",#N/A,FALSE,"P"}</definedName>
    <definedName name="kk" localSheetId="61" hidden="1">{"Tab1",#N/A,FALSE,"P";"Tab2",#N/A,FALSE,"P"}</definedName>
    <definedName name="kk" localSheetId="62" hidden="1">{"Tab1",#N/A,FALSE,"P";"Tab2",#N/A,FALSE,"P"}</definedName>
    <definedName name="kk" localSheetId="50" hidden="1">{"Tab1",#N/A,FALSE,"P";"Tab2",#N/A,FALSE,"P"}</definedName>
    <definedName name="kk" localSheetId="63" hidden="1">{"Tab1",#N/A,FALSE,"P";"Tab2",#N/A,FALSE,"P"}</definedName>
    <definedName name="kk" localSheetId="15" hidden="1">{"Tab1",#N/A,FALSE,"P";"Tab2",#N/A,FALSE,"P"}</definedName>
    <definedName name="kk" localSheetId="1" hidden="1">{"Tab1",#N/A,FALSE,"P";"Tab2",#N/A,FALSE,"P"}</definedName>
    <definedName name="kk" localSheetId="43" hidden="1">{"Tab1",#N/A,FALSE,"P";"Tab2",#N/A,FALSE,"P"}</definedName>
    <definedName name="kk" localSheetId="29" hidden="1">{"Tab1",#N/A,FALSE,"P";"Tab2",#N/A,FALSE,"P"}</definedName>
    <definedName name="kk" localSheetId="30" hidden="1">{"Tab1",#N/A,FALSE,"P";"Tab2",#N/A,FALSE,"P"}</definedName>
    <definedName name="kk" localSheetId="44" hidden="1">{"Tab1",#N/A,FALSE,"P";"Tab2",#N/A,FALSE,"P"}</definedName>
    <definedName name="kk" localSheetId="59" hidden="1">{"Tab1",#N/A,FALSE,"P";"Tab2",#N/A,FALSE,"P"}</definedName>
    <definedName name="kk" localSheetId="13" hidden="1">{"Tab1",#N/A,FALSE,"P";"Tab2",#N/A,FALSE,"P"}</definedName>
    <definedName name="kk" localSheetId="0" hidden="1">{"Tab1",#N/A,FALSE,"P";"Tab2",#N/A,FALSE,"P"}</definedName>
    <definedName name="kk" localSheetId="57" hidden="1">{"Tab1",#N/A,FALSE,"P";"Tab2",#N/A,FALSE,"P"}</definedName>
    <definedName name="kk" localSheetId="56" hidden="1">{"Tab1",#N/A,FALSE,"P";"Tab2",#N/A,FALSE,"P"}</definedName>
    <definedName name="kk" localSheetId="54" hidden="1">{"Tab1",#N/A,FALSE,"P";"Tab2",#N/A,FALSE,"P"}</definedName>
    <definedName name="kk" localSheetId="52" hidden="1">{"Tab1",#N/A,FALSE,"P";"Tab2",#N/A,FALSE,"P"}</definedName>
    <definedName name="kk" localSheetId="23" hidden="1">{"Tab1",#N/A,FALSE,"P";"Tab2",#N/A,FALSE,"P"}</definedName>
    <definedName name="kk" localSheetId="51" hidden="1">{"Tab1",#N/A,FALSE,"P";"Tab2",#N/A,FALSE,"P"}</definedName>
    <definedName name="kk" localSheetId="53" hidden="1">{"Tab1",#N/A,FALSE,"P";"Tab2",#N/A,FALSE,"P"}</definedName>
    <definedName name="kk" localSheetId="60" hidden="1">{"Tab1",#N/A,FALSE,"P";"Tab2",#N/A,FALSE,"P"}</definedName>
    <definedName name="kk" hidden="1">{"Tab1",#N/A,FALSE,"P";"Tab2",#N/A,FALSE,"P"}</definedName>
    <definedName name="kkk" localSheetId="58" hidden="1">{"Minpmon",#N/A,FALSE,"Monthinput"}</definedName>
    <definedName name="kkk" localSheetId="16" hidden="1">{"Minpmon",#N/A,FALSE,"Monthinput"}</definedName>
    <definedName name="kkk" localSheetId="61" hidden="1">{"Minpmon",#N/A,FALSE,"Monthinput"}</definedName>
    <definedName name="kkk" localSheetId="62" hidden="1">{"Minpmon",#N/A,FALSE,"Monthinput"}</definedName>
    <definedName name="kkk" localSheetId="50" hidden="1">{"Minpmon",#N/A,FALSE,"Monthinput"}</definedName>
    <definedName name="kkk" localSheetId="63" hidden="1">{"Minpmon",#N/A,FALSE,"Monthinput"}</definedName>
    <definedName name="kkk" localSheetId="15" hidden="1">{"Minpmon",#N/A,FALSE,"Monthinput"}</definedName>
    <definedName name="kkk" localSheetId="1" hidden="1">{"Minpmon",#N/A,FALSE,"Monthinput"}</definedName>
    <definedName name="kkk" localSheetId="43" hidden="1">{"Minpmon",#N/A,FALSE,"Monthinput"}</definedName>
    <definedName name="kkk" localSheetId="29" hidden="1">{"Minpmon",#N/A,FALSE,"Monthinput"}</definedName>
    <definedName name="kkk" localSheetId="30" hidden="1">{"Minpmon",#N/A,FALSE,"Monthinput"}</definedName>
    <definedName name="kkk" localSheetId="44" hidden="1">{"Minpmon",#N/A,FALSE,"Monthinput"}</definedName>
    <definedName name="kkk" localSheetId="59" hidden="1">{"Minpmon",#N/A,FALSE,"Monthinput"}</definedName>
    <definedName name="kkk" localSheetId="13" hidden="1">{"Minpmon",#N/A,FALSE,"Monthinput"}</definedName>
    <definedName name="kkk" localSheetId="0" hidden="1">{"Minpmon",#N/A,FALSE,"Monthinput"}</definedName>
    <definedName name="kkk" localSheetId="57" hidden="1">{"Minpmon",#N/A,FALSE,"Monthinput"}</definedName>
    <definedName name="kkk" localSheetId="56" hidden="1">{"Minpmon",#N/A,FALSE,"Monthinput"}</definedName>
    <definedName name="kkk" localSheetId="54" hidden="1">{"Minpmon",#N/A,FALSE,"Monthinput"}</definedName>
    <definedName name="kkk" localSheetId="52" hidden="1">{"Minpmon",#N/A,FALSE,"Monthinput"}</definedName>
    <definedName name="kkk" localSheetId="23" hidden="1">{"Minpmon",#N/A,FALSE,"Monthinput"}</definedName>
    <definedName name="kkk" localSheetId="51" hidden="1">{"Minpmon",#N/A,FALSE,"Monthinput"}</definedName>
    <definedName name="kkk" localSheetId="53" hidden="1">{"Minpmon",#N/A,FALSE,"Monthinput"}</definedName>
    <definedName name="kkk" localSheetId="60" hidden="1">{"Minpmon",#N/A,FALSE,"Monthinput"}</definedName>
    <definedName name="kkk" hidden="1">{"Minpmon",#N/A,FALSE,"Monthinput"}</definedName>
    <definedName name="kkkk" localSheetId="50">#N/A</definedName>
    <definedName name="kkkk" localSheetId="44">#N/A</definedName>
    <definedName name="kkkk" localSheetId="54">#N/A</definedName>
    <definedName name="kkkk" localSheetId="52">#N/A</definedName>
    <definedName name="kkkk" localSheetId="51">#N/A</definedName>
    <definedName name="kkkk" localSheetId="53">#N/A</definedName>
    <definedName name="kkkk">[54]!kkkk</definedName>
    <definedName name="kkkkk" localSheetId="34" hidden="1">'[104]J(Priv.Cap)'!#REF!</definedName>
    <definedName name="kkkkk" localSheetId="35" hidden="1">'[104]J(Priv.Cap)'!#REF!</definedName>
    <definedName name="kkkkk" localSheetId="50" hidden="1">'[104]J(Priv.Cap)'!#REF!</definedName>
    <definedName name="kkkkk" localSheetId="15" hidden="1">'[104]J(Priv.Cap)'!#REF!</definedName>
    <definedName name="kkkkk" localSheetId="29" hidden="1">'[104]J(Priv.Cap)'!#REF!</definedName>
    <definedName name="kkkkk" localSheetId="30" hidden="1">'[104]J(Priv.Cap)'!#REF!</definedName>
    <definedName name="kkkkk" localSheetId="47" hidden="1">'[104]J(Priv.Cap)'!#REF!</definedName>
    <definedName name="kkkkk" localSheetId="44" hidden="1">'[104]J(Priv.Cap)'!#REF!</definedName>
    <definedName name="kkkkk" localSheetId="45" hidden="1">'[104]J(Priv.Cap)'!#REF!</definedName>
    <definedName name="kkkkk" localSheetId="46" hidden="1">'[104]J(Priv.Cap)'!#REF!</definedName>
    <definedName name="kkkkk" localSheetId="31" hidden="1">'[104]J(Priv.Cap)'!#REF!</definedName>
    <definedName name="kkkkk" localSheetId="32" hidden="1">'[104]J(Priv.Cap)'!#REF!</definedName>
    <definedName name="kkkkk" localSheetId="33" hidden="1">'[104]J(Priv.Cap)'!#REF!</definedName>
    <definedName name="kkkkk" localSheetId="36" hidden="1">'[104]J(Priv.Cap)'!#REF!</definedName>
    <definedName name="kkkkk" localSheetId="37" hidden="1">'[104]J(Priv.Cap)'!#REF!</definedName>
    <definedName name="kkkkk" localSheetId="38" hidden="1">'[104]J(Priv.Cap)'!#REF!</definedName>
    <definedName name="kkkkk" localSheetId="39" hidden="1">'[104]J(Priv.Cap)'!#REF!</definedName>
    <definedName name="kkkkk" localSheetId="40" hidden="1">'[104]J(Priv.Cap)'!#REF!</definedName>
    <definedName name="kkkkk" localSheetId="54" hidden="1">'[104]J(Priv.Cap)'!#REF!</definedName>
    <definedName name="kkkkk" localSheetId="55" hidden="1">'[104]J(Priv.Cap)'!#REF!</definedName>
    <definedName name="kkkkk" localSheetId="52" hidden="1">'[104]J(Priv.Cap)'!#REF!</definedName>
    <definedName name="kkkkk" localSheetId="23" hidden="1">'[104]J(Priv.Cap)'!#REF!</definedName>
    <definedName name="kkkkk" localSheetId="51" hidden="1">'[104]J(Priv.Cap)'!#REF!</definedName>
    <definedName name="kkkkk" localSheetId="53" hidden="1">'[104]J(Priv.Cap)'!#REF!</definedName>
    <definedName name="kkkkk" localSheetId="20" hidden="1">'[104]J(Priv.Cap)'!#REF!</definedName>
    <definedName name="kkkkk" hidden="1">'[104]J(Priv.Cap)'!#REF!</definedName>
    <definedName name="L" localSheetId="50">[90]DA!#REF!</definedName>
    <definedName name="L" localSheetId="47">[90]DA!#REF!</definedName>
    <definedName name="L" localSheetId="44">[90]DA!#REF!</definedName>
    <definedName name="L" localSheetId="45">[90]DA!#REF!</definedName>
    <definedName name="L" localSheetId="46">[90]DA!#REF!</definedName>
    <definedName name="L" localSheetId="37">[90]DA!#REF!</definedName>
    <definedName name="L" localSheetId="40">[90]DA!#REF!</definedName>
    <definedName name="L" localSheetId="54">[90]DA!#REF!</definedName>
    <definedName name="L" localSheetId="55">[90]DA!#REF!</definedName>
    <definedName name="L" localSheetId="52">[90]DA!#REF!</definedName>
    <definedName name="L" localSheetId="51">[90]DA!#REF!</definedName>
    <definedName name="L" localSheetId="53">[90]DA!#REF!</definedName>
    <definedName name="L">[90]DA!#REF!</definedName>
    <definedName name="Labor" localSheetId="50">#REF!</definedName>
    <definedName name="Labor" localSheetId="47">#REF!</definedName>
    <definedName name="Labor" localSheetId="44">#REF!</definedName>
    <definedName name="Labor" localSheetId="45">#REF!</definedName>
    <definedName name="Labor" localSheetId="46">#REF!</definedName>
    <definedName name="Labor" localSheetId="37">#REF!</definedName>
    <definedName name="Labor" localSheetId="40">#REF!</definedName>
    <definedName name="Labor" localSheetId="54">#REF!</definedName>
    <definedName name="Labor" localSheetId="55">#REF!</definedName>
    <definedName name="Labor" localSheetId="52">#REF!</definedName>
    <definedName name="Labor" localSheetId="51">#REF!</definedName>
    <definedName name="Labor" localSheetId="53">#REF!</definedName>
    <definedName name="Labor">#REF!</definedName>
    <definedName name="LASER" localSheetId="50">#REF!</definedName>
    <definedName name="LASER" localSheetId="47">#REF!</definedName>
    <definedName name="LASER" localSheetId="44">#REF!</definedName>
    <definedName name="LASER" localSheetId="45">#REF!</definedName>
    <definedName name="LASER" localSheetId="46">#REF!</definedName>
    <definedName name="LASER" localSheetId="37">#REF!</definedName>
    <definedName name="LASER" localSheetId="40">#REF!</definedName>
    <definedName name="LASER" localSheetId="54">#REF!</definedName>
    <definedName name="LASER" localSheetId="55">#REF!</definedName>
    <definedName name="LASER" localSheetId="52">#REF!</definedName>
    <definedName name="LASER" localSheetId="51">#REF!</definedName>
    <definedName name="LASER" localSheetId="53">#REF!</definedName>
    <definedName name="LASER">#REF!</definedName>
    <definedName name="last_update">[74]Admin!$H$4</definedName>
    <definedName name="LastUsed">ADDRESS(MATCH(TRUE,LEN([105]Sheet1!$I$31:$AE$31)=0,0)+8,2)</definedName>
    <definedName name="LCM" localSheetId="34">#REF!</definedName>
    <definedName name="LCM" localSheetId="35">#REF!</definedName>
    <definedName name="LCM" localSheetId="50">#REF!</definedName>
    <definedName name="LCM" localSheetId="15">#REF!</definedName>
    <definedName name="LCM" localSheetId="29">#REF!</definedName>
    <definedName name="LCM" localSheetId="30">#REF!</definedName>
    <definedName name="LCM" localSheetId="47">#REF!</definedName>
    <definedName name="LCM" localSheetId="44">#REF!</definedName>
    <definedName name="LCM" localSheetId="45">#REF!</definedName>
    <definedName name="LCM" localSheetId="46">#REF!</definedName>
    <definedName name="LCM" localSheetId="31">#REF!</definedName>
    <definedName name="LCM" localSheetId="32">#REF!</definedName>
    <definedName name="LCM" localSheetId="33">#REF!</definedName>
    <definedName name="LCM" localSheetId="36">#REF!</definedName>
    <definedName name="LCM" localSheetId="37">#REF!</definedName>
    <definedName name="LCM" localSheetId="38">#REF!</definedName>
    <definedName name="LCM" localSheetId="39">#REF!</definedName>
    <definedName name="LCM" localSheetId="40">#REF!</definedName>
    <definedName name="LCM" localSheetId="54">#REF!</definedName>
    <definedName name="LCM" localSheetId="55">#REF!</definedName>
    <definedName name="LCM" localSheetId="52">#REF!</definedName>
    <definedName name="LCM" localSheetId="23">#REF!</definedName>
    <definedName name="LCM" localSheetId="51">#REF!</definedName>
    <definedName name="LCM" localSheetId="53">#REF!</definedName>
    <definedName name="LCM" localSheetId="20">#REF!</definedName>
    <definedName name="LCM">#REF!</definedName>
    <definedName name="LE" localSheetId="34">#REF!</definedName>
    <definedName name="LE" localSheetId="35">#REF!</definedName>
    <definedName name="LE" localSheetId="50">#REF!</definedName>
    <definedName name="LE" localSheetId="15">#REF!</definedName>
    <definedName name="LE" localSheetId="29">#REF!</definedName>
    <definedName name="LE" localSheetId="30">#REF!</definedName>
    <definedName name="LE" localSheetId="47">#REF!</definedName>
    <definedName name="LE" localSheetId="44">#REF!</definedName>
    <definedName name="LE" localSheetId="45">#REF!</definedName>
    <definedName name="LE" localSheetId="46">#REF!</definedName>
    <definedName name="LE" localSheetId="31">#REF!</definedName>
    <definedName name="LE" localSheetId="32">#REF!</definedName>
    <definedName name="LE" localSheetId="33">#REF!</definedName>
    <definedName name="LE" localSheetId="36">#REF!</definedName>
    <definedName name="LE" localSheetId="37">#REF!</definedName>
    <definedName name="LE" localSheetId="38">#REF!</definedName>
    <definedName name="LE" localSheetId="39">#REF!</definedName>
    <definedName name="LE" localSheetId="40">#REF!</definedName>
    <definedName name="LE" localSheetId="54">#REF!</definedName>
    <definedName name="LE" localSheetId="55">#REF!</definedName>
    <definedName name="LE" localSheetId="52">#REF!</definedName>
    <definedName name="LE" localSheetId="23">#REF!</definedName>
    <definedName name="LE" localSheetId="51">#REF!</definedName>
    <definedName name="LE" localSheetId="53">#REF!</definedName>
    <definedName name="LE" localSheetId="20">#REF!</definedName>
    <definedName name="LE">#REF!</definedName>
    <definedName name="Legend" localSheetId="50">#REF!</definedName>
    <definedName name="Legend" localSheetId="47">#REF!</definedName>
    <definedName name="Legend" localSheetId="44">#REF!</definedName>
    <definedName name="Legend" localSheetId="45">#REF!</definedName>
    <definedName name="Legend" localSheetId="46">#REF!</definedName>
    <definedName name="Legend" localSheetId="37">#REF!</definedName>
    <definedName name="Legend" localSheetId="40">#REF!</definedName>
    <definedName name="Legend" localSheetId="54">#REF!</definedName>
    <definedName name="Legend" localSheetId="55">#REF!</definedName>
    <definedName name="Legend" localSheetId="52">#REF!</definedName>
    <definedName name="Legend" localSheetId="51">#REF!</definedName>
    <definedName name="Legend" localSheetId="53">#REF!</definedName>
    <definedName name="Legend">#REF!</definedName>
    <definedName name="LEM" localSheetId="34">#REF!</definedName>
    <definedName name="LEM" localSheetId="35">#REF!</definedName>
    <definedName name="LEM" localSheetId="50">#REF!</definedName>
    <definedName name="LEM" localSheetId="15">#REF!</definedName>
    <definedName name="LEM" localSheetId="29">#REF!</definedName>
    <definedName name="LEM" localSheetId="30">#REF!</definedName>
    <definedName name="LEM" localSheetId="47">#REF!</definedName>
    <definedName name="LEM" localSheetId="44">#REF!</definedName>
    <definedName name="LEM" localSheetId="45">#REF!</definedName>
    <definedName name="LEM" localSheetId="46">#REF!</definedName>
    <definedName name="LEM" localSheetId="31">#REF!</definedName>
    <definedName name="LEM" localSheetId="32">#REF!</definedName>
    <definedName name="LEM" localSheetId="33">#REF!</definedName>
    <definedName name="LEM" localSheetId="36">#REF!</definedName>
    <definedName name="LEM" localSheetId="37">#REF!</definedName>
    <definedName name="LEM" localSheetId="38">#REF!</definedName>
    <definedName name="LEM" localSheetId="39">#REF!</definedName>
    <definedName name="LEM" localSheetId="40">#REF!</definedName>
    <definedName name="LEM" localSheetId="54">#REF!</definedName>
    <definedName name="LEM" localSheetId="55">#REF!</definedName>
    <definedName name="LEM" localSheetId="52">#REF!</definedName>
    <definedName name="LEM" localSheetId="23">#REF!</definedName>
    <definedName name="LEM" localSheetId="51">#REF!</definedName>
    <definedName name="LEM" localSheetId="53">#REF!</definedName>
    <definedName name="LEM" localSheetId="20">#REF!</definedName>
    <definedName name="LEM">#REF!</definedName>
    <definedName name="LG" localSheetId="34">#REF!</definedName>
    <definedName name="LG" localSheetId="35">#REF!</definedName>
    <definedName name="LG" localSheetId="50">#REF!</definedName>
    <definedName name="LG" localSheetId="15">#REF!</definedName>
    <definedName name="LG" localSheetId="29">#REF!</definedName>
    <definedName name="LG" localSheetId="30">#REF!</definedName>
    <definedName name="LG" localSheetId="47">#REF!</definedName>
    <definedName name="LG" localSheetId="44">#REF!</definedName>
    <definedName name="LG" localSheetId="45">#REF!</definedName>
    <definedName name="LG" localSheetId="46">#REF!</definedName>
    <definedName name="LG" localSheetId="31">#REF!</definedName>
    <definedName name="LG" localSheetId="32">#REF!</definedName>
    <definedName name="LG" localSheetId="33">#REF!</definedName>
    <definedName name="LG" localSheetId="36">#REF!</definedName>
    <definedName name="LG" localSheetId="37">#REF!</definedName>
    <definedName name="LG" localSheetId="38">#REF!</definedName>
    <definedName name="LG" localSheetId="39">#REF!</definedName>
    <definedName name="LG" localSheetId="40">#REF!</definedName>
    <definedName name="LG" localSheetId="54">#REF!</definedName>
    <definedName name="LG" localSheetId="55">#REF!</definedName>
    <definedName name="LG" localSheetId="52">#REF!</definedName>
    <definedName name="LG" localSheetId="23">#REF!</definedName>
    <definedName name="LG" localSheetId="51">#REF!</definedName>
    <definedName name="LG" localSheetId="53">#REF!</definedName>
    <definedName name="LG" localSheetId="20">#REF!</definedName>
    <definedName name="LG">#REF!</definedName>
    <definedName name="LGperc" localSheetId="34">#REF!</definedName>
    <definedName name="LGperc" localSheetId="35">#REF!</definedName>
    <definedName name="LGperc" localSheetId="50">#REF!</definedName>
    <definedName name="LGperc" localSheetId="15">#REF!</definedName>
    <definedName name="LGperc" localSheetId="29">#REF!</definedName>
    <definedName name="LGperc" localSheetId="30">#REF!</definedName>
    <definedName name="LGperc" localSheetId="47">#REF!</definedName>
    <definedName name="LGperc" localSheetId="44">#REF!</definedName>
    <definedName name="LGperc" localSheetId="45">#REF!</definedName>
    <definedName name="LGperc" localSheetId="46">#REF!</definedName>
    <definedName name="LGperc" localSheetId="31">#REF!</definedName>
    <definedName name="LGperc" localSheetId="32">#REF!</definedName>
    <definedName name="LGperc" localSheetId="33">#REF!</definedName>
    <definedName name="LGperc" localSheetId="36">#REF!</definedName>
    <definedName name="LGperc" localSheetId="37">#REF!</definedName>
    <definedName name="LGperc" localSheetId="38">#REF!</definedName>
    <definedName name="LGperc" localSheetId="39">#REF!</definedName>
    <definedName name="LGperc" localSheetId="40">#REF!</definedName>
    <definedName name="LGperc" localSheetId="54">#REF!</definedName>
    <definedName name="LGperc" localSheetId="55">#REF!</definedName>
    <definedName name="LGperc" localSheetId="52">#REF!</definedName>
    <definedName name="LGperc" localSheetId="23">#REF!</definedName>
    <definedName name="LGperc" localSheetId="51">#REF!</definedName>
    <definedName name="LGperc" localSheetId="53">#REF!</definedName>
    <definedName name="LGperc" localSheetId="20">#REF!</definedName>
    <definedName name="LGperc">#REF!</definedName>
    <definedName name="LHEM" localSheetId="34">#REF!</definedName>
    <definedName name="LHEM" localSheetId="35">#REF!</definedName>
    <definedName name="LHEM" localSheetId="50">#REF!</definedName>
    <definedName name="LHEM" localSheetId="15">#REF!</definedName>
    <definedName name="LHEM" localSheetId="29">#REF!</definedName>
    <definedName name="LHEM" localSheetId="30">#REF!</definedName>
    <definedName name="LHEM" localSheetId="47">#REF!</definedName>
    <definedName name="LHEM" localSheetId="44">#REF!</definedName>
    <definedName name="LHEM" localSheetId="45">#REF!</definedName>
    <definedName name="LHEM" localSheetId="46">#REF!</definedName>
    <definedName name="LHEM" localSheetId="31">#REF!</definedName>
    <definedName name="LHEM" localSheetId="32">#REF!</definedName>
    <definedName name="LHEM" localSheetId="33">#REF!</definedName>
    <definedName name="LHEM" localSheetId="36">#REF!</definedName>
    <definedName name="LHEM" localSheetId="37">#REF!</definedName>
    <definedName name="LHEM" localSheetId="38">#REF!</definedName>
    <definedName name="LHEM" localSheetId="39">#REF!</definedName>
    <definedName name="LHEM" localSheetId="40">#REF!</definedName>
    <definedName name="LHEM" localSheetId="54">#REF!</definedName>
    <definedName name="LHEM" localSheetId="55">#REF!</definedName>
    <definedName name="LHEM" localSheetId="52">#REF!</definedName>
    <definedName name="LHEM" localSheetId="23">#REF!</definedName>
    <definedName name="LHEM" localSheetId="51">#REF!</definedName>
    <definedName name="LHEM" localSheetId="53">#REF!</definedName>
    <definedName name="LHEM" localSheetId="20">#REF!</definedName>
    <definedName name="LHEM">#REF!</definedName>
    <definedName name="LHM" localSheetId="34">#REF!</definedName>
    <definedName name="LHM" localSheetId="35">#REF!</definedName>
    <definedName name="LHM" localSheetId="50">#REF!</definedName>
    <definedName name="LHM" localSheetId="15">#REF!</definedName>
    <definedName name="LHM" localSheetId="29">#REF!</definedName>
    <definedName name="LHM" localSheetId="30">#REF!</definedName>
    <definedName name="LHM" localSheetId="47">#REF!</definedName>
    <definedName name="LHM" localSheetId="44">#REF!</definedName>
    <definedName name="LHM" localSheetId="45">#REF!</definedName>
    <definedName name="LHM" localSheetId="46">#REF!</definedName>
    <definedName name="LHM" localSheetId="31">#REF!</definedName>
    <definedName name="LHM" localSheetId="32">#REF!</definedName>
    <definedName name="LHM" localSheetId="33">#REF!</definedName>
    <definedName name="LHM" localSheetId="36">#REF!</definedName>
    <definedName name="LHM" localSheetId="37">#REF!</definedName>
    <definedName name="LHM" localSheetId="38">#REF!</definedName>
    <definedName name="LHM" localSheetId="39">#REF!</definedName>
    <definedName name="LHM" localSheetId="40">#REF!</definedName>
    <definedName name="LHM" localSheetId="54">#REF!</definedName>
    <definedName name="LHM" localSheetId="55">#REF!</definedName>
    <definedName name="LHM" localSheetId="52">#REF!</definedName>
    <definedName name="LHM" localSheetId="23">#REF!</definedName>
    <definedName name="LHM" localSheetId="51">#REF!</definedName>
    <definedName name="LHM" localSheetId="53">#REF!</definedName>
    <definedName name="LHM" localSheetId="20">#REF!</definedName>
    <definedName name="LHM">#REF!</definedName>
    <definedName name="Liabilities" localSheetId="34">#REF!</definedName>
    <definedName name="Liabilities" localSheetId="35">#REF!</definedName>
    <definedName name="Liabilities" localSheetId="50">#REF!</definedName>
    <definedName name="Liabilities" localSheetId="15">#REF!</definedName>
    <definedName name="Liabilities" localSheetId="29">#REF!</definedName>
    <definedName name="Liabilities" localSheetId="30">#REF!</definedName>
    <definedName name="Liabilities" localSheetId="47">#REF!</definedName>
    <definedName name="Liabilities" localSheetId="44">#REF!</definedName>
    <definedName name="Liabilities" localSheetId="45">#REF!</definedName>
    <definedName name="Liabilities" localSheetId="46">#REF!</definedName>
    <definedName name="Liabilities" localSheetId="31">#REF!</definedName>
    <definedName name="Liabilities" localSheetId="32">#REF!</definedName>
    <definedName name="Liabilities" localSheetId="33">#REF!</definedName>
    <definedName name="Liabilities" localSheetId="36">#REF!</definedName>
    <definedName name="Liabilities" localSheetId="37">#REF!</definedName>
    <definedName name="Liabilities" localSheetId="38">#REF!</definedName>
    <definedName name="Liabilities" localSheetId="39">#REF!</definedName>
    <definedName name="Liabilities" localSheetId="40">#REF!</definedName>
    <definedName name="Liabilities" localSheetId="54">#REF!</definedName>
    <definedName name="Liabilities" localSheetId="55">#REF!</definedName>
    <definedName name="Liabilities" localSheetId="52">#REF!</definedName>
    <definedName name="Liabilities" localSheetId="23">#REF!</definedName>
    <definedName name="Liabilities" localSheetId="51">#REF!</definedName>
    <definedName name="Liabilities" localSheetId="12">#REF!</definedName>
    <definedName name="Liabilities" localSheetId="53">#REF!</definedName>
    <definedName name="Liabilities" localSheetId="49">#REF!</definedName>
    <definedName name="Liabilities" localSheetId="20">#REF!</definedName>
    <definedName name="Liabilities">#REF!</definedName>
    <definedName name="LIBOR3" localSheetId="50">[65]SUPUESTOS!$12:$12</definedName>
    <definedName name="LIBOR3" localSheetId="44">[65]SUPUESTOS!$12:$12</definedName>
    <definedName name="LIBOR3" localSheetId="54">[65]SUPUESTOS!$12:$12</definedName>
    <definedName name="LIBOR3" localSheetId="52">[65]SUPUESTOS!$12:$12</definedName>
    <definedName name="LIBOR3" localSheetId="51">[65]SUPUESTOS!$12:$12</definedName>
    <definedName name="LIBOR3" localSheetId="53">[65]SUPUESTOS!$12:$12</definedName>
    <definedName name="LIBOR3">[65]SUPUESTOS!$A$12:$IV$12</definedName>
    <definedName name="LIBOR6">[65]SUPUESTOS!A$11</definedName>
    <definedName name="lifecycle_segment" localSheetId="50">[38]Instructions!#REF!</definedName>
    <definedName name="lifecycle_segment" localSheetId="47">[38]Instructions!#REF!</definedName>
    <definedName name="lifecycle_segment" localSheetId="44">[38]Instructions!#REF!</definedName>
    <definedName name="lifecycle_segment" localSheetId="45">[38]Instructions!#REF!</definedName>
    <definedName name="lifecycle_segment" localSheetId="46">[38]Instructions!#REF!</definedName>
    <definedName name="lifecycle_segment" localSheetId="37">[38]Instructions!#REF!</definedName>
    <definedName name="lifecycle_segment" localSheetId="40">[38]Instructions!#REF!</definedName>
    <definedName name="lifecycle_segment" localSheetId="54">[38]Instructions!#REF!</definedName>
    <definedName name="lifecycle_segment" localSheetId="55">[38]Instructions!#REF!</definedName>
    <definedName name="lifecycle_segment" localSheetId="52">[38]Instructions!#REF!</definedName>
    <definedName name="lifecycle_segment" localSheetId="51">[38]Instructions!#REF!</definedName>
    <definedName name="lifecycle_segment" localSheetId="53">[38]Instructions!#REF!</definedName>
    <definedName name="lifecycle_segment">[38]Instructions!#REF!</definedName>
    <definedName name="LINES" localSheetId="50">#REF!</definedName>
    <definedName name="LINES" localSheetId="47">#REF!</definedName>
    <definedName name="LINES" localSheetId="44">#REF!</definedName>
    <definedName name="LINES" localSheetId="45">#REF!</definedName>
    <definedName name="LINES" localSheetId="46">#REF!</definedName>
    <definedName name="LINES" localSheetId="37">#REF!</definedName>
    <definedName name="LINES" localSheetId="40">#REF!</definedName>
    <definedName name="LINES" localSheetId="54">#REF!</definedName>
    <definedName name="LINES" localSheetId="55">#REF!</definedName>
    <definedName name="LINES" localSheetId="52">#REF!</definedName>
    <definedName name="LINES" localSheetId="51">#REF!</definedName>
    <definedName name="LINES" localSheetId="53">#REF!</definedName>
    <definedName name="LINES">#REF!</definedName>
    <definedName name="LINK2" localSheetId="50">#REF!</definedName>
    <definedName name="LINK2" localSheetId="47">#REF!</definedName>
    <definedName name="LINK2" localSheetId="44">#REF!</definedName>
    <definedName name="LINK2" localSheetId="45">#REF!</definedName>
    <definedName name="LINK2" localSheetId="46">#REF!</definedName>
    <definedName name="LINK2" localSheetId="37">#REF!</definedName>
    <definedName name="LINK2" localSheetId="40">#REF!</definedName>
    <definedName name="LINK2" localSheetId="54">#REF!</definedName>
    <definedName name="LINK2" localSheetId="55">#REF!</definedName>
    <definedName name="LINK2" localSheetId="52">#REF!</definedName>
    <definedName name="LINK2" localSheetId="51">#REF!</definedName>
    <definedName name="LINK2" localSheetId="53">#REF!</definedName>
    <definedName name="LINK2">#REF!</definedName>
    <definedName name="LIPM" localSheetId="34">#REF!</definedName>
    <definedName name="LIPM" localSheetId="35">#REF!</definedName>
    <definedName name="LIPM" localSheetId="50">#REF!</definedName>
    <definedName name="LIPM" localSheetId="15">#REF!</definedName>
    <definedName name="LIPM" localSheetId="29">#REF!</definedName>
    <definedName name="LIPM" localSheetId="30">#REF!</definedName>
    <definedName name="LIPM" localSheetId="47">#REF!</definedName>
    <definedName name="LIPM" localSheetId="44">#REF!</definedName>
    <definedName name="LIPM" localSheetId="45">#REF!</definedName>
    <definedName name="LIPM" localSheetId="46">#REF!</definedName>
    <definedName name="LIPM" localSheetId="31">#REF!</definedName>
    <definedName name="LIPM" localSheetId="32">#REF!</definedName>
    <definedName name="LIPM" localSheetId="33">#REF!</definedName>
    <definedName name="LIPM" localSheetId="36">#REF!</definedName>
    <definedName name="LIPM" localSheetId="37">#REF!</definedName>
    <definedName name="LIPM" localSheetId="38">#REF!</definedName>
    <definedName name="LIPM" localSheetId="39">#REF!</definedName>
    <definedName name="LIPM" localSheetId="40">#REF!</definedName>
    <definedName name="LIPM" localSheetId="54">#REF!</definedName>
    <definedName name="LIPM" localSheetId="55">#REF!</definedName>
    <definedName name="LIPM" localSheetId="52">#REF!</definedName>
    <definedName name="LIPM" localSheetId="23">#REF!</definedName>
    <definedName name="LIPM" localSheetId="51">#REF!</definedName>
    <definedName name="LIPM" localSheetId="53">#REF!</definedName>
    <definedName name="LIPM" localSheetId="20">#REF!</definedName>
    <definedName name="LIPM">#REF!</definedName>
    <definedName name="liqc" localSheetId="34">[27]Programa!#REF!</definedName>
    <definedName name="liqc" localSheetId="35">[27]Programa!#REF!</definedName>
    <definedName name="liqc" localSheetId="50">[27]Programa!#REF!</definedName>
    <definedName name="liqc" localSheetId="15">[27]Programa!#REF!</definedName>
    <definedName name="liqc" localSheetId="29">[27]Programa!#REF!</definedName>
    <definedName name="liqc" localSheetId="30">[27]Programa!#REF!</definedName>
    <definedName name="liqc" localSheetId="47">[27]Programa!#REF!</definedName>
    <definedName name="liqc" localSheetId="44">[27]Programa!#REF!</definedName>
    <definedName name="liqc" localSheetId="45">[27]Programa!#REF!</definedName>
    <definedName name="liqc" localSheetId="46">[27]Programa!#REF!</definedName>
    <definedName name="liqc" localSheetId="31">[27]Programa!#REF!</definedName>
    <definedName name="liqc" localSheetId="32">[27]Programa!#REF!</definedName>
    <definedName name="liqc" localSheetId="33">[27]Programa!#REF!</definedName>
    <definedName name="liqc" localSheetId="36">[27]Programa!#REF!</definedName>
    <definedName name="liqc" localSheetId="37">[27]Programa!#REF!</definedName>
    <definedName name="liqc" localSheetId="38">[27]Programa!#REF!</definedName>
    <definedName name="liqc" localSheetId="39">[27]Programa!#REF!</definedName>
    <definedName name="liqc" localSheetId="40">[27]Programa!#REF!</definedName>
    <definedName name="liqc" localSheetId="54">[27]Programa!#REF!</definedName>
    <definedName name="liqc" localSheetId="55">[27]Programa!#REF!</definedName>
    <definedName name="liqc" localSheetId="52">[27]Programa!#REF!</definedName>
    <definedName name="liqc" localSheetId="23">[27]Programa!#REF!</definedName>
    <definedName name="liqc" localSheetId="51">[27]Programa!#REF!</definedName>
    <definedName name="liqc" localSheetId="53">[27]Programa!#REF!</definedName>
    <definedName name="liqc" localSheetId="20">[27]Programa!#REF!</definedName>
    <definedName name="liqc">[27]Programa!#REF!</definedName>
    <definedName name="liqd" localSheetId="34">[27]Programa!#REF!</definedName>
    <definedName name="liqd" localSheetId="35">[27]Programa!#REF!</definedName>
    <definedName name="liqd" localSheetId="50">[27]Programa!#REF!</definedName>
    <definedName name="liqd" localSheetId="15">[27]Programa!#REF!</definedName>
    <definedName name="liqd" localSheetId="29">[27]Programa!#REF!</definedName>
    <definedName name="liqd" localSheetId="30">[27]Programa!#REF!</definedName>
    <definedName name="liqd" localSheetId="47">[27]Programa!#REF!</definedName>
    <definedName name="liqd" localSheetId="44">[27]Programa!#REF!</definedName>
    <definedName name="liqd" localSheetId="45">[27]Programa!#REF!</definedName>
    <definedName name="liqd" localSheetId="46">[27]Programa!#REF!</definedName>
    <definedName name="liqd" localSheetId="31">[27]Programa!#REF!</definedName>
    <definedName name="liqd" localSheetId="32">[27]Programa!#REF!</definedName>
    <definedName name="liqd" localSheetId="33">[27]Programa!#REF!</definedName>
    <definedName name="liqd" localSheetId="36">[27]Programa!#REF!</definedName>
    <definedName name="liqd" localSheetId="37">[27]Programa!#REF!</definedName>
    <definedName name="liqd" localSheetId="38">[27]Programa!#REF!</definedName>
    <definedName name="liqd" localSheetId="39">[27]Programa!#REF!</definedName>
    <definedName name="liqd" localSheetId="40">[27]Programa!#REF!</definedName>
    <definedName name="liqd" localSheetId="54">[27]Programa!#REF!</definedName>
    <definedName name="liqd" localSheetId="55">[27]Programa!#REF!</definedName>
    <definedName name="liqd" localSheetId="52">[27]Programa!#REF!</definedName>
    <definedName name="liqd" localSheetId="23">[27]Programa!#REF!</definedName>
    <definedName name="liqd" localSheetId="51">[27]Programa!#REF!</definedName>
    <definedName name="liqd" localSheetId="53">[27]Programa!#REF!</definedName>
    <definedName name="liqd" localSheetId="20">[27]Programa!#REF!</definedName>
    <definedName name="liqd">[27]Programa!#REF!</definedName>
    <definedName name="List1">[106]Data1!$A:$A</definedName>
    <definedName name="List10">[107]Data10!$A:$A</definedName>
    <definedName name="List11">[107]Data11!$A:$A</definedName>
    <definedName name="List12">[108]Data12!$A:$A</definedName>
    <definedName name="List13">[107]Data13!$A:$A</definedName>
    <definedName name="List14">[107]Data14!$A:$A</definedName>
    <definedName name="List15">[107]Data15!$A:$A</definedName>
    <definedName name="List16">[107]Data16!$A:$A</definedName>
    <definedName name="List17">[107]Data17!$A:$A</definedName>
    <definedName name="List18">[107]Data18!$A:$A</definedName>
    <definedName name="List4" localSheetId="50">[109]Data4!#REF!</definedName>
    <definedName name="List4" localSheetId="47">[109]Data4!#REF!</definedName>
    <definedName name="List4" localSheetId="44">[109]Data4!#REF!</definedName>
    <definedName name="List4" localSheetId="45">[109]Data4!#REF!</definedName>
    <definedName name="List4" localSheetId="46">[109]Data4!#REF!</definedName>
    <definedName name="List4" localSheetId="37">[109]Data4!#REF!</definedName>
    <definedName name="List4" localSheetId="40">[109]Data4!#REF!</definedName>
    <definedName name="List4" localSheetId="54">[109]Data4!#REF!</definedName>
    <definedName name="List4" localSheetId="55">[109]Data4!#REF!</definedName>
    <definedName name="List4" localSheetId="52">[109]Data4!#REF!</definedName>
    <definedName name="List4" localSheetId="51">[109]Data4!#REF!</definedName>
    <definedName name="List4" localSheetId="53">[109]Data4!#REF!</definedName>
    <definedName name="List4">[109]Data4!#REF!</definedName>
    <definedName name="List5" localSheetId="50">[109]Data5!#REF!</definedName>
    <definedName name="List5" localSheetId="47">[109]Data5!#REF!</definedName>
    <definedName name="List5" localSheetId="44">[109]Data5!#REF!</definedName>
    <definedName name="List5" localSheetId="45">[109]Data5!#REF!</definedName>
    <definedName name="List5" localSheetId="46">[109]Data5!#REF!</definedName>
    <definedName name="List5" localSheetId="37">[109]Data5!#REF!</definedName>
    <definedName name="List5" localSheetId="40">[109]Data5!#REF!</definedName>
    <definedName name="List5" localSheetId="54">[109]Data5!#REF!</definedName>
    <definedName name="List5" localSheetId="55">[109]Data5!#REF!</definedName>
    <definedName name="List5" localSheetId="52">[109]Data5!#REF!</definedName>
    <definedName name="List5" localSheetId="51">[109]Data5!#REF!</definedName>
    <definedName name="List5" localSheetId="53">[109]Data5!#REF!</definedName>
    <definedName name="List5">[109]Data5!#REF!</definedName>
    <definedName name="List6">[110]Data6!$A:$A</definedName>
    <definedName name="List7" localSheetId="50">[109]Data7!#REF!</definedName>
    <definedName name="List7" localSheetId="47">[109]Data7!#REF!</definedName>
    <definedName name="List7" localSheetId="44">[109]Data7!#REF!</definedName>
    <definedName name="List7" localSheetId="45">[109]Data7!#REF!</definedName>
    <definedName name="List7" localSheetId="46">[109]Data7!#REF!</definedName>
    <definedName name="List7" localSheetId="37">[109]Data7!#REF!</definedName>
    <definedName name="List7" localSheetId="40">[109]Data7!#REF!</definedName>
    <definedName name="List7" localSheetId="54">[109]Data7!#REF!</definedName>
    <definedName name="List7" localSheetId="55">[109]Data7!#REF!</definedName>
    <definedName name="List7" localSheetId="52">[109]Data7!#REF!</definedName>
    <definedName name="List7" localSheetId="51">[109]Data7!#REF!</definedName>
    <definedName name="List7" localSheetId="53">[109]Data7!#REF!</definedName>
    <definedName name="List7">[109]Data7!#REF!</definedName>
    <definedName name="List8">[106]Data8!$A:$A</definedName>
    <definedName name="List9">[106]Data9!$A:$A</definedName>
    <definedName name="lkdjfldkj" localSheetId="50">#REF!</definedName>
    <definedName name="lkdjfldkj" localSheetId="47">#REF!</definedName>
    <definedName name="lkdjfldkj" localSheetId="44">#REF!</definedName>
    <definedName name="lkdjfldkj" localSheetId="45">#REF!</definedName>
    <definedName name="lkdjfldkj" localSheetId="46">#REF!</definedName>
    <definedName name="lkdjfldkj" localSheetId="37">#REF!</definedName>
    <definedName name="lkdjfldkj" localSheetId="40">#REF!</definedName>
    <definedName name="lkdjfldkj" localSheetId="54">#REF!</definedName>
    <definedName name="lkdjfldkj" localSheetId="55">#REF!</definedName>
    <definedName name="lkdjfldkj" localSheetId="52">#REF!</definedName>
    <definedName name="lkdjfldkj" localSheetId="51">#REF!</definedName>
    <definedName name="lkdjfldkj" localSheetId="53">#REF!</definedName>
    <definedName name="lkdjfldkj">#REF!</definedName>
    <definedName name="ll" localSheetId="58" hidden="1">{"Tab1",#N/A,FALSE,"P";"Tab2",#N/A,FALSE,"P"}</definedName>
    <definedName name="ll" localSheetId="16" hidden="1">{"Tab1",#N/A,FALSE,"P";"Tab2",#N/A,FALSE,"P"}</definedName>
    <definedName name="ll" localSheetId="61" hidden="1">{"Tab1",#N/A,FALSE,"P";"Tab2",#N/A,FALSE,"P"}</definedName>
    <definedName name="ll" localSheetId="62" hidden="1">{"Tab1",#N/A,FALSE,"P";"Tab2",#N/A,FALSE,"P"}</definedName>
    <definedName name="ll" localSheetId="50" hidden="1">{"Tab1",#N/A,FALSE,"P";"Tab2",#N/A,FALSE,"P"}</definedName>
    <definedName name="ll" localSheetId="63" hidden="1">{"Tab1",#N/A,FALSE,"P";"Tab2",#N/A,FALSE,"P"}</definedName>
    <definedName name="ll" localSheetId="15" hidden="1">{"Tab1",#N/A,FALSE,"P";"Tab2",#N/A,FALSE,"P"}</definedName>
    <definedName name="ll" localSheetId="1" hidden="1">{"Tab1",#N/A,FALSE,"P";"Tab2",#N/A,FALSE,"P"}</definedName>
    <definedName name="ll" localSheetId="43" hidden="1">{"Tab1",#N/A,FALSE,"P";"Tab2",#N/A,FALSE,"P"}</definedName>
    <definedName name="ll" localSheetId="29" hidden="1">{"Tab1",#N/A,FALSE,"P";"Tab2",#N/A,FALSE,"P"}</definedName>
    <definedName name="ll" localSheetId="30" hidden="1">{"Tab1",#N/A,FALSE,"P";"Tab2",#N/A,FALSE,"P"}</definedName>
    <definedName name="ll" localSheetId="44" hidden="1">{"Tab1",#N/A,FALSE,"P";"Tab2",#N/A,FALSE,"P"}</definedName>
    <definedName name="ll" localSheetId="59" hidden="1">{"Tab1",#N/A,FALSE,"P";"Tab2",#N/A,FALSE,"P"}</definedName>
    <definedName name="ll" localSheetId="13" hidden="1">{"Tab1",#N/A,FALSE,"P";"Tab2",#N/A,FALSE,"P"}</definedName>
    <definedName name="ll" localSheetId="0" hidden="1">{"Tab1",#N/A,FALSE,"P";"Tab2",#N/A,FALSE,"P"}</definedName>
    <definedName name="ll" localSheetId="57" hidden="1">{"Tab1",#N/A,FALSE,"P";"Tab2",#N/A,FALSE,"P"}</definedName>
    <definedName name="ll" localSheetId="56" hidden="1">{"Tab1",#N/A,FALSE,"P";"Tab2",#N/A,FALSE,"P"}</definedName>
    <definedName name="ll" localSheetId="54" hidden="1">{"Tab1",#N/A,FALSE,"P";"Tab2",#N/A,FALSE,"P"}</definedName>
    <definedName name="ll" localSheetId="52" hidden="1">{"Tab1",#N/A,FALSE,"P";"Tab2",#N/A,FALSE,"P"}</definedName>
    <definedName name="ll" localSheetId="23" hidden="1">{"Tab1",#N/A,FALSE,"P";"Tab2",#N/A,FALSE,"P"}</definedName>
    <definedName name="ll" localSheetId="51" hidden="1">{"Tab1",#N/A,FALSE,"P";"Tab2",#N/A,FALSE,"P"}</definedName>
    <definedName name="ll" localSheetId="53" hidden="1">{"Tab1",#N/A,FALSE,"P";"Tab2",#N/A,FALSE,"P"}</definedName>
    <definedName name="ll" localSheetId="60" hidden="1">{"Tab1",#N/A,FALSE,"P";"Tab2",#N/A,FALSE,"P"}</definedName>
    <definedName name="ll" hidden="1">{"Tab1",#N/A,FALSE,"P";"Tab2",#N/A,FALSE,"P"}</definedName>
    <definedName name="lll" localSheetId="58" hidden="1">{"Minpmon",#N/A,FALSE,"Monthinput"}</definedName>
    <definedName name="lll" localSheetId="16" hidden="1">{"Minpmon",#N/A,FALSE,"Monthinput"}</definedName>
    <definedName name="lll" localSheetId="61" hidden="1">{"Minpmon",#N/A,FALSE,"Monthinput"}</definedName>
    <definedName name="lll" localSheetId="62" hidden="1">{"Minpmon",#N/A,FALSE,"Monthinput"}</definedName>
    <definedName name="lll" localSheetId="50" hidden="1">{"Minpmon",#N/A,FALSE,"Monthinput"}</definedName>
    <definedName name="lll" localSheetId="63" hidden="1">{"Minpmon",#N/A,FALSE,"Monthinput"}</definedName>
    <definedName name="lll" localSheetId="15" hidden="1">{"Minpmon",#N/A,FALSE,"Monthinput"}</definedName>
    <definedName name="lll" localSheetId="1" hidden="1">{"Minpmon",#N/A,FALSE,"Monthinput"}</definedName>
    <definedName name="lll" localSheetId="43" hidden="1">{"Minpmon",#N/A,FALSE,"Monthinput"}</definedName>
    <definedName name="lll" localSheetId="29" hidden="1">{"Minpmon",#N/A,FALSE,"Monthinput"}</definedName>
    <definedName name="lll" localSheetId="30" hidden="1">{"Minpmon",#N/A,FALSE,"Monthinput"}</definedName>
    <definedName name="lll" localSheetId="44" hidden="1">{"Minpmon",#N/A,FALSE,"Monthinput"}</definedName>
    <definedName name="lll" localSheetId="59" hidden="1">{"Minpmon",#N/A,FALSE,"Monthinput"}</definedName>
    <definedName name="lll" localSheetId="13" hidden="1">{"Minpmon",#N/A,FALSE,"Monthinput"}</definedName>
    <definedName name="lll" localSheetId="0" hidden="1">{"Minpmon",#N/A,FALSE,"Monthinput"}</definedName>
    <definedName name="lll" localSheetId="57" hidden="1">{"Minpmon",#N/A,FALSE,"Monthinput"}</definedName>
    <definedName name="lll" localSheetId="56" hidden="1">{"Minpmon",#N/A,FALSE,"Monthinput"}</definedName>
    <definedName name="lll" localSheetId="54" hidden="1">{"Minpmon",#N/A,FALSE,"Monthinput"}</definedName>
    <definedName name="lll" localSheetId="52" hidden="1">{"Minpmon",#N/A,FALSE,"Monthinput"}</definedName>
    <definedName name="lll" localSheetId="23" hidden="1">{"Minpmon",#N/A,FALSE,"Monthinput"}</definedName>
    <definedName name="lll" localSheetId="51" hidden="1">{"Minpmon",#N/A,FALSE,"Monthinput"}</definedName>
    <definedName name="lll" localSheetId="53" hidden="1">{"Minpmon",#N/A,FALSE,"Monthinput"}</definedName>
    <definedName name="lll" localSheetId="60" hidden="1">{"Minpmon",#N/A,FALSE,"Monthinput"}</definedName>
    <definedName name="lll" hidden="1">{"Minpmon",#N/A,FALSE,"Monthinput"}</definedName>
    <definedName name="llll" localSheetId="58" hidden="1">{"Minpmon",#N/A,FALSE,"Monthinput"}</definedName>
    <definedName name="llll" localSheetId="16" hidden="1">{"Minpmon",#N/A,FALSE,"Monthinput"}</definedName>
    <definedName name="llll" localSheetId="61" hidden="1">{"Minpmon",#N/A,FALSE,"Monthinput"}</definedName>
    <definedName name="llll" localSheetId="62" hidden="1">{"Minpmon",#N/A,FALSE,"Monthinput"}</definedName>
    <definedName name="llll" localSheetId="50" hidden="1">{"Minpmon",#N/A,FALSE,"Monthinput"}</definedName>
    <definedName name="llll" localSheetId="63" hidden="1">{"Minpmon",#N/A,FALSE,"Monthinput"}</definedName>
    <definedName name="llll" localSheetId="15" hidden="1">{"Minpmon",#N/A,FALSE,"Monthinput"}</definedName>
    <definedName name="llll" localSheetId="1" hidden="1">{"Minpmon",#N/A,FALSE,"Monthinput"}</definedName>
    <definedName name="llll" localSheetId="43" hidden="1">{"Minpmon",#N/A,FALSE,"Monthinput"}</definedName>
    <definedName name="llll" localSheetId="29" hidden="1">{"Minpmon",#N/A,FALSE,"Monthinput"}</definedName>
    <definedName name="llll" localSheetId="30" hidden="1">{"Minpmon",#N/A,FALSE,"Monthinput"}</definedName>
    <definedName name="llll" localSheetId="44" hidden="1">{"Minpmon",#N/A,FALSE,"Monthinput"}</definedName>
    <definedName name="llll" localSheetId="59" hidden="1">{"Minpmon",#N/A,FALSE,"Monthinput"}</definedName>
    <definedName name="llll" localSheetId="13" hidden="1">{"Minpmon",#N/A,FALSE,"Monthinput"}</definedName>
    <definedName name="llll" localSheetId="0" hidden="1">{"Minpmon",#N/A,FALSE,"Monthinput"}</definedName>
    <definedName name="llll" localSheetId="57" hidden="1">{"Minpmon",#N/A,FALSE,"Monthinput"}</definedName>
    <definedName name="llll" localSheetId="56" hidden="1">{"Minpmon",#N/A,FALSE,"Monthinput"}</definedName>
    <definedName name="llll" localSheetId="54" hidden="1">{"Minpmon",#N/A,FALSE,"Monthinput"}</definedName>
    <definedName name="llll" localSheetId="52" hidden="1">{"Minpmon",#N/A,FALSE,"Monthinput"}</definedName>
    <definedName name="llll" localSheetId="23" hidden="1">{"Minpmon",#N/A,FALSE,"Monthinput"}</definedName>
    <definedName name="llll" localSheetId="51" hidden="1">{"Minpmon",#N/A,FALSE,"Monthinput"}</definedName>
    <definedName name="llll" localSheetId="53" hidden="1">{"Minpmon",#N/A,FALSE,"Monthinput"}</definedName>
    <definedName name="llll" localSheetId="60" hidden="1">{"Minpmon",#N/A,FALSE,"Monthinput"}</definedName>
    <definedName name="llll" hidden="1">{"Minpmon",#N/A,FALSE,"Monthinput"}</definedName>
    <definedName name="lllll" localSheetId="58" hidden="1">{"Tab1",#N/A,FALSE,"P";"Tab2",#N/A,FALSE,"P"}</definedName>
    <definedName name="lllll" localSheetId="16" hidden="1">{"Tab1",#N/A,FALSE,"P";"Tab2",#N/A,FALSE,"P"}</definedName>
    <definedName name="lllll" localSheetId="61" hidden="1">{"Tab1",#N/A,FALSE,"P";"Tab2",#N/A,FALSE,"P"}</definedName>
    <definedName name="lllll" localSheetId="62" hidden="1">{"Tab1",#N/A,FALSE,"P";"Tab2",#N/A,FALSE,"P"}</definedName>
    <definedName name="lllll" localSheetId="50" hidden="1">{"Tab1",#N/A,FALSE,"P";"Tab2",#N/A,FALSE,"P"}</definedName>
    <definedName name="lllll" localSheetId="63" hidden="1">{"Tab1",#N/A,FALSE,"P";"Tab2",#N/A,FALSE,"P"}</definedName>
    <definedName name="lllll" localSheetId="15" hidden="1">{"Tab1",#N/A,FALSE,"P";"Tab2",#N/A,FALSE,"P"}</definedName>
    <definedName name="lllll" localSheetId="1" hidden="1">{"Tab1",#N/A,FALSE,"P";"Tab2",#N/A,FALSE,"P"}</definedName>
    <definedName name="lllll" localSheetId="43" hidden="1">{"Tab1",#N/A,FALSE,"P";"Tab2",#N/A,FALSE,"P"}</definedName>
    <definedName name="lllll" localSheetId="29" hidden="1">{"Tab1",#N/A,FALSE,"P";"Tab2",#N/A,FALSE,"P"}</definedName>
    <definedName name="lllll" localSheetId="30" hidden="1">{"Tab1",#N/A,FALSE,"P";"Tab2",#N/A,FALSE,"P"}</definedName>
    <definedName name="lllll" localSheetId="44" hidden="1">{"Tab1",#N/A,FALSE,"P";"Tab2",#N/A,FALSE,"P"}</definedName>
    <definedName name="lllll" localSheetId="59" hidden="1">{"Tab1",#N/A,FALSE,"P";"Tab2",#N/A,FALSE,"P"}</definedName>
    <definedName name="lllll" localSheetId="13" hidden="1">{"Tab1",#N/A,FALSE,"P";"Tab2",#N/A,FALSE,"P"}</definedName>
    <definedName name="lllll" localSheetId="0" hidden="1">{"Tab1",#N/A,FALSE,"P";"Tab2",#N/A,FALSE,"P"}</definedName>
    <definedName name="lllll" localSheetId="57" hidden="1">{"Tab1",#N/A,FALSE,"P";"Tab2",#N/A,FALSE,"P"}</definedName>
    <definedName name="lllll" localSheetId="56" hidden="1">{"Tab1",#N/A,FALSE,"P";"Tab2",#N/A,FALSE,"P"}</definedName>
    <definedName name="lllll" localSheetId="54" hidden="1">{"Tab1",#N/A,FALSE,"P";"Tab2",#N/A,FALSE,"P"}</definedName>
    <definedName name="lllll" localSheetId="52" hidden="1">{"Tab1",#N/A,FALSE,"P";"Tab2",#N/A,FALSE,"P"}</definedName>
    <definedName name="lllll" localSheetId="23" hidden="1">{"Tab1",#N/A,FALSE,"P";"Tab2",#N/A,FALSE,"P"}</definedName>
    <definedName name="lllll" localSheetId="51" hidden="1">{"Tab1",#N/A,FALSE,"P";"Tab2",#N/A,FALSE,"P"}</definedName>
    <definedName name="lllll" localSheetId="53" hidden="1">{"Tab1",#N/A,FALSE,"P";"Tab2",#N/A,FALSE,"P"}</definedName>
    <definedName name="lllll" localSheetId="60" hidden="1">{"Tab1",#N/A,FALSE,"P";"Tab2",#N/A,FALSE,"P"}</definedName>
    <definedName name="lllll" hidden="1">{"Tab1",#N/A,FALSE,"P";"Tab2",#N/A,FALSE,"P"}</definedName>
    <definedName name="llllll" localSheetId="58" hidden="1">{"Minpmon",#N/A,FALSE,"Monthinput"}</definedName>
    <definedName name="llllll" localSheetId="16" hidden="1">{"Minpmon",#N/A,FALSE,"Monthinput"}</definedName>
    <definedName name="llllll" localSheetId="61" hidden="1">{"Minpmon",#N/A,FALSE,"Monthinput"}</definedName>
    <definedName name="llllll" localSheetId="62" hidden="1">{"Minpmon",#N/A,FALSE,"Monthinput"}</definedName>
    <definedName name="llllll" localSheetId="50" hidden="1">{"Minpmon",#N/A,FALSE,"Monthinput"}</definedName>
    <definedName name="llllll" localSheetId="63" hidden="1">{"Minpmon",#N/A,FALSE,"Monthinput"}</definedName>
    <definedName name="llllll" localSheetId="15" hidden="1">{"Minpmon",#N/A,FALSE,"Monthinput"}</definedName>
    <definedName name="llllll" localSheetId="1" hidden="1">{"Minpmon",#N/A,FALSE,"Monthinput"}</definedName>
    <definedName name="llllll" localSheetId="43" hidden="1">{"Minpmon",#N/A,FALSE,"Monthinput"}</definedName>
    <definedName name="llllll" localSheetId="29" hidden="1">{"Minpmon",#N/A,FALSE,"Monthinput"}</definedName>
    <definedName name="llllll" localSheetId="30" hidden="1">{"Minpmon",#N/A,FALSE,"Monthinput"}</definedName>
    <definedName name="llllll" localSheetId="44" hidden="1">{"Minpmon",#N/A,FALSE,"Monthinput"}</definedName>
    <definedName name="llllll" localSheetId="59" hidden="1">{"Minpmon",#N/A,FALSE,"Monthinput"}</definedName>
    <definedName name="llllll" localSheetId="13" hidden="1">{"Minpmon",#N/A,FALSE,"Monthinput"}</definedName>
    <definedName name="llllll" localSheetId="0" hidden="1">{"Minpmon",#N/A,FALSE,"Monthinput"}</definedName>
    <definedName name="llllll" localSheetId="57" hidden="1">{"Minpmon",#N/A,FALSE,"Monthinput"}</definedName>
    <definedName name="llllll" localSheetId="56" hidden="1">{"Minpmon",#N/A,FALSE,"Monthinput"}</definedName>
    <definedName name="llllll" localSheetId="54" hidden="1">{"Minpmon",#N/A,FALSE,"Monthinput"}</definedName>
    <definedName name="llllll" localSheetId="52" hidden="1">{"Minpmon",#N/A,FALSE,"Monthinput"}</definedName>
    <definedName name="llllll" localSheetId="23" hidden="1">{"Minpmon",#N/A,FALSE,"Monthinput"}</definedName>
    <definedName name="llllll" localSheetId="51" hidden="1">{"Minpmon",#N/A,FALSE,"Monthinput"}</definedName>
    <definedName name="llllll" localSheetId="53" hidden="1">{"Minpmon",#N/A,FALSE,"Monthinput"}</definedName>
    <definedName name="llllll" localSheetId="60" hidden="1">{"Minpmon",#N/A,FALSE,"Monthinput"}</definedName>
    <definedName name="llllll" hidden="1">{"Minpmon",#N/A,FALSE,"Monthinput"}</definedName>
    <definedName name="Loans_J98" localSheetId="50">#REF!</definedName>
    <definedName name="Loans_J98" localSheetId="47">#REF!</definedName>
    <definedName name="Loans_J98" localSheetId="44">#REF!</definedName>
    <definedName name="Loans_J98" localSheetId="45">#REF!</definedName>
    <definedName name="Loans_J98" localSheetId="46">#REF!</definedName>
    <definedName name="Loans_J98" localSheetId="37">#REF!</definedName>
    <definedName name="Loans_J98" localSheetId="40">#REF!</definedName>
    <definedName name="Loans_J98" localSheetId="54">#REF!</definedName>
    <definedName name="Loans_J98" localSheetId="55">#REF!</definedName>
    <definedName name="Loans_J98" localSheetId="52">#REF!</definedName>
    <definedName name="Loans_J98" localSheetId="51">#REF!</definedName>
    <definedName name="Loans_J98" localSheetId="53">#REF!</definedName>
    <definedName name="Loans_J98">#REF!</definedName>
    <definedName name="Local_Bil_Category">[41]Roles!$D$2</definedName>
    <definedName name="Local_Metro">[41]Roles!$C$5:$C$28</definedName>
    <definedName name="LOE_EXP" localSheetId="50">#REF!</definedName>
    <definedName name="LOE_EXP" localSheetId="47">#REF!</definedName>
    <definedName name="LOE_EXP" localSheetId="44">#REF!</definedName>
    <definedName name="LOE_EXP" localSheetId="45">#REF!</definedName>
    <definedName name="LOE_EXP" localSheetId="46">#REF!</definedName>
    <definedName name="LOE_EXP" localSheetId="37">#REF!</definedName>
    <definedName name="LOE_EXP" localSheetId="40">#REF!</definedName>
    <definedName name="LOE_EXP" localSheetId="54">#REF!</definedName>
    <definedName name="LOE_EXP" localSheetId="55">#REF!</definedName>
    <definedName name="LOE_EXP" localSheetId="52">#REF!</definedName>
    <definedName name="LOE_EXP" localSheetId="51">#REF!</definedName>
    <definedName name="LOE_EXP" localSheetId="53">#REF!</definedName>
    <definedName name="LOE_EXP">#REF!</definedName>
    <definedName name="LOE_EXP_EXPERT" localSheetId="50">'[111]LOE Detail'!#REF!</definedName>
    <definedName name="LOE_EXP_EXPERT" localSheetId="47">'[111]LOE Detail'!#REF!</definedName>
    <definedName name="LOE_EXP_EXPERT" localSheetId="44">'[111]LOE Detail'!#REF!</definedName>
    <definedName name="LOE_EXP_EXPERT" localSheetId="45">'[111]LOE Detail'!#REF!</definedName>
    <definedName name="LOE_EXP_EXPERT" localSheetId="46">'[111]LOE Detail'!#REF!</definedName>
    <definedName name="LOE_EXP_EXPERT" localSheetId="37">'[111]LOE Detail'!#REF!</definedName>
    <definedName name="LOE_EXP_EXPERT" localSheetId="40">'[111]LOE Detail'!#REF!</definedName>
    <definedName name="LOE_EXP_EXPERT" localSheetId="54">'[111]LOE Detail'!#REF!</definedName>
    <definedName name="LOE_EXP_EXPERT" localSheetId="55">'[111]LOE Detail'!#REF!</definedName>
    <definedName name="LOE_EXP_EXPERT" localSheetId="52">'[111]LOE Detail'!#REF!</definedName>
    <definedName name="LOE_EXP_EXPERT" localSheetId="51">'[111]LOE Detail'!#REF!</definedName>
    <definedName name="LOE_EXP_EXPERT" localSheetId="53">'[111]LOE Detail'!#REF!</definedName>
    <definedName name="LOE_EXP_EXPERT">'[111]LOE Detail'!#REF!</definedName>
    <definedName name="LOE_EXP_GREEN" localSheetId="50">'[111]LOE Detail'!#REF!</definedName>
    <definedName name="LOE_EXP_GREEN" localSheetId="47">'[111]LOE Detail'!#REF!</definedName>
    <definedName name="LOE_EXP_GREEN" localSheetId="44">'[111]LOE Detail'!#REF!</definedName>
    <definedName name="LOE_EXP_GREEN" localSheetId="45">'[111]LOE Detail'!#REF!</definedName>
    <definedName name="LOE_EXP_GREEN" localSheetId="46">'[111]LOE Detail'!#REF!</definedName>
    <definedName name="LOE_EXP_GREEN" localSheetId="37">'[111]LOE Detail'!#REF!</definedName>
    <definedName name="LOE_EXP_GREEN" localSheetId="40">'[111]LOE Detail'!#REF!</definedName>
    <definedName name="LOE_EXP_GREEN" localSheetId="54">'[111]LOE Detail'!#REF!</definedName>
    <definedName name="LOE_EXP_GREEN" localSheetId="55">'[111]LOE Detail'!#REF!</definedName>
    <definedName name="LOE_EXP_GREEN" localSheetId="52">'[111]LOE Detail'!#REF!</definedName>
    <definedName name="LOE_EXP_GREEN" localSheetId="51">'[111]LOE Detail'!#REF!</definedName>
    <definedName name="LOE_EXP_GREEN" localSheetId="53">'[111]LOE Detail'!#REF!</definedName>
    <definedName name="LOE_EXP_GREEN">'[111]LOE Detail'!#REF!</definedName>
    <definedName name="LOE_HIGH" localSheetId="50">#REF!</definedName>
    <definedName name="LOE_HIGH" localSheetId="47">#REF!</definedName>
    <definedName name="LOE_HIGH" localSheetId="44">#REF!</definedName>
    <definedName name="LOE_HIGH" localSheetId="45">#REF!</definedName>
    <definedName name="LOE_HIGH" localSheetId="46">#REF!</definedName>
    <definedName name="LOE_HIGH" localSheetId="37">#REF!</definedName>
    <definedName name="LOE_HIGH" localSheetId="40">#REF!</definedName>
    <definedName name="LOE_HIGH" localSheetId="54">#REF!</definedName>
    <definedName name="LOE_HIGH" localSheetId="55">#REF!</definedName>
    <definedName name="LOE_HIGH" localSheetId="52">#REF!</definedName>
    <definedName name="LOE_HIGH" localSheetId="51">#REF!</definedName>
    <definedName name="LOE_HIGH" localSheetId="53">#REF!</definedName>
    <definedName name="LOE_HIGH">#REF!</definedName>
    <definedName name="LOE_HIGH_EXPERT" localSheetId="50">'[111]LOE Detail'!#REF!</definedName>
    <definedName name="LOE_HIGH_EXPERT" localSheetId="47">'[111]LOE Detail'!#REF!</definedName>
    <definedName name="LOE_HIGH_EXPERT" localSheetId="44">'[111]LOE Detail'!#REF!</definedName>
    <definedName name="LOE_HIGH_EXPERT" localSheetId="45">'[111]LOE Detail'!#REF!</definedName>
    <definedName name="LOE_HIGH_EXPERT" localSheetId="46">'[111]LOE Detail'!#REF!</definedName>
    <definedName name="LOE_HIGH_EXPERT" localSheetId="37">'[111]LOE Detail'!#REF!</definedName>
    <definedName name="LOE_HIGH_EXPERT" localSheetId="40">'[111]LOE Detail'!#REF!</definedName>
    <definedName name="LOE_HIGH_EXPERT" localSheetId="54">'[111]LOE Detail'!#REF!</definedName>
    <definedName name="LOE_HIGH_EXPERT" localSheetId="55">'[111]LOE Detail'!#REF!</definedName>
    <definedName name="LOE_HIGH_EXPERT" localSheetId="52">'[111]LOE Detail'!#REF!</definedName>
    <definedName name="LOE_HIGH_EXPERT" localSheetId="51">'[111]LOE Detail'!#REF!</definedName>
    <definedName name="LOE_HIGH_EXPERT" localSheetId="53">'[111]LOE Detail'!#REF!</definedName>
    <definedName name="LOE_HIGH_EXPERT">'[111]LOE Detail'!#REF!</definedName>
    <definedName name="LOE_HIGH_GREEN" localSheetId="50">'[111]LOE Detail'!#REF!</definedName>
    <definedName name="LOE_HIGH_GREEN" localSheetId="47">'[111]LOE Detail'!#REF!</definedName>
    <definedName name="LOE_HIGH_GREEN" localSheetId="44">'[111]LOE Detail'!#REF!</definedName>
    <definedName name="LOE_HIGH_GREEN" localSheetId="45">'[111]LOE Detail'!#REF!</definedName>
    <definedName name="LOE_HIGH_GREEN" localSheetId="46">'[111]LOE Detail'!#REF!</definedName>
    <definedName name="LOE_HIGH_GREEN" localSheetId="37">'[111]LOE Detail'!#REF!</definedName>
    <definedName name="LOE_HIGH_GREEN" localSheetId="40">'[111]LOE Detail'!#REF!</definedName>
    <definedName name="LOE_HIGH_GREEN" localSheetId="54">'[111]LOE Detail'!#REF!</definedName>
    <definedName name="LOE_HIGH_GREEN" localSheetId="55">'[111]LOE Detail'!#REF!</definedName>
    <definedName name="LOE_HIGH_GREEN" localSheetId="52">'[111]LOE Detail'!#REF!</definedName>
    <definedName name="LOE_HIGH_GREEN" localSheetId="51">'[111]LOE Detail'!#REF!</definedName>
    <definedName name="LOE_HIGH_GREEN" localSheetId="53">'[111]LOE Detail'!#REF!</definedName>
    <definedName name="LOE_HIGH_GREEN">'[111]LOE Detail'!#REF!</definedName>
    <definedName name="LOE_LOOKUP">[111]LookupSheet!$A$4:$B$10</definedName>
    <definedName name="LOE_LOOKUP_EXPERT" localSheetId="50">[111]LookupSheet!#REF!</definedName>
    <definedName name="LOE_LOOKUP_EXPERT" localSheetId="47">[111]LookupSheet!#REF!</definedName>
    <definedName name="LOE_LOOKUP_EXPERT" localSheetId="44">[111]LookupSheet!#REF!</definedName>
    <definedName name="LOE_LOOKUP_EXPERT" localSheetId="45">[111]LookupSheet!#REF!</definedName>
    <definedName name="LOE_LOOKUP_EXPERT" localSheetId="46">[111]LookupSheet!#REF!</definedName>
    <definedName name="LOE_LOOKUP_EXPERT" localSheetId="37">[111]LookupSheet!#REF!</definedName>
    <definedName name="LOE_LOOKUP_EXPERT" localSheetId="40">[111]LookupSheet!#REF!</definedName>
    <definedName name="LOE_LOOKUP_EXPERT" localSheetId="54">[111]LookupSheet!#REF!</definedName>
    <definedName name="LOE_LOOKUP_EXPERT" localSheetId="55">[111]LookupSheet!#REF!</definedName>
    <definedName name="LOE_LOOKUP_EXPERT" localSheetId="52">[111]LookupSheet!#REF!</definedName>
    <definedName name="LOE_LOOKUP_EXPERT" localSheetId="51">[111]LookupSheet!#REF!</definedName>
    <definedName name="LOE_LOOKUP_EXPERT" localSheetId="53">[111]LookupSheet!#REF!</definedName>
    <definedName name="LOE_LOOKUP_EXPERT">[111]LookupSheet!#REF!</definedName>
    <definedName name="LOE_LOOKUP_GREEN" localSheetId="50">[111]LookupSheet!#REF!</definedName>
    <definedName name="LOE_LOOKUP_GREEN" localSheetId="47">[111]LookupSheet!#REF!</definedName>
    <definedName name="LOE_LOOKUP_GREEN" localSheetId="44">[111]LookupSheet!#REF!</definedName>
    <definedName name="LOE_LOOKUP_GREEN" localSheetId="45">[111]LookupSheet!#REF!</definedName>
    <definedName name="LOE_LOOKUP_GREEN" localSheetId="46">[111]LookupSheet!#REF!</definedName>
    <definedName name="LOE_LOOKUP_GREEN" localSheetId="37">[111]LookupSheet!#REF!</definedName>
    <definedName name="LOE_LOOKUP_GREEN" localSheetId="40">[111]LookupSheet!#REF!</definedName>
    <definedName name="LOE_LOOKUP_GREEN" localSheetId="54">[111]LookupSheet!#REF!</definedName>
    <definedName name="LOE_LOOKUP_GREEN" localSheetId="55">[111]LookupSheet!#REF!</definedName>
    <definedName name="LOE_LOOKUP_GREEN" localSheetId="52">[111]LookupSheet!#REF!</definedName>
    <definedName name="LOE_LOOKUP_GREEN" localSheetId="51">[111]LookupSheet!#REF!</definedName>
    <definedName name="LOE_LOOKUP_GREEN" localSheetId="53">[111]LookupSheet!#REF!</definedName>
    <definedName name="LOE_LOOKUP_GREEN">[111]LookupSheet!#REF!</definedName>
    <definedName name="LOE_LOW" localSheetId="50">#REF!</definedName>
    <definedName name="LOE_LOW" localSheetId="47">#REF!</definedName>
    <definedName name="LOE_LOW" localSheetId="44">#REF!</definedName>
    <definedName name="LOE_LOW" localSheetId="45">#REF!</definedName>
    <definedName name="LOE_LOW" localSheetId="46">#REF!</definedName>
    <definedName name="LOE_LOW" localSheetId="37">#REF!</definedName>
    <definedName name="LOE_LOW" localSheetId="40">#REF!</definedName>
    <definedName name="LOE_LOW" localSheetId="54">#REF!</definedName>
    <definedName name="LOE_LOW" localSheetId="55">#REF!</definedName>
    <definedName name="LOE_LOW" localSheetId="52">#REF!</definedName>
    <definedName name="LOE_LOW" localSheetId="51">#REF!</definedName>
    <definedName name="LOE_LOW" localSheetId="53">#REF!</definedName>
    <definedName name="LOE_LOW">#REF!</definedName>
    <definedName name="LOE_LOW_EXPERT" localSheetId="50">'[111]LOE Detail'!#REF!</definedName>
    <definedName name="LOE_LOW_EXPERT" localSheetId="47">'[111]LOE Detail'!#REF!</definedName>
    <definedName name="LOE_LOW_EXPERT" localSheetId="44">'[111]LOE Detail'!#REF!</definedName>
    <definedName name="LOE_LOW_EXPERT" localSheetId="45">'[111]LOE Detail'!#REF!</definedName>
    <definedName name="LOE_LOW_EXPERT" localSheetId="46">'[111]LOE Detail'!#REF!</definedName>
    <definedName name="LOE_LOW_EXPERT" localSheetId="37">'[111]LOE Detail'!#REF!</definedName>
    <definedName name="LOE_LOW_EXPERT" localSheetId="40">'[111]LOE Detail'!#REF!</definedName>
    <definedName name="LOE_LOW_EXPERT" localSheetId="54">'[111]LOE Detail'!#REF!</definedName>
    <definedName name="LOE_LOW_EXPERT" localSheetId="55">'[111]LOE Detail'!#REF!</definedName>
    <definedName name="LOE_LOW_EXPERT" localSheetId="52">'[111]LOE Detail'!#REF!</definedName>
    <definedName name="LOE_LOW_EXPERT" localSheetId="51">'[111]LOE Detail'!#REF!</definedName>
    <definedName name="LOE_LOW_EXPERT" localSheetId="53">'[111]LOE Detail'!#REF!</definedName>
    <definedName name="LOE_LOW_EXPERT">'[111]LOE Detail'!#REF!</definedName>
    <definedName name="LOE_LOW_GREEN" localSheetId="50">'[111]LOE Detail'!#REF!</definedName>
    <definedName name="LOE_LOW_GREEN" localSheetId="47">'[111]LOE Detail'!#REF!</definedName>
    <definedName name="LOE_LOW_GREEN" localSheetId="44">'[111]LOE Detail'!#REF!</definedName>
    <definedName name="LOE_LOW_GREEN" localSheetId="45">'[111]LOE Detail'!#REF!</definedName>
    <definedName name="LOE_LOW_GREEN" localSheetId="46">'[111]LOE Detail'!#REF!</definedName>
    <definedName name="LOE_LOW_GREEN" localSheetId="37">'[111]LOE Detail'!#REF!</definedName>
    <definedName name="LOE_LOW_GREEN" localSheetId="40">'[111]LOE Detail'!#REF!</definedName>
    <definedName name="LOE_LOW_GREEN" localSheetId="54">'[111]LOE Detail'!#REF!</definedName>
    <definedName name="LOE_LOW_GREEN" localSheetId="55">'[111]LOE Detail'!#REF!</definedName>
    <definedName name="LOE_LOW_GREEN" localSheetId="52">'[111]LOE Detail'!#REF!</definedName>
    <definedName name="LOE_LOW_GREEN" localSheetId="51">'[111]LOE Detail'!#REF!</definedName>
    <definedName name="LOE_LOW_GREEN" localSheetId="53">'[111]LOE Detail'!#REF!</definedName>
    <definedName name="LOE_LOW_GREEN">'[111]LOE Detail'!#REF!</definedName>
    <definedName name="LOE_PER_NPBO" localSheetId="50">#REF!</definedName>
    <definedName name="LOE_PER_NPBO" localSheetId="47">#REF!</definedName>
    <definedName name="LOE_PER_NPBO" localSheetId="44">#REF!</definedName>
    <definedName name="LOE_PER_NPBO" localSheetId="45">#REF!</definedName>
    <definedName name="LOE_PER_NPBO" localSheetId="46">#REF!</definedName>
    <definedName name="LOE_PER_NPBO" localSheetId="37">#REF!</definedName>
    <definedName name="LOE_PER_NPBO" localSheetId="40">#REF!</definedName>
    <definedName name="LOE_PER_NPBO" localSheetId="54">#REF!</definedName>
    <definedName name="LOE_PER_NPBO" localSheetId="55">#REF!</definedName>
    <definedName name="LOE_PER_NPBO" localSheetId="52">#REF!</definedName>
    <definedName name="LOE_PER_NPBO" localSheetId="51">#REF!</definedName>
    <definedName name="LOE_PER_NPBO" localSheetId="53">#REF!</definedName>
    <definedName name="LOE_PER_NPBO">#REF!</definedName>
    <definedName name="LOE_PER_NPBO_HIGH" localSheetId="50">#REF!</definedName>
    <definedName name="LOE_PER_NPBO_HIGH" localSheetId="47">#REF!</definedName>
    <definedName name="LOE_PER_NPBO_HIGH" localSheetId="44">#REF!</definedName>
    <definedName name="LOE_PER_NPBO_HIGH" localSheetId="45">#REF!</definedName>
    <definedName name="LOE_PER_NPBO_HIGH" localSheetId="46">#REF!</definedName>
    <definedName name="LOE_PER_NPBO_HIGH" localSheetId="37">#REF!</definedName>
    <definedName name="LOE_PER_NPBO_HIGH" localSheetId="40">#REF!</definedName>
    <definedName name="LOE_PER_NPBO_HIGH" localSheetId="54">#REF!</definedName>
    <definedName name="LOE_PER_NPBO_HIGH" localSheetId="55">#REF!</definedName>
    <definedName name="LOE_PER_NPBO_HIGH" localSheetId="52">#REF!</definedName>
    <definedName name="LOE_PER_NPBO_HIGH" localSheetId="51">#REF!</definedName>
    <definedName name="LOE_PER_NPBO_HIGH" localSheetId="53">#REF!</definedName>
    <definedName name="LOE_PER_NPBO_HIGH">#REF!</definedName>
    <definedName name="LOE_PER_NPBO_LOW" localSheetId="50">#REF!</definedName>
    <definedName name="LOE_PER_NPBO_LOW" localSheetId="47">#REF!</definedName>
    <definedName name="LOE_PER_NPBO_LOW" localSheetId="44">#REF!</definedName>
    <definedName name="LOE_PER_NPBO_LOW" localSheetId="45">#REF!</definedName>
    <definedName name="LOE_PER_NPBO_LOW" localSheetId="46">#REF!</definedName>
    <definedName name="LOE_PER_NPBO_LOW" localSheetId="37">#REF!</definedName>
    <definedName name="LOE_PER_NPBO_LOW" localSheetId="40">#REF!</definedName>
    <definedName name="LOE_PER_NPBO_LOW" localSheetId="54">#REF!</definedName>
    <definedName name="LOE_PER_NPBO_LOW" localSheetId="55">#REF!</definedName>
    <definedName name="LOE_PER_NPBO_LOW" localSheetId="52">#REF!</definedName>
    <definedName name="LOE_PER_NPBO_LOW" localSheetId="51">#REF!</definedName>
    <definedName name="LOE_PER_NPBO_LOW" localSheetId="53">#REF!</definedName>
    <definedName name="LOE_PER_NPBO_LOW">#REF!</definedName>
    <definedName name="LOE_PER_PBO" localSheetId="50">#REF!</definedName>
    <definedName name="LOE_PER_PBO" localSheetId="47">#REF!</definedName>
    <definedName name="LOE_PER_PBO" localSheetId="44">#REF!</definedName>
    <definedName name="LOE_PER_PBO" localSheetId="45">#REF!</definedName>
    <definedName name="LOE_PER_PBO" localSheetId="46">#REF!</definedName>
    <definedName name="LOE_PER_PBO" localSheetId="37">#REF!</definedName>
    <definedName name="LOE_PER_PBO" localSheetId="40">#REF!</definedName>
    <definedName name="LOE_PER_PBO" localSheetId="54">#REF!</definedName>
    <definedName name="LOE_PER_PBO" localSheetId="55">#REF!</definedName>
    <definedName name="LOE_PER_PBO" localSheetId="52">#REF!</definedName>
    <definedName name="LOE_PER_PBO" localSheetId="51">#REF!</definedName>
    <definedName name="LOE_PER_PBO" localSheetId="53">#REF!</definedName>
    <definedName name="LOE_PER_PBO">#REF!</definedName>
    <definedName name="LOE_PER_PBO_HIGH" localSheetId="50">#REF!</definedName>
    <definedName name="LOE_PER_PBO_HIGH" localSheetId="47">#REF!</definedName>
    <definedName name="LOE_PER_PBO_HIGH" localSheetId="44">#REF!</definedName>
    <definedName name="LOE_PER_PBO_HIGH" localSheetId="45">#REF!</definedName>
    <definedName name="LOE_PER_PBO_HIGH" localSheetId="46">#REF!</definedName>
    <definedName name="LOE_PER_PBO_HIGH" localSheetId="37">#REF!</definedName>
    <definedName name="LOE_PER_PBO_HIGH" localSheetId="40">#REF!</definedName>
    <definedName name="LOE_PER_PBO_HIGH" localSheetId="54">#REF!</definedName>
    <definedName name="LOE_PER_PBO_HIGH" localSheetId="55">#REF!</definedName>
    <definedName name="LOE_PER_PBO_HIGH" localSheetId="52">#REF!</definedName>
    <definedName name="LOE_PER_PBO_HIGH" localSheetId="51">#REF!</definedName>
    <definedName name="LOE_PER_PBO_HIGH" localSheetId="53">#REF!</definedName>
    <definedName name="LOE_PER_PBO_HIGH">#REF!</definedName>
    <definedName name="LOE_PER_PBO_LOW" localSheetId="50">#REF!</definedName>
    <definedName name="LOE_PER_PBO_LOW" localSheetId="47">#REF!</definedName>
    <definedName name="LOE_PER_PBO_LOW" localSheetId="44">#REF!</definedName>
    <definedName name="LOE_PER_PBO_LOW" localSheetId="45">#REF!</definedName>
    <definedName name="LOE_PER_PBO_LOW" localSheetId="46">#REF!</definedName>
    <definedName name="LOE_PER_PBO_LOW" localSheetId="37">#REF!</definedName>
    <definedName name="LOE_PER_PBO_LOW" localSheetId="40">#REF!</definedName>
    <definedName name="LOE_PER_PBO_LOW" localSheetId="54">#REF!</definedName>
    <definedName name="LOE_PER_PBO_LOW" localSheetId="55">#REF!</definedName>
    <definedName name="LOE_PER_PBO_LOW" localSheetId="52">#REF!</definedName>
    <definedName name="LOE_PER_PBO_LOW" localSheetId="51">#REF!</definedName>
    <definedName name="LOE_PER_PBO_LOW" localSheetId="53">#REF!</definedName>
    <definedName name="LOE_PER_PBO_LOW">#REF!</definedName>
    <definedName name="log_scope_line" localSheetId="50">'[112]Change Log'!#REF!</definedName>
    <definedName name="log_scope_line" localSheetId="47">'[112]Change Log'!#REF!</definedName>
    <definedName name="log_scope_line" localSheetId="44">'[112]Change Log'!#REF!</definedName>
    <definedName name="log_scope_line" localSheetId="45">'[112]Change Log'!#REF!</definedName>
    <definedName name="log_scope_line" localSheetId="46">'[112]Change Log'!#REF!</definedName>
    <definedName name="log_scope_line" localSheetId="37">'[112]Change Log'!#REF!</definedName>
    <definedName name="log_scope_line" localSheetId="40">'[112]Change Log'!#REF!</definedName>
    <definedName name="log_scope_line" localSheetId="54">'[112]Change Log'!#REF!</definedName>
    <definedName name="log_scope_line" localSheetId="55">'[112]Change Log'!#REF!</definedName>
    <definedName name="log_scope_line" localSheetId="52">'[112]Change Log'!#REF!</definedName>
    <definedName name="log_scope_line" localSheetId="51">'[112]Change Log'!#REF!</definedName>
    <definedName name="log_scope_line" localSheetId="53">'[112]Change Log'!#REF!</definedName>
    <definedName name="log_scope_line">'[112]Change Log'!#REF!</definedName>
    <definedName name="log_scope_line_1" localSheetId="50">'[113]Change Log'!#REF!</definedName>
    <definedName name="log_scope_line_1" localSheetId="47">'[113]Change Log'!#REF!</definedName>
    <definedName name="log_scope_line_1" localSheetId="44">'[113]Change Log'!#REF!</definedName>
    <definedName name="log_scope_line_1" localSheetId="45">'[113]Change Log'!#REF!</definedName>
    <definedName name="log_scope_line_1" localSheetId="46">'[113]Change Log'!#REF!</definedName>
    <definedName name="log_scope_line_1" localSheetId="37">'[113]Change Log'!#REF!</definedName>
    <definedName name="log_scope_line_1" localSheetId="40">'[113]Change Log'!#REF!</definedName>
    <definedName name="log_scope_line_1" localSheetId="54">'[113]Change Log'!#REF!</definedName>
    <definedName name="log_scope_line_1" localSheetId="55">'[113]Change Log'!#REF!</definedName>
    <definedName name="log_scope_line_1" localSheetId="52">'[113]Change Log'!#REF!</definedName>
    <definedName name="log_scope_line_1" localSheetId="51">'[113]Change Log'!#REF!</definedName>
    <definedName name="log_scope_line_1" localSheetId="53">'[113]Change Log'!#REF!</definedName>
    <definedName name="log_scope_line_1">'[113]Change Log'!#REF!</definedName>
    <definedName name="Lookup" localSheetId="50">#REF!</definedName>
    <definedName name="Lookup" localSheetId="47">#REF!</definedName>
    <definedName name="Lookup" localSheetId="44">#REF!</definedName>
    <definedName name="Lookup" localSheetId="45">#REF!</definedName>
    <definedName name="Lookup" localSheetId="46">#REF!</definedName>
    <definedName name="Lookup" localSheetId="37">#REF!</definedName>
    <definedName name="Lookup" localSheetId="40">#REF!</definedName>
    <definedName name="Lookup" localSheetId="54">#REF!</definedName>
    <definedName name="Lookup" localSheetId="55">#REF!</definedName>
    <definedName name="Lookup" localSheetId="52">#REF!</definedName>
    <definedName name="Lookup" localSheetId="51">#REF!</definedName>
    <definedName name="Lookup" localSheetId="53">#REF!</definedName>
    <definedName name="Lookup">#REF!</definedName>
    <definedName name="LP" localSheetId="34">#REF!</definedName>
    <definedName name="LP" localSheetId="35">#REF!</definedName>
    <definedName name="LP" localSheetId="50">#REF!</definedName>
    <definedName name="LP" localSheetId="15">#REF!</definedName>
    <definedName name="LP" localSheetId="29">#REF!</definedName>
    <definedName name="LP" localSheetId="30">#REF!</definedName>
    <definedName name="LP" localSheetId="47">#REF!</definedName>
    <definedName name="LP" localSheetId="44">#REF!</definedName>
    <definedName name="LP" localSheetId="45">#REF!</definedName>
    <definedName name="LP" localSheetId="46">#REF!</definedName>
    <definedName name="LP" localSheetId="31">#REF!</definedName>
    <definedName name="LP" localSheetId="32">#REF!</definedName>
    <definedName name="LP" localSheetId="33">#REF!</definedName>
    <definedName name="LP" localSheetId="36">#REF!</definedName>
    <definedName name="LP" localSheetId="37">#REF!</definedName>
    <definedName name="LP" localSheetId="38">#REF!</definedName>
    <definedName name="LP" localSheetId="39">#REF!</definedName>
    <definedName name="LP" localSheetId="40">#REF!</definedName>
    <definedName name="LP" localSheetId="54">#REF!</definedName>
    <definedName name="LP" localSheetId="55">#REF!</definedName>
    <definedName name="LP" localSheetId="52">#REF!</definedName>
    <definedName name="LP" localSheetId="23">#REF!</definedName>
    <definedName name="LP" localSheetId="51">#REF!</definedName>
    <definedName name="LP" localSheetId="53">#REF!</definedName>
    <definedName name="LP" localSheetId="20">#REF!</definedName>
    <definedName name="LP">#REF!</definedName>
    <definedName name="LPEperc" localSheetId="34">#REF!</definedName>
    <definedName name="LPEperc" localSheetId="35">#REF!</definedName>
    <definedName name="LPEperc" localSheetId="50">#REF!</definedName>
    <definedName name="LPEperc" localSheetId="15">#REF!</definedName>
    <definedName name="LPEperc" localSheetId="29">#REF!</definedName>
    <definedName name="LPEperc" localSheetId="30">#REF!</definedName>
    <definedName name="LPEperc" localSheetId="47">#REF!</definedName>
    <definedName name="LPEperc" localSheetId="44">#REF!</definedName>
    <definedName name="LPEperc" localSheetId="45">#REF!</definedName>
    <definedName name="LPEperc" localSheetId="46">#REF!</definedName>
    <definedName name="LPEperc" localSheetId="31">#REF!</definedName>
    <definedName name="LPEperc" localSheetId="32">#REF!</definedName>
    <definedName name="LPEperc" localSheetId="33">#REF!</definedName>
    <definedName name="LPEperc" localSheetId="36">#REF!</definedName>
    <definedName name="LPEperc" localSheetId="37">#REF!</definedName>
    <definedName name="LPEperc" localSheetId="38">#REF!</definedName>
    <definedName name="LPEperc" localSheetId="39">#REF!</definedName>
    <definedName name="LPEperc" localSheetId="40">#REF!</definedName>
    <definedName name="LPEperc" localSheetId="54">#REF!</definedName>
    <definedName name="LPEperc" localSheetId="55">#REF!</definedName>
    <definedName name="LPEperc" localSheetId="52">#REF!</definedName>
    <definedName name="LPEperc" localSheetId="23">#REF!</definedName>
    <definedName name="LPEperc" localSheetId="51">#REF!</definedName>
    <definedName name="LPEperc" localSheetId="53">#REF!</definedName>
    <definedName name="LPEperc" localSheetId="20">#REF!</definedName>
    <definedName name="LPEperc">#REF!</definedName>
    <definedName name="LPperc" localSheetId="34">#REF!</definedName>
    <definedName name="LPperc" localSheetId="35">#REF!</definedName>
    <definedName name="LPperc" localSheetId="50">#REF!</definedName>
    <definedName name="LPperc" localSheetId="15">#REF!</definedName>
    <definedName name="LPperc" localSheetId="29">#REF!</definedName>
    <definedName name="LPperc" localSheetId="30">#REF!</definedName>
    <definedName name="LPperc" localSheetId="47">#REF!</definedName>
    <definedName name="LPperc" localSheetId="44">#REF!</definedName>
    <definedName name="LPperc" localSheetId="45">#REF!</definedName>
    <definedName name="LPperc" localSheetId="46">#REF!</definedName>
    <definedName name="LPperc" localSheetId="31">#REF!</definedName>
    <definedName name="LPperc" localSheetId="32">#REF!</definedName>
    <definedName name="LPperc" localSheetId="33">#REF!</definedName>
    <definedName name="LPperc" localSheetId="36">#REF!</definedName>
    <definedName name="LPperc" localSheetId="37">#REF!</definedName>
    <definedName name="LPperc" localSheetId="38">#REF!</definedName>
    <definedName name="LPperc" localSheetId="39">#REF!</definedName>
    <definedName name="LPperc" localSheetId="40">#REF!</definedName>
    <definedName name="LPperc" localSheetId="54">#REF!</definedName>
    <definedName name="LPperc" localSheetId="55">#REF!</definedName>
    <definedName name="LPperc" localSheetId="52">#REF!</definedName>
    <definedName name="LPperc" localSheetId="23">#REF!</definedName>
    <definedName name="LPperc" localSheetId="51">#REF!</definedName>
    <definedName name="LPperc" localSheetId="53">#REF!</definedName>
    <definedName name="LPperc" localSheetId="20">#REF!</definedName>
    <definedName name="LPperc">#REF!</definedName>
    <definedName name="lst_in_out">[114]Sheet1!$A$2:$A$3</definedName>
    <definedName name="lst_Modules">[115]LookupLists!$H$13:$H$26</definedName>
    <definedName name="LTcirr" localSheetId="50">#REF!</definedName>
    <definedName name="LTcirr" localSheetId="47">#REF!</definedName>
    <definedName name="LTcirr" localSheetId="44">#REF!</definedName>
    <definedName name="LTcirr" localSheetId="45">#REF!</definedName>
    <definedName name="LTcirr" localSheetId="46">#REF!</definedName>
    <definedName name="LTcirr" localSheetId="37">#REF!</definedName>
    <definedName name="LTcirr" localSheetId="40">#REF!</definedName>
    <definedName name="LTcirr" localSheetId="54">#REF!</definedName>
    <definedName name="LTcirr" localSheetId="55">#REF!</definedName>
    <definedName name="LTcirr" localSheetId="52">#REF!</definedName>
    <definedName name="LTcirr" localSheetId="51">#REF!</definedName>
    <definedName name="LTcirr" localSheetId="53">#REF!</definedName>
    <definedName name="LTcirr">#REF!</definedName>
    <definedName name="LTr" localSheetId="50">#REF!</definedName>
    <definedName name="LTr" localSheetId="47">#REF!</definedName>
    <definedName name="LTr" localSheetId="44">#REF!</definedName>
    <definedName name="LTr" localSheetId="45">#REF!</definedName>
    <definedName name="LTr" localSheetId="46">#REF!</definedName>
    <definedName name="LTr" localSheetId="37">#REF!</definedName>
    <definedName name="LTr" localSheetId="40">#REF!</definedName>
    <definedName name="LTr" localSheetId="54">#REF!</definedName>
    <definedName name="LTr" localSheetId="55">#REF!</definedName>
    <definedName name="LTr" localSheetId="52">#REF!</definedName>
    <definedName name="LTr" localSheetId="51">#REF!</definedName>
    <definedName name="LTr" localSheetId="53">#REF!</definedName>
    <definedName name="LTr">#REF!</definedName>
    <definedName name="LULCM" localSheetId="34">#REF!</definedName>
    <definedName name="LULCM" localSheetId="35">#REF!</definedName>
    <definedName name="LULCM" localSheetId="50">#REF!</definedName>
    <definedName name="LULCM" localSheetId="15">#REF!</definedName>
    <definedName name="LULCM" localSheetId="29">#REF!</definedName>
    <definedName name="LULCM" localSheetId="30">#REF!</definedName>
    <definedName name="LULCM" localSheetId="47">#REF!</definedName>
    <definedName name="LULCM" localSheetId="44">#REF!</definedName>
    <definedName name="LULCM" localSheetId="45">#REF!</definedName>
    <definedName name="LULCM" localSheetId="46">#REF!</definedName>
    <definedName name="LULCM" localSheetId="31">#REF!</definedName>
    <definedName name="LULCM" localSheetId="32">#REF!</definedName>
    <definedName name="LULCM" localSheetId="33">#REF!</definedName>
    <definedName name="LULCM" localSheetId="36">#REF!</definedName>
    <definedName name="LULCM" localSheetId="37">#REF!</definedName>
    <definedName name="LULCM" localSheetId="38">#REF!</definedName>
    <definedName name="LULCM" localSheetId="39">#REF!</definedName>
    <definedName name="LULCM" localSheetId="40">#REF!</definedName>
    <definedName name="LULCM" localSheetId="54">#REF!</definedName>
    <definedName name="LULCM" localSheetId="55">#REF!</definedName>
    <definedName name="LULCM" localSheetId="52">#REF!</definedName>
    <definedName name="LULCM" localSheetId="23">#REF!</definedName>
    <definedName name="LULCM" localSheetId="51">#REF!</definedName>
    <definedName name="LULCM" localSheetId="53">#REF!</definedName>
    <definedName name="LULCM" localSheetId="20">#REF!</definedName>
    <definedName name="LULCM">#REF!</definedName>
    <definedName name="LUR">#N/A</definedName>
    <definedName name="m" localSheetId="34">#REF!</definedName>
    <definedName name="m" localSheetId="35">#REF!</definedName>
    <definedName name="m" localSheetId="50">#REF!</definedName>
    <definedName name="m" localSheetId="15">#REF!</definedName>
    <definedName name="m" localSheetId="29">#REF!</definedName>
    <definedName name="m" localSheetId="30">#REF!</definedName>
    <definedName name="m" localSheetId="47">#REF!</definedName>
    <definedName name="m" localSheetId="44">#REF!</definedName>
    <definedName name="m" localSheetId="45">#REF!</definedName>
    <definedName name="m" localSheetId="46">#REF!</definedName>
    <definedName name="m" localSheetId="31">#REF!</definedName>
    <definedName name="m" localSheetId="32">#REF!</definedName>
    <definedName name="m" localSheetId="33">#REF!</definedName>
    <definedName name="m" localSheetId="36">#REF!</definedName>
    <definedName name="m" localSheetId="37">#REF!</definedName>
    <definedName name="m" localSheetId="38">#REF!</definedName>
    <definedName name="m" localSheetId="39">#REF!</definedName>
    <definedName name="m" localSheetId="40">#REF!</definedName>
    <definedName name="m" localSheetId="54">#REF!</definedName>
    <definedName name="m" localSheetId="55">#REF!</definedName>
    <definedName name="m" localSheetId="52">#REF!</definedName>
    <definedName name="m" localSheetId="23">#REF!</definedName>
    <definedName name="m" localSheetId="51">#REF!</definedName>
    <definedName name="m" localSheetId="53">#REF!</definedName>
    <definedName name="m" localSheetId="20">#REF!</definedName>
    <definedName name="m">#REF!</definedName>
    <definedName name="M2M" localSheetId="50">#REF!</definedName>
    <definedName name="M2M" localSheetId="47">#REF!</definedName>
    <definedName name="M2M" localSheetId="44">#REF!</definedName>
    <definedName name="M2M" localSheetId="45">#REF!</definedName>
    <definedName name="M2M" localSheetId="46">#REF!</definedName>
    <definedName name="M2M" localSheetId="37">#REF!</definedName>
    <definedName name="M2M" localSheetId="40">#REF!</definedName>
    <definedName name="M2M" localSheetId="54">#REF!</definedName>
    <definedName name="M2M" localSheetId="55">#REF!</definedName>
    <definedName name="M2M" localSheetId="52">#REF!</definedName>
    <definedName name="M2M" localSheetId="51">#REF!</definedName>
    <definedName name="M2M" localSheetId="53">#REF!</definedName>
    <definedName name="M2M">#REF!</definedName>
    <definedName name="MACRO" localSheetId="50">#REF!</definedName>
    <definedName name="MACRO" localSheetId="47">#REF!</definedName>
    <definedName name="MACRO" localSheetId="44">#REF!</definedName>
    <definedName name="MACRO" localSheetId="45">#REF!</definedName>
    <definedName name="MACRO" localSheetId="46">#REF!</definedName>
    <definedName name="MACRO" localSheetId="37">#REF!</definedName>
    <definedName name="MACRO" localSheetId="40">#REF!</definedName>
    <definedName name="MACRO" localSheetId="54">#REF!</definedName>
    <definedName name="MACRO" localSheetId="55">#REF!</definedName>
    <definedName name="MACRO" localSheetId="52">#REF!</definedName>
    <definedName name="MACRO" localSheetId="51">#REF!</definedName>
    <definedName name="MACRO" localSheetId="53">#REF!</definedName>
    <definedName name="MACRO">#REF!</definedName>
    <definedName name="MACRO_ASSUMP_2006" localSheetId="50">#REF!</definedName>
    <definedName name="MACRO_ASSUMP_2006" localSheetId="47">#REF!</definedName>
    <definedName name="MACRO_ASSUMP_2006" localSheetId="44">#REF!</definedName>
    <definedName name="MACRO_ASSUMP_2006" localSheetId="45">#REF!</definedName>
    <definedName name="MACRO_ASSUMP_2006" localSheetId="46">#REF!</definedName>
    <definedName name="MACRO_ASSUMP_2006" localSheetId="37">#REF!</definedName>
    <definedName name="MACRO_ASSUMP_2006" localSheetId="40">#REF!</definedName>
    <definedName name="MACRO_ASSUMP_2006" localSheetId="54">#REF!</definedName>
    <definedName name="MACRO_ASSUMP_2006" localSheetId="55">#REF!</definedName>
    <definedName name="MACRO_ASSUMP_2006" localSheetId="52">#REF!</definedName>
    <definedName name="MACRO_ASSUMP_2006" localSheetId="51">#REF!</definedName>
    <definedName name="MACRO_ASSUMP_2006" localSheetId="53">#REF!</definedName>
    <definedName name="MACRO_ASSUMP_2006">#REF!</definedName>
    <definedName name="MACROINPUT" localSheetId="34">#REF!</definedName>
    <definedName name="MACROINPUT" localSheetId="35">#REF!</definedName>
    <definedName name="MACROINPUT" localSheetId="50">#REF!</definedName>
    <definedName name="MACROINPUT" localSheetId="15">#REF!</definedName>
    <definedName name="MACROINPUT" localSheetId="29">#REF!</definedName>
    <definedName name="MACROINPUT" localSheetId="30">#REF!</definedName>
    <definedName name="MACROINPUT" localSheetId="47">#REF!</definedName>
    <definedName name="MACROINPUT" localSheetId="44">#REF!</definedName>
    <definedName name="MACROINPUT" localSheetId="45">#REF!</definedName>
    <definedName name="MACROINPUT" localSheetId="46">#REF!</definedName>
    <definedName name="MACROINPUT" localSheetId="31">#REF!</definedName>
    <definedName name="MACROINPUT" localSheetId="32">#REF!</definedName>
    <definedName name="MACROINPUT" localSheetId="33">#REF!</definedName>
    <definedName name="MACROINPUT" localSheetId="36">#REF!</definedName>
    <definedName name="MACROINPUT" localSheetId="37">#REF!</definedName>
    <definedName name="MACROINPUT" localSheetId="38">#REF!</definedName>
    <definedName name="MACROINPUT" localSheetId="39">#REF!</definedName>
    <definedName name="MACROINPUT" localSheetId="40">#REF!</definedName>
    <definedName name="MACROINPUT" localSheetId="54">#REF!</definedName>
    <definedName name="MACROINPUT" localSheetId="55">#REF!</definedName>
    <definedName name="MACROINPUT" localSheetId="52">#REF!</definedName>
    <definedName name="MACROINPUT" localSheetId="23">#REF!</definedName>
    <definedName name="MACROINPUT" localSheetId="51">#REF!</definedName>
    <definedName name="MACROINPUT" localSheetId="53">#REF!</definedName>
    <definedName name="MACROINPUT" localSheetId="20">#REF!</definedName>
    <definedName name="MACROINPUT">#REF!</definedName>
    <definedName name="MACROS">[49]contents!$A$114</definedName>
    <definedName name="Malaysia" localSheetId="34">#REF!</definedName>
    <definedName name="Malaysia" localSheetId="35">#REF!</definedName>
    <definedName name="Malaysia" localSheetId="50">#REF!</definedName>
    <definedName name="Malaysia" localSheetId="15">#REF!</definedName>
    <definedName name="Malaysia" localSheetId="29">#REF!</definedName>
    <definedName name="Malaysia" localSheetId="30">#REF!</definedName>
    <definedName name="Malaysia" localSheetId="47">#REF!</definedName>
    <definedName name="Malaysia" localSheetId="44">#REF!</definedName>
    <definedName name="Malaysia" localSheetId="45">#REF!</definedName>
    <definedName name="Malaysia" localSheetId="46">#REF!</definedName>
    <definedName name="Malaysia" localSheetId="31">#REF!</definedName>
    <definedName name="Malaysia" localSheetId="32">#REF!</definedName>
    <definedName name="Malaysia" localSheetId="33">#REF!</definedName>
    <definedName name="Malaysia" localSheetId="36">#REF!</definedName>
    <definedName name="Malaysia" localSheetId="37">#REF!</definedName>
    <definedName name="Malaysia" localSheetId="38">#REF!</definedName>
    <definedName name="Malaysia" localSheetId="39">#REF!</definedName>
    <definedName name="Malaysia" localSheetId="40">#REF!</definedName>
    <definedName name="Malaysia" localSheetId="54">#REF!</definedName>
    <definedName name="Malaysia" localSheetId="55">#REF!</definedName>
    <definedName name="Malaysia" localSheetId="52">#REF!</definedName>
    <definedName name="Malaysia" localSheetId="23">#REF!</definedName>
    <definedName name="Malaysia" localSheetId="51">#REF!</definedName>
    <definedName name="Malaysia" localSheetId="53">#REF!</definedName>
    <definedName name="Malaysia" localSheetId="20">#REF!</definedName>
    <definedName name="Malaysia">#REF!</definedName>
    <definedName name="mar" localSheetId="34">[27]Programa!#REF!</definedName>
    <definedName name="mar" localSheetId="35">[27]Programa!#REF!</definedName>
    <definedName name="mar" localSheetId="50">[27]Programa!#REF!</definedName>
    <definedName name="mar" localSheetId="15">[27]Programa!#REF!</definedName>
    <definedName name="mar" localSheetId="29">[27]Programa!#REF!</definedName>
    <definedName name="mar" localSheetId="30">[27]Programa!#REF!</definedName>
    <definedName name="mar" localSheetId="47">[27]Programa!#REF!</definedName>
    <definedName name="mar" localSheetId="44">[27]Programa!#REF!</definedName>
    <definedName name="mar" localSheetId="45">[27]Programa!#REF!</definedName>
    <definedName name="mar" localSheetId="46">[27]Programa!#REF!</definedName>
    <definedName name="mar" localSheetId="31">[27]Programa!#REF!</definedName>
    <definedName name="mar" localSheetId="32">[27]Programa!#REF!</definedName>
    <definedName name="mar" localSheetId="33">[27]Programa!#REF!</definedName>
    <definedName name="mar" localSheetId="36">[27]Programa!#REF!</definedName>
    <definedName name="mar" localSheetId="37">[27]Programa!#REF!</definedName>
    <definedName name="mar" localSheetId="38">[27]Programa!#REF!</definedName>
    <definedName name="mar" localSheetId="39">[27]Programa!#REF!</definedName>
    <definedName name="mar" localSheetId="40">[27]Programa!#REF!</definedName>
    <definedName name="mar" localSheetId="54">[27]Programa!#REF!</definedName>
    <definedName name="mar" localSheetId="55">[27]Programa!#REF!</definedName>
    <definedName name="mar" localSheetId="52">[27]Programa!#REF!</definedName>
    <definedName name="mar" localSheetId="23">[27]Programa!#REF!</definedName>
    <definedName name="mar" localSheetId="51">[27]Programa!#REF!</definedName>
    <definedName name="mar" localSheetId="53">[27]Programa!#REF!</definedName>
    <definedName name="mar" localSheetId="20">[27]Programa!#REF!</definedName>
    <definedName name="mar">[27]Programa!#REF!</definedName>
    <definedName name="MAR._89" localSheetId="34">#REF!</definedName>
    <definedName name="MAR._89" localSheetId="35">#REF!</definedName>
    <definedName name="MAR._89" localSheetId="50">#REF!</definedName>
    <definedName name="MAR._89" localSheetId="15">#REF!</definedName>
    <definedName name="MAR._89" localSheetId="29">#REF!</definedName>
    <definedName name="MAR._89" localSheetId="30">#REF!</definedName>
    <definedName name="MAR._89" localSheetId="47">#REF!</definedName>
    <definedName name="MAR._89" localSheetId="44">#REF!</definedName>
    <definedName name="MAR._89" localSheetId="45">#REF!</definedName>
    <definedName name="MAR._89" localSheetId="46">#REF!</definedName>
    <definedName name="MAR._89" localSheetId="31">#REF!</definedName>
    <definedName name="MAR._89" localSheetId="32">#REF!</definedName>
    <definedName name="MAR._89" localSheetId="33">#REF!</definedName>
    <definedName name="MAR._89" localSheetId="36">#REF!</definedName>
    <definedName name="MAR._89" localSheetId="37">#REF!</definedName>
    <definedName name="MAR._89" localSheetId="38">#REF!</definedName>
    <definedName name="MAR._89" localSheetId="39">#REF!</definedName>
    <definedName name="MAR._89" localSheetId="40">#REF!</definedName>
    <definedName name="MAR._89" localSheetId="54">#REF!</definedName>
    <definedName name="MAR._89" localSheetId="55">#REF!</definedName>
    <definedName name="MAR._89" localSheetId="52">#REF!</definedName>
    <definedName name="MAR._89" localSheetId="23">#REF!</definedName>
    <definedName name="MAR._89" localSheetId="51">#REF!</definedName>
    <definedName name="MAR._89" localSheetId="53">#REF!</definedName>
    <definedName name="MAR._89" localSheetId="20">#REF!</definedName>
    <definedName name="MAR._89">#REF!</definedName>
    <definedName name="Mar06Cap" localSheetId="50">#REF!</definedName>
    <definedName name="Mar06Cap" localSheetId="47">#REF!</definedName>
    <definedName name="Mar06Cap" localSheetId="44">#REF!</definedName>
    <definedName name="Mar06Cap" localSheetId="45">#REF!</definedName>
    <definedName name="Mar06Cap" localSheetId="46">#REF!</definedName>
    <definedName name="Mar06Cap" localSheetId="37">#REF!</definedName>
    <definedName name="Mar06Cap" localSheetId="40">#REF!</definedName>
    <definedName name="Mar06Cap" localSheetId="54">#REF!</definedName>
    <definedName name="Mar06Cap" localSheetId="55">#REF!</definedName>
    <definedName name="Mar06Cap" localSheetId="52">#REF!</definedName>
    <definedName name="Mar06Cap" localSheetId="51">#REF!</definedName>
    <definedName name="Mar06Cap" localSheetId="53">#REF!</definedName>
    <definedName name="Mar06Cap">#REF!</definedName>
    <definedName name="March">'[45]Variance Explanations'!$F$10:$F$84,'[45]Variance Explanations'!$F$98:$F$178,'[45]Variance Explanations'!$F$190:$F$252,'[45]Variance Explanations'!$F$252,'[45]Variance Explanations'!$F$264:$F$343,'[45]Variance Explanations'!$F$356:$F$409,'[45]Variance Explanations'!$F$424:$F$485,'[45]Variance Explanations'!$F$508:$F$555</definedName>
    <definedName name="MARI" localSheetId="34">#REF!</definedName>
    <definedName name="MARI" localSheetId="35">#REF!</definedName>
    <definedName name="MARI" localSheetId="50">#REF!</definedName>
    <definedName name="MARI" localSheetId="15">#REF!</definedName>
    <definedName name="MARI" localSheetId="29">#REF!</definedName>
    <definedName name="MARI" localSheetId="30">#REF!</definedName>
    <definedName name="MARI" localSheetId="47">#REF!</definedName>
    <definedName name="MARI" localSheetId="44">#REF!</definedName>
    <definedName name="MARI" localSheetId="45">#REF!</definedName>
    <definedName name="MARI" localSheetId="46">#REF!</definedName>
    <definedName name="MARI" localSheetId="31">#REF!</definedName>
    <definedName name="MARI" localSheetId="32">#REF!</definedName>
    <definedName name="MARI" localSheetId="33">#REF!</definedName>
    <definedName name="MARI" localSheetId="36">#REF!</definedName>
    <definedName name="MARI" localSheetId="37">#REF!</definedName>
    <definedName name="MARI" localSheetId="38">#REF!</definedName>
    <definedName name="MARI" localSheetId="39">#REF!</definedName>
    <definedName name="MARI" localSheetId="40">#REF!</definedName>
    <definedName name="MARI" localSheetId="54">#REF!</definedName>
    <definedName name="MARI" localSheetId="55">#REF!</definedName>
    <definedName name="MARI" localSheetId="52">#REF!</definedName>
    <definedName name="MARI" localSheetId="23">#REF!</definedName>
    <definedName name="MARI" localSheetId="51">#REF!</definedName>
    <definedName name="MARI" localSheetId="53">#REF!</definedName>
    <definedName name="MARI" localSheetId="20">#REF!</definedName>
    <definedName name="MARI">#REF!</definedName>
    <definedName name="mark" localSheetId="50">#REF!</definedName>
    <definedName name="mark" localSheetId="47">#REF!</definedName>
    <definedName name="mark" localSheetId="44">#REF!</definedName>
    <definedName name="mark" localSheetId="45">#REF!</definedName>
    <definedName name="mark" localSheetId="46">#REF!</definedName>
    <definedName name="mark" localSheetId="37">#REF!</definedName>
    <definedName name="mark" localSheetId="40">#REF!</definedName>
    <definedName name="mark" localSheetId="54">#REF!</definedName>
    <definedName name="mark" localSheetId="55">#REF!</definedName>
    <definedName name="mark" localSheetId="52">#REF!</definedName>
    <definedName name="mark" localSheetId="51">#REF!</definedName>
    <definedName name="mark" localSheetId="53">#REF!</definedName>
    <definedName name="mark">#REF!</definedName>
    <definedName name="mat" localSheetId="34">#REF!</definedName>
    <definedName name="mat" localSheetId="35">#REF!</definedName>
    <definedName name="mat" localSheetId="50">#REF!</definedName>
    <definedName name="mat" localSheetId="15">#REF!</definedName>
    <definedName name="mat" localSheetId="29">#REF!</definedName>
    <definedName name="mat" localSheetId="30">#REF!</definedName>
    <definedName name="mat" localSheetId="47">#REF!</definedName>
    <definedName name="mat" localSheetId="44">#REF!</definedName>
    <definedName name="mat" localSheetId="45">#REF!</definedName>
    <definedName name="mat" localSheetId="46">#REF!</definedName>
    <definedName name="mat" localSheetId="31">#REF!</definedName>
    <definedName name="mat" localSheetId="32">#REF!</definedName>
    <definedName name="mat" localSheetId="33">#REF!</definedName>
    <definedName name="mat" localSheetId="36">#REF!</definedName>
    <definedName name="mat" localSheetId="37">#REF!</definedName>
    <definedName name="mat" localSheetId="38">#REF!</definedName>
    <definedName name="mat" localSheetId="39">#REF!</definedName>
    <definedName name="mat" localSheetId="40">#REF!</definedName>
    <definedName name="mat" localSheetId="54">#REF!</definedName>
    <definedName name="mat" localSheetId="55">#REF!</definedName>
    <definedName name="mat" localSheetId="52">#REF!</definedName>
    <definedName name="mat" localSheetId="23">#REF!</definedName>
    <definedName name="mat" localSheetId="51">#REF!</definedName>
    <definedName name="mat" localSheetId="12">#REF!</definedName>
    <definedName name="mat" localSheetId="53">#REF!</definedName>
    <definedName name="mat" localSheetId="20">#REF!</definedName>
    <definedName name="mat">#REF!</definedName>
    <definedName name="Maturity_IDA">[78]NPV!$B$26</definedName>
    <definedName name="Maturity_NC" localSheetId="50">[78]NPV!#REF!</definedName>
    <definedName name="Maturity_NC" localSheetId="47">[78]NPV!#REF!</definedName>
    <definedName name="Maturity_NC" localSheetId="44">[78]NPV!#REF!</definedName>
    <definedName name="Maturity_NC" localSheetId="45">[78]NPV!#REF!</definedName>
    <definedName name="Maturity_NC" localSheetId="46">[78]NPV!#REF!</definedName>
    <definedName name="Maturity_NC" localSheetId="37">[78]NPV!#REF!</definedName>
    <definedName name="Maturity_NC" localSheetId="40">[78]NPV!#REF!</definedName>
    <definedName name="Maturity_NC" localSheetId="54">[78]NPV!#REF!</definedName>
    <definedName name="Maturity_NC" localSheetId="55">[78]NPV!#REF!</definedName>
    <definedName name="Maturity_NC" localSheetId="52">[78]NPV!#REF!</definedName>
    <definedName name="Maturity_NC" localSheetId="51">[78]NPV!#REF!</definedName>
    <definedName name="Maturity_NC" localSheetId="53">[78]NPV!#REF!</definedName>
    <definedName name="Maturity_NC">[78]NPV!#REF!</definedName>
    <definedName name="maxe1" localSheetId="34">#REF!</definedName>
    <definedName name="maxe1" localSheetId="35">#REF!</definedName>
    <definedName name="maxe1" localSheetId="50">#REF!</definedName>
    <definedName name="maxe1" localSheetId="15">#REF!</definedName>
    <definedName name="maxe1" localSheetId="29">#REF!</definedName>
    <definedName name="maxe1" localSheetId="30">#REF!</definedName>
    <definedName name="maxe1" localSheetId="47">#REF!</definedName>
    <definedName name="maxe1" localSheetId="44">#REF!</definedName>
    <definedName name="maxe1" localSheetId="45">#REF!</definedName>
    <definedName name="maxe1" localSheetId="46">#REF!</definedName>
    <definedName name="maxe1" localSheetId="31">#REF!</definedName>
    <definedName name="maxe1" localSheetId="32">#REF!</definedName>
    <definedName name="maxe1" localSheetId="33">#REF!</definedName>
    <definedName name="maxe1" localSheetId="36">#REF!</definedName>
    <definedName name="maxe1" localSheetId="37">#REF!</definedName>
    <definedName name="maxe1" localSheetId="38">#REF!</definedName>
    <definedName name="maxe1" localSheetId="39">#REF!</definedName>
    <definedName name="maxe1" localSheetId="40">#REF!</definedName>
    <definedName name="maxe1" localSheetId="54">#REF!</definedName>
    <definedName name="maxe1" localSheetId="55">#REF!</definedName>
    <definedName name="maxe1" localSheetId="52">#REF!</definedName>
    <definedName name="maxe1" localSheetId="23">#REF!</definedName>
    <definedName name="maxe1" localSheetId="51">#REF!</definedName>
    <definedName name="maxe1" localSheetId="53">#REF!</definedName>
    <definedName name="maxe1" localSheetId="20">#REF!</definedName>
    <definedName name="maxe1">#REF!</definedName>
    <definedName name="maxe2" localSheetId="34">#REF!</definedName>
    <definedName name="maxe2" localSheetId="35">#REF!</definedName>
    <definedName name="maxe2" localSheetId="50">#REF!</definedName>
    <definedName name="maxe2" localSheetId="15">#REF!</definedName>
    <definedName name="maxe2" localSheetId="29">#REF!</definedName>
    <definedName name="maxe2" localSheetId="30">#REF!</definedName>
    <definedName name="maxe2" localSheetId="47">#REF!</definedName>
    <definedName name="maxe2" localSheetId="44">#REF!</definedName>
    <definedName name="maxe2" localSheetId="45">#REF!</definedName>
    <definedName name="maxe2" localSheetId="46">#REF!</definedName>
    <definedName name="maxe2" localSheetId="31">#REF!</definedName>
    <definedName name="maxe2" localSheetId="32">#REF!</definedName>
    <definedName name="maxe2" localSheetId="33">#REF!</definedName>
    <definedName name="maxe2" localSheetId="36">#REF!</definedName>
    <definedName name="maxe2" localSheetId="37">#REF!</definedName>
    <definedName name="maxe2" localSheetId="38">#REF!</definedName>
    <definedName name="maxe2" localSheetId="39">#REF!</definedName>
    <definedName name="maxe2" localSheetId="40">#REF!</definedName>
    <definedName name="maxe2" localSheetId="54">#REF!</definedName>
    <definedName name="maxe2" localSheetId="55">#REF!</definedName>
    <definedName name="maxe2" localSheetId="52">#REF!</definedName>
    <definedName name="maxe2" localSheetId="23">#REF!</definedName>
    <definedName name="maxe2" localSheetId="51">#REF!</definedName>
    <definedName name="maxe2" localSheetId="53">#REF!</definedName>
    <definedName name="maxe2" localSheetId="20">#REF!</definedName>
    <definedName name="maxe2">#REF!</definedName>
    <definedName name="maxf1" localSheetId="34">#REF!</definedName>
    <definedName name="maxf1" localSheetId="35">#REF!</definedName>
    <definedName name="maxf1" localSheetId="50">#REF!</definedName>
    <definedName name="maxf1" localSheetId="15">#REF!</definedName>
    <definedName name="maxf1" localSheetId="29">#REF!</definedName>
    <definedName name="maxf1" localSheetId="30">#REF!</definedName>
    <definedName name="maxf1" localSheetId="47">#REF!</definedName>
    <definedName name="maxf1" localSheetId="44">#REF!</definedName>
    <definedName name="maxf1" localSheetId="45">#REF!</definedName>
    <definedName name="maxf1" localSheetId="46">#REF!</definedName>
    <definedName name="maxf1" localSheetId="31">#REF!</definedName>
    <definedName name="maxf1" localSheetId="32">#REF!</definedName>
    <definedName name="maxf1" localSheetId="33">#REF!</definedName>
    <definedName name="maxf1" localSheetId="36">#REF!</definedName>
    <definedName name="maxf1" localSheetId="37">#REF!</definedName>
    <definedName name="maxf1" localSheetId="38">#REF!</definedName>
    <definedName name="maxf1" localSheetId="39">#REF!</definedName>
    <definedName name="maxf1" localSheetId="40">#REF!</definedName>
    <definedName name="maxf1" localSheetId="54">#REF!</definedName>
    <definedName name="maxf1" localSheetId="55">#REF!</definedName>
    <definedName name="maxf1" localSheetId="52">#REF!</definedName>
    <definedName name="maxf1" localSheetId="23">#REF!</definedName>
    <definedName name="maxf1" localSheetId="51">#REF!</definedName>
    <definedName name="maxf1" localSheetId="53">#REF!</definedName>
    <definedName name="maxf1" localSheetId="20">#REF!</definedName>
    <definedName name="maxf1">#REF!</definedName>
    <definedName name="maxf2" localSheetId="34">#REF!</definedName>
    <definedName name="maxf2" localSheetId="35">#REF!</definedName>
    <definedName name="maxf2" localSheetId="50">#REF!</definedName>
    <definedName name="maxf2" localSheetId="15">#REF!</definedName>
    <definedName name="maxf2" localSheetId="29">#REF!</definedName>
    <definedName name="maxf2" localSheetId="30">#REF!</definedName>
    <definedName name="maxf2" localSheetId="47">#REF!</definedName>
    <definedName name="maxf2" localSheetId="44">#REF!</definedName>
    <definedName name="maxf2" localSheetId="45">#REF!</definedName>
    <definedName name="maxf2" localSheetId="46">#REF!</definedName>
    <definedName name="maxf2" localSheetId="31">#REF!</definedName>
    <definedName name="maxf2" localSheetId="32">#REF!</definedName>
    <definedName name="maxf2" localSheetId="33">#REF!</definedName>
    <definedName name="maxf2" localSheetId="36">#REF!</definedName>
    <definedName name="maxf2" localSheetId="37">#REF!</definedName>
    <definedName name="maxf2" localSheetId="38">#REF!</definedName>
    <definedName name="maxf2" localSheetId="39">#REF!</definedName>
    <definedName name="maxf2" localSheetId="40">#REF!</definedName>
    <definedName name="maxf2" localSheetId="54">#REF!</definedName>
    <definedName name="maxf2" localSheetId="55">#REF!</definedName>
    <definedName name="maxf2" localSheetId="52">#REF!</definedName>
    <definedName name="maxf2" localSheetId="23">#REF!</definedName>
    <definedName name="maxf2" localSheetId="51">#REF!</definedName>
    <definedName name="maxf2" localSheetId="53">#REF!</definedName>
    <definedName name="maxf2" localSheetId="20">#REF!</definedName>
    <definedName name="maxf2">#REF!</definedName>
    <definedName name="maxp1" localSheetId="34">#REF!</definedName>
    <definedName name="maxp1" localSheetId="35">#REF!</definedName>
    <definedName name="maxp1" localSheetId="50">#REF!</definedName>
    <definedName name="maxp1" localSheetId="15">#REF!</definedName>
    <definedName name="maxp1" localSheetId="29">#REF!</definedName>
    <definedName name="maxp1" localSheetId="30">#REF!</definedName>
    <definedName name="maxp1" localSheetId="47">#REF!</definedName>
    <definedName name="maxp1" localSheetId="44">#REF!</definedName>
    <definedName name="maxp1" localSheetId="45">#REF!</definedName>
    <definedName name="maxp1" localSheetId="46">#REF!</definedName>
    <definedName name="maxp1" localSheetId="31">#REF!</definedName>
    <definedName name="maxp1" localSheetId="32">#REF!</definedName>
    <definedName name="maxp1" localSheetId="33">#REF!</definedName>
    <definedName name="maxp1" localSheetId="36">#REF!</definedName>
    <definedName name="maxp1" localSheetId="37">#REF!</definedName>
    <definedName name="maxp1" localSheetId="38">#REF!</definedName>
    <definedName name="maxp1" localSheetId="39">#REF!</definedName>
    <definedName name="maxp1" localSheetId="40">#REF!</definedName>
    <definedName name="maxp1" localSheetId="54">#REF!</definedName>
    <definedName name="maxp1" localSheetId="55">#REF!</definedName>
    <definedName name="maxp1" localSheetId="52">#REF!</definedName>
    <definedName name="maxp1" localSheetId="23">#REF!</definedName>
    <definedName name="maxp1" localSheetId="51">#REF!</definedName>
    <definedName name="maxp1" localSheetId="53">#REF!</definedName>
    <definedName name="maxp1" localSheetId="20">#REF!</definedName>
    <definedName name="maxp1">#REF!</definedName>
    <definedName name="maxp2" localSheetId="34">#REF!</definedName>
    <definedName name="maxp2" localSheetId="35">#REF!</definedName>
    <definedName name="maxp2" localSheetId="50">#REF!</definedName>
    <definedName name="maxp2" localSheetId="15">#REF!</definedName>
    <definedName name="maxp2" localSheetId="29">#REF!</definedName>
    <definedName name="maxp2" localSheetId="30">#REF!</definedName>
    <definedName name="maxp2" localSheetId="47">#REF!</definedName>
    <definedName name="maxp2" localSheetId="44">#REF!</definedName>
    <definedName name="maxp2" localSheetId="45">#REF!</definedName>
    <definedName name="maxp2" localSheetId="46">#REF!</definedName>
    <definedName name="maxp2" localSheetId="31">#REF!</definedName>
    <definedName name="maxp2" localSheetId="32">#REF!</definedName>
    <definedName name="maxp2" localSheetId="33">#REF!</definedName>
    <definedName name="maxp2" localSheetId="36">#REF!</definedName>
    <definedName name="maxp2" localSheetId="37">#REF!</definedName>
    <definedName name="maxp2" localSheetId="38">#REF!</definedName>
    <definedName name="maxp2" localSheetId="39">#REF!</definedName>
    <definedName name="maxp2" localSheetId="40">#REF!</definedName>
    <definedName name="maxp2" localSheetId="54">#REF!</definedName>
    <definedName name="maxp2" localSheetId="55">#REF!</definedName>
    <definedName name="maxp2" localSheetId="52">#REF!</definedName>
    <definedName name="maxp2" localSheetId="23">#REF!</definedName>
    <definedName name="maxp2" localSheetId="51">#REF!</definedName>
    <definedName name="maxp2" localSheetId="53">#REF!</definedName>
    <definedName name="maxp2" localSheetId="20">#REF!</definedName>
    <definedName name="maxp2">#REF!</definedName>
    <definedName name="may" localSheetId="34">[27]Programa!#REF!</definedName>
    <definedName name="may" localSheetId="35">[27]Programa!#REF!</definedName>
    <definedName name="May" localSheetId="50">'[45]Variance Explanations'!$H$10:$H$84,'[45]Variance Explanations'!$H$98:$H$178,'[45]Variance Explanations'!$H$190:$H$252,'[45]Variance Explanations'!$H$252,'[45]Variance Explanations'!$H$264:$H$343,'[45]Variance Explanations'!$H$356:$H$409,'[45]Variance Explanations'!$H$424:$H$485,'[45]Variance Explanations'!$H$508:$H$555</definedName>
    <definedName name="may" localSheetId="15">[27]Programa!#REF!</definedName>
    <definedName name="may" localSheetId="29">[27]Programa!#REF!</definedName>
    <definedName name="may" localSheetId="30">[27]Programa!#REF!</definedName>
    <definedName name="may" localSheetId="47">[27]Programa!#REF!</definedName>
    <definedName name="May" localSheetId="44">'[45]Variance Explanations'!$H$10:$H$84,'[45]Variance Explanations'!$H$98:$H$178,'[45]Variance Explanations'!$H$190:$H$252,'[45]Variance Explanations'!$H$252,'[45]Variance Explanations'!$H$264:$H$343,'[45]Variance Explanations'!$H$356:$H$409,'[45]Variance Explanations'!$H$424:$H$485,'[45]Variance Explanations'!$H$508:$H$555</definedName>
    <definedName name="may" localSheetId="45">[27]Programa!#REF!</definedName>
    <definedName name="may" localSheetId="46">[27]Programa!#REF!</definedName>
    <definedName name="may" localSheetId="31">[27]Programa!#REF!</definedName>
    <definedName name="may" localSheetId="32">[27]Programa!#REF!</definedName>
    <definedName name="may" localSheetId="33">[27]Programa!#REF!</definedName>
    <definedName name="may" localSheetId="36">[27]Programa!#REF!</definedName>
    <definedName name="may" localSheetId="37">[27]Programa!#REF!</definedName>
    <definedName name="may" localSheetId="38">[27]Programa!#REF!</definedName>
    <definedName name="may" localSheetId="39">[27]Programa!#REF!</definedName>
    <definedName name="may" localSheetId="40">[27]Programa!#REF!</definedName>
    <definedName name="may" localSheetId="54" hidden="1">'[116]Treasury Bills'!$F$4:$F$5</definedName>
    <definedName name="may" localSheetId="55">[27]Programa!#REF!</definedName>
    <definedName name="May" localSheetId="52">'[45]Variance Explanations'!$H$10:$H$84,'[45]Variance Explanations'!$H$98:$H$178,'[45]Variance Explanations'!$H$190:$H$252,'[45]Variance Explanations'!$H$252,'[45]Variance Explanations'!$H$264:$H$343,'[45]Variance Explanations'!$H$356:$H$409,'[45]Variance Explanations'!$H$424:$H$485,'[45]Variance Explanations'!$H$508:$H$555</definedName>
    <definedName name="may" localSheetId="23">[27]Programa!#REF!</definedName>
    <definedName name="May" localSheetId="51">'[45]Variance Explanations'!$H$10:$H$84,'[45]Variance Explanations'!$H$98:$H$178,'[45]Variance Explanations'!$H$190:$H$252,'[45]Variance Explanations'!$H$252,'[45]Variance Explanations'!$H$264:$H$343,'[45]Variance Explanations'!$H$356:$H$409,'[45]Variance Explanations'!$H$424:$H$485,'[45]Variance Explanations'!$H$508:$H$555</definedName>
    <definedName name="May" localSheetId="53">'[45]Variance Explanations'!$H$10:$H$84,'[45]Variance Explanations'!$H$98:$H$178,'[45]Variance Explanations'!$H$190:$H$252,'[45]Variance Explanations'!$H$252,'[45]Variance Explanations'!$H$264:$H$343,'[45]Variance Explanations'!$H$356:$H$409,'[45]Variance Explanations'!$H$424:$H$485,'[45]Variance Explanations'!$H$508:$H$555</definedName>
    <definedName name="may" localSheetId="20">[27]Programa!#REF!</definedName>
    <definedName name="may">[27]Programa!#REF!</definedName>
    <definedName name="MAY._89" localSheetId="34">#REF!</definedName>
    <definedName name="MAY._89" localSheetId="35">#REF!</definedName>
    <definedName name="MAY._89" localSheetId="50">#REF!</definedName>
    <definedName name="MAY._89" localSheetId="15">#REF!</definedName>
    <definedName name="MAY._89" localSheetId="29">#REF!</definedName>
    <definedName name="MAY._89" localSheetId="30">#REF!</definedName>
    <definedName name="MAY._89" localSheetId="47">#REF!</definedName>
    <definedName name="MAY._89" localSheetId="44">#REF!</definedName>
    <definedName name="MAY._89" localSheetId="45">#REF!</definedName>
    <definedName name="MAY._89" localSheetId="46">#REF!</definedName>
    <definedName name="MAY._89" localSheetId="31">#REF!</definedName>
    <definedName name="MAY._89" localSheetId="32">#REF!</definedName>
    <definedName name="MAY._89" localSheetId="33">#REF!</definedName>
    <definedName name="MAY._89" localSheetId="36">#REF!</definedName>
    <definedName name="MAY._89" localSheetId="37">#REF!</definedName>
    <definedName name="MAY._89" localSheetId="38">#REF!</definedName>
    <definedName name="MAY._89" localSheetId="39">#REF!</definedName>
    <definedName name="MAY._89" localSheetId="40">#REF!</definedName>
    <definedName name="MAY._89" localSheetId="54">#REF!</definedName>
    <definedName name="MAY._89" localSheetId="55">#REF!</definedName>
    <definedName name="MAY._89" localSheetId="52">#REF!</definedName>
    <definedName name="MAY._89" localSheetId="23">#REF!</definedName>
    <definedName name="MAY._89" localSheetId="51">#REF!</definedName>
    <definedName name="MAY._89" localSheetId="53">#REF!</definedName>
    <definedName name="MAY._89" localSheetId="20">#REF!</definedName>
    <definedName name="MAY._89">#REF!</definedName>
    <definedName name="May05Cap" localSheetId="50">#REF!</definedName>
    <definedName name="May05Cap" localSheetId="47">#REF!</definedName>
    <definedName name="May05Cap" localSheetId="44">#REF!</definedName>
    <definedName name="May05Cap" localSheetId="45">#REF!</definedName>
    <definedName name="May05Cap" localSheetId="46">#REF!</definedName>
    <definedName name="May05Cap" localSheetId="37">#REF!</definedName>
    <definedName name="May05Cap" localSheetId="40">#REF!</definedName>
    <definedName name="May05Cap" localSheetId="54">#REF!</definedName>
    <definedName name="May05Cap" localSheetId="55">#REF!</definedName>
    <definedName name="May05Cap" localSheetId="52">#REF!</definedName>
    <definedName name="May05Cap" localSheetId="51">#REF!</definedName>
    <definedName name="May05Cap" localSheetId="53">#REF!</definedName>
    <definedName name="May05Cap">#REF!</definedName>
    <definedName name="May06Cap" localSheetId="50">#REF!</definedName>
    <definedName name="May06Cap" localSheetId="47">#REF!</definedName>
    <definedName name="May06Cap" localSheetId="44">#REF!</definedName>
    <definedName name="May06Cap" localSheetId="45">#REF!</definedName>
    <definedName name="May06Cap" localSheetId="46">#REF!</definedName>
    <definedName name="May06Cap" localSheetId="37">#REF!</definedName>
    <definedName name="May06Cap" localSheetId="40">#REF!</definedName>
    <definedName name="May06Cap" localSheetId="54">#REF!</definedName>
    <definedName name="May06Cap" localSheetId="55">#REF!</definedName>
    <definedName name="May06Cap" localSheetId="52">#REF!</definedName>
    <definedName name="May06Cap" localSheetId="51">#REF!</definedName>
    <definedName name="May06Cap" localSheetId="53">#REF!</definedName>
    <definedName name="May06Cap">#REF!</definedName>
    <definedName name="MCV" localSheetId="50">[117]Q2!$E$101:$AH$101</definedName>
    <definedName name="MCV" localSheetId="44">[117]Q2!$E$101:$AH$101</definedName>
    <definedName name="MCV" localSheetId="54">[117]Q2!$E$101:$AH$101</definedName>
    <definedName name="MCV" localSheetId="52">[117]Q2!$E$101:$AH$101</definedName>
    <definedName name="MCV" localSheetId="51">[117]Q2!$E$101:$AH$101</definedName>
    <definedName name="MCV" localSheetId="53">[117]Q2!$E$101:$AH$101</definedName>
    <definedName name="MCV">[118]Q2!$E$101:$AH$101</definedName>
    <definedName name="MCV_B" localSheetId="50">#N/A</definedName>
    <definedName name="MCV_B" localSheetId="44">#N/A</definedName>
    <definedName name="MCV_B" localSheetId="54">#N/A</definedName>
    <definedName name="MCV_B" localSheetId="52">#N/A</definedName>
    <definedName name="MCV_B" localSheetId="51">#N/A</definedName>
    <definedName name="MCV_B" localSheetId="53">#N/A</definedName>
    <definedName name="MCV_B">[119]Q6!$E$160:$AH$160</definedName>
    <definedName name="MCV_B1" localSheetId="50">#REF!</definedName>
    <definedName name="MCV_B1" localSheetId="47">#REF!</definedName>
    <definedName name="MCV_B1" localSheetId="44">#REF!</definedName>
    <definedName name="MCV_B1" localSheetId="45">#REF!</definedName>
    <definedName name="MCV_B1" localSheetId="46">#REF!</definedName>
    <definedName name="MCV_B1" localSheetId="37">#REF!</definedName>
    <definedName name="MCV_B1" localSheetId="40">#REF!</definedName>
    <definedName name="MCV_B1" localSheetId="54">#REF!</definedName>
    <definedName name="MCV_B1" localSheetId="55">#REF!</definedName>
    <definedName name="MCV_B1" localSheetId="52">#REF!</definedName>
    <definedName name="MCV_B1" localSheetId="51">#REF!</definedName>
    <definedName name="MCV_B1" localSheetId="53">#REF!</definedName>
    <definedName name="MCV_B1">#REF!</definedName>
    <definedName name="MCV_D">#N/A</definedName>
    <definedName name="MCV_D1" localSheetId="50">#REF!</definedName>
    <definedName name="MCV_D1" localSheetId="47">#REF!</definedName>
    <definedName name="MCV_D1" localSheetId="44">#REF!</definedName>
    <definedName name="MCV_D1" localSheetId="45">#REF!</definedName>
    <definedName name="MCV_D1" localSheetId="46">#REF!</definedName>
    <definedName name="MCV_D1" localSheetId="37">#REF!</definedName>
    <definedName name="MCV_D1" localSheetId="40">#REF!</definedName>
    <definedName name="MCV_D1" localSheetId="54">#REF!</definedName>
    <definedName name="MCV_D1" localSheetId="55">#REF!</definedName>
    <definedName name="MCV_D1" localSheetId="52">#REF!</definedName>
    <definedName name="MCV_D1" localSheetId="51">#REF!</definedName>
    <definedName name="MCV_D1" localSheetId="53">#REF!</definedName>
    <definedName name="MCV_D1">#REF!</definedName>
    <definedName name="MCV_N" localSheetId="34">#REF!</definedName>
    <definedName name="MCV_N" localSheetId="35">#REF!</definedName>
    <definedName name="MCV_N" localSheetId="50">#N/A</definedName>
    <definedName name="MCV_N" localSheetId="15">#REF!</definedName>
    <definedName name="MCV_N" localSheetId="29">#REF!</definedName>
    <definedName name="MCV_N" localSheetId="30">#REF!</definedName>
    <definedName name="MCV_N" localSheetId="47">#REF!</definedName>
    <definedName name="MCV_N" localSheetId="44">#N/A</definedName>
    <definedName name="MCV_N" localSheetId="45">#REF!</definedName>
    <definedName name="MCV_N" localSheetId="46">#REF!</definedName>
    <definedName name="MCV_N" localSheetId="31">#REF!</definedName>
    <definedName name="MCV_N" localSheetId="32">#REF!</definedName>
    <definedName name="MCV_N" localSheetId="33">#REF!</definedName>
    <definedName name="MCV_N" localSheetId="36">#REF!</definedName>
    <definedName name="MCV_N" localSheetId="37">#REF!</definedName>
    <definedName name="MCV_N" localSheetId="38">#REF!</definedName>
    <definedName name="MCV_N" localSheetId="39">#REF!</definedName>
    <definedName name="MCV_N" localSheetId="40">#REF!</definedName>
    <definedName name="MCV_N" localSheetId="54">#N/A</definedName>
    <definedName name="MCV_N" localSheetId="55">#REF!</definedName>
    <definedName name="MCV_N" localSheetId="52">#N/A</definedName>
    <definedName name="MCV_N" localSheetId="23">#REF!</definedName>
    <definedName name="MCV_N" localSheetId="51">#N/A</definedName>
    <definedName name="MCV_N" localSheetId="53">#N/A</definedName>
    <definedName name="MCV_N" localSheetId="20">#REF!</definedName>
    <definedName name="MCV_N">#REF!</definedName>
    <definedName name="MCV_N1" localSheetId="34">#REF!</definedName>
    <definedName name="MCV_N1" localSheetId="35">#REF!</definedName>
    <definedName name="MCV_N1" localSheetId="50">#REF!</definedName>
    <definedName name="MCV_N1" localSheetId="15">#REF!</definedName>
    <definedName name="MCV_N1" localSheetId="29">#REF!</definedName>
    <definedName name="MCV_N1" localSheetId="30">#REF!</definedName>
    <definedName name="MCV_N1" localSheetId="47">#REF!</definedName>
    <definedName name="MCV_N1" localSheetId="44">#REF!</definedName>
    <definedName name="MCV_N1" localSheetId="45">#REF!</definedName>
    <definedName name="MCV_N1" localSheetId="46">#REF!</definedName>
    <definedName name="MCV_N1" localSheetId="31">#REF!</definedName>
    <definedName name="MCV_N1" localSheetId="32">#REF!</definedName>
    <definedName name="MCV_N1" localSheetId="33">#REF!</definedName>
    <definedName name="MCV_N1" localSheetId="36">#REF!</definedName>
    <definedName name="MCV_N1" localSheetId="37">#REF!</definedName>
    <definedName name="MCV_N1" localSheetId="38">#REF!</definedName>
    <definedName name="MCV_N1" localSheetId="39">#REF!</definedName>
    <definedName name="MCV_N1" localSheetId="40">#REF!</definedName>
    <definedName name="MCV_N1" localSheetId="54">#REF!</definedName>
    <definedName name="MCV_N1" localSheetId="55">#REF!</definedName>
    <definedName name="MCV_N1" localSheetId="52">#REF!</definedName>
    <definedName name="MCV_N1" localSheetId="23">#REF!</definedName>
    <definedName name="MCV_N1" localSheetId="51">#REF!</definedName>
    <definedName name="MCV_N1" localSheetId="53">#REF!</definedName>
    <definedName name="MCV_N1" localSheetId="20">#REF!</definedName>
    <definedName name="MCV_N1">#REF!</definedName>
    <definedName name="MCV_T">#N/A</definedName>
    <definedName name="MCV_T1" localSheetId="50">#REF!</definedName>
    <definedName name="MCV_T1" localSheetId="47">#REF!</definedName>
    <definedName name="MCV_T1" localSheetId="44">#REF!</definedName>
    <definedName name="MCV_T1" localSheetId="45">#REF!</definedName>
    <definedName name="MCV_T1" localSheetId="46">#REF!</definedName>
    <definedName name="MCV_T1" localSheetId="37">#REF!</definedName>
    <definedName name="MCV_T1" localSheetId="40">#REF!</definedName>
    <definedName name="MCV_T1" localSheetId="54">#REF!</definedName>
    <definedName name="MCV_T1" localSheetId="55">#REF!</definedName>
    <definedName name="MCV_T1" localSheetId="52">#REF!</definedName>
    <definedName name="MCV_T1" localSheetId="51">#REF!</definedName>
    <definedName name="MCV_T1" localSheetId="53">#REF!</definedName>
    <definedName name="MCV_T1">#REF!</definedName>
    <definedName name="MENORES" localSheetId="34">#REF!</definedName>
    <definedName name="MENORES" localSheetId="35">#REF!</definedName>
    <definedName name="MENORES" localSheetId="50">#REF!</definedName>
    <definedName name="MENORES" localSheetId="15">#REF!</definedName>
    <definedName name="MENORES" localSheetId="29">#REF!</definedName>
    <definedName name="MENORES" localSheetId="30">#REF!</definedName>
    <definedName name="MENORES" localSheetId="47">#REF!</definedName>
    <definedName name="MENORES" localSheetId="44">#REF!</definedName>
    <definedName name="MENORES" localSheetId="45">#REF!</definedName>
    <definedName name="MENORES" localSheetId="46">#REF!</definedName>
    <definedName name="MENORES" localSheetId="31">#REF!</definedName>
    <definedName name="MENORES" localSheetId="32">#REF!</definedName>
    <definedName name="MENORES" localSheetId="33">#REF!</definedName>
    <definedName name="MENORES" localSheetId="36">#REF!</definedName>
    <definedName name="MENORES" localSheetId="37">#REF!</definedName>
    <definedName name="MENORES" localSheetId="38">#REF!</definedName>
    <definedName name="MENORES" localSheetId="39">#REF!</definedName>
    <definedName name="MENORES" localSheetId="40">#REF!</definedName>
    <definedName name="MENORES" localSheetId="54">#REF!</definedName>
    <definedName name="MENORES" localSheetId="55">#REF!</definedName>
    <definedName name="MENORES" localSheetId="52">#REF!</definedName>
    <definedName name="MENORES" localSheetId="23">#REF!</definedName>
    <definedName name="MENORES" localSheetId="51">#REF!</definedName>
    <definedName name="MENORES" localSheetId="53">#REF!</definedName>
    <definedName name="MENORES" localSheetId="20">#REF!</definedName>
    <definedName name="MENORES">#REF!</definedName>
    <definedName name="MENU" localSheetId="58">#REF!</definedName>
    <definedName name="MENU" localSheetId="34">#REF!</definedName>
    <definedName name="MENU" localSheetId="35">#REF!</definedName>
    <definedName name="MENU" localSheetId="50">#REF!</definedName>
    <definedName name="MENU" localSheetId="15">#REF!</definedName>
    <definedName name="MENU" localSheetId="27">#REF!</definedName>
    <definedName name="MENU" localSheetId="24">#REF!</definedName>
    <definedName name="MENU" localSheetId="26">#REF!</definedName>
    <definedName name="MENU" localSheetId="29">#REF!</definedName>
    <definedName name="MENU" localSheetId="42">#REF!</definedName>
    <definedName name="MENU" localSheetId="30">#REF!</definedName>
    <definedName name="MENU" localSheetId="47">#REF!</definedName>
    <definedName name="MENU" localSheetId="44">#REF!</definedName>
    <definedName name="MENU" localSheetId="45">#REF!</definedName>
    <definedName name="MENU" localSheetId="46">#REF!</definedName>
    <definedName name="MENU" localSheetId="31">#REF!</definedName>
    <definedName name="MENU" localSheetId="32">#REF!</definedName>
    <definedName name="MENU" localSheetId="33">#REF!</definedName>
    <definedName name="MENU" localSheetId="59">#REF!</definedName>
    <definedName name="MENU" localSheetId="36">#REF!</definedName>
    <definedName name="MENU" localSheetId="37">#REF!</definedName>
    <definedName name="MENU" localSheetId="38">#REF!</definedName>
    <definedName name="MENU" localSheetId="39">#REF!</definedName>
    <definedName name="MENU" localSheetId="40">#REF!</definedName>
    <definedName name="MENU" localSheetId="25">#REF!</definedName>
    <definedName name="MENU" localSheetId="54">#REF!</definedName>
    <definedName name="MENU" localSheetId="55">#REF!</definedName>
    <definedName name="MENU" localSheetId="52">#REF!</definedName>
    <definedName name="MENU" localSheetId="23">#REF!</definedName>
    <definedName name="MENU" localSheetId="51">#REF!</definedName>
    <definedName name="MENU" localSheetId="12">#REF!</definedName>
    <definedName name="MENU" localSheetId="53">#REF!</definedName>
    <definedName name="MENU" localSheetId="49">#REF!</definedName>
    <definedName name="MENU" localSheetId="60">#REF!</definedName>
    <definedName name="MENU" localSheetId="20">#REF!</definedName>
    <definedName name="MENU">#REF!</definedName>
    <definedName name="MENU1" localSheetId="50">#REF!</definedName>
    <definedName name="MENU1" localSheetId="47">#REF!</definedName>
    <definedName name="MENU1" localSheetId="44">#REF!</definedName>
    <definedName name="MENU1" localSheetId="45">#REF!</definedName>
    <definedName name="MENU1" localSheetId="46">#REF!</definedName>
    <definedName name="MENU1" localSheetId="37">#REF!</definedName>
    <definedName name="MENU1" localSheetId="40">#REF!</definedName>
    <definedName name="MENU1" localSheetId="54">#REF!</definedName>
    <definedName name="MENU1" localSheetId="55">#REF!</definedName>
    <definedName name="MENU1" localSheetId="52">#REF!</definedName>
    <definedName name="MENU1" localSheetId="51">#REF!</definedName>
    <definedName name="MENU1" localSheetId="53">#REF!</definedName>
    <definedName name="MENU1">#REF!</definedName>
    <definedName name="MENU2" localSheetId="50">#REF!</definedName>
    <definedName name="MENU2" localSheetId="47">#REF!</definedName>
    <definedName name="MENU2" localSheetId="44">#REF!</definedName>
    <definedName name="MENU2" localSheetId="45">#REF!</definedName>
    <definedName name="MENU2" localSheetId="46">#REF!</definedName>
    <definedName name="MENU2" localSheetId="37">#REF!</definedName>
    <definedName name="MENU2" localSheetId="40">#REF!</definedName>
    <definedName name="MENU2" localSheetId="54">#REF!</definedName>
    <definedName name="MENU2" localSheetId="55">#REF!</definedName>
    <definedName name="MENU2" localSheetId="52">#REF!</definedName>
    <definedName name="MENU2" localSheetId="51">#REF!</definedName>
    <definedName name="MENU2" localSheetId="53">#REF!</definedName>
    <definedName name="MENU2">#REF!</definedName>
    <definedName name="MENU3" localSheetId="50">#REF!</definedName>
    <definedName name="MENU3" localSheetId="47">#REF!</definedName>
    <definedName name="MENU3" localSheetId="44">#REF!</definedName>
    <definedName name="MENU3" localSheetId="45">#REF!</definedName>
    <definedName name="MENU3" localSheetId="46">#REF!</definedName>
    <definedName name="MENU3" localSheetId="37">#REF!</definedName>
    <definedName name="MENU3" localSheetId="40">#REF!</definedName>
    <definedName name="MENU3" localSheetId="54">#REF!</definedName>
    <definedName name="MENU3" localSheetId="55">#REF!</definedName>
    <definedName name="MENU3" localSheetId="52">#REF!</definedName>
    <definedName name="MENU3" localSheetId="51">#REF!</definedName>
    <definedName name="MENU3" localSheetId="53">#REF!</definedName>
    <definedName name="MENU3">#REF!</definedName>
    <definedName name="MENU4" localSheetId="50">#REF!</definedName>
    <definedName name="MENU4" localSheetId="47">#REF!</definedName>
    <definedName name="MENU4" localSheetId="44">#REF!</definedName>
    <definedName name="MENU4" localSheetId="45">#REF!</definedName>
    <definedName name="MENU4" localSheetId="46">#REF!</definedName>
    <definedName name="MENU4" localSheetId="37">#REF!</definedName>
    <definedName name="MENU4" localSheetId="40">#REF!</definedName>
    <definedName name="MENU4" localSheetId="54">#REF!</definedName>
    <definedName name="MENU4" localSheetId="55">#REF!</definedName>
    <definedName name="MENU4" localSheetId="52">#REF!</definedName>
    <definedName name="MENU4" localSheetId="51">#REF!</definedName>
    <definedName name="MENU4" localSheetId="53">#REF!</definedName>
    <definedName name="MENU4">#REF!</definedName>
    <definedName name="MENU5" localSheetId="50">#REF!</definedName>
    <definedName name="MENU5" localSheetId="47">#REF!</definedName>
    <definedName name="MENU5" localSheetId="44">#REF!</definedName>
    <definedName name="MENU5" localSheetId="45">#REF!</definedName>
    <definedName name="MENU5" localSheetId="46">#REF!</definedName>
    <definedName name="MENU5" localSheetId="37">#REF!</definedName>
    <definedName name="MENU5" localSheetId="40">#REF!</definedName>
    <definedName name="MENU5" localSheetId="54">#REF!</definedName>
    <definedName name="MENU5" localSheetId="55">#REF!</definedName>
    <definedName name="MENU5" localSheetId="52">#REF!</definedName>
    <definedName name="MENU5" localSheetId="51">#REF!</definedName>
    <definedName name="MENU5" localSheetId="53">#REF!</definedName>
    <definedName name="MENU5">#REF!</definedName>
    <definedName name="mes" localSheetId="34">#REF!</definedName>
    <definedName name="mes" localSheetId="35">#REF!</definedName>
    <definedName name="mes" localSheetId="50">#REF!</definedName>
    <definedName name="mes" localSheetId="15">#REF!</definedName>
    <definedName name="mes" localSheetId="29">#REF!</definedName>
    <definedName name="mes" localSheetId="30">#REF!</definedName>
    <definedName name="mes" localSheetId="47">#REF!</definedName>
    <definedName name="mes" localSheetId="44">#REF!</definedName>
    <definedName name="mes" localSheetId="45">#REF!</definedName>
    <definedName name="mes" localSheetId="46">#REF!</definedName>
    <definedName name="mes" localSheetId="31">#REF!</definedName>
    <definedName name="mes" localSheetId="32">#REF!</definedName>
    <definedName name="mes" localSheetId="33">#REF!</definedName>
    <definedName name="mes" localSheetId="36">#REF!</definedName>
    <definedName name="mes" localSheetId="37">#REF!</definedName>
    <definedName name="mes" localSheetId="38">#REF!</definedName>
    <definedName name="mes" localSheetId="39">#REF!</definedName>
    <definedName name="mes" localSheetId="40">#REF!</definedName>
    <definedName name="mes" localSheetId="54">#REF!</definedName>
    <definedName name="mes" localSheetId="55">#REF!</definedName>
    <definedName name="mes" localSheetId="52">#REF!</definedName>
    <definedName name="mes" localSheetId="23">#REF!</definedName>
    <definedName name="mes" localSheetId="51">#REF!</definedName>
    <definedName name="mes" localSheetId="53">#REF!</definedName>
    <definedName name="mes" localSheetId="20">#REF!</definedName>
    <definedName name="mes">#REF!</definedName>
    <definedName name="meses_" localSheetId="34">#REF!</definedName>
    <definedName name="meses_" localSheetId="35">#REF!</definedName>
    <definedName name="meses_" localSheetId="50">#REF!</definedName>
    <definedName name="meses_" localSheetId="15">#REF!</definedName>
    <definedName name="meses_" localSheetId="29">#REF!</definedName>
    <definedName name="meses_" localSheetId="30">#REF!</definedName>
    <definedName name="meses_" localSheetId="47">#REF!</definedName>
    <definedName name="meses_" localSheetId="44">#REF!</definedName>
    <definedName name="meses_" localSheetId="45">#REF!</definedName>
    <definedName name="meses_" localSheetId="46">#REF!</definedName>
    <definedName name="meses_" localSheetId="31">#REF!</definedName>
    <definedName name="meses_" localSheetId="32">#REF!</definedName>
    <definedName name="meses_" localSheetId="33">#REF!</definedName>
    <definedName name="meses_" localSheetId="36">#REF!</definedName>
    <definedName name="meses_" localSheetId="37">#REF!</definedName>
    <definedName name="meses_" localSheetId="38">#REF!</definedName>
    <definedName name="meses_" localSheetId="39">#REF!</definedName>
    <definedName name="meses_" localSheetId="40">#REF!</definedName>
    <definedName name="meses_" localSheetId="54">#REF!</definedName>
    <definedName name="meses_" localSheetId="55">#REF!</definedName>
    <definedName name="meses_" localSheetId="52">#REF!</definedName>
    <definedName name="meses_" localSheetId="23">#REF!</definedName>
    <definedName name="meses_" localSheetId="51">#REF!</definedName>
    <definedName name="meses_" localSheetId="53">#REF!</definedName>
    <definedName name="meses_" localSheetId="20">#REF!</definedName>
    <definedName name="meses_">#REF!</definedName>
    <definedName name="metas">[26]Metas!$A$2:$AU$57</definedName>
    <definedName name="metrics_complexity_list">[40]Metrics!$D$5:$F$5</definedName>
    <definedName name="metrics_component">[41]Metrics!$B$9:$B$36</definedName>
    <definedName name="metrics_component_list">[40]Metrics!$B$6:$B$21</definedName>
    <definedName name="metrics_table">[41]Metrics!$B$8:$D$36</definedName>
    <definedName name="MetricsTable">'[39]Estimation Metrics'!$C$41:$D$52</definedName>
    <definedName name="MFISCAL" localSheetId="34">'[30]Annual Raw Data'!#REF!</definedName>
    <definedName name="MFISCAL" localSheetId="35">'[30]Annual Raw Data'!#REF!</definedName>
    <definedName name="MFISCAL" localSheetId="50">'[30]Annual Raw Data'!#REF!</definedName>
    <definedName name="MFISCAL" localSheetId="15">'[30]Annual Raw Data'!#REF!</definedName>
    <definedName name="MFISCAL" localSheetId="29">'[30]Annual Raw Data'!#REF!</definedName>
    <definedName name="MFISCAL" localSheetId="30">'[30]Annual Raw Data'!#REF!</definedName>
    <definedName name="MFISCAL" localSheetId="47">'[30]Annual Raw Data'!#REF!</definedName>
    <definedName name="MFISCAL" localSheetId="44">'[30]Annual Raw Data'!#REF!</definedName>
    <definedName name="MFISCAL" localSheetId="45">'[30]Annual Raw Data'!#REF!</definedName>
    <definedName name="MFISCAL" localSheetId="46">'[30]Annual Raw Data'!#REF!</definedName>
    <definedName name="MFISCAL" localSheetId="31">'[30]Annual Raw Data'!#REF!</definedName>
    <definedName name="MFISCAL" localSheetId="32">'[30]Annual Raw Data'!#REF!</definedName>
    <definedName name="MFISCAL" localSheetId="33">'[30]Annual Raw Data'!#REF!</definedName>
    <definedName name="MFISCAL" localSheetId="36">'[30]Annual Raw Data'!#REF!</definedName>
    <definedName name="MFISCAL" localSheetId="37">'[30]Annual Raw Data'!#REF!</definedName>
    <definedName name="MFISCAL" localSheetId="38">'[30]Annual Raw Data'!#REF!</definedName>
    <definedName name="MFISCAL" localSheetId="39">'[30]Annual Raw Data'!#REF!</definedName>
    <definedName name="MFISCAL" localSheetId="40">'[30]Annual Raw Data'!#REF!</definedName>
    <definedName name="MFISCAL" localSheetId="54">'[30]Annual Raw Data'!#REF!</definedName>
    <definedName name="MFISCAL" localSheetId="55">'[30]Annual Raw Data'!#REF!</definedName>
    <definedName name="MFISCAL" localSheetId="52">'[30]Annual Raw Data'!#REF!</definedName>
    <definedName name="MFISCAL" localSheetId="23">'[30]Annual Raw Data'!#REF!</definedName>
    <definedName name="MFISCAL" localSheetId="51">'[30]Annual Raw Data'!#REF!</definedName>
    <definedName name="MFISCAL" localSheetId="53">'[30]Annual Raw Data'!#REF!</definedName>
    <definedName name="MFISCAL" localSheetId="20">'[30]Annual Raw Data'!#REF!</definedName>
    <definedName name="MFISCAL">'[30]Annual Raw Data'!#REF!</definedName>
    <definedName name="mflowsa" localSheetId="34">[20]!mflowsa</definedName>
    <definedName name="mflowsa" localSheetId="35">[20]!mflowsa</definedName>
    <definedName name="mflowsa" localSheetId="50">[22]!mflowsa</definedName>
    <definedName name="mflowsa" localSheetId="47">[20]!mflowsa</definedName>
    <definedName name="mflowsa" localSheetId="44">[22]!mflowsa</definedName>
    <definedName name="mflowsa" localSheetId="45">[20]!mflowsa</definedName>
    <definedName name="mflowsa" localSheetId="46">[20]!mflowsa</definedName>
    <definedName name="mflowsa" localSheetId="31">[20]!mflowsa</definedName>
    <definedName name="mflowsa" localSheetId="32">[20]!mflowsa</definedName>
    <definedName name="mflowsa" localSheetId="33">[20]!mflowsa</definedName>
    <definedName name="mflowsa" localSheetId="36">[20]!mflowsa</definedName>
    <definedName name="mflowsa" localSheetId="37">[20]!mflowsa</definedName>
    <definedName name="mflowsa" localSheetId="38">[20]!mflowsa</definedName>
    <definedName name="mflowsa" localSheetId="39">[20]!mflowsa</definedName>
    <definedName name="mflowsa" localSheetId="40">[20]!mflowsa</definedName>
    <definedName name="mflowsa" localSheetId="54">[22]!mflowsa</definedName>
    <definedName name="mflowsa" localSheetId="55">[20]!mflowsa</definedName>
    <definedName name="mflowsa" localSheetId="52">[22]!mflowsa</definedName>
    <definedName name="mflowsa" localSheetId="23">[20]!mflowsa</definedName>
    <definedName name="mflowsa" localSheetId="51">[22]!mflowsa</definedName>
    <definedName name="mflowsa" localSheetId="53">[22]!mflowsa</definedName>
    <definedName name="mflowsa" localSheetId="20">[20]!mflowsa</definedName>
    <definedName name="mflowsa">[20]!mflowsa</definedName>
    <definedName name="mflowsq" localSheetId="34">[20]!mflowsq</definedName>
    <definedName name="mflowsq" localSheetId="35">[20]!mflowsq</definedName>
    <definedName name="mflowsq" localSheetId="50">[22]!mflowsq</definedName>
    <definedName name="mflowsq" localSheetId="47">[20]!mflowsq</definedName>
    <definedName name="mflowsq" localSheetId="44">[22]!mflowsq</definedName>
    <definedName name="mflowsq" localSheetId="45">[20]!mflowsq</definedName>
    <definedName name="mflowsq" localSheetId="46">[20]!mflowsq</definedName>
    <definedName name="mflowsq" localSheetId="31">[20]!mflowsq</definedName>
    <definedName name="mflowsq" localSheetId="32">[20]!mflowsq</definedName>
    <definedName name="mflowsq" localSheetId="33">[20]!mflowsq</definedName>
    <definedName name="mflowsq" localSheetId="36">[20]!mflowsq</definedName>
    <definedName name="mflowsq" localSheetId="37">[20]!mflowsq</definedName>
    <definedName name="mflowsq" localSheetId="38">[20]!mflowsq</definedName>
    <definedName name="mflowsq" localSheetId="39">[20]!mflowsq</definedName>
    <definedName name="mflowsq" localSheetId="40">[20]!mflowsq</definedName>
    <definedName name="mflowsq" localSheetId="54">[22]!mflowsq</definedName>
    <definedName name="mflowsq" localSheetId="55">[20]!mflowsq</definedName>
    <definedName name="mflowsq" localSheetId="52">[22]!mflowsq</definedName>
    <definedName name="mflowsq" localSheetId="23">[20]!mflowsq</definedName>
    <definedName name="mflowsq" localSheetId="51">[22]!mflowsq</definedName>
    <definedName name="mflowsq" localSheetId="53">[22]!mflowsq</definedName>
    <definedName name="mflowsq" localSheetId="20">[20]!mflowsq</definedName>
    <definedName name="mflowsq">[20]!mflowsq</definedName>
    <definedName name="MgmtAction" localSheetId="50">#REF!</definedName>
    <definedName name="MgmtAction" localSheetId="47">#REF!</definedName>
    <definedName name="MgmtAction" localSheetId="44">#REF!</definedName>
    <definedName name="MgmtAction" localSheetId="45">#REF!</definedName>
    <definedName name="MgmtAction" localSheetId="46">#REF!</definedName>
    <definedName name="MgmtAction" localSheetId="37">#REF!</definedName>
    <definedName name="MgmtAction" localSheetId="40">#REF!</definedName>
    <definedName name="MgmtAction" localSheetId="54">#REF!</definedName>
    <definedName name="MgmtAction" localSheetId="55">#REF!</definedName>
    <definedName name="MgmtAction" localSheetId="52">#REF!</definedName>
    <definedName name="MgmtAction" localSheetId="51">#REF!</definedName>
    <definedName name="MgmtAction" localSheetId="53">#REF!</definedName>
    <definedName name="MgmtAction">#REF!</definedName>
    <definedName name="MICRO" localSheetId="34">#REF!</definedName>
    <definedName name="MICRO" localSheetId="35">#REF!</definedName>
    <definedName name="MICRO" localSheetId="50">#REF!</definedName>
    <definedName name="MICRO" localSheetId="15">#REF!</definedName>
    <definedName name="MICRO" localSheetId="29">#REF!</definedName>
    <definedName name="MICRO" localSheetId="30">#REF!</definedName>
    <definedName name="MICRO" localSheetId="47">#REF!</definedName>
    <definedName name="MICRO" localSheetId="44">#REF!</definedName>
    <definedName name="MICRO" localSheetId="45">#REF!</definedName>
    <definedName name="MICRO" localSheetId="46">#REF!</definedName>
    <definedName name="MICRO" localSheetId="31">#REF!</definedName>
    <definedName name="MICRO" localSheetId="32">#REF!</definedName>
    <definedName name="MICRO" localSheetId="33">#REF!</definedName>
    <definedName name="MICRO" localSheetId="36">#REF!</definedName>
    <definedName name="MICRO" localSheetId="37">#REF!</definedName>
    <definedName name="MICRO" localSheetId="38">#REF!</definedName>
    <definedName name="MICRO" localSheetId="39">#REF!</definedName>
    <definedName name="MICRO" localSheetId="40">#REF!</definedName>
    <definedName name="MICRO" localSheetId="54">#REF!</definedName>
    <definedName name="MICRO" localSheetId="55">#REF!</definedName>
    <definedName name="MICRO" localSheetId="52">#REF!</definedName>
    <definedName name="MICRO" localSheetId="23">#REF!</definedName>
    <definedName name="MICRO" localSheetId="51">#REF!</definedName>
    <definedName name="MICRO" localSheetId="53">#REF!</definedName>
    <definedName name="MICRO" localSheetId="20">#REF!</definedName>
    <definedName name="MICRO">#REF!</definedName>
    <definedName name="MIDDLE" localSheetId="50">#REF!</definedName>
    <definedName name="MIDDLE" localSheetId="47">#REF!</definedName>
    <definedName name="MIDDLE" localSheetId="44">#REF!</definedName>
    <definedName name="MIDDLE" localSheetId="45">#REF!</definedName>
    <definedName name="MIDDLE" localSheetId="46">#REF!</definedName>
    <definedName name="MIDDLE" localSheetId="37">#REF!</definedName>
    <definedName name="MIDDLE" localSheetId="40">#REF!</definedName>
    <definedName name="MIDDLE" localSheetId="54">#REF!</definedName>
    <definedName name="MIDDLE" localSheetId="55">#REF!</definedName>
    <definedName name="MIDDLE" localSheetId="52">#REF!</definedName>
    <definedName name="MIDDLE" localSheetId="51">#REF!</definedName>
    <definedName name="MIDDLE" localSheetId="53">#REF!</definedName>
    <definedName name="MIDDLE">#REF!</definedName>
    <definedName name="Miles" localSheetId="50">#REF!</definedName>
    <definedName name="Miles" localSheetId="47">#REF!</definedName>
    <definedName name="Miles" localSheetId="44">#REF!</definedName>
    <definedName name="Miles" localSheetId="45">#REF!</definedName>
    <definedName name="Miles" localSheetId="46">#REF!</definedName>
    <definedName name="Miles" localSheetId="37">#REF!</definedName>
    <definedName name="Miles" localSheetId="40">#REF!</definedName>
    <definedName name="Miles" localSheetId="54">#REF!</definedName>
    <definedName name="Miles" localSheetId="55">#REF!</definedName>
    <definedName name="Miles" localSheetId="52">#REF!</definedName>
    <definedName name="Miles" localSheetId="51">#REF!</definedName>
    <definedName name="Miles" localSheetId="53">#REF!</definedName>
    <definedName name="Miles">#REF!</definedName>
    <definedName name="MISC3" localSheetId="34">#REF!</definedName>
    <definedName name="MISC3" localSheetId="35">#REF!</definedName>
    <definedName name="MISC3" localSheetId="50">#REF!</definedName>
    <definedName name="MISC3" localSheetId="15">#REF!</definedName>
    <definedName name="MISC3" localSheetId="29">#REF!</definedName>
    <definedName name="MISC3" localSheetId="30">#REF!</definedName>
    <definedName name="MISC3" localSheetId="47">#REF!</definedName>
    <definedName name="MISC3" localSheetId="44">#REF!</definedName>
    <definedName name="MISC3" localSheetId="45">#REF!</definedName>
    <definedName name="MISC3" localSheetId="46">#REF!</definedName>
    <definedName name="MISC3" localSheetId="31">#REF!</definedName>
    <definedName name="MISC3" localSheetId="32">#REF!</definedName>
    <definedName name="MISC3" localSheetId="33">#REF!</definedName>
    <definedName name="MISC3" localSheetId="36">#REF!</definedName>
    <definedName name="MISC3" localSheetId="37">#REF!</definedName>
    <definedName name="MISC3" localSheetId="38">#REF!</definedName>
    <definedName name="MISC3" localSheetId="39">#REF!</definedName>
    <definedName name="MISC3" localSheetId="40">#REF!</definedName>
    <definedName name="MISC3" localSheetId="54">#REF!</definedName>
    <definedName name="MISC3" localSheetId="55">#REF!</definedName>
    <definedName name="MISC3" localSheetId="52">#REF!</definedName>
    <definedName name="MISC3" localSheetId="23">#REF!</definedName>
    <definedName name="MISC3" localSheetId="51">#REF!</definedName>
    <definedName name="MISC3" localSheetId="53">#REF!</definedName>
    <definedName name="MISC3" localSheetId="20">#REF!</definedName>
    <definedName name="MISC3">#REF!</definedName>
    <definedName name="MISC4" localSheetId="34">[28]OUTPUT!#REF!</definedName>
    <definedName name="MISC4" localSheetId="35">[28]OUTPUT!#REF!</definedName>
    <definedName name="MISC4" localSheetId="50">[29]OUTPUT!#REF!</definedName>
    <definedName name="MISC4" localSheetId="15">[28]OUTPUT!#REF!</definedName>
    <definedName name="MISC4" localSheetId="29">[28]OUTPUT!#REF!</definedName>
    <definedName name="MISC4" localSheetId="30">[28]OUTPUT!#REF!</definedName>
    <definedName name="MISC4" localSheetId="47">[28]OUTPUT!#REF!</definedName>
    <definedName name="MISC4" localSheetId="44">[29]OUTPUT!#REF!</definedName>
    <definedName name="MISC4" localSheetId="45">[28]OUTPUT!#REF!</definedName>
    <definedName name="MISC4" localSheetId="46">[28]OUTPUT!#REF!</definedName>
    <definedName name="MISC4" localSheetId="31">[28]OUTPUT!#REF!</definedName>
    <definedName name="MISC4" localSheetId="32">[28]OUTPUT!#REF!</definedName>
    <definedName name="MISC4" localSheetId="33">[28]OUTPUT!#REF!</definedName>
    <definedName name="MISC4" localSheetId="36">[28]OUTPUT!#REF!</definedName>
    <definedName name="MISC4" localSheetId="37">[28]OUTPUT!#REF!</definedName>
    <definedName name="MISC4" localSheetId="38">[28]OUTPUT!#REF!</definedName>
    <definedName name="MISC4" localSheetId="39">[28]OUTPUT!#REF!</definedName>
    <definedName name="MISC4" localSheetId="40">[28]OUTPUT!#REF!</definedName>
    <definedName name="MISC4" localSheetId="54">[29]OUTPUT!#REF!</definedName>
    <definedName name="MISC4" localSheetId="55">[28]OUTPUT!#REF!</definedName>
    <definedName name="MISC4" localSheetId="52">[29]OUTPUT!#REF!</definedName>
    <definedName name="MISC4" localSheetId="23">[28]OUTPUT!#REF!</definedName>
    <definedName name="MISC4" localSheetId="51">[29]OUTPUT!#REF!</definedName>
    <definedName name="MISC4" localSheetId="53">[29]OUTPUT!#REF!</definedName>
    <definedName name="MISC4" localSheetId="20">[28]OUTPUT!#REF!</definedName>
    <definedName name="MISC4">[28]OUTPUT!#REF!</definedName>
    <definedName name="mm" localSheetId="34">#REF!</definedName>
    <definedName name="mm" localSheetId="35">#REF!</definedName>
    <definedName name="mm" localSheetId="50">#REF!</definedName>
    <definedName name="mm" localSheetId="15">#REF!</definedName>
    <definedName name="mm" localSheetId="29">#REF!</definedName>
    <definedName name="mm" localSheetId="30">#REF!</definedName>
    <definedName name="mm" localSheetId="47">#REF!</definedName>
    <definedName name="mm" localSheetId="44">#REF!</definedName>
    <definedName name="mm" localSheetId="45">#REF!</definedName>
    <definedName name="mm" localSheetId="46">#REF!</definedName>
    <definedName name="mm" localSheetId="31">#REF!</definedName>
    <definedName name="mm" localSheetId="32">#REF!</definedName>
    <definedName name="mm" localSheetId="33">#REF!</definedName>
    <definedName name="mm" localSheetId="36">#REF!</definedName>
    <definedName name="mm" localSheetId="37">#REF!</definedName>
    <definedName name="mm" localSheetId="38">#REF!</definedName>
    <definedName name="mm" localSheetId="39">#REF!</definedName>
    <definedName name="mm" localSheetId="40">#REF!</definedName>
    <definedName name="mm" localSheetId="54">#REF!</definedName>
    <definedName name="mm" localSheetId="55">#REF!</definedName>
    <definedName name="mm" localSheetId="52">#REF!</definedName>
    <definedName name="mm" localSheetId="23">#REF!</definedName>
    <definedName name="mm" localSheetId="51">#REF!</definedName>
    <definedName name="mm" localSheetId="53">#REF!</definedName>
    <definedName name="mm" localSheetId="20">#REF!</definedName>
    <definedName name="mm">#REF!</definedName>
    <definedName name="mmm" localSheetId="58" hidden="1">{"Riqfin97",#N/A,FALSE,"Tran";"Riqfinpro",#N/A,FALSE,"Tran"}</definedName>
    <definedName name="mmm" localSheetId="16" hidden="1">{"Riqfin97",#N/A,FALSE,"Tran";"Riqfinpro",#N/A,FALSE,"Tran"}</definedName>
    <definedName name="mmm" localSheetId="61" hidden="1">{"Riqfin97",#N/A,FALSE,"Tran";"Riqfinpro",#N/A,FALSE,"Tran"}</definedName>
    <definedName name="mmm" localSheetId="62" hidden="1">{"Riqfin97",#N/A,FALSE,"Tran";"Riqfinpro",#N/A,FALSE,"Tran"}</definedName>
    <definedName name="mmm" localSheetId="50" hidden="1">{"Riqfin97",#N/A,FALSE,"Tran";"Riqfinpro",#N/A,FALSE,"Tran"}</definedName>
    <definedName name="mmm" localSheetId="63" hidden="1">{"Riqfin97",#N/A,FALSE,"Tran";"Riqfinpro",#N/A,FALSE,"Tran"}</definedName>
    <definedName name="mmm" localSheetId="15" hidden="1">{"Riqfin97",#N/A,FALSE,"Tran";"Riqfinpro",#N/A,FALSE,"Tran"}</definedName>
    <definedName name="mmm" localSheetId="1" hidden="1">{"Riqfin97",#N/A,FALSE,"Tran";"Riqfinpro",#N/A,FALSE,"Tran"}</definedName>
    <definedName name="mmm" localSheetId="43" hidden="1">{"Riqfin97",#N/A,FALSE,"Tran";"Riqfinpro",#N/A,FALSE,"Tran"}</definedName>
    <definedName name="mmm" localSheetId="29" hidden="1">{"Riqfin97",#N/A,FALSE,"Tran";"Riqfinpro",#N/A,FALSE,"Tran"}</definedName>
    <definedName name="mmm" localSheetId="30" hidden="1">{"Riqfin97",#N/A,FALSE,"Tran";"Riqfinpro",#N/A,FALSE,"Tran"}</definedName>
    <definedName name="mmm" localSheetId="44" hidden="1">{"Riqfin97",#N/A,FALSE,"Tran";"Riqfinpro",#N/A,FALSE,"Tran"}</definedName>
    <definedName name="mmm" localSheetId="59" hidden="1">{"Riqfin97",#N/A,FALSE,"Tran";"Riqfinpro",#N/A,FALSE,"Tran"}</definedName>
    <definedName name="mmm" localSheetId="13" hidden="1">{"Riqfin97",#N/A,FALSE,"Tran";"Riqfinpro",#N/A,FALSE,"Tran"}</definedName>
    <definedName name="mmm" localSheetId="0" hidden="1">{"Riqfin97",#N/A,FALSE,"Tran";"Riqfinpro",#N/A,FALSE,"Tran"}</definedName>
    <definedName name="mmm" localSheetId="57" hidden="1">{"Riqfin97",#N/A,FALSE,"Tran";"Riqfinpro",#N/A,FALSE,"Tran"}</definedName>
    <definedName name="mmm" localSheetId="56" hidden="1">{"Riqfin97",#N/A,FALSE,"Tran";"Riqfinpro",#N/A,FALSE,"Tran"}</definedName>
    <definedName name="mmm" localSheetId="54" hidden="1">{"Riqfin97",#N/A,FALSE,"Tran";"Riqfinpro",#N/A,FALSE,"Tran"}</definedName>
    <definedName name="mmm" localSheetId="52" hidden="1">{"Riqfin97",#N/A,FALSE,"Tran";"Riqfinpro",#N/A,FALSE,"Tran"}</definedName>
    <definedName name="mmm" localSheetId="23" hidden="1">{"Riqfin97",#N/A,FALSE,"Tran";"Riqfinpro",#N/A,FALSE,"Tran"}</definedName>
    <definedName name="mmm" localSheetId="51" hidden="1">{"Riqfin97",#N/A,FALSE,"Tran";"Riqfinpro",#N/A,FALSE,"Tran"}</definedName>
    <definedName name="mmm" localSheetId="53" hidden="1">{"Riqfin97",#N/A,FALSE,"Tran";"Riqfinpro",#N/A,FALSE,"Tran"}</definedName>
    <definedName name="mmm" localSheetId="60" hidden="1">{"Riqfin97",#N/A,FALSE,"Tran";"Riqfinpro",#N/A,FALSE,"Tran"}</definedName>
    <definedName name="mmm" hidden="1">{"Riqfin97",#N/A,FALSE,"Tran";"Riqfinpro",#N/A,FALSE,"Tran"}</definedName>
    <definedName name="mmmm" localSheetId="58" hidden="1">{"Tab1",#N/A,FALSE,"P";"Tab2",#N/A,FALSE,"P"}</definedName>
    <definedName name="mmmm" localSheetId="16" hidden="1">{"Tab1",#N/A,FALSE,"P";"Tab2",#N/A,FALSE,"P"}</definedName>
    <definedName name="mmmm" localSheetId="61" hidden="1">{"Tab1",#N/A,FALSE,"P";"Tab2",#N/A,FALSE,"P"}</definedName>
    <definedName name="mmmm" localSheetId="62" hidden="1">{"Tab1",#N/A,FALSE,"P";"Tab2",#N/A,FALSE,"P"}</definedName>
    <definedName name="mmmm" localSheetId="50" hidden="1">{"Tab1",#N/A,FALSE,"P";"Tab2",#N/A,FALSE,"P"}</definedName>
    <definedName name="mmmm" localSheetId="63" hidden="1">{"Tab1",#N/A,FALSE,"P";"Tab2",#N/A,FALSE,"P"}</definedName>
    <definedName name="mmmm" localSheetId="15" hidden="1">{"Tab1",#N/A,FALSE,"P";"Tab2",#N/A,FALSE,"P"}</definedName>
    <definedName name="mmmm" localSheetId="1" hidden="1">{"Tab1",#N/A,FALSE,"P";"Tab2",#N/A,FALSE,"P"}</definedName>
    <definedName name="mmmm" localSheetId="43" hidden="1">{"Tab1",#N/A,FALSE,"P";"Tab2",#N/A,FALSE,"P"}</definedName>
    <definedName name="mmmm" localSheetId="29" hidden="1">{"Tab1",#N/A,FALSE,"P";"Tab2",#N/A,FALSE,"P"}</definedName>
    <definedName name="mmmm" localSheetId="30" hidden="1">{"Tab1",#N/A,FALSE,"P";"Tab2",#N/A,FALSE,"P"}</definedName>
    <definedName name="mmmm" localSheetId="44" hidden="1">{"Tab1",#N/A,FALSE,"P";"Tab2",#N/A,FALSE,"P"}</definedName>
    <definedName name="mmmm" localSheetId="59" hidden="1">{"Tab1",#N/A,FALSE,"P";"Tab2",#N/A,FALSE,"P"}</definedName>
    <definedName name="mmmm" localSheetId="13" hidden="1">{"Tab1",#N/A,FALSE,"P";"Tab2",#N/A,FALSE,"P"}</definedName>
    <definedName name="mmmm" localSheetId="0" hidden="1">{"Tab1",#N/A,FALSE,"P";"Tab2",#N/A,FALSE,"P"}</definedName>
    <definedName name="mmmm" localSheetId="57" hidden="1">{"Tab1",#N/A,FALSE,"P";"Tab2",#N/A,FALSE,"P"}</definedName>
    <definedName name="mmmm" localSheetId="56" hidden="1">{"Tab1",#N/A,FALSE,"P";"Tab2",#N/A,FALSE,"P"}</definedName>
    <definedName name="mmmm" localSheetId="54" hidden="1">{"Tab1",#N/A,FALSE,"P";"Tab2",#N/A,FALSE,"P"}</definedName>
    <definedName name="mmmm" localSheetId="52" hidden="1">{"Tab1",#N/A,FALSE,"P";"Tab2",#N/A,FALSE,"P"}</definedName>
    <definedName name="mmmm" localSheetId="23" hidden="1">{"Tab1",#N/A,FALSE,"P";"Tab2",#N/A,FALSE,"P"}</definedName>
    <definedName name="mmmm" localSheetId="51" hidden="1">{"Tab1",#N/A,FALSE,"P";"Tab2",#N/A,FALSE,"P"}</definedName>
    <definedName name="mmmm" localSheetId="53" hidden="1">{"Tab1",#N/A,FALSE,"P";"Tab2",#N/A,FALSE,"P"}</definedName>
    <definedName name="mmmm" localSheetId="60" hidden="1">{"Tab1",#N/A,FALSE,"P";"Tab2",#N/A,FALSE,"P"}</definedName>
    <definedName name="mmmm" hidden="1">{"Tab1",#N/A,FALSE,"P";"Tab2",#N/A,FALSE,"P"}</definedName>
    <definedName name="mmmmm" localSheetId="58" hidden="1">{"Riqfin97",#N/A,FALSE,"Tran";"Riqfinpro",#N/A,FALSE,"Tran"}</definedName>
    <definedName name="mmmmm" localSheetId="16" hidden="1">{"Riqfin97",#N/A,FALSE,"Tran";"Riqfinpro",#N/A,FALSE,"Tran"}</definedName>
    <definedName name="mmmmm" localSheetId="61" hidden="1">{"Riqfin97",#N/A,FALSE,"Tran";"Riqfinpro",#N/A,FALSE,"Tran"}</definedName>
    <definedName name="mmmmm" localSheetId="62" hidden="1">{"Riqfin97",#N/A,FALSE,"Tran";"Riqfinpro",#N/A,FALSE,"Tran"}</definedName>
    <definedName name="mmmmm" localSheetId="50" hidden="1">{"Riqfin97",#N/A,FALSE,"Tran";"Riqfinpro",#N/A,FALSE,"Tran"}</definedName>
    <definedName name="mmmmm" localSheetId="63" hidden="1">{"Riqfin97",#N/A,FALSE,"Tran";"Riqfinpro",#N/A,FALSE,"Tran"}</definedName>
    <definedName name="mmmmm" localSheetId="15" hidden="1">{"Riqfin97",#N/A,FALSE,"Tran";"Riqfinpro",#N/A,FALSE,"Tran"}</definedName>
    <definedName name="mmmmm" localSheetId="1" hidden="1">{"Riqfin97",#N/A,FALSE,"Tran";"Riqfinpro",#N/A,FALSE,"Tran"}</definedName>
    <definedName name="mmmmm" localSheetId="43" hidden="1">{"Riqfin97",#N/A,FALSE,"Tran";"Riqfinpro",#N/A,FALSE,"Tran"}</definedName>
    <definedName name="mmmmm" localSheetId="29" hidden="1">{"Riqfin97",#N/A,FALSE,"Tran";"Riqfinpro",#N/A,FALSE,"Tran"}</definedName>
    <definedName name="mmmmm" localSheetId="30" hidden="1">{"Riqfin97",#N/A,FALSE,"Tran";"Riqfinpro",#N/A,FALSE,"Tran"}</definedName>
    <definedName name="mmmmm" localSheetId="44" hidden="1">{"Riqfin97",#N/A,FALSE,"Tran";"Riqfinpro",#N/A,FALSE,"Tran"}</definedName>
    <definedName name="mmmmm" localSheetId="59" hidden="1">{"Riqfin97",#N/A,FALSE,"Tran";"Riqfinpro",#N/A,FALSE,"Tran"}</definedName>
    <definedName name="mmmmm" localSheetId="13" hidden="1">{"Riqfin97",#N/A,FALSE,"Tran";"Riqfinpro",#N/A,FALSE,"Tran"}</definedName>
    <definedName name="mmmmm" localSheetId="0" hidden="1">{"Riqfin97",#N/A,FALSE,"Tran";"Riqfinpro",#N/A,FALSE,"Tran"}</definedName>
    <definedName name="mmmmm" localSheetId="57" hidden="1">{"Riqfin97",#N/A,FALSE,"Tran";"Riqfinpro",#N/A,FALSE,"Tran"}</definedName>
    <definedName name="mmmmm" localSheetId="56" hidden="1">{"Riqfin97",#N/A,FALSE,"Tran";"Riqfinpro",#N/A,FALSE,"Tran"}</definedName>
    <definedName name="mmmmm" localSheetId="54" hidden="1">{"Riqfin97",#N/A,FALSE,"Tran";"Riqfinpro",#N/A,FALSE,"Tran"}</definedName>
    <definedName name="mmmmm" localSheetId="52" hidden="1">{"Riqfin97",#N/A,FALSE,"Tran";"Riqfinpro",#N/A,FALSE,"Tran"}</definedName>
    <definedName name="mmmmm" localSheetId="23" hidden="1">{"Riqfin97",#N/A,FALSE,"Tran";"Riqfinpro",#N/A,FALSE,"Tran"}</definedName>
    <definedName name="mmmmm" localSheetId="51" hidden="1">{"Riqfin97",#N/A,FALSE,"Tran";"Riqfinpro",#N/A,FALSE,"Tran"}</definedName>
    <definedName name="mmmmm" localSheetId="53" hidden="1">{"Riqfin97",#N/A,FALSE,"Tran";"Riqfinpro",#N/A,FALSE,"Tran"}</definedName>
    <definedName name="mmmmm" localSheetId="60" hidden="1">{"Riqfin97",#N/A,FALSE,"Tran";"Riqfinpro",#N/A,FALSE,"Tran"}</definedName>
    <definedName name="mmmmm" hidden="1">{"Riqfin97",#N/A,FALSE,"Tran";"Riqfinpro",#N/A,FALSE,"Tran"}</definedName>
    <definedName name="mon" localSheetId="58">'[120]Commerical Bank Oper'!#REF!</definedName>
    <definedName name="mon" localSheetId="34">'[120]Commerical Bank Oper'!#REF!</definedName>
    <definedName name="mon" localSheetId="35">'[120]Commerical Bank Oper'!#REF!</definedName>
    <definedName name="mon" localSheetId="50">'[120]Commerical Bank Oper'!#REF!</definedName>
    <definedName name="mon" localSheetId="15">'[120]Commerical Bank Oper'!#REF!</definedName>
    <definedName name="mon" localSheetId="27">'[120]Commerical Bank Oper'!#REF!</definedName>
    <definedName name="mon" localSheetId="24">'[120]Commerical Bank Oper'!#REF!</definedName>
    <definedName name="mon" localSheetId="26">'[120]Commerical Bank Oper'!#REF!</definedName>
    <definedName name="mon" localSheetId="29">'[120]Commerical Bank Oper'!#REF!</definedName>
    <definedName name="mon" localSheetId="42">'[120]Commerical Bank Oper'!#REF!</definedName>
    <definedName name="mon" localSheetId="30">'[120]Commerical Bank Oper'!#REF!</definedName>
    <definedName name="mon" localSheetId="47">'[120]Commerical Bank Oper'!#REF!</definedName>
    <definedName name="mon" localSheetId="44">'[120]Commerical Bank Oper'!#REF!</definedName>
    <definedName name="mon" localSheetId="45">'[120]Commerical Bank Oper'!#REF!</definedName>
    <definedName name="mon" localSheetId="46">'[120]Commerical Bank Oper'!#REF!</definedName>
    <definedName name="mon" localSheetId="31">'[120]Commerical Bank Oper'!#REF!</definedName>
    <definedName name="mon" localSheetId="32">'[120]Commerical Bank Oper'!#REF!</definedName>
    <definedName name="mon" localSheetId="33">'[120]Commerical Bank Oper'!#REF!</definedName>
    <definedName name="mon" localSheetId="59">'[120]Commerical Bank Oper'!#REF!</definedName>
    <definedName name="mon" localSheetId="36">'[120]Commerical Bank Oper'!#REF!</definedName>
    <definedName name="mon" localSheetId="37">'[120]Commerical Bank Oper'!#REF!</definedName>
    <definedName name="mon" localSheetId="38">'[120]Commerical Bank Oper'!#REF!</definedName>
    <definedName name="mon" localSheetId="39">'[120]Commerical Bank Oper'!#REF!</definedName>
    <definedName name="mon" localSheetId="40">'[120]Commerical Bank Oper'!#REF!</definedName>
    <definedName name="mon" localSheetId="25">'[120]Commerical Bank Oper'!#REF!</definedName>
    <definedName name="mon" localSheetId="54">'[120]Commerical Bank Oper'!#REF!</definedName>
    <definedName name="mon" localSheetId="55">'[120]Commerical Bank Oper'!#REF!</definedName>
    <definedName name="mon" localSheetId="52">'[120]Commerical Bank Oper'!#REF!</definedName>
    <definedName name="mon" localSheetId="23">'[120]Commerical Bank Oper'!#REF!</definedName>
    <definedName name="mon" localSheetId="51">'[120]Commerical Bank Oper'!#REF!</definedName>
    <definedName name="mon" localSheetId="12">'[120]Commerical Bank Oper'!#REF!</definedName>
    <definedName name="mon" localSheetId="53">'[120]Commerical Bank Oper'!#REF!</definedName>
    <definedName name="mon" localSheetId="60">'[120]Commerical Bank Oper'!#REF!</definedName>
    <definedName name="mon" localSheetId="20">'[120]Commerical Bank Oper'!#REF!</definedName>
    <definedName name="mon">'[120]Commerical Bank Oper'!#REF!</definedName>
    <definedName name="MON_SM" localSheetId="34">#REF!</definedName>
    <definedName name="MON_SM" localSheetId="35">#REF!</definedName>
    <definedName name="MON_SM" localSheetId="50">#REF!</definedName>
    <definedName name="MON_SM" localSheetId="15">#REF!</definedName>
    <definedName name="MON_SM" localSheetId="29">#REF!</definedName>
    <definedName name="MON_SM" localSheetId="30">#REF!</definedName>
    <definedName name="MON_SM" localSheetId="47">#REF!</definedName>
    <definedName name="MON_SM" localSheetId="44">#REF!</definedName>
    <definedName name="MON_SM" localSheetId="45">#REF!</definedName>
    <definedName name="MON_SM" localSheetId="46">#REF!</definedName>
    <definedName name="MON_SM" localSheetId="31">#REF!</definedName>
    <definedName name="MON_SM" localSheetId="32">#REF!</definedName>
    <definedName name="MON_SM" localSheetId="33">#REF!</definedName>
    <definedName name="MON_SM" localSheetId="36">#REF!</definedName>
    <definedName name="MON_SM" localSheetId="37">#REF!</definedName>
    <definedName name="MON_SM" localSheetId="38">#REF!</definedName>
    <definedName name="MON_SM" localSheetId="39">#REF!</definedName>
    <definedName name="MON_SM" localSheetId="40">#REF!</definedName>
    <definedName name="MON_SM" localSheetId="54">#REF!</definedName>
    <definedName name="MON_SM" localSheetId="55">#REF!</definedName>
    <definedName name="MON_SM" localSheetId="52">#REF!</definedName>
    <definedName name="MON_SM" localSheetId="23">#REF!</definedName>
    <definedName name="MON_SM" localSheetId="51">#REF!</definedName>
    <definedName name="MON_SM" localSheetId="53">#REF!</definedName>
    <definedName name="MON_SM" localSheetId="20">#REF!</definedName>
    <definedName name="MON_SM">#REF!</definedName>
    <definedName name="MONF_SM" localSheetId="34">#REF!</definedName>
    <definedName name="MONF_SM" localSheetId="35">#REF!</definedName>
    <definedName name="MONF_SM" localSheetId="50">#REF!</definedName>
    <definedName name="MONF_SM" localSheetId="15">#REF!</definedName>
    <definedName name="MONF_SM" localSheetId="29">#REF!</definedName>
    <definedName name="MONF_SM" localSheetId="30">#REF!</definedName>
    <definedName name="MONF_SM" localSheetId="47">#REF!</definedName>
    <definedName name="MONF_SM" localSheetId="44">#REF!</definedName>
    <definedName name="MONF_SM" localSheetId="45">#REF!</definedName>
    <definedName name="MONF_SM" localSheetId="46">#REF!</definedName>
    <definedName name="MONF_SM" localSheetId="31">#REF!</definedName>
    <definedName name="MONF_SM" localSheetId="32">#REF!</definedName>
    <definedName name="MONF_SM" localSheetId="33">#REF!</definedName>
    <definedName name="MONF_SM" localSheetId="36">#REF!</definedName>
    <definedName name="MONF_SM" localSheetId="37">#REF!</definedName>
    <definedName name="MONF_SM" localSheetId="38">#REF!</definedName>
    <definedName name="MONF_SM" localSheetId="39">#REF!</definedName>
    <definedName name="MONF_SM" localSheetId="40">#REF!</definedName>
    <definedName name="MONF_SM" localSheetId="54">#REF!</definedName>
    <definedName name="MONF_SM" localSheetId="55">#REF!</definedName>
    <definedName name="MONF_SM" localSheetId="52">#REF!</definedName>
    <definedName name="MONF_SM" localSheetId="23">#REF!</definedName>
    <definedName name="MONF_SM" localSheetId="51">#REF!</definedName>
    <definedName name="MONF_SM" localSheetId="53">#REF!</definedName>
    <definedName name="MONF_SM" localSheetId="20">#REF!</definedName>
    <definedName name="MONF_SM">#REF!</definedName>
    <definedName name="mstocksa" localSheetId="34">[20]!mstocksa</definedName>
    <definedName name="mstocksa" localSheetId="35">[20]!mstocksa</definedName>
    <definedName name="mstocksa" localSheetId="50">[22]!mstocksa</definedName>
    <definedName name="mstocksa" localSheetId="47">[20]!mstocksa</definedName>
    <definedName name="mstocksa" localSheetId="44">[22]!mstocksa</definedName>
    <definedName name="mstocksa" localSheetId="45">[20]!mstocksa</definedName>
    <definedName name="mstocksa" localSheetId="46">[20]!mstocksa</definedName>
    <definedName name="mstocksa" localSheetId="31">[20]!mstocksa</definedName>
    <definedName name="mstocksa" localSheetId="32">[20]!mstocksa</definedName>
    <definedName name="mstocksa" localSheetId="33">[20]!mstocksa</definedName>
    <definedName name="mstocksa" localSheetId="36">[20]!mstocksa</definedName>
    <definedName name="mstocksa" localSheetId="37">[20]!mstocksa</definedName>
    <definedName name="mstocksa" localSheetId="38">[20]!mstocksa</definedName>
    <definedName name="mstocksa" localSheetId="39">[20]!mstocksa</definedName>
    <definedName name="mstocksa" localSheetId="40">[20]!mstocksa</definedName>
    <definedName name="mstocksa" localSheetId="54">[22]!mstocksa</definedName>
    <definedName name="mstocksa" localSheetId="55">[20]!mstocksa</definedName>
    <definedName name="mstocksa" localSheetId="52">[22]!mstocksa</definedName>
    <definedName name="mstocksa" localSheetId="23">[20]!mstocksa</definedName>
    <definedName name="mstocksa" localSheetId="51">[22]!mstocksa</definedName>
    <definedName name="mstocksa" localSheetId="53">[22]!mstocksa</definedName>
    <definedName name="mstocksa" localSheetId="20">[20]!mstocksa</definedName>
    <definedName name="mstocksa">[20]!mstocksa</definedName>
    <definedName name="mstocksq" localSheetId="34">[20]!mstocksq</definedName>
    <definedName name="mstocksq" localSheetId="35">[20]!mstocksq</definedName>
    <definedName name="mstocksq" localSheetId="50">[22]!mstocksq</definedName>
    <definedName name="mstocksq" localSheetId="47">[20]!mstocksq</definedName>
    <definedName name="mstocksq" localSheetId="44">[22]!mstocksq</definedName>
    <definedName name="mstocksq" localSheetId="45">[20]!mstocksq</definedName>
    <definedName name="mstocksq" localSheetId="46">[20]!mstocksq</definedName>
    <definedName name="mstocksq" localSheetId="31">[20]!mstocksq</definedName>
    <definedName name="mstocksq" localSheetId="32">[20]!mstocksq</definedName>
    <definedName name="mstocksq" localSheetId="33">[20]!mstocksq</definedName>
    <definedName name="mstocksq" localSheetId="36">[20]!mstocksq</definedName>
    <definedName name="mstocksq" localSheetId="37">[20]!mstocksq</definedName>
    <definedName name="mstocksq" localSheetId="38">[20]!mstocksq</definedName>
    <definedName name="mstocksq" localSheetId="39">[20]!mstocksq</definedName>
    <definedName name="mstocksq" localSheetId="40">[20]!mstocksq</definedName>
    <definedName name="mstocksq" localSheetId="54">[22]!mstocksq</definedName>
    <definedName name="mstocksq" localSheetId="55">[20]!mstocksq</definedName>
    <definedName name="mstocksq" localSheetId="52">[22]!mstocksq</definedName>
    <definedName name="mstocksq" localSheetId="23">[20]!mstocksq</definedName>
    <definedName name="mstocksq" localSheetId="51">[22]!mstocksq</definedName>
    <definedName name="mstocksq" localSheetId="53">[22]!mstocksq</definedName>
    <definedName name="mstocksq" localSheetId="20">[20]!mstocksq</definedName>
    <definedName name="mstocksq">[20]!mstocksq</definedName>
    <definedName name="mte" localSheetId="58" hidden="1">{"Riqfin97",#N/A,FALSE,"Tran";"Riqfinpro",#N/A,FALSE,"Tran"}</definedName>
    <definedName name="mte" localSheetId="16" hidden="1">{"Riqfin97",#N/A,FALSE,"Tran";"Riqfinpro",#N/A,FALSE,"Tran"}</definedName>
    <definedName name="mte" localSheetId="61" hidden="1">{"Riqfin97",#N/A,FALSE,"Tran";"Riqfinpro",#N/A,FALSE,"Tran"}</definedName>
    <definedName name="mte" localSheetId="62" hidden="1">{"Riqfin97",#N/A,FALSE,"Tran";"Riqfinpro",#N/A,FALSE,"Tran"}</definedName>
    <definedName name="mte" localSheetId="50" hidden="1">{"Riqfin97",#N/A,FALSE,"Tran";"Riqfinpro",#N/A,FALSE,"Tran"}</definedName>
    <definedName name="mte" localSheetId="63" hidden="1">{"Riqfin97",#N/A,FALSE,"Tran";"Riqfinpro",#N/A,FALSE,"Tran"}</definedName>
    <definedName name="mte" localSheetId="15" hidden="1">{"Riqfin97",#N/A,FALSE,"Tran";"Riqfinpro",#N/A,FALSE,"Tran"}</definedName>
    <definedName name="mte" localSheetId="1" hidden="1">{"Riqfin97",#N/A,FALSE,"Tran";"Riqfinpro",#N/A,FALSE,"Tran"}</definedName>
    <definedName name="mte" localSheetId="43" hidden="1">{"Riqfin97",#N/A,FALSE,"Tran";"Riqfinpro",#N/A,FALSE,"Tran"}</definedName>
    <definedName name="mte" localSheetId="29" hidden="1">{"Riqfin97",#N/A,FALSE,"Tran";"Riqfinpro",#N/A,FALSE,"Tran"}</definedName>
    <definedName name="mte" localSheetId="30" hidden="1">{"Riqfin97",#N/A,FALSE,"Tran";"Riqfinpro",#N/A,FALSE,"Tran"}</definedName>
    <definedName name="mte" localSheetId="44" hidden="1">{"Riqfin97",#N/A,FALSE,"Tran";"Riqfinpro",#N/A,FALSE,"Tran"}</definedName>
    <definedName name="mte" localSheetId="59" hidden="1">{"Riqfin97",#N/A,FALSE,"Tran";"Riqfinpro",#N/A,FALSE,"Tran"}</definedName>
    <definedName name="mte" localSheetId="13" hidden="1">{"Riqfin97",#N/A,FALSE,"Tran";"Riqfinpro",#N/A,FALSE,"Tran"}</definedName>
    <definedName name="mte" localSheetId="0" hidden="1">{"Riqfin97",#N/A,FALSE,"Tran";"Riqfinpro",#N/A,FALSE,"Tran"}</definedName>
    <definedName name="mte" localSheetId="57" hidden="1">{"Riqfin97",#N/A,FALSE,"Tran";"Riqfinpro",#N/A,FALSE,"Tran"}</definedName>
    <definedName name="mte" localSheetId="56" hidden="1">{"Riqfin97",#N/A,FALSE,"Tran";"Riqfinpro",#N/A,FALSE,"Tran"}</definedName>
    <definedName name="mte" localSheetId="54" hidden="1">{"Riqfin97",#N/A,FALSE,"Tran";"Riqfinpro",#N/A,FALSE,"Tran"}</definedName>
    <definedName name="mte" localSheetId="52" hidden="1">{"Riqfin97",#N/A,FALSE,"Tran";"Riqfinpro",#N/A,FALSE,"Tran"}</definedName>
    <definedName name="mte" localSheetId="23" hidden="1">{"Riqfin97",#N/A,FALSE,"Tran";"Riqfinpro",#N/A,FALSE,"Tran"}</definedName>
    <definedName name="mte" localSheetId="51" hidden="1">{"Riqfin97",#N/A,FALSE,"Tran";"Riqfinpro",#N/A,FALSE,"Tran"}</definedName>
    <definedName name="mte" localSheetId="53" hidden="1">{"Riqfin97",#N/A,FALSE,"Tran";"Riqfinpro",#N/A,FALSE,"Tran"}</definedName>
    <definedName name="mte" localSheetId="60" hidden="1">{"Riqfin97",#N/A,FALSE,"Tran";"Riqfinpro",#N/A,FALSE,"Tran"}</definedName>
    <definedName name="mte" hidden="1">{"Riqfin97",#N/A,FALSE,"Tran";"Riqfinpro",#N/A,FALSE,"Tran"}</definedName>
    <definedName name="Municipios" localSheetId="34">#REF!</definedName>
    <definedName name="Municipios" localSheetId="35">#REF!</definedName>
    <definedName name="Municipios" localSheetId="50">#REF!</definedName>
    <definedName name="Municipios" localSheetId="15">#REF!</definedName>
    <definedName name="Municipios" localSheetId="29">#REF!</definedName>
    <definedName name="Municipios" localSheetId="30">#REF!</definedName>
    <definedName name="Municipios" localSheetId="47">#REF!</definedName>
    <definedName name="Municipios" localSheetId="44">#REF!</definedName>
    <definedName name="Municipios" localSheetId="45">#REF!</definedName>
    <definedName name="Municipios" localSheetId="46">#REF!</definedName>
    <definedName name="Municipios" localSheetId="31">#REF!</definedName>
    <definedName name="Municipios" localSheetId="32">#REF!</definedName>
    <definedName name="Municipios" localSheetId="33">#REF!</definedName>
    <definedName name="Municipios" localSheetId="36">#REF!</definedName>
    <definedName name="Municipios" localSheetId="37">#REF!</definedName>
    <definedName name="Municipios" localSheetId="38">#REF!</definedName>
    <definedName name="Municipios" localSheetId="39">#REF!</definedName>
    <definedName name="Municipios" localSheetId="40">#REF!</definedName>
    <definedName name="Municipios" localSheetId="54">#REF!</definedName>
    <definedName name="Municipios" localSheetId="55">#REF!</definedName>
    <definedName name="Municipios" localSheetId="52">#REF!</definedName>
    <definedName name="Municipios" localSheetId="23">#REF!</definedName>
    <definedName name="Municipios" localSheetId="51">#REF!</definedName>
    <definedName name="Municipios" localSheetId="53">#REF!</definedName>
    <definedName name="Municipios" localSheetId="20">#REF!</definedName>
    <definedName name="Municipios">#REF!</definedName>
    <definedName name="MyRange">[57]List!$C$14:$C$63</definedName>
    <definedName name="myvalue" localSheetId="50">#REF!</definedName>
    <definedName name="myvalue" localSheetId="47">#REF!</definedName>
    <definedName name="myvalue" localSheetId="44">#REF!</definedName>
    <definedName name="myvalue" localSheetId="45">#REF!</definedName>
    <definedName name="myvalue" localSheetId="46">#REF!</definedName>
    <definedName name="myvalue" localSheetId="37">#REF!</definedName>
    <definedName name="myvalue" localSheetId="40">#REF!</definedName>
    <definedName name="myvalue" localSheetId="54">#REF!</definedName>
    <definedName name="myvalue" localSheetId="55">#REF!</definedName>
    <definedName name="myvalue" localSheetId="52">#REF!</definedName>
    <definedName name="myvalue" localSheetId="51">#REF!</definedName>
    <definedName name="myvalue" localSheetId="53">#REF!</definedName>
    <definedName name="myvalue">#REF!</definedName>
    <definedName name="n" localSheetId="58" hidden="1">{"Minpmon",#N/A,FALSE,"Monthinput"}</definedName>
    <definedName name="n" localSheetId="16" hidden="1">{"Minpmon",#N/A,FALSE,"Monthinput"}</definedName>
    <definedName name="n" localSheetId="61" hidden="1">{"Minpmon",#N/A,FALSE,"Monthinput"}</definedName>
    <definedName name="n" localSheetId="62" hidden="1">{"Minpmon",#N/A,FALSE,"Monthinput"}</definedName>
    <definedName name="n" localSheetId="50">#REF!</definedName>
    <definedName name="n" localSheetId="63" hidden="1">{"Minpmon",#N/A,FALSE,"Monthinput"}</definedName>
    <definedName name="n" localSheetId="15" hidden="1">{"Minpmon",#N/A,FALSE,"Monthinput"}</definedName>
    <definedName name="n" localSheetId="1" hidden="1">{"Minpmon",#N/A,FALSE,"Monthinput"}</definedName>
    <definedName name="n" localSheetId="43" hidden="1">{"Minpmon",#N/A,FALSE,"Monthinput"}</definedName>
    <definedName name="n" localSheetId="29" hidden="1">{"Minpmon",#N/A,FALSE,"Monthinput"}</definedName>
    <definedName name="n" localSheetId="30" hidden="1">{"Minpmon",#N/A,FALSE,"Monthinput"}</definedName>
    <definedName name="n" localSheetId="44">#REF!</definedName>
    <definedName name="n" localSheetId="59" hidden="1">{"Minpmon",#N/A,FALSE,"Monthinput"}</definedName>
    <definedName name="n" localSheetId="13" hidden="1">{"Minpmon",#N/A,FALSE,"Monthinput"}</definedName>
    <definedName name="n" localSheetId="0" hidden="1">{"Minpmon",#N/A,FALSE,"Monthinput"}</definedName>
    <definedName name="n" localSheetId="57" hidden="1">{"Minpmon",#N/A,FALSE,"Monthinput"}</definedName>
    <definedName name="n" localSheetId="56" hidden="1">{"Minpmon",#N/A,FALSE,"Monthinput"}</definedName>
    <definedName name="n" localSheetId="54">#REF!</definedName>
    <definedName name="n" localSheetId="52">#REF!</definedName>
    <definedName name="n" localSheetId="23" hidden="1">{"Minpmon",#N/A,FALSE,"Monthinput"}</definedName>
    <definedName name="n" localSheetId="51">#REF!</definedName>
    <definedName name="n" localSheetId="53">#REF!</definedName>
    <definedName name="n" localSheetId="60" hidden="1">{"Minpmon",#N/A,FALSE,"Monthinput"}</definedName>
    <definedName name="n" hidden="1">{"Minpmon",#N/A,FALSE,"Monthinput"}</definedName>
    <definedName name="name" localSheetId="50">#REF!</definedName>
    <definedName name="name" localSheetId="47">#REF!</definedName>
    <definedName name="name" localSheetId="44">#REF!</definedName>
    <definedName name="name" localSheetId="45">#REF!</definedName>
    <definedName name="name" localSheetId="46">#REF!</definedName>
    <definedName name="name" localSheetId="37">#REF!</definedName>
    <definedName name="name" localSheetId="40">#REF!</definedName>
    <definedName name="name" localSheetId="54">#REF!</definedName>
    <definedName name="name" localSheetId="55">#REF!</definedName>
    <definedName name="name" localSheetId="52">#REF!</definedName>
    <definedName name="name" localSheetId="51">#REF!</definedName>
    <definedName name="name" localSheetId="53">#REF!</definedName>
    <definedName name="name">#REF!</definedName>
    <definedName name="NAMES" localSheetId="34">[73]ARG!#REF!</definedName>
    <definedName name="NAMES" localSheetId="35">[73]ARG!#REF!</definedName>
    <definedName name="NAMES" localSheetId="50">#REF!</definedName>
    <definedName name="NAMES" localSheetId="15">[73]ARG!#REF!</definedName>
    <definedName name="NAMES" localSheetId="29">[73]ARG!#REF!</definedName>
    <definedName name="NAMES" localSheetId="30">[73]ARG!#REF!</definedName>
    <definedName name="NAMES" localSheetId="47">[73]ARG!#REF!</definedName>
    <definedName name="NAMES" localSheetId="44">#REF!</definedName>
    <definedName name="NAMES" localSheetId="45">[73]ARG!#REF!</definedName>
    <definedName name="NAMES" localSheetId="46">[73]ARG!#REF!</definedName>
    <definedName name="NAMES" localSheetId="31">[73]ARG!#REF!</definedName>
    <definedName name="NAMES" localSheetId="32">[73]ARG!#REF!</definedName>
    <definedName name="NAMES" localSheetId="33">[73]ARG!#REF!</definedName>
    <definedName name="NAMES" localSheetId="36">[73]ARG!#REF!</definedName>
    <definedName name="NAMES" localSheetId="37">[73]ARG!#REF!</definedName>
    <definedName name="NAMES" localSheetId="38">[73]ARG!#REF!</definedName>
    <definedName name="NAMES" localSheetId="39">[73]ARG!#REF!</definedName>
    <definedName name="NAMES" localSheetId="40">[73]ARG!#REF!</definedName>
    <definedName name="NAMES" localSheetId="54">#REF!</definedName>
    <definedName name="NAMES" localSheetId="55">[73]ARG!#REF!</definedName>
    <definedName name="NAMES" localSheetId="52">#REF!</definedName>
    <definedName name="NAMES" localSheetId="23">[73]ARG!#REF!</definedName>
    <definedName name="NAMES" localSheetId="51">#REF!</definedName>
    <definedName name="NAMES" localSheetId="53">#REF!</definedName>
    <definedName name="NAMES" localSheetId="20">[73]ARG!#REF!</definedName>
    <definedName name="NAMES">[73]ARG!#REF!</definedName>
    <definedName name="NAMES_A" localSheetId="34">#REF!</definedName>
    <definedName name="NAMES_A" localSheetId="35">#REF!</definedName>
    <definedName name="NAMES_A" localSheetId="50">#REF!</definedName>
    <definedName name="NAMES_A" localSheetId="15">#REF!</definedName>
    <definedName name="NAMES_A" localSheetId="29">#REF!</definedName>
    <definedName name="NAMES_A" localSheetId="30">#REF!</definedName>
    <definedName name="NAMES_A" localSheetId="47">#REF!</definedName>
    <definedName name="NAMES_A" localSheetId="44">#REF!</definedName>
    <definedName name="NAMES_A" localSheetId="45">#REF!</definedName>
    <definedName name="NAMES_A" localSheetId="46">#REF!</definedName>
    <definedName name="NAMES_A" localSheetId="31">#REF!</definedName>
    <definedName name="NAMES_A" localSheetId="32">#REF!</definedName>
    <definedName name="NAMES_A" localSheetId="33">#REF!</definedName>
    <definedName name="NAMES_A" localSheetId="36">#REF!</definedName>
    <definedName name="NAMES_A" localSheetId="37">#REF!</definedName>
    <definedName name="NAMES_A" localSheetId="38">#REF!</definedName>
    <definedName name="NAMES_A" localSheetId="39">#REF!</definedName>
    <definedName name="NAMES_A" localSheetId="40">#REF!</definedName>
    <definedName name="NAMES_A" localSheetId="54">#REF!</definedName>
    <definedName name="NAMES_A" localSheetId="55">#REF!</definedName>
    <definedName name="NAMES_A" localSheetId="52">#REF!</definedName>
    <definedName name="NAMES_A" localSheetId="23">#REF!</definedName>
    <definedName name="NAMES_A" localSheetId="51">#REF!</definedName>
    <definedName name="NAMES_A" localSheetId="53">#REF!</definedName>
    <definedName name="NAMES_A" localSheetId="20">#REF!</definedName>
    <definedName name="NAMES_A">#REF!</definedName>
    <definedName name="Names_Annual" localSheetId="34">#REF!</definedName>
    <definedName name="Names_Annual" localSheetId="35">#REF!</definedName>
    <definedName name="Names_Annual" localSheetId="50">#REF!</definedName>
    <definedName name="Names_Annual" localSheetId="15">#REF!</definedName>
    <definedName name="Names_Annual" localSheetId="29">#REF!</definedName>
    <definedName name="Names_Annual" localSheetId="30">#REF!</definedName>
    <definedName name="Names_Annual" localSheetId="47">#REF!</definedName>
    <definedName name="Names_Annual" localSheetId="44">#REF!</definedName>
    <definedName name="Names_Annual" localSheetId="45">#REF!</definedName>
    <definedName name="Names_Annual" localSheetId="46">#REF!</definedName>
    <definedName name="Names_Annual" localSheetId="31">#REF!</definedName>
    <definedName name="Names_Annual" localSheetId="32">#REF!</definedName>
    <definedName name="Names_Annual" localSheetId="33">#REF!</definedName>
    <definedName name="Names_Annual" localSheetId="36">#REF!</definedName>
    <definedName name="Names_Annual" localSheetId="37">#REF!</definedName>
    <definedName name="Names_Annual" localSheetId="38">#REF!</definedName>
    <definedName name="Names_Annual" localSheetId="39">#REF!</definedName>
    <definedName name="Names_Annual" localSheetId="40">#REF!</definedName>
    <definedName name="Names_Annual" localSheetId="54">#REF!</definedName>
    <definedName name="Names_Annual" localSheetId="55">#REF!</definedName>
    <definedName name="Names_Annual" localSheetId="52">#REF!</definedName>
    <definedName name="Names_Annual" localSheetId="23">#REF!</definedName>
    <definedName name="Names_Annual" localSheetId="51">#REF!</definedName>
    <definedName name="Names_Annual" localSheetId="53">#REF!</definedName>
    <definedName name="Names_Annual" localSheetId="20">#REF!</definedName>
    <definedName name="Names_Annual">#REF!</definedName>
    <definedName name="Names_Monthly" localSheetId="34">#REF!</definedName>
    <definedName name="Names_Monthly" localSheetId="35">#REF!</definedName>
    <definedName name="Names_Monthly" localSheetId="50">#REF!</definedName>
    <definedName name="Names_Monthly" localSheetId="15">#REF!</definedName>
    <definedName name="Names_Monthly" localSheetId="29">#REF!</definedName>
    <definedName name="Names_Monthly" localSheetId="30">#REF!</definedName>
    <definedName name="Names_Monthly" localSheetId="47">#REF!</definedName>
    <definedName name="Names_Monthly" localSheetId="44">#REF!</definedName>
    <definedName name="Names_Monthly" localSheetId="45">#REF!</definedName>
    <definedName name="Names_Monthly" localSheetId="46">#REF!</definedName>
    <definedName name="Names_Monthly" localSheetId="31">#REF!</definedName>
    <definedName name="Names_Monthly" localSheetId="32">#REF!</definedName>
    <definedName name="Names_Monthly" localSheetId="33">#REF!</definedName>
    <definedName name="Names_Monthly" localSheetId="36">#REF!</definedName>
    <definedName name="Names_Monthly" localSheetId="37">#REF!</definedName>
    <definedName name="Names_Monthly" localSheetId="38">#REF!</definedName>
    <definedName name="Names_Monthly" localSheetId="39">#REF!</definedName>
    <definedName name="Names_Monthly" localSheetId="40">#REF!</definedName>
    <definedName name="Names_Monthly" localSheetId="54">#REF!</definedName>
    <definedName name="Names_Monthly" localSheetId="55">#REF!</definedName>
    <definedName name="Names_Monthly" localSheetId="52">#REF!</definedName>
    <definedName name="Names_Monthly" localSheetId="23">#REF!</definedName>
    <definedName name="Names_Monthly" localSheetId="51">#REF!</definedName>
    <definedName name="Names_Monthly" localSheetId="53">#REF!</definedName>
    <definedName name="Names_Monthly" localSheetId="20">#REF!</definedName>
    <definedName name="Names_Monthly">#REF!</definedName>
    <definedName name="names_w" localSheetId="34">#REF!</definedName>
    <definedName name="names_w" localSheetId="35">#REF!</definedName>
    <definedName name="names_w" localSheetId="50">#REF!</definedName>
    <definedName name="names_w" localSheetId="15">#REF!</definedName>
    <definedName name="names_w" localSheetId="29">#REF!</definedName>
    <definedName name="names_w" localSheetId="30">#REF!</definedName>
    <definedName name="names_w" localSheetId="47">#REF!</definedName>
    <definedName name="names_w" localSheetId="44">#REF!</definedName>
    <definedName name="names_w" localSheetId="45">#REF!</definedName>
    <definedName name="names_w" localSheetId="46">#REF!</definedName>
    <definedName name="names_w" localSheetId="31">#REF!</definedName>
    <definedName name="names_w" localSheetId="32">#REF!</definedName>
    <definedName name="names_w" localSheetId="33">#REF!</definedName>
    <definedName name="names_w" localSheetId="36">#REF!</definedName>
    <definedName name="names_w" localSheetId="37">#REF!</definedName>
    <definedName name="names_w" localSheetId="38">#REF!</definedName>
    <definedName name="names_w" localSheetId="39">#REF!</definedName>
    <definedName name="names_w" localSheetId="40">#REF!</definedName>
    <definedName name="names_w" localSheetId="54">#REF!</definedName>
    <definedName name="names_w" localSheetId="55">#REF!</definedName>
    <definedName name="names_w" localSheetId="52">#REF!</definedName>
    <definedName name="names_w" localSheetId="23">#REF!</definedName>
    <definedName name="names_w" localSheetId="51">#REF!</definedName>
    <definedName name="names_w" localSheetId="53">#REF!</definedName>
    <definedName name="names_w" localSheetId="20">#REF!</definedName>
    <definedName name="names_w">#REF!</definedName>
    <definedName name="Names2">[102]Data!$F$1:$F$13</definedName>
    <definedName name="NC_R" localSheetId="34">#REF!</definedName>
    <definedName name="NC_R" localSheetId="35">#REF!</definedName>
    <definedName name="NC_R" localSheetId="50">#REF!</definedName>
    <definedName name="NC_R" localSheetId="15">#REF!</definedName>
    <definedName name="NC_R" localSheetId="29">#REF!</definedName>
    <definedName name="NC_R" localSheetId="30">#REF!</definedName>
    <definedName name="NC_R" localSheetId="47">#REF!</definedName>
    <definedName name="NC_R" localSheetId="44">#REF!</definedName>
    <definedName name="NC_R" localSheetId="45">#REF!</definedName>
    <definedName name="NC_R" localSheetId="46">#REF!</definedName>
    <definedName name="NC_R" localSheetId="31">#REF!</definedName>
    <definedName name="NC_R" localSheetId="32">#REF!</definedName>
    <definedName name="NC_R" localSheetId="33">#REF!</definedName>
    <definedName name="NC_R" localSheetId="36">#REF!</definedName>
    <definedName name="NC_R" localSheetId="37">#REF!</definedName>
    <definedName name="NC_R" localSheetId="38">#REF!</definedName>
    <definedName name="NC_R" localSheetId="39">#REF!</definedName>
    <definedName name="NC_R" localSheetId="40">#REF!</definedName>
    <definedName name="NC_R" localSheetId="54">#REF!</definedName>
    <definedName name="NC_R" localSheetId="55">#REF!</definedName>
    <definedName name="NC_R" localSheetId="52">#REF!</definedName>
    <definedName name="NC_R" localSheetId="23">#REF!</definedName>
    <definedName name="NC_R" localSheetId="51">#REF!</definedName>
    <definedName name="NC_R" localSheetId="53">#REF!</definedName>
    <definedName name="NC_R" localSheetId="20">#REF!</definedName>
    <definedName name="NC_R">#REF!</definedName>
    <definedName name="nccsc">'[121]YTD%'!$A$177</definedName>
    <definedName name="NCG">#N/A</definedName>
    <definedName name="NCG_R" localSheetId="58">#REF!</definedName>
    <definedName name="NCG_R" localSheetId="34">#REF!</definedName>
    <definedName name="NCG_R" localSheetId="35">#REF!</definedName>
    <definedName name="NCG_R" localSheetId="50">#REF!</definedName>
    <definedName name="NCG_R" localSheetId="15">#REF!</definedName>
    <definedName name="NCG_R" localSheetId="27">#REF!</definedName>
    <definedName name="NCG_R" localSheetId="24">#REF!</definedName>
    <definedName name="NCG_R" localSheetId="26">#REF!</definedName>
    <definedName name="NCG_R" localSheetId="29">#REF!</definedName>
    <definedName name="NCG_R" localSheetId="42">#REF!</definedName>
    <definedName name="NCG_R" localSheetId="30">#REF!</definedName>
    <definedName name="NCG_R" localSheetId="47">#REF!</definedName>
    <definedName name="NCG_R" localSheetId="44">#REF!</definedName>
    <definedName name="NCG_R" localSheetId="45">#REF!</definedName>
    <definedName name="NCG_R" localSheetId="46">#REF!</definedName>
    <definedName name="NCG_R" localSheetId="31">#REF!</definedName>
    <definedName name="NCG_R" localSheetId="32">#REF!</definedName>
    <definedName name="NCG_R" localSheetId="33">#REF!</definedName>
    <definedName name="NCG_R" localSheetId="59">#REF!</definedName>
    <definedName name="NCG_R" localSheetId="36">#REF!</definedName>
    <definedName name="NCG_R" localSheetId="37">#REF!</definedName>
    <definedName name="NCG_R" localSheetId="38">#REF!</definedName>
    <definedName name="NCG_R" localSheetId="39">#REF!</definedName>
    <definedName name="NCG_R" localSheetId="40">#REF!</definedName>
    <definedName name="NCG_R" localSheetId="25">#REF!</definedName>
    <definedName name="NCG_R" localSheetId="54">#REF!</definedName>
    <definedName name="NCG_R" localSheetId="55">#REF!</definedName>
    <definedName name="NCG_R" localSheetId="52">#REF!</definedName>
    <definedName name="NCG_R" localSheetId="23">#REF!</definedName>
    <definedName name="NCG_R" localSheetId="51">#REF!</definedName>
    <definedName name="NCG_R" localSheetId="12">#REF!</definedName>
    <definedName name="NCG_R" localSheetId="53">#REF!</definedName>
    <definedName name="NCG_R" localSheetId="49">#REF!</definedName>
    <definedName name="NCG_R" localSheetId="60">#REF!</definedName>
    <definedName name="NCG_R" localSheetId="20">#REF!</definedName>
    <definedName name="NCG_R">#REF!</definedName>
    <definedName name="NCP">#N/A</definedName>
    <definedName name="NCP_R" localSheetId="34">#REF!</definedName>
    <definedName name="NCP_R" localSheetId="35">#REF!</definedName>
    <definedName name="NCP_R" localSheetId="50">#REF!</definedName>
    <definedName name="NCP_R" localSheetId="15">#REF!</definedName>
    <definedName name="NCP_R" localSheetId="27">#REF!</definedName>
    <definedName name="NCP_R" localSheetId="24">#REF!</definedName>
    <definedName name="NCP_R" localSheetId="26">#REF!</definedName>
    <definedName name="NCP_R" localSheetId="29">#REF!</definedName>
    <definedName name="NCP_R" localSheetId="30">#REF!</definedName>
    <definedName name="NCP_R" localSheetId="47">#REF!</definedName>
    <definedName name="NCP_R" localSheetId="44">#REF!</definedName>
    <definedName name="NCP_R" localSheetId="45">#REF!</definedName>
    <definedName name="NCP_R" localSheetId="46">#REF!</definedName>
    <definedName name="NCP_R" localSheetId="31">#REF!</definedName>
    <definedName name="NCP_R" localSheetId="32">#REF!</definedName>
    <definedName name="NCP_R" localSheetId="33">#REF!</definedName>
    <definedName name="NCP_R" localSheetId="36">#REF!</definedName>
    <definedName name="NCP_R" localSheetId="37">#REF!</definedName>
    <definedName name="NCP_R" localSheetId="38">#REF!</definedName>
    <definedName name="NCP_R" localSheetId="39">#REF!</definedName>
    <definedName name="NCP_R" localSheetId="40">#REF!</definedName>
    <definedName name="NCP_R" localSheetId="25">#REF!</definedName>
    <definedName name="NCP_R" localSheetId="54">#REF!</definedName>
    <definedName name="NCP_R" localSheetId="55">#REF!</definedName>
    <definedName name="NCP_R" localSheetId="52">#REF!</definedName>
    <definedName name="NCP_R" localSheetId="23">#REF!</definedName>
    <definedName name="NCP_R" localSheetId="51">#REF!</definedName>
    <definedName name="NCP_R" localSheetId="12">#REF!</definedName>
    <definedName name="NCP_R" localSheetId="53">#REF!</definedName>
    <definedName name="NCP_R" localSheetId="49">#REF!</definedName>
    <definedName name="NCP_R" localSheetId="20">#REF!</definedName>
    <definedName name="NCP_R">#REF!</definedName>
    <definedName name="NDelivery_Role">[41]Roles!$B$2:$B$263</definedName>
    <definedName name="NE" localSheetId="34">#REF!</definedName>
    <definedName name="NE" localSheetId="35">#REF!</definedName>
    <definedName name="NE" localSheetId="50">#REF!</definedName>
    <definedName name="NE" localSheetId="15">#REF!</definedName>
    <definedName name="NE" localSheetId="29">#REF!</definedName>
    <definedName name="NE" localSheetId="30">#REF!</definedName>
    <definedName name="NE" localSheetId="47">#REF!</definedName>
    <definedName name="NE" localSheetId="44">#REF!</definedName>
    <definedName name="NE" localSheetId="45">#REF!</definedName>
    <definedName name="NE" localSheetId="46">#REF!</definedName>
    <definedName name="NE" localSheetId="31">#REF!</definedName>
    <definedName name="NE" localSheetId="32">#REF!</definedName>
    <definedName name="NE" localSheetId="33">#REF!</definedName>
    <definedName name="NE" localSheetId="36">#REF!</definedName>
    <definedName name="NE" localSheetId="37">#REF!</definedName>
    <definedName name="NE" localSheetId="38">#REF!</definedName>
    <definedName name="NE" localSheetId="39">#REF!</definedName>
    <definedName name="NE" localSheetId="40">#REF!</definedName>
    <definedName name="NE" localSheetId="54">#REF!</definedName>
    <definedName name="NE" localSheetId="55">#REF!</definedName>
    <definedName name="NE" localSheetId="52">#REF!</definedName>
    <definedName name="NE" localSheetId="23">#REF!</definedName>
    <definedName name="NE" localSheetId="51">#REF!</definedName>
    <definedName name="NE" localSheetId="53">#REF!</definedName>
    <definedName name="NE" localSheetId="20">#REF!</definedName>
    <definedName name="NE">#REF!</definedName>
    <definedName name="NEperc" localSheetId="34">#REF!</definedName>
    <definedName name="NEperc" localSheetId="35">#REF!</definedName>
    <definedName name="NEperc" localSheetId="50">#REF!</definedName>
    <definedName name="NEperc" localSheetId="15">#REF!</definedName>
    <definedName name="NEperc" localSheetId="29">#REF!</definedName>
    <definedName name="NEperc" localSheetId="30">#REF!</definedName>
    <definedName name="NEperc" localSheetId="47">#REF!</definedName>
    <definedName name="NEperc" localSheetId="44">#REF!</definedName>
    <definedName name="NEperc" localSheetId="45">#REF!</definedName>
    <definedName name="NEperc" localSheetId="46">#REF!</definedName>
    <definedName name="NEperc" localSheetId="31">#REF!</definedName>
    <definedName name="NEperc" localSheetId="32">#REF!</definedName>
    <definedName name="NEperc" localSheetId="33">#REF!</definedName>
    <definedName name="NEperc" localSheetId="36">#REF!</definedName>
    <definedName name="NEperc" localSheetId="37">#REF!</definedName>
    <definedName name="NEperc" localSheetId="38">#REF!</definedName>
    <definedName name="NEperc" localSheetId="39">#REF!</definedName>
    <definedName name="NEperc" localSheetId="40">#REF!</definedName>
    <definedName name="NEperc" localSheetId="54">#REF!</definedName>
    <definedName name="NEperc" localSheetId="55">#REF!</definedName>
    <definedName name="NEperc" localSheetId="52">#REF!</definedName>
    <definedName name="NEperc" localSheetId="23">#REF!</definedName>
    <definedName name="NEperc" localSheetId="51">#REF!</definedName>
    <definedName name="NEperc" localSheetId="53">#REF!</definedName>
    <definedName name="NEperc" localSheetId="20">#REF!</definedName>
    <definedName name="NEperc">#REF!</definedName>
    <definedName name="Net_Monthly_Capacity" localSheetId="50">#REF!</definedName>
    <definedName name="Net_Monthly_Capacity" localSheetId="47">#REF!</definedName>
    <definedName name="Net_Monthly_Capacity" localSheetId="44">#REF!</definedName>
    <definedName name="Net_Monthly_Capacity" localSheetId="45">#REF!</definedName>
    <definedName name="Net_Monthly_Capacity" localSheetId="46">#REF!</definedName>
    <definedName name="Net_Monthly_Capacity" localSheetId="37">#REF!</definedName>
    <definedName name="Net_Monthly_Capacity" localSheetId="40">#REF!</definedName>
    <definedName name="Net_Monthly_Capacity" localSheetId="54">#REF!</definedName>
    <definedName name="Net_Monthly_Capacity" localSheetId="55">#REF!</definedName>
    <definedName name="Net_Monthly_Capacity" localSheetId="52">#REF!</definedName>
    <definedName name="Net_Monthly_Capacity" localSheetId="51">#REF!</definedName>
    <definedName name="Net_Monthly_Capacity" localSheetId="53">#REF!</definedName>
    <definedName name="Net_Monthly_Capacity">#REF!</definedName>
    <definedName name="new" localSheetId="34">'[122]Public Debt; holder &amp; Terms'!#REF!</definedName>
    <definedName name="new" localSheetId="35">'[122]Public Debt; holder &amp; Terms'!#REF!</definedName>
    <definedName name="new" localSheetId="50" hidden="1">{"TBILLS_ALL",#N/A,FALSE,"FITB_all"}</definedName>
    <definedName name="new" localSheetId="15">'[122]Public Debt; holder &amp; Terms'!#REF!</definedName>
    <definedName name="new" localSheetId="29">'[122]Public Debt; holder &amp; Terms'!#REF!</definedName>
    <definedName name="new" localSheetId="30">'[122]Public Debt; holder &amp; Terms'!#REF!</definedName>
    <definedName name="new" localSheetId="47">'[122]Public Debt; holder &amp; Terms'!#REF!</definedName>
    <definedName name="new" localSheetId="44" hidden="1">{"TBILLS_ALL",#N/A,FALSE,"FITB_all"}</definedName>
    <definedName name="new" localSheetId="45">'[122]Public Debt; holder &amp; Terms'!#REF!</definedName>
    <definedName name="new" localSheetId="46">'[122]Public Debt; holder &amp; Terms'!#REF!</definedName>
    <definedName name="new" localSheetId="31">'[122]Public Debt; holder &amp; Terms'!#REF!</definedName>
    <definedName name="new" localSheetId="32">'[122]Public Debt; holder &amp; Terms'!#REF!</definedName>
    <definedName name="new" localSheetId="33">'[122]Public Debt; holder &amp; Terms'!#REF!</definedName>
    <definedName name="new" localSheetId="36">'[122]Public Debt; holder &amp; Terms'!#REF!</definedName>
    <definedName name="new" localSheetId="37">'[122]Public Debt; holder &amp; Terms'!#REF!</definedName>
    <definedName name="new" localSheetId="38">'[122]Public Debt; holder &amp; Terms'!#REF!</definedName>
    <definedName name="new" localSheetId="39">'[122]Public Debt; holder &amp; Terms'!#REF!</definedName>
    <definedName name="new" localSheetId="40">'[122]Public Debt; holder &amp; Terms'!#REF!</definedName>
    <definedName name="new" localSheetId="54" hidden="1">{"TBILLS_ALL",#N/A,FALSE,"FITB_all"}</definedName>
    <definedName name="new" localSheetId="55">'[122]Public Debt; holder &amp; Terms'!#REF!</definedName>
    <definedName name="new" localSheetId="52" hidden="1">{"TBILLS_ALL",#N/A,FALSE,"FITB_all"}</definedName>
    <definedName name="new" localSheetId="23">'[122]Public Debt; holder &amp; Terms'!#REF!</definedName>
    <definedName name="new" localSheetId="51" hidden="1">{"TBILLS_ALL",#N/A,FALSE,"FITB_all"}</definedName>
    <definedName name="new" localSheetId="53" hidden="1">{"TBILLS_ALL",#N/A,FALSE,"FITB_all"}</definedName>
    <definedName name="new" localSheetId="20">'[122]Public Debt; holder &amp; Terms'!#REF!</definedName>
    <definedName name="new">'[122]Public Debt; holder &amp; Terms'!#REF!</definedName>
    <definedName name="NewModified" localSheetId="50">#REF!</definedName>
    <definedName name="NewModified" localSheetId="47">#REF!</definedName>
    <definedName name="NewModified" localSheetId="44">#REF!</definedName>
    <definedName name="NewModified" localSheetId="45">#REF!</definedName>
    <definedName name="NewModified" localSheetId="46">#REF!</definedName>
    <definedName name="NewModified" localSheetId="37">#REF!</definedName>
    <definedName name="NewModified" localSheetId="40">#REF!</definedName>
    <definedName name="NewModified" localSheetId="54">#REF!</definedName>
    <definedName name="NewModified" localSheetId="55">#REF!</definedName>
    <definedName name="NewModified" localSheetId="52">#REF!</definedName>
    <definedName name="NewModified" localSheetId="51">#REF!</definedName>
    <definedName name="NewModified" localSheetId="53">#REF!</definedName>
    <definedName name="NewModified">#REF!</definedName>
    <definedName name="newname" localSheetId="50" hidden="1">#REF!</definedName>
    <definedName name="newname" localSheetId="47" hidden="1">#REF!</definedName>
    <definedName name="newname" localSheetId="44" hidden="1">#REF!</definedName>
    <definedName name="newname" localSheetId="45" hidden="1">#REF!</definedName>
    <definedName name="newname" localSheetId="46" hidden="1">#REF!</definedName>
    <definedName name="newname" localSheetId="37" hidden="1">#REF!</definedName>
    <definedName name="newname" localSheetId="40" hidden="1">#REF!</definedName>
    <definedName name="newname" localSheetId="54" hidden="1">#REF!</definedName>
    <definedName name="newname" localSheetId="55" hidden="1">#REF!</definedName>
    <definedName name="newname" localSheetId="52" hidden="1">#REF!</definedName>
    <definedName name="newname" localSheetId="51" hidden="1">#REF!</definedName>
    <definedName name="newname" localSheetId="53" hidden="1">#REF!</definedName>
    <definedName name="newname" hidden="1">#REF!</definedName>
    <definedName name="newnew" localSheetId="58" hidden="1">{"TBILLS_ALL",#N/A,FALSE,"FITB_all"}</definedName>
    <definedName name="newnew" localSheetId="16" hidden="1">{"TBILLS_ALL",#N/A,FALSE,"FITB_all"}</definedName>
    <definedName name="newnew" localSheetId="50" hidden="1">{"TBILLS_ALL",#N/A,FALSE,"FITB_all"}</definedName>
    <definedName name="newnew" localSheetId="44" hidden="1">{"TBILLS_ALL",#N/A,FALSE,"FITB_all"}</definedName>
    <definedName name="newnew" localSheetId="59" hidden="1">{"TBILLS_ALL",#N/A,FALSE,"FITB_all"}</definedName>
    <definedName name="newnew" localSheetId="57" hidden="1">{"TBILLS_ALL",#N/A,FALSE,"FITB_all"}</definedName>
    <definedName name="newnew" localSheetId="56" hidden="1">{"TBILLS_ALL",#N/A,FALSE,"FITB_all"}</definedName>
    <definedName name="newnew" localSheetId="54" hidden="1">{"TBILLS_ALL",#N/A,FALSE,"FITB_all"}</definedName>
    <definedName name="newnew" localSheetId="52" hidden="1">{"TBILLS_ALL",#N/A,FALSE,"FITB_all"}</definedName>
    <definedName name="newnew" localSheetId="51" hidden="1">{"TBILLS_ALL",#N/A,FALSE,"FITB_all"}</definedName>
    <definedName name="newnew" localSheetId="60" hidden="1">{"TBILLS_ALL",#N/A,FALSE,"FITB_all"}</definedName>
    <definedName name="newnew" hidden="1">{"TBILLS_ALL",#N/A,FALSE,"FITB_all"}</definedName>
    <definedName name="NEWSHEET" localSheetId="50">#REF!</definedName>
    <definedName name="NEWSHEET" localSheetId="47">#REF!</definedName>
    <definedName name="NEWSHEET" localSheetId="44">#REF!</definedName>
    <definedName name="NEWSHEET" localSheetId="45">#REF!</definedName>
    <definedName name="NEWSHEET" localSheetId="46">#REF!</definedName>
    <definedName name="NEWSHEET" localSheetId="37">#REF!</definedName>
    <definedName name="NEWSHEET" localSheetId="40">#REF!</definedName>
    <definedName name="NEWSHEET" localSheetId="54">#REF!</definedName>
    <definedName name="NEWSHEET" localSheetId="55">#REF!</definedName>
    <definedName name="NEWSHEET" localSheetId="52">#REF!</definedName>
    <definedName name="NEWSHEET" localSheetId="51">#REF!</definedName>
    <definedName name="NEWSHEET" localSheetId="53">#REF!</definedName>
    <definedName name="NEWSHEET">#REF!</definedName>
    <definedName name="NFA_J98" localSheetId="50">#REF!</definedName>
    <definedName name="NFA_J98" localSheetId="47">#REF!</definedName>
    <definedName name="NFA_J98" localSheetId="44">#REF!</definedName>
    <definedName name="NFA_J98" localSheetId="45">#REF!</definedName>
    <definedName name="NFA_J98" localSheetId="46">#REF!</definedName>
    <definedName name="NFA_J98" localSheetId="37">#REF!</definedName>
    <definedName name="NFA_J98" localSheetId="40">#REF!</definedName>
    <definedName name="NFA_J98" localSheetId="54">#REF!</definedName>
    <definedName name="NFA_J98" localSheetId="55">#REF!</definedName>
    <definedName name="NFA_J98" localSheetId="52">#REF!</definedName>
    <definedName name="NFA_J98" localSheetId="51">#REF!</definedName>
    <definedName name="NFA_J98" localSheetId="53">#REF!</definedName>
    <definedName name="NFA_J98">#REF!</definedName>
    <definedName name="NFB_R" localSheetId="34">#REF!</definedName>
    <definedName name="NFB_R" localSheetId="35">#REF!</definedName>
    <definedName name="NFB_R" localSheetId="50">#REF!</definedName>
    <definedName name="NFB_R" localSheetId="15">#REF!</definedName>
    <definedName name="NFB_R" localSheetId="29">#REF!</definedName>
    <definedName name="NFB_R" localSheetId="30">#REF!</definedName>
    <definedName name="NFB_R" localSheetId="47">#REF!</definedName>
    <definedName name="NFB_R" localSheetId="44">#REF!</definedName>
    <definedName name="NFB_R" localSheetId="45">#REF!</definedName>
    <definedName name="NFB_R" localSheetId="46">#REF!</definedName>
    <definedName name="NFB_R" localSheetId="31">#REF!</definedName>
    <definedName name="NFB_R" localSheetId="32">#REF!</definedName>
    <definedName name="NFB_R" localSheetId="33">#REF!</definedName>
    <definedName name="NFB_R" localSheetId="36">#REF!</definedName>
    <definedName name="NFB_R" localSheetId="37">#REF!</definedName>
    <definedName name="NFB_R" localSheetId="38">#REF!</definedName>
    <definedName name="NFB_R" localSheetId="39">#REF!</definedName>
    <definedName name="NFB_R" localSheetId="40">#REF!</definedName>
    <definedName name="NFB_R" localSheetId="54">#REF!</definedName>
    <definedName name="NFB_R" localSheetId="55">#REF!</definedName>
    <definedName name="NFB_R" localSheetId="52">#REF!</definedName>
    <definedName name="NFB_R" localSheetId="23">#REF!</definedName>
    <definedName name="NFB_R" localSheetId="51">#REF!</definedName>
    <definedName name="NFB_R" localSheetId="53">#REF!</definedName>
    <definedName name="NFB_R" localSheetId="20">#REF!</definedName>
    <definedName name="NFB_R">#REF!</definedName>
    <definedName name="NFB_R_GDP" localSheetId="34">#REF!</definedName>
    <definedName name="NFB_R_GDP" localSheetId="35">#REF!</definedName>
    <definedName name="NFB_R_GDP" localSheetId="50">#REF!</definedName>
    <definedName name="NFB_R_GDP" localSheetId="15">#REF!</definedName>
    <definedName name="NFB_R_GDP" localSheetId="29">#REF!</definedName>
    <definedName name="NFB_R_GDP" localSheetId="30">#REF!</definedName>
    <definedName name="NFB_R_GDP" localSheetId="47">#REF!</definedName>
    <definedName name="NFB_R_GDP" localSheetId="44">#REF!</definedName>
    <definedName name="NFB_R_GDP" localSheetId="45">#REF!</definedName>
    <definedName name="NFB_R_GDP" localSheetId="46">#REF!</definedName>
    <definedName name="NFB_R_GDP" localSheetId="31">#REF!</definedName>
    <definedName name="NFB_R_GDP" localSheetId="32">#REF!</definedName>
    <definedName name="NFB_R_GDP" localSheetId="33">#REF!</definedName>
    <definedName name="NFB_R_GDP" localSheetId="36">#REF!</definedName>
    <definedName name="NFB_R_GDP" localSheetId="37">#REF!</definedName>
    <definedName name="NFB_R_GDP" localSheetId="38">#REF!</definedName>
    <definedName name="NFB_R_GDP" localSheetId="39">#REF!</definedName>
    <definedName name="NFB_R_GDP" localSheetId="40">#REF!</definedName>
    <definedName name="NFB_R_GDP" localSheetId="54">#REF!</definedName>
    <definedName name="NFB_R_GDP" localSheetId="55">#REF!</definedName>
    <definedName name="NFB_R_GDP" localSheetId="52">#REF!</definedName>
    <definedName name="NFB_R_GDP" localSheetId="23">#REF!</definedName>
    <definedName name="NFB_R_GDP" localSheetId="51">#REF!</definedName>
    <definedName name="NFB_R_GDP" localSheetId="53">#REF!</definedName>
    <definedName name="NFB_R_GDP" localSheetId="20">#REF!</definedName>
    <definedName name="NFB_R_GDP">#REF!</definedName>
    <definedName name="NFI">#N/A</definedName>
    <definedName name="NFI_R" localSheetId="34">#REF!</definedName>
    <definedName name="NFI_R" localSheetId="35">#REF!</definedName>
    <definedName name="NFI_R" localSheetId="50">#REF!</definedName>
    <definedName name="NFI_R" localSheetId="15">#REF!</definedName>
    <definedName name="NFI_R" localSheetId="27">#REF!</definedName>
    <definedName name="NFI_R" localSheetId="24">#REF!</definedName>
    <definedName name="NFI_R" localSheetId="26">#REF!</definedName>
    <definedName name="NFI_R" localSheetId="29">#REF!</definedName>
    <definedName name="NFI_R" localSheetId="30">#REF!</definedName>
    <definedName name="NFI_R" localSheetId="47">#REF!</definedName>
    <definedName name="NFI_R" localSheetId="44">#REF!</definedName>
    <definedName name="NFI_R" localSheetId="45">#REF!</definedName>
    <definedName name="NFI_R" localSheetId="46">#REF!</definedName>
    <definedName name="NFI_R" localSheetId="31">#REF!</definedName>
    <definedName name="NFI_R" localSheetId="32">#REF!</definedName>
    <definedName name="NFI_R" localSheetId="33">#REF!</definedName>
    <definedName name="NFI_R" localSheetId="36">#REF!</definedName>
    <definedName name="NFI_R" localSheetId="37">#REF!</definedName>
    <definedName name="NFI_R" localSheetId="38">#REF!</definedName>
    <definedName name="NFI_R" localSheetId="39">#REF!</definedName>
    <definedName name="NFI_R" localSheetId="40">#REF!</definedName>
    <definedName name="NFI_R" localSheetId="25">#REF!</definedName>
    <definedName name="NFI_R" localSheetId="54">#REF!</definedName>
    <definedName name="NFI_R" localSheetId="55">#REF!</definedName>
    <definedName name="NFI_R" localSheetId="52">#REF!</definedName>
    <definedName name="NFI_R" localSheetId="23">#REF!</definedName>
    <definedName name="NFI_R" localSheetId="51">#REF!</definedName>
    <definedName name="NFI_R" localSheetId="12">#REF!</definedName>
    <definedName name="NFI_R" localSheetId="53">#REF!</definedName>
    <definedName name="NFI_R" localSheetId="49">#REF!</definedName>
    <definedName name="NFI_R" localSheetId="20">#REF!</definedName>
    <definedName name="NFI_R">#REF!</definedName>
    <definedName name="NFIG" localSheetId="34">#REF!</definedName>
    <definedName name="NFIG" localSheetId="35">#REF!</definedName>
    <definedName name="NFIG" localSheetId="50">#REF!</definedName>
    <definedName name="NFIG" localSheetId="15">#REF!</definedName>
    <definedName name="NFIG" localSheetId="29">#REF!</definedName>
    <definedName name="NFIG" localSheetId="30">#REF!</definedName>
    <definedName name="NFIG" localSheetId="47">#REF!</definedName>
    <definedName name="NFIG" localSheetId="44">#REF!</definedName>
    <definedName name="NFIG" localSheetId="45">#REF!</definedName>
    <definedName name="NFIG" localSheetId="46">#REF!</definedName>
    <definedName name="NFIG" localSheetId="31">#REF!</definedName>
    <definedName name="NFIG" localSheetId="32">#REF!</definedName>
    <definedName name="NFIG" localSheetId="33">#REF!</definedName>
    <definedName name="NFIG" localSheetId="36">#REF!</definedName>
    <definedName name="NFIG" localSheetId="37">#REF!</definedName>
    <definedName name="NFIG" localSheetId="38">#REF!</definedName>
    <definedName name="NFIG" localSheetId="39">#REF!</definedName>
    <definedName name="NFIG" localSheetId="40">#REF!</definedName>
    <definedName name="NFIG" localSheetId="54">#REF!</definedName>
    <definedName name="NFIG" localSheetId="55">#REF!</definedName>
    <definedName name="NFIG" localSheetId="52">#REF!</definedName>
    <definedName name="NFIG" localSheetId="23">#REF!</definedName>
    <definedName name="NFIG" localSheetId="51">#REF!</definedName>
    <definedName name="NFIG" localSheetId="53">#REF!</definedName>
    <definedName name="NFIG" localSheetId="20">#REF!</definedName>
    <definedName name="NFIG">#REF!</definedName>
    <definedName name="NGDP" localSheetId="50">[117]Q2!$E$54:$AH$54</definedName>
    <definedName name="NGDP" localSheetId="44">[117]Q2!$E$54:$AH$54</definedName>
    <definedName name="NGDP" localSheetId="54">[117]Q2!$E$54:$AH$54</definedName>
    <definedName name="NGDP" localSheetId="52">[117]Q2!$E$54:$AH$54</definedName>
    <definedName name="NGDP" localSheetId="51">[117]Q2!$E$54:$AH$54</definedName>
    <definedName name="NGDP" localSheetId="53">[117]Q2!$E$54:$AH$54</definedName>
    <definedName name="NGDP">[118]Q2!$E$54:$AH$54</definedName>
    <definedName name="NGDP_DG">#N/A</definedName>
    <definedName name="NGDP_R" localSheetId="58">#REF!</definedName>
    <definedName name="NGDP_R" localSheetId="34">#REF!</definedName>
    <definedName name="NGDP_R" localSheetId="35">#REF!</definedName>
    <definedName name="NGDP_R" localSheetId="50">#REF!</definedName>
    <definedName name="NGDP_R" localSheetId="15">#REF!</definedName>
    <definedName name="NGDP_R" localSheetId="27">#REF!</definedName>
    <definedName name="NGDP_R" localSheetId="24">#REF!</definedName>
    <definedName name="NGDP_R" localSheetId="26">#REF!</definedName>
    <definedName name="NGDP_R" localSheetId="29">#REF!</definedName>
    <definedName name="NGDP_R" localSheetId="42">#REF!</definedName>
    <definedName name="NGDP_R" localSheetId="30">#REF!</definedName>
    <definedName name="NGDP_R" localSheetId="47">#REF!</definedName>
    <definedName name="NGDP_R" localSheetId="44">#REF!</definedName>
    <definedName name="NGDP_R" localSheetId="45">#REF!</definedName>
    <definedName name="NGDP_R" localSheetId="46">#REF!</definedName>
    <definedName name="NGDP_R" localSheetId="31">#REF!</definedName>
    <definedName name="NGDP_R" localSheetId="32">#REF!</definedName>
    <definedName name="NGDP_R" localSheetId="33">#REF!</definedName>
    <definedName name="NGDP_R" localSheetId="59">#REF!</definedName>
    <definedName name="NGDP_R" localSheetId="36">#REF!</definedName>
    <definedName name="NGDP_R" localSheetId="37">#REF!</definedName>
    <definedName name="NGDP_R" localSheetId="38">#REF!</definedName>
    <definedName name="NGDP_R" localSheetId="39">#REF!</definedName>
    <definedName name="NGDP_R" localSheetId="40">#REF!</definedName>
    <definedName name="NGDP_R" localSheetId="25">#REF!</definedName>
    <definedName name="NGDP_R" localSheetId="54">#REF!</definedName>
    <definedName name="NGDP_R" localSheetId="55">#REF!</definedName>
    <definedName name="NGDP_R" localSheetId="52">#REF!</definedName>
    <definedName name="NGDP_R" localSheetId="23">#REF!</definedName>
    <definedName name="NGDP_R" localSheetId="51">#REF!</definedName>
    <definedName name="NGDP_R" localSheetId="12">#REF!</definedName>
    <definedName name="NGDP_R" localSheetId="53">#REF!</definedName>
    <definedName name="NGDP_R" localSheetId="49">#REF!</definedName>
    <definedName name="NGDP_R" localSheetId="60">#REF!</definedName>
    <definedName name="NGDP_R" localSheetId="20">#REF!</definedName>
    <definedName name="NGDP_R">#REF!</definedName>
    <definedName name="NGDP_RG" localSheetId="34">#REF!</definedName>
    <definedName name="NGDP_RG" localSheetId="35">#REF!</definedName>
    <definedName name="NGDP_RG" localSheetId="50">#N/A</definedName>
    <definedName name="NGDP_RG" localSheetId="15">#REF!</definedName>
    <definedName name="NGDP_RG" localSheetId="29">#REF!</definedName>
    <definedName name="NGDP_RG" localSheetId="30">#REF!</definedName>
    <definedName name="NGDP_RG" localSheetId="47">#REF!</definedName>
    <definedName name="NGDP_RG" localSheetId="44">#N/A</definedName>
    <definedName name="NGDP_RG" localSheetId="45">#REF!</definedName>
    <definedName name="NGDP_RG" localSheetId="46">#REF!</definedName>
    <definedName name="NGDP_RG" localSheetId="31">#REF!</definedName>
    <definedName name="NGDP_RG" localSheetId="32">#REF!</definedName>
    <definedName name="NGDP_RG" localSheetId="33">#REF!</definedName>
    <definedName name="NGDP_RG" localSheetId="36">#REF!</definedName>
    <definedName name="NGDP_RG" localSheetId="37">#REF!</definedName>
    <definedName name="NGDP_RG" localSheetId="38">#REF!</definedName>
    <definedName name="NGDP_RG" localSheetId="39">#REF!</definedName>
    <definedName name="NGDP_RG" localSheetId="40">#REF!</definedName>
    <definedName name="NGDP_RG" localSheetId="54">#N/A</definedName>
    <definedName name="NGDP_RG" localSheetId="55">#REF!</definedName>
    <definedName name="NGDP_RG" localSheetId="52">#N/A</definedName>
    <definedName name="NGDP_RG" localSheetId="23">#REF!</definedName>
    <definedName name="NGDP_RG" localSheetId="51">#N/A</definedName>
    <definedName name="NGDP_RG" localSheetId="53">#N/A</definedName>
    <definedName name="NGDP_RG" localSheetId="20">#REF!</definedName>
    <definedName name="NGDP_RG">#REF!</definedName>
    <definedName name="NGDPA" localSheetId="34">#REF!</definedName>
    <definedName name="NGDPA" localSheetId="35">#REF!</definedName>
    <definedName name="NGDPA" localSheetId="50">#REF!</definedName>
    <definedName name="NGDPA" localSheetId="15">#REF!</definedName>
    <definedName name="NGDPA" localSheetId="29">#REF!</definedName>
    <definedName name="NGDPA" localSheetId="30">#REF!</definedName>
    <definedName name="NGDPA" localSheetId="47">#REF!</definedName>
    <definedName name="NGDPA" localSheetId="44">#REF!</definedName>
    <definedName name="NGDPA" localSheetId="45">#REF!</definedName>
    <definedName name="NGDPA" localSheetId="46">#REF!</definedName>
    <definedName name="NGDPA" localSheetId="31">#REF!</definedName>
    <definedName name="NGDPA" localSheetId="32">#REF!</definedName>
    <definedName name="NGDPA" localSheetId="33">#REF!</definedName>
    <definedName name="NGDPA" localSheetId="36">#REF!</definedName>
    <definedName name="NGDPA" localSheetId="37">#REF!</definedName>
    <definedName name="NGDPA" localSheetId="38">#REF!</definedName>
    <definedName name="NGDPA" localSheetId="39">#REF!</definedName>
    <definedName name="NGDPA" localSheetId="40">#REF!</definedName>
    <definedName name="NGDPA" localSheetId="54">#REF!</definedName>
    <definedName name="NGDPA" localSheetId="55">#REF!</definedName>
    <definedName name="NGDPA" localSheetId="52">#REF!</definedName>
    <definedName name="NGDPA" localSheetId="23">#REF!</definedName>
    <definedName name="NGDPA" localSheetId="51">#REF!</definedName>
    <definedName name="NGDPA" localSheetId="53">#REF!</definedName>
    <definedName name="NGDPA" localSheetId="20">#REF!</definedName>
    <definedName name="NGDPA">#REF!</definedName>
    <definedName name="NGS" localSheetId="34">#REF!</definedName>
    <definedName name="NGS" localSheetId="35">#REF!</definedName>
    <definedName name="NGS" localSheetId="50">#REF!</definedName>
    <definedName name="NGS" localSheetId="15">#REF!</definedName>
    <definedName name="NGS" localSheetId="29">#REF!</definedName>
    <definedName name="NGS" localSheetId="30">#REF!</definedName>
    <definedName name="NGS" localSheetId="47">#REF!</definedName>
    <definedName name="NGS" localSheetId="44">#REF!</definedName>
    <definedName name="NGS" localSheetId="45">#REF!</definedName>
    <definedName name="NGS" localSheetId="46">#REF!</definedName>
    <definedName name="NGS" localSheetId="31">#REF!</definedName>
    <definedName name="NGS" localSheetId="32">#REF!</definedName>
    <definedName name="NGS" localSheetId="33">#REF!</definedName>
    <definedName name="NGS" localSheetId="36">#REF!</definedName>
    <definedName name="NGS" localSheetId="37">#REF!</definedName>
    <definedName name="NGS" localSheetId="38">#REF!</definedName>
    <definedName name="NGS" localSheetId="39">#REF!</definedName>
    <definedName name="NGS" localSheetId="40">#REF!</definedName>
    <definedName name="NGS" localSheetId="54">#REF!</definedName>
    <definedName name="NGS" localSheetId="55">#REF!</definedName>
    <definedName name="NGS" localSheetId="52">#REF!</definedName>
    <definedName name="NGS" localSheetId="23">#REF!</definedName>
    <definedName name="NGS" localSheetId="51">#REF!</definedName>
    <definedName name="NGS" localSheetId="53">#REF!</definedName>
    <definedName name="NGS" localSheetId="20">#REF!</definedName>
    <definedName name="NGS">#REF!</definedName>
    <definedName name="NGS_NGDP">#N/A</definedName>
    <definedName name="NGSG" localSheetId="34">#REF!</definedName>
    <definedName name="NGSG" localSheetId="35">#REF!</definedName>
    <definedName name="NGSG" localSheetId="50">#REF!</definedName>
    <definedName name="NGSG" localSheetId="15">#REF!</definedName>
    <definedName name="NGSG" localSheetId="29">#REF!</definedName>
    <definedName name="NGSG" localSheetId="30">#REF!</definedName>
    <definedName name="NGSG" localSheetId="47">#REF!</definedName>
    <definedName name="NGSG" localSheetId="44">#REF!</definedName>
    <definedName name="NGSG" localSheetId="45">#REF!</definedName>
    <definedName name="NGSG" localSheetId="46">#REF!</definedName>
    <definedName name="NGSG" localSheetId="31">#REF!</definedName>
    <definedName name="NGSG" localSheetId="32">#REF!</definedName>
    <definedName name="NGSG" localSheetId="33">#REF!</definedName>
    <definedName name="NGSG" localSheetId="36">#REF!</definedName>
    <definedName name="NGSG" localSheetId="37">#REF!</definedName>
    <definedName name="NGSG" localSheetId="38">#REF!</definedName>
    <definedName name="NGSG" localSheetId="39">#REF!</definedName>
    <definedName name="NGSG" localSheetId="40">#REF!</definedName>
    <definedName name="NGSG" localSheetId="54">#REF!</definedName>
    <definedName name="NGSG" localSheetId="55">#REF!</definedName>
    <definedName name="NGSG" localSheetId="52">#REF!</definedName>
    <definedName name="NGSG" localSheetId="23">#REF!</definedName>
    <definedName name="NGSG" localSheetId="51">#REF!</definedName>
    <definedName name="NGSG" localSheetId="53">#REF!</definedName>
    <definedName name="NGSG" localSheetId="20">#REF!</definedName>
    <definedName name="NGSG">#REF!</definedName>
    <definedName name="NI_R" localSheetId="34">#REF!</definedName>
    <definedName name="NI_R" localSheetId="35">#REF!</definedName>
    <definedName name="NI_R" localSheetId="50">#REF!</definedName>
    <definedName name="NI_R" localSheetId="15">#REF!</definedName>
    <definedName name="NI_R" localSheetId="29">#REF!</definedName>
    <definedName name="NI_R" localSheetId="30">#REF!</definedName>
    <definedName name="NI_R" localSheetId="47">#REF!</definedName>
    <definedName name="NI_R" localSheetId="44">#REF!</definedName>
    <definedName name="NI_R" localSheetId="45">#REF!</definedName>
    <definedName name="NI_R" localSheetId="46">#REF!</definedName>
    <definedName name="NI_R" localSheetId="31">#REF!</definedName>
    <definedName name="NI_R" localSheetId="32">#REF!</definedName>
    <definedName name="NI_R" localSheetId="33">#REF!</definedName>
    <definedName name="NI_R" localSheetId="36">#REF!</definedName>
    <definedName name="NI_R" localSheetId="37">#REF!</definedName>
    <definedName name="NI_R" localSheetId="38">#REF!</definedName>
    <definedName name="NI_R" localSheetId="39">#REF!</definedName>
    <definedName name="NI_R" localSheetId="40">#REF!</definedName>
    <definedName name="NI_R" localSheetId="54">#REF!</definedName>
    <definedName name="NI_R" localSheetId="55">#REF!</definedName>
    <definedName name="NI_R" localSheetId="52">#REF!</definedName>
    <definedName name="NI_R" localSheetId="23">#REF!</definedName>
    <definedName name="NI_R" localSheetId="51">#REF!</definedName>
    <definedName name="NI_R" localSheetId="53">#REF!</definedName>
    <definedName name="NI_R" localSheetId="20">#REF!</definedName>
    <definedName name="NI_R">#REF!</definedName>
    <definedName name="NINV">#N/A</definedName>
    <definedName name="NINV_R" localSheetId="34">#REF!</definedName>
    <definedName name="NINV_R" localSheetId="35">#REF!</definedName>
    <definedName name="NINV_R" localSheetId="50">#REF!</definedName>
    <definedName name="NINV_R" localSheetId="15">#REF!</definedName>
    <definedName name="NINV_R" localSheetId="27">#REF!</definedName>
    <definedName name="NINV_R" localSheetId="24">#REF!</definedName>
    <definedName name="NINV_R" localSheetId="26">#REF!</definedName>
    <definedName name="NINV_R" localSheetId="29">#REF!</definedName>
    <definedName name="NINV_R" localSheetId="30">#REF!</definedName>
    <definedName name="NINV_R" localSheetId="47">#REF!</definedName>
    <definedName name="NINV_R" localSheetId="44">#REF!</definedName>
    <definedName name="NINV_R" localSheetId="45">#REF!</definedName>
    <definedName name="NINV_R" localSheetId="46">#REF!</definedName>
    <definedName name="NINV_R" localSheetId="31">#REF!</definedName>
    <definedName name="NINV_R" localSheetId="32">#REF!</definedName>
    <definedName name="NINV_R" localSheetId="33">#REF!</definedName>
    <definedName name="NINV_R" localSheetId="36">#REF!</definedName>
    <definedName name="NINV_R" localSheetId="37">#REF!</definedName>
    <definedName name="NINV_R" localSheetId="38">#REF!</definedName>
    <definedName name="NINV_R" localSheetId="39">#REF!</definedName>
    <definedName name="NINV_R" localSheetId="40">#REF!</definedName>
    <definedName name="NINV_R" localSheetId="25">#REF!</definedName>
    <definedName name="NINV_R" localSheetId="54">#REF!</definedName>
    <definedName name="NINV_R" localSheetId="55">#REF!</definedName>
    <definedName name="NINV_R" localSheetId="52">#REF!</definedName>
    <definedName name="NINV_R" localSheetId="23">#REF!</definedName>
    <definedName name="NINV_R" localSheetId="51">#REF!</definedName>
    <definedName name="NINV_R" localSheetId="12">#REF!</definedName>
    <definedName name="NINV_R" localSheetId="53">#REF!</definedName>
    <definedName name="NINV_R" localSheetId="49">#REF!</definedName>
    <definedName name="NINV_R" localSheetId="20">#REF!</definedName>
    <definedName name="NINV_R">#REF!</definedName>
    <definedName name="NINV_R_GDP" localSheetId="34">#REF!</definedName>
    <definedName name="NINV_R_GDP" localSheetId="35">#REF!</definedName>
    <definedName name="NINV_R_GDP" localSheetId="50">#REF!</definedName>
    <definedName name="NINV_R_GDP" localSheetId="15">#REF!</definedName>
    <definedName name="NINV_R_GDP" localSheetId="29">#REF!</definedName>
    <definedName name="NINV_R_GDP" localSheetId="30">#REF!</definedName>
    <definedName name="NINV_R_GDP" localSheetId="47">#REF!</definedName>
    <definedName name="NINV_R_GDP" localSheetId="44">#REF!</definedName>
    <definedName name="NINV_R_GDP" localSheetId="45">#REF!</definedName>
    <definedName name="NINV_R_GDP" localSheetId="46">#REF!</definedName>
    <definedName name="NINV_R_GDP" localSheetId="31">#REF!</definedName>
    <definedName name="NINV_R_GDP" localSheetId="32">#REF!</definedName>
    <definedName name="NINV_R_GDP" localSheetId="33">#REF!</definedName>
    <definedName name="NINV_R_GDP" localSheetId="36">#REF!</definedName>
    <definedName name="NINV_R_GDP" localSheetId="37">#REF!</definedName>
    <definedName name="NINV_R_GDP" localSheetId="38">#REF!</definedName>
    <definedName name="NINV_R_GDP" localSheetId="39">#REF!</definedName>
    <definedName name="NINV_R_GDP" localSheetId="40">#REF!</definedName>
    <definedName name="NINV_R_GDP" localSheetId="54">#REF!</definedName>
    <definedName name="NINV_R_GDP" localSheetId="55">#REF!</definedName>
    <definedName name="NINV_R_GDP" localSheetId="52">#REF!</definedName>
    <definedName name="NINV_R_GDP" localSheetId="23">#REF!</definedName>
    <definedName name="NINV_R_GDP" localSheetId="51">#REF!</definedName>
    <definedName name="NINV_R_GDP" localSheetId="53">#REF!</definedName>
    <definedName name="NINV_R_GDP" localSheetId="20">#REF!</definedName>
    <definedName name="NINV_R_GDP">#REF!</definedName>
    <definedName name="NM">#N/A</definedName>
    <definedName name="NM_R" localSheetId="34">#REF!</definedName>
    <definedName name="NM_R" localSheetId="35">#REF!</definedName>
    <definedName name="NM_R" localSheetId="50">#REF!</definedName>
    <definedName name="NM_R" localSheetId="15">#REF!</definedName>
    <definedName name="NM_R" localSheetId="27">#REF!</definedName>
    <definedName name="NM_R" localSheetId="24">#REF!</definedName>
    <definedName name="NM_R" localSheetId="26">#REF!</definedName>
    <definedName name="NM_R" localSheetId="29">#REF!</definedName>
    <definedName name="NM_R" localSheetId="30">#REF!</definedName>
    <definedName name="NM_R" localSheetId="47">#REF!</definedName>
    <definedName name="NM_R" localSheetId="44">#REF!</definedName>
    <definedName name="NM_R" localSheetId="45">#REF!</definedName>
    <definedName name="NM_R" localSheetId="46">#REF!</definedName>
    <definedName name="NM_R" localSheetId="31">#REF!</definedName>
    <definedName name="NM_R" localSheetId="32">#REF!</definedName>
    <definedName name="NM_R" localSheetId="33">#REF!</definedName>
    <definedName name="NM_R" localSheetId="36">#REF!</definedName>
    <definedName name="NM_R" localSheetId="37">#REF!</definedName>
    <definedName name="NM_R" localSheetId="38">#REF!</definedName>
    <definedName name="NM_R" localSheetId="39">#REF!</definedName>
    <definedName name="NM_R" localSheetId="40">#REF!</definedName>
    <definedName name="NM_R" localSheetId="25">#REF!</definedName>
    <definedName name="NM_R" localSheetId="54">#REF!</definedName>
    <definedName name="NM_R" localSheetId="55">#REF!</definedName>
    <definedName name="NM_R" localSheetId="52">#REF!</definedName>
    <definedName name="NM_R" localSheetId="23">#REF!</definedName>
    <definedName name="NM_R" localSheetId="51">#REF!</definedName>
    <definedName name="NM_R" localSheetId="12">#REF!</definedName>
    <definedName name="NM_R" localSheetId="53">#REF!</definedName>
    <definedName name="NM_R" localSheetId="49">#REF!</definedName>
    <definedName name="NM_R" localSheetId="20">#REF!</definedName>
    <definedName name="NM_R">#REF!</definedName>
    <definedName name="nmBlankRow" localSheetId="54">[123]QEDS!$A$11:$IV$11</definedName>
    <definedName name="nmBlankRow">[123]QEDS!$A$11:$IV$11</definedName>
    <definedName name="nmColumnHeader" localSheetId="54">[123]QEDS!$A$2:$IV$2</definedName>
    <definedName name="nmColumnHeader">[123]QEDS!$A$2:$IV$2</definedName>
    <definedName name="nmData" localSheetId="54">[123]QEDS!$B$3:$F$9</definedName>
    <definedName name="nmData">[123]QEDS!$B$3:$F$9</definedName>
    <definedName name="NMG" localSheetId="34">#REF!</definedName>
    <definedName name="NMG" localSheetId="35">#REF!</definedName>
    <definedName name="NMG" localSheetId="50">#REF!</definedName>
    <definedName name="NMG" localSheetId="15">#REF!</definedName>
    <definedName name="NMG" localSheetId="29">#REF!</definedName>
    <definedName name="NMG" localSheetId="30">#REF!</definedName>
    <definedName name="NMG" localSheetId="47">#REF!</definedName>
    <definedName name="NMG" localSheetId="44">#REF!</definedName>
    <definedName name="NMG" localSheetId="45">#REF!</definedName>
    <definedName name="NMG" localSheetId="46">#REF!</definedName>
    <definedName name="NMG" localSheetId="31">#REF!</definedName>
    <definedName name="NMG" localSheetId="32">#REF!</definedName>
    <definedName name="NMG" localSheetId="33">#REF!</definedName>
    <definedName name="NMG" localSheetId="36">#REF!</definedName>
    <definedName name="NMG" localSheetId="37">#REF!</definedName>
    <definedName name="NMG" localSheetId="38">#REF!</definedName>
    <definedName name="NMG" localSheetId="39">#REF!</definedName>
    <definedName name="NMG" localSheetId="40">#REF!</definedName>
    <definedName name="NMG" localSheetId="54">#REF!</definedName>
    <definedName name="NMG" localSheetId="55">#REF!</definedName>
    <definedName name="NMG" localSheetId="52">#REF!</definedName>
    <definedName name="NMG" localSheetId="23">#REF!</definedName>
    <definedName name="NMG" localSheetId="51">#REF!</definedName>
    <definedName name="NMG" localSheetId="53">#REF!</definedName>
    <definedName name="NMG" localSheetId="20">#REF!</definedName>
    <definedName name="NMG">#REF!</definedName>
    <definedName name="NMG_R" localSheetId="34">#REF!</definedName>
    <definedName name="NMG_R" localSheetId="35">#REF!</definedName>
    <definedName name="NMG_R" localSheetId="50">#REF!</definedName>
    <definedName name="NMG_R" localSheetId="15">#REF!</definedName>
    <definedName name="NMG_R" localSheetId="29">#REF!</definedName>
    <definedName name="NMG_R" localSheetId="30">#REF!</definedName>
    <definedName name="NMG_R" localSheetId="47">#REF!</definedName>
    <definedName name="NMG_R" localSheetId="44">#REF!</definedName>
    <definedName name="NMG_R" localSheetId="45">#REF!</definedName>
    <definedName name="NMG_R" localSheetId="46">#REF!</definedName>
    <definedName name="NMG_R" localSheetId="31">#REF!</definedName>
    <definedName name="NMG_R" localSheetId="32">#REF!</definedName>
    <definedName name="NMG_R" localSheetId="33">#REF!</definedName>
    <definedName name="NMG_R" localSheetId="36">#REF!</definedName>
    <definedName name="NMG_R" localSheetId="37">#REF!</definedName>
    <definedName name="NMG_R" localSheetId="38">#REF!</definedName>
    <definedName name="NMG_R" localSheetId="39">#REF!</definedName>
    <definedName name="NMG_R" localSheetId="40">#REF!</definedName>
    <definedName name="NMG_R" localSheetId="54">#REF!</definedName>
    <definedName name="NMG_R" localSheetId="55">#REF!</definedName>
    <definedName name="NMG_R" localSheetId="52">#REF!</definedName>
    <definedName name="NMG_R" localSheetId="23">#REF!</definedName>
    <definedName name="NMG_R" localSheetId="51">#REF!</definedName>
    <definedName name="NMG_R" localSheetId="12">#REF!</definedName>
    <definedName name="NMG_R" localSheetId="53">#REF!</definedName>
    <definedName name="NMG_R" localSheetId="49">#REF!</definedName>
    <definedName name="NMG_R" localSheetId="20">#REF!</definedName>
    <definedName name="NMG_R">#REF!</definedName>
    <definedName name="NMG_RG" localSheetId="34">#REF!</definedName>
    <definedName name="NMG_RG" localSheetId="35">#REF!</definedName>
    <definedName name="NMG_RG" localSheetId="50">#N/A</definedName>
    <definedName name="NMG_RG" localSheetId="15">#REF!</definedName>
    <definedName name="NMG_RG" localSheetId="29">#REF!</definedName>
    <definedName name="NMG_RG" localSheetId="30">#REF!</definedName>
    <definedName name="NMG_RG" localSheetId="47">#REF!</definedName>
    <definedName name="NMG_RG" localSheetId="44">#N/A</definedName>
    <definedName name="NMG_RG" localSheetId="45">#REF!</definedName>
    <definedName name="NMG_RG" localSheetId="46">#REF!</definedName>
    <definedName name="NMG_RG" localSheetId="31">#REF!</definedName>
    <definedName name="NMG_RG" localSheetId="32">#REF!</definedName>
    <definedName name="NMG_RG" localSheetId="33">#REF!</definedName>
    <definedName name="NMG_RG" localSheetId="36">#REF!</definedName>
    <definedName name="NMG_RG" localSheetId="37">#REF!</definedName>
    <definedName name="NMG_RG" localSheetId="38">#REF!</definedName>
    <definedName name="NMG_RG" localSheetId="39">#REF!</definedName>
    <definedName name="NMG_RG" localSheetId="40">#REF!</definedName>
    <definedName name="NMG_RG" localSheetId="54">#N/A</definedName>
    <definedName name="NMG_RG" localSheetId="55">#REF!</definedName>
    <definedName name="NMG_RG" localSheetId="52">#N/A</definedName>
    <definedName name="NMG_RG" localSheetId="23">#REF!</definedName>
    <definedName name="NMG_RG" localSheetId="51">#N/A</definedName>
    <definedName name="NMG_RG" localSheetId="53">#N/A</definedName>
    <definedName name="NMG_RG" localSheetId="20">#REF!</definedName>
    <definedName name="NMG_RG">#REF!</definedName>
    <definedName name="nmIndexTable" localSheetId="54">[123]QEDS!$A$13:$IV$13</definedName>
    <definedName name="nmIndexTable">[123]QEDS!$A$13:$IV$13</definedName>
    <definedName name="nmReportFooter" localSheetId="54">[123]QEDS!$A$10:$IV$10</definedName>
    <definedName name="nmReportFooter">[123]QEDS!$A$10:$IV$10</definedName>
    <definedName name="nmReportHeader" localSheetId="54">[123]QEDS!$A$1:$IV$1</definedName>
    <definedName name="nmReportHeader">[123]QEDS!$A$1:$IV$1</definedName>
    <definedName name="nmRowHeader" localSheetId="54">[123]QEDS!$A$3:$A$9</definedName>
    <definedName name="nmRowHeader">[123]QEDS!$A$3:$A$9</definedName>
    <definedName name="NMS_R" localSheetId="34">#REF!</definedName>
    <definedName name="NMS_R" localSheetId="35">#REF!</definedName>
    <definedName name="NMS_R" localSheetId="50">#REF!</definedName>
    <definedName name="NMS_R" localSheetId="15">#REF!</definedName>
    <definedName name="NMS_R" localSheetId="29">#REF!</definedName>
    <definedName name="NMS_R" localSheetId="30">#REF!</definedName>
    <definedName name="NMS_R" localSheetId="47">#REF!</definedName>
    <definedName name="NMS_R" localSheetId="44">#REF!</definedName>
    <definedName name="NMS_R" localSheetId="45">#REF!</definedName>
    <definedName name="NMS_R" localSheetId="46">#REF!</definedName>
    <definedName name="NMS_R" localSheetId="31">#REF!</definedName>
    <definedName name="NMS_R" localSheetId="32">#REF!</definedName>
    <definedName name="NMS_R" localSheetId="33">#REF!</definedName>
    <definedName name="NMS_R" localSheetId="36">#REF!</definedName>
    <definedName name="NMS_R" localSheetId="37">#REF!</definedName>
    <definedName name="NMS_R" localSheetId="38">#REF!</definedName>
    <definedName name="NMS_R" localSheetId="39">#REF!</definedName>
    <definedName name="NMS_R" localSheetId="40">#REF!</definedName>
    <definedName name="NMS_R" localSheetId="54">#REF!</definedName>
    <definedName name="NMS_R" localSheetId="55">#REF!</definedName>
    <definedName name="NMS_R" localSheetId="52">#REF!</definedName>
    <definedName name="NMS_R" localSheetId="23">#REF!</definedName>
    <definedName name="NMS_R" localSheetId="51">#REF!</definedName>
    <definedName name="NMS_R" localSheetId="53">#REF!</definedName>
    <definedName name="NMS_R" localSheetId="20">#REF!</definedName>
    <definedName name="NMS_R">#REF!</definedName>
    <definedName name="nmScale" localSheetId="54">[123]QEDS!$A$12:$IV$12</definedName>
    <definedName name="nmScale">[123]QEDS!$A$12:$IV$12</definedName>
    <definedName name="nn" localSheetId="58" hidden="1">{"Riqfin97",#N/A,FALSE,"Tran";"Riqfinpro",#N/A,FALSE,"Tran"}</definedName>
    <definedName name="nn" localSheetId="16" hidden="1">{"Riqfin97",#N/A,FALSE,"Tran";"Riqfinpro",#N/A,FALSE,"Tran"}</definedName>
    <definedName name="nn" localSheetId="61" hidden="1">{"Riqfin97",#N/A,FALSE,"Tran";"Riqfinpro",#N/A,FALSE,"Tran"}</definedName>
    <definedName name="nn" localSheetId="62" hidden="1">{"Riqfin97",#N/A,FALSE,"Tran";"Riqfinpro",#N/A,FALSE,"Tran"}</definedName>
    <definedName name="nn" localSheetId="50" hidden="1">{"Riqfin97",#N/A,FALSE,"Tran";"Riqfinpro",#N/A,FALSE,"Tran"}</definedName>
    <definedName name="nn" localSheetId="63" hidden="1">{"Riqfin97",#N/A,FALSE,"Tran";"Riqfinpro",#N/A,FALSE,"Tran"}</definedName>
    <definedName name="nn" localSheetId="15" hidden="1">{"Riqfin97",#N/A,FALSE,"Tran";"Riqfinpro",#N/A,FALSE,"Tran"}</definedName>
    <definedName name="nn" localSheetId="1" hidden="1">{"Riqfin97",#N/A,FALSE,"Tran";"Riqfinpro",#N/A,FALSE,"Tran"}</definedName>
    <definedName name="nn" localSheetId="43" hidden="1">{"Riqfin97",#N/A,FALSE,"Tran";"Riqfinpro",#N/A,FALSE,"Tran"}</definedName>
    <definedName name="nn" localSheetId="29" hidden="1">{"Riqfin97",#N/A,FALSE,"Tran";"Riqfinpro",#N/A,FALSE,"Tran"}</definedName>
    <definedName name="nn" localSheetId="30" hidden="1">{"Riqfin97",#N/A,FALSE,"Tran";"Riqfinpro",#N/A,FALSE,"Tran"}</definedName>
    <definedName name="nn" localSheetId="44" hidden="1">{"Riqfin97",#N/A,FALSE,"Tran";"Riqfinpro",#N/A,FALSE,"Tran"}</definedName>
    <definedName name="nn" localSheetId="59" hidden="1">{"Riqfin97",#N/A,FALSE,"Tran";"Riqfinpro",#N/A,FALSE,"Tran"}</definedName>
    <definedName name="nn" localSheetId="13" hidden="1">{"Riqfin97",#N/A,FALSE,"Tran";"Riqfinpro",#N/A,FALSE,"Tran"}</definedName>
    <definedName name="nn" localSheetId="0" hidden="1">{"Riqfin97",#N/A,FALSE,"Tran";"Riqfinpro",#N/A,FALSE,"Tran"}</definedName>
    <definedName name="nn" localSheetId="57" hidden="1">{"Riqfin97",#N/A,FALSE,"Tran";"Riqfinpro",#N/A,FALSE,"Tran"}</definedName>
    <definedName name="nn" localSheetId="56" hidden="1">{"Riqfin97",#N/A,FALSE,"Tran";"Riqfinpro",#N/A,FALSE,"Tran"}</definedName>
    <definedName name="nn" localSheetId="54" hidden="1">{"Riqfin97",#N/A,FALSE,"Tran";"Riqfinpro",#N/A,FALSE,"Tran"}</definedName>
    <definedName name="nn" localSheetId="52" hidden="1">{"Riqfin97",#N/A,FALSE,"Tran";"Riqfinpro",#N/A,FALSE,"Tran"}</definedName>
    <definedName name="nn" localSheetId="23" hidden="1">{"Riqfin97",#N/A,FALSE,"Tran";"Riqfinpro",#N/A,FALSE,"Tran"}</definedName>
    <definedName name="nn" localSheetId="51" hidden="1">{"Riqfin97",#N/A,FALSE,"Tran";"Riqfinpro",#N/A,FALSE,"Tran"}</definedName>
    <definedName name="nn" localSheetId="53" hidden="1">{"Riqfin97",#N/A,FALSE,"Tran";"Riqfinpro",#N/A,FALSE,"Tran"}</definedName>
    <definedName name="nn" localSheetId="60" hidden="1">{"Riqfin97",#N/A,FALSE,"Tran";"Riqfinpro",#N/A,FALSE,"Tran"}</definedName>
    <definedName name="nn" hidden="1">{"Riqfin97",#N/A,FALSE,"Tran";"Riqfinpro",#N/A,FALSE,"Tran"}</definedName>
    <definedName name="nnn" localSheetId="50">#REF!</definedName>
    <definedName name="nnn" localSheetId="44">#REF!</definedName>
    <definedName name="nnn" localSheetId="54">#REF!</definedName>
    <definedName name="nnn" localSheetId="52">#REF!</definedName>
    <definedName name="nnn" localSheetId="51">#REF!</definedName>
    <definedName name="nnn" localSheetId="53">#REF!</definedName>
    <definedName name="nnn">[54]!nnn</definedName>
    <definedName name="nnnnn" localSheetId="50">#N/A</definedName>
    <definedName name="nnnnn" localSheetId="44">#N/A</definedName>
    <definedName name="nnnnn" localSheetId="54">#N/A</definedName>
    <definedName name="nnnnn" localSheetId="52">#N/A</definedName>
    <definedName name="nnnnn" localSheetId="51">#N/A</definedName>
    <definedName name="nnnnn" localSheetId="53">#N/A</definedName>
    <definedName name="nnnnn">[54]!nnnnn</definedName>
    <definedName name="NONBILLABLE_AMOUNT">'[55]NON BILLABLE'!$D:$D</definedName>
    <definedName name="NORMAL">[124]normal!$A$1:$O$125,[124]normal!$A$125:$O$131</definedName>
    <definedName name="Notes" localSheetId="34">[125]UPLOAD!#REF!</definedName>
    <definedName name="Notes" localSheetId="35">[125]UPLOAD!#REF!</definedName>
    <definedName name="Notes" localSheetId="50">#REF!</definedName>
    <definedName name="Notes" localSheetId="15">[125]UPLOAD!#REF!</definedName>
    <definedName name="Notes" localSheetId="29">[125]UPLOAD!#REF!</definedName>
    <definedName name="Notes" localSheetId="30">[125]UPLOAD!#REF!</definedName>
    <definedName name="Notes" localSheetId="47">[125]UPLOAD!#REF!</definedName>
    <definedName name="Notes" localSheetId="44">#REF!</definedName>
    <definedName name="Notes" localSheetId="45">[125]UPLOAD!#REF!</definedName>
    <definedName name="Notes" localSheetId="46">[125]UPLOAD!#REF!</definedName>
    <definedName name="Notes" localSheetId="31">[125]UPLOAD!#REF!</definedName>
    <definedName name="Notes" localSheetId="32">[125]UPLOAD!#REF!</definedName>
    <definedName name="Notes" localSheetId="33">[125]UPLOAD!#REF!</definedName>
    <definedName name="Notes" localSheetId="36">[125]UPLOAD!#REF!</definedName>
    <definedName name="Notes" localSheetId="37">[125]UPLOAD!#REF!</definedName>
    <definedName name="Notes" localSheetId="38">[125]UPLOAD!#REF!</definedName>
    <definedName name="Notes" localSheetId="39">[125]UPLOAD!#REF!</definedName>
    <definedName name="Notes" localSheetId="40">[125]UPLOAD!#REF!</definedName>
    <definedName name="Notes" localSheetId="54">#REF!</definedName>
    <definedName name="Notes" localSheetId="55">[125]UPLOAD!#REF!</definedName>
    <definedName name="Notes" localSheetId="52">#REF!</definedName>
    <definedName name="Notes" localSheetId="23">[125]UPLOAD!#REF!</definedName>
    <definedName name="Notes" localSheetId="51">#REF!</definedName>
    <definedName name="Notes" localSheetId="12">[125]UPLOAD!#REF!</definedName>
    <definedName name="Notes" localSheetId="53">#REF!</definedName>
    <definedName name="Notes" localSheetId="20">[125]UPLOAD!#REF!</definedName>
    <definedName name="Notes">[125]UPLOAD!#REF!</definedName>
    <definedName name="NOTITLES" localSheetId="50">#REF!</definedName>
    <definedName name="NOTITLES" localSheetId="47">#REF!</definedName>
    <definedName name="NOTITLES" localSheetId="44">#REF!</definedName>
    <definedName name="NOTITLES" localSheetId="45">#REF!</definedName>
    <definedName name="NOTITLES" localSheetId="46">#REF!</definedName>
    <definedName name="NOTITLES" localSheetId="37">#REF!</definedName>
    <definedName name="NOTITLES" localSheetId="40">#REF!</definedName>
    <definedName name="NOTITLES" localSheetId="54">#REF!</definedName>
    <definedName name="NOTITLES" localSheetId="55">#REF!</definedName>
    <definedName name="NOTITLES" localSheetId="52">#REF!</definedName>
    <definedName name="NOTITLES" localSheetId="51">#REF!</definedName>
    <definedName name="NOTITLES" localSheetId="53">#REF!</definedName>
    <definedName name="NOTITLES">#REF!</definedName>
    <definedName name="NOV" localSheetId="34">#REF!</definedName>
    <definedName name="NOV" localSheetId="35">#REF!</definedName>
    <definedName name="NOV" localSheetId="50">#REF!</definedName>
    <definedName name="NOV" localSheetId="15">#REF!</definedName>
    <definedName name="NOV" localSheetId="29">#REF!</definedName>
    <definedName name="NOV" localSheetId="30">#REF!</definedName>
    <definedName name="NOV" localSheetId="47">#REF!</definedName>
    <definedName name="NOV" localSheetId="44">#REF!</definedName>
    <definedName name="NOV" localSheetId="45">#REF!</definedName>
    <definedName name="NOV" localSheetId="46">#REF!</definedName>
    <definedName name="NOV" localSheetId="31">#REF!</definedName>
    <definedName name="NOV" localSheetId="32">#REF!</definedName>
    <definedName name="NOV" localSheetId="33">#REF!</definedName>
    <definedName name="NOV" localSheetId="36">#REF!</definedName>
    <definedName name="NOV" localSheetId="37">#REF!</definedName>
    <definedName name="NOV" localSheetId="38">#REF!</definedName>
    <definedName name="NOV" localSheetId="39">#REF!</definedName>
    <definedName name="NOV" localSheetId="40">#REF!</definedName>
    <definedName name="NOV" localSheetId="54">#REF!</definedName>
    <definedName name="NOV" localSheetId="55">#REF!</definedName>
    <definedName name="NOV" localSheetId="52">#REF!</definedName>
    <definedName name="NOV" localSheetId="23">#REF!</definedName>
    <definedName name="NOV" localSheetId="51">#REF!</definedName>
    <definedName name="NOV" localSheetId="53">#REF!</definedName>
    <definedName name="NOV" localSheetId="20">#REF!</definedName>
    <definedName name="NOV">#REF!</definedName>
    <definedName name="NOV._89" localSheetId="34">#REF!</definedName>
    <definedName name="NOV._89" localSheetId="35">#REF!</definedName>
    <definedName name="NOV._89" localSheetId="50">#REF!</definedName>
    <definedName name="NOV._89" localSheetId="15">#REF!</definedName>
    <definedName name="NOV._89" localSheetId="29">#REF!</definedName>
    <definedName name="NOV._89" localSheetId="30">#REF!</definedName>
    <definedName name="NOV._89" localSheetId="47">#REF!</definedName>
    <definedName name="NOV._89" localSheetId="44">#REF!</definedName>
    <definedName name="NOV._89" localSheetId="45">#REF!</definedName>
    <definedName name="NOV._89" localSheetId="46">#REF!</definedName>
    <definedName name="NOV._89" localSheetId="31">#REF!</definedName>
    <definedName name="NOV._89" localSheetId="32">#REF!</definedName>
    <definedName name="NOV._89" localSheetId="33">#REF!</definedName>
    <definedName name="NOV._89" localSheetId="36">#REF!</definedName>
    <definedName name="NOV._89" localSheetId="37">#REF!</definedName>
    <definedName name="NOV._89" localSheetId="38">#REF!</definedName>
    <definedName name="NOV._89" localSheetId="39">#REF!</definedName>
    <definedName name="NOV._89" localSheetId="40">#REF!</definedName>
    <definedName name="NOV._89" localSheetId="54">#REF!</definedName>
    <definedName name="NOV._89" localSheetId="55">#REF!</definedName>
    <definedName name="NOV._89" localSheetId="52">#REF!</definedName>
    <definedName name="NOV._89" localSheetId="23">#REF!</definedName>
    <definedName name="NOV._89" localSheetId="51">#REF!</definedName>
    <definedName name="NOV._89" localSheetId="53">#REF!</definedName>
    <definedName name="NOV._89" localSheetId="20">#REF!</definedName>
    <definedName name="NOV._89">#REF!</definedName>
    <definedName name="Nov05Cap" localSheetId="50">#REF!</definedName>
    <definedName name="Nov05Cap" localSheetId="47">#REF!</definedName>
    <definedName name="Nov05Cap" localSheetId="44">#REF!</definedName>
    <definedName name="Nov05Cap" localSheetId="45">#REF!</definedName>
    <definedName name="Nov05Cap" localSheetId="46">#REF!</definedName>
    <definedName name="Nov05Cap" localSheetId="37">#REF!</definedName>
    <definedName name="Nov05Cap" localSheetId="40">#REF!</definedName>
    <definedName name="Nov05Cap" localSheetId="54">#REF!</definedName>
    <definedName name="Nov05Cap" localSheetId="55">#REF!</definedName>
    <definedName name="Nov05Cap" localSheetId="52">#REF!</definedName>
    <definedName name="Nov05Cap" localSheetId="51">#REF!</definedName>
    <definedName name="Nov05Cap" localSheetId="53">#REF!</definedName>
    <definedName name="Nov05Cap">#REF!</definedName>
    <definedName name="Nov06Cap" localSheetId="50">#REF!</definedName>
    <definedName name="Nov06Cap" localSheetId="47">#REF!</definedName>
    <definedName name="Nov06Cap" localSheetId="44">#REF!</definedName>
    <definedName name="Nov06Cap" localSheetId="45">#REF!</definedName>
    <definedName name="Nov06Cap" localSheetId="46">#REF!</definedName>
    <definedName name="Nov06Cap" localSheetId="37">#REF!</definedName>
    <definedName name="Nov06Cap" localSheetId="40">#REF!</definedName>
    <definedName name="Nov06Cap" localSheetId="54">#REF!</definedName>
    <definedName name="Nov06Cap" localSheetId="55">#REF!</definedName>
    <definedName name="Nov06Cap" localSheetId="52">#REF!</definedName>
    <definedName name="Nov06Cap" localSheetId="51">#REF!</definedName>
    <definedName name="Nov06Cap" localSheetId="53">#REF!</definedName>
    <definedName name="Nov06Cap">#REF!</definedName>
    <definedName name="November">'[45]Variance Explanations'!$N$10:$N$84,'[45]Variance Explanations'!$N$98:$N$178,'[45]Variance Explanations'!$N$190:$N$252,'[45]Variance Explanations'!$N$252,'[45]Variance Explanations'!$N$264:$N$343,'[45]Variance Explanations'!$N$356:$N$409,'[45]Variance Explanations'!$N$424:$N$485,'[45]Variance Explanations'!$N$508:$N$555</definedName>
    <definedName name="NTDD_R" localSheetId="34">#REF!</definedName>
    <definedName name="NTDD_R" localSheetId="35">#REF!</definedName>
    <definedName name="NTDD_R" localSheetId="50">#REF!</definedName>
    <definedName name="NTDD_R" localSheetId="15">#REF!</definedName>
    <definedName name="NTDD_R" localSheetId="29">#REF!</definedName>
    <definedName name="NTDD_R" localSheetId="30">#REF!</definedName>
    <definedName name="NTDD_R" localSheetId="47">#REF!</definedName>
    <definedName name="NTDD_R" localSheetId="44">#REF!</definedName>
    <definedName name="NTDD_R" localSheetId="45">#REF!</definedName>
    <definedName name="NTDD_R" localSheetId="46">#REF!</definedName>
    <definedName name="NTDD_R" localSheetId="31">#REF!</definedName>
    <definedName name="NTDD_R" localSheetId="32">#REF!</definedName>
    <definedName name="NTDD_R" localSheetId="33">#REF!</definedName>
    <definedName name="NTDD_R" localSheetId="36">#REF!</definedName>
    <definedName name="NTDD_R" localSheetId="37">#REF!</definedName>
    <definedName name="NTDD_R" localSheetId="38">#REF!</definedName>
    <definedName name="NTDD_R" localSheetId="39">#REF!</definedName>
    <definedName name="NTDD_R" localSheetId="40">#REF!</definedName>
    <definedName name="NTDD_R" localSheetId="54">#REF!</definedName>
    <definedName name="NTDD_R" localSheetId="55">#REF!</definedName>
    <definedName name="NTDD_R" localSheetId="52">#REF!</definedName>
    <definedName name="NTDD_R" localSheetId="23">#REF!</definedName>
    <definedName name="NTDD_R" localSheetId="51">#REF!</definedName>
    <definedName name="NTDD_R" localSheetId="53">#REF!</definedName>
    <definedName name="NTDD_R" localSheetId="20">#REF!</definedName>
    <definedName name="NTDD_R">#REF!</definedName>
    <definedName name="NTDD_RG" localSheetId="34">#REF!</definedName>
    <definedName name="NTDD_RG" localSheetId="35">#REF!</definedName>
    <definedName name="NTDD_RG" localSheetId="50">[53]!NTDD_RG</definedName>
    <definedName name="NTDD_RG" localSheetId="15">#REF!</definedName>
    <definedName name="NTDD_RG" localSheetId="29">#REF!</definedName>
    <definedName name="NTDD_RG" localSheetId="30">#REF!</definedName>
    <definedName name="NTDD_RG" localSheetId="47">#REF!</definedName>
    <definedName name="NTDD_RG" localSheetId="44">[53]!NTDD_RG</definedName>
    <definedName name="NTDD_RG" localSheetId="45">#REF!</definedName>
    <definedName name="NTDD_RG" localSheetId="46">#REF!</definedName>
    <definedName name="NTDD_RG" localSheetId="31">#REF!</definedName>
    <definedName name="NTDD_RG" localSheetId="32">#REF!</definedName>
    <definedName name="NTDD_RG" localSheetId="33">#REF!</definedName>
    <definedName name="NTDD_RG" localSheetId="36">#REF!</definedName>
    <definedName name="NTDD_RG" localSheetId="37">#REF!</definedName>
    <definedName name="NTDD_RG" localSheetId="38">#REF!</definedName>
    <definedName name="NTDD_RG" localSheetId="39">#REF!</definedName>
    <definedName name="NTDD_RG" localSheetId="40">#REF!</definedName>
    <definedName name="NTDD_RG" localSheetId="54">[53]!NTDD_RG</definedName>
    <definedName name="NTDD_RG" localSheetId="55">#REF!</definedName>
    <definedName name="NTDD_RG" localSheetId="52">[53]!NTDD_RG</definedName>
    <definedName name="NTDD_RG" localSheetId="23">#REF!</definedName>
    <definedName name="NTDD_RG" localSheetId="51">[53]!NTDD_RG</definedName>
    <definedName name="NTDD_RG" localSheetId="53">[53]!NTDD_RG</definedName>
    <definedName name="NTDD_RG" localSheetId="20">#REF!</definedName>
    <definedName name="NTDD_RG">#REF!</definedName>
    <definedName name="NX">#N/A</definedName>
    <definedName name="NX_R" localSheetId="58">#REF!</definedName>
    <definedName name="NX_R" localSheetId="34">#REF!</definedName>
    <definedName name="NX_R" localSheetId="35">#REF!</definedName>
    <definedName name="NX_R" localSheetId="50">#REF!</definedName>
    <definedName name="NX_R" localSheetId="15">#REF!</definedName>
    <definedName name="NX_R" localSheetId="27">#REF!</definedName>
    <definedName name="NX_R" localSheetId="24">#REF!</definedName>
    <definedName name="NX_R" localSheetId="26">#REF!</definedName>
    <definedName name="NX_R" localSheetId="29">#REF!</definedName>
    <definedName name="NX_R" localSheetId="42">#REF!</definedName>
    <definedName name="NX_R" localSheetId="30">#REF!</definedName>
    <definedName name="NX_R" localSheetId="47">#REF!</definedName>
    <definedName name="NX_R" localSheetId="44">#REF!</definedName>
    <definedName name="NX_R" localSheetId="45">#REF!</definedName>
    <definedName name="NX_R" localSheetId="46">#REF!</definedName>
    <definedName name="NX_R" localSheetId="31">#REF!</definedName>
    <definedName name="NX_R" localSheetId="32">#REF!</definedName>
    <definedName name="NX_R" localSheetId="33">#REF!</definedName>
    <definedName name="NX_R" localSheetId="59">#REF!</definedName>
    <definedName name="NX_R" localSheetId="36">#REF!</definedName>
    <definedName name="NX_R" localSheetId="37">#REF!</definedName>
    <definedName name="NX_R" localSheetId="38">#REF!</definedName>
    <definedName name="NX_R" localSheetId="39">#REF!</definedName>
    <definedName name="NX_R" localSheetId="40">#REF!</definedName>
    <definedName name="NX_R" localSheetId="25">#REF!</definedName>
    <definedName name="NX_R" localSheetId="54">#REF!</definedName>
    <definedName name="NX_R" localSheetId="55">#REF!</definedName>
    <definedName name="NX_R" localSheetId="52">#REF!</definedName>
    <definedName name="NX_R" localSheetId="23">#REF!</definedName>
    <definedName name="NX_R" localSheetId="51">#REF!</definedName>
    <definedName name="NX_R" localSheetId="12">#REF!</definedName>
    <definedName name="NX_R" localSheetId="53">#REF!</definedName>
    <definedName name="NX_R" localSheetId="49">#REF!</definedName>
    <definedName name="NX_R" localSheetId="60">#REF!</definedName>
    <definedName name="NX_R" localSheetId="20">#REF!</definedName>
    <definedName name="NX_R">#REF!</definedName>
    <definedName name="NXG" localSheetId="34">#REF!</definedName>
    <definedName name="NXG" localSheetId="35">#REF!</definedName>
    <definedName name="NXG" localSheetId="50">#REF!</definedName>
    <definedName name="NXG" localSheetId="15">#REF!</definedName>
    <definedName name="NXG" localSheetId="29">#REF!</definedName>
    <definedName name="NXG" localSheetId="30">#REF!</definedName>
    <definedName name="NXG" localSheetId="47">#REF!</definedName>
    <definedName name="NXG" localSheetId="44">#REF!</definedName>
    <definedName name="NXG" localSheetId="45">#REF!</definedName>
    <definedName name="NXG" localSheetId="46">#REF!</definedName>
    <definedName name="NXG" localSheetId="31">#REF!</definedName>
    <definedName name="NXG" localSheetId="32">#REF!</definedName>
    <definedName name="NXG" localSheetId="33">#REF!</definedName>
    <definedName name="NXG" localSheetId="36">#REF!</definedName>
    <definedName name="NXG" localSheetId="37">#REF!</definedName>
    <definedName name="NXG" localSheetId="38">#REF!</definedName>
    <definedName name="NXG" localSheetId="39">#REF!</definedName>
    <definedName name="NXG" localSheetId="40">#REF!</definedName>
    <definedName name="NXG" localSheetId="54">#REF!</definedName>
    <definedName name="NXG" localSheetId="55">#REF!</definedName>
    <definedName name="NXG" localSheetId="52">#REF!</definedName>
    <definedName name="NXG" localSheetId="23">#REF!</definedName>
    <definedName name="NXG" localSheetId="51">#REF!</definedName>
    <definedName name="NXG" localSheetId="53">#REF!</definedName>
    <definedName name="NXG" localSheetId="20">#REF!</definedName>
    <definedName name="NXG">#REF!</definedName>
    <definedName name="NXG_R" localSheetId="34">#REF!</definedName>
    <definedName name="NXG_R" localSheetId="35">#REF!</definedName>
    <definedName name="NXG_R" localSheetId="50">#REF!</definedName>
    <definedName name="NXG_R" localSheetId="15">#REF!</definedName>
    <definedName name="NXG_R" localSheetId="27">#REF!</definedName>
    <definedName name="NXG_R" localSheetId="24">#REF!</definedName>
    <definedName name="NXG_R" localSheetId="26">#REF!</definedName>
    <definedName name="NXG_R" localSheetId="29">#REF!</definedName>
    <definedName name="NXG_R" localSheetId="30">#REF!</definedName>
    <definedName name="NXG_R" localSheetId="47">#REF!</definedName>
    <definedName name="NXG_R" localSheetId="44">#REF!</definedName>
    <definedName name="NXG_R" localSheetId="45">#REF!</definedName>
    <definedName name="NXG_R" localSheetId="46">#REF!</definedName>
    <definedName name="NXG_R" localSheetId="31">#REF!</definedName>
    <definedName name="NXG_R" localSheetId="32">#REF!</definedName>
    <definedName name="NXG_R" localSheetId="33">#REF!</definedName>
    <definedName name="NXG_R" localSheetId="36">#REF!</definedName>
    <definedName name="NXG_R" localSheetId="37">#REF!</definedName>
    <definedName name="NXG_R" localSheetId="38">#REF!</definedName>
    <definedName name="NXG_R" localSheetId="39">#REF!</definedName>
    <definedName name="NXG_R" localSheetId="40">#REF!</definedName>
    <definedName name="NXG_R" localSheetId="25">#REF!</definedName>
    <definedName name="NXG_R" localSheetId="54">#REF!</definedName>
    <definedName name="NXG_R" localSheetId="55">#REF!</definedName>
    <definedName name="NXG_R" localSheetId="52">#REF!</definedName>
    <definedName name="NXG_R" localSheetId="23">#REF!</definedName>
    <definedName name="NXG_R" localSheetId="51">#REF!</definedName>
    <definedName name="NXG_R" localSheetId="12">#REF!</definedName>
    <definedName name="NXG_R" localSheetId="53">#REF!</definedName>
    <definedName name="NXG_R" localSheetId="49">#REF!</definedName>
    <definedName name="NXG_R" localSheetId="20">#REF!</definedName>
    <definedName name="NXG_R">#REF!</definedName>
    <definedName name="NXG_RG" localSheetId="34">#REF!</definedName>
    <definedName name="NXG_RG" localSheetId="35">#REF!</definedName>
    <definedName name="NXG_RG" localSheetId="50">#N/A</definedName>
    <definedName name="NXG_RG" localSheetId="15">#REF!</definedName>
    <definedName name="NXG_RG" localSheetId="29">#REF!</definedName>
    <definedName name="NXG_RG" localSheetId="30">#REF!</definedName>
    <definedName name="NXG_RG" localSheetId="47">#REF!</definedName>
    <definedName name="NXG_RG" localSheetId="44">#N/A</definedName>
    <definedName name="NXG_RG" localSheetId="45">#REF!</definedName>
    <definedName name="NXG_RG" localSheetId="46">#REF!</definedName>
    <definedName name="NXG_RG" localSheetId="31">#REF!</definedName>
    <definedName name="NXG_RG" localSheetId="32">#REF!</definedName>
    <definedName name="NXG_RG" localSheetId="33">#REF!</definedName>
    <definedName name="NXG_RG" localSheetId="36">#REF!</definedName>
    <definedName name="NXG_RG" localSheetId="37">#REF!</definedName>
    <definedName name="NXG_RG" localSheetId="38">#REF!</definedName>
    <definedName name="NXG_RG" localSheetId="39">#REF!</definedName>
    <definedName name="NXG_RG" localSheetId="40">#REF!</definedName>
    <definedName name="NXG_RG" localSheetId="54">#N/A</definedName>
    <definedName name="NXG_RG" localSheetId="55">#REF!</definedName>
    <definedName name="NXG_RG" localSheetId="52">#N/A</definedName>
    <definedName name="NXG_RG" localSheetId="23">#REF!</definedName>
    <definedName name="NXG_RG" localSheetId="51">#N/A</definedName>
    <definedName name="NXG_RG" localSheetId="53">#N/A</definedName>
    <definedName name="NXG_RG" localSheetId="20">#REF!</definedName>
    <definedName name="NXG_RG">#REF!</definedName>
    <definedName name="NXS_R" localSheetId="34">#REF!</definedName>
    <definedName name="NXS_R" localSheetId="35">#REF!</definedName>
    <definedName name="NXS_R" localSheetId="50">#REF!</definedName>
    <definedName name="NXS_R" localSheetId="15">#REF!</definedName>
    <definedName name="NXS_R" localSheetId="29">#REF!</definedName>
    <definedName name="NXS_R" localSheetId="30">#REF!</definedName>
    <definedName name="NXS_R" localSheetId="47">#REF!</definedName>
    <definedName name="NXS_R" localSheetId="44">#REF!</definedName>
    <definedName name="NXS_R" localSheetId="45">#REF!</definedName>
    <definedName name="NXS_R" localSheetId="46">#REF!</definedName>
    <definedName name="NXS_R" localSheetId="31">#REF!</definedName>
    <definedName name="NXS_R" localSheetId="32">#REF!</definedName>
    <definedName name="NXS_R" localSheetId="33">#REF!</definedName>
    <definedName name="NXS_R" localSheetId="36">#REF!</definedName>
    <definedName name="NXS_R" localSheetId="37">#REF!</definedName>
    <definedName name="NXS_R" localSheetId="38">#REF!</definedName>
    <definedName name="NXS_R" localSheetId="39">#REF!</definedName>
    <definedName name="NXS_R" localSheetId="40">#REF!</definedName>
    <definedName name="NXS_R" localSheetId="54">#REF!</definedName>
    <definedName name="NXS_R" localSheetId="55">#REF!</definedName>
    <definedName name="NXS_R" localSheetId="52">#REF!</definedName>
    <definedName name="NXS_R" localSheetId="23">#REF!</definedName>
    <definedName name="NXS_R" localSheetId="51">#REF!</definedName>
    <definedName name="NXS_R" localSheetId="53">#REF!</definedName>
    <definedName name="NXS_R" localSheetId="20">#REF!</definedName>
    <definedName name="NXS_R">#REF!</definedName>
    <definedName name="ᵑᵈ">"SECOND"</definedName>
    <definedName name="o" localSheetId="50">'[126]quarterly info'!#REF!</definedName>
    <definedName name="o" localSheetId="47">'[126]quarterly info'!#REF!</definedName>
    <definedName name="o" localSheetId="44">'[126]quarterly info'!#REF!</definedName>
    <definedName name="o" localSheetId="45">'[126]quarterly info'!#REF!</definedName>
    <definedName name="o" localSheetId="46">'[126]quarterly info'!#REF!</definedName>
    <definedName name="o" localSheetId="37">'[126]quarterly info'!#REF!</definedName>
    <definedName name="o" localSheetId="40">'[126]quarterly info'!#REF!</definedName>
    <definedName name="o" localSheetId="54">'[126]quarterly info'!#REF!</definedName>
    <definedName name="o" localSheetId="55">'[126]quarterly info'!#REF!</definedName>
    <definedName name="o" localSheetId="52">'[126]quarterly info'!#REF!</definedName>
    <definedName name="o" localSheetId="51">'[126]quarterly info'!#REF!</definedName>
    <definedName name="o" localSheetId="53">'[126]quarterly info'!#REF!</definedName>
    <definedName name="o">'[126]quarterly info'!#REF!</definedName>
    <definedName name="OBI" localSheetId="50">#REF!</definedName>
    <definedName name="OBI" localSheetId="47">#REF!</definedName>
    <definedName name="OBI" localSheetId="44">#REF!</definedName>
    <definedName name="OBI" localSheetId="45">#REF!</definedName>
    <definedName name="OBI" localSheetId="46">#REF!</definedName>
    <definedName name="OBI" localSheetId="37">#REF!</definedName>
    <definedName name="OBI" localSheetId="40">#REF!</definedName>
    <definedName name="OBI" localSheetId="54">#REF!</definedName>
    <definedName name="OBI" localSheetId="55">#REF!</definedName>
    <definedName name="OBI" localSheetId="52">#REF!</definedName>
    <definedName name="OBI" localSheetId="51">#REF!</definedName>
    <definedName name="OBI" localSheetId="53">#REF!</definedName>
    <definedName name="OBI">#REF!</definedName>
    <definedName name="OBJ_LOE_EXP" localSheetId="50">#REF!</definedName>
    <definedName name="OBJ_LOE_EXP" localSheetId="47">#REF!</definedName>
    <definedName name="OBJ_LOE_EXP" localSheetId="44">#REF!</definedName>
    <definedName name="OBJ_LOE_EXP" localSheetId="45">#REF!</definedName>
    <definedName name="OBJ_LOE_EXP" localSheetId="46">#REF!</definedName>
    <definedName name="OBJ_LOE_EXP" localSheetId="37">#REF!</definedName>
    <definedName name="OBJ_LOE_EXP" localSheetId="40">#REF!</definedName>
    <definedName name="OBJ_LOE_EXP" localSheetId="54">#REF!</definedName>
    <definedName name="OBJ_LOE_EXP" localSheetId="55">#REF!</definedName>
    <definedName name="OBJ_LOE_EXP" localSheetId="52">#REF!</definedName>
    <definedName name="OBJ_LOE_EXP" localSheetId="51">#REF!</definedName>
    <definedName name="OBJ_LOE_EXP" localSheetId="53">#REF!</definedName>
    <definedName name="OBJ_LOE_EXP">#REF!</definedName>
    <definedName name="OBJ_LOE_HIGH" localSheetId="50">#REF!</definedName>
    <definedName name="OBJ_LOE_HIGH" localSheetId="47">#REF!</definedName>
    <definedName name="OBJ_LOE_HIGH" localSheetId="44">#REF!</definedName>
    <definedName name="OBJ_LOE_HIGH" localSheetId="45">#REF!</definedName>
    <definedName name="OBJ_LOE_HIGH" localSheetId="46">#REF!</definedName>
    <definedName name="OBJ_LOE_HIGH" localSheetId="37">#REF!</definedName>
    <definedName name="OBJ_LOE_HIGH" localSheetId="40">#REF!</definedName>
    <definedName name="OBJ_LOE_HIGH" localSheetId="54">#REF!</definedName>
    <definedName name="OBJ_LOE_HIGH" localSheetId="55">#REF!</definedName>
    <definedName name="OBJ_LOE_HIGH" localSheetId="52">#REF!</definedName>
    <definedName name="OBJ_LOE_HIGH" localSheetId="51">#REF!</definedName>
    <definedName name="OBJ_LOE_HIGH" localSheetId="53">#REF!</definedName>
    <definedName name="OBJ_LOE_HIGH">#REF!</definedName>
    <definedName name="OBJ_LOE_LOW" localSheetId="50">#REF!</definedName>
    <definedName name="OBJ_LOE_LOW" localSheetId="47">#REF!</definedName>
    <definedName name="OBJ_LOE_LOW" localSheetId="44">#REF!</definedName>
    <definedName name="OBJ_LOE_LOW" localSheetId="45">#REF!</definedName>
    <definedName name="OBJ_LOE_LOW" localSheetId="46">#REF!</definedName>
    <definedName name="OBJ_LOE_LOW" localSheetId="37">#REF!</definedName>
    <definedName name="OBJ_LOE_LOW" localSheetId="40">#REF!</definedName>
    <definedName name="OBJ_LOE_LOW" localSheetId="54">#REF!</definedName>
    <definedName name="OBJ_LOE_LOW" localSheetId="55">#REF!</definedName>
    <definedName name="OBJ_LOE_LOW" localSheetId="52">#REF!</definedName>
    <definedName name="OBJ_LOE_LOW" localSheetId="51">#REF!</definedName>
    <definedName name="OBJ_LOE_LOW" localSheetId="53">#REF!</definedName>
    <definedName name="OBJ_LOE_LOW">#REF!</definedName>
    <definedName name="OBJECT_NAME" localSheetId="50">#REF!</definedName>
    <definedName name="OBJECT_NAME" localSheetId="47">#REF!</definedName>
    <definedName name="OBJECT_NAME" localSheetId="44">#REF!</definedName>
    <definedName name="OBJECT_NAME" localSheetId="45">#REF!</definedName>
    <definedName name="OBJECT_NAME" localSheetId="46">#REF!</definedName>
    <definedName name="OBJECT_NAME" localSheetId="37">#REF!</definedName>
    <definedName name="OBJECT_NAME" localSheetId="40">#REF!</definedName>
    <definedName name="OBJECT_NAME" localSheetId="54">#REF!</definedName>
    <definedName name="OBJECT_NAME" localSheetId="55">#REF!</definedName>
    <definedName name="OBJECT_NAME" localSheetId="52">#REF!</definedName>
    <definedName name="OBJECT_NAME" localSheetId="51">#REF!</definedName>
    <definedName name="OBJECT_NAME" localSheetId="53">#REF!</definedName>
    <definedName name="OBJECT_NAME">#REF!</definedName>
    <definedName name="objrsks_instr" localSheetId="50">[40]Help!#REF!</definedName>
    <definedName name="objrsks_instr" localSheetId="47">[40]Help!#REF!</definedName>
    <definedName name="objrsks_instr" localSheetId="44">[40]Help!#REF!</definedName>
    <definedName name="objrsks_instr" localSheetId="45">[40]Help!#REF!</definedName>
    <definedName name="objrsks_instr" localSheetId="46">[40]Help!#REF!</definedName>
    <definedName name="objrsks_instr" localSheetId="37">[40]Help!#REF!</definedName>
    <definedName name="objrsks_instr" localSheetId="40">[40]Help!#REF!</definedName>
    <definedName name="objrsks_instr" localSheetId="54">[40]Help!#REF!</definedName>
    <definedName name="objrsks_instr" localSheetId="55">[40]Help!#REF!</definedName>
    <definedName name="objrsks_instr" localSheetId="52">[40]Help!#REF!</definedName>
    <definedName name="objrsks_instr" localSheetId="51">[40]Help!#REF!</definedName>
    <definedName name="objrsks_instr" localSheetId="53">[40]Help!#REF!</definedName>
    <definedName name="objrsks_instr">[40]Help!#REF!</definedName>
    <definedName name="objrsks_instr_1" localSheetId="50">[42]Help!#REF!</definedName>
    <definedName name="objrsks_instr_1" localSheetId="47">[42]Help!#REF!</definedName>
    <definedName name="objrsks_instr_1" localSheetId="44">[42]Help!#REF!</definedName>
    <definedName name="objrsks_instr_1" localSheetId="45">[42]Help!#REF!</definedName>
    <definedName name="objrsks_instr_1" localSheetId="46">[42]Help!#REF!</definedName>
    <definedName name="objrsks_instr_1" localSheetId="37">[42]Help!#REF!</definedName>
    <definedName name="objrsks_instr_1" localSheetId="40">[42]Help!#REF!</definedName>
    <definedName name="objrsks_instr_1" localSheetId="54">[42]Help!#REF!</definedName>
    <definedName name="objrsks_instr_1" localSheetId="55">[42]Help!#REF!</definedName>
    <definedName name="objrsks_instr_1" localSheetId="52">[42]Help!#REF!</definedName>
    <definedName name="objrsks_instr_1" localSheetId="51">[42]Help!#REF!</definedName>
    <definedName name="objrsks_instr_1" localSheetId="53">[42]Help!#REF!</definedName>
    <definedName name="objrsks_instr_1">[42]Help!#REF!</definedName>
    <definedName name="OCT" localSheetId="34">#REF!</definedName>
    <definedName name="OCT" localSheetId="35">#REF!</definedName>
    <definedName name="OCT" localSheetId="50">#REF!</definedName>
    <definedName name="OCT" localSheetId="15">#REF!</definedName>
    <definedName name="OCT" localSheetId="29">#REF!</definedName>
    <definedName name="OCT" localSheetId="30">#REF!</definedName>
    <definedName name="OCT" localSheetId="47">#REF!</definedName>
    <definedName name="OCT" localSheetId="44">#REF!</definedName>
    <definedName name="OCT" localSheetId="45">#REF!</definedName>
    <definedName name="OCT" localSheetId="46">#REF!</definedName>
    <definedName name="OCT" localSheetId="31">#REF!</definedName>
    <definedName name="OCT" localSheetId="32">#REF!</definedName>
    <definedName name="OCT" localSheetId="33">#REF!</definedName>
    <definedName name="OCT" localSheetId="36">#REF!</definedName>
    <definedName name="OCT" localSheetId="37">#REF!</definedName>
    <definedName name="OCT" localSheetId="38">#REF!</definedName>
    <definedName name="OCT" localSheetId="39">#REF!</definedName>
    <definedName name="OCT" localSheetId="40">#REF!</definedName>
    <definedName name="OCT" localSheetId="54">#REF!</definedName>
    <definedName name="OCT" localSheetId="55">#REF!</definedName>
    <definedName name="OCT" localSheetId="52">#REF!</definedName>
    <definedName name="OCT" localSheetId="23">#REF!</definedName>
    <definedName name="OCT" localSheetId="51">#REF!</definedName>
    <definedName name="OCT" localSheetId="53">#REF!</definedName>
    <definedName name="OCT" localSheetId="20">#REF!</definedName>
    <definedName name="OCT">#REF!</definedName>
    <definedName name="OCT._89" localSheetId="34">#REF!</definedName>
    <definedName name="OCT._89" localSheetId="35">#REF!</definedName>
    <definedName name="OCT._89" localSheetId="50">#REF!</definedName>
    <definedName name="OCT._89" localSheetId="15">#REF!</definedName>
    <definedName name="OCT._89" localSheetId="29">#REF!</definedName>
    <definedName name="OCT._89" localSheetId="30">#REF!</definedName>
    <definedName name="OCT._89" localSheetId="47">#REF!</definedName>
    <definedName name="OCT._89" localSheetId="44">#REF!</definedName>
    <definedName name="OCT._89" localSheetId="45">#REF!</definedName>
    <definedName name="OCT._89" localSheetId="46">#REF!</definedName>
    <definedName name="OCT._89" localSheetId="31">#REF!</definedName>
    <definedName name="OCT._89" localSheetId="32">#REF!</definedName>
    <definedName name="OCT._89" localSheetId="33">#REF!</definedName>
    <definedName name="OCT._89" localSheetId="36">#REF!</definedName>
    <definedName name="OCT._89" localSheetId="37">#REF!</definedName>
    <definedName name="OCT._89" localSheetId="38">#REF!</definedName>
    <definedName name="OCT._89" localSheetId="39">#REF!</definedName>
    <definedName name="OCT._89" localSheetId="40">#REF!</definedName>
    <definedName name="OCT._89" localSheetId="54">#REF!</definedName>
    <definedName name="OCT._89" localSheetId="55">#REF!</definedName>
    <definedName name="OCT._89" localSheetId="52">#REF!</definedName>
    <definedName name="OCT._89" localSheetId="23">#REF!</definedName>
    <definedName name="OCT._89" localSheetId="51">#REF!</definedName>
    <definedName name="OCT._89" localSheetId="53">#REF!</definedName>
    <definedName name="OCT._89" localSheetId="20">#REF!</definedName>
    <definedName name="OCT._89">#REF!</definedName>
    <definedName name="Oct05Cap" localSheetId="50">#REF!</definedName>
    <definedName name="Oct05Cap" localSheetId="47">#REF!</definedName>
    <definedName name="Oct05Cap" localSheetId="44">#REF!</definedName>
    <definedName name="Oct05Cap" localSheetId="45">#REF!</definedName>
    <definedName name="Oct05Cap" localSheetId="46">#REF!</definedName>
    <definedName name="Oct05Cap" localSheetId="37">#REF!</definedName>
    <definedName name="Oct05Cap" localSheetId="40">#REF!</definedName>
    <definedName name="Oct05Cap" localSheetId="54">#REF!</definedName>
    <definedName name="Oct05Cap" localSheetId="55">#REF!</definedName>
    <definedName name="Oct05Cap" localSheetId="52">#REF!</definedName>
    <definedName name="Oct05Cap" localSheetId="51">#REF!</definedName>
    <definedName name="Oct05Cap" localSheetId="53">#REF!</definedName>
    <definedName name="Oct05Cap">#REF!</definedName>
    <definedName name="Oct06Cap" localSheetId="50">#REF!</definedName>
    <definedName name="Oct06Cap" localSheetId="47">#REF!</definedName>
    <definedName name="Oct06Cap" localSheetId="44">#REF!</definedName>
    <definedName name="Oct06Cap" localSheetId="45">#REF!</definedName>
    <definedName name="Oct06Cap" localSheetId="46">#REF!</definedName>
    <definedName name="Oct06Cap" localSheetId="37">#REF!</definedName>
    <definedName name="Oct06Cap" localSheetId="40">#REF!</definedName>
    <definedName name="Oct06Cap" localSheetId="54">#REF!</definedName>
    <definedName name="Oct06Cap" localSheetId="55">#REF!</definedName>
    <definedName name="Oct06Cap" localSheetId="52">#REF!</definedName>
    <definedName name="Oct06Cap" localSheetId="51">#REF!</definedName>
    <definedName name="Oct06Cap" localSheetId="53">#REF!</definedName>
    <definedName name="Oct06Cap">#REF!</definedName>
    <definedName name="October">'[45]Variance Explanations'!$M$10:$M$84,'[45]Variance Explanations'!$M$98:$M$178,'[45]Variance Explanations'!$M$190:$M$252,'[45]Variance Explanations'!$M$252,'[45]Variance Explanations'!$M$264:$M$343,'[45]Variance Explanations'!$M$356:$M$409,'[45]Variance Explanations'!$M$424:$M$485,'[45]Variance Explanations'!$M$508:$M$555</definedName>
    <definedName name="OECD_Table" localSheetId="50">#REF!</definedName>
    <definedName name="OECD_Table" localSheetId="47">#REF!</definedName>
    <definedName name="OECD_Table" localSheetId="44">#REF!</definedName>
    <definedName name="OECD_Table" localSheetId="45">#REF!</definedName>
    <definedName name="OECD_Table" localSheetId="46">#REF!</definedName>
    <definedName name="OECD_Table" localSheetId="37">#REF!</definedName>
    <definedName name="OECD_Table" localSheetId="40">#REF!</definedName>
    <definedName name="OECD_Table" localSheetId="54">#REF!</definedName>
    <definedName name="OECD_Table" localSheetId="55">#REF!</definedName>
    <definedName name="OECD_Table" localSheetId="52">#REF!</definedName>
    <definedName name="OECD_Table" localSheetId="51">#REF!</definedName>
    <definedName name="OECD_Table" localSheetId="53">#REF!</definedName>
    <definedName name="OECD_Table">#REF!</definedName>
    <definedName name="office" localSheetId="50">#REF!</definedName>
    <definedName name="office" localSheetId="47">#REF!</definedName>
    <definedName name="office" localSheetId="44">#REF!</definedName>
    <definedName name="office" localSheetId="45">#REF!</definedName>
    <definedName name="office" localSheetId="46">#REF!</definedName>
    <definedName name="office" localSheetId="37">#REF!</definedName>
    <definedName name="office" localSheetId="40">#REF!</definedName>
    <definedName name="office" localSheetId="54">#REF!</definedName>
    <definedName name="office" localSheetId="55">#REF!</definedName>
    <definedName name="office" localSheetId="52">#REF!</definedName>
    <definedName name="office" localSheetId="51">#REF!</definedName>
    <definedName name="office" localSheetId="53">#REF!</definedName>
    <definedName name="office">#REF!</definedName>
    <definedName name="office_location_list">[41]Roles!$C$2:$C$28</definedName>
    <definedName name="OK" localSheetId="34">'[127]Credit by Sector'!#REF!</definedName>
    <definedName name="OK" localSheetId="35">'[127]Credit by Sector'!#REF!</definedName>
    <definedName name="ok" localSheetId="50">[128]Admin!$C$46:$C$53</definedName>
    <definedName name="OK" localSheetId="15">'[127]Credit by Sector'!#REF!</definedName>
    <definedName name="OK" localSheetId="27">'[127]Credit by Sector'!#REF!</definedName>
    <definedName name="OK" localSheetId="24">'[127]Credit by Sector'!#REF!</definedName>
    <definedName name="OK" localSheetId="26">'[127]Credit by Sector'!#REF!</definedName>
    <definedName name="OK" localSheetId="29">'[127]Credit by Sector'!#REF!</definedName>
    <definedName name="OK" localSheetId="30">'[127]Credit by Sector'!#REF!</definedName>
    <definedName name="OK" localSheetId="47">'[127]Credit by Sector'!#REF!</definedName>
    <definedName name="ok" localSheetId="44">[128]Admin!$C$46:$C$53</definedName>
    <definedName name="OK" localSheetId="45">'[127]Credit by Sector'!#REF!</definedName>
    <definedName name="OK" localSheetId="46">'[127]Credit by Sector'!#REF!</definedName>
    <definedName name="OK" localSheetId="31">'[127]Credit by Sector'!#REF!</definedName>
    <definedName name="OK" localSheetId="32">'[127]Credit by Sector'!#REF!</definedName>
    <definedName name="OK" localSheetId="33">'[127]Credit by Sector'!#REF!</definedName>
    <definedName name="OK" localSheetId="36">'[127]Credit by Sector'!#REF!</definedName>
    <definedName name="OK" localSheetId="37">'[127]Credit by Sector'!#REF!</definedName>
    <definedName name="OK" localSheetId="38">'[127]Credit by Sector'!#REF!</definedName>
    <definedName name="OK" localSheetId="39">'[127]Credit by Sector'!#REF!</definedName>
    <definedName name="OK" localSheetId="40">'[127]Credit by Sector'!#REF!</definedName>
    <definedName name="OK" localSheetId="25">'[127]Credit by Sector'!#REF!</definedName>
    <definedName name="ok" localSheetId="54">[128]Admin!$C$46:$C$53</definedName>
    <definedName name="OK" localSheetId="55">'[127]Credit by Sector'!#REF!</definedName>
    <definedName name="ok" localSheetId="52">[128]Admin!$C$46:$C$53</definedName>
    <definedName name="OK" localSheetId="23">'[127]Credit by Sector'!#REF!</definedName>
    <definedName name="ok" localSheetId="51">[128]Admin!$C$46:$C$53</definedName>
    <definedName name="OK" localSheetId="12">'[127]Credit by Sector'!#REF!</definedName>
    <definedName name="ok" localSheetId="53">[128]Admin!$C$46:$C$53</definedName>
    <definedName name="OK" localSheetId="20">'[127]Credit by Sector'!#REF!</definedName>
    <definedName name="OK">'[127]Credit by Sector'!#REF!</definedName>
    <definedName name="OnboardingBackground" localSheetId="50">#REF!</definedName>
    <definedName name="OnboardingBackground" localSheetId="47">#REF!</definedName>
    <definedName name="OnboardingBackground" localSheetId="44">#REF!</definedName>
    <definedName name="OnboardingBackground" localSheetId="45">#REF!</definedName>
    <definedName name="OnboardingBackground" localSheetId="46">#REF!</definedName>
    <definedName name="OnboardingBackground" localSheetId="37">#REF!</definedName>
    <definedName name="OnboardingBackground" localSheetId="40">#REF!</definedName>
    <definedName name="OnboardingBackground" localSheetId="54">#REF!</definedName>
    <definedName name="OnboardingBackground" localSheetId="55">#REF!</definedName>
    <definedName name="OnboardingBackground" localSheetId="52">#REF!</definedName>
    <definedName name="OnboardingBackground" localSheetId="51">#REF!</definedName>
    <definedName name="OnboardingBackground" localSheetId="53">#REF!</definedName>
    <definedName name="OnboardingBackground">#REF!</definedName>
    <definedName name="OnboardingCheckAccount" localSheetId="50">#REF!</definedName>
    <definedName name="OnboardingCheckAccount" localSheetId="47">#REF!</definedName>
    <definedName name="OnboardingCheckAccount" localSheetId="44">#REF!</definedName>
    <definedName name="OnboardingCheckAccount" localSheetId="45">#REF!</definedName>
    <definedName name="OnboardingCheckAccount" localSheetId="46">#REF!</definedName>
    <definedName name="OnboardingCheckAccount" localSheetId="37">#REF!</definedName>
    <definedName name="OnboardingCheckAccount" localSheetId="40">#REF!</definedName>
    <definedName name="OnboardingCheckAccount" localSheetId="54">#REF!</definedName>
    <definedName name="OnboardingCheckAccount" localSheetId="55">#REF!</definedName>
    <definedName name="OnboardingCheckAccount" localSheetId="52">#REF!</definedName>
    <definedName name="OnboardingCheckAccount" localSheetId="51">#REF!</definedName>
    <definedName name="OnboardingCheckAccount" localSheetId="53">#REF!</definedName>
    <definedName name="OnboardingCheckAccount">#REF!</definedName>
    <definedName name="OnboardingCheckCurrentTeam" localSheetId="50">#REF!</definedName>
    <definedName name="OnboardingCheckCurrentTeam" localSheetId="47">#REF!</definedName>
    <definedName name="OnboardingCheckCurrentTeam" localSheetId="44">#REF!</definedName>
    <definedName name="OnboardingCheckCurrentTeam" localSheetId="45">#REF!</definedName>
    <definedName name="OnboardingCheckCurrentTeam" localSheetId="46">#REF!</definedName>
    <definedName name="OnboardingCheckCurrentTeam" localSheetId="37">#REF!</definedName>
    <definedName name="OnboardingCheckCurrentTeam" localSheetId="40">#REF!</definedName>
    <definedName name="OnboardingCheckCurrentTeam" localSheetId="54">#REF!</definedName>
    <definedName name="OnboardingCheckCurrentTeam" localSheetId="55">#REF!</definedName>
    <definedName name="OnboardingCheckCurrentTeam" localSheetId="52">#REF!</definedName>
    <definedName name="OnboardingCheckCurrentTeam" localSheetId="51">#REF!</definedName>
    <definedName name="OnboardingCheckCurrentTeam" localSheetId="53">#REF!</definedName>
    <definedName name="OnboardingCheckCurrentTeam">#REF!</definedName>
    <definedName name="OnboardingCheckPS" localSheetId="50">#REF!</definedName>
    <definedName name="OnboardingCheckPS" localSheetId="47">#REF!</definedName>
    <definedName name="OnboardingCheckPS" localSheetId="44">#REF!</definedName>
    <definedName name="OnboardingCheckPS" localSheetId="45">#REF!</definedName>
    <definedName name="OnboardingCheckPS" localSheetId="46">#REF!</definedName>
    <definedName name="OnboardingCheckPS" localSheetId="37">#REF!</definedName>
    <definedName name="OnboardingCheckPS" localSheetId="40">#REF!</definedName>
    <definedName name="OnboardingCheckPS" localSheetId="54">#REF!</definedName>
    <definedName name="OnboardingCheckPS" localSheetId="55">#REF!</definedName>
    <definedName name="OnboardingCheckPS" localSheetId="52">#REF!</definedName>
    <definedName name="OnboardingCheckPS" localSheetId="51">#REF!</definedName>
    <definedName name="OnboardingCheckPS" localSheetId="53">#REF!</definedName>
    <definedName name="OnboardingCheckPS">#REF!</definedName>
    <definedName name="OnboardingClear" localSheetId="50">#REF!</definedName>
    <definedName name="OnboardingClear" localSheetId="47">#REF!</definedName>
    <definedName name="OnboardingClear" localSheetId="44">#REF!</definedName>
    <definedName name="OnboardingClear" localSheetId="45">#REF!</definedName>
    <definedName name="OnboardingClear" localSheetId="46">#REF!</definedName>
    <definedName name="OnboardingClear" localSheetId="37">#REF!</definedName>
    <definedName name="OnboardingClear" localSheetId="40">#REF!</definedName>
    <definedName name="OnboardingClear" localSheetId="54">#REF!</definedName>
    <definedName name="OnboardingClear" localSheetId="55">#REF!</definedName>
    <definedName name="OnboardingClear" localSheetId="52">#REF!</definedName>
    <definedName name="OnboardingClear" localSheetId="51">#REF!</definedName>
    <definedName name="OnboardingClear" localSheetId="53">#REF!</definedName>
    <definedName name="OnboardingClear">#REF!</definedName>
    <definedName name="OnboardingGeography" localSheetId="50">#REF!</definedName>
    <definedName name="OnboardingGeography" localSheetId="47">#REF!</definedName>
    <definedName name="OnboardingGeography" localSheetId="44">#REF!</definedName>
    <definedName name="OnboardingGeography" localSheetId="45">#REF!</definedName>
    <definedName name="OnboardingGeography" localSheetId="46">#REF!</definedName>
    <definedName name="OnboardingGeography" localSheetId="37">#REF!</definedName>
    <definedName name="OnboardingGeography" localSheetId="40">#REF!</definedName>
    <definedName name="OnboardingGeography" localSheetId="54">#REF!</definedName>
    <definedName name="OnboardingGeography" localSheetId="55">#REF!</definedName>
    <definedName name="OnboardingGeography" localSheetId="52">#REF!</definedName>
    <definedName name="OnboardingGeography" localSheetId="51">#REF!</definedName>
    <definedName name="OnboardingGeography" localSheetId="53">#REF!</definedName>
    <definedName name="OnboardingGeography">#REF!</definedName>
    <definedName name="OnboardingName" localSheetId="50">#REF!</definedName>
    <definedName name="OnboardingName" localSheetId="47">#REF!</definedName>
    <definedName name="OnboardingName" localSheetId="44">#REF!</definedName>
    <definedName name="OnboardingName" localSheetId="45">#REF!</definedName>
    <definedName name="OnboardingName" localSheetId="46">#REF!</definedName>
    <definedName name="OnboardingName" localSheetId="37">#REF!</definedName>
    <definedName name="OnboardingName" localSheetId="40">#REF!</definedName>
    <definedName name="OnboardingName" localSheetId="54">#REF!</definedName>
    <definedName name="OnboardingName" localSheetId="55">#REF!</definedName>
    <definedName name="OnboardingName" localSheetId="52">#REF!</definedName>
    <definedName name="OnboardingName" localSheetId="51">#REF!</definedName>
    <definedName name="OnboardingName" localSheetId="53">#REF!</definedName>
    <definedName name="OnboardingName">#REF!</definedName>
    <definedName name="OnboardingNotes" localSheetId="50">#REF!</definedName>
    <definedName name="OnboardingNotes" localSheetId="47">#REF!</definedName>
    <definedName name="OnboardingNotes" localSheetId="44">#REF!</definedName>
    <definedName name="OnboardingNotes" localSheetId="45">#REF!</definedName>
    <definedName name="OnboardingNotes" localSheetId="46">#REF!</definedName>
    <definedName name="OnboardingNotes" localSheetId="37">#REF!</definedName>
    <definedName name="OnboardingNotes" localSheetId="40">#REF!</definedName>
    <definedName name="OnboardingNotes" localSheetId="54">#REF!</definedName>
    <definedName name="OnboardingNotes" localSheetId="55">#REF!</definedName>
    <definedName name="OnboardingNotes" localSheetId="52">#REF!</definedName>
    <definedName name="OnboardingNotes" localSheetId="51">#REF!</definedName>
    <definedName name="OnboardingNotes" localSheetId="53">#REF!</definedName>
    <definedName name="OnboardingNotes">#REF!</definedName>
    <definedName name="OnboardingPSName" localSheetId="50">#REF!</definedName>
    <definedName name="OnboardingPSName" localSheetId="47">#REF!</definedName>
    <definedName name="OnboardingPSName" localSheetId="44">#REF!</definedName>
    <definedName name="OnboardingPSName" localSheetId="45">#REF!</definedName>
    <definedName name="OnboardingPSName" localSheetId="46">#REF!</definedName>
    <definedName name="OnboardingPSName" localSheetId="37">#REF!</definedName>
    <definedName name="OnboardingPSName" localSheetId="40">#REF!</definedName>
    <definedName name="OnboardingPSName" localSheetId="54">#REF!</definedName>
    <definedName name="OnboardingPSName" localSheetId="55">#REF!</definedName>
    <definedName name="OnboardingPSName" localSheetId="52">#REF!</definedName>
    <definedName name="OnboardingPSName" localSheetId="51">#REF!</definedName>
    <definedName name="OnboardingPSName" localSheetId="53">#REF!</definedName>
    <definedName name="OnboardingPSName">#REF!</definedName>
    <definedName name="OnboardingStaffingConfirmed" localSheetId="50">#REF!</definedName>
    <definedName name="OnboardingStaffingConfirmed" localSheetId="47">#REF!</definedName>
    <definedName name="OnboardingStaffingConfirmed" localSheetId="44">#REF!</definedName>
    <definedName name="OnboardingStaffingConfirmed" localSheetId="45">#REF!</definedName>
    <definedName name="OnboardingStaffingConfirmed" localSheetId="46">#REF!</definedName>
    <definedName name="OnboardingStaffingConfirmed" localSheetId="37">#REF!</definedName>
    <definedName name="OnboardingStaffingConfirmed" localSheetId="40">#REF!</definedName>
    <definedName name="OnboardingStaffingConfirmed" localSheetId="54">#REF!</definedName>
    <definedName name="OnboardingStaffingConfirmed" localSheetId="55">#REF!</definedName>
    <definedName name="OnboardingStaffingConfirmed" localSheetId="52">#REF!</definedName>
    <definedName name="OnboardingStaffingConfirmed" localSheetId="51">#REF!</definedName>
    <definedName name="OnboardingStaffingConfirmed" localSheetId="53">#REF!</definedName>
    <definedName name="OnboardingStaffingConfirmed">#REF!</definedName>
    <definedName name="OnboardingUserID" localSheetId="50">#REF!</definedName>
    <definedName name="OnboardingUserID" localSheetId="47">#REF!</definedName>
    <definedName name="OnboardingUserID" localSheetId="44">#REF!</definedName>
    <definedName name="OnboardingUserID" localSheetId="45">#REF!</definedName>
    <definedName name="OnboardingUserID" localSheetId="46">#REF!</definedName>
    <definedName name="OnboardingUserID" localSheetId="37">#REF!</definedName>
    <definedName name="OnboardingUserID" localSheetId="40">#REF!</definedName>
    <definedName name="OnboardingUserID" localSheetId="54">#REF!</definedName>
    <definedName name="OnboardingUserID" localSheetId="55">#REF!</definedName>
    <definedName name="OnboardingUserID" localSheetId="52">#REF!</definedName>
    <definedName name="OnboardingUserID" localSheetId="51">#REF!</definedName>
    <definedName name="OnboardingUserID" localSheetId="53">#REF!</definedName>
    <definedName name="OnboardingUserID">#REF!</definedName>
    <definedName name="OneTeamFocusAreas" localSheetId="50">#REF!</definedName>
    <definedName name="OneTeamFocusAreas" localSheetId="47">#REF!</definedName>
    <definedName name="OneTeamFocusAreas" localSheetId="44">#REF!</definedName>
    <definedName name="OneTeamFocusAreas" localSheetId="45">#REF!</definedName>
    <definedName name="OneTeamFocusAreas" localSheetId="46">#REF!</definedName>
    <definedName name="OneTeamFocusAreas" localSheetId="37">#REF!</definedName>
    <definedName name="OneTeamFocusAreas" localSheetId="40">#REF!</definedName>
    <definedName name="OneTeamFocusAreas" localSheetId="54">#REF!</definedName>
    <definedName name="OneTeamFocusAreas" localSheetId="55">#REF!</definedName>
    <definedName name="OneTeamFocusAreas" localSheetId="52">#REF!</definedName>
    <definedName name="OneTeamFocusAreas" localSheetId="51">#REF!</definedName>
    <definedName name="OneTeamFocusAreas" localSheetId="53">#REF!</definedName>
    <definedName name="OneTeamFocusAreas">#REF!</definedName>
    <definedName name="OnShow" localSheetId="50">#N/A</definedName>
    <definedName name="OnShow" localSheetId="44">#N/A</definedName>
    <definedName name="OnShow" localSheetId="54">#N/A</definedName>
    <definedName name="OnShow" localSheetId="52">#N/A</definedName>
    <definedName name="OnShow" localSheetId="51">#N/A</definedName>
    <definedName name="OnShow" localSheetId="53">#N/A</definedName>
    <definedName name="OnShow">[54]!OnShow</definedName>
    <definedName name="oo" localSheetId="58" hidden="1">{"Riqfin97",#N/A,FALSE,"Tran";"Riqfinpro",#N/A,FALSE,"Tran"}</definedName>
    <definedName name="oo" localSheetId="16" hidden="1">{"Riqfin97",#N/A,FALSE,"Tran";"Riqfinpro",#N/A,FALSE,"Tran"}</definedName>
    <definedName name="oo" localSheetId="61" hidden="1">{"Riqfin97",#N/A,FALSE,"Tran";"Riqfinpro",#N/A,FALSE,"Tran"}</definedName>
    <definedName name="oo" localSheetId="62" hidden="1">{"Riqfin97",#N/A,FALSE,"Tran";"Riqfinpro",#N/A,FALSE,"Tran"}</definedName>
    <definedName name="oo" localSheetId="50" hidden="1">{"Riqfin97",#N/A,FALSE,"Tran";"Riqfinpro",#N/A,FALSE,"Tran"}</definedName>
    <definedName name="oo" localSheetId="63" hidden="1">{"Riqfin97",#N/A,FALSE,"Tran";"Riqfinpro",#N/A,FALSE,"Tran"}</definedName>
    <definedName name="oo" localSheetId="15" hidden="1">{"Riqfin97",#N/A,FALSE,"Tran";"Riqfinpro",#N/A,FALSE,"Tran"}</definedName>
    <definedName name="oo" localSheetId="1" hidden="1">{"Riqfin97",#N/A,FALSE,"Tran";"Riqfinpro",#N/A,FALSE,"Tran"}</definedName>
    <definedName name="oo" localSheetId="43" hidden="1">{"Riqfin97",#N/A,FALSE,"Tran";"Riqfinpro",#N/A,FALSE,"Tran"}</definedName>
    <definedName name="oo" localSheetId="29" hidden="1">{"Riqfin97",#N/A,FALSE,"Tran";"Riqfinpro",#N/A,FALSE,"Tran"}</definedName>
    <definedName name="oo" localSheetId="30" hidden="1">{"Riqfin97",#N/A,FALSE,"Tran";"Riqfinpro",#N/A,FALSE,"Tran"}</definedName>
    <definedName name="oo" localSheetId="44" hidden="1">{"Riqfin97",#N/A,FALSE,"Tran";"Riqfinpro",#N/A,FALSE,"Tran"}</definedName>
    <definedName name="oo" localSheetId="59" hidden="1">{"Riqfin97",#N/A,FALSE,"Tran";"Riqfinpro",#N/A,FALSE,"Tran"}</definedName>
    <definedName name="oo" localSheetId="13" hidden="1">{"Riqfin97",#N/A,FALSE,"Tran";"Riqfinpro",#N/A,FALSE,"Tran"}</definedName>
    <definedName name="oo" localSheetId="0" hidden="1">{"Riqfin97",#N/A,FALSE,"Tran";"Riqfinpro",#N/A,FALSE,"Tran"}</definedName>
    <definedName name="oo" localSheetId="57" hidden="1">{"Riqfin97",#N/A,FALSE,"Tran";"Riqfinpro",#N/A,FALSE,"Tran"}</definedName>
    <definedName name="oo" localSheetId="56" hidden="1">{"Riqfin97",#N/A,FALSE,"Tran";"Riqfinpro",#N/A,FALSE,"Tran"}</definedName>
    <definedName name="oo" localSheetId="54" hidden="1">{"Riqfin97",#N/A,FALSE,"Tran";"Riqfinpro",#N/A,FALSE,"Tran"}</definedName>
    <definedName name="oo" localSheetId="52" hidden="1">{"Riqfin97",#N/A,FALSE,"Tran";"Riqfinpro",#N/A,FALSE,"Tran"}</definedName>
    <definedName name="oo" localSheetId="23" hidden="1">{"Riqfin97",#N/A,FALSE,"Tran";"Riqfinpro",#N/A,FALSE,"Tran"}</definedName>
    <definedName name="oo" localSheetId="51" hidden="1">{"Riqfin97",#N/A,FALSE,"Tran";"Riqfinpro",#N/A,FALSE,"Tran"}</definedName>
    <definedName name="oo" localSheetId="53" hidden="1">{"Riqfin97",#N/A,FALSE,"Tran";"Riqfinpro",#N/A,FALSE,"Tran"}</definedName>
    <definedName name="oo" localSheetId="60" hidden="1">{"Riqfin97",#N/A,FALSE,"Tran";"Riqfinpro",#N/A,FALSE,"Tran"}</definedName>
    <definedName name="oo" hidden="1">{"Riqfin97",#N/A,FALSE,"Tran";"Riqfinpro",#N/A,FALSE,"Tran"}</definedName>
    <definedName name="ooo" localSheetId="58" hidden="1">{"Tab1",#N/A,FALSE,"P";"Tab2",#N/A,FALSE,"P"}</definedName>
    <definedName name="ooo" localSheetId="16" hidden="1">{"Tab1",#N/A,FALSE,"P";"Tab2",#N/A,FALSE,"P"}</definedName>
    <definedName name="ooo" localSheetId="61" hidden="1">{"Tab1",#N/A,FALSE,"P";"Tab2",#N/A,FALSE,"P"}</definedName>
    <definedName name="ooo" localSheetId="62" hidden="1">{"Tab1",#N/A,FALSE,"P";"Tab2",#N/A,FALSE,"P"}</definedName>
    <definedName name="ooo" localSheetId="50" hidden="1">{"Tab1",#N/A,FALSE,"P";"Tab2",#N/A,FALSE,"P"}</definedName>
    <definedName name="ooo" localSheetId="63" hidden="1">{"Tab1",#N/A,FALSE,"P";"Tab2",#N/A,FALSE,"P"}</definedName>
    <definedName name="ooo" localSheetId="15" hidden="1">{"Tab1",#N/A,FALSE,"P";"Tab2",#N/A,FALSE,"P"}</definedName>
    <definedName name="ooo" localSheetId="1" hidden="1">{"Tab1",#N/A,FALSE,"P";"Tab2",#N/A,FALSE,"P"}</definedName>
    <definedName name="ooo" localSheetId="43" hidden="1">{"Tab1",#N/A,FALSE,"P";"Tab2",#N/A,FALSE,"P"}</definedName>
    <definedName name="ooo" localSheetId="29" hidden="1">{"Tab1",#N/A,FALSE,"P";"Tab2",#N/A,FALSE,"P"}</definedName>
    <definedName name="ooo" localSheetId="30" hidden="1">{"Tab1",#N/A,FALSE,"P";"Tab2",#N/A,FALSE,"P"}</definedName>
    <definedName name="ooo" localSheetId="44" hidden="1">{"Tab1",#N/A,FALSE,"P";"Tab2",#N/A,FALSE,"P"}</definedName>
    <definedName name="ooo" localSheetId="59" hidden="1">{"Tab1",#N/A,FALSE,"P";"Tab2",#N/A,FALSE,"P"}</definedName>
    <definedName name="ooo" localSheetId="13" hidden="1">{"Tab1",#N/A,FALSE,"P";"Tab2",#N/A,FALSE,"P"}</definedName>
    <definedName name="ooo" localSheetId="0" hidden="1">{"Tab1",#N/A,FALSE,"P";"Tab2",#N/A,FALSE,"P"}</definedName>
    <definedName name="ooo" localSheetId="57" hidden="1">{"Tab1",#N/A,FALSE,"P";"Tab2",#N/A,FALSE,"P"}</definedName>
    <definedName name="ooo" localSheetId="56" hidden="1">{"Tab1",#N/A,FALSE,"P";"Tab2",#N/A,FALSE,"P"}</definedName>
    <definedName name="ooo" localSheetId="54" hidden="1">{"Tab1",#N/A,FALSE,"P";"Tab2",#N/A,FALSE,"P"}</definedName>
    <definedName name="ooo" localSheetId="52" hidden="1">{"Tab1",#N/A,FALSE,"P";"Tab2",#N/A,FALSE,"P"}</definedName>
    <definedName name="ooo" localSheetId="23" hidden="1">{"Tab1",#N/A,FALSE,"P";"Tab2",#N/A,FALSE,"P"}</definedName>
    <definedName name="ooo" localSheetId="51" hidden="1">{"Tab1",#N/A,FALSE,"P";"Tab2",#N/A,FALSE,"P"}</definedName>
    <definedName name="ooo" localSheetId="53" hidden="1">{"Tab1",#N/A,FALSE,"P";"Tab2",#N/A,FALSE,"P"}</definedName>
    <definedName name="ooo" localSheetId="60" hidden="1">{"Tab1",#N/A,FALSE,"P";"Tab2",#N/A,FALSE,"P"}</definedName>
    <definedName name="ooo" hidden="1">{"Tab1",#N/A,FALSE,"P";"Tab2",#N/A,FALSE,"P"}</definedName>
    <definedName name="oooo" localSheetId="58" hidden="1">{"Tab1",#N/A,FALSE,"P";"Tab2",#N/A,FALSE,"P"}</definedName>
    <definedName name="oooo" localSheetId="16" hidden="1">{"Tab1",#N/A,FALSE,"P";"Tab2",#N/A,FALSE,"P"}</definedName>
    <definedName name="oooo" localSheetId="61" hidden="1">{"Tab1",#N/A,FALSE,"P";"Tab2",#N/A,FALSE,"P"}</definedName>
    <definedName name="oooo" localSheetId="62" hidden="1">{"Tab1",#N/A,FALSE,"P";"Tab2",#N/A,FALSE,"P"}</definedName>
    <definedName name="oooo" localSheetId="50" hidden="1">{"Tab1",#N/A,FALSE,"P";"Tab2",#N/A,FALSE,"P"}</definedName>
    <definedName name="oooo" localSheetId="63" hidden="1">{"Tab1",#N/A,FALSE,"P";"Tab2",#N/A,FALSE,"P"}</definedName>
    <definedName name="oooo" localSheetId="15" hidden="1">{"Tab1",#N/A,FALSE,"P";"Tab2",#N/A,FALSE,"P"}</definedName>
    <definedName name="oooo" localSheetId="1" hidden="1">{"Tab1",#N/A,FALSE,"P";"Tab2",#N/A,FALSE,"P"}</definedName>
    <definedName name="oooo" localSheetId="43" hidden="1">{"Tab1",#N/A,FALSE,"P";"Tab2",#N/A,FALSE,"P"}</definedName>
    <definedName name="oooo" localSheetId="29" hidden="1">{"Tab1",#N/A,FALSE,"P";"Tab2",#N/A,FALSE,"P"}</definedName>
    <definedName name="oooo" localSheetId="30" hidden="1">{"Tab1",#N/A,FALSE,"P";"Tab2",#N/A,FALSE,"P"}</definedName>
    <definedName name="oooo" localSheetId="44" hidden="1">{"Tab1",#N/A,FALSE,"P";"Tab2",#N/A,FALSE,"P"}</definedName>
    <definedName name="oooo" localSheetId="59" hidden="1">{"Tab1",#N/A,FALSE,"P";"Tab2",#N/A,FALSE,"P"}</definedName>
    <definedName name="oooo" localSheetId="13" hidden="1">{"Tab1",#N/A,FALSE,"P";"Tab2",#N/A,FALSE,"P"}</definedName>
    <definedName name="oooo" localSheetId="0" hidden="1">{"Tab1",#N/A,FALSE,"P";"Tab2",#N/A,FALSE,"P"}</definedName>
    <definedName name="oooo" localSheetId="57" hidden="1">{"Tab1",#N/A,FALSE,"P";"Tab2",#N/A,FALSE,"P"}</definedName>
    <definedName name="oooo" localSheetId="56" hidden="1">{"Tab1",#N/A,FALSE,"P";"Tab2",#N/A,FALSE,"P"}</definedName>
    <definedName name="oooo" localSheetId="54" hidden="1">{"Tab1",#N/A,FALSE,"P";"Tab2",#N/A,FALSE,"P"}</definedName>
    <definedName name="oooo" localSheetId="52" hidden="1">{"Tab1",#N/A,FALSE,"P";"Tab2",#N/A,FALSE,"P"}</definedName>
    <definedName name="oooo" localSheetId="23" hidden="1">{"Tab1",#N/A,FALSE,"P";"Tab2",#N/A,FALSE,"P"}</definedName>
    <definedName name="oooo" localSheetId="51" hidden="1">{"Tab1",#N/A,FALSE,"P";"Tab2",#N/A,FALSE,"P"}</definedName>
    <definedName name="oooo" localSheetId="53" hidden="1">{"Tab1",#N/A,FALSE,"P";"Tab2",#N/A,FALSE,"P"}</definedName>
    <definedName name="oooo" localSheetId="60" hidden="1">{"Tab1",#N/A,FALSE,"P";"Tab2",#N/A,FALSE,"P"}</definedName>
    <definedName name="oooo" hidden="1">{"Tab1",#N/A,FALSE,"P";"Tab2",#N/A,FALSE,"P"}</definedName>
    <definedName name="OpenClosed" localSheetId="50">#REF!</definedName>
    <definedName name="OpenClosed" localSheetId="47">#REF!</definedName>
    <definedName name="OpenClosed" localSheetId="44">#REF!</definedName>
    <definedName name="OpenClosed" localSheetId="45">#REF!</definedName>
    <definedName name="OpenClosed" localSheetId="46">#REF!</definedName>
    <definedName name="OpenClosed" localSheetId="37">#REF!</definedName>
    <definedName name="OpenClosed" localSheetId="40">#REF!</definedName>
    <definedName name="OpenClosed" localSheetId="54">#REF!</definedName>
    <definedName name="OpenClosed" localSheetId="55">#REF!</definedName>
    <definedName name="OpenClosed" localSheetId="52">#REF!</definedName>
    <definedName name="OpenClosed" localSheetId="51">#REF!</definedName>
    <definedName name="OpenClosed" localSheetId="53">#REF!</definedName>
    <definedName name="OpenClosed">#REF!</definedName>
    <definedName name="opu" localSheetId="58" hidden="1">{"Riqfin97",#N/A,FALSE,"Tran";"Riqfinpro",#N/A,FALSE,"Tran"}</definedName>
    <definedName name="opu" localSheetId="16" hidden="1">{"Riqfin97",#N/A,FALSE,"Tran";"Riqfinpro",#N/A,FALSE,"Tran"}</definedName>
    <definedName name="opu" localSheetId="61" hidden="1">{"Riqfin97",#N/A,FALSE,"Tran";"Riqfinpro",#N/A,FALSE,"Tran"}</definedName>
    <definedName name="opu" localSheetId="62" hidden="1">{"Riqfin97",#N/A,FALSE,"Tran";"Riqfinpro",#N/A,FALSE,"Tran"}</definedName>
    <definedName name="opu" localSheetId="50" hidden="1">{"Riqfin97",#N/A,FALSE,"Tran";"Riqfinpro",#N/A,FALSE,"Tran"}</definedName>
    <definedName name="opu" localSheetId="63" hidden="1">{"Riqfin97",#N/A,FALSE,"Tran";"Riqfinpro",#N/A,FALSE,"Tran"}</definedName>
    <definedName name="opu" localSheetId="15" hidden="1">{"Riqfin97",#N/A,FALSE,"Tran";"Riqfinpro",#N/A,FALSE,"Tran"}</definedName>
    <definedName name="opu" localSheetId="1" hidden="1">{"Riqfin97",#N/A,FALSE,"Tran";"Riqfinpro",#N/A,FALSE,"Tran"}</definedName>
    <definedName name="opu" localSheetId="43" hidden="1">{"Riqfin97",#N/A,FALSE,"Tran";"Riqfinpro",#N/A,FALSE,"Tran"}</definedName>
    <definedName name="opu" localSheetId="29" hidden="1">{"Riqfin97",#N/A,FALSE,"Tran";"Riqfinpro",#N/A,FALSE,"Tran"}</definedName>
    <definedName name="opu" localSheetId="30" hidden="1">{"Riqfin97",#N/A,FALSE,"Tran";"Riqfinpro",#N/A,FALSE,"Tran"}</definedName>
    <definedName name="opu" localSheetId="44" hidden="1">{"Riqfin97",#N/A,FALSE,"Tran";"Riqfinpro",#N/A,FALSE,"Tran"}</definedName>
    <definedName name="opu" localSheetId="59" hidden="1">{"Riqfin97",#N/A,FALSE,"Tran";"Riqfinpro",#N/A,FALSE,"Tran"}</definedName>
    <definedName name="opu" localSheetId="13" hidden="1">{"Riqfin97",#N/A,FALSE,"Tran";"Riqfinpro",#N/A,FALSE,"Tran"}</definedName>
    <definedName name="opu" localSheetId="0" hidden="1">{"Riqfin97",#N/A,FALSE,"Tran";"Riqfinpro",#N/A,FALSE,"Tran"}</definedName>
    <definedName name="opu" localSheetId="57" hidden="1">{"Riqfin97",#N/A,FALSE,"Tran";"Riqfinpro",#N/A,FALSE,"Tran"}</definedName>
    <definedName name="opu" localSheetId="56" hidden="1">{"Riqfin97",#N/A,FALSE,"Tran";"Riqfinpro",#N/A,FALSE,"Tran"}</definedName>
    <definedName name="opu" localSheetId="54" hidden="1">{"Riqfin97",#N/A,FALSE,"Tran";"Riqfinpro",#N/A,FALSE,"Tran"}</definedName>
    <definedName name="opu" localSheetId="52" hidden="1">{"Riqfin97",#N/A,FALSE,"Tran";"Riqfinpro",#N/A,FALSE,"Tran"}</definedName>
    <definedName name="opu" localSheetId="23" hidden="1">{"Riqfin97",#N/A,FALSE,"Tran";"Riqfinpro",#N/A,FALSE,"Tran"}</definedName>
    <definedName name="opu" localSheetId="51" hidden="1">{"Riqfin97",#N/A,FALSE,"Tran";"Riqfinpro",#N/A,FALSE,"Tran"}</definedName>
    <definedName name="opu" localSheetId="53" hidden="1">{"Riqfin97",#N/A,FALSE,"Tran";"Riqfinpro",#N/A,FALSE,"Tran"}</definedName>
    <definedName name="opu" localSheetId="60" hidden="1">{"Riqfin97",#N/A,FALSE,"Tran";"Riqfinpro",#N/A,FALSE,"Tran"}</definedName>
    <definedName name="opu" hidden="1">{"Riqfin97",#N/A,FALSE,"Tran";"Riqfinpro",#N/A,FALSE,"Tran"}</definedName>
    <definedName name="ORIG" localSheetId="34">[36]Sum1!#REF!</definedName>
    <definedName name="ORIG" localSheetId="35">[36]Sum1!#REF!</definedName>
    <definedName name="ORIG" localSheetId="50">[36]Sum1!#REF!</definedName>
    <definedName name="ORIG" localSheetId="15">[36]Sum1!#REF!</definedName>
    <definedName name="ORIG" localSheetId="29">[36]Sum1!#REF!</definedName>
    <definedName name="ORIG" localSheetId="30">[36]Sum1!#REF!</definedName>
    <definedName name="ORIG" localSheetId="47">[36]Sum1!#REF!</definedName>
    <definedName name="ORIG" localSheetId="44">[36]Sum1!#REF!</definedName>
    <definedName name="ORIG" localSheetId="45">[36]Sum1!#REF!</definedName>
    <definedName name="ORIG" localSheetId="46">[36]Sum1!#REF!</definedName>
    <definedName name="ORIG" localSheetId="31">[36]Sum1!#REF!</definedName>
    <definedName name="ORIG" localSheetId="32">[36]Sum1!#REF!</definedName>
    <definedName name="ORIG" localSheetId="33">[36]Sum1!#REF!</definedName>
    <definedName name="ORIG" localSheetId="36">[36]Sum1!#REF!</definedName>
    <definedName name="ORIG" localSheetId="37">[36]Sum1!#REF!</definedName>
    <definedName name="ORIG" localSheetId="38">[36]Sum1!#REF!</definedName>
    <definedName name="ORIG" localSheetId="39">[36]Sum1!#REF!</definedName>
    <definedName name="ORIG" localSheetId="40">[36]Sum1!#REF!</definedName>
    <definedName name="ORIG" localSheetId="54">[36]Sum1!#REF!</definedName>
    <definedName name="ORIG" localSheetId="55">[36]Sum1!#REF!</definedName>
    <definedName name="ORIG" localSheetId="52">[36]Sum1!#REF!</definedName>
    <definedName name="ORIG" localSheetId="23">[36]Sum1!#REF!</definedName>
    <definedName name="ORIG" localSheetId="51">[36]Sum1!#REF!</definedName>
    <definedName name="ORIG" localSheetId="53">[36]Sum1!#REF!</definedName>
    <definedName name="ORIG" localSheetId="20">[36]Sum1!#REF!</definedName>
    <definedName name="ORIG">[36]Sum1!#REF!</definedName>
    <definedName name="other_service_line" localSheetId="50">[38]Instructions!#REF!</definedName>
    <definedName name="other_service_line" localSheetId="47">[38]Instructions!#REF!</definedName>
    <definedName name="other_service_line" localSheetId="44">[38]Instructions!#REF!</definedName>
    <definedName name="other_service_line" localSheetId="45">[38]Instructions!#REF!</definedName>
    <definedName name="other_service_line" localSheetId="46">[38]Instructions!#REF!</definedName>
    <definedName name="other_service_line" localSheetId="37">[38]Instructions!#REF!</definedName>
    <definedName name="other_service_line" localSheetId="40">[38]Instructions!#REF!</definedName>
    <definedName name="other_service_line" localSheetId="54">[38]Instructions!#REF!</definedName>
    <definedName name="other_service_line" localSheetId="55">[38]Instructions!#REF!</definedName>
    <definedName name="other_service_line" localSheetId="52">[38]Instructions!#REF!</definedName>
    <definedName name="other_service_line" localSheetId="51">[38]Instructions!#REF!</definedName>
    <definedName name="other_service_line" localSheetId="53">[38]Instructions!#REF!</definedName>
    <definedName name="other_service_line">[38]Instructions!#REF!</definedName>
    <definedName name="Otras_Residuales" localSheetId="34">#REF!</definedName>
    <definedName name="Otras_Residuales" localSheetId="35">#REF!</definedName>
    <definedName name="Otras_Residuales" localSheetId="50">#REF!</definedName>
    <definedName name="Otras_Residuales" localSheetId="15">#REF!</definedName>
    <definedName name="Otras_Residuales" localSheetId="29">#REF!</definedName>
    <definedName name="Otras_Residuales" localSheetId="30">#REF!</definedName>
    <definedName name="Otras_Residuales" localSheetId="47">#REF!</definedName>
    <definedName name="Otras_Residuales" localSheetId="44">#REF!</definedName>
    <definedName name="Otras_Residuales" localSheetId="45">#REF!</definedName>
    <definedName name="Otras_Residuales" localSheetId="46">#REF!</definedName>
    <definedName name="Otras_Residuales" localSheetId="31">#REF!</definedName>
    <definedName name="Otras_Residuales" localSheetId="32">#REF!</definedName>
    <definedName name="Otras_Residuales" localSheetId="33">#REF!</definedName>
    <definedName name="Otras_Residuales" localSheetId="36">#REF!</definedName>
    <definedName name="Otras_Residuales" localSheetId="37">#REF!</definedName>
    <definedName name="Otras_Residuales" localSheetId="38">#REF!</definedName>
    <definedName name="Otras_Residuales" localSheetId="39">#REF!</definedName>
    <definedName name="Otras_Residuales" localSheetId="40">#REF!</definedName>
    <definedName name="Otras_Residuales" localSheetId="54">#REF!</definedName>
    <definedName name="Otras_Residuales" localSheetId="55">#REF!</definedName>
    <definedName name="Otras_Residuales" localSheetId="52">#REF!</definedName>
    <definedName name="Otras_Residuales" localSheetId="23">#REF!</definedName>
    <definedName name="Otras_Residuales" localSheetId="51">#REF!</definedName>
    <definedName name="Otras_Residuales" localSheetId="53">#REF!</definedName>
    <definedName name="Otras_Residuales" localSheetId="20">#REF!</definedName>
    <definedName name="Otras_Residuales">#REF!</definedName>
    <definedName name="OTRO">'[129]C_basef14.3p10.6'!$K$412</definedName>
    <definedName name="OTROS">'[129]C_basef14.3p10.6'!$K$412</definedName>
    <definedName name="otros2000" localSheetId="34">#REF!</definedName>
    <definedName name="otros2000" localSheetId="35">#REF!</definedName>
    <definedName name="otros2000" localSheetId="50">#REF!</definedName>
    <definedName name="otros2000" localSheetId="15">#REF!</definedName>
    <definedName name="otros2000" localSheetId="29">#REF!</definedName>
    <definedName name="otros2000" localSheetId="30">#REF!</definedName>
    <definedName name="otros2000" localSheetId="47">#REF!</definedName>
    <definedName name="otros2000" localSheetId="44">#REF!</definedName>
    <definedName name="otros2000" localSheetId="45">#REF!</definedName>
    <definedName name="otros2000" localSheetId="46">#REF!</definedName>
    <definedName name="otros2000" localSheetId="31">#REF!</definedName>
    <definedName name="otros2000" localSheetId="32">#REF!</definedName>
    <definedName name="otros2000" localSheetId="33">#REF!</definedName>
    <definedName name="otros2000" localSheetId="36">#REF!</definedName>
    <definedName name="otros2000" localSheetId="37">#REF!</definedName>
    <definedName name="otros2000" localSheetId="38">#REF!</definedName>
    <definedName name="otros2000" localSheetId="39">#REF!</definedName>
    <definedName name="otros2000" localSheetId="40">#REF!</definedName>
    <definedName name="otros2000" localSheetId="54">#REF!</definedName>
    <definedName name="otros2000" localSheetId="55">#REF!</definedName>
    <definedName name="otros2000" localSheetId="52">#REF!</definedName>
    <definedName name="otros2000" localSheetId="23">#REF!</definedName>
    <definedName name="otros2000" localSheetId="51">#REF!</definedName>
    <definedName name="otros2000" localSheetId="53">#REF!</definedName>
    <definedName name="otros2000" localSheetId="20">#REF!</definedName>
    <definedName name="otros2000">#REF!</definedName>
    <definedName name="otros2001" localSheetId="34">#REF!</definedName>
    <definedName name="otros2001" localSheetId="35">#REF!</definedName>
    <definedName name="otros2001" localSheetId="50">#REF!</definedName>
    <definedName name="otros2001" localSheetId="15">#REF!</definedName>
    <definedName name="otros2001" localSheetId="29">#REF!</definedName>
    <definedName name="otros2001" localSheetId="30">#REF!</definedName>
    <definedName name="otros2001" localSheetId="47">#REF!</definedName>
    <definedName name="otros2001" localSheetId="44">#REF!</definedName>
    <definedName name="otros2001" localSheetId="45">#REF!</definedName>
    <definedName name="otros2001" localSheetId="46">#REF!</definedName>
    <definedName name="otros2001" localSheetId="31">#REF!</definedName>
    <definedName name="otros2001" localSheetId="32">#REF!</definedName>
    <definedName name="otros2001" localSheetId="33">#REF!</definedName>
    <definedName name="otros2001" localSheetId="36">#REF!</definedName>
    <definedName name="otros2001" localSheetId="37">#REF!</definedName>
    <definedName name="otros2001" localSheetId="38">#REF!</definedName>
    <definedName name="otros2001" localSheetId="39">#REF!</definedName>
    <definedName name="otros2001" localSheetId="40">#REF!</definedName>
    <definedName name="otros2001" localSheetId="54">#REF!</definedName>
    <definedName name="otros2001" localSheetId="55">#REF!</definedName>
    <definedName name="otros2001" localSheetId="52">#REF!</definedName>
    <definedName name="otros2001" localSheetId="23">#REF!</definedName>
    <definedName name="otros2001" localSheetId="51">#REF!</definedName>
    <definedName name="otros2001" localSheetId="53">#REF!</definedName>
    <definedName name="otros2001" localSheetId="20">#REF!</definedName>
    <definedName name="otros2001">#REF!</definedName>
    <definedName name="otros2002" localSheetId="34">#REF!</definedName>
    <definedName name="otros2002" localSheetId="35">#REF!</definedName>
    <definedName name="otros2002" localSheetId="50">#REF!</definedName>
    <definedName name="otros2002" localSheetId="15">#REF!</definedName>
    <definedName name="otros2002" localSheetId="29">#REF!</definedName>
    <definedName name="otros2002" localSheetId="30">#REF!</definedName>
    <definedName name="otros2002" localSheetId="47">#REF!</definedName>
    <definedName name="otros2002" localSheetId="44">#REF!</definedName>
    <definedName name="otros2002" localSheetId="45">#REF!</definedName>
    <definedName name="otros2002" localSheetId="46">#REF!</definedName>
    <definedName name="otros2002" localSheetId="31">#REF!</definedName>
    <definedName name="otros2002" localSheetId="32">#REF!</definedName>
    <definedName name="otros2002" localSheetId="33">#REF!</definedName>
    <definedName name="otros2002" localSheetId="36">#REF!</definedName>
    <definedName name="otros2002" localSheetId="37">#REF!</definedName>
    <definedName name="otros2002" localSheetId="38">#REF!</definedName>
    <definedName name="otros2002" localSheetId="39">#REF!</definedName>
    <definedName name="otros2002" localSheetId="40">#REF!</definedName>
    <definedName name="otros2002" localSheetId="54">#REF!</definedName>
    <definedName name="otros2002" localSheetId="55">#REF!</definedName>
    <definedName name="otros2002" localSheetId="52">#REF!</definedName>
    <definedName name="otros2002" localSheetId="23">#REF!</definedName>
    <definedName name="otros2002" localSheetId="51">#REF!</definedName>
    <definedName name="otros2002" localSheetId="53">#REF!</definedName>
    <definedName name="otros2002" localSheetId="20">#REF!</definedName>
    <definedName name="otros2002">#REF!</definedName>
    <definedName name="otros2003" localSheetId="34">#REF!</definedName>
    <definedName name="otros2003" localSheetId="35">#REF!</definedName>
    <definedName name="otros2003" localSheetId="50">#REF!</definedName>
    <definedName name="otros2003" localSheetId="15">#REF!</definedName>
    <definedName name="otros2003" localSheetId="29">#REF!</definedName>
    <definedName name="otros2003" localSheetId="30">#REF!</definedName>
    <definedName name="otros2003" localSheetId="47">#REF!</definedName>
    <definedName name="otros2003" localSheetId="44">#REF!</definedName>
    <definedName name="otros2003" localSheetId="45">#REF!</definedName>
    <definedName name="otros2003" localSheetId="46">#REF!</definedName>
    <definedName name="otros2003" localSheetId="31">#REF!</definedName>
    <definedName name="otros2003" localSheetId="32">#REF!</definedName>
    <definedName name="otros2003" localSheetId="33">#REF!</definedName>
    <definedName name="otros2003" localSheetId="36">#REF!</definedName>
    <definedName name="otros2003" localSheetId="37">#REF!</definedName>
    <definedName name="otros2003" localSheetId="38">#REF!</definedName>
    <definedName name="otros2003" localSheetId="39">#REF!</definedName>
    <definedName name="otros2003" localSheetId="40">#REF!</definedName>
    <definedName name="otros2003" localSheetId="54">#REF!</definedName>
    <definedName name="otros2003" localSheetId="55">#REF!</definedName>
    <definedName name="otros2003" localSheetId="52">#REF!</definedName>
    <definedName name="otros2003" localSheetId="23">#REF!</definedName>
    <definedName name="otros2003" localSheetId="51">#REF!</definedName>
    <definedName name="otros2003" localSheetId="53">#REF!</definedName>
    <definedName name="otros2003" localSheetId="20">#REF!</definedName>
    <definedName name="otros2003">#REF!</definedName>
    <definedName name="otros98" localSheetId="34">[27]Programa!#REF!</definedName>
    <definedName name="otros98" localSheetId="35">[27]Programa!#REF!</definedName>
    <definedName name="otros98" localSheetId="50">[27]Programa!#REF!</definedName>
    <definedName name="otros98" localSheetId="15">[27]Programa!#REF!</definedName>
    <definedName name="otros98" localSheetId="29">[27]Programa!#REF!</definedName>
    <definedName name="otros98" localSheetId="30">[27]Programa!#REF!</definedName>
    <definedName name="otros98" localSheetId="47">[27]Programa!#REF!</definedName>
    <definedName name="otros98" localSheetId="44">[27]Programa!#REF!</definedName>
    <definedName name="otros98" localSheetId="45">[27]Programa!#REF!</definedName>
    <definedName name="otros98" localSheetId="46">[27]Programa!#REF!</definedName>
    <definedName name="otros98" localSheetId="31">[27]Programa!#REF!</definedName>
    <definedName name="otros98" localSheetId="32">[27]Programa!#REF!</definedName>
    <definedName name="otros98" localSheetId="33">[27]Programa!#REF!</definedName>
    <definedName name="otros98" localSheetId="36">[27]Programa!#REF!</definedName>
    <definedName name="otros98" localSheetId="37">[27]Programa!#REF!</definedName>
    <definedName name="otros98" localSheetId="38">[27]Programa!#REF!</definedName>
    <definedName name="otros98" localSheetId="39">[27]Programa!#REF!</definedName>
    <definedName name="otros98" localSheetId="40">[27]Programa!#REF!</definedName>
    <definedName name="otros98" localSheetId="54">[27]Programa!#REF!</definedName>
    <definedName name="otros98" localSheetId="55">[27]Programa!#REF!</definedName>
    <definedName name="otros98" localSheetId="52">[27]Programa!#REF!</definedName>
    <definedName name="otros98" localSheetId="23">[27]Programa!#REF!</definedName>
    <definedName name="otros98" localSheetId="51">[27]Programa!#REF!</definedName>
    <definedName name="otros98" localSheetId="53">[27]Programa!#REF!</definedName>
    <definedName name="otros98" localSheetId="20">[27]Programa!#REF!</definedName>
    <definedName name="otros98">[27]Programa!#REF!</definedName>
    <definedName name="otros98j" localSheetId="34">[27]Programa!#REF!</definedName>
    <definedName name="otros98j" localSheetId="35">[27]Programa!#REF!</definedName>
    <definedName name="otros98j" localSheetId="50">[27]Programa!#REF!</definedName>
    <definedName name="otros98j" localSheetId="15">[27]Programa!#REF!</definedName>
    <definedName name="otros98j" localSheetId="29">[27]Programa!#REF!</definedName>
    <definedName name="otros98j" localSheetId="30">[27]Programa!#REF!</definedName>
    <definedName name="otros98j" localSheetId="47">[27]Programa!#REF!</definedName>
    <definedName name="otros98j" localSheetId="44">[27]Programa!#REF!</definedName>
    <definedName name="otros98j" localSheetId="45">[27]Programa!#REF!</definedName>
    <definedName name="otros98j" localSheetId="46">[27]Programa!#REF!</definedName>
    <definedName name="otros98j" localSheetId="31">[27]Programa!#REF!</definedName>
    <definedName name="otros98j" localSheetId="32">[27]Programa!#REF!</definedName>
    <definedName name="otros98j" localSheetId="33">[27]Programa!#REF!</definedName>
    <definedName name="otros98j" localSheetId="36">[27]Programa!#REF!</definedName>
    <definedName name="otros98j" localSheetId="37">[27]Programa!#REF!</definedName>
    <definedName name="otros98j" localSheetId="38">[27]Programa!#REF!</definedName>
    <definedName name="otros98j" localSheetId="39">[27]Programa!#REF!</definedName>
    <definedName name="otros98j" localSheetId="40">[27]Programa!#REF!</definedName>
    <definedName name="otros98j" localSheetId="54">[27]Programa!#REF!</definedName>
    <definedName name="otros98j" localSheetId="55">[27]Programa!#REF!</definedName>
    <definedName name="otros98j" localSheetId="52">[27]Programa!#REF!</definedName>
    <definedName name="otros98j" localSheetId="23">[27]Programa!#REF!</definedName>
    <definedName name="otros98j" localSheetId="51">[27]Programa!#REF!</definedName>
    <definedName name="otros98j" localSheetId="53">[27]Programa!#REF!</definedName>
    <definedName name="otros98j" localSheetId="20">[27]Programa!#REF!</definedName>
    <definedName name="otros98j">[27]Programa!#REF!</definedName>
    <definedName name="otros98s" localSheetId="34">#REF!</definedName>
    <definedName name="otros98s" localSheetId="35">#REF!</definedName>
    <definedName name="otros98s" localSheetId="50">#REF!</definedName>
    <definedName name="otros98s" localSheetId="15">#REF!</definedName>
    <definedName name="otros98s" localSheetId="29">#REF!</definedName>
    <definedName name="otros98s" localSheetId="30">#REF!</definedName>
    <definedName name="otros98s" localSheetId="47">#REF!</definedName>
    <definedName name="otros98s" localSheetId="44">#REF!</definedName>
    <definedName name="otros98s" localSheetId="45">#REF!</definedName>
    <definedName name="otros98s" localSheetId="46">#REF!</definedName>
    <definedName name="otros98s" localSheetId="31">#REF!</definedName>
    <definedName name="otros98s" localSheetId="32">#REF!</definedName>
    <definedName name="otros98s" localSheetId="33">#REF!</definedName>
    <definedName name="otros98s" localSheetId="36">#REF!</definedName>
    <definedName name="otros98s" localSheetId="37">#REF!</definedName>
    <definedName name="otros98s" localSheetId="38">#REF!</definedName>
    <definedName name="otros98s" localSheetId="39">#REF!</definedName>
    <definedName name="otros98s" localSheetId="40">#REF!</definedName>
    <definedName name="otros98s" localSheetId="54">#REF!</definedName>
    <definedName name="otros98s" localSheetId="55">#REF!</definedName>
    <definedName name="otros98s" localSheetId="52">#REF!</definedName>
    <definedName name="otros98s" localSheetId="23">#REF!</definedName>
    <definedName name="otros98s" localSheetId="51">#REF!</definedName>
    <definedName name="otros98s" localSheetId="53">#REF!</definedName>
    <definedName name="otros98s" localSheetId="20">#REF!</definedName>
    <definedName name="otros98s">#REF!</definedName>
    <definedName name="otros99" localSheetId="34">#REF!</definedName>
    <definedName name="otros99" localSheetId="35">#REF!</definedName>
    <definedName name="otros99" localSheetId="50">#REF!</definedName>
    <definedName name="otros99" localSheetId="15">#REF!</definedName>
    <definedName name="otros99" localSheetId="29">#REF!</definedName>
    <definedName name="otros99" localSheetId="30">#REF!</definedName>
    <definedName name="otros99" localSheetId="47">#REF!</definedName>
    <definedName name="otros99" localSheetId="44">#REF!</definedName>
    <definedName name="otros99" localSheetId="45">#REF!</definedName>
    <definedName name="otros99" localSheetId="46">#REF!</definedName>
    <definedName name="otros99" localSheetId="31">#REF!</definedName>
    <definedName name="otros99" localSheetId="32">#REF!</definedName>
    <definedName name="otros99" localSheetId="33">#REF!</definedName>
    <definedName name="otros99" localSheetId="36">#REF!</definedName>
    <definedName name="otros99" localSheetId="37">#REF!</definedName>
    <definedName name="otros99" localSheetId="38">#REF!</definedName>
    <definedName name="otros99" localSheetId="39">#REF!</definedName>
    <definedName name="otros99" localSheetId="40">#REF!</definedName>
    <definedName name="otros99" localSheetId="54">#REF!</definedName>
    <definedName name="otros99" localSheetId="55">#REF!</definedName>
    <definedName name="otros99" localSheetId="52">#REF!</definedName>
    <definedName name="otros99" localSheetId="23">#REF!</definedName>
    <definedName name="otros99" localSheetId="51">#REF!</definedName>
    <definedName name="otros99" localSheetId="53">#REF!</definedName>
    <definedName name="otros99" localSheetId="20">#REF!</definedName>
    <definedName name="otros99">#REF!</definedName>
    <definedName name="over_flag" localSheetId="50">[40]Roles!#REF!</definedName>
    <definedName name="over_flag" localSheetId="47">[40]Roles!#REF!</definedName>
    <definedName name="over_flag" localSheetId="44">[40]Roles!#REF!</definedName>
    <definedName name="over_flag" localSheetId="45">[40]Roles!#REF!</definedName>
    <definedName name="over_flag" localSheetId="46">[40]Roles!#REF!</definedName>
    <definedName name="over_flag" localSheetId="37">[40]Roles!#REF!</definedName>
    <definedName name="over_flag" localSheetId="40">[40]Roles!#REF!</definedName>
    <definedName name="over_flag" localSheetId="54">[40]Roles!#REF!</definedName>
    <definedName name="over_flag" localSheetId="55">[40]Roles!#REF!</definedName>
    <definedName name="over_flag" localSheetId="52">[40]Roles!#REF!</definedName>
    <definedName name="over_flag" localSheetId="51">[40]Roles!#REF!</definedName>
    <definedName name="over_flag" localSheetId="53">[40]Roles!#REF!</definedName>
    <definedName name="over_flag">[40]Roles!#REF!</definedName>
    <definedName name="over_flag_1" localSheetId="50">[42]Roles!#REF!</definedName>
    <definedName name="over_flag_1" localSheetId="47">[42]Roles!#REF!</definedName>
    <definedName name="over_flag_1" localSheetId="44">[42]Roles!#REF!</definedName>
    <definedName name="over_flag_1" localSheetId="45">[42]Roles!#REF!</definedName>
    <definedName name="over_flag_1" localSheetId="46">[42]Roles!#REF!</definedName>
    <definedName name="over_flag_1" localSheetId="37">[42]Roles!#REF!</definedName>
    <definedName name="over_flag_1" localSheetId="40">[42]Roles!#REF!</definedName>
    <definedName name="over_flag_1" localSheetId="54">[42]Roles!#REF!</definedName>
    <definedName name="over_flag_1" localSheetId="55">[42]Roles!#REF!</definedName>
    <definedName name="over_flag_1" localSheetId="52">[42]Roles!#REF!</definedName>
    <definedName name="over_flag_1" localSheetId="51">[42]Roles!#REF!</definedName>
    <definedName name="over_flag_1" localSheetId="53">[42]Roles!#REF!</definedName>
    <definedName name="over_flag_1">[42]Roles!#REF!</definedName>
    <definedName name="Owner" localSheetId="50">#REF!</definedName>
    <definedName name="Owner" localSheetId="47">#REF!</definedName>
    <definedName name="Owner" localSheetId="44">#REF!</definedName>
    <definedName name="Owner" localSheetId="45">#REF!</definedName>
    <definedName name="Owner" localSheetId="46">#REF!</definedName>
    <definedName name="Owner" localSheetId="37">#REF!</definedName>
    <definedName name="Owner" localSheetId="40">#REF!</definedName>
    <definedName name="Owner" localSheetId="54">#REF!</definedName>
    <definedName name="Owner" localSheetId="55">#REF!</definedName>
    <definedName name="Owner" localSheetId="52">#REF!</definedName>
    <definedName name="Owner" localSheetId="51">#REF!</definedName>
    <definedName name="Owner" localSheetId="53">#REF!</definedName>
    <definedName name="Owner">#REF!</definedName>
    <definedName name="Owners" localSheetId="50">#REF!</definedName>
    <definedName name="Owners" localSheetId="47">#REF!</definedName>
    <definedName name="Owners" localSheetId="44">#REF!</definedName>
    <definedName name="Owners" localSheetId="45">#REF!</definedName>
    <definedName name="Owners" localSheetId="46">#REF!</definedName>
    <definedName name="Owners" localSheetId="37">#REF!</definedName>
    <definedName name="Owners" localSheetId="40">#REF!</definedName>
    <definedName name="Owners" localSheetId="54">#REF!</definedName>
    <definedName name="Owners" localSheetId="55">#REF!</definedName>
    <definedName name="Owners" localSheetId="52">#REF!</definedName>
    <definedName name="Owners" localSheetId="51">#REF!</definedName>
    <definedName name="Owners" localSheetId="53">#REF!</definedName>
    <definedName name="Owners">#REF!</definedName>
    <definedName name="p" localSheetId="58" hidden="1">{"Riqfin97",#N/A,FALSE,"Tran";"Riqfinpro",#N/A,FALSE,"Tran"}</definedName>
    <definedName name="p" localSheetId="16" hidden="1">{"Riqfin97",#N/A,FALSE,"Tran";"Riqfinpro",#N/A,FALSE,"Tran"}</definedName>
    <definedName name="p" localSheetId="61" hidden="1">{"Riqfin97",#N/A,FALSE,"Tran";"Riqfinpro",#N/A,FALSE,"Tran"}</definedName>
    <definedName name="p" localSheetId="62" hidden="1">{"Riqfin97",#N/A,FALSE,"Tran";"Riqfinpro",#N/A,FALSE,"Tran"}</definedName>
    <definedName name="p" localSheetId="50">'[126]quarterly info'!#REF!</definedName>
    <definedName name="p" localSheetId="63" hidden="1">{"Riqfin97",#N/A,FALSE,"Tran";"Riqfinpro",#N/A,FALSE,"Tran"}</definedName>
    <definedName name="p" localSheetId="15" hidden="1">{"Riqfin97",#N/A,FALSE,"Tran";"Riqfinpro",#N/A,FALSE,"Tran"}</definedName>
    <definedName name="p" localSheetId="1" hidden="1">{"Riqfin97",#N/A,FALSE,"Tran";"Riqfinpro",#N/A,FALSE,"Tran"}</definedName>
    <definedName name="p" localSheetId="43" hidden="1">{"Riqfin97",#N/A,FALSE,"Tran";"Riqfinpro",#N/A,FALSE,"Tran"}</definedName>
    <definedName name="p" localSheetId="29" hidden="1">{"Riqfin97",#N/A,FALSE,"Tran";"Riqfinpro",#N/A,FALSE,"Tran"}</definedName>
    <definedName name="p" localSheetId="30" hidden="1">{"Riqfin97",#N/A,FALSE,"Tran";"Riqfinpro",#N/A,FALSE,"Tran"}</definedName>
    <definedName name="p" localSheetId="44">'[126]quarterly info'!#REF!</definedName>
    <definedName name="p" localSheetId="59" hidden="1">{"Riqfin97",#N/A,FALSE,"Tran";"Riqfinpro",#N/A,FALSE,"Tran"}</definedName>
    <definedName name="p" localSheetId="13" hidden="1">{"Riqfin97",#N/A,FALSE,"Tran";"Riqfinpro",#N/A,FALSE,"Tran"}</definedName>
    <definedName name="p" localSheetId="0" hidden="1">{"Riqfin97",#N/A,FALSE,"Tran";"Riqfinpro",#N/A,FALSE,"Tran"}</definedName>
    <definedName name="p" localSheetId="57" hidden="1">{"Riqfin97",#N/A,FALSE,"Tran";"Riqfinpro",#N/A,FALSE,"Tran"}</definedName>
    <definedName name="p" localSheetId="56" hidden="1">{"Riqfin97",#N/A,FALSE,"Tran";"Riqfinpro",#N/A,FALSE,"Tran"}</definedName>
    <definedName name="p" localSheetId="54">'[126]quarterly info'!#REF!</definedName>
    <definedName name="p" localSheetId="52">'[126]quarterly info'!#REF!</definedName>
    <definedName name="p" localSheetId="23" hidden="1">{"Riqfin97",#N/A,FALSE,"Tran";"Riqfinpro",#N/A,FALSE,"Tran"}</definedName>
    <definedName name="p" localSheetId="51">'[126]quarterly info'!#REF!</definedName>
    <definedName name="p" localSheetId="53">'[126]quarterly info'!#REF!</definedName>
    <definedName name="p" localSheetId="60" hidden="1">{"Riqfin97",#N/A,FALSE,"Tran";"Riqfinpro",#N/A,FALSE,"Tran"}</definedName>
    <definedName name="p" hidden="1">{"Riqfin97",#N/A,FALSE,"Tran";"Riqfinpro",#N/A,FALSE,"Tran"}</definedName>
    <definedName name="PAGE1" localSheetId="50">#REF!</definedName>
    <definedName name="PAGE1" localSheetId="47">#REF!</definedName>
    <definedName name="PAGE1" localSheetId="44">#REF!</definedName>
    <definedName name="PAGE1" localSheetId="45">#REF!</definedName>
    <definedName name="PAGE1" localSheetId="46">#REF!</definedName>
    <definedName name="PAGE1" localSheetId="37">#REF!</definedName>
    <definedName name="PAGE1" localSheetId="40">#REF!</definedName>
    <definedName name="PAGE1" localSheetId="54">#REF!</definedName>
    <definedName name="PAGE1" localSheetId="55">#REF!</definedName>
    <definedName name="PAGE1" localSheetId="52">#REF!</definedName>
    <definedName name="PAGE1" localSheetId="51">#REF!</definedName>
    <definedName name="PAGE1" localSheetId="53">#REF!</definedName>
    <definedName name="PAGE1">#REF!</definedName>
    <definedName name="PAGE10" localSheetId="54">'[123]worksheet-input'!$L$1441:$S$1521</definedName>
    <definedName name="PAGE10">'[123]worksheet-input'!$L$1441:$S$1521</definedName>
    <definedName name="PAGE2" localSheetId="50">#REF!</definedName>
    <definedName name="PAGE2" localSheetId="47">#REF!</definedName>
    <definedName name="PAGE2" localSheetId="44">#REF!</definedName>
    <definedName name="PAGE2" localSheetId="45">#REF!</definedName>
    <definedName name="PAGE2" localSheetId="46">#REF!</definedName>
    <definedName name="PAGE2" localSheetId="37">#REF!</definedName>
    <definedName name="PAGE2" localSheetId="40">#REF!</definedName>
    <definedName name="PAGE2" localSheetId="54">#REF!</definedName>
    <definedName name="PAGE2" localSheetId="55">#REF!</definedName>
    <definedName name="PAGE2" localSheetId="52">#REF!</definedName>
    <definedName name="PAGE2" localSheetId="51">#REF!</definedName>
    <definedName name="PAGE2" localSheetId="53">#REF!</definedName>
    <definedName name="PAGE2">#REF!</definedName>
    <definedName name="PAGE20" localSheetId="50">#REF!</definedName>
    <definedName name="PAGE20" localSheetId="47">#REF!</definedName>
    <definedName name="PAGE20" localSheetId="44">#REF!</definedName>
    <definedName name="PAGE20" localSheetId="45">#REF!</definedName>
    <definedName name="PAGE20" localSheetId="46">#REF!</definedName>
    <definedName name="PAGE20" localSheetId="37">#REF!</definedName>
    <definedName name="PAGE20" localSheetId="40">#REF!</definedName>
    <definedName name="PAGE20" localSheetId="54">#REF!</definedName>
    <definedName name="PAGE20" localSheetId="55">#REF!</definedName>
    <definedName name="PAGE20" localSheetId="52">#REF!</definedName>
    <definedName name="PAGE20" localSheetId="51">#REF!</definedName>
    <definedName name="PAGE20" localSheetId="53">#REF!</definedName>
    <definedName name="PAGE20">#REF!</definedName>
    <definedName name="PAGE3" localSheetId="50">#REF!</definedName>
    <definedName name="PAGE3" localSheetId="47">#REF!</definedName>
    <definedName name="PAGE3" localSheetId="44">#REF!</definedName>
    <definedName name="PAGE3" localSheetId="45">#REF!</definedName>
    <definedName name="PAGE3" localSheetId="46">#REF!</definedName>
    <definedName name="PAGE3" localSheetId="37">#REF!</definedName>
    <definedName name="PAGE3" localSheetId="40">#REF!</definedName>
    <definedName name="PAGE3" localSheetId="54">#REF!</definedName>
    <definedName name="PAGE3" localSheetId="55">#REF!</definedName>
    <definedName name="PAGE3" localSheetId="52">#REF!</definedName>
    <definedName name="PAGE3" localSheetId="51">#REF!</definedName>
    <definedName name="PAGE3" localSheetId="53">#REF!</definedName>
    <definedName name="PAGE3">#REF!</definedName>
    <definedName name="PAGE4" localSheetId="50">#REF!</definedName>
    <definedName name="PAGE4" localSheetId="47">#REF!</definedName>
    <definedName name="PAGE4" localSheetId="44">#REF!</definedName>
    <definedName name="PAGE4" localSheetId="45">#REF!</definedName>
    <definedName name="PAGE4" localSheetId="46">#REF!</definedName>
    <definedName name="PAGE4" localSheetId="37">#REF!</definedName>
    <definedName name="PAGE4" localSheetId="40">#REF!</definedName>
    <definedName name="PAGE4" localSheetId="54">#REF!</definedName>
    <definedName name="PAGE4" localSheetId="55">#REF!</definedName>
    <definedName name="PAGE4" localSheetId="52">#REF!</definedName>
    <definedName name="PAGE4" localSheetId="51">#REF!</definedName>
    <definedName name="PAGE4" localSheetId="53">#REF!</definedName>
    <definedName name="PAGE4">#REF!</definedName>
    <definedName name="PAGE5" localSheetId="50">#REF!</definedName>
    <definedName name="PAGE5" localSheetId="47">#REF!</definedName>
    <definedName name="PAGE5" localSheetId="44">#REF!</definedName>
    <definedName name="PAGE5" localSheetId="45">#REF!</definedName>
    <definedName name="PAGE5" localSheetId="46">#REF!</definedName>
    <definedName name="PAGE5" localSheetId="37">#REF!</definedName>
    <definedName name="PAGE5" localSheetId="40">#REF!</definedName>
    <definedName name="PAGE5" localSheetId="54">#REF!</definedName>
    <definedName name="PAGE5" localSheetId="55">#REF!</definedName>
    <definedName name="PAGE5" localSheetId="52">#REF!</definedName>
    <definedName name="PAGE5" localSheetId="51">#REF!</definedName>
    <definedName name="PAGE5" localSheetId="53">#REF!</definedName>
    <definedName name="PAGE5">#REF!</definedName>
    <definedName name="PAGE6" localSheetId="50">#REF!</definedName>
    <definedName name="PAGE6" localSheetId="47">#REF!</definedName>
    <definedName name="PAGE6" localSheetId="44">#REF!</definedName>
    <definedName name="PAGE6" localSheetId="45">#REF!</definedName>
    <definedName name="PAGE6" localSheetId="46">#REF!</definedName>
    <definedName name="PAGE6" localSheetId="37">#REF!</definedName>
    <definedName name="PAGE6" localSheetId="40">#REF!</definedName>
    <definedName name="PAGE6" localSheetId="54">#REF!</definedName>
    <definedName name="PAGE6" localSheetId="55">#REF!</definedName>
    <definedName name="PAGE6" localSheetId="52">#REF!</definedName>
    <definedName name="PAGE6" localSheetId="51">#REF!</definedName>
    <definedName name="PAGE6" localSheetId="53">#REF!</definedName>
    <definedName name="PAGE6">#REF!</definedName>
    <definedName name="PAGE7" localSheetId="50">#REF!</definedName>
    <definedName name="PAGE7" localSheetId="47">#REF!</definedName>
    <definedName name="PAGE7" localSheetId="44">#REF!</definedName>
    <definedName name="PAGE7" localSheetId="45">#REF!</definedName>
    <definedName name="PAGE7" localSheetId="46">#REF!</definedName>
    <definedName name="PAGE7" localSheetId="37">#REF!</definedName>
    <definedName name="PAGE7" localSheetId="40">#REF!</definedName>
    <definedName name="PAGE7" localSheetId="54">#REF!</definedName>
    <definedName name="PAGE7" localSheetId="55">#REF!</definedName>
    <definedName name="PAGE7" localSheetId="52">#REF!</definedName>
    <definedName name="PAGE7" localSheetId="51">#REF!</definedName>
    <definedName name="PAGE7" localSheetId="53">#REF!</definedName>
    <definedName name="PAGE7">#REF!</definedName>
    <definedName name="PAGE8" localSheetId="54">'[123]worksheet-input'!$L$1310:$T$1405</definedName>
    <definedName name="PAGE8">'[123]worksheet-input'!$L$1310:$T$1405</definedName>
    <definedName name="PAGE9" localSheetId="54">'[123]worksheet-input'!$L$1406:$T$1419</definedName>
    <definedName name="PAGE9">'[123]worksheet-input'!$L$1406:$T$1419</definedName>
    <definedName name="pared" localSheetId="34">#REF!</definedName>
    <definedName name="pared" localSheetId="35">#REF!</definedName>
    <definedName name="pared" localSheetId="50">#REF!</definedName>
    <definedName name="pared" localSheetId="15">#REF!</definedName>
    <definedName name="pared" localSheetId="29">#REF!</definedName>
    <definedName name="pared" localSheetId="30">#REF!</definedName>
    <definedName name="pared" localSheetId="47">#REF!</definedName>
    <definedName name="pared" localSheetId="44">#REF!</definedName>
    <definedName name="pared" localSheetId="45">#REF!</definedName>
    <definedName name="pared" localSheetId="46">#REF!</definedName>
    <definedName name="pared" localSheetId="31">#REF!</definedName>
    <definedName name="pared" localSheetId="32">#REF!</definedName>
    <definedName name="pared" localSheetId="33">#REF!</definedName>
    <definedName name="pared" localSheetId="36">#REF!</definedName>
    <definedName name="pared" localSheetId="37">#REF!</definedName>
    <definedName name="pared" localSheetId="38">#REF!</definedName>
    <definedName name="pared" localSheetId="39">#REF!</definedName>
    <definedName name="pared" localSheetId="40">#REF!</definedName>
    <definedName name="pared" localSheetId="54">#REF!</definedName>
    <definedName name="pared" localSheetId="55">#REF!</definedName>
    <definedName name="pared" localSheetId="52">#REF!</definedName>
    <definedName name="pared" localSheetId="23">#REF!</definedName>
    <definedName name="pared" localSheetId="51">#REF!</definedName>
    <definedName name="pared" localSheetId="53">#REF!</definedName>
    <definedName name="pared" localSheetId="20">#REF!</definedName>
    <definedName name="pared">#REF!</definedName>
    <definedName name="PartADataCheck">'[57]Sector Summary'!$V$50</definedName>
    <definedName name="PartBDataCheck">'[57]Sector Summary'!$V$89</definedName>
    <definedName name="PartCiDataCheck">'[57]Sector Summary'!$AG$119</definedName>
    <definedName name="PartCiiDataCheck">'[57]Sector Summary'!$AG$145</definedName>
    <definedName name="PARTNERS" localSheetId="34">#REF!</definedName>
    <definedName name="PARTNERS" localSheetId="35">#REF!</definedName>
    <definedName name="PARTNERS" localSheetId="50">#REF!</definedName>
    <definedName name="PARTNERS" localSheetId="15">#REF!</definedName>
    <definedName name="PARTNERS" localSheetId="29">#REF!</definedName>
    <definedName name="PARTNERS" localSheetId="30">#REF!</definedName>
    <definedName name="PARTNERS" localSheetId="47">#REF!</definedName>
    <definedName name="PARTNERS" localSheetId="44">#REF!</definedName>
    <definedName name="PARTNERS" localSheetId="45">#REF!</definedName>
    <definedName name="PARTNERS" localSheetId="46">#REF!</definedName>
    <definedName name="PARTNERS" localSheetId="31">#REF!</definedName>
    <definedName name="PARTNERS" localSheetId="32">#REF!</definedName>
    <definedName name="PARTNERS" localSheetId="33">#REF!</definedName>
    <definedName name="PARTNERS" localSheetId="36">#REF!</definedName>
    <definedName name="PARTNERS" localSheetId="37">#REF!</definedName>
    <definedName name="PARTNERS" localSheetId="38">#REF!</definedName>
    <definedName name="PARTNERS" localSheetId="39">#REF!</definedName>
    <definedName name="PARTNERS" localSheetId="40">#REF!</definedName>
    <definedName name="PARTNERS" localSheetId="54">#REF!</definedName>
    <definedName name="PARTNERS" localSheetId="55">#REF!</definedName>
    <definedName name="PARTNERS" localSheetId="52">#REF!</definedName>
    <definedName name="PARTNERS" localSheetId="23">#REF!</definedName>
    <definedName name="PARTNERS" localSheetId="51">#REF!</definedName>
    <definedName name="PARTNERS" localSheetId="53">#REF!</definedName>
    <definedName name="PARTNERS" localSheetId="20">#REF!</definedName>
    <definedName name="PARTNERS">#REF!</definedName>
    <definedName name="PAS" localSheetId="34">#REF!</definedName>
    <definedName name="PAS" localSheetId="35">#REF!</definedName>
    <definedName name="PAS" localSheetId="50">#REF!</definedName>
    <definedName name="PAS" localSheetId="15">#REF!</definedName>
    <definedName name="PAS" localSheetId="29">#REF!</definedName>
    <definedName name="PAS" localSheetId="30">#REF!</definedName>
    <definedName name="PAS" localSheetId="47">#REF!</definedName>
    <definedName name="PAS" localSheetId="44">#REF!</definedName>
    <definedName name="PAS" localSheetId="45">#REF!</definedName>
    <definedName name="PAS" localSheetId="46">#REF!</definedName>
    <definedName name="PAS" localSheetId="31">#REF!</definedName>
    <definedName name="PAS" localSheetId="32">#REF!</definedName>
    <definedName name="PAS" localSheetId="33">#REF!</definedName>
    <definedName name="PAS" localSheetId="36">#REF!</definedName>
    <definedName name="PAS" localSheetId="37">#REF!</definedName>
    <definedName name="PAS" localSheetId="38">#REF!</definedName>
    <definedName name="PAS" localSheetId="39">#REF!</definedName>
    <definedName name="PAS" localSheetId="40">#REF!</definedName>
    <definedName name="PAS" localSheetId="54">#REF!</definedName>
    <definedName name="PAS" localSheetId="55">#REF!</definedName>
    <definedName name="PAS" localSheetId="52">#REF!</definedName>
    <definedName name="PAS" localSheetId="23">#REF!</definedName>
    <definedName name="PAS" localSheetId="51">#REF!</definedName>
    <definedName name="PAS" localSheetId="53">#REF!</definedName>
    <definedName name="PAS" localSheetId="20">#REF!</definedName>
    <definedName name="PAS">#REF!</definedName>
    <definedName name="pase" localSheetId="34">#REF!</definedName>
    <definedName name="pase" localSheetId="35">#REF!</definedName>
    <definedName name="pase" localSheetId="50">#REF!</definedName>
    <definedName name="pase" localSheetId="15">#REF!</definedName>
    <definedName name="pase" localSheetId="29">#REF!</definedName>
    <definedName name="pase" localSheetId="30">#REF!</definedName>
    <definedName name="pase" localSheetId="47">#REF!</definedName>
    <definedName name="pase" localSheetId="44">#REF!</definedName>
    <definedName name="pase" localSheetId="45">#REF!</definedName>
    <definedName name="pase" localSheetId="46">#REF!</definedName>
    <definedName name="pase" localSheetId="31">#REF!</definedName>
    <definedName name="pase" localSheetId="32">#REF!</definedName>
    <definedName name="pase" localSheetId="33">#REF!</definedName>
    <definedName name="pase" localSheetId="36">#REF!</definedName>
    <definedName name="pase" localSheetId="37">#REF!</definedName>
    <definedName name="pase" localSheetId="38">#REF!</definedName>
    <definedName name="pase" localSheetId="39">#REF!</definedName>
    <definedName name="pase" localSheetId="40">#REF!</definedName>
    <definedName name="pase" localSheetId="54">#REF!</definedName>
    <definedName name="pase" localSheetId="55">#REF!</definedName>
    <definedName name="pase" localSheetId="52">#REF!</definedName>
    <definedName name="pase" localSheetId="23">#REF!</definedName>
    <definedName name="pase" localSheetId="51">#REF!</definedName>
    <definedName name="pase" localSheetId="53">#REF!</definedName>
    <definedName name="pase" localSheetId="20">#REF!</definedName>
    <definedName name="pase">#REF!</definedName>
    <definedName name="pasfcoma" localSheetId="34">#REF!</definedName>
    <definedName name="pasfcoma" localSheetId="35">#REF!</definedName>
    <definedName name="pasfcoma" localSheetId="50">#REF!</definedName>
    <definedName name="pasfcoma" localSheetId="15">#REF!</definedName>
    <definedName name="pasfcoma" localSheetId="29">#REF!</definedName>
    <definedName name="pasfcoma" localSheetId="30">#REF!</definedName>
    <definedName name="pasfcoma" localSheetId="47">#REF!</definedName>
    <definedName name="pasfcoma" localSheetId="44">#REF!</definedName>
    <definedName name="pasfcoma" localSheetId="45">#REF!</definedName>
    <definedName name="pasfcoma" localSheetId="46">#REF!</definedName>
    <definedName name="pasfcoma" localSheetId="31">#REF!</definedName>
    <definedName name="pasfcoma" localSheetId="32">#REF!</definedName>
    <definedName name="pasfcoma" localSheetId="33">#REF!</definedName>
    <definedName name="pasfcoma" localSheetId="36">#REF!</definedName>
    <definedName name="pasfcoma" localSheetId="37">#REF!</definedName>
    <definedName name="pasfcoma" localSheetId="38">#REF!</definedName>
    <definedName name="pasfcoma" localSheetId="39">#REF!</definedName>
    <definedName name="pasfcoma" localSheetId="40">#REF!</definedName>
    <definedName name="pasfcoma" localSheetId="54">#REF!</definedName>
    <definedName name="pasfcoma" localSheetId="55">#REF!</definedName>
    <definedName name="pasfcoma" localSheetId="52">#REF!</definedName>
    <definedName name="pasfcoma" localSheetId="23">#REF!</definedName>
    <definedName name="pasfcoma" localSheetId="51">#REF!</definedName>
    <definedName name="pasfcoma" localSheetId="53">#REF!</definedName>
    <definedName name="pasfcoma" localSheetId="20">#REF!</definedName>
    <definedName name="pasfcoma">#REF!</definedName>
    <definedName name="pasivas" localSheetId="34">#REF!</definedName>
    <definedName name="pasivas" localSheetId="35">#REF!</definedName>
    <definedName name="pasivas" localSheetId="50">#REF!</definedName>
    <definedName name="pasivas" localSheetId="15">#REF!</definedName>
    <definedName name="pasivas" localSheetId="29">#REF!</definedName>
    <definedName name="pasivas" localSheetId="30">#REF!</definedName>
    <definedName name="pasivas" localSheetId="47">#REF!</definedName>
    <definedName name="pasivas" localSheetId="44">#REF!</definedName>
    <definedName name="pasivas" localSheetId="45">#REF!</definedName>
    <definedName name="pasivas" localSheetId="46">#REF!</definedName>
    <definedName name="pasivas" localSheetId="31">#REF!</definedName>
    <definedName name="pasivas" localSheetId="32">#REF!</definedName>
    <definedName name="pasivas" localSheetId="33">#REF!</definedName>
    <definedName name="pasivas" localSheetId="36">#REF!</definedName>
    <definedName name="pasivas" localSheetId="37">#REF!</definedName>
    <definedName name="pasivas" localSheetId="38">#REF!</definedName>
    <definedName name="pasivas" localSheetId="39">#REF!</definedName>
    <definedName name="pasivas" localSheetId="40">#REF!</definedName>
    <definedName name="pasivas" localSheetId="54">#REF!</definedName>
    <definedName name="pasivas" localSheetId="55">#REF!</definedName>
    <definedName name="pasivas" localSheetId="52">#REF!</definedName>
    <definedName name="pasivas" localSheetId="23">#REF!</definedName>
    <definedName name="pasivas" localSheetId="51">#REF!</definedName>
    <definedName name="pasivas" localSheetId="53">#REF!</definedName>
    <definedName name="pasivas" localSheetId="20">#REF!</definedName>
    <definedName name="pasivas">#REF!</definedName>
    <definedName name="pass" localSheetId="50">#REF!</definedName>
    <definedName name="pass" localSheetId="47">#REF!</definedName>
    <definedName name="pass" localSheetId="44">#REF!</definedName>
    <definedName name="pass" localSheetId="45">#REF!</definedName>
    <definedName name="pass" localSheetId="46">#REF!</definedName>
    <definedName name="pass" localSheetId="37">#REF!</definedName>
    <definedName name="pass" localSheetId="40">#REF!</definedName>
    <definedName name="pass" localSheetId="54">#REF!</definedName>
    <definedName name="pass" localSheetId="55">#REF!</definedName>
    <definedName name="pass" localSheetId="52">#REF!</definedName>
    <definedName name="pass" localSheetId="51">#REF!</definedName>
    <definedName name="pass" localSheetId="53">#REF!</definedName>
    <definedName name="pass">#REF!</definedName>
    <definedName name="Path" localSheetId="29">#REF!</definedName>
    <definedName name="Path" localSheetId="30">#REF!</definedName>
    <definedName name="Path" localSheetId="47">#REF!</definedName>
    <definedName name="Path" localSheetId="44">#REF!</definedName>
    <definedName name="Path" localSheetId="45">#REF!</definedName>
    <definedName name="Path" localSheetId="46">#REF!</definedName>
    <definedName name="Path" localSheetId="37">#REF!</definedName>
    <definedName name="Path" localSheetId="40">#REF!</definedName>
    <definedName name="Path" localSheetId="54">#REF!</definedName>
    <definedName name="Path" localSheetId="55">#REF!</definedName>
    <definedName name="Path" localSheetId="52">#REF!</definedName>
    <definedName name="Path" localSheetId="51">#REF!</definedName>
    <definedName name="Path" localSheetId="53">#REF!</definedName>
    <definedName name="Path">#REF!</definedName>
    <definedName name="Path_Data" localSheetId="34">#REF!</definedName>
    <definedName name="Path_Data" localSheetId="35">#REF!</definedName>
    <definedName name="Path_Data" localSheetId="50">#REF!</definedName>
    <definedName name="Path_Data" localSheetId="15">#REF!</definedName>
    <definedName name="Path_Data" localSheetId="29">#REF!</definedName>
    <definedName name="Path_Data" localSheetId="30">#REF!</definedName>
    <definedName name="Path_Data" localSheetId="47">#REF!</definedName>
    <definedName name="Path_Data" localSheetId="44">#REF!</definedName>
    <definedName name="Path_Data" localSheetId="45">#REF!</definedName>
    <definedName name="Path_Data" localSheetId="46">#REF!</definedName>
    <definedName name="Path_Data" localSheetId="31">#REF!</definedName>
    <definedName name="Path_Data" localSheetId="32">#REF!</definedName>
    <definedName name="Path_Data" localSheetId="33">#REF!</definedName>
    <definedName name="Path_Data" localSheetId="36">#REF!</definedName>
    <definedName name="Path_Data" localSheetId="37">#REF!</definedName>
    <definedName name="Path_Data" localSheetId="38">#REF!</definedName>
    <definedName name="Path_Data" localSheetId="39">#REF!</definedName>
    <definedName name="Path_Data" localSheetId="40">#REF!</definedName>
    <definedName name="Path_Data" localSheetId="54">#REF!</definedName>
    <definedName name="Path_Data" localSheetId="55">#REF!</definedName>
    <definedName name="Path_Data" localSheetId="52">#REF!</definedName>
    <definedName name="Path_Data" localSheetId="23">#REF!</definedName>
    <definedName name="Path_Data" localSheetId="51">#REF!</definedName>
    <definedName name="Path_Data" localSheetId="53">#REF!</definedName>
    <definedName name="Path_Data" localSheetId="20">#REF!</definedName>
    <definedName name="Path_Data">#REF!</definedName>
    <definedName name="Path_System" localSheetId="34">#REF!</definedName>
    <definedName name="Path_System" localSheetId="35">#REF!</definedName>
    <definedName name="Path_System" localSheetId="50">#REF!</definedName>
    <definedName name="Path_System" localSheetId="15">#REF!</definedName>
    <definedName name="Path_System" localSheetId="29">#REF!</definedName>
    <definedName name="Path_System" localSheetId="30">#REF!</definedName>
    <definedName name="Path_System" localSheetId="47">#REF!</definedName>
    <definedName name="Path_System" localSheetId="44">#REF!</definedName>
    <definedName name="Path_System" localSheetId="45">#REF!</definedName>
    <definedName name="Path_System" localSheetId="46">#REF!</definedName>
    <definedName name="Path_System" localSheetId="31">#REF!</definedName>
    <definedName name="Path_System" localSheetId="32">#REF!</definedName>
    <definedName name="Path_System" localSheetId="33">#REF!</definedName>
    <definedName name="Path_System" localSheetId="36">#REF!</definedName>
    <definedName name="Path_System" localSheetId="37">#REF!</definedName>
    <definedName name="Path_System" localSheetId="38">#REF!</definedName>
    <definedName name="Path_System" localSheetId="39">#REF!</definedName>
    <definedName name="Path_System" localSheetId="40">#REF!</definedName>
    <definedName name="Path_System" localSheetId="54">#REF!</definedName>
    <definedName name="Path_System" localSheetId="55">#REF!</definedName>
    <definedName name="Path_System" localSheetId="52">#REF!</definedName>
    <definedName name="Path_System" localSheetId="23">#REF!</definedName>
    <definedName name="Path_System" localSheetId="51">#REF!</definedName>
    <definedName name="Path_System" localSheetId="53">#REF!</definedName>
    <definedName name="Path_System" localSheetId="20">#REF!</definedName>
    <definedName name="Path_System">#REF!</definedName>
    <definedName name="Paym_Cap" localSheetId="50">#REF!</definedName>
    <definedName name="Paym_Cap" localSheetId="47">#REF!</definedName>
    <definedName name="Paym_Cap" localSheetId="44">#REF!</definedName>
    <definedName name="Paym_Cap" localSheetId="45">#REF!</definedName>
    <definedName name="Paym_Cap" localSheetId="46">#REF!</definedName>
    <definedName name="Paym_Cap" localSheetId="37">#REF!</definedName>
    <definedName name="Paym_Cap" localSheetId="40">#REF!</definedName>
    <definedName name="Paym_Cap" localSheetId="54">#REF!</definedName>
    <definedName name="Paym_Cap" localSheetId="55">#REF!</definedName>
    <definedName name="Paym_Cap" localSheetId="52">#REF!</definedName>
    <definedName name="Paym_Cap" localSheetId="51">#REF!</definedName>
    <definedName name="Paym_Cap" localSheetId="53">#REF!</definedName>
    <definedName name="Paym_Cap">#REF!</definedName>
    <definedName name="pchBM" localSheetId="50">#REF!</definedName>
    <definedName name="pchBM" localSheetId="47">#REF!</definedName>
    <definedName name="pchBM" localSheetId="44">#REF!</definedName>
    <definedName name="pchBM" localSheetId="45">#REF!</definedName>
    <definedName name="pchBM" localSheetId="46">#REF!</definedName>
    <definedName name="pchBM" localSheetId="37">#REF!</definedName>
    <definedName name="pchBM" localSheetId="40">#REF!</definedName>
    <definedName name="pchBM" localSheetId="54">#REF!</definedName>
    <definedName name="pchBM" localSheetId="55">#REF!</definedName>
    <definedName name="pchBM" localSheetId="52">#REF!</definedName>
    <definedName name="pchBM" localSheetId="51">#REF!</definedName>
    <definedName name="pchBM" localSheetId="53">#REF!</definedName>
    <definedName name="pchBM">#REF!</definedName>
    <definedName name="pchBMG" localSheetId="50">#REF!</definedName>
    <definedName name="pchBMG" localSheetId="47">#REF!</definedName>
    <definedName name="pchBMG" localSheetId="44">#REF!</definedName>
    <definedName name="pchBMG" localSheetId="45">#REF!</definedName>
    <definedName name="pchBMG" localSheetId="46">#REF!</definedName>
    <definedName name="pchBMG" localSheetId="37">#REF!</definedName>
    <definedName name="pchBMG" localSheetId="40">#REF!</definedName>
    <definedName name="pchBMG" localSheetId="54">#REF!</definedName>
    <definedName name="pchBMG" localSheetId="55">#REF!</definedName>
    <definedName name="pchBMG" localSheetId="52">#REF!</definedName>
    <definedName name="pchBMG" localSheetId="51">#REF!</definedName>
    <definedName name="pchBMG" localSheetId="53">#REF!</definedName>
    <definedName name="pchBMG">#REF!</definedName>
    <definedName name="pchBX" localSheetId="50">#REF!</definedName>
    <definedName name="pchBX" localSheetId="47">#REF!</definedName>
    <definedName name="pchBX" localSheetId="44">#REF!</definedName>
    <definedName name="pchBX" localSheetId="45">#REF!</definedName>
    <definedName name="pchBX" localSheetId="46">#REF!</definedName>
    <definedName name="pchBX" localSheetId="37">#REF!</definedName>
    <definedName name="pchBX" localSheetId="40">#REF!</definedName>
    <definedName name="pchBX" localSheetId="54">#REF!</definedName>
    <definedName name="pchBX" localSheetId="55">#REF!</definedName>
    <definedName name="pchBX" localSheetId="52">#REF!</definedName>
    <definedName name="pchBX" localSheetId="51">#REF!</definedName>
    <definedName name="pchBX" localSheetId="53">#REF!</definedName>
    <definedName name="pchBX">#REF!</definedName>
    <definedName name="pchBXG" localSheetId="50">#REF!</definedName>
    <definedName name="pchBXG" localSheetId="47">#REF!</definedName>
    <definedName name="pchBXG" localSheetId="44">#REF!</definedName>
    <definedName name="pchBXG" localSheetId="45">#REF!</definedName>
    <definedName name="pchBXG" localSheetId="46">#REF!</definedName>
    <definedName name="pchBXG" localSheetId="37">#REF!</definedName>
    <definedName name="pchBXG" localSheetId="40">#REF!</definedName>
    <definedName name="pchBXG" localSheetId="54">#REF!</definedName>
    <definedName name="pchBXG" localSheetId="55">#REF!</definedName>
    <definedName name="pchBXG" localSheetId="52">#REF!</definedName>
    <definedName name="pchBXG" localSheetId="51">#REF!</definedName>
    <definedName name="pchBXG" localSheetId="53">#REF!</definedName>
    <definedName name="pchBXG">#REF!</definedName>
    <definedName name="pchNM_R" localSheetId="34">#REF!</definedName>
    <definedName name="pchNM_R" localSheetId="35">#REF!</definedName>
    <definedName name="pchNM_R" localSheetId="50">#REF!</definedName>
    <definedName name="pchNM_R" localSheetId="15">#REF!</definedName>
    <definedName name="pchNM_R" localSheetId="29">#REF!</definedName>
    <definedName name="pchNM_R" localSheetId="30">#REF!</definedName>
    <definedName name="pchNM_R" localSheetId="47">#REF!</definedName>
    <definedName name="pchNM_R" localSheetId="44">#REF!</definedName>
    <definedName name="pchNM_R" localSheetId="45">#REF!</definedName>
    <definedName name="pchNM_R" localSheetId="46">#REF!</definedName>
    <definedName name="pchNM_R" localSheetId="31">#REF!</definedName>
    <definedName name="pchNM_R" localSheetId="32">#REF!</definedName>
    <definedName name="pchNM_R" localSheetId="33">#REF!</definedName>
    <definedName name="pchNM_R" localSheetId="36">#REF!</definedName>
    <definedName name="pchNM_R" localSheetId="37">#REF!</definedName>
    <definedName name="pchNM_R" localSheetId="38">#REF!</definedName>
    <definedName name="pchNM_R" localSheetId="39">#REF!</definedName>
    <definedName name="pchNM_R" localSheetId="40">#REF!</definedName>
    <definedName name="pchNM_R" localSheetId="54">#REF!</definedName>
    <definedName name="pchNM_R" localSheetId="55">#REF!</definedName>
    <definedName name="pchNM_R" localSheetId="52">#REF!</definedName>
    <definedName name="pchNM_R" localSheetId="23">#REF!</definedName>
    <definedName name="pchNM_R" localSheetId="51">#REF!</definedName>
    <definedName name="pchNM_R" localSheetId="53">#REF!</definedName>
    <definedName name="pchNM_R" localSheetId="20">#REF!</definedName>
    <definedName name="pchNM_R">#REF!</definedName>
    <definedName name="pchNMG_R" localSheetId="34">#REF!</definedName>
    <definedName name="pchNMG_R" localSheetId="35">#REF!</definedName>
    <definedName name="pchNMG_R" localSheetId="50">#REF!</definedName>
    <definedName name="pchNMG_R" localSheetId="15">#REF!</definedName>
    <definedName name="pchNMG_R" localSheetId="29">#REF!</definedName>
    <definedName name="pchNMG_R" localSheetId="30">#REF!</definedName>
    <definedName name="pchNMG_R" localSheetId="47">#REF!</definedName>
    <definedName name="pchNMG_R" localSheetId="44">#REF!</definedName>
    <definedName name="pchNMG_R" localSheetId="45">#REF!</definedName>
    <definedName name="pchNMG_R" localSheetId="46">#REF!</definedName>
    <definedName name="pchNMG_R" localSheetId="31">#REF!</definedName>
    <definedName name="pchNMG_R" localSheetId="32">#REF!</definedName>
    <definedName name="pchNMG_R" localSheetId="33">#REF!</definedName>
    <definedName name="pchNMG_R" localSheetId="36">#REF!</definedName>
    <definedName name="pchNMG_R" localSheetId="37">#REF!</definedName>
    <definedName name="pchNMG_R" localSheetId="38">#REF!</definedName>
    <definedName name="pchNMG_R" localSheetId="39">#REF!</definedName>
    <definedName name="pchNMG_R" localSheetId="40">#REF!</definedName>
    <definedName name="pchNMG_R" localSheetId="54">#REF!</definedName>
    <definedName name="pchNMG_R" localSheetId="55">#REF!</definedName>
    <definedName name="pchNMG_R" localSheetId="52">#REF!</definedName>
    <definedName name="pchNMG_R" localSheetId="23">#REF!</definedName>
    <definedName name="pchNMG_R" localSheetId="51">#REF!</definedName>
    <definedName name="pchNMG_R" localSheetId="53">#REF!</definedName>
    <definedName name="pchNMG_R" localSheetId="20">#REF!</definedName>
    <definedName name="pchNMG_R">#REF!</definedName>
    <definedName name="pchNX_R" localSheetId="34">#REF!</definedName>
    <definedName name="pchNX_R" localSheetId="35">#REF!</definedName>
    <definedName name="pchNX_R" localSheetId="50">#REF!</definedName>
    <definedName name="pchNX_R" localSheetId="15">#REF!</definedName>
    <definedName name="pchNX_R" localSheetId="29">#REF!</definedName>
    <definedName name="pchNX_R" localSheetId="30">#REF!</definedName>
    <definedName name="pchNX_R" localSheetId="47">#REF!</definedName>
    <definedName name="pchNX_R" localSheetId="44">#REF!</definedName>
    <definedName name="pchNX_R" localSheetId="45">#REF!</definedName>
    <definedName name="pchNX_R" localSheetId="46">#REF!</definedName>
    <definedName name="pchNX_R" localSheetId="31">#REF!</definedName>
    <definedName name="pchNX_R" localSheetId="32">#REF!</definedName>
    <definedName name="pchNX_R" localSheetId="33">#REF!</definedName>
    <definedName name="pchNX_R" localSheetId="36">#REF!</definedName>
    <definedName name="pchNX_R" localSheetId="37">#REF!</definedName>
    <definedName name="pchNX_R" localSheetId="38">#REF!</definedName>
    <definedName name="pchNX_R" localSheetId="39">#REF!</definedName>
    <definedName name="pchNX_R" localSheetId="40">#REF!</definedName>
    <definedName name="pchNX_R" localSheetId="54">#REF!</definedName>
    <definedName name="pchNX_R" localSheetId="55">#REF!</definedName>
    <definedName name="pchNX_R" localSheetId="52">#REF!</definedName>
    <definedName name="pchNX_R" localSheetId="23">#REF!</definedName>
    <definedName name="pchNX_R" localSheetId="51">#REF!</definedName>
    <definedName name="pchNX_R" localSheetId="53">#REF!</definedName>
    <definedName name="pchNX_R" localSheetId="20">#REF!</definedName>
    <definedName name="pchNX_R">#REF!</definedName>
    <definedName name="pchNXG_R" localSheetId="34">#REF!</definedName>
    <definedName name="pchNXG_R" localSheetId="35">#REF!</definedName>
    <definedName name="pchNXG_R" localSheetId="50">#REF!</definedName>
    <definedName name="pchNXG_R" localSheetId="15">#REF!</definedName>
    <definedName name="pchNXG_R" localSheetId="29">#REF!</definedName>
    <definedName name="pchNXG_R" localSheetId="30">#REF!</definedName>
    <definedName name="pchNXG_R" localSheetId="47">#REF!</definedName>
    <definedName name="pchNXG_R" localSheetId="44">#REF!</definedName>
    <definedName name="pchNXG_R" localSheetId="45">#REF!</definedName>
    <definedName name="pchNXG_R" localSheetId="46">#REF!</definedName>
    <definedName name="pchNXG_R" localSheetId="31">#REF!</definedName>
    <definedName name="pchNXG_R" localSheetId="32">#REF!</definedName>
    <definedName name="pchNXG_R" localSheetId="33">#REF!</definedName>
    <definedName name="pchNXG_R" localSheetId="36">#REF!</definedName>
    <definedName name="pchNXG_R" localSheetId="37">#REF!</definedName>
    <definedName name="pchNXG_R" localSheetId="38">#REF!</definedName>
    <definedName name="pchNXG_R" localSheetId="39">#REF!</definedName>
    <definedName name="pchNXG_R" localSheetId="40">#REF!</definedName>
    <definedName name="pchNXG_R" localSheetId="54">#REF!</definedName>
    <definedName name="pchNXG_R" localSheetId="55">#REF!</definedName>
    <definedName name="pchNXG_R" localSheetId="52">#REF!</definedName>
    <definedName name="pchNXG_R" localSheetId="23">#REF!</definedName>
    <definedName name="pchNXG_R" localSheetId="51">#REF!</definedName>
    <definedName name="pchNXG_R" localSheetId="53">#REF!</definedName>
    <definedName name="pchNXG_R" localSheetId="20">#REF!</definedName>
    <definedName name="pchNXG_R">#REF!</definedName>
    <definedName name="PCPI" localSheetId="50">#REF!</definedName>
    <definedName name="PCPI" localSheetId="47">#REF!</definedName>
    <definedName name="PCPI" localSheetId="44">#REF!</definedName>
    <definedName name="PCPI" localSheetId="45">#REF!</definedName>
    <definedName name="PCPI" localSheetId="46">#REF!</definedName>
    <definedName name="PCPI" localSheetId="37">#REF!</definedName>
    <definedName name="PCPI" localSheetId="40">#REF!</definedName>
    <definedName name="PCPI" localSheetId="54">#REF!</definedName>
    <definedName name="PCPI" localSheetId="55">#REF!</definedName>
    <definedName name="PCPI" localSheetId="52">#REF!</definedName>
    <definedName name="PCPI" localSheetId="51">#REF!</definedName>
    <definedName name="PCPI" localSheetId="53">#REF!</definedName>
    <definedName name="PCPI">#REF!</definedName>
    <definedName name="PCPIG">#N/A</definedName>
    <definedName name="Peer1_Bank_Codes" localSheetId="58">#REF!</definedName>
    <definedName name="Peer1_Bank_Codes" localSheetId="34">#REF!</definedName>
    <definedName name="Peer1_Bank_Codes" localSheetId="35">#REF!</definedName>
    <definedName name="Peer1_Bank_Codes" localSheetId="50">#REF!</definedName>
    <definedName name="Peer1_Bank_Codes" localSheetId="15">#REF!</definedName>
    <definedName name="Peer1_Bank_Codes" localSheetId="27">#REF!</definedName>
    <definedName name="Peer1_Bank_Codes" localSheetId="24">#REF!</definedName>
    <definedName name="Peer1_Bank_Codes" localSheetId="26">#REF!</definedName>
    <definedName name="Peer1_Bank_Codes" localSheetId="29">#REF!</definedName>
    <definedName name="Peer1_Bank_Codes" localSheetId="42">#REF!</definedName>
    <definedName name="Peer1_Bank_Codes" localSheetId="30">#REF!</definedName>
    <definedName name="Peer1_Bank_Codes" localSheetId="47">#REF!</definedName>
    <definedName name="Peer1_Bank_Codes" localSheetId="44">#REF!</definedName>
    <definedName name="Peer1_Bank_Codes" localSheetId="45">#REF!</definedName>
    <definedName name="Peer1_Bank_Codes" localSheetId="46">#REF!</definedName>
    <definedName name="Peer1_Bank_Codes" localSheetId="31">#REF!</definedName>
    <definedName name="Peer1_Bank_Codes" localSheetId="32">#REF!</definedName>
    <definedName name="Peer1_Bank_Codes" localSheetId="33">#REF!</definedName>
    <definedName name="Peer1_Bank_Codes" localSheetId="59">#REF!</definedName>
    <definedName name="Peer1_Bank_Codes" localSheetId="36">#REF!</definedName>
    <definedName name="Peer1_Bank_Codes" localSheetId="37">#REF!</definedName>
    <definedName name="Peer1_Bank_Codes" localSheetId="38">#REF!</definedName>
    <definedName name="Peer1_Bank_Codes" localSheetId="39">#REF!</definedName>
    <definedName name="Peer1_Bank_Codes" localSheetId="40">#REF!</definedName>
    <definedName name="Peer1_Bank_Codes" localSheetId="25">#REF!</definedName>
    <definedName name="Peer1_Bank_Codes" localSheetId="54">#REF!</definedName>
    <definedName name="Peer1_Bank_Codes" localSheetId="55">#REF!</definedName>
    <definedName name="Peer1_Bank_Codes" localSheetId="52">#REF!</definedName>
    <definedName name="Peer1_Bank_Codes" localSheetId="23">#REF!</definedName>
    <definedName name="Peer1_Bank_Codes" localSheetId="51">#REF!</definedName>
    <definedName name="Peer1_Bank_Codes" localSheetId="12">#REF!</definedName>
    <definedName name="Peer1_Bank_Codes" localSheetId="53">#REF!</definedName>
    <definedName name="Peer1_Bank_Codes" localSheetId="49">#REF!</definedName>
    <definedName name="Peer1_Bank_Codes" localSheetId="60">#REF!</definedName>
    <definedName name="Peer1_Bank_Codes" localSheetId="20">#REF!</definedName>
    <definedName name="Peer1_Bank_Codes">#REF!</definedName>
    <definedName name="Peer7_Bank_Codes" localSheetId="34">#REF!</definedName>
    <definedName name="Peer7_Bank_Codes" localSheetId="35">#REF!</definedName>
    <definedName name="Peer7_Bank_Codes" localSheetId="50">#REF!</definedName>
    <definedName name="Peer7_Bank_Codes" localSheetId="15">#REF!</definedName>
    <definedName name="Peer7_Bank_Codes" localSheetId="29">#REF!</definedName>
    <definedName name="Peer7_Bank_Codes" localSheetId="30">#REF!</definedName>
    <definedName name="Peer7_Bank_Codes" localSheetId="47">#REF!</definedName>
    <definedName name="Peer7_Bank_Codes" localSheetId="44">#REF!</definedName>
    <definedName name="Peer7_Bank_Codes" localSheetId="45">#REF!</definedName>
    <definedName name="Peer7_Bank_Codes" localSheetId="46">#REF!</definedName>
    <definedName name="Peer7_Bank_Codes" localSheetId="31">#REF!</definedName>
    <definedName name="Peer7_Bank_Codes" localSheetId="32">#REF!</definedName>
    <definedName name="Peer7_Bank_Codes" localSheetId="33">#REF!</definedName>
    <definedName name="Peer7_Bank_Codes" localSheetId="36">#REF!</definedName>
    <definedName name="Peer7_Bank_Codes" localSheetId="37">#REF!</definedName>
    <definedName name="Peer7_Bank_Codes" localSheetId="38">#REF!</definedName>
    <definedName name="Peer7_Bank_Codes" localSheetId="39">#REF!</definedName>
    <definedName name="Peer7_Bank_Codes" localSheetId="40">#REF!</definedName>
    <definedName name="Peer7_Bank_Codes" localSheetId="54">#REF!</definedName>
    <definedName name="Peer7_Bank_Codes" localSheetId="55">#REF!</definedName>
    <definedName name="Peer7_Bank_Codes" localSheetId="52">#REF!</definedName>
    <definedName name="Peer7_Bank_Codes" localSheetId="23">#REF!</definedName>
    <definedName name="Peer7_Bank_Codes" localSheetId="51">#REF!</definedName>
    <definedName name="Peer7_Bank_Codes" localSheetId="53">#REF!</definedName>
    <definedName name="Peer7_Bank_Codes" localSheetId="20">#REF!</definedName>
    <definedName name="Peer7_Bank_Codes">#REF!</definedName>
    <definedName name="Peer8_Bank_Codes" localSheetId="34">#REF!</definedName>
    <definedName name="Peer8_Bank_Codes" localSheetId="35">#REF!</definedName>
    <definedName name="Peer8_Bank_Codes" localSheetId="50">#REF!</definedName>
    <definedName name="Peer8_Bank_Codes" localSheetId="15">#REF!</definedName>
    <definedName name="Peer8_Bank_Codes" localSheetId="29">#REF!</definedName>
    <definedName name="Peer8_Bank_Codes" localSheetId="30">#REF!</definedName>
    <definedName name="Peer8_Bank_Codes" localSheetId="47">#REF!</definedName>
    <definedName name="Peer8_Bank_Codes" localSheetId="44">#REF!</definedName>
    <definedName name="Peer8_Bank_Codes" localSheetId="45">#REF!</definedName>
    <definedName name="Peer8_Bank_Codes" localSheetId="46">#REF!</definedName>
    <definedName name="Peer8_Bank_Codes" localSheetId="31">#REF!</definedName>
    <definedName name="Peer8_Bank_Codes" localSheetId="32">#REF!</definedName>
    <definedName name="Peer8_Bank_Codes" localSheetId="33">#REF!</definedName>
    <definedName name="Peer8_Bank_Codes" localSheetId="36">#REF!</definedName>
    <definedName name="Peer8_Bank_Codes" localSheetId="37">#REF!</definedName>
    <definedName name="Peer8_Bank_Codes" localSheetId="38">#REF!</definedName>
    <definedName name="Peer8_Bank_Codes" localSheetId="39">#REF!</definedName>
    <definedName name="Peer8_Bank_Codes" localSheetId="40">#REF!</definedName>
    <definedName name="Peer8_Bank_Codes" localSheetId="54">#REF!</definedName>
    <definedName name="Peer8_Bank_Codes" localSheetId="55">#REF!</definedName>
    <definedName name="Peer8_Bank_Codes" localSheetId="52">#REF!</definedName>
    <definedName name="Peer8_Bank_Codes" localSheetId="23">#REF!</definedName>
    <definedName name="Peer8_Bank_Codes" localSheetId="51">#REF!</definedName>
    <definedName name="Peer8_Bank_Codes" localSheetId="53">#REF!</definedName>
    <definedName name="Peer8_Bank_Codes" localSheetId="20">#REF!</definedName>
    <definedName name="Peer8_Bank_Codes">#REF!</definedName>
    <definedName name="People" localSheetId="50">#REF!</definedName>
    <definedName name="People" localSheetId="47">#REF!</definedName>
    <definedName name="People" localSheetId="44">#REF!</definedName>
    <definedName name="People" localSheetId="45">#REF!</definedName>
    <definedName name="People" localSheetId="46">#REF!</definedName>
    <definedName name="People" localSheetId="37">#REF!</definedName>
    <definedName name="People" localSheetId="40">#REF!</definedName>
    <definedName name="People" localSheetId="54">#REF!</definedName>
    <definedName name="People" localSheetId="55">#REF!</definedName>
    <definedName name="People" localSheetId="52">#REF!</definedName>
    <definedName name="People" localSheetId="51">#REF!</definedName>
    <definedName name="People" localSheetId="53">#REF!</definedName>
    <definedName name="People">#REF!</definedName>
    <definedName name="People1" localSheetId="50">#REF!</definedName>
    <definedName name="People1" localSheetId="47">#REF!</definedName>
    <definedName name="People1" localSheetId="44">#REF!</definedName>
    <definedName name="People1" localSheetId="45">#REF!</definedName>
    <definedName name="People1" localSheetId="46">#REF!</definedName>
    <definedName name="People1" localSheetId="37">#REF!</definedName>
    <definedName name="People1" localSheetId="40">#REF!</definedName>
    <definedName name="People1" localSheetId="54">#REF!</definedName>
    <definedName name="People1" localSheetId="55">#REF!</definedName>
    <definedName name="People1" localSheetId="52">#REF!</definedName>
    <definedName name="People1" localSheetId="51">#REF!</definedName>
    <definedName name="People1" localSheetId="53">#REF!</definedName>
    <definedName name="People1">#REF!</definedName>
    <definedName name="People2" localSheetId="50">#REF!</definedName>
    <definedName name="People2" localSheetId="47">#REF!</definedName>
    <definedName name="People2" localSheetId="44">#REF!</definedName>
    <definedName name="People2" localSheetId="45">#REF!</definedName>
    <definedName name="People2" localSheetId="46">#REF!</definedName>
    <definedName name="People2" localSheetId="37">#REF!</definedName>
    <definedName name="People2" localSheetId="40">#REF!</definedName>
    <definedName name="People2" localSheetId="54">#REF!</definedName>
    <definedName name="People2" localSheetId="55">#REF!</definedName>
    <definedName name="People2" localSheetId="52">#REF!</definedName>
    <definedName name="People2" localSheetId="51">#REF!</definedName>
    <definedName name="People2" localSheetId="53">#REF!</definedName>
    <definedName name="People2">#REF!</definedName>
    <definedName name="percent_rate_increase">[74]Admin!$C$12</definedName>
    <definedName name="PeriodList">'[94]Report Form'!$B$4:$B$34</definedName>
    <definedName name="Pert" localSheetId="50">#REF!</definedName>
    <definedName name="Pert" localSheetId="47">#REF!</definedName>
    <definedName name="Pert" localSheetId="44">#REF!</definedName>
    <definedName name="Pert" localSheetId="45">#REF!</definedName>
    <definedName name="Pert" localSheetId="46">#REF!</definedName>
    <definedName name="Pert" localSheetId="37">#REF!</definedName>
    <definedName name="Pert" localSheetId="40">#REF!</definedName>
    <definedName name="Pert" localSheetId="54">#REF!</definedName>
    <definedName name="Pert" localSheetId="55">#REF!</definedName>
    <definedName name="Pert" localSheetId="52">#REF!</definedName>
    <definedName name="Pert" localSheetId="51">#REF!</definedName>
    <definedName name="Pert" localSheetId="53">#REF!</definedName>
    <definedName name="Pert">#REF!</definedName>
    <definedName name="Petroecuador" localSheetId="34">#REF!</definedName>
    <definedName name="Petroecuador" localSheetId="35">#REF!</definedName>
    <definedName name="Petroecuador" localSheetId="50">#REF!</definedName>
    <definedName name="Petroecuador" localSheetId="15">#REF!</definedName>
    <definedName name="Petroecuador" localSheetId="29">#REF!</definedName>
    <definedName name="Petroecuador" localSheetId="30">#REF!</definedName>
    <definedName name="Petroecuador" localSheetId="47">#REF!</definedName>
    <definedName name="Petroecuador" localSheetId="44">#REF!</definedName>
    <definedName name="Petroecuador" localSheetId="45">#REF!</definedName>
    <definedName name="Petroecuador" localSheetId="46">#REF!</definedName>
    <definedName name="Petroecuador" localSheetId="31">#REF!</definedName>
    <definedName name="Petroecuador" localSheetId="32">#REF!</definedName>
    <definedName name="Petroecuador" localSheetId="33">#REF!</definedName>
    <definedName name="Petroecuador" localSheetId="36">#REF!</definedName>
    <definedName name="Petroecuador" localSheetId="37">#REF!</definedName>
    <definedName name="Petroecuador" localSheetId="38">#REF!</definedName>
    <definedName name="Petroecuador" localSheetId="39">#REF!</definedName>
    <definedName name="Petroecuador" localSheetId="40">#REF!</definedName>
    <definedName name="Petroecuador" localSheetId="54">#REF!</definedName>
    <definedName name="Petroecuador" localSheetId="55">#REF!</definedName>
    <definedName name="Petroecuador" localSheetId="52">#REF!</definedName>
    <definedName name="Petroecuador" localSheetId="23">#REF!</definedName>
    <definedName name="Petroecuador" localSheetId="51">#REF!</definedName>
    <definedName name="Petroecuador" localSheetId="53">#REF!</definedName>
    <definedName name="Petroecuador" localSheetId="20">#REF!</definedName>
    <definedName name="Petroecuador">#REF!</definedName>
    <definedName name="PEX">[65]SUPUESTOS!A$14</definedName>
    <definedName name="PFP" localSheetId="50">#REF!</definedName>
    <definedName name="PFP" localSheetId="47">#REF!</definedName>
    <definedName name="PFP" localSheetId="44">#REF!</definedName>
    <definedName name="PFP" localSheetId="45">#REF!</definedName>
    <definedName name="PFP" localSheetId="46">#REF!</definedName>
    <definedName name="PFP" localSheetId="37">#REF!</definedName>
    <definedName name="PFP" localSheetId="40">#REF!</definedName>
    <definedName name="PFP" localSheetId="54">#REF!</definedName>
    <definedName name="PFP" localSheetId="55">#REF!</definedName>
    <definedName name="PFP" localSheetId="52">#REF!</definedName>
    <definedName name="PFP" localSheetId="51">#REF!</definedName>
    <definedName name="PFP" localSheetId="53">#REF!</definedName>
    <definedName name="PFP">#REF!</definedName>
    <definedName name="pfp_table1" localSheetId="50">#REF!</definedName>
    <definedName name="pfp_table1" localSheetId="47">#REF!</definedName>
    <definedName name="pfp_table1" localSheetId="44">#REF!</definedName>
    <definedName name="pfp_table1" localSheetId="45">#REF!</definedName>
    <definedName name="pfp_table1" localSheetId="46">#REF!</definedName>
    <definedName name="pfp_table1" localSheetId="37">#REF!</definedName>
    <definedName name="pfp_table1" localSheetId="40">#REF!</definedName>
    <definedName name="pfp_table1" localSheetId="54">#REF!</definedName>
    <definedName name="pfp_table1" localSheetId="55">#REF!</definedName>
    <definedName name="pfp_table1" localSheetId="52">#REF!</definedName>
    <definedName name="pfp_table1" localSheetId="51">#REF!</definedName>
    <definedName name="pfp_table1" localSheetId="53">#REF!</definedName>
    <definedName name="pfp_table1">#REF!</definedName>
    <definedName name="Phase" localSheetId="50">#REF!</definedName>
    <definedName name="Phase" localSheetId="47">#REF!</definedName>
    <definedName name="Phase" localSheetId="44">#REF!</definedName>
    <definedName name="Phase" localSheetId="45">#REF!</definedName>
    <definedName name="Phase" localSheetId="46">#REF!</definedName>
    <definedName name="Phase" localSheetId="37">#REF!</definedName>
    <definedName name="Phase" localSheetId="40">#REF!</definedName>
    <definedName name="Phase" localSheetId="54">#REF!</definedName>
    <definedName name="Phase" localSheetId="55">#REF!</definedName>
    <definedName name="Phase" localSheetId="52">#REF!</definedName>
    <definedName name="Phase" localSheetId="51">#REF!</definedName>
    <definedName name="Phase" localSheetId="53">#REF!</definedName>
    <definedName name="Phase">#REF!</definedName>
    <definedName name="pib_int" localSheetId="34">#REF!</definedName>
    <definedName name="pib_int" localSheetId="35">#REF!</definedName>
    <definedName name="pib_int" localSheetId="50">#REF!</definedName>
    <definedName name="pib_int" localSheetId="15">#REF!</definedName>
    <definedName name="pib_int" localSheetId="29">#REF!</definedName>
    <definedName name="pib_int" localSheetId="30">#REF!</definedName>
    <definedName name="pib_int" localSheetId="47">#REF!</definedName>
    <definedName name="pib_int" localSheetId="44">#REF!</definedName>
    <definedName name="pib_int" localSheetId="45">#REF!</definedName>
    <definedName name="pib_int" localSheetId="46">#REF!</definedName>
    <definedName name="pib_int" localSheetId="31">#REF!</definedName>
    <definedName name="pib_int" localSheetId="32">#REF!</definedName>
    <definedName name="pib_int" localSheetId="33">#REF!</definedName>
    <definedName name="pib_int" localSheetId="36">#REF!</definedName>
    <definedName name="pib_int" localSheetId="37">#REF!</definedName>
    <definedName name="pib_int" localSheetId="38">#REF!</definedName>
    <definedName name="pib_int" localSheetId="39">#REF!</definedName>
    <definedName name="pib_int" localSheetId="40">#REF!</definedName>
    <definedName name="pib_int" localSheetId="54">#REF!</definedName>
    <definedName name="pib_int" localSheetId="55">#REF!</definedName>
    <definedName name="pib_int" localSheetId="52">#REF!</definedName>
    <definedName name="pib_int" localSheetId="23">#REF!</definedName>
    <definedName name="pib_int" localSheetId="51">#REF!</definedName>
    <definedName name="pib_int" localSheetId="53">#REF!</definedName>
    <definedName name="pib_int" localSheetId="20">#REF!</definedName>
    <definedName name="pib_int">#REF!</definedName>
    <definedName name="pib98j" localSheetId="34">[27]Programa!#REF!</definedName>
    <definedName name="pib98j" localSheetId="35">[27]Programa!#REF!</definedName>
    <definedName name="pib98j" localSheetId="50">[27]Programa!#REF!</definedName>
    <definedName name="pib98j" localSheetId="15">[27]Programa!#REF!</definedName>
    <definedName name="pib98j" localSheetId="29">[27]Programa!#REF!</definedName>
    <definedName name="pib98j" localSheetId="30">[27]Programa!#REF!</definedName>
    <definedName name="pib98j" localSheetId="47">[27]Programa!#REF!</definedName>
    <definedName name="pib98j" localSheetId="44">[27]Programa!#REF!</definedName>
    <definedName name="pib98j" localSheetId="45">[27]Programa!#REF!</definedName>
    <definedName name="pib98j" localSheetId="46">[27]Programa!#REF!</definedName>
    <definedName name="pib98j" localSheetId="31">[27]Programa!#REF!</definedName>
    <definedName name="pib98j" localSheetId="32">[27]Programa!#REF!</definedName>
    <definedName name="pib98j" localSheetId="33">[27]Programa!#REF!</definedName>
    <definedName name="pib98j" localSheetId="36">[27]Programa!#REF!</definedName>
    <definedName name="pib98j" localSheetId="37">[27]Programa!#REF!</definedName>
    <definedName name="pib98j" localSheetId="38">[27]Programa!#REF!</definedName>
    <definedName name="pib98j" localSheetId="39">[27]Programa!#REF!</definedName>
    <definedName name="pib98j" localSheetId="40">[27]Programa!#REF!</definedName>
    <definedName name="pib98j" localSheetId="54">[27]Programa!#REF!</definedName>
    <definedName name="pib98j" localSheetId="55">[27]Programa!#REF!</definedName>
    <definedName name="pib98j" localSheetId="52">[27]Programa!#REF!</definedName>
    <definedName name="pib98j" localSheetId="23">[27]Programa!#REF!</definedName>
    <definedName name="pib98j" localSheetId="51">[27]Programa!#REF!</definedName>
    <definedName name="pib98j" localSheetId="53">[27]Programa!#REF!</definedName>
    <definedName name="pib98j" localSheetId="20">[27]Programa!#REF!</definedName>
    <definedName name="pib98j">[27]Programa!#REF!</definedName>
    <definedName name="pib98s" localSheetId="34">[27]Programa!#REF!</definedName>
    <definedName name="pib98s" localSheetId="35">[27]Programa!#REF!</definedName>
    <definedName name="pib98s" localSheetId="50">[27]Programa!#REF!</definedName>
    <definedName name="pib98s" localSheetId="15">[27]Programa!#REF!</definedName>
    <definedName name="pib98s" localSheetId="29">[27]Programa!#REF!</definedName>
    <definedName name="pib98s" localSheetId="30">[27]Programa!#REF!</definedName>
    <definedName name="pib98s" localSheetId="47">[27]Programa!#REF!</definedName>
    <definedName name="pib98s" localSheetId="44">[27]Programa!#REF!</definedName>
    <definedName name="pib98s" localSheetId="45">[27]Programa!#REF!</definedName>
    <definedName name="pib98s" localSheetId="46">[27]Programa!#REF!</definedName>
    <definedName name="pib98s" localSheetId="31">[27]Programa!#REF!</definedName>
    <definedName name="pib98s" localSheetId="32">[27]Programa!#REF!</definedName>
    <definedName name="pib98s" localSheetId="33">[27]Programa!#REF!</definedName>
    <definedName name="pib98s" localSheetId="36">[27]Programa!#REF!</definedName>
    <definedName name="pib98s" localSheetId="37">[27]Programa!#REF!</definedName>
    <definedName name="pib98s" localSheetId="38">[27]Programa!#REF!</definedName>
    <definedName name="pib98s" localSheetId="39">[27]Programa!#REF!</definedName>
    <definedName name="pib98s" localSheetId="40">[27]Programa!#REF!</definedName>
    <definedName name="pib98s" localSheetId="54">[27]Programa!#REF!</definedName>
    <definedName name="pib98s" localSheetId="55">[27]Programa!#REF!</definedName>
    <definedName name="pib98s" localSheetId="52">[27]Programa!#REF!</definedName>
    <definedName name="pib98s" localSheetId="23">[27]Programa!#REF!</definedName>
    <definedName name="pib98s" localSheetId="51">[27]Programa!#REF!</definedName>
    <definedName name="pib98s" localSheetId="53">[27]Programa!#REF!</definedName>
    <definedName name="pib98s" localSheetId="20">[27]Programa!#REF!</definedName>
    <definedName name="pib98s">[27]Programa!#REF!</definedName>
    <definedName name="PIBporSECT" localSheetId="34">#REF!</definedName>
    <definedName name="PIBporSECT" localSheetId="35">#REF!</definedName>
    <definedName name="PIBporSECT" localSheetId="50">#REF!</definedName>
    <definedName name="PIBporSECT" localSheetId="15">#REF!</definedName>
    <definedName name="PIBporSECT" localSheetId="29">#REF!</definedName>
    <definedName name="PIBporSECT" localSheetId="30">#REF!</definedName>
    <definedName name="PIBporSECT" localSheetId="47">#REF!</definedName>
    <definedName name="PIBporSECT" localSheetId="44">#REF!</definedName>
    <definedName name="PIBporSECT" localSheetId="45">#REF!</definedName>
    <definedName name="PIBporSECT" localSheetId="46">#REF!</definedName>
    <definedName name="PIBporSECT" localSheetId="31">#REF!</definedName>
    <definedName name="PIBporSECT" localSheetId="32">#REF!</definedName>
    <definedName name="PIBporSECT" localSheetId="33">#REF!</definedName>
    <definedName name="PIBporSECT" localSheetId="36">#REF!</definedName>
    <definedName name="PIBporSECT" localSheetId="37">#REF!</definedName>
    <definedName name="PIBporSECT" localSheetId="38">#REF!</definedName>
    <definedName name="PIBporSECT" localSheetId="39">#REF!</definedName>
    <definedName name="PIBporSECT" localSheetId="40">#REF!</definedName>
    <definedName name="PIBporSECT" localSheetId="54">#REF!</definedName>
    <definedName name="PIBporSECT" localSheetId="55">#REF!</definedName>
    <definedName name="PIBporSECT" localSheetId="52">#REF!</definedName>
    <definedName name="PIBporSECT" localSheetId="23">#REF!</definedName>
    <definedName name="PIBporSECT" localSheetId="51">#REF!</definedName>
    <definedName name="PIBporSECT" localSheetId="53">#REF!</definedName>
    <definedName name="PIBporSECT" localSheetId="20">#REF!</definedName>
    <definedName name="PIBporSECT">#REF!</definedName>
    <definedName name="PILOT_PERCENTAGE" localSheetId="50">#REF!</definedName>
    <definedName name="PILOT_PERCENTAGE" localSheetId="47">#REF!</definedName>
    <definedName name="PILOT_PERCENTAGE" localSheetId="44">#REF!</definedName>
    <definedName name="PILOT_PERCENTAGE" localSheetId="45">#REF!</definedName>
    <definedName name="PILOT_PERCENTAGE" localSheetId="46">#REF!</definedName>
    <definedName name="PILOT_PERCENTAGE" localSheetId="37">#REF!</definedName>
    <definedName name="PILOT_PERCENTAGE" localSheetId="40">#REF!</definedName>
    <definedName name="PILOT_PERCENTAGE" localSheetId="54">#REF!</definedName>
    <definedName name="PILOT_PERCENTAGE" localSheetId="55">#REF!</definedName>
    <definedName name="PILOT_PERCENTAGE" localSheetId="52">#REF!</definedName>
    <definedName name="PILOT_PERCENTAGE" localSheetId="51">#REF!</definedName>
    <definedName name="PILOT_PERCENTAGE" localSheetId="53">#REF!</definedName>
    <definedName name="PILOT_PERCENTAGE">#REF!</definedName>
    <definedName name="pit" localSheetId="58" hidden="1">{"Riqfin97",#N/A,FALSE,"Tran";"Riqfinpro",#N/A,FALSE,"Tran"}</definedName>
    <definedName name="pit" localSheetId="16" hidden="1">{"Riqfin97",#N/A,FALSE,"Tran";"Riqfinpro",#N/A,FALSE,"Tran"}</definedName>
    <definedName name="pit" localSheetId="61" hidden="1">{"Riqfin97",#N/A,FALSE,"Tran";"Riqfinpro",#N/A,FALSE,"Tran"}</definedName>
    <definedName name="pit" localSheetId="62" hidden="1">{"Riqfin97",#N/A,FALSE,"Tran";"Riqfinpro",#N/A,FALSE,"Tran"}</definedName>
    <definedName name="pit" localSheetId="50" hidden="1">{"Riqfin97",#N/A,FALSE,"Tran";"Riqfinpro",#N/A,FALSE,"Tran"}</definedName>
    <definedName name="pit" localSheetId="63" hidden="1">{"Riqfin97",#N/A,FALSE,"Tran";"Riqfinpro",#N/A,FALSE,"Tran"}</definedName>
    <definedName name="pit" localSheetId="15" hidden="1">{"Riqfin97",#N/A,FALSE,"Tran";"Riqfinpro",#N/A,FALSE,"Tran"}</definedName>
    <definedName name="pit" localSheetId="1" hidden="1">{"Riqfin97",#N/A,FALSE,"Tran";"Riqfinpro",#N/A,FALSE,"Tran"}</definedName>
    <definedName name="pit" localSheetId="43" hidden="1">{"Riqfin97",#N/A,FALSE,"Tran";"Riqfinpro",#N/A,FALSE,"Tran"}</definedName>
    <definedName name="pit" localSheetId="29" hidden="1">{"Riqfin97",#N/A,FALSE,"Tran";"Riqfinpro",#N/A,FALSE,"Tran"}</definedName>
    <definedName name="pit" localSheetId="30" hidden="1">{"Riqfin97",#N/A,FALSE,"Tran";"Riqfinpro",#N/A,FALSE,"Tran"}</definedName>
    <definedName name="pit" localSheetId="44" hidden="1">{"Riqfin97",#N/A,FALSE,"Tran";"Riqfinpro",#N/A,FALSE,"Tran"}</definedName>
    <definedName name="pit" localSheetId="59" hidden="1">{"Riqfin97",#N/A,FALSE,"Tran";"Riqfinpro",#N/A,FALSE,"Tran"}</definedName>
    <definedName name="pit" localSheetId="13" hidden="1">{"Riqfin97",#N/A,FALSE,"Tran";"Riqfinpro",#N/A,FALSE,"Tran"}</definedName>
    <definedName name="pit" localSheetId="0" hidden="1">{"Riqfin97",#N/A,FALSE,"Tran";"Riqfinpro",#N/A,FALSE,"Tran"}</definedName>
    <definedName name="pit" localSheetId="57" hidden="1">{"Riqfin97",#N/A,FALSE,"Tran";"Riqfinpro",#N/A,FALSE,"Tran"}</definedName>
    <definedName name="pit" localSheetId="56" hidden="1">{"Riqfin97",#N/A,FALSE,"Tran";"Riqfinpro",#N/A,FALSE,"Tran"}</definedName>
    <definedName name="pit" localSheetId="54" hidden="1">{"Riqfin97",#N/A,FALSE,"Tran";"Riqfinpro",#N/A,FALSE,"Tran"}</definedName>
    <definedName name="pit" localSheetId="52" hidden="1">{"Riqfin97",#N/A,FALSE,"Tran";"Riqfinpro",#N/A,FALSE,"Tran"}</definedName>
    <definedName name="pit" localSheetId="23" hidden="1">{"Riqfin97",#N/A,FALSE,"Tran";"Riqfinpro",#N/A,FALSE,"Tran"}</definedName>
    <definedName name="pit" localSheetId="51" hidden="1">{"Riqfin97",#N/A,FALSE,"Tran";"Riqfinpro",#N/A,FALSE,"Tran"}</definedName>
    <definedName name="pit" localSheetId="53" hidden="1">{"Riqfin97",#N/A,FALSE,"Tran";"Riqfinpro",#N/A,FALSE,"Tran"}</definedName>
    <definedName name="pit" localSheetId="60" hidden="1">{"Riqfin97",#N/A,FALSE,"Tran";"Riqfinpro",#N/A,FALSE,"Tran"}</definedName>
    <definedName name="pit" hidden="1">{"Riqfin97",#N/A,FALSE,"Tran";"Riqfinpro",#N/A,FALSE,"Tran"}</definedName>
    <definedName name="PL_AMOUNT">'[55]Profit and Loss'!$C:$C</definedName>
    <definedName name="plame" localSheetId="34">#REF!</definedName>
    <definedName name="plame" localSheetId="35">#REF!</definedName>
    <definedName name="plame" localSheetId="50">#REF!</definedName>
    <definedName name="plame" localSheetId="15">#REF!</definedName>
    <definedName name="plame" localSheetId="29">#REF!</definedName>
    <definedName name="plame" localSheetId="30">#REF!</definedName>
    <definedName name="plame" localSheetId="47">#REF!</definedName>
    <definedName name="plame" localSheetId="44">#REF!</definedName>
    <definedName name="plame" localSheetId="45">#REF!</definedName>
    <definedName name="plame" localSheetId="46">#REF!</definedName>
    <definedName name="plame" localSheetId="31">#REF!</definedName>
    <definedName name="plame" localSheetId="32">#REF!</definedName>
    <definedName name="plame" localSheetId="33">#REF!</definedName>
    <definedName name="plame" localSheetId="36">#REF!</definedName>
    <definedName name="plame" localSheetId="37">#REF!</definedName>
    <definedName name="plame" localSheetId="38">#REF!</definedName>
    <definedName name="plame" localSheetId="39">#REF!</definedName>
    <definedName name="plame" localSheetId="40">#REF!</definedName>
    <definedName name="plame" localSheetId="54">#REF!</definedName>
    <definedName name="plame" localSheetId="55">#REF!</definedName>
    <definedName name="plame" localSheetId="52">#REF!</definedName>
    <definedName name="plame" localSheetId="23">#REF!</definedName>
    <definedName name="plame" localSheetId="51">#REF!</definedName>
    <definedName name="plame" localSheetId="53">#REF!</definedName>
    <definedName name="plame" localSheetId="20">#REF!</definedName>
    <definedName name="plame">#REF!</definedName>
    <definedName name="plame2000" localSheetId="34">#REF!</definedName>
    <definedName name="plame2000" localSheetId="35">#REF!</definedName>
    <definedName name="plame2000" localSheetId="50">#REF!</definedName>
    <definedName name="plame2000" localSheetId="15">#REF!</definedName>
    <definedName name="plame2000" localSheetId="29">#REF!</definedName>
    <definedName name="plame2000" localSheetId="30">#REF!</definedName>
    <definedName name="plame2000" localSheetId="47">#REF!</definedName>
    <definedName name="plame2000" localSheetId="44">#REF!</definedName>
    <definedName name="plame2000" localSheetId="45">#REF!</definedName>
    <definedName name="plame2000" localSheetId="46">#REF!</definedName>
    <definedName name="plame2000" localSheetId="31">#REF!</definedName>
    <definedName name="plame2000" localSheetId="32">#REF!</definedName>
    <definedName name="plame2000" localSheetId="33">#REF!</definedName>
    <definedName name="plame2000" localSheetId="36">#REF!</definedName>
    <definedName name="plame2000" localSheetId="37">#REF!</definedName>
    <definedName name="plame2000" localSheetId="38">#REF!</definedName>
    <definedName name="plame2000" localSheetId="39">#REF!</definedName>
    <definedName name="plame2000" localSheetId="40">#REF!</definedName>
    <definedName name="plame2000" localSheetId="54">#REF!</definedName>
    <definedName name="plame2000" localSheetId="55">#REF!</definedName>
    <definedName name="plame2000" localSheetId="52">#REF!</definedName>
    <definedName name="plame2000" localSheetId="23">#REF!</definedName>
    <definedName name="plame2000" localSheetId="51">#REF!</definedName>
    <definedName name="plame2000" localSheetId="53">#REF!</definedName>
    <definedName name="plame2000" localSheetId="20">#REF!</definedName>
    <definedName name="plame2000">#REF!</definedName>
    <definedName name="plame2001" localSheetId="34">#REF!</definedName>
    <definedName name="plame2001" localSheetId="35">#REF!</definedName>
    <definedName name="plame2001" localSheetId="50">#REF!</definedName>
    <definedName name="plame2001" localSheetId="15">#REF!</definedName>
    <definedName name="plame2001" localSheetId="29">#REF!</definedName>
    <definedName name="plame2001" localSheetId="30">#REF!</definedName>
    <definedName name="plame2001" localSheetId="47">#REF!</definedName>
    <definedName name="plame2001" localSheetId="44">#REF!</definedName>
    <definedName name="plame2001" localSheetId="45">#REF!</definedName>
    <definedName name="plame2001" localSheetId="46">#REF!</definedName>
    <definedName name="plame2001" localSheetId="31">#REF!</definedName>
    <definedName name="plame2001" localSheetId="32">#REF!</definedName>
    <definedName name="plame2001" localSheetId="33">#REF!</definedName>
    <definedName name="plame2001" localSheetId="36">#REF!</definedName>
    <definedName name="plame2001" localSheetId="37">#REF!</definedName>
    <definedName name="plame2001" localSheetId="38">#REF!</definedName>
    <definedName name="plame2001" localSheetId="39">#REF!</definedName>
    <definedName name="plame2001" localSheetId="40">#REF!</definedName>
    <definedName name="plame2001" localSheetId="54">#REF!</definedName>
    <definedName name="plame2001" localSheetId="55">#REF!</definedName>
    <definedName name="plame2001" localSheetId="52">#REF!</definedName>
    <definedName name="plame2001" localSheetId="23">#REF!</definedName>
    <definedName name="plame2001" localSheetId="51">#REF!</definedName>
    <definedName name="plame2001" localSheetId="53">#REF!</definedName>
    <definedName name="plame2001" localSheetId="20">#REF!</definedName>
    <definedName name="plame2001">#REF!</definedName>
    <definedName name="plame2002" localSheetId="34">#REF!</definedName>
    <definedName name="plame2002" localSheetId="35">#REF!</definedName>
    <definedName name="plame2002" localSheetId="50">#REF!</definedName>
    <definedName name="plame2002" localSheetId="15">#REF!</definedName>
    <definedName name="plame2002" localSheetId="29">#REF!</definedName>
    <definedName name="plame2002" localSheetId="30">#REF!</definedName>
    <definedName name="plame2002" localSheetId="47">#REF!</definedName>
    <definedName name="plame2002" localSheetId="44">#REF!</definedName>
    <definedName name="plame2002" localSheetId="45">#REF!</definedName>
    <definedName name="plame2002" localSheetId="46">#REF!</definedName>
    <definedName name="plame2002" localSheetId="31">#REF!</definedName>
    <definedName name="plame2002" localSheetId="32">#REF!</definedName>
    <definedName name="plame2002" localSheetId="33">#REF!</definedName>
    <definedName name="plame2002" localSheetId="36">#REF!</definedName>
    <definedName name="plame2002" localSheetId="37">#REF!</definedName>
    <definedName name="plame2002" localSheetId="38">#REF!</definedName>
    <definedName name="plame2002" localSheetId="39">#REF!</definedName>
    <definedName name="plame2002" localSheetId="40">#REF!</definedName>
    <definedName name="plame2002" localSheetId="54">#REF!</definedName>
    <definedName name="plame2002" localSheetId="55">#REF!</definedName>
    <definedName name="plame2002" localSheetId="52">#REF!</definedName>
    <definedName name="plame2002" localSheetId="23">#REF!</definedName>
    <definedName name="plame2002" localSheetId="51">#REF!</definedName>
    <definedName name="plame2002" localSheetId="53">#REF!</definedName>
    <definedName name="plame2002" localSheetId="20">#REF!</definedName>
    <definedName name="plame2002">#REF!</definedName>
    <definedName name="plame2003" localSheetId="34">#REF!</definedName>
    <definedName name="plame2003" localSheetId="35">#REF!</definedName>
    <definedName name="plame2003" localSheetId="50">#REF!</definedName>
    <definedName name="plame2003" localSheetId="15">#REF!</definedName>
    <definedName name="plame2003" localSheetId="29">#REF!</definedName>
    <definedName name="plame2003" localSheetId="30">#REF!</definedName>
    <definedName name="plame2003" localSheetId="47">#REF!</definedName>
    <definedName name="plame2003" localSheetId="44">#REF!</definedName>
    <definedName name="plame2003" localSheetId="45">#REF!</definedName>
    <definedName name="plame2003" localSheetId="46">#REF!</definedName>
    <definedName name="plame2003" localSheetId="31">#REF!</definedName>
    <definedName name="plame2003" localSheetId="32">#REF!</definedName>
    <definedName name="plame2003" localSheetId="33">#REF!</definedName>
    <definedName name="plame2003" localSheetId="36">#REF!</definedName>
    <definedName name="plame2003" localSheetId="37">#REF!</definedName>
    <definedName name="plame2003" localSheetId="38">#REF!</definedName>
    <definedName name="plame2003" localSheetId="39">#REF!</definedName>
    <definedName name="plame2003" localSheetId="40">#REF!</definedName>
    <definedName name="plame2003" localSheetId="54">#REF!</definedName>
    <definedName name="plame2003" localSheetId="55">#REF!</definedName>
    <definedName name="plame2003" localSheetId="52">#REF!</definedName>
    <definedName name="plame2003" localSheetId="23">#REF!</definedName>
    <definedName name="plame2003" localSheetId="51">#REF!</definedName>
    <definedName name="plame2003" localSheetId="53">#REF!</definedName>
    <definedName name="plame2003" localSheetId="20">#REF!</definedName>
    <definedName name="plame2003">#REF!</definedName>
    <definedName name="plame98" localSheetId="34">[27]Programa!#REF!</definedName>
    <definedName name="plame98" localSheetId="35">[27]Programa!#REF!</definedName>
    <definedName name="plame98" localSheetId="50">[27]Programa!#REF!</definedName>
    <definedName name="plame98" localSheetId="15">[27]Programa!#REF!</definedName>
    <definedName name="plame98" localSheetId="29">[27]Programa!#REF!</definedName>
    <definedName name="plame98" localSheetId="30">[27]Programa!#REF!</definedName>
    <definedName name="plame98" localSheetId="47">[27]Programa!#REF!</definedName>
    <definedName name="plame98" localSheetId="44">[27]Programa!#REF!</definedName>
    <definedName name="plame98" localSheetId="45">[27]Programa!#REF!</definedName>
    <definedName name="plame98" localSheetId="46">[27]Programa!#REF!</definedName>
    <definedName name="plame98" localSheetId="31">[27]Programa!#REF!</definedName>
    <definedName name="plame98" localSheetId="32">[27]Programa!#REF!</definedName>
    <definedName name="plame98" localSheetId="33">[27]Programa!#REF!</definedName>
    <definedName name="plame98" localSheetId="36">[27]Programa!#REF!</definedName>
    <definedName name="plame98" localSheetId="37">[27]Programa!#REF!</definedName>
    <definedName name="plame98" localSheetId="38">[27]Programa!#REF!</definedName>
    <definedName name="plame98" localSheetId="39">[27]Programa!#REF!</definedName>
    <definedName name="plame98" localSheetId="40">[27]Programa!#REF!</definedName>
    <definedName name="plame98" localSheetId="54">[27]Programa!#REF!</definedName>
    <definedName name="plame98" localSheetId="55">[27]Programa!#REF!</definedName>
    <definedName name="plame98" localSheetId="52">[27]Programa!#REF!</definedName>
    <definedName name="plame98" localSheetId="23">[27]Programa!#REF!</definedName>
    <definedName name="plame98" localSheetId="51">[27]Programa!#REF!</definedName>
    <definedName name="plame98" localSheetId="53">[27]Programa!#REF!</definedName>
    <definedName name="plame98" localSheetId="20">[27]Programa!#REF!</definedName>
    <definedName name="plame98">[27]Programa!#REF!</definedName>
    <definedName name="plame98j" localSheetId="34">[27]Programa!#REF!</definedName>
    <definedName name="plame98j" localSheetId="35">[27]Programa!#REF!</definedName>
    <definedName name="plame98j" localSheetId="50">[27]Programa!#REF!</definedName>
    <definedName name="plame98j" localSheetId="15">[27]Programa!#REF!</definedName>
    <definedName name="plame98j" localSheetId="29">[27]Programa!#REF!</definedName>
    <definedName name="plame98j" localSheetId="30">[27]Programa!#REF!</definedName>
    <definedName name="plame98j" localSheetId="47">[27]Programa!#REF!</definedName>
    <definedName name="plame98j" localSheetId="44">[27]Programa!#REF!</definedName>
    <definedName name="plame98j" localSheetId="45">[27]Programa!#REF!</definedName>
    <definedName name="plame98j" localSheetId="46">[27]Programa!#REF!</definedName>
    <definedName name="plame98j" localSheetId="31">[27]Programa!#REF!</definedName>
    <definedName name="plame98j" localSheetId="32">[27]Programa!#REF!</definedName>
    <definedName name="plame98j" localSheetId="33">[27]Programa!#REF!</definedName>
    <definedName name="plame98j" localSheetId="36">[27]Programa!#REF!</definedName>
    <definedName name="plame98j" localSheetId="37">[27]Programa!#REF!</definedName>
    <definedName name="plame98j" localSheetId="38">[27]Programa!#REF!</definedName>
    <definedName name="plame98j" localSheetId="39">[27]Programa!#REF!</definedName>
    <definedName name="plame98j" localSheetId="40">[27]Programa!#REF!</definedName>
    <definedName name="plame98j" localSheetId="54">[27]Programa!#REF!</definedName>
    <definedName name="plame98j" localSheetId="55">[27]Programa!#REF!</definedName>
    <definedName name="plame98j" localSheetId="52">[27]Programa!#REF!</definedName>
    <definedName name="plame98j" localSheetId="23">[27]Programa!#REF!</definedName>
    <definedName name="plame98j" localSheetId="51">[27]Programa!#REF!</definedName>
    <definedName name="plame98j" localSheetId="53">[27]Programa!#REF!</definedName>
    <definedName name="plame98j" localSheetId="20">[27]Programa!#REF!</definedName>
    <definedName name="plame98j">[27]Programa!#REF!</definedName>
    <definedName name="plame98s" localSheetId="34">#REF!</definedName>
    <definedName name="plame98s" localSheetId="35">#REF!</definedName>
    <definedName name="plame98s" localSheetId="50">#REF!</definedName>
    <definedName name="plame98s" localSheetId="15">#REF!</definedName>
    <definedName name="plame98s" localSheetId="29">#REF!</definedName>
    <definedName name="plame98s" localSheetId="30">#REF!</definedName>
    <definedName name="plame98s" localSheetId="47">#REF!</definedName>
    <definedName name="plame98s" localSheetId="44">#REF!</definedName>
    <definedName name="plame98s" localSheetId="45">#REF!</definedName>
    <definedName name="plame98s" localSheetId="46">#REF!</definedName>
    <definedName name="plame98s" localSheetId="31">#REF!</definedName>
    <definedName name="plame98s" localSheetId="32">#REF!</definedName>
    <definedName name="plame98s" localSheetId="33">#REF!</definedName>
    <definedName name="plame98s" localSheetId="36">#REF!</definedName>
    <definedName name="plame98s" localSheetId="37">#REF!</definedName>
    <definedName name="plame98s" localSheetId="38">#REF!</definedName>
    <definedName name="plame98s" localSheetId="39">#REF!</definedName>
    <definedName name="plame98s" localSheetId="40">#REF!</definedName>
    <definedName name="plame98s" localSheetId="54">#REF!</definedName>
    <definedName name="plame98s" localSheetId="55">#REF!</definedName>
    <definedName name="plame98s" localSheetId="52">#REF!</definedName>
    <definedName name="plame98s" localSheetId="23">#REF!</definedName>
    <definedName name="plame98s" localSheetId="51">#REF!</definedName>
    <definedName name="plame98s" localSheetId="53">#REF!</definedName>
    <definedName name="plame98s" localSheetId="20">#REF!</definedName>
    <definedName name="plame98s">#REF!</definedName>
    <definedName name="plame99" localSheetId="34">#REF!</definedName>
    <definedName name="plame99" localSheetId="35">#REF!</definedName>
    <definedName name="plame99" localSheetId="50">#REF!</definedName>
    <definedName name="plame99" localSheetId="15">#REF!</definedName>
    <definedName name="plame99" localSheetId="29">#REF!</definedName>
    <definedName name="plame99" localSheetId="30">#REF!</definedName>
    <definedName name="plame99" localSheetId="47">#REF!</definedName>
    <definedName name="plame99" localSheetId="44">#REF!</definedName>
    <definedName name="plame99" localSheetId="45">#REF!</definedName>
    <definedName name="plame99" localSheetId="46">#REF!</definedName>
    <definedName name="plame99" localSheetId="31">#REF!</definedName>
    <definedName name="plame99" localSheetId="32">#REF!</definedName>
    <definedName name="plame99" localSheetId="33">#REF!</definedName>
    <definedName name="plame99" localSheetId="36">#REF!</definedName>
    <definedName name="plame99" localSheetId="37">#REF!</definedName>
    <definedName name="plame99" localSheetId="38">#REF!</definedName>
    <definedName name="plame99" localSheetId="39">#REF!</definedName>
    <definedName name="plame99" localSheetId="40">#REF!</definedName>
    <definedName name="plame99" localSheetId="54">#REF!</definedName>
    <definedName name="plame99" localSheetId="55">#REF!</definedName>
    <definedName name="plame99" localSheetId="52">#REF!</definedName>
    <definedName name="plame99" localSheetId="23">#REF!</definedName>
    <definedName name="plame99" localSheetId="51">#REF!</definedName>
    <definedName name="plame99" localSheetId="53">#REF!</definedName>
    <definedName name="plame99" localSheetId="20">#REF!</definedName>
    <definedName name="plame99">#REF!</definedName>
    <definedName name="plan_net_work_days">[41]Data!$B$9</definedName>
    <definedName name="plazo" localSheetId="34">#REF!</definedName>
    <definedName name="plazo" localSheetId="35">#REF!</definedName>
    <definedName name="plazo" localSheetId="50">#REF!</definedName>
    <definedName name="plazo" localSheetId="15">#REF!</definedName>
    <definedName name="plazo" localSheetId="29">#REF!</definedName>
    <definedName name="plazo" localSheetId="30">#REF!</definedName>
    <definedName name="plazo" localSheetId="47">#REF!</definedName>
    <definedName name="plazo" localSheetId="44">#REF!</definedName>
    <definedName name="plazo" localSheetId="45">#REF!</definedName>
    <definedName name="plazo" localSheetId="46">#REF!</definedName>
    <definedName name="plazo" localSheetId="31">#REF!</definedName>
    <definedName name="plazo" localSheetId="32">#REF!</definedName>
    <definedName name="plazo" localSheetId="33">#REF!</definedName>
    <definedName name="plazo" localSheetId="36">#REF!</definedName>
    <definedName name="plazo" localSheetId="37">#REF!</definedName>
    <definedName name="plazo" localSheetId="38">#REF!</definedName>
    <definedName name="plazo" localSheetId="39">#REF!</definedName>
    <definedName name="plazo" localSheetId="40">#REF!</definedName>
    <definedName name="plazo" localSheetId="54">#REF!</definedName>
    <definedName name="plazo" localSheetId="55">#REF!</definedName>
    <definedName name="plazo" localSheetId="52">#REF!</definedName>
    <definedName name="plazo" localSheetId="23">#REF!</definedName>
    <definedName name="plazo" localSheetId="51">#REF!</definedName>
    <definedName name="plazo" localSheetId="53">#REF!</definedName>
    <definedName name="plazo" localSheetId="20">#REF!</definedName>
    <definedName name="plazo">#REF!</definedName>
    <definedName name="plazo2000" localSheetId="34">#REF!</definedName>
    <definedName name="plazo2000" localSheetId="35">#REF!</definedName>
    <definedName name="plazo2000" localSheetId="50">#REF!</definedName>
    <definedName name="plazo2000" localSheetId="15">#REF!</definedName>
    <definedName name="plazo2000" localSheetId="29">#REF!</definedName>
    <definedName name="plazo2000" localSheetId="30">#REF!</definedName>
    <definedName name="plazo2000" localSheetId="47">#REF!</definedName>
    <definedName name="plazo2000" localSheetId="44">#REF!</definedName>
    <definedName name="plazo2000" localSheetId="45">#REF!</definedName>
    <definedName name="plazo2000" localSheetId="46">#REF!</definedName>
    <definedName name="plazo2000" localSheetId="31">#REF!</definedName>
    <definedName name="plazo2000" localSheetId="32">#REF!</definedName>
    <definedName name="plazo2000" localSheetId="33">#REF!</definedName>
    <definedName name="plazo2000" localSheetId="36">#REF!</definedName>
    <definedName name="plazo2000" localSheetId="37">#REF!</definedName>
    <definedName name="plazo2000" localSheetId="38">#REF!</definedName>
    <definedName name="plazo2000" localSheetId="39">#REF!</definedName>
    <definedName name="plazo2000" localSheetId="40">#REF!</definedName>
    <definedName name="plazo2000" localSheetId="54">#REF!</definedName>
    <definedName name="plazo2000" localSheetId="55">#REF!</definedName>
    <definedName name="plazo2000" localSheetId="52">#REF!</definedName>
    <definedName name="plazo2000" localSheetId="23">#REF!</definedName>
    <definedName name="plazo2000" localSheetId="51">#REF!</definedName>
    <definedName name="plazo2000" localSheetId="53">#REF!</definedName>
    <definedName name="plazo2000" localSheetId="20">#REF!</definedName>
    <definedName name="plazo2000">#REF!</definedName>
    <definedName name="plazo2001" localSheetId="34">#REF!</definedName>
    <definedName name="plazo2001" localSheetId="35">#REF!</definedName>
    <definedName name="plazo2001" localSheetId="50">#REF!</definedName>
    <definedName name="plazo2001" localSheetId="15">#REF!</definedName>
    <definedName name="plazo2001" localSheetId="29">#REF!</definedName>
    <definedName name="plazo2001" localSheetId="30">#REF!</definedName>
    <definedName name="plazo2001" localSheetId="47">#REF!</definedName>
    <definedName name="plazo2001" localSheetId="44">#REF!</definedName>
    <definedName name="plazo2001" localSheetId="45">#REF!</definedName>
    <definedName name="plazo2001" localSheetId="46">#REF!</definedName>
    <definedName name="plazo2001" localSheetId="31">#REF!</definedName>
    <definedName name="plazo2001" localSheetId="32">#REF!</definedName>
    <definedName name="plazo2001" localSheetId="33">#REF!</definedName>
    <definedName name="plazo2001" localSheetId="36">#REF!</definedName>
    <definedName name="plazo2001" localSheetId="37">#REF!</definedName>
    <definedName name="plazo2001" localSheetId="38">#REF!</definedName>
    <definedName name="plazo2001" localSheetId="39">#REF!</definedName>
    <definedName name="plazo2001" localSheetId="40">#REF!</definedName>
    <definedName name="plazo2001" localSheetId="54">#REF!</definedName>
    <definedName name="plazo2001" localSheetId="55">#REF!</definedName>
    <definedName name="plazo2001" localSheetId="52">#REF!</definedName>
    <definedName name="plazo2001" localSheetId="23">#REF!</definedName>
    <definedName name="plazo2001" localSheetId="51">#REF!</definedName>
    <definedName name="plazo2001" localSheetId="53">#REF!</definedName>
    <definedName name="plazo2001" localSheetId="20">#REF!</definedName>
    <definedName name="plazo2001">#REF!</definedName>
    <definedName name="plazo2002" localSheetId="34">#REF!</definedName>
    <definedName name="plazo2002" localSheetId="35">#REF!</definedName>
    <definedName name="plazo2002" localSheetId="50">#REF!</definedName>
    <definedName name="plazo2002" localSheetId="15">#REF!</definedName>
    <definedName name="plazo2002" localSheetId="29">#REF!</definedName>
    <definedName name="plazo2002" localSheetId="30">#REF!</definedName>
    <definedName name="plazo2002" localSheetId="47">#REF!</definedName>
    <definedName name="plazo2002" localSheetId="44">#REF!</definedName>
    <definedName name="plazo2002" localSheetId="45">#REF!</definedName>
    <definedName name="plazo2002" localSheetId="46">#REF!</definedName>
    <definedName name="plazo2002" localSheetId="31">#REF!</definedName>
    <definedName name="plazo2002" localSheetId="32">#REF!</definedName>
    <definedName name="plazo2002" localSheetId="33">#REF!</definedName>
    <definedName name="plazo2002" localSheetId="36">#REF!</definedName>
    <definedName name="plazo2002" localSheetId="37">#REF!</definedName>
    <definedName name="plazo2002" localSheetId="38">#REF!</definedName>
    <definedName name="plazo2002" localSheetId="39">#REF!</definedName>
    <definedName name="plazo2002" localSheetId="40">#REF!</definedName>
    <definedName name="plazo2002" localSheetId="54">#REF!</definedName>
    <definedName name="plazo2002" localSheetId="55">#REF!</definedName>
    <definedName name="plazo2002" localSheetId="52">#REF!</definedName>
    <definedName name="plazo2002" localSheetId="23">#REF!</definedName>
    <definedName name="plazo2002" localSheetId="51">#REF!</definedName>
    <definedName name="plazo2002" localSheetId="53">#REF!</definedName>
    <definedName name="plazo2002" localSheetId="20">#REF!</definedName>
    <definedName name="plazo2002">#REF!</definedName>
    <definedName name="plazo2003" localSheetId="34">#REF!</definedName>
    <definedName name="plazo2003" localSheetId="35">#REF!</definedName>
    <definedName name="plazo2003" localSheetId="50">#REF!</definedName>
    <definedName name="plazo2003" localSheetId="15">#REF!</definedName>
    <definedName name="plazo2003" localSheetId="29">#REF!</definedName>
    <definedName name="plazo2003" localSheetId="30">#REF!</definedName>
    <definedName name="plazo2003" localSheetId="47">#REF!</definedName>
    <definedName name="plazo2003" localSheetId="44">#REF!</definedName>
    <definedName name="plazo2003" localSheetId="45">#REF!</definedName>
    <definedName name="plazo2003" localSheetId="46">#REF!</definedName>
    <definedName name="plazo2003" localSheetId="31">#REF!</definedName>
    <definedName name="plazo2003" localSheetId="32">#REF!</definedName>
    <definedName name="plazo2003" localSheetId="33">#REF!</definedName>
    <definedName name="plazo2003" localSheetId="36">#REF!</definedName>
    <definedName name="plazo2003" localSheetId="37">#REF!</definedName>
    <definedName name="plazo2003" localSheetId="38">#REF!</definedName>
    <definedName name="plazo2003" localSheetId="39">#REF!</definedName>
    <definedName name="plazo2003" localSheetId="40">#REF!</definedName>
    <definedName name="plazo2003" localSheetId="54">#REF!</definedName>
    <definedName name="plazo2003" localSheetId="55">#REF!</definedName>
    <definedName name="plazo2003" localSheetId="52">#REF!</definedName>
    <definedName name="plazo2003" localSheetId="23">#REF!</definedName>
    <definedName name="plazo2003" localSheetId="51">#REF!</definedName>
    <definedName name="plazo2003" localSheetId="53">#REF!</definedName>
    <definedName name="plazo2003" localSheetId="20">#REF!</definedName>
    <definedName name="plazo2003">#REF!</definedName>
    <definedName name="plazo98" localSheetId="34">[27]Programa!#REF!</definedName>
    <definedName name="plazo98" localSheetId="35">[27]Programa!#REF!</definedName>
    <definedName name="plazo98" localSheetId="50">[27]Programa!#REF!</definedName>
    <definedName name="plazo98" localSheetId="15">[27]Programa!#REF!</definedName>
    <definedName name="plazo98" localSheetId="29">[27]Programa!#REF!</definedName>
    <definedName name="plazo98" localSheetId="30">[27]Programa!#REF!</definedName>
    <definedName name="plazo98" localSheetId="47">[27]Programa!#REF!</definedName>
    <definedName name="plazo98" localSheetId="44">[27]Programa!#REF!</definedName>
    <definedName name="plazo98" localSheetId="45">[27]Programa!#REF!</definedName>
    <definedName name="plazo98" localSheetId="46">[27]Programa!#REF!</definedName>
    <definedName name="plazo98" localSheetId="31">[27]Programa!#REF!</definedName>
    <definedName name="plazo98" localSheetId="32">[27]Programa!#REF!</definedName>
    <definedName name="plazo98" localSheetId="33">[27]Programa!#REF!</definedName>
    <definedName name="plazo98" localSheetId="36">[27]Programa!#REF!</definedName>
    <definedName name="plazo98" localSheetId="37">[27]Programa!#REF!</definedName>
    <definedName name="plazo98" localSheetId="38">[27]Programa!#REF!</definedName>
    <definedName name="plazo98" localSheetId="39">[27]Programa!#REF!</definedName>
    <definedName name="plazo98" localSheetId="40">[27]Programa!#REF!</definedName>
    <definedName name="plazo98" localSheetId="54">[27]Programa!#REF!</definedName>
    <definedName name="plazo98" localSheetId="55">[27]Programa!#REF!</definedName>
    <definedName name="plazo98" localSheetId="52">[27]Programa!#REF!</definedName>
    <definedName name="plazo98" localSheetId="23">[27]Programa!#REF!</definedName>
    <definedName name="plazo98" localSheetId="51">[27]Programa!#REF!</definedName>
    <definedName name="plazo98" localSheetId="53">[27]Programa!#REF!</definedName>
    <definedName name="plazo98" localSheetId="20">[27]Programa!#REF!</definedName>
    <definedName name="plazo98">[27]Programa!#REF!</definedName>
    <definedName name="plazo98j" localSheetId="34">[27]Programa!#REF!</definedName>
    <definedName name="plazo98j" localSheetId="35">[27]Programa!#REF!</definedName>
    <definedName name="plazo98j" localSheetId="50">[27]Programa!#REF!</definedName>
    <definedName name="plazo98j" localSheetId="15">[27]Programa!#REF!</definedName>
    <definedName name="plazo98j" localSheetId="29">[27]Programa!#REF!</definedName>
    <definedName name="plazo98j" localSheetId="30">[27]Programa!#REF!</definedName>
    <definedName name="plazo98j" localSheetId="47">[27]Programa!#REF!</definedName>
    <definedName name="plazo98j" localSheetId="44">[27]Programa!#REF!</definedName>
    <definedName name="plazo98j" localSheetId="45">[27]Programa!#REF!</definedName>
    <definedName name="plazo98j" localSheetId="46">[27]Programa!#REF!</definedName>
    <definedName name="plazo98j" localSheetId="31">[27]Programa!#REF!</definedName>
    <definedName name="plazo98j" localSheetId="32">[27]Programa!#REF!</definedName>
    <definedName name="plazo98j" localSheetId="33">[27]Programa!#REF!</definedName>
    <definedName name="plazo98j" localSheetId="36">[27]Programa!#REF!</definedName>
    <definedName name="plazo98j" localSheetId="37">[27]Programa!#REF!</definedName>
    <definedName name="plazo98j" localSheetId="38">[27]Programa!#REF!</definedName>
    <definedName name="plazo98j" localSheetId="39">[27]Programa!#REF!</definedName>
    <definedName name="plazo98j" localSheetId="40">[27]Programa!#REF!</definedName>
    <definedName name="plazo98j" localSheetId="54">[27]Programa!#REF!</definedName>
    <definedName name="plazo98j" localSheetId="55">[27]Programa!#REF!</definedName>
    <definedName name="plazo98j" localSheetId="52">[27]Programa!#REF!</definedName>
    <definedName name="plazo98j" localSheetId="23">[27]Programa!#REF!</definedName>
    <definedName name="plazo98j" localSheetId="51">[27]Programa!#REF!</definedName>
    <definedName name="plazo98j" localSheetId="53">[27]Programa!#REF!</definedName>
    <definedName name="plazo98j" localSheetId="20">[27]Programa!#REF!</definedName>
    <definedName name="plazo98j">[27]Programa!#REF!</definedName>
    <definedName name="plazo98s" localSheetId="34">#REF!</definedName>
    <definedName name="plazo98s" localSheetId="35">#REF!</definedName>
    <definedName name="plazo98s" localSheetId="50">#REF!</definedName>
    <definedName name="plazo98s" localSheetId="15">#REF!</definedName>
    <definedName name="plazo98s" localSheetId="29">#REF!</definedName>
    <definedName name="plazo98s" localSheetId="30">#REF!</definedName>
    <definedName name="plazo98s" localSheetId="47">#REF!</definedName>
    <definedName name="plazo98s" localSheetId="44">#REF!</definedName>
    <definedName name="plazo98s" localSheetId="45">#REF!</definedName>
    <definedName name="plazo98s" localSheetId="46">#REF!</definedName>
    <definedName name="plazo98s" localSheetId="31">#REF!</definedName>
    <definedName name="plazo98s" localSheetId="32">#REF!</definedName>
    <definedName name="plazo98s" localSheetId="33">#REF!</definedName>
    <definedName name="plazo98s" localSheetId="36">#REF!</definedName>
    <definedName name="plazo98s" localSheetId="37">#REF!</definedName>
    <definedName name="plazo98s" localSheetId="38">#REF!</definedName>
    <definedName name="plazo98s" localSheetId="39">#REF!</definedName>
    <definedName name="plazo98s" localSheetId="40">#REF!</definedName>
    <definedName name="plazo98s" localSheetId="54">#REF!</definedName>
    <definedName name="plazo98s" localSheetId="55">#REF!</definedName>
    <definedName name="plazo98s" localSheetId="52">#REF!</definedName>
    <definedName name="plazo98s" localSheetId="23">#REF!</definedName>
    <definedName name="plazo98s" localSheetId="51">#REF!</definedName>
    <definedName name="plazo98s" localSheetId="53">#REF!</definedName>
    <definedName name="plazo98s" localSheetId="20">#REF!</definedName>
    <definedName name="plazo98s">#REF!</definedName>
    <definedName name="plazo99" localSheetId="34">#REF!</definedName>
    <definedName name="plazo99" localSheetId="35">#REF!</definedName>
    <definedName name="plazo99" localSheetId="50">#REF!</definedName>
    <definedName name="plazo99" localSheetId="15">#REF!</definedName>
    <definedName name="plazo99" localSheetId="29">#REF!</definedName>
    <definedName name="plazo99" localSheetId="30">#REF!</definedName>
    <definedName name="plazo99" localSheetId="47">#REF!</definedName>
    <definedName name="plazo99" localSheetId="44">#REF!</definedName>
    <definedName name="plazo99" localSheetId="45">#REF!</definedName>
    <definedName name="plazo99" localSheetId="46">#REF!</definedName>
    <definedName name="plazo99" localSheetId="31">#REF!</definedName>
    <definedName name="plazo99" localSheetId="32">#REF!</definedName>
    <definedName name="plazo99" localSheetId="33">#REF!</definedName>
    <definedName name="plazo99" localSheetId="36">#REF!</definedName>
    <definedName name="plazo99" localSheetId="37">#REF!</definedName>
    <definedName name="plazo99" localSheetId="38">#REF!</definedName>
    <definedName name="plazo99" localSheetId="39">#REF!</definedName>
    <definedName name="plazo99" localSheetId="40">#REF!</definedName>
    <definedName name="plazo99" localSheetId="54">#REF!</definedName>
    <definedName name="plazo99" localSheetId="55">#REF!</definedName>
    <definedName name="plazo99" localSheetId="52">#REF!</definedName>
    <definedName name="plazo99" localSheetId="23">#REF!</definedName>
    <definedName name="plazo99" localSheetId="51">#REF!</definedName>
    <definedName name="plazo99" localSheetId="53">#REF!</definedName>
    <definedName name="plazo99" localSheetId="20">#REF!</definedName>
    <definedName name="plazo99">#REF!</definedName>
    <definedName name="POL" localSheetId="50">#REF!</definedName>
    <definedName name="POL" localSheetId="47">#REF!</definedName>
    <definedName name="POL" localSheetId="44">#REF!</definedName>
    <definedName name="POL" localSheetId="45">#REF!</definedName>
    <definedName name="POL" localSheetId="46">#REF!</definedName>
    <definedName name="POL" localSheetId="37">#REF!</definedName>
    <definedName name="POL" localSheetId="40">#REF!</definedName>
    <definedName name="POL" localSheetId="54">#REF!</definedName>
    <definedName name="POL" localSheetId="55">#REF!</definedName>
    <definedName name="POL" localSheetId="52">#REF!</definedName>
    <definedName name="POL" localSheetId="51">#REF!</definedName>
    <definedName name="POL" localSheetId="53">#REF!</definedName>
    <definedName name="POL">#REF!</definedName>
    <definedName name="PoolCheckCurrentTeam" localSheetId="50">#REF!</definedName>
    <definedName name="PoolCheckCurrentTeam" localSheetId="47">#REF!</definedName>
    <definedName name="PoolCheckCurrentTeam" localSheetId="44">#REF!</definedName>
    <definedName name="PoolCheckCurrentTeam" localSheetId="45">#REF!</definedName>
    <definedName name="PoolCheckCurrentTeam" localSheetId="46">#REF!</definedName>
    <definedName name="PoolCheckCurrentTeam" localSheetId="37">#REF!</definedName>
    <definedName name="PoolCheckCurrentTeam" localSheetId="40">#REF!</definedName>
    <definedName name="PoolCheckCurrentTeam" localSheetId="54">#REF!</definedName>
    <definedName name="PoolCheckCurrentTeam" localSheetId="55">#REF!</definedName>
    <definedName name="PoolCheckCurrentTeam" localSheetId="52">#REF!</definedName>
    <definedName name="PoolCheckCurrentTeam" localSheetId="51">#REF!</definedName>
    <definedName name="PoolCheckCurrentTeam" localSheetId="53">#REF!</definedName>
    <definedName name="PoolCheckCurrentTeam">#REF!</definedName>
    <definedName name="PoolClear" localSheetId="50">#REF!</definedName>
    <definedName name="PoolClear" localSheetId="47">#REF!</definedName>
    <definedName name="PoolClear" localSheetId="44">#REF!</definedName>
    <definedName name="PoolClear" localSheetId="45">#REF!</definedName>
    <definedName name="PoolClear" localSheetId="46">#REF!</definedName>
    <definedName name="PoolClear" localSheetId="37">#REF!</definedName>
    <definedName name="PoolClear" localSheetId="40">#REF!</definedName>
    <definedName name="PoolClear" localSheetId="54">#REF!</definedName>
    <definedName name="PoolClear" localSheetId="55">#REF!</definedName>
    <definedName name="PoolClear" localSheetId="52">#REF!</definedName>
    <definedName name="PoolClear" localSheetId="51">#REF!</definedName>
    <definedName name="PoolClear" localSheetId="53">#REF!</definedName>
    <definedName name="PoolClear">#REF!</definedName>
    <definedName name="PoolGeography" localSheetId="50">#REF!</definedName>
    <definedName name="PoolGeography" localSheetId="47">#REF!</definedName>
    <definedName name="PoolGeography" localSheetId="44">#REF!</definedName>
    <definedName name="PoolGeography" localSheetId="45">#REF!</definedName>
    <definedName name="PoolGeography" localSheetId="46">#REF!</definedName>
    <definedName name="PoolGeography" localSheetId="37">#REF!</definedName>
    <definedName name="PoolGeography" localSheetId="40">#REF!</definedName>
    <definedName name="PoolGeography" localSheetId="54">#REF!</definedName>
    <definedName name="PoolGeography" localSheetId="55">#REF!</definedName>
    <definedName name="PoolGeography" localSheetId="52">#REF!</definedName>
    <definedName name="PoolGeography" localSheetId="51">#REF!</definedName>
    <definedName name="PoolGeography" localSheetId="53">#REF!</definedName>
    <definedName name="PoolGeography">#REF!</definedName>
    <definedName name="PoolName" localSheetId="50">#REF!</definedName>
    <definedName name="PoolName" localSheetId="47">#REF!</definedName>
    <definedName name="PoolName" localSheetId="44">#REF!</definedName>
    <definedName name="PoolName" localSheetId="45">#REF!</definedName>
    <definedName name="PoolName" localSheetId="46">#REF!</definedName>
    <definedName name="PoolName" localSheetId="37">#REF!</definedName>
    <definedName name="PoolName" localSheetId="40">#REF!</definedName>
    <definedName name="PoolName" localSheetId="54">#REF!</definedName>
    <definedName name="PoolName" localSheetId="55">#REF!</definedName>
    <definedName name="PoolName" localSheetId="52">#REF!</definedName>
    <definedName name="PoolName" localSheetId="51">#REF!</definedName>
    <definedName name="PoolName" localSheetId="53">#REF!</definedName>
    <definedName name="PoolName">#REF!</definedName>
    <definedName name="PoolNotes" localSheetId="50">#REF!</definedName>
    <definedName name="PoolNotes" localSheetId="47">#REF!</definedName>
    <definedName name="PoolNotes" localSheetId="44">#REF!</definedName>
    <definedName name="PoolNotes" localSheetId="45">#REF!</definedName>
    <definedName name="PoolNotes" localSheetId="46">#REF!</definedName>
    <definedName name="PoolNotes" localSheetId="37">#REF!</definedName>
    <definedName name="PoolNotes" localSheetId="40">#REF!</definedName>
    <definedName name="PoolNotes" localSheetId="54">#REF!</definedName>
    <definedName name="PoolNotes" localSheetId="55">#REF!</definedName>
    <definedName name="PoolNotes" localSheetId="52">#REF!</definedName>
    <definedName name="PoolNotes" localSheetId="51">#REF!</definedName>
    <definedName name="PoolNotes" localSheetId="53">#REF!</definedName>
    <definedName name="PoolNotes">#REF!</definedName>
    <definedName name="PoolStaffingConfirmed" localSheetId="50">#REF!</definedName>
    <definedName name="PoolStaffingConfirmed" localSheetId="47">#REF!</definedName>
    <definedName name="PoolStaffingConfirmed" localSheetId="44">#REF!</definedName>
    <definedName name="PoolStaffingConfirmed" localSheetId="45">#REF!</definedName>
    <definedName name="PoolStaffingConfirmed" localSheetId="46">#REF!</definedName>
    <definedName name="PoolStaffingConfirmed" localSheetId="37">#REF!</definedName>
    <definedName name="PoolStaffingConfirmed" localSheetId="40">#REF!</definedName>
    <definedName name="PoolStaffingConfirmed" localSheetId="54">#REF!</definedName>
    <definedName name="PoolStaffingConfirmed" localSheetId="55">#REF!</definedName>
    <definedName name="PoolStaffingConfirmed" localSheetId="52">#REF!</definedName>
    <definedName name="PoolStaffingConfirmed" localSheetId="51">#REF!</definedName>
    <definedName name="PoolStaffingConfirmed" localSheetId="53">#REF!</definedName>
    <definedName name="PoolStaffingConfirmed">#REF!</definedName>
    <definedName name="Ports" localSheetId="34">#REF!</definedName>
    <definedName name="Ports" localSheetId="35">#REF!</definedName>
    <definedName name="Ports" localSheetId="50">#REF!</definedName>
    <definedName name="Ports" localSheetId="15">#REF!</definedName>
    <definedName name="Ports" localSheetId="29">#REF!</definedName>
    <definedName name="Ports" localSheetId="30">#REF!</definedName>
    <definedName name="Ports" localSheetId="47">#REF!</definedName>
    <definedName name="Ports" localSheetId="44">#REF!</definedName>
    <definedName name="Ports" localSheetId="45">#REF!</definedName>
    <definedName name="Ports" localSheetId="46">#REF!</definedName>
    <definedName name="Ports" localSheetId="31">#REF!</definedName>
    <definedName name="Ports" localSheetId="32">#REF!</definedName>
    <definedName name="Ports" localSheetId="33">#REF!</definedName>
    <definedName name="Ports" localSheetId="36">#REF!</definedName>
    <definedName name="Ports" localSheetId="37">#REF!</definedName>
    <definedName name="Ports" localSheetId="38">#REF!</definedName>
    <definedName name="Ports" localSheetId="39">#REF!</definedName>
    <definedName name="Ports" localSheetId="40">#REF!</definedName>
    <definedName name="Ports" localSheetId="54">#REF!</definedName>
    <definedName name="Ports" localSheetId="55">#REF!</definedName>
    <definedName name="Ports" localSheetId="52">#REF!</definedName>
    <definedName name="Ports" localSheetId="23">#REF!</definedName>
    <definedName name="Ports" localSheetId="51">#REF!</definedName>
    <definedName name="Ports" localSheetId="53">#REF!</definedName>
    <definedName name="Ports" localSheetId="20">#REF!</definedName>
    <definedName name="Ports">#REF!</definedName>
    <definedName name="posnet2" localSheetId="34">#REF!</definedName>
    <definedName name="posnet2" localSheetId="35">#REF!</definedName>
    <definedName name="posnet2" localSheetId="50">#REF!</definedName>
    <definedName name="posnet2" localSheetId="15">#REF!</definedName>
    <definedName name="posnet2" localSheetId="29">#REF!</definedName>
    <definedName name="posnet2" localSheetId="30">#REF!</definedName>
    <definedName name="posnet2" localSheetId="47">#REF!</definedName>
    <definedName name="posnet2" localSheetId="44">#REF!</definedName>
    <definedName name="posnet2" localSheetId="45">#REF!</definedName>
    <definedName name="posnet2" localSheetId="46">#REF!</definedName>
    <definedName name="posnet2" localSheetId="31">#REF!</definedName>
    <definedName name="posnet2" localSheetId="32">#REF!</definedName>
    <definedName name="posnet2" localSheetId="33">#REF!</definedName>
    <definedName name="posnet2" localSheetId="36">#REF!</definedName>
    <definedName name="posnet2" localSheetId="37">#REF!</definedName>
    <definedName name="posnet2" localSheetId="38">#REF!</definedName>
    <definedName name="posnet2" localSheetId="39">#REF!</definedName>
    <definedName name="posnet2" localSheetId="40">#REF!</definedName>
    <definedName name="posnet2" localSheetId="54">#REF!</definedName>
    <definedName name="posnet2" localSheetId="55">#REF!</definedName>
    <definedName name="posnet2" localSheetId="52">#REF!</definedName>
    <definedName name="posnet2" localSheetId="23">#REF!</definedName>
    <definedName name="posnet2" localSheetId="51">#REF!</definedName>
    <definedName name="posnet2" localSheetId="53">#REF!</definedName>
    <definedName name="posnet2" localSheetId="20">#REF!</definedName>
    <definedName name="posnet2">#REF!</definedName>
    <definedName name="power_code" localSheetId="50">[38]Instructions!#REF!</definedName>
    <definedName name="power_code" localSheetId="47">[38]Instructions!#REF!</definedName>
    <definedName name="power_code" localSheetId="44">[38]Instructions!#REF!</definedName>
    <definedName name="power_code" localSheetId="45">[38]Instructions!#REF!</definedName>
    <definedName name="power_code" localSheetId="46">[38]Instructions!#REF!</definedName>
    <definedName name="power_code" localSheetId="37">[38]Instructions!#REF!</definedName>
    <definedName name="power_code" localSheetId="40">[38]Instructions!#REF!</definedName>
    <definedName name="power_code" localSheetId="54">[38]Instructions!#REF!</definedName>
    <definedName name="power_code" localSheetId="55">[38]Instructions!#REF!</definedName>
    <definedName name="power_code" localSheetId="52">[38]Instructions!#REF!</definedName>
    <definedName name="power_code" localSheetId="51">[38]Instructions!#REF!</definedName>
    <definedName name="power_code" localSheetId="53">[38]Instructions!#REF!</definedName>
    <definedName name="power_code">[38]Instructions!#REF!</definedName>
    <definedName name="pp" localSheetId="58" hidden="1">{"Riqfin97",#N/A,FALSE,"Tran";"Riqfinpro",#N/A,FALSE,"Tran"}</definedName>
    <definedName name="pp" localSheetId="16" hidden="1">{"Riqfin97",#N/A,FALSE,"Tran";"Riqfinpro",#N/A,FALSE,"Tran"}</definedName>
    <definedName name="pp" localSheetId="61" hidden="1">{"Riqfin97",#N/A,FALSE,"Tran";"Riqfinpro",#N/A,FALSE,"Tran"}</definedName>
    <definedName name="pp" localSheetId="62" hidden="1">{"Riqfin97",#N/A,FALSE,"Tran";"Riqfinpro",#N/A,FALSE,"Tran"}</definedName>
    <definedName name="pp" localSheetId="50" hidden="1">{"Riqfin97",#N/A,FALSE,"Tran";"Riqfinpro",#N/A,FALSE,"Tran"}</definedName>
    <definedName name="pp" localSheetId="63" hidden="1">{"Riqfin97",#N/A,FALSE,"Tran";"Riqfinpro",#N/A,FALSE,"Tran"}</definedName>
    <definedName name="pp" localSheetId="15" hidden="1">{"Riqfin97",#N/A,FALSE,"Tran";"Riqfinpro",#N/A,FALSE,"Tran"}</definedName>
    <definedName name="pp" localSheetId="1" hidden="1">{"Riqfin97",#N/A,FALSE,"Tran";"Riqfinpro",#N/A,FALSE,"Tran"}</definedName>
    <definedName name="pp" localSheetId="43" hidden="1">{"Riqfin97",#N/A,FALSE,"Tran";"Riqfinpro",#N/A,FALSE,"Tran"}</definedName>
    <definedName name="pp" localSheetId="29" hidden="1">{"Riqfin97",#N/A,FALSE,"Tran";"Riqfinpro",#N/A,FALSE,"Tran"}</definedName>
    <definedName name="pp" localSheetId="30" hidden="1">{"Riqfin97",#N/A,FALSE,"Tran";"Riqfinpro",#N/A,FALSE,"Tran"}</definedName>
    <definedName name="pp" localSheetId="44" hidden="1">{"Riqfin97",#N/A,FALSE,"Tran";"Riqfinpro",#N/A,FALSE,"Tran"}</definedName>
    <definedName name="pp" localSheetId="59" hidden="1">{"Riqfin97",#N/A,FALSE,"Tran";"Riqfinpro",#N/A,FALSE,"Tran"}</definedName>
    <definedName name="pp" localSheetId="13" hidden="1">{"Riqfin97",#N/A,FALSE,"Tran";"Riqfinpro",#N/A,FALSE,"Tran"}</definedName>
    <definedName name="pp" localSheetId="0" hidden="1">{"Riqfin97",#N/A,FALSE,"Tran";"Riqfinpro",#N/A,FALSE,"Tran"}</definedName>
    <definedName name="pp" localSheetId="57" hidden="1">{"Riqfin97",#N/A,FALSE,"Tran";"Riqfinpro",#N/A,FALSE,"Tran"}</definedName>
    <definedName name="pp" localSheetId="56" hidden="1">{"Riqfin97",#N/A,FALSE,"Tran";"Riqfinpro",#N/A,FALSE,"Tran"}</definedName>
    <definedName name="pp" localSheetId="54" hidden="1">{"Riqfin97",#N/A,FALSE,"Tran";"Riqfinpro",#N/A,FALSE,"Tran"}</definedName>
    <definedName name="pp" localSheetId="52" hidden="1">{"Riqfin97",#N/A,FALSE,"Tran";"Riqfinpro",#N/A,FALSE,"Tran"}</definedName>
    <definedName name="pp" localSheetId="23" hidden="1">{"Riqfin97",#N/A,FALSE,"Tran";"Riqfinpro",#N/A,FALSE,"Tran"}</definedName>
    <definedName name="pp" localSheetId="51" hidden="1">{"Riqfin97",#N/A,FALSE,"Tran";"Riqfinpro",#N/A,FALSE,"Tran"}</definedName>
    <definedName name="pp" localSheetId="53" hidden="1">{"Riqfin97",#N/A,FALSE,"Tran";"Riqfinpro",#N/A,FALSE,"Tran"}</definedName>
    <definedName name="pp" localSheetId="60" hidden="1">{"Riqfin97",#N/A,FALSE,"Tran";"Riqfinpro",#N/A,FALSE,"Tran"}</definedName>
    <definedName name="pp" hidden="1">{"Riqfin97",#N/A,FALSE,"Tran";"Riqfinpro",#N/A,FALSE,"Tran"}</definedName>
    <definedName name="ppp" localSheetId="58" hidden="1">{"Riqfin97",#N/A,FALSE,"Tran";"Riqfinpro",#N/A,FALSE,"Tran"}</definedName>
    <definedName name="ppp" localSheetId="16" hidden="1">{"Riqfin97",#N/A,FALSE,"Tran";"Riqfinpro",#N/A,FALSE,"Tran"}</definedName>
    <definedName name="ppp" localSheetId="61" hidden="1">{"Riqfin97",#N/A,FALSE,"Tran";"Riqfinpro",#N/A,FALSE,"Tran"}</definedName>
    <definedName name="ppp" localSheetId="62" hidden="1">{"Riqfin97",#N/A,FALSE,"Tran";"Riqfinpro",#N/A,FALSE,"Tran"}</definedName>
    <definedName name="ppp" localSheetId="50" hidden="1">{"Riqfin97",#N/A,FALSE,"Tran";"Riqfinpro",#N/A,FALSE,"Tran"}</definedName>
    <definedName name="ppp" localSheetId="63" hidden="1">{"Riqfin97",#N/A,FALSE,"Tran";"Riqfinpro",#N/A,FALSE,"Tran"}</definedName>
    <definedName name="ppp" localSheetId="15" hidden="1">{"Riqfin97",#N/A,FALSE,"Tran";"Riqfinpro",#N/A,FALSE,"Tran"}</definedName>
    <definedName name="ppp" localSheetId="1" hidden="1">{"Riqfin97",#N/A,FALSE,"Tran";"Riqfinpro",#N/A,FALSE,"Tran"}</definedName>
    <definedName name="ppp" localSheetId="43" hidden="1">{"Riqfin97",#N/A,FALSE,"Tran";"Riqfinpro",#N/A,FALSE,"Tran"}</definedName>
    <definedName name="ppp" localSheetId="29" hidden="1">{"Riqfin97",#N/A,FALSE,"Tran";"Riqfinpro",#N/A,FALSE,"Tran"}</definedName>
    <definedName name="ppp" localSheetId="30" hidden="1">{"Riqfin97",#N/A,FALSE,"Tran";"Riqfinpro",#N/A,FALSE,"Tran"}</definedName>
    <definedName name="ppp" localSheetId="44" hidden="1">{"Riqfin97",#N/A,FALSE,"Tran";"Riqfinpro",#N/A,FALSE,"Tran"}</definedName>
    <definedName name="ppp" localSheetId="59" hidden="1">{"Riqfin97",#N/A,FALSE,"Tran";"Riqfinpro",#N/A,FALSE,"Tran"}</definedName>
    <definedName name="ppp" localSheetId="13" hidden="1">{"Riqfin97",#N/A,FALSE,"Tran";"Riqfinpro",#N/A,FALSE,"Tran"}</definedName>
    <definedName name="ppp" localSheetId="0" hidden="1">{"Riqfin97",#N/A,FALSE,"Tran";"Riqfinpro",#N/A,FALSE,"Tran"}</definedName>
    <definedName name="ppp" localSheetId="57" hidden="1">{"Riqfin97",#N/A,FALSE,"Tran";"Riqfinpro",#N/A,FALSE,"Tran"}</definedName>
    <definedName name="ppp" localSheetId="56" hidden="1">{"Riqfin97",#N/A,FALSE,"Tran";"Riqfinpro",#N/A,FALSE,"Tran"}</definedName>
    <definedName name="ppp" localSheetId="54" hidden="1">{"Riqfin97",#N/A,FALSE,"Tran";"Riqfinpro",#N/A,FALSE,"Tran"}</definedName>
    <definedName name="ppp" localSheetId="52" hidden="1">{"Riqfin97",#N/A,FALSE,"Tran";"Riqfinpro",#N/A,FALSE,"Tran"}</definedName>
    <definedName name="ppp" localSheetId="23" hidden="1">{"Riqfin97",#N/A,FALSE,"Tran";"Riqfinpro",#N/A,FALSE,"Tran"}</definedName>
    <definedName name="ppp" localSheetId="51" hidden="1">{"Riqfin97",#N/A,FALSE,"Tran";"Riqfinpro",#N/A,FALSE,"Tran"}</definedName>
    <definedName name="ppp" localSheetId="53" hidden="1">{"Riqfin97",#N/A,FALSE,"Tran";"Riqfinpro",#N/A,FALSE,"Tran"}</definedName>
    <definedName name="ppp" localSheetId="60" hidden="1">{"Riqfin97",#N/A,FALSE,"Tran";"Riqfinpro",#N/A,FALSE,"Tran"}</definedName>
    <definedName name="ppp" hidden="1">{"Riqfin97",#N/A,FALSE,"Tran";"Riqfinpro",#N/A,FALSE,"Tran"}</definedName>
    <definedName name="pppppp" localSheetId="58" hidden="1">{"Riqfin97",#N/A,FALSE,"Tran";"Riqfinpro",#N/A,FALSE,"Tran"}</definedName>
    <definedName name="pppppp" localSheetId="16" hidden="1">{"Riqfin97",#N/A,FALSE,"Tran";"Riqfinpro",#N/A,FALSE,"Tran"}</definedName>
    <definedName name="pppppp" localSheetId="61" hidden="1">{"Riqfin97",#N/A,FALSE,"Tran";"Riqfinpro",#N/A,FALSE,"Tran"}</definedName>
    <definedName name="pppppp" localSheetId="62" hidden="1">{"Riqfin97",#N/A,FALSE,"Tran";"Riqfinpro",#N/A,FALSE,"Tran"}</definedName>
    <definedName name="pppppp" localSheetId="50" hidden="1">{"Riqfin97",#N/A,FALSE,"Tran";"Riqfinpro",#N/A,FALSE,"Tran"}</definedName>
    <definedName name="pppppp" localSheetId="63" hidden="1">{"Riqfin97",#N/A,FALSE,"Tran";"Riqfinpro",#N/A,FALSE,"Tran"}</definedName>
    <definedName name="pppppp" localSheetId="15" hidden="1">{"Riqfin97",#N/A,FALSE,"Tran";"Riqfinpro",#N/A,FALSE,"Tran"}</definedName>
    <definedName name="pppppp" localSheetId="1" hidden="1">{"Riqfin97",#N/A,FALSE,"Tran";"Riqfinpro",#N/A,FALSE,"Tran"}</definedName>
    <definedName name="pppppp" localSheetId="43" hidden="1">{"Riqfin97",#N/A,FALSE,"Tran";"Riqfinpro",#N/A,FALSE,"Tran"}</definedName>
    <definedName name="pppppp" localSheetId="29" hidden="1">{"Riqfin97",#N/A,FALSE,"Tran";"Riqfinpro",#N/A,FALSE,"Tran"}</definedName>
    <definedName name="pppppp" localSheetId="30" hidden="1">{"Riqfin97",#N/A,FALSE,"Tran";"Riqfinpro",#N/A,FALSE,"Tran"}</definedName>
    <definedName name="pppppp" localSheetId="44" hidden="1">{"Riqfin97",#N/A,FALSE,"Tran";"Riqfinpro",#N/A,FALSE,"Tran"}</definedName>
    <definedName name="pppppp" localSheetId="59" hidden="1">{"Riqfin97",#N/A,FALSE,"Tran";"Riqfinpro",#N/A,FALSE,"Tran"}</definedName>
    <definedName name="pppppp" localSheetId="13" hidden="1">{"Riqfin97",#N/A,FALSE,"Tran";"Riqfinpro",#N/A,FALSE,"Tran"}</definedName>
    <definedName name="pppppp" localSheetId="0" hidden="1">{"Riqfin97",#N/A,FALSE,"Tran";"Riqfinpro",#N/A,FALSE,"Tran"}</definedName>
    <definedName name="pppppp" localSheetId="57" hidden="1">{"Riqfin97",#N/A,FALSE,"Tran";"Riqfinpro",#N/A,FALSE,"Tran"}</definedName>
    <definedName name="pppppp" localSheetId="56" hidden="1">{"Riqfin97",#N/A,FALSE,"Tran";"Riqfinpro",#N/A,FALSE,"Tran"}</definedName>
    <definedName name="pppppp" localSheetId="54" hidden="1">{"Riqfin97",#N/A,FALSE,"Tran";"Riqfinpro",#N/A,FALSE,"Tran"}</definedName>
    <definedName name="pppppp" localSheetId="52" hidden="1">{"Riqfin97",#N/A,FALSE,"Tran";"Riqfinpro",#N/A,FALSE,"Tran"}</definedName>
    <definedName name="pppppp" localSheetId="23" hidden="1">{"Riqfin97",#N/A,FALSE,"Tran";"Riqfinpro",#N/A,FALSE,"Tran"}</definedName>
    <definedName name="pppppp" localSheetId="51" hidden="1">{"Riqfin97",#N/A,FALSE,"Tran";"Riqfinpro",#N/A,FALSE,"Tran"}</definedName>
    <definedName name="pppppp" localSheetId="53" hidden="1">{"Riqfin97",#N/A,FALSE,"Tran";"Riqfinpro",#N/A,FALSE,"Tran"}</definedName>
    <definedName name="pppppp" localSheetId="60" hidden="1">{"Riqfin97",#N/A,FALSE,"Tran";"Riqfinpro",#N/A,FALSE,"Tran"}</definedName>
    <definedName name="pppppp" hidden="1">{"Riqfin97",#N/A,FALSE,"Tran";"Riqfinpro",#N/A,FALSE,"Tran"}</definedName>
    <definedName name="PPPWGT">#N/A</definedName>
    <definedName name="pprate">'[52]Burn Rates'!$G$17</definedName>
    <definedName name="Preliminary" localSheetId="50">[130]LIAB!#REF!</definedName>
    <definedName name="Preliminary" localSheetId="47">[130]LIAB!#REF!</definedName>
    <definedName name="Preliminary" localSheetId="44">[130]LIAB!#REF!</definedName>
    <definedName name="Preliminary" localSheetId="45">[130]LIAB!#REF!</definedName>
    <definedName name="Preliminary" localSheetId="46">[130]LIAB!#REF!</definedName>
    <definedName name="Preliminary" localSheetId="37">[130]LIAB!#REF!</definedName>
    <definedName name="Preliminary" localSheetId="40">[130]LIAB!#REF!</definedName>
    <definedName name="Preliminary" localSheetId="54">[130]LIAB!#REF!</definedName>
    <definedName name="Preliminary" localSheetId="55">[130]LIAB!#REF!</definedName>
    <definedName name="Preliminary" localSheetId="52">[130]LIAB!#REF!</definedName>
    <definedName name="Preliminary" localSheetId="51">[130]LIAB!#REF!</definedName>
    <definedName name="Preliminary" localSheetId="53">[130]LIAB!#REF!</definedName>
    <definedName name="Preliminary">[130]LIAB!#REF!</definedName>
    <definedName name="prepared_by" localSheetId="50">[38]Instructions!#REF!</definedName>
    <definedName name="prepared_by" localSheetId="47">[38]Instructions!#REF!</definedName>
    <definedName name="prepared_by" localSheetId="44">[38]Instructions!#REF!</definedName>
    <definedName name="prepared_by" localSheetId="45">[38]Instructions!#REF!</definedName>
    <definedName name="prepared_by" localSheetId="46">[38]Instructions!#REF!</definedName>
    <definedName name="prepared_by" localSheetId="37">[38]Instructions!#REF!</definedName>
    <definedName name="prepared_by" localSheetId="40">[38]Instructions!#REF!</definedName>
    <definedName name="prepared_by" localSheetId="54">[38]Instructions!#REF!</definedName>
    <definedName name="prepared_by" localSheetId="55">[38]Instructions!#REF!</definedName>
    <definedName name="prepared_by" localSheetId="52">[38]Instructions!#REF!</definedName>
    <definedName name="prepared_by" localSheetId="51">[38]Instructions!#REF!</definedName>
    <definedName name="prepared_by" localSheetId="53">[38]Instructions!#REF!</definedName>
    <definedName name="prepared_by">[38]Instructions!#REF!</definedName>
    <definedName name="pri" localSheetId="34">#REF!</definedName>
    <definedName name="pri" localSheetId="35">#REF!</definedName>
    <definedName name="pri" localSheetId="50">#REF!</definedName>
    <definedName name="pri" localSheetId="15">#REF!</definedName>
    <definedName name="pri" localSheetId="29">#REF!</definedName>
    <definedName name="pri" localSheetId="30">#REF!</definedName>
    <definedName name="pri" localSheetId="47">#REF!</definedName>
    <definedName name="pri" localSheetId="44">#REF!</definedName>
    <definedName name="pri" localSheetId="45">#REF!</definedName>
    <definedName name="pri" localSheetId="46">#REF!</definedName>
    <definedName name="pri" localSheetId="31">#REF!</definedName>
    <definedName name="pri" localSheetId="32">#REF!</definedName>
    <definedName name="pri" localSheetId="33">#REF!</definedName>
    <definedName name="pri" localSheetId="36">#REF!</definedName>
    <definedName name="pri" localSheetId="37">#REF!</definedName>
    <definedName name="pri" localSheetId="38">#REF!</definedName>
    <definedName name="pri" localSheetId="39">#REF!</definedName>
    <definedName name="pri" localSheetId="40">#REF!</definedName>
    <definedName name="pri" localSheetId="54">#REF!</definedName>
    <definedName name="pri" localSheetId="55">#REF!</definedName>
    <definedName name="pri" localSheetId="52">#REF!</definedName>
    <definedName name="pri" localSheetId="23">#REF!</definedName>
    <definedName name="pri" localSheetId="51">#REF!</definedName>
    <definedName name="pri" localSheetId="53">#REF!</definedName>
    <definedName name="pri" localSheetId="20">#REF!</definedName>
    <definedName name="pri">#REF!</definedName>
    <definedName name="PRICE" localSheetId="50">#REF!</definedName>
    <definedName name="PRICE" localSheetId="47">#REF!</definedName>
    <definedName name="PRICE" localSheetId="44">#REF!</definedName>
    <definedName name="PRICE" localSheetId="45">#REF!</definedName>
    <definedName name="PRICE" localSheetId="46">#REF!</definedName>
    <definedName name="PRICE" localSheetId="37">#REF!</definedName>
    <definedName name="PRICE" localSheetId="40">#REF!</definedName>
    <definedName name="PRICE" localSheetId="54">#REF!</definedName>
    <definedName name="PRICE" localSheetId="55">#REF!</definedName>
    <definedName name="PRICE" localSheetId="52">#REF!</definedName>
    <definedName name="PRICE" localSheetId="51">#REF!</definedName>
    <definedName name="PRICE" localSheetId="53">#REF!</definedName>
    <definedName name="PRICE">#REF!</definedName>
    <definedName name="PriceLevel" localSheetId="50">#REF!</definedName>
    <definedName name="PriceLevel" localSheetId="47">#REF!</definedName>
    <definedName name="PriceLevel" localSheetId="44">#REF!</definedName>
    <definedName name="PriceLevel" localSheetId="45">#REF!</definedName>
    <definedName name="PriceLevel" localSheetId="46">#REF!</definedName>
    <definedName name="PriceLevel" localSheetId="37">#REF!</definedName>
    <definedName name="PriceLevel" localSheetId="40">#REF!</definedName>
    <definedName name="PriceLevel" localSheetId="54">#REF!</definedName>
    <definedName name="PriceLevel" localSheetId="55">#REF!</definedName>
    <definedName name="PriceLevel" localSheetId="52">#REF!</definedName>
    <definedName name="PriceLevel" localSheetId="51">#REF!</definedName>
    <definedName name="PriceLevel" localSheetId="53">#REF!</definedName>
    <definedName name="PriceLevel">#REF!</definedName>
    <definedName name="PRICETAB" localSheetId="50">#REF!</definedName>
    <definedName name="PRICETAB" localSheetId="47">#REF!</definedName>
    <definedName name="PRICETAB" localSheetId="44">#REF!</definedName>
    <definedName name="PRICETAB" localSheetId="45">#REF!</definedName>
    <definedName name="PRICETAB" localSheetId="46">#REF!</definedName>
    <definedName name="PRICETAB" localSheetId="37">#REF!</definedName>
    <definedName name="PRICETAB" localSheetId="40">#REF!</definedName>
    <definedName name="PRICETAB" localSheetId="54">#REF!</definedName>
    <definedName name="PRICETAB" localSheetId="55">#REF!</definedName>
    <definedName name="PRICETAB" localSheetId="52">#REF!</definedName>
    <definedName name="PRICETAB" localSheetId="51">#REF!</definedName>
    <definedName name="PRICETAB" localSheetId="53">#REF!</definedName>
    <definedName name="PRICETAB">#REF!</definedName>
    <definedName name="primero" localSheetId="34">#REF!</definedName>
    <definedName name="primero" localSheetId="35">#REF!</definedName>
    <definedName name="primero" localSheetId="50">#REF!</definedName>
    <definedName name="primero" localSheetId="15">#REF!</definedName>
    <definedName name="primero" localSheetId="29">#REF!</definedName>
    <definedName name="primero" localSheetId="30">#REF!</definedName>
    <definedName name="primero" localSheetId="47">#REF!</definedName>
    <definedName name="primero" localSheetId="44">#REF!</definedName>
    <definedName name="primero" localSheetId="45">#REF!</definedName>
    <definedName name="primero" localSheetId="46">#REF!</definedName>
    <definedName name="primero" localSheetId="31">#REF!</definedName>
    <definedName name="primero" localSheetId="32">#REF!</definedName>
    <definedName name="primero" localSheetId="33">#REF!</definedName>
    <definedName name="primero" localSheetId="36">#REF!</definedName>
    <definedName name="primero" localSheetId="37">#REF!</definedName>
    <definedName name="primero" localSheetId="38">#REF!</definedName>
    <definedName name="primero" localSheetId="39">#REF!</definedName>
    <definedName name="primero" localSheetId="40">#REF!</definedName>
    <definedName name="primero" localSheetId="54">#REF!</definedName>
    <definedName name="primero" localSheetId="55">#REF!</definedName>
    <definedName name="primero" localSheetId="52">#REF!</definedName>
    <definedName name="primero" localSheetId="23">#REF!</definedName>
    <definedName name="primero" localSheetId="51">#REF!</definedName>
    <definedName name="primero" localSheetId="53">#REF!</definedName>
    <definedName name="primero" localSheetId="20">#REF!</definedName>
    <definedName name="primero">#REF!</definedName>
    <definedName name="PRINT" localSheetId="50">#REF!</definedName>
    <definedName name="PRINT" localSheetId="47">#REF!</definedName>
    <definedName name="PRINT" localSheetId="44">#REF!</definedName>
    <definedName name="PRINT" localSheetId="45">#REF!</definedName>
    <definedName name="PRINT" localSheetId="46">#REF!</definedName>
    <definedName name="PRINT" localSheetId="37">#REF!</definedName>
    <definedName name="PRINT" localSheetId="40">#REF!</definedName>
    <definedName name="PRINT" localSheetId="54">#REF!</definedName>
    <definedName name="PRINT" localSheetId="55">#REF!</definedName>
    <definedName name="PRINT" localSheetId="52">#REF!</definedName>
    <definedName name="PRINT" localSheetId="51">#REF!</definedName>
    <definedName name="PRINT" localSheetId="53">#REF!</definedName>
    <definedName name="PRINT">#REF!</definedName>
    <definedName name="_xlnm.Print_Area" localSheetId="58">' Exports new'!$A$1:$M$57</definedName>
    <definedName name="_xlnm.Print_Area" localSheetId="34">' External Debt'!$A$1:$H$98</definedName>
    <definedName name="_xlnm.Print_Area" localSheetId="35">' External Debt (E)'!$A$1:$H$81</definedName>
    <definedName name="_xlnm.Print_Area" localSheetId="16">'Air Traffic Stats'!$A$1:$H$127</definedName>
    <definedName name="_xlnm.Print_Area" localSheetId="17">'Aircraft Movement'!$A$1:$AD$45</definedName>
    <definedName name="_xlnm.Print_Area" localSheetId="61">'Analysis of primary schools (2'!$A$1:$K$65</definedName>
    <definedName name="_xlnm.Print_Area" localSheetId="62">'analysis of seconday school (2'!$A$1:$J$67</definedName>
    <definedName name="_xlnm.Print_Area" localSheetId="8">'Arrivals By Origin'!$A$1:$AI$32</definedName>
    <definedName name="_xlnm.Print_Area" localSheetId="50">'Assets and Liabilities'!$A$1:$P$53</definedName>
    <definedName name="_xlnm.Print_Area" localSheetId="63">'cambridge advance level edu (2'!$A$1:$AC$43</definedName>
    <definedName name="_xlnm.Print_Area" localSheetId="15">Cargo!$A$1:$E$203</definedName>
    <definedName name="_xlnm.Print_Area" localSheetId="22">Category!$A$1:$Q$71</definedName>
    <definedName name="_xlnm.Print_Area" localSheetId="27">'Central Gov''t Expenditure'!$A$1:$AN$52</definedName>
    <definedName name="_xlnm.Print_Area" localSheetId="24">'Central Gov''t Fiscal Operations'!$B$1:$Z$43</definedName>
    <definedName name="_xlnm.Print_Area" localSheetId="26">'Central Gov''t Revenue'!$A$1:$AH$78</definedName>
    <definedName name="_xlnm.Print_Area" localSheetId="1">'Constant Prices'!$A$1:$U$86</definedName>
    <definedName name="_xlnm.Print_Area" localSheetId="9">'Construction Imports'!$A$1:$P$15</definedName>
    <definedName name="_xlnm.Print_Area" localSheetId="21">'CPI '!$A$1:$Q$40</definedName>
    <definedName name="_xlnm.Print_Area" localSheetId="43">'Credit By Sector'!$B$1:$AD$49</definedName>
    <definedName name="_xlnm.Print_Area" localSheetId="29">'Debt By Holder '!$B$1:$G$55</definedName>
    <definedName name="_xlnm.Print_Area" localSheetId="41">'Debt Creditor'!$A$1:$V$36</definedName>
    <definedName name="_xlnm.Print_Area" localSheetId="42">'Debt Sectoral'!$A$1:$AG$27</definedName>
    <definedName name="_xlnm.Print_Area" localSheetId="28">'Debt Summary'!$A$1:$N$53</definedName>
    <definedName name="_xlnm.Print_Area" localSheetId="30">'Debt term instrument'!$A$1:$P$61</definedName>
    <definedName name="_xlnm.Print_Area" localSheetId="47">'Detailed MonSurvey43D-Yearly'!$A$1:$K$60</definedName>
    <definedName name="_xlnm.Print_Area" localSheetId="44">'DetailedMonSurvey43A-Yearly'!$A$1:$K$56</definedName>
    <definedName name="_xlnm.Print_Area" localSheetId="45">'DetailedMonSurvey43B-Yearly'!$A$1:$K$63</definedName>
    <definedName name="_xlnm.Print_Area" localSheetId="46">'DetailedMonSurvey43C-Yearly'!$A$1:$J$56</definedName>
    <definedName name="_xlnm.Print_Area" localSheetId="31">'Domestic Debt'!$A$1:$H$101</definedName>
    <definedName name="_xlnm.Print_Area" localSheetId="32">'Domestic Debt (B)'!$A$1:$H$100</definedName>
    <definedName name="_xlnm.Print_Area" localSheetId="33">'Domestic Debt (C)'!$A$1:$H$54</definedName>
    <definedName name="_xlnm.Print_Area" localSheetId="18">'Elec. Con. and Output'!$B$1:$AI$35</definedName>
    <definedName name="_xlnm.Print_Area" localSheetId="59">'Export % total &amp; change new'!$A$1:$M$57</definedName>
    <definedName name="_xlnm.Print_Area" localSheetId="36">'External Debt Cont''d'!$A$1:$H$96</definedName>
    <definedName name="_xlnm.Print_Area" localSheetId="37">'External Debt Cont''d (2)'!$A$1:$H$66</definedName>
    <definedName name="_xlnm.Print_Area" localSheetId="38">'External Debt Cont''d 2'!$A$1:$H$97</definedName>
    <definedName name="_xlnm.Print_Area" localSheetId="39">'External Debt Cont''d 3'!$A$1:$H$125</definedName>
    <definedName name="_xlnm.Print_Area" localSheetId="40">'External Debt Cont''d 3 (2)'!$B$1:$H$90</definedName>
    <definedName name="_xlnm.Print_Area" localSheetId="13">Fisheries!$A$1:$P$82</definedName>
    <definedName name="_xlnm.Print_Area" localSheetId="19">'Fuel Surcharge and Price'!$A$1:$AG$63</definedName>
    <definedName name="_xlnm.Print_Area" localSheetId="0">'GDP  nominal prices'!$A$1:$V$81</definedName>
    <definedName name="_xlnm.Print_Area" localSheetId="2">'GDP (CP) Rate of Growth'!$A$1:$S$76</definedName>
    <definedName name="_xlnm.Print_Area" localSheetId="25">'Gov''t fiscal operations to GDP'!$A$1:$W$45</definedName>
    <definedName name="_xlnm.Print_Area" localSheetId="57">'Import  % total &amp; change new'!$A$1:$M$59</definedName>
    <definedName name="_xlnm.Print_Area" localSheetId="56">'Import by Economic Function'!$A$1:$M$59</definedName>
    <definedName name="_xlnm.Print_Area" localSheetId="54">'Imputed Reserves A-Yearly'!$A$1:$I$47</definedName>
    <definedName name="_xlnm.Print_Area" localSheetId="55">'Imputed Reserves B-Yearly'!$A$1:$I$54</definedName>
    <definedName name="_xlnm.Print_Area" localSheetId="52">'Interest Rates-Yrly'!$A$1:$M$65</definedName>
    <definedName name="_xlnm.Print_Area" localSheetId="23">'LF Indicators Summary '!$A$1:$U$32</definedName>
    <definedName name="_xlnm.Print_Area" localSheetId="51">'Liquidity Ratios-Yrly'!$A$1:$J$42</definedName>
    <definedName name="_xlnm.Print_Area" localSheetId="12">Livestock!$B$1:$J$81</definedName>
    <definedName name="_xlnm.Print_Area" localSheetId="53">'Loans by Economic Sector-Yearly'!$B$1:$K$49</definedName>
    <definedName name="_xlnm.Print_Area" localSheetId="14">Manufacturing!$B$1:$V$39</definedName>
    <definedName name="_xlnm.Print_Area" localSheetId="10">'Quarterly Banana Exports'!$A$1:$BJ$43</definedName>
    <definedName name="_xlnm.Print_Area" localSheetId="3">'Share of Total '!$A$1:$T$77</definedName>
    <definedName name="_xlnm.Print_Area" localSheetId="48">'Summarised Monetary Survey'!$B$3:$I$45</definedName>
    <definedName name="_xlnm.Print_Area" localSheetId="11">'Supermarkets and Hotels '!$A$1:$BF$110</definedName>
    <definedName name="_xlnm.Print_Area" localSheetId="49">'Supp A - Total Deposits'!$A$1:$N$77</definedName>
    <definedName name="_xlnm.Print_Area" localSheetId="60">'Total exports and re-export '!$A$1:$M$44</definedName>
    <definedName name="_xlnm.Print_Area" localSheetId="7">'Visitor Category'!$A$1:$DW$40</definedName>
    <definedName name="_xlnm.Print_Area" localSheetId="4">'Visitor Statistics '!$A$1:$AE$51</definedName>
    <definedName name="_xlnm.Print_Area" localSheetId="20">'Water Con. and Output'!$A$1:$O$37</definedName>
    <definedName name="_xlnm.Print_Area">#REF!</definedName>
    <definedName name="PRINT_AREA_MI" localSheetId="34">#REF!</definedName>
    <definedName name="PRINT_AREA_MI" localSheetId="35">#REF!</definedName>
    <definedName name="PRINT_AREA_MI" localSheetId="50">#REF!</definedName>
    <definedName name="PRINT_AREA_MI" localSheetId="15">#REF!</definedName>
    <definedName name="PRINT_AREA_MI" localSheetId="27">#REF!</definedName>
    <definedName name="PRINT_AREA_MI" localSheetId="24">#REF!</definedName>
    <definedName name="PRINT_AREA_MI" localSheetId="26">#REF!</definedName>
    <definedName name="PRINT_AREA_MI" localSheetId="29">#REF!</definedName>
    <definedName name="PRINT_AREA_MI" localSheetId="42">#REF!</definedName>
    <definedName name="PRINT_AREA_MI" localSheetId="30">#REF!</definedName>
    <definedName name="PRINT_AREA_MI" localSheetId="47">#REF!</definedName>
    <definedName name="PRINT_AREA_MI" localSheetId="44">#REF!</definedName>
    <definedName name="PRINT_AREA_MI" localSheetId="45">#REF!</definedName>
    <definedName name="PRINT_AREA_MI" localSheetId="46">#REF!</definedName>
    <definedName name="PRINT_AREA_MI" localSheetId="31">#REF!</definedName>
    <definedName name="PRINT_AREA_MI" localSheetId="32">#REF!</definedName>
    <definedName name="PRINT_AREA_MI" localSheetId="33">#REF!</definedName>
    <definedName name="PRINT_AREA_MI" localSheetId="36">#REF!</definedName>
    <definedName name="PRINT_AREA_MI" localSheetId="37">#REF!</definedName>
    <definedName name="PRINT_AREA_MI" localSheetId="38">#REF!</definedName>
    <definedName name="PRINT_AREA_MI" localSheetId="39">#REF!</definedName>
    <definedName name="PRINT_AREA_MI" localSheetId="40">#REF!</definedName>
    <definedName name="PRINT_AREA_MI" localSheetId="25">#REF!</definedName>
    <definedName name="PRINT_AREA_MI" localSheetId="54">#REF!</definedName>
    <definedName name="PRINT_AREA_MI" localSheetId="55">#REF!</definedName>
    <definedName name="PRINT_AREA_MI" localSheetId="52">#REF!</definedName>
    <definedName name="PRINT_AREA_MI" localSheetId="23">#REF!</definedName>
    <definedName name="PRINT_AREA_MI" localSheetId="51">#REF!</definedName>
    <definedName name="PRINT_AREA_MI" localSheetId="12">#REF!</definedName>
    <definedName name="PRINT_AREA_MI" localSheetId="53">#REF!</definedName>
    <definedName name="PRINT_AREA_MI" localSheetId="20">#REF!</definedName>
    <definedName name="PRINT_AREA_MI">#REF!</definedName>
    <definedName name="_xlnm.Print_Titles">#N/A</definedName>
    <definedName name="PRINT_TITLES_MI" localSheetId="34">#REF!</definedName>
    <definedName name="PRINT_TITLES_MI" localSheetId="35">#REF!</definedName>
    <definedName name="PRINT_TITLES_MI" localSheetId="50">#REF!</definedName>
    <definedName name="PRINT_TITLES_MI" localSheetId="15">#REF!</definedName>
    <definedName name="PRINT_TITLES_MI" localSheetId="27">#REF!</definedName>
    <definedName name="PRINT_TITLES_MI" localSheetId="24">#REF!</definedName>
    <definedName name="PRINT_TITLES_MI" localSheetId="26">#REF!</definedName>
    <definedName name="PRINT_TITLES_MI" localSheetId="29">#REF!</definedName>
    <definedName name="PRINT_TITLES_MI" localSheetId="42">#REF!</definedName>
    <definedName name="PRINT_TITLES_MI" localSheetId="30">#REF!</definedName>
    <definedName name="PRINT_TITLES_MI" localSheetId="47">#REF!</definedName>
    <definedName name="PRINT_TITLES_MI" localSheetId="44">#REF!</definedName>
    <definedName name="PRINT_TITLES_MI" localSheetId="45">#REF!</definedName>
    <definedName name="PRINT_TITLES_MI" localSheetId="46">#REF!</definedName>
    <definedName name="PRINT_TITLES_MI" localSheetId="31">#REF!</definedName>
    <definedName name="PRINT_TITLES_MI" localSheetId="32">#REF!</definedName>
    <definedName name="PRINT_TITLES_MI" localSheetId="33">#REF!</definedName>
    <definedName name="PRINT_TITLES_MI" localSheetId="36">#REF!</definedName>
    <definedName name="PRINT_TITLES_MI" localSheetId="37">#REF!</definedName>
    <definedName name="PRINT_TITLES_MI" localSheetId="38">#REF!</definedName>
    <definedName name="PRINT_TITLES_MI" localSheetId="39">#REF!</definedName>
    <definedName name="PRINT_TITLES_MI" localSheetId="40">#REF!</definedName>
    <definedName name="PRINT_TITLES_MI" localSheetId="25">#REF!</definedName>
    <definedName name="PRINT_TITLES_MI" localSheetId="54">#REF!</definedName>
    <definedName name="PRINT_TITLES_MI" localSheetId="55">#REF!</definedName>
    <definedName name="PRINT_TITLES_MI" localSheetId="52">#REF!</definedName>
    <definedName name="PRINT_TITLES_MI" localSheetId="23">#REF!</definedName>
    <definedName name="PRINT_TITLES_MI" localSheetId="51">#REF!</definedName>
    <definedName name="PRINT_TITLES_MI" localSheetId="12">#REF!</definedName>
    <definedName name="PRINT_TITLES_MI" localSheetId="53">#REF!</definedName>
    <definedName name="PRINT_TITLES_MI" localSheetId="49">#REF!</definedName>
    <definedName name="PRINT_TITLES_MI" localSheetId="20">#REF!</definedName>
    <definedName name="PRINT_TITLES_MI">#REF!</definedName>
    <definedName name="PRINT1" localSheetId="50">#REF!</definedName>
    <definedName name="PRINT1" localSheetId="47">#REF!</definedName>
    <definedName name="PRINT1" localSheetId="44">#REF!</definedName>
    <definedName name="PRINT1" localSheetId="45">#REF!</definedName>
    <definedName name="PRINT1" localSheetId="46">#REF!</definedName>
    <definedName name="PRINT1" localSheetId="37">#REF!</definedName>
    <definedName name="PRINT1" localSheetId="40">#REF!</definedName>
    <definedName name="PRINT1" localSheetId="54">#REF!</definedName>
    <definedName name="PRINT1" localSheetId="55">#REF!</definedName>
    <definedName name="PRINT1" localSheetId="52">#REF!</definedName>
    <definedName name="PRINT1" localSheetId="51">#REF!</definedName>
    <definedName name="PRINT1" localSheetId="53">#REF!</definedName>
    <definedName name="PRINT1">#REF!</definedName>
    <definedName name="PRINT2" localSheetId="50">#REF!</definedName>
    <definedName name="PRINT2" localSheetId="47">#REF!</definedName>
    <definedName name="PRINT2" localSheetId="44">#REF!</definedName>
    <definedName name="PRINT2" localSheetId="45">#REF!</definedName>
    <definedName name="PRINT2" localSheetId="46">#REF!</definedName>
    <definedName name="PRINT2" localSheetId="37">#REF!</definedName>
    <definedName name="PRINT2" localSheetId="40">#REF!</definedName>
    <definedName name="PRINT2" localSheetId="54">#REF!</definedName>
    <definedName name="PRINT2" localSheetId="55">#REF!</definedName>
    <definedName name="PRINT2" localSheetId="52">#REF!</definedName>
    <definedName name="PRINT2" localSheetId="51">#REF!</definedName>
    <definedName name="PRINT2" localSheetId="53">#REF!</definedName>
    <definedName name="PRINT2">#REF!</definedName>
    <definedName name="PRINT3" localSheetId="50">#REF!</definedName>
    <definedName name="PRINT3" localSheetId="47">#REF!</definedName>
    <definedName name="PRINT3" localSheetId="44">#REF!</definedName>
    <definedName name="PRINT3" localSheetId="45">#REF!</definedName>
    <definedName name="PRINT3" localSheetId="46">#REF!</definedName>
    <definedName name="PRINT3" localSheetId="37">#REF!</definedName>
    <definedName name="PRINT3" localSheetId="40">#REF!</definedName>
    <definedName name="PRINT3" localSheetId="54">#REF!</definedName>
    <definedName name="PRINT3" localSheetId="55">#REF!</definedName>
    <definedName name="PRINT3" localSheetId="52">#REF!</definedName>
    <definedName name="PRINT3" localSheetId="51">#REF!</definedName>
    <definedName name="PRINT3" localSheetId="53">#REF!</definedName>
    <definedName name="PRINT3">#REF!</definedName>
    <definedName name="PRINT4" localSheetId="50">#REF!</definedName>
    <definedName name="PRINT4" localSheetId="47">#REF!</definedName>
    <definedName name="PRINT4" localSheetId="44">#REF!</definedName>
    <definedName name="PRINT4" localSheetId="45">#REF!</definedName>
    <definedName name="PRINT4" localSheetId="46">#REF!</definedName>
    <definedName name="PRINT4" localSheetId="37">#REF!</definedName>
    <definedName name="PRINT4" localSheetId="40">#REF!</definedName>
    <definedName name="PRINT4" localSheetId="54">#REF!</definedName>
    <definedName name="PRINT4" localSheetId="55">#REF!</definedName>
    <definedName name="PRINT4" localSheetId="52">#REF!</definedName>
    <definedName name="PRINT4" localSheetId="51">#REF!</definedName>
    <definedName name="PRINT4" localSheetId="53">#REF!</definedName>
    <definedName name="PRINT4">#REF!</definedName>
    <definedName name="PRINT5" localSheetId="50">#REF!</definedName>
    <definedName name="PRINT5" localSheetId="47">#REF!</definedName>
    <definedName name="PRINT5" localSheetId="44">#REF!</definedName>
    <definedName name="PRINT5" localSheetId="45">#REF!</definedName>
    <definedName name="PRINT5" localSheetId="46">#REF!</definedName>
    <definedName name="PRINT5" localSheetId="37">#REF!</definedName>
    <definedName name="PRINT5" localSheetId="40">#REF!</definedName>
    <definedName name="PRINT5" localSheetId="54">#REF!</definedName>
    <definedName name="PRINT5" localSheetId="55">#REF!</definedName>
    <definedName name="PRINT5" localSheetId="52">#REF!</definedName>
    <definedName name="PRINT5" localSheetId="51">#REF!</definedName>
    <definedName name="PRINT5" localSheetId="53">#REF!</definedName>
    <definedName name="PRINT5">#REF!</definedName>
    <definedName name="PRINT6" localSheetId="50">#REF!</definedName>
    <definedName name="PRINT6" localSheetId="47">#REF!</definedName>
    <definedName name="PRINT6" localSheetId="44">#REF!</definedName>
    <definedName name="PRINT6" localSheetId="45">#REF!</definedName>
    <definedName name="PRINT6" localSheetId="46">#REF!</definedName>
    <definedName name="PRINT6" localSheetId="37">#REF!</definedName>
    <definedName name="PRINT6" localSheetId="40">#REF!</definedName>
    <definedName name="PRINT6" localSheetId="54">#REF!</definedName>
    <definedName name="PRINT6" localSheetId="55">#REF!</definedName>
    <definedName name="PRINT6" localSheetId="52">#REF!</definedName>
    <definedName name="PRINT6" localSheetId="51">#REF!</definedName>
    <definedName name="PRINT6" localSheetId="53">#REF!</definedName>
    <definedName name="PRINT6">#REF!</definedName>
    <definedName name="PRINT7" localSheetId="50">#REF!</definedName>
    <definedName name="PRINT7" localSheetId="47">#REF!</definedName>
    <definedName name="PRINT7" localSheetId="44">#REF!</definedName>
    <definedName name="PRINT7" localSheetId="45">#REF!</definedName>
    <definedName name="PRINT7" localSheetId="46">#REF!</definedName>
    <definedName name="PRINT7" localSheetId="37">#REF!</definedName>
    <definedName name="PRINT7" localSheetId="40">#REF!</definedName>
    <definedName name="PRINT7" localSheetId="54">#REF!</definedName>
    <definedName name="PRINT7" localSheetId="55">#REF!</definedName>
    <definedName name="PRINT7" localSheetId="52">#REF!</definedName>
    <definedName name="PRINT7" localSheetId="51">#REF!</definedName>
    <definedName name="PRINT7" localSheetId="53">#REF!</definedName>
    <definedName name="PRINT7">#REF!</definedName>
    <definedName name="PRINTMACRO" localSheetId="50">#REF!</definedName>
    <definedName name="PRINTMACRO" localSheetId="47">#REF!</definedName>
    <definedName name="PRINTMACRO" localSheetId="44">#REF!</definedName>
    <definedName name="PRINTMACRO" localSheetId="45">#REF!</definedName>
    <definedName name="PRINTMACRO" localSheetId="46">#REF!</definedName>
    <definedName name="PRINTMACRO" localSheetId="37">#REF!</definedName>
    <definedName name="PRINTMACRO" localSheetId="40">#REF!</definedName>
    <definedName name="PRINTMACRO" localSheetId="54">#REF!</definedName>
    <definedName name="PRINTMACRO" localSheetId="55">#REF!</definedName>
    <definedName name="PRINTMACRO" localSheetId="52">#REF!</definedName>
    <definedName name="PRINTMACRO" localSheetId="51">#REF!</definedName>
    <definedName name="PRINTMACRO" localSheetId="53">#REF!</definedName>
    <definedName name="PRINTMACRO">#REF!</definedName>
    <definedName name="PrintoutCopies" localSheetId="50">#REF!</definedName>
    <definedName name="PrintoutCopies" localSheetId="47">#REF!</definedName>
    <definedName name="PrintoutCopies" localSheetId="44">#REF!</definedName>
    <definedName name="PrintoutCopies" localSheetId="45">#REF!</definedName>
    <definedName name="PrintoutCopies" localSheetId="46">#REF!</definedName>
    <definedName name="PrintoutCopies" localSheetId="37">#REF!</definedName>
    <definedName name="PrintoutCopies" localSheetId="40">#REF!</definedName>
    <definedName name="PrintoutCopies" localSheetId="54">#REF!</definedName>
    <definedName name="PrintoutCopies" localSheetId="55">#REF!</definedName>
    <definedName name="PrintoutCopies" localSheetId="52">#REF!</definedName>
    <definedName name="PrintoutCopies" localSheetId="51">#REF!</definedName>
    <definedName name="PrintoutCopies" localSheetId="53">#REF!</definedName>
    <definedName name="PrintoutCopies">#REF!</definedName>
    <definedName name="PrintoutPrintDate" localSheetId="50">#REF!</definedName>
    <definedName name="PrintoutPrintDate" localSheetId="47">#REF!</definedName>
    <definedName name="PrintoutPrintDate" localSheetId="44">#REF!</definedName>
    <definedName name="PrintoutPrintDate" localSheetId="45">#REF!</definedName>
    <definedName name="PrintoutPrintDate" localSheetId="46">#REF!</definedName>
    <definedName name="PrintoutPrintDate" localSheetId="37">#REF!</definedName>
    <definedName name="PrintoutPrintDate" localSheetId="40">#REF!</definedName>
    <definedName name="PrintoutPrintDate" localSheetId="54">#REF!</definedName>
    <definedName name="PrintoutPrintDate" localSheetId="55">#REF!</definedName>
    <definedName name="PrintoutPrintDate" localSheetId="52">#REF!</definedName>
    <definedName name="PrintoutPrintDate" localSheetId="51">#REF!</definedName>
    <definedName name="PrintoutPrintDate" localSheetId="53">#REF!</definedName>
    <definedName name="PrintoutPrintDate">#REF!</definedName>
    <definedName name="PrintThis_Links" localSheetId="50">[88]Links!$A$1:$F$33</definedName>
    <definedName name="PrintThis_Links" localSheetId="44">[88]Links!$A$1:$F$33</definedName>
    <definedName name="PrintThis_Links" localSheetId="54">[88]Links!$A$1:$F$33</definedName>
    <definedName name="PrintThis_Links" localSheetId="52">[88]Links!$A$1:$F$33</definedName>
    <definedName name="PrintThis_Links" localSheetId="51">[88]Links!$A$1:$F$33</definedName>
    <definedName name="PrintThis_Links" localSheetId="53">[88]Links!$A$1:$F$33</definedName>
    <definedName name="PrintThis_Links">[89]Links!$A$1:$F$33</definedName>
    <definedName name="Priority" localSheetId="50">#REF!</definedName>
    <definedName name="Priority" localSheetId="47">#REF!</definedName>
    <definedName name="Priority" localSheetId="44">#REF!</definedName>
    <definedName name="Priority" localSheetId="45">#REF!</definedName>
    <definedName name="Priority" localSheetId="46">#REF!</definedName>
    <definedName name="Priority" localSheetId="37">#REF!</definedName>
    <definedName name="Priority" localSheetId="40">#REF!</definedName>
    <definedName name="Priority" localSheetId="54">#REF!</definedName>
    <definedName name="Priority" localSheetId="55">#REF!</definedName>
    <definedName name="Priority" localSheetId="52">#REF!</definedName>
    <definedName name="Priority" localSheetId="51">#REF!</definedName>
    <definedName name="Priority" localSheetId="53">#REF!</definedName>
    <definedName name="Priority">#REF!</definedName>
    <definedName name="PriorityLevels">[131]Lists!$G$2:$G$4</definedName>
    <definedName name="PRIV0" localSheetId="34">[132]ASSUMPTIONS!#REF!</definedName>
    <definedName name="PRIV0" localSheetId="35">[132]ASSUMPTIONS!#REF!</definedName>
    <definedName name="PRIV0" localSheetId="50">[132]ASSUMPTIONS!#REF!</definedName>
    <definedName name="PRIV0" localSheetId="15">[132]ASSUMPTIONS!#REF!</definedName>
    <definedName name="PRIV0" localSheetId="29">[132]ASSUMPTIONS!#REF!</definedName>
    <definedName name="PRIV0" localSheetId="30">[132]ASSUMPTIONS!#REF!</definedName>
    <definedName name="PRIV0" localSheetId="47">[132]ASSUMPTIONS!#REF!</definedName>
    <definedName name="PRIV0" localSheetId="44">[132]ASSUMPTIONS!#REF!</definedName>
    <definedName name="PRIV0" localSheetId="45">[132]ASSUMPTIONS!#REF!</definedName>
    <definedName name="PRIV0" localSheetId="46">[132]ASSUMPTIONS!#REF!</definedName>
    <definedName name="PRIV0" localSheetId="31">[132]ASSUMPTIONS!#REF!</definedName>
    <definedName name="PRIV0" localSheetId="32">[132]ASSUMPTIONS!#REF!</definedName>
    <definedName name="PRIV0" localSheetId="33">[132]ASSUMPTIONS!#REF!</definedName>
    <definedName name="PRIV0" localSheetId="36">[132]ASSUMPTIONS!#REF!</definedName>
    <definedName name="PRIV0" localSheetId="37">[132]ASSUMPTIONS!#REF!</definedName>
    <definedName name="PRIV0" localSheetId="38">[132]ASSUMPTIONS!#REF!</definedName>
    <definedName name="PRIV0" localSheetId="39">[132]ASSUMPTIONS!#REF!</definedName>
    <definedName name="PRIV0" localSheetId="40">[132]ASSUMPTIONS!#REF!</definedName>
    <definedName name="PRIV0" localSheetId="54">[132]ASSUMPTIONS!#REF!</definedName>
    <definedName name="PRIV0" localSheetId="55">[132]ASSUMPTIONS!#REF!</definedName>
    <definedName name="PRIV0" localSheetId="52">[132]ASSUMPTIONS!#REF!</definedName>
    <definedName name="PRIV0" localSheetId="23">[132]ASSUMPTIONS!#REF!</definedName>
    <definedName name="PRIV0" localSheetId="51">[132]ASSUMPTIONS!#REF!</definedName>
    <definedName name="PRIV0" localSheetId="53">[132]ASSUMPTIONS!#REF!</definedName>
    <definedName name="PRIV0" localSheetId="20">[132]ASSUMPTIONS!#REF!</definedName>
    <definedName name="PRIV0">[132]ASSUMPTIONS!#REF!</definedName>
    <definedName name="PRIV00" localSheetId="34">[132]ASSUMPTIONS!#REF!</definedName>
    <definedName name="PRIV00" localSheetId="35">[132]ASSUMPTIONS!#REF!</definedName>
    <definedName name="PRIV00" localSheetId="50">[132]ASSUMPTIONS!#REF!</definedName>
    <definedName name="PRIV00" localSheetId="15">[132]ASSUMPTIONS!#REF!</definedName>
    <definedName name="PRIV00" localSheetId="29">[132]ASSUMPTIONS!#REF!</definedName>
    <definedName name="PRIV00" localSheetId="30">[132]ASSUMPTIONS!#REF!</definedName>
    <definedName name="PRIV00" localSheetId="47">[132]ASSUMPTIONS!#REF!</definedName>
    <definedName name="PRIV00" localSheetId="44">[132]ASSUMPTIONS!#REF!</definedName>
    <definedName name="PRIV00" localSheetId="45">[132]ASSUMPTIONS!#REF!</definedName>
    <definedName name="PRIV00" localSheetId="46">[132]ASSUMPTIONS!#REF!</definedName>
    <definedName name="PRIV00" localSheetId="31">[132]ASSUMPTIONS!#REF!</definedName>
    <definedName name="PRIV00" localSheetId="32">[132]ASSUMPTIONS!#REF!</definedName>
    <definedName name="PRIV00" localSheetId="33">[132]ASSUMPTIONS!#REF!</definedName>
    <definedName name="PRIV00" localSheetId="36">[132]ASSUMPTIONS!#REF!</definedName>
    <definedName name="PRIV00" localSheetId="37">[132]ASSUMPTIONS!#REF!</definedName>
    <definedName name="PRIV00" localSheetId="38">[132]ASSUMPTIONS!#REF!</definedName>
    <definedName name="PRIV00" localSheetId="39">[132]ASSUMPTIONS!#REF!</definedName>
    <definedName name="PRIV00" localSheetId="40">[132]ASSUMPTIONS!#REF!</definedName>
    <definedName name="PRIV00" localSheetId="54">[132]ASSUMPTIONS!#REF!</definedName>
    <definedName name="PRIV00" localSheetId="55">[132]ASSUMPTIONS!#REF!</definedName>
    <definedName name="PRIV00" localSheetId="52">[132]ASSUMPTIONS!#REF!</definedName>
    <definedName name="PRIV00" localSheetId="23">[132]ASSUMPTIONS!#REF!</definedName>
    <definedName name="PRIV00" localSheetId="51">[132]ASSUMPTIONS!#REF!</definedName>
    <definedName name="PRIV00" localSheetId="53">[132]ASSUMPTIONS!#REF!</definedName>
    <definedName name="PRIV00" localSheetId="20">[132]ASSUMPTIONS!#REF!</definedName>
    <definedName name="PRIV00">[132]ASSUMPTIONS!#REF!</definedName>
    <definedName name="priv1" localSheetId="34">#REF!</definedName>
    <definedName name="priv1" localSheetId="35">#REF!</definedName>
    <definedName name="priv1" localSheetId="50">#REF!</definedName>
    <definedName name="priv1" localSheetId="15">#REF!</definedName>
    <definedName name="priv1" localSheetId="29">#REF!</definedName>
    <definedName name="priv1" localSheetId="30">#REF!</definedName>
    <definedName name="priv1" localSheetId="47">#REF!</definedName>
    <definedName name="priv1" localSheetId="44">#REF!</definedName>
    <definedName name="priv1" localSheetId="45">#REF!</definedName>
    <definedName name="priv1" localSheetId="46">#REF!</definedName>
    <definedName name="priv1" localSheetId="31">#REF!</definedName>
    <definedName name="priv1" localSheetId="32">#REF!</definedName>
    <definedName name="priv1" localSheetId="33">#REF!</definedName>
    <definedName name="priv1" localSheetId="36">#REF!</definedName>
    <definedName name="priv1" localSheetId="37">#REF!</definedName>
    <definedName name="priv1" localSheetId="38">#REF!</definedName>
    <definedName name="priv1" localSheetId="39">#REF!</definedName>
    <definedName name="priv1" localSheetId="40">#REF!</definedName>
    <definedName name="priv1" localSheetId="54">#REF!</definedName>
    <definedName name="priv1" localSheetId="55">#REF!</definedName>
    <definedName name="priv1" localSheetId="52">#REF!</definedName>
    <definedName name="priv1" localSheetId="23">#REF!</definedName>
    <definedName name="priv1" localSheetId="51">#REF!</definedName>
    <definedName name="priv1" localSheetId="53">#REF!</definedName>
    <definedName name="priv1" localSheetId="20">#REF!</definedName>
    <definedName name="priv1">#REF!</definedName>
    <definedName name="PRIV11" localSheetId="34">[132]ASSUMPTIONS!#REF!</definedName>
    <definedName name="PRIV11" localSheetId="35">[132]ASSUMPTIONS!#REF!</definedName>
    <definedName name="PRIV11" localSheetId="50">[132]ASSUMPTIONS!#REF!</definedName>
    <definedName name="PRIV11" localSheetId="15">[132]ASSUMPTIONS!#REF!</definedName>
    <definedName name="PRIV11" localSheetId="29">[132]ASSUMPTIONS!#REF!</definedName>
    <definedName name="PRIV11" localSheetId="30">[132]ASSUMPTIONS!#REF!</definedName>
    <definedName name="PRIV11" localSheetId="47">[132]ASSUMPTIONS!#REF!</definedName>
    <definedName name="PRIV11" localSheetId="44">[132]ASSUMPTIONS!#REF!</definedName>
    <definedName name="PRIV11" localSheetId="45">[132]ASSUMPTIONS!#REF!</definedName>
    <definedName name="PRIV11" localSheetId="46">[132]ASSUMPTIONS!#REF!</definedName>
    <definedName name="PRIV11" localSheetId="31">[132]ASSUMPTIONS!#REF!</definedName>
    <definedName name="PRIV11" localSheetId="32">[132]ASSUMPTIONS!#REF!</definedName>
    <definedName name="PRIV11" localSheetId="33">[132]ASSUMPTIONS!#REF!</definedName>
    <definedName name="PRIV11" localSheetId="36">[132]ASSUMPTIONS!#REF!</definedName>
    <definedName name="PRIV11" localSheetId="37">[132]ASSUMPTIONS!#REF!</definedName>
    <definedName name="PRIV11" localSheetId="38">[132]ASSUMPTIONS!#REF!</definedName>
    <definedName name="PRIV11" localSheetId="39">[132]ASSUMPTIONS!#REF!</definedName>
    <definedName name="PRIV11" localSheetId="40">[132]ASSUMPTIONS!#REF!</definedName>
    <definedName name="PRIV11" localSheetId="54">[132]ASSUMPTIONS!#REF!</definedName>
    <definedName name="PRIV11" localSheetId="55">[132]ASSUMPTIONS!#REF!</definedName>
    <definedName name="PRIV11" localSheetId="52">[132]ASSUMPTIONS!#REF!</definedName>
    <definedName name="PRIV11" localSheetId="23">[132]ASSUMPTIONS!#REF!</definedName>
    <definedName name="PRIV11" localSheetId="51">[132]ASSUMPTIONS!#REF!</definedName>
    <definedName name="PRIV11" localSheetId="53">[132]ASSUMPTIONS!#REF!</definedName>
    <definedName name="PRIV11" localSheetId="20">[132]ASSUMPTIONS!#REF!</definedName>
    <definedName name="PRIV11">[132]ASSUMPTIONS!#REF!</definedName>
    <definedName name="priv2" localSheetId="34">#REF!</definedName>
    <definedName name="priv2" localSheetId="35">#REF!</definedName>
    <definedName name="priv2" localSheetId="50">#REF!</definedName>
    <definedName name="priv2" localSheetId="15">#REF!</definedName>
    <definedName name="priv2" localSheetId="29">#REF!</definedName>
    <definedName name="priv2" localSheetId="30">#REF!</definedName>
    <definedName name="priv2" localSheetId="47">#REF!</definedName>
    <definedName name="priv2" localSheetId="44">#REF!</definedName>
    <definedName name="priv2" localSheetId="45">#REF!</definedName>
    <definedName name="priv2" localSheetId="46">#REF!</definedName>
    <definedName name="priv2" localSheetId="31">#REF!</definedName>
    <definedName name="priv2" localSheetId="32">#REF!</definedName>
    <definedName name="priv2" localSheetId="33">#REF!</definedName>
    <definedName name="priv2" localSheetId="36">#REF!</definedName>
    <definedName name="priv2" localSheetId="37">#REF!</definedName>
    <definedName name="priv2" localSheetId="38">#REF!</definedName>
    <definedName name="priv2" localSheetId="39">#REF!</definedName>
    <definedName name="priv2" localSheetId="40">#REF!</definedName>
    <definedName name="priv2" localSheetId="54">#REF!</definedName>
    <definedName name="priv2" localSheetId="55">#REF!</definedName>
    <definedName name="priv2" localSheetId="52">#REF!</definedName>
    <definedName name="priv2" localSheetId="23">#REF!</definedName>
    <definedName name="priv2" localSheetId="51">#REF!</definedName>
    <definedName name="priv2" localSheetId="53">#REF!</definedName>
    <definedName name="priv2" localSheetId="20">#REF!</definedName>
    <definedName name="priv2">#REF!</definedName>
    <definedName name="PRIV22" localSheetId="34">[132]ASSUMPTIONS!#REF!</definedName>
    <definedName name="PRIV22" localSheetId="35">[132]ASSUMPTIONS!#REF!</definedName>
    <definedName name="PRIV22" localSheetId="50">[132]ASSUMPTIONS!#REF!</definedName>
    <definedName name="PRIV22" localSheetId="15">[132]ASSUMPTIONS!#REF!</definedName>
    <definedName name="PRIV22" localSheetId="29">[132]ASSUMPTIONS!#REF!</definedName>
    <definedName name="PRIV22" localSheetId="30">[132]ASSUMPTIONS!#REF!</definedName>
    <definedName name="PRIV22" localSheetId="47">[132]ASSUMPTIONS!#REF!</definedName>
    <definedName name="PRIV22" localSheetId="44">[132]ASSUMPTIONS!#REF!</definedName>
    <definedName name="PRIV22" localSheetId="45">[132]ASSUMPTIONS!#REF!</definedName>
    <definedName name="PRIV22" localSheetId="46">[132]ASSUMPTIONS!#REF!</definedName>
    <definedName name="PRIV22" localSheetId="31">[132]ASSUMPTIONS!#REF!</definedName>
    <definedName name="PRIV22" localSheetId="32">[132]ASSUMPTIONS!#REF!</definedName>
    <definedName name="PRIV22" localSheetId="33">[132]ASSUMPTIONS!#REF!</definedName>
    <definedName name="PRIV22" localSheetId="36">[132]ASSUMPTIONS!#REF!</definedName>
    <definedName name="PRIV22" localSheetId="37">[132]ASSUMPTIONS!#REF!</definedName>
    <definedName name="PRIV22" localSheetId="38">[132]ASSUMPTIONS!#REF!</definedName>
    <definedName name="PRIV22" localSheetId="39">[132]ASSUMPTIONS!#REF!</definedName>
    <definedName name="PRIV22" localSheetId="40">[132]ASSUMPTIONS!#REF!</definedName>
    <definedName name="PRIV22" localSheetId="54">[132]ASSUMPTIONS!#REF!</definedName>
    <definedName name="PRIV22" localSheetId="55">[132]ASSUMPTIONS!#REF!</definedName>
    <definedName name="PRIV22" localSheetId="52">[132]ASSUMPTIONS!#REF!</definedName>
    <definedName name="PRIV22" localSheetId="23">[132]ASSUMPTIONS!#REF!</definedName>
    <definedName name="PRIV22" localSheetId="51">[132]ASSUMPTIONS!#REF!</definedName>
    <definedName name="PRIV22" localSheetId="53">[132]ASSUMPTIONS!#REF!</definedName>
    <definedName name="PRIV22" localSheetId="20">[132]ASSUMPTIONS!#REF!</definedName>
    <definedName name="PRIV22">[132]ASSUMPTIONS!#REF!</definedName>
    <definedName name="PRIV3" localSheetId="34">[132]ASSUMPTIONS!#REF!</definedName>
    <definedName name="PRIV3" localSheetId="35">[132]ASSUMPTIONS!#REF!</definedName>
    <definedName name="PRIV3" localSheetId="50">[132]ASSUMPTIONS!#REF!</definedName>
    <definedName name="PRIV3" localSheetId="15">[132]ASSUMPTIONS!#REF!</definedName>
    <definedName name="PRIV3" localSheetId="29">[132]ASSUMPTIONS!#REF!</definedName>
    <definedName name="PRIV3" localSheetId="30">[132]ASSUMPTIONS!#REF!</definedName>
    <definedName name="PRIV3" localSheetId="47">[132]ASSUMPTIONS!#REF!</definedName>
    <definedName name="PRIV3" localSheetId="44">[132]ASSUMPTIONS!#REF!</definedName>
    <definedName name="PRIV3" localSheetId="45">[132]ASSUMPTIONS!#REF!</definedName>
    <definedName name="PRIV3" localSheetId="46">[132]ASSUMPTIONS!#REF!</definedName>
    <definedName name="PRIV3" localSheetId="31">[132]ASSUMPTIONS!#REF!</definedName>
    <definedName name="PRIV3" localSheetId="32">[132]ASSUMPTIONS!#REF!</definedName>
    <definedName name="PRIV3" localSheetId="33">[132]ASSUMPTIONS!#REF!</definedName>
    <definedName name="PRIV3" localSheetId="36">[132]ASSUMPTIONS!#REF!</definedName>
    <definedName name="PRIV3" localSheetId="37">[132]ASSUMPTIONS!#REF!</definedName>
    <definedName name="PRIV3" localSheetId="38">[132]ASSUMPTIONS!#REF!</definedName>
    <definedName name="PRIV3" localSheetId="39">[132]ASSUMPTIONS!#REF!</definedName>
    <definedName name="PRIV3" localSheetId="40">[132]ASSUMPTIONS!#REF!</definedName>
    <definedName name="PRIV3" localSheetId="54">[132]ASSUMPTIONS!#REF!</definedName>
    <definedName name="PRIV3" localSheetId="55">[132]ASSUMPTIONS!#REF!</definedName>
    <definedName name="PRIV3" localSheetId="52">[132]ASSUMPTIONS!#REF!</definedName>
    <definedName name="PRIV3" localSheetId="23">[132]ASSUMPTIONS!#REF!</definedName>
    <definedName name="PRIV3" localSheetId="51">[132]ASSUMPTIONS!#REF!</definedName>
    <definedName name="PRIV3" localSheetId="53">[132]ASSUMPTIONS!#REF!</definedName>
    <definedName name="PRIV3" localSheetId="20">[132]ASSUMPTIONS!#REF!</definedName>
    <definedName name="PRIV3">[132]ASSUMPTIONS!#REF!</definedName>
    <definedName name="PRIV33" localSheetId="34">[132]ASSUMPTIONS!#REF!</definedName>
    <definedName name="PRIV33" localSheetId="35">[132]ASSUMPTIONS!#REF!</definedName>
    <definedName name="PRIV33" localSheetId="50">[132]ASSUMPTIONS!#REF!</definedName>
    <definedName name="PRIV33" localSheetId="15">[132]ASSUMPTIONS!#REF!</definedName>
    <definedName name="PRIV33" localSheetId="29">[132]ASSUMPTIONS!#REF!</definedName>
    <definedName name="PRIV33" localSheetId="30">[132]ASSUMPTIONS!#REF!</definedName>
    <definedName name="PRIV33" localSheetId="47">[132]ASSUMPTIONS!#REF!</definedName>
    <definedName name="PRIV33" localSheetId="44">[132]ASSUMPTIONS!#REF!</definedName>
    <definedName name="PRIV33" localSheetId="45">[132]ASSUMPTIONS!#REF!</definedName>
    <definedName name="PRIV33" localSheetId="46">[132]ASSUMPTIONS!#REF!</definedName>
    <definedName name="PRIV33" localSheetId="31">[132]ASSUMPTIONS!#REF!</definedName>
    <definedName name="PRIV33" localSheetId="32">[132]ASSUMPTIONS!#REF!</definedName>
    <definedName name="PRIV33" localSheetId="33">[132]ASSUMPTIONS!#REF!</definedName>
    <definedName name="PRIV33" localSheetId="36">[132]ASSUMPTIONS!#REF!</definedName>
    <definedName name="PRIV33" localSheetId="37">[132]ASSUMPTIONS!#REF!</definedName>
    <definedName name="PRIV33" localSheetId="38">[132]ASSUMPTIONS!#REF!</definedName>
    <definedName name="PRIV33" localSheetId="39">[132]ASSUMPTIONS!#REF!</definedName>
    <definedName name="PRIV33" localSheetId="40">[132]ASSUMPTIONS!#REF!</definedName>
    <definedName name="PRIV33" localSheetId="54">[132]ASSUMPTIONS!#REF!</definedName>
    <definedName name="PRIV33" localSheetId="55">[132]ASSUMPTIONS!#REF!</definedName>
    <definedName name="PRIV33" localSheetId="52">[132]ASSUMPTIONS!#REF!</definedName>
    <definedName name="PRIV33" localSheetId="23">[132]ASSUMPTIONS!#REF!</definedName>
    <definedName name="PRIV33" localSheetId="51">[132]ASSUMPTIONS!#REF!</definedName>
    <definedName name="PRIV33" localSheetId="53">[132]ASSUMPTIONS!#REF!</definedName>
    <definedName name="PRIV33" localSheetId="20">[132]ASSUMPTIONS!#REF!</definedName>
    <definedName name="PRIV33">[132]ASSUMPTIONS!#REF!</definedName>
    <definedName name="PRMONTH" localSheetId="50">#REF!</definedName>
    <definedName name="PRMONTH" localSheetId="47">#REF!</definedName>
    <definedName name="PRMONTH" localSheetId="44">#REF!</definedName>
    <definedName name="PRMONTH" localSheetId="45">#REF!</definedName>
    <definedName name="PRMONTH" localSheetId="46">#REF!</definedName>
    <definedName name="PRMONTH" localSheetId="37">#REF!</definedName>
    <definedName name="PRMONTH" localSheetId="40">#REF!</definedName>
    <definedName name="PRMONTH" localSheetId="54">#REF!</definedName>
    <definedName name="PRMONTH" localSheetId="55">#REF!</definedName>
    <definedName name="PRMONTH" localSheetId="52">#REF!</definedName>
    <definedName name="PRMONTH" localSheetId="51">#REF!</definedName>
    <definedName name="PRMONTH" localSheetId="53">#REF!</definedName>
    <definedName name="PRMONTH">#REF!</definedName>
    <definedName name="prn">[78]FSUOUT!$B$2:$V$32</definedName>
    <definedName name="Probability" localSheetId="50">#REF!</definedName>
    <definedName name="Probability" localSheetId="47">#REF!</definedName>
    <definedName name="Probability" localSheetId="44">#REF!</definedName>
    <definedName name="Probability" localSheetId="45">#REF!</definedName>
    <definedName name="Probability" localSheetId="46">#REF!</definedName>
    <definedName name="Probability" localSheetId="37">#REF!</definedName>
    <definedName name="Probability" localSheetId="40">#REF!</definedName>
    <definedName name="Probability" localSheetId="54">#REF!</definedName>
    <definedName name="Probability" localSheetId="55">#REF!</definedName>
    <definedName name="Probability" localSheetId="52">#REF!</definedName>
    <definedName name="Probability" localSheetId="51">#REF!</definedName>
    <definedName name="Probability" localSheetId="53">#REF!</definedName>
    <definedName name="Probability">#REF!</definedName>
    <definedName name="ProbabilityCodes" localSheetId="50">#REF!</definedName>
    <definedName name="ProbabilityCodes" localSheetId="47">#REF!</definedName>
    <definedName name="ProbabilityCodes" localSheetId="44">#REF!</definedName>
    <definedName name="ProbabilityCodes" localSheetId="45">#REF!</definedName>
    <definedName name="ProbabilityCodes" localSheetId="46">#REF!</definedName>
    <definedName name="ProbabilityCodes" localSheetId="37">#REF!</definedName>
    <definedName name="ProbabilityCodes" localSheetId="40">#REF!</definedName>
    <definedName name="ProbabilityCodes" localSheetId="54">#REF!</definedName>
    <definedName name="ProbabilityCodes" localSheetId="55">#REF!</definedName>
    <definedName name="ProbabilityCodes" localSheetId="52">#REF!</definedName>
    <definedName name="ProbabilityCodes" localSheetId="51">#REF!</definedName>
    <definedName name="ProbabilityCodes" localSheetId="53">#REF!</definedName>
    <definedName name="ProbabilityCodes">#REF!</definedName>
    <definedName name="PROD_EXPERT" localSheetId="50">#REF!</definedName>
    <definedName name="PROD_EXPERT" localSheetId="47">#REF!</definedName>
    <definedName name="PROD_EXPERT" localSheetId="44">#REF!</definedName>
    <definedName name="PROD_EXPERT" localSheetId="45">#REF!</definedName>
    <definedName name="PROD_EXPERT" localSheetId="46">#REF!</definedName>
    <definedName name="PROD_EXPERT" localSheetId="37">#REF!</definedName>
    <definedName name="PROD_EXPERT" localSheetId="40">#REF!</definedName>
    <definedName name="PROD_EXPERT" localSheetId="54">#REF!</definedName>
    <definedName name="PROD_EXPERT" localSheetId="55">#REF!</definedName>
    <definedName name="PROD_EXPERT" localSheetId="52">#REF!</definedName>
    <definedName name="PROD_EXPERT" localSheetId="51">#REF!</definedName>
    <definedName name="PROD_EXPERT" localSheetId="53">#REF!</definedName>
    <definedName name="PROD_EXPERT">#REF!</definedName>
    <definedName name="PROD_GREEN" localSheetId="50">#REF!</definedName>
    <definedName name="PROD_GREEN" localSheetId="47">#REF!</definedName>
    <definedName name="PROD_GREEN" localSheetId="44">#REF!</definedName>
    <definedName name="PROD_GREEN" localSheetId="45">#REF!</definedName>
    <definedName name="PROD_GREEN" localSheetId="46">#REF!</definedName>
    <definedName name="PROD_GREEN" localSheetId="37">#REF!</definedName>
    <definedName name="PROD_GREEN" localSheetId="40">#REF!</definedName>
    <definedName name="PROD_GREEN" localSheetId="54">#REF!</definedName>
    <definedName name="PROD_GREEN" localSheetId="55">#REF!</definedName>
    <definedName name="PROD_GREEN" localSheetId="52">#REF!</definedName>
    <definedName name="PROD_GREEN" localSheetId="51">#REF!</definedName>
    <definedName name="PROD_GREEN" localSheetId="53">#REF!</definedName>
    <definedName name="PROD_GREEN">#REF!</definedName>
    <definedName name="ProductFinder" localSheetId="50">#REF!</definedName>
    <definedName name="ProductFinder" localSheetId="47">#REF!</definedName>
    <definedName name="ProductFinder" localSheetId="44">#REF!</definedName>
    <definedName name="ProductFinder" localSheetId="45">#REF!</definedName>
    <definedName name="ProductFinder" localSheetId="46">#REF!</definedName>
    <definedName name="ProductFinder" localSheetId="37">#REF!</definedName>
    <definedName name="ProductFinder" localSheetId="40">#REF!</definedName>
    <definedName name="ProductFinder" localSheetId="54">#REF!</definedName>
    <definedName name="ProductFinder" localSheetId="55">#REF!</definedName>
    <definedName name="ProductFinder" localSheetId="52">#REF!</definedName>
    <definedName name="ProductFinder" localSheetId="51">#REF!</definedName>
    <definedName name="ProductFinder" localSheetId="53">#REF!</definedName>
    <definedName name="ProductFinder">#REF!</definedName>
    <definedName name="Productivity_Factor" localSheetId="50">#REF!</definedName>
    <definedName name="Productivity_Factor" localSheetId="47">#REF!</definedName>
    <definedName name="Productivity_Factor" localSheetId="44">#REF!</definedName>
    <definedName name="Productivity_Factor" localSheetId="45">#REF!</definedName>
    <definedName name="Productivity_Factor" localSheetId="46">#REF!</definedName>
    <definedName name="Productivity_Factor" localSheetId="37">#REF!</definedName>
    <definedName name="Productivity_Factor" localSheetId="40">#REF!</definedName>
    <definedName name="Productivity_Factor" localSheetId="54">#REF!</definedName>
    <definedName name="Productivity_Factor" localSheetId="55">#REF!</definedName>
    <definedName name="Productivity_Factor" localSheetId="52">#REF!</definedName>
    <definedName name="Productivity_Factor" localSheetId="51">#REF!</definedName>
    <definedName name="Productivity_Factor" localSheetId="53">#REF!</definedName>
    <definedName name="Productivity_Factor">#REF!</definedName>
    <definedName name="ProductPage" localSheetId="50">#REF!</definedName>
    <definedName name="ProductPage" localSheetId="47">#REF!</definedName>
    <definedName name="ProductPage" localSheetId="44">#REF!</definedName>
    <definedName name="ProductPage" localSheetId="45">#REF!</definedName>
    <definedName name="ProductPage" localSheetId="46">#REF!</definedName>
    <definedName name="ProductPage" localSheetId="37">#REF!</definedName>
    <definedName name="ProductPage" localSheetId="40">#REF!</definedName>
    <definedName name="ProductPage" localSheetId="54">#REF!</definedName>
    <definedName name="ProductPage" localSheetId="55">#REF!</definedName>
    <definedName name="ProductPage" localSheetId="52">#REF!</definedName>
    <definedName name="ProductPage" localSheetId="51">#REF!</definedName>
    <definedName name="ProductPage" localSheetId="53">#REF!</definedName>
    <definedName name="ProductPage">#REF!</definedName>
    <definedName name="Prog1998" localSheetId="50">'[133]2003'!#REF!</definedName>
    <definedName name="Prog1998" localSheetId="47">'[133]2003'!#REF!</definedName>
    <definedName name="Prog1998" localSheetId="44">'[133]2003'!#REF!</definedName>
    <definedName name="Prog1998" localSheetId="45">'[133]2003'!#REF!</definedName>
    <definedName name="Prog1998" localSheetId="46">'[133]2003'!#REF!</definedName>
    <definedName name="Prog1998" localSheetId="37">'[133]2003'!#REF!</definedName>
    <definedName name="Prog1998" localSheetId="40">'[133]2003'!#REF!</definedName>
    <definedName name="Prog1998" localSheetId="54">'[133]2003'!#REF!</definedName>
    <definedName name="Prog1998" localSheetId="55">'[133]2003'!#REF!</definedName>
    <definedName name="Prog1998" localSheetId="52">'[133]2003'!#REF!</definedName>
    <definedName name="Prog1998" localSheetId="51">'[133]2003'!#REF!</definedName>
    <definedName name="Prog1998" localSheetId="53">'[133]2003'!#REF!</definedName>
    <definedName name="Prog1998">'[133]2003'!#REF!</definedName>
    <definedName name="progra" localSheetId="34">#REF!</definedName>
    <definedName name="progra" localSheetId="35">#REF!</definedName>
    <definedName name="progra" localSheetId="50">#REF!</definedName>
    <definedName name="progra" localSheetId="15">#REF!</definedName>
    <definedName name="progra" localSheetId="29">#REF!</definedName>
    <definedName name="progra" localSheetId="30">#REF!</definedName>
    <definedName name="progra" localSheetId="47">#REF!</definedName>
    <definedName name="progra" localSheetId="44">#REF!</definedName>
    <definedName name="progra" localSheetId="45">#REF!</definedName>
    <definedName name="progra" localSheetId="46">#REF!</definedName>
    <definedName name="progra" localSheetId="31">#REF!</definedName>
    <definedName name="progra" localSheetId="32">#REF!</definedName>
    <definedName name="progra" localSheetId="33">#REF!</definedName>
    <definedName name="progra" localSheetId="36">#REF!</definedName>
    <definedName name="progra" localSheetId="37">#REF!</definedName>
    <definedName name="progra" localSheetId="38">#REF!</definedName>
    <definedName name="progra" localSheetId="39">#REF!</definedName>
    <definedName name="progra" localSheetId="40">#REF!</definedName>
    <definedName name="progra" localSheetId="54">#REF!</definedName>
    <definedName name="progra" localSheetId="55">#REF!</definedName>
    <definedName name="progra" localSheetId="52">#REF!</definedName>
    <definedName name="progra" localSheetId="23">#REF!</definedName>
    <definedName name="progra" localSheetId="51">#REF!</definedName>
    <definedName name="progra" localSheetId="53">#REF!</definedName>
    <definedName name="progra" localSheetId="20">#REF!</definedName>
    <definedName name="progra">#REF!</definedName>
    <definedName name="ProgramPlanIndustry" localSheetId="50">#REF!</definedName>
    <definedName name="ProgramPlanIndustry" localSheetId="47">#REF!</definedName>
    <definedName name="ProgramPlanIndustry" localSheetId="44">#REF!</definedName>
    <definedName name="ProgramPlanIndustry" localSheetId="45">#REF!</definedName>
    <definedName name="ProgramPlanIndustry" localSheetId="46">#REF!</definedName>
    <definedName name="ProgramPlanIndustry" localSheetId="37">#REF!</definedName>
    <definedName name="ProgramPlanIndustry" localSheetId="40">#REF!</definedName>
    <definedName name="ProgramPlanIndustry" localSheetId="54">#REF!</definedName>
    <definedName name="ProgramPlanIndustry" localSheetId="55">#REF!</definedName>
    <definedName name="ProgramPlanIndustry" localSheetId="52">#REF!</definedName>
    <definedName name="ProgramPlanIndustry" localSheetId="51">#REF!</definedName>
    <definedName name="ProgramPlanIndustry" localSheetId="53">#REF!</definedName>
    <definedName name="ProgramPlanIndustry">#REF!</definedName>
    <definedName name="ProgramViewFile" localSheetId="50">#REF!</definedName>
    <definedName name="ProgramViewFile" localSheetId="47">#REF!</definedName>
    <definedName name="ProgramViewFile" localSheetId="44">#REF!</definedName>
    <definedName name="ProgramViewFile" localSheetId="45">#REF!</definedName>
    <definedName name="ProgramViewFile" localSheetId="46">#REF!</definedName>
    <definedName name="ProgramViewFile" localSheetId="37">#REF!</definedName>
    <definedName name="ProgramViewFile" localSheetId="40">#REF!</definedName>
    <definedName name="ProgramViewFile" localSheetId="54">#REF!</definedName>
    <definedName name="ProgramViewFile" localSheetId="55">#REF!</definedName>
    <definedName name="ProgramViewFile" localSheetId="52">#REF!</definedName>
    <definedName name="ProgramViewFile" localSheetId="51">#REF!</definedName>
    <definedName name="ProgramViewFile" localSheetId="53">#REF!</definedName>
    <definedName name="ProgramViewFile">#REF!</definedName>
    <definedName name="ProgramViewRefresh" localSheetId="50">#REF!</definedName>
    <definedName name="ProgramViewRefresh" localSheetId="47">#REF!</definedName>
    <definedName name="ProgramViewRefresh" localSheetId="44">#REF!</definedName>
    <definedName name="ProgramViewRefresh" localSheetId="45">#REF!</definedName>
    <definedName name="ProgramViewRefresh" localSheetId="46">#REF!</definedName>
    <definedName name="ProgramViewRefresh" localSheetId="37">#REF!</definedName>
    <definedName name="ProgramViewRefresh" localSheetId="40">#REF!</definedName>
    <definedName name="ProgramViewRefresh" localSheetId="54">#REF!</definedName>
    <definedName name="ProgramViewRefresh" localSheetId="55">#REF!</definedName>
    <definedName name="ProgramViewRefresh" localSheetId="52">#REF!</definedName>
    <definedName name="ProgramViewRefresh" localSheetId="51">#REF!</definedName>
    <definedName name="ProgramViewRefresh" localSheetId="53">#REF!</definedName>
    <definedName name="ProgramViewRefresh">#REF!</definedName>
    <definedName name="project" localSheetId="50">#REF!</definedName>
    <definedName name="project" localSheetId="47">#REF!</definedName>
    <definedName name="project" localSheetId="44">#REF!</definedName>
    <definedName name="project" localSheetId="45">#REF!</definedName>
    <definedName name="project" localSheetId="46">#REF!</definedName>
    <definedName name="project" localSheetId="37">#REF!</definedName>
    <definedName name="project" localSheetId="40">#REF!</definedName>
    <definedName name="project" localSheetId="54">#REF!</definedName>
    <definedName name="project" localSheetId="55">#REF!</definedName>
    <definedName name="project" localSheetId="52">#REF!</definedName>
    <definedName name="project" localSheetId="51">#REF!</definedName>
    <definedName name="project" localSheetId="53">#REF!</definedName>
    <definedName name="project">#REF!</definedName>
    <definedName name="project_description" localSheetId="50">[38]Instructions!#REF!</definedName>
    <definedName name="project_description" localSheetId="47">[38]Instructions!#REF!</definedName>
    <definedName name="project_description" localSheetId="44">[38]Instructions!#REF!</definedName>
    <definedName name="project_description" localSheetId="45">[38]Instructions!#REF!</definedName>
    <definedName name="project_description" localSheetId="46">[38]Instructions!#REF!</definedName>
    <definedName name="project_description" localSheetId="37">[38]Instructions!#REF!</definedName>
    <definedName name="project_description" localSheetId="40">[38]Instructions!#REF!</definedName>
    <definedName name="project_description" localSheetId="54">[38]Instructions!#REF!</definedName>
    <definedName name="project_description" localSheetId="55">[38]Instructions!#REF!</definedName>
    <definedName name="project_description" localSheetId="52">[38]Instructions!#REF!</definedName>
    <definedName name="project_description" localSheetId="51">[38]Instructions!#REF!</definedName>
    <definedName name="project_description" localSheetId="53">[38]Instructions!#REF!</definedName>
    <definedName name="project_description">[38]Instructions!#REF!</definedName>
    <definedName name="PROJECT_ID">'[55]Header Info'!$B$2</definedName>
    <definedName name="project_manager" localSheetId="50">[38]Instructions!#REF!</definedName>
    <definedName name="project_manager" localSheetId="47">[38]Instructions!#REF!</definedName>
    <definedName name="project_manager" localSheetId="44">[38]Instructions!#REF!</definedName>
    <definedName name="project_manager" localSheetId="45">[38]Instructions!#REF!</definedName>
    <definedName name="project_manager" localSheetId="46">[38]Instructions!#REF!</definedName>
    <definedName name="project_manager" localSheetId="37">[38]Instructions!#REF!</definedName>
    <definedName name="project_manager" localSheetId="40">[38]Instructions!#REF!</definedName>
    <definedName name="project_manager" localSheetId="54">[38]Instructions!#REF!</definedName>
    <definedName name="project_manager" localSheetId="55">[38]Instructions!#REF!</definedName>
    <definedName name="project_manager" localSheetId="52">[38]Instructions!#REF!</definedName>
    <definedName name="project_manager" localSheetId="51">[38]Instructions!#REF!</definedName>
    <definedName name="project_manager" localSheetId="53">[38]Instructions!#REF!</definedName>
    <definedName name="project_manager">[38]Instructions!#REF!</definedName>
    <definedName name="project_name">'[41]Project Overview'!$C$10</definedName>
    <definedName name="project_phase">'[41]Project Overview'!$C$12</definedName>
    <definedName name="project_pid" localSheetId="50">#REF!</definedName>
    <definedName name="project_pid" localSheetId="47">#REF!</definedName>
    <definedName name="project_pid" localSheetId="44">#REF!</definedName>
    <definedName name="project_pid" localSheetId="45">#REF!</definedName>
    <definedName name="project_pid" localSheetId="46">#REF!</definedName>
    <definedName name="project_pid" localSheetId="37">#REF!</definedName>
    <definedName name="project_pid" localSheetId="40">#REF!</definedName>
    <definedName name="project_pid" localSheetId="54">#REF!</definedName>
    <definedName name="project_pid" localSheetId="55">#REF!</definedName>
    <definedName name="project_pid" localSheetId="52">#REF!</definedName>
    <definedName name="project_pid" localSheetId="51">#REF!</definedName>
    <definedName name="project_pid" localSheetId="53">#REF!</definedName>
    <definedName name="project_pid">#REF!</definedName>
    <definedName name="ProjectCode" localSheetId="50">#REF!</definedName>
    <definedName name="ProjectCode" localSheetId="47">#REF!</definedName>
    <definedName name="ProjectCode" localSheetId="44">#REF!</definedName>
    <definedName name="ProjectCode" localSheetId="45">#REF!</definedName>
    <definedName name="ProjectCode" localSheetId="46">#REF!</definedName>
    <definedName name="ProjectCode" localSheetId="37">#REF!</definedName>
    <definedName name="ProjectCode" localSheetId="40">#REF!</definedName>
    <definedName name="ProjectCode" localSheetId="54">#REF!</definedName>
    <definedName name="ProjectCode" localSheetId="55">#REF!</definedName>
    <definedName name="ProjectCode" localSheetId="52">#REF!</definedName>
    <definedName name="ProjectCode" localSheetId="51">#REF!</definedName>
    <definedName name="ProjectCode" localSheetId="53">#REF!</definedName>
    <definedName name="ProjectCode">#REF!</definedName>
    <definedName name="Projected" localSheetId="50">#REF!</definedName>
    <definedName name="Projected" localSheetId="44">#REF!</definedName>
    <definedName name="Projected" localSheetId="54">#REF!</definedName>
    <definedName name="Projected" localSheetId="52">#REF!</definedName>
    <definedName name="Projected" localSheetId="51">#REF!</definedName>
    <definedName name="Projected" localSheetId="53">#REF!</definedName>
    <definedName name="projected">'[134]SEI Review Format'!$Q$11</definedName>
    <definedName name="ProjectRisk" localSheetId="50">#REF!</definedName>
    <definedName name="ProjectRisk" localSheetId="47">#REF!</definedName>
    <definedName name="ProjectRisk" localSheetId="44">#REF!</definedName>
    <definedName name="ProjectRisk" localSheetId="45">#REF!</definedName>
    <definedName name="ProjectRisk" localSheetId="46">#REF!</definedName>
    <definedName name="ProjectRisk" localSheetId="37">#REF!</definedName>
    <definedName name="ProjectRisk" localSheetId="40">#REF!</definedName>
    <definedName name="ProjectRisk" localSheetId="54">#REF!</definedName>
    <definedName name="ProjectRisk" localSheetId="55">#REF!</definedName>
    <definedName name="ProjectRisk" localSheetId="52">#REF!</definedName>
    <definedName name="ProjectRisk" localSheetId="51">#REF!</definedName>
    <definedName name="ProjectRisk" localSheetId="53">#REF!</definedName>
    <definedName name="ProjectRisk">#REF!</definedName>
    <definedName name="Projects" localSheetId="50">#REF!</definedName>
    <definedName name="Projects" localSheetId="47">#REF!</definedName>
    <definedName name="Projects" localSheetId="44">#REF!</definedName>
    <definedName name="Projects" localSheetId="45">#REF!</definedName>
    <definedName name="Projects" localSheetId="46">#REF!</definedName>
    <definedName name="Projects" localSheetId="37">#REF!</definedName>
    <definedName name="Projects" localSheetId="40">#REF!</definedName>
    <definedName name="Projects" localSheetId="54">#REF!</definedName>
    <definedName name="Projects" localSheetId="55">#REF!</definedName>
    <definedName name="Projects" localSheetId="52">#REF!</definedName>
    <definedName name="Projects" localSheetId="51">#REF!</definedName>
    <definedName name="Projects" localSheetId="53">#REF!</definedName>
    <definedName name="Projects">#REF!</definedName>
    <definedName name="Projectsid" localSheetId="50">#REF!</definedName>
    <definedName name="Projectsid" localSheetId="47">#REF!</definedName>
    <definedName name="Projectsid" localSheetId="44">#REF!</definedName>
    <definedName name="Projectsid" localSheetId="45">#REF!</definedName>
    <definedName name="Projectsid" localSheetId="46">#REF!</definedName>
    <definedName name="Projectsid" localSheetId="37">#REF!</definedName>
    <definedName name="Projectsid" localSheetId="40">#REF!</definedName>
    <definedName name="Projectsid" localSheetId="54">#REF!</definedName>
    <definedName name="Projectsid" localSheetId="55">#REF!</definedName>
    <definedName name="Projectsid" localSheetId="52">#REF!</definedName>
    <definedName name="Projectsid" localSheetId="51">#REF!</definedName>
    <definedName name="Projectsid" localSheetId="53">#REF!</definedName>
    <definedName name="Projectsid">#REF!</definedName>
    <definedName name="Projectsid_1" localSheetId="50">#REF!</definedName>
    <definedName name="Projectsid_1" localSheetId="47">#REF!</definedName>
    <definedName name="Projectsid_1" localSheetId="44">#REF!</definedName>
    <definedName name="Projectsid_1" localSheetId="45">#REF!</definedName>
    <definedName name="Projectsid_1" localSheetId="46">#REF!</definedName>
    <definedName name="Projectsid_1" localSheetId="37">#REF!</definedName>
    <definedName name="Projectsid_1" localSheetId="40">#REF!</definedName>
    <definedName name="Projectsid_1" localSheetId="54">#REF!</definedName>
    <definedName name="Projectsid_1" localSheetId="55">#REF!</definedName>
    <definedName name="Projectsid_1" localSheetId="52">#REF!</definedName>
    <definedName name="Projectsid_1" localSheetId="51">#REF!</definedName>
    <definedName name="Projectsid_1" localSheetId="53">#REF!</definedName>
    <definedName name="Projectsid_1">#REF!</definedName>
    <definedName name="Projectsid_2" localSheetId="50">#REF!</definedName>
    <definedName name="Projectsid_2" localSheetId="47">#REF!</definedName>
    <definedName name="Projectsid_2" localSheetId="44">#REF!</definedName>
    <definedName name="Projectsid_2" localSheetId="45">#REF!</definedName>
    <definedName name="Projectsid_2" localSheetId="46">#REF!</definedName>
    <definedName name="Projectsid_2" localSheetId="37">#REF!</definedName>
    <definedName name="Projectsid_2" localSheetId="40">#REF!</definedName>
    <definedName name="Projectsid_2" localSheetId="54">#REF!</definedName>
    <definedName name="Projectsid_2" localSheetId="55">#REF!</definedName>
    <definedName name="Projectsid_2" localSheetId="52">#REF!</definedName>
    <definedName name="Projectsid_2" localSheetId="51">#REF!</definedName>
    <definedName name="Projectsid_2" localSheetId="53">#REF!</definedName>
    <definedName name="Projectsid_2">#REF!</definedName>
    <definedName name="ProjectsTeamDailyRate">[87]Peoplesoft!$V$12</definedName>
    <definedName name="promedio">[135]PROMEDIO!$A$97:$G$121,[135]PROMEDIO!$A$248:$G$272</definedName>
    <definedName name="PRYEAR" localSheetId="50">#REF!</definedName>
    <definedName name="PRYEAR" localSheetId="47">#REF!</definedName>
    <definedName name="PRYEAR" localSheetId="44">#REF!</definedName>
    <definedName name="PRYEAR" localSheetId="45">#REF!</definedName>
    <definedName name="PRYEAR" localSheetId="46">#REF!</definedName>
    <definedName name="PRYEAR" localSheetId="37">#REF!</definedName>
    <definedName name="PRYEAR" localSheetId="40">#REF!</definedName>
    <definedName name="PRYEAR" localSheetId="54">#REF!</definedName>
    <definedName name="PRYEAR" localSheetId="55">#REF!</definedName>
    <definedName name="PRYEAR" localSheetId="52">#REF!</definedName>
    <definedName name="PRYEAR" localSheetId="51">#REF!</definedName>
    <definedName name="PRYEAR" localSheetId="53">#REF!</definedName>
    <definedName name="PRYEAR">#REF!</definedName>
    <definedName name="PS" localSheetId="34">#REF!</definedName>
    <definedName name="PS" localSheetId="35">#REF!</definedName>
    <definedName name="PS" localSheetId="50">#REF!</definedName>
    <definedName name="PS" localSheetId="15">#REF!</definedName>
    <definedName name="PS" localSheetId="29">#REF!</definedName>
    <definedName name="PS" localSheetId="30">#REF!</definedName>
    <definedName name="PS" localSheetId="47">#REF!</definedName>
    <definedName name="PS" localSheetId="44">#REF!</definedName>
    <definedName name="PS" localSheetId="45">#REF!</definedName>
    <definedName name="PS" localSheetId="46">#REF!</definedName>
    <definedName name="PS" localSheetId="31">#REF!</definedName>
    <definedName name="PS" localSheetId="32">#REF!</definedName>
    <definedName name="PS" localSheetId="33">#REF!</definedName>
    <definedName name="PS" localSheetId="36">#REF!</definedName>
    <definedName name="PS" localSheetId="37">#REF!</definedName>
    <definedName name="PS" localSheetId="38">#REF!</definedName>
    <definedName name="PS" localSheetId="39">#REF!</definedName>
    <definedName name="PS" localSheetId="40">#REF!</definedName>
    <definedName name="PS" localSheetId="54">#REF!</definedName>
    <definedName name="PS" localSheetId="55">#REF!</definedName>
    <definedName name="PS" localSheetId="52">#REF!</definedName>
    <definedName name="PS" localSheetId="23">#REF!</definedName>
    <definedName name="PS" localSheetId="51">#REF!</definedName>
    <definedName name="PS" localSheetId="53">#REF!</definedName>
    <definedName name="PS" localSheetId="20">#REF!</definedName>
    <definedName name="PS">#REF!</definedName>
    <definedName name="PSCheckCurrentTeam" localSheetId="50">#REF!</definedName>
    <definedName name="PSCheckCurrentTeam" localSheetId="47">#REF!</definedName>
    <definedName name="PSCheckCurrentTeam" localSheetId="44">#REF!</definedName>
    <definedName name="PSCheckCurrentTeam" localSheetId="45">#REF!</definedName>
    <definedName name="PSCheckCurrentTeam" localSheetId="46">#REF!</definedName>
    <definedName name="PSCheckCurrentTeam" localSheetId="37">#REF!</definedName>
    <definedName name="PSCheckCurrentTeam" localSheetId="40">#REF!</definedName>
    <definedName name="PSCheckCurrentTeam" localSheetId="54">#REF!</definedName>
    <definedName name="PSCheckCurrentTeam" localSheetId="55">#REF!</definedName>
    <definedName name="PSCheckCurrentTeam" localSheetId="52">#REF!</definedName>
    <definedName name="PSCheckCurrentTeam" localSheetId="51">#REF!</definedName>
    <definedName name="PSCheckCurrentTeam" localSheetId="53">#REF!</definedName>
    <definedName name="PSCheckCurrentTeam">#REF!</definedName>
    <definedName name="PSClear" localSheetId="50">#REF!</definedName>
    <definedName name="PSClear" localSheetId="47">#REF!</definedName>
    <definedName name="PSClear" localSheetId="44">#REF!</definedName>
    <definedName name="PSClear" localSheetId="45">#REF!</definedName>
    <definedName name="PSClear" localSheetId="46">#REF!</definedName>
    <definedName name="PSClear" localSheetId="37">#REF!</definedName>
    <definedName name="PSClear" localSheetId="40">#REF!</definedName>
    <definedName name="PSClear" localSheetId="54">#REF!</definedName>
    <definedName name="PSClear" localSheetId="55">#REF!</definedName>
    <definedName name="PSClear" localSheetId="52">#REF!</definedName>
    <definedName name="PSClear" localSheetId="51">#REF!</definedName>
    <definedName name="PSClear" localSheetId="53">#REF!</definedName>
    <definedName name="PSClear">#REF!</definedName>
    <definedName name="PSGeography" localSheetId="50">#REF!</definedName>
    <definedName name="PSGeography" localSheetId="47">#REF!</definedName>
    <definedName name="PSGeography" localSheetId="44">#REF!</definedName>
    <definedName name="PSGeography" localSheetId="45">#REF!</definedName>
    <definedName name="PSGeography" localSheetId="46">#REF!</definedName>
    <definedName name="PSGeography" localSheetId="37">#REF!</definedName>
    <definedName name="PSGeography" localSheetId="40">#REF!</definedName>
    <definedName name="PSGeography" localSheetId="54">#REF!</definedName>
    <definedName name="PSGeography" localSheetId="55">#REF!</definedName>
    <definedName name="PSGeography" localSheetId="52">#REF!</definedName>
    <definedName name="PSGeography" localSheetId="51">#REF!</definedName>
    <definedName name="PSGeography" localSheetId="53">#REF!</definedName>
    <definedName name="PSGeography">#REF!</definedName>
    <definedName name="PSManagerName" localSheetId="50">#REF!</definedName>
    <definedName name="PSManagerName" localSheetId="47">#REF!</definedName>
    <definedName name="PSManagerName" localSheetId="44">#REF!</definedName>
    <definedName name="PSManagerName" localSheetId="45">#REF!</definedName>
    <definedName name="PSManagerName" localSheetId="46">#REF!</definedName>
    <definedName name="PSManagerName" localSheetId="37">#REF!</definedName>
    <definedName name="PSManagerName" localSheetId="40">#REF!</definedName>
    <definedName name="PSManagerName" localSheetId="54">#REF!</definedName>
    <definedName name="PSManagerName" localSheetId="55">#REF!</definedName>
    <definedName name="PSManagerName" localSheetId="52">#REF!</definedName>
    <definedName name="PSManagerName" localSheetId="51">#REF!</definedName>
    <definedName name="PSManagerName" localSheetId="53">#REF!</definedName>
    <definedName name="PSManagerName">#REF!</definedName>
    <definedName name="PSName" localSheetId="50">#REF!</definedName>
    <definedName name="PSName" localSheetId="47">#REF!</definedName>
    <definedName name="PSName" localSheetId="44">#REF!</definedName>
    <definedName name="PSName" localSheetId="45">#REF!</definedName>
    <definedName name="PSName" localSheetId="46">#REF!</definedName>
    <definedName name="PSName" localSheetId="37">#REF!</definedName>
    <definedName name="PSName" localSheetId="40">#REF!</definedName>
    <definedName name="PSName" localSheetId="54">#REF!</definedName>
    <definedName name="PSName" localSheetId="55">#REF!</definedName>
    <definedName name="PSName" localSheetId="52">#REF!</definedName>
    <definedName name="PSName" localSheetId="51">#REF!</definedName>
    <definedName name="PSName" localSheetId="53">#REF!</definedName>
    <definedName name="PSName">#REF!</definedName>
    <definedName name="PSperc" localSheetId="34">#REF!</definedName>
    <definedName name="PSperc" localSheetId="35">#REF!</definedName>
    <definedName name="PSperc" localSheetId="50">#REF!</definedName>
    <definedName name="PSperc" localSheetId="15">#REF!</definedName>
    <definedName name="PSperc" localSheetId="29">#REF!</definedName>
    <definedName name="PSperc" localSheetId="30">#REF!</definedName>
    <definedName name="PSperc" localSheetId="47">#REF!</definedName>
    <definedName name="PSperc" localSheetId="44">#REF!</definedName>
    <definedName name="PSperc" localSheetId="45">#REF!</definedName>
    <definedName name="PSperc" localSheetId="46">#REF!</definedName>
    <definedName name="PSperc" localSheetId="31">#REF!</definedName>
    <definedName name="PSperc" localSheetId="32">#REF!</definedName>
    <definedName name="PSperc" localSheetId="33">#REF!</definedName>
    <definedName name="PSperc" localSheetId="36">#REF!</definedName>
    <definedName name="PSperc" localSheetId="37">#REF!</definedName>
    <definedName name="PSperc" localSheetId="38">#REF!</definedName>
    <definedName name="PSperc" localSheetId="39">#REF!</definedName>
    <definedName name="PSperc" localSheetId="40">#REF!</definedName>
    <definedName name="PSperc" localSheetId="54">#REF!</definedName>
    <definedName name="PSperc" localSheetId="55">#REF!</definedName>
    <definedName name="PSperc" localSheetId="52">#REF!</definedName>
    <definedName name="PSperc" localSheetId="23">#REF!</definedName>
    <definedName name="PSperc" localSheetId="51">#REF!</definedName>
    <definedName name="PSperc" localSheetId="53">#REF!</definedName>
    <definedName name="PSperc" localSheetId="20">#REF!</definedName>
    <definedName name="PSperc">#REF!</definedName>
    <definedName name="PSReports" localSheetId="50">#REF!</definedName>
    <definedName name="PSReports" localSheetId="47">#REF!</definedName>
    <definedName name="PSReports" localSheetId="44">#REF!</definedName>
    <definedName name="PSReports" localSheetId="45">#REF!</definedName>
    <definedName name="PSReports" localSheetId="46">#REF!</definedName>
    <definedName name="PSReports" localSheetId="37">#REF!</definedName>
    <definedName name="PSReports" localSheetId="40">#REF!</definedName>
    <definedName name="PSReports" localSheetId="54">#REF!</definedName>
    <definedName name="PSReports" localSheetId="55">#REF!</definedName>
    <definedName name="PSReports" localSheetId="52">#REF!</definedName>
    <definedName name="PSReports" localSheetId="51">#REF!</definedName>
    <definedName name="PSReports" localSheetId="53">#REF!</definedName>
    <definedName name="PSReports">#REF!</definedName>
    <definedName name="PSSIZE" localSheetId="50">#REF!</definedName>
    <definedName name="PSSIZE" localSheetId="47">#REF!</definedName>
    <definedName name="PSSIZE" localSheetId="44">#REF!</definedName>
    <definedName name="PSSIZE" localSheetId="45">#REF!</definedName>
    <definedName name="PSSIZE" localSheetId="46">#REF!</definedName>
    <definedName name="PSSIZE" localSheetId="37">#REF!</definedName>
    <definedName name="PSSIZE" localSheetId="40">#REF!</definedName>
    <definedName name="PSSIZE" localSheetId="54">#REF!</definedName>
    <definedName name="PSSIZE" localSheetId="55">#REF!</definedName>
    <definedName name="PSSIZE" localSheetId="52">#REF!</definedName>
    <definedName name="PSSIZE" localSheetId="51">#REF!</definedName>
    <definedName name="PSSIZE" localSheetId="53">#REF!</definedName>
    <definedName name="PSSIZE">#REF!</definedName>
    <definedName name="PSStaffingConfirmed" localSheetId="50">#REF!</definedName>
    <definedName name="PSStaffingConfirmed" localSheetId="47">#REF!</definedName>
    <definedName name="PSStaffingConfirmed" localSheetId="44">#REF!</definedName>
    <definedName name="PSStaffingConfirmed" localSheetId="45">#REF!</definedName>
    <definedName name="PSStaffingConfirmed" localSheetId="46">#REF!</definedName>
    <definedName name="PSStaffingConfirmed" localSheetId="37">#REF!</definedName>
    <definedName name="PSStaffingConfirmed" localSheetId="40">#REF!</definedName>
    <definedName name="PSStaffingConfirmed" localSheetId="54">#REF!</definedName>
    <definedName name="PSStaffingConfirmed" localSheetId="55">#REF!</definedName>
    <definedName name="PSStaffingConfirmed" localSheetId="52">#REF!</definedName>
    <definedName name="PSStaffingConfirmed" localSheetId="51">#REF!</definedName>
    <definedName name="PSStaffingConfirmed" localSheetId="53">#REF!</definedName>
    <definedName name="PSStaffingConfirmed">#REF!</definedName>
    <definedName name="PUBL00" localSheetId="34">[132]ASSUMPTIONS!#REF!</definedName>
    <definedName name="PUBL00" localSheetId="35">[132]ASSUMPTIONS!#REF!</definedName>
    <definedName name="PUBL00" localSheetId="50">[132]ASSUMPTIONS!#REF!</definedName>
    <definedName name="PUBL00" localSheetId="15">[132]ASSUMPTIONS!#REF!</definedName>
    <definedName name="PUBL00" localSheetId="29">[132]ASSUMPTIONS!#REF!</definedName>
    <definedName name="PUBL00" localSheetId="30">[132]ASSUMPTIONS!#REF!</definedName>
    <definedName name="PUBL00" localSheetId="47">[132]ASSUMPTIONS!#REF!</definedName>
    <definedName name="PUBL00" localSheetId="44">[132]ASSUMPTIONS!#REF!</definedName>
    <definedName name="PUBL00" localSheetId="45">[132]ASSUMPTIONS!#REF!</definedName>
    <definedName name="PUBL00" localSheetId="46">[132]ASSUMPTIONS!#REF!</definedName>
    <definedName name="PUBL00" localSheetId="31">[132]ASSUMPTIONS!#REF!</definedName>
    <definedName name="PUBL00" localSheetId="32">[132]ASSUMPTIONS!#REF!</definedName>
    <definedName name="PUBL00" localSheetId="33">[132]ASSUMPTIONS!#REF!</definedName>
    <definedName name="PUBL00" localSheetId="36">[132]ASSUMPTIONS!#REF!</definedName>
    <definedName name="PUBL00" localSheetId="37">[132]ASSUMPTIONS!#REF!</definedName>
    <definedName name="PUBL00" localSheetId="38">[132]ASSUMPTIONS!#REF!</definedName>
    <definedName name="PUBL00" localSheetId="39">[132]ASSUMPTIONS!#REF!</definedName>
    <definedName name="PUBL00" localSheetId="40">[132]ASSUMPTIONS!#REF!</definedName>
    <definedName name="PUBL00" localSheetId="54">[132]ASSUMPTIONS!#REF!</definedName>
    <definedName name="PUBL00" localSheetId="55">[132]ASSUMPTIONS!#REF!</definedName>
    <definedName name="PUBL00" localSheetId="52">[132]ASSUMPTIONS!#REF!</definedName>
    <definedName name="PUBL00" localSheetId="23">[132]ASSUMPTIONS!#REF!</definedName>
    <definedName name="PUBL00" localSheetId="51">[132]ASSUMPTIONS!#REF!</definedName>
    <definedName name="PUBL00" localSheetId="53">[132]ASSUMPTIONS!#REF!</definedName>
    <definedName name="PUBL00" localSheetId="20">[132]ASSUMPTIONS!#REF!</definedName>
    <definedName name="PUBL00">[132]ASSUMPTIONS!#REF!</definedName>
    <definedName name="PUBL11" localSheetId="34">[132]ASSUMPTIONS!#REF!</definedName>
    <definedName name="PUBL11" localSheetId="35">[132]ASSUMPTIONS!#REF!</definedName>
    <definedName name="PUBL11" localSheetId="50">[132]ASSUMPTIONS!#REF!</definedName>
    <definedName name="PUBL11" localSheetId="15">[132]ASSUMPTIONS!#REF!</definedName>
    <definedName name="PUBL11" localSheetId="29">[132]ASSUMPTIONS!#REF!</definedName>
    <definedName name="PUBL11" localSheetId="30">[132]ASSUMPTIONS!#REF!</definedName>
    <definedName name="PUBL11" localSheetId="47">[132]ASSUMPTIONS!#REF!</definedName>
    <definedName name="PUBL11" localSheetId="44">[132]ASSUMPTIONS!#REF!</definedName>
    <definedName name="PUBL11" localSheetId="45">[132]ASSUMPTIONS!#REF!</definedName>
    <definedName name="PUBL11" localSheetId="46">[132]ASSUMPTIONS!#REF!</definedName>
    <definedName name="PUBL11" localSheetId="31">[132]ASSUMPTIONS!#REF!</definedName>
    <definedName name="PUBL11" localSheetId="32">[132]ASSUMPTIONS!#REF!</definedName>
    <definedName name="PUBL11" localSheetId="33">[132]ASSUMPTIONS!#REF!</definedName>
    <definedName name="PUBL11" localSheetId="36">[132]ASSUMPTIONS!#REF!</definedName>
    <definedName name="PUBL11" localSheetId="37">[132]ASSUMPTIONS!#REF!</definedName>
    <definedName name="PUBL11" localSheetId="38">[132]ASSUMPTIONS!#REF!</definedName>
    <definedName name="PUBL11" localSheetId="39">[132]ASSUMPTIONS!#REF!</definedName>
    <definedName name="PUBL11" localSheetId="40">[132]ASSUMPTIONS!#REF!</definedName>
    <definedName name="PUBL11" localSheetId="54">[132]ASSUMPTIONS!#REF!</definedName>
    <definedName name="PUBL11" localSheetId="55">[132]ASSUMPTIONS!#REF!</definedName>
    <definedName name="PUBL11" localSheetId="52">[132]ASSUMPTIONS!#REF!</definedName>
    <definedName name="PUBL11" localSheetId="23">[132]ASSUMPTIONS!#REF!</definedName>
    <definedName name="PUBL11" localSheetId="51">[132]ASSUMPTIONS!#REF!</definedName>
    <definedName name="PUBL11" localSheetId="53">[132]ASSUMPTIONS!#REF!</definedName>
    <definedName name="PUBL11" localSheetId="20">[132]ASSUMPTIONS!#REF!</definedName>
    <definedName name="PUBL11">[132]ASSUMPTIONS!#REF!</definedName>
    <definedName name="PUBL2" localSheetId="34">[132]ASSUMPTIONS!#REF!</definedName>
    <definedName name="PUBL2" localSheetId="35">[132]ASSUMPTIONS!#REF!</definedName>
    <definedName name="PUBL2" localSheetId="50">[132]ASSUMPTIONS!#REF!</definedName>
    <definedName name="PUBL2" localSheetId="15">[132]ASSUMPTIONS!#REF!</definedName>
    <definedName name="PUBL2" localSheetId="29">[132]ASSUMPTIONS!#REF!</definedName>
    <definedName name="PUBL2" localSheetId="30">[132]ASSUMPTIONS!#REF!</definedName>
    <definedName name="PUBL2" localSheetId="47">[132]ASSUMPTIONS!#REF!</definedName>
    <definedName name="PUBL2" localSheetId="44">[132]ASSUMPTIONS!#REF!</definedName>
    <definedName name="PUBL2" localSheetId="45">[132]ASSUMPTIONS!#REF!</definedName>
    <definedName name="PUBL2" localSheetId="46">[132]ASSUMPTIONS!#REF!</definedName>
    <definedName name="PUBL2" localSheetId="31">[132]ASSUMPTIONS!#REF!</definedName>
    <definedName name="PUBL2" localSheetId="32">[132]ASSUMPTIONS!#REF!</definedName>
    <definedName name="PUBL2" localSheetId="33">[132]ASSUMPTIONS!#REF!</definedName>
    <definedName name="PUBL2" localSheetId="36">[132]ASSUMPTIONS!#REF!</definedName>
    <definedName name="PUBL2" localSheetId="37">[132]ASSUMPTIONS!#REF!</definedName>
    <definedName name="PUBL2" localSheetId="38">[132]ASSUMPTIONS!#REF!</definedName>
    <definedName name="PUBL2" localSheetId="39">[132]ASSUMPTIONS!#REF!</definedName>
    <definedName name="PUBL2" localSheetId="40">[132]ASSUMPTIONS!#REF!</definedName>
    <definedName name="PUBL2" localSheetId="54">[132]ASSUMPTIONS!#REF!</definedName>
    <definedName name="PUBL2" localSheetId="55">[132]ASSUMPTIONS!#REF!</definedName>
    <definedName name="PUBL2" localSheetId="52">[132]ASSUMPTIONS!#REF!</definedName>
    <definedName name="PUBL2" localSheetId="23">[132]ASSUMPTIONS!#REF!</definedName>
    <definedName name="PUBL2" localSheetId="51">[132]ASSUMPTIONS!#REF!</definedName>
    <definedName name="PUBL2" localSheetId="53">[132]ASSUMPTIONS!#REF!</definedName>
    <definedName name="PUBL2" localSheetId="20">[132]ASSUMPTIONS!#REF!</definedName>
    <definedName name="PUBL2">[132]ASSUMPTIONS!#REF!</definedName>
    <definedName name="PUBL22" localSheetId="34">[132]ASSUMPTIONS!#REF!</definedName>
    <definedName name="PUBL22" localSheetId="35">[132]ASSUMPTIONS!#REF!</definedName>
    <definedName name="PUBL22" localSheetId="50">[132]ASSUMPTIONS!#REF!</definedName>
    <definedName name="PUBL22" localSheetId="15">[132]ASSUMPTIONS!#REF!</definedName>
    <definedName name="PUBL22" localSheetId="29">[132]ASSUMPTIONS!#REF!</definedName>
    <definedName name="PUBL22" localSheetId="30">[132]ASSUMPTIONS!#REF!</definedName>
    <definedName name="PUBL22" localSheetId="47">[132]ASSUMPTIONS!#REF!</definedName>
    <definedName name="PUBL22" localSheetId="44">[132]ASSUMPTIONS!#REF!</definedName>
    <definedName name="PUBL22" localSheetId="45">[132]ASSUMPTIONS!#REF!</definedName>
    <definedName name="PUBL22" localSheetId="46">[132]ASSUMPTIONS!#REF!</definedName>
    <definedName name="PUBL22" localSheetId="31">[132]ASSUMPTIONS!#REF!</definedName>
    <definedName name="PUBL22" localSheetId="32">[132]ASSUMPTIONS!#REF!</definedName>
    <definedName name="PUBL22" localSheetId="33">[132]ASSUMPTIONS!#REF!</definedName>
    <definedName name="PUBL22" localSheetId="36">[132]ASSUMPTIONS!#REF!</definedName>
    <definedName name="PUBL22" localSheetId="37">[132]ASSUMPTIONS!#REF!</definedName>
    <definedName name="PUBL22" localSheetId="38">[132]ASSUMPTIONS!#REF!</definedName>
    <definedName name="PUBL22" localSheetId="39">[132]ASSUMPTIONS!#REF!</definedName>
    <definedName name="PUBL22" localSheetId="40">[132]ASSUMPTIONS!#REF!</definedName>
    <definedName name="PUBL22" localSheetId="54">[132]ASSUMPTIONS!#REF!</definedName>
    <definedName name="PUBL22" localSheetId="55">[132]ASSUMPTIONS!#REF!</definedName>
    <definedName name="PUBL22" localSheetId="52">[132]ASSUMPTIONS!#REF!</definedName>
    <definedName name="PUBL22" localSheetId="23">[132]ASSUMPTIONS!#REF!</definedName>
    <definedName name="PUBL22" localSheetId="51">[132]ASSUMPTIONS!#REF!</definedName>
    <definedName name="PUBL22" localSheetId="53">[132]ASSUMPTIONS!#REF!</definedName>
    <definedName name="PUBL22" localSheetId="20">[132]ASSUMPTIONS!#REF!</definedName>
    <definedName name="PUBL22">[132]ASSUMPTIONS!#REF!</definedName>
    <definedName name="PUBL33" localSheetId="34">[132]ASSUMPTIONS!#REF!</definedName>
    <definedName name="PUBL33" localSheetId="35">[132]ASSUMPTIONS!#REF!</definedName>
    <definedName name="PUBL33" localSheetId="50">[132]ASSUMPTIONS!#REF!</definedName>
    <definedName name="PUBL33" localSheetId="15">[132]ASSUMPTIONS!#REF!</definedName>
    <definedName name="PUBL33" localSheetId="29">[132]ASSUMPTIONS!#REF!</definedName>
    <definedName name="PUBL33" localSheetId="30">[132]ASSUMPTIONS!#REF!</definedName>
    <definedName name="PUBL33" localSheetId="47">[132]ASSUMPTIONS!#REF!</definedName>
    <definedName name="PUBL33" localSheetId="44">[132]ASSUMPTIONS!#REF!</definedName>
    <definedName name="PUBL33" localSheetId="45">[132]ASSUMPTIONS!#REF!</definedName>
    <definedName name="PUBL33" localSheetId="46">[132]ASSUMPTIONS!#REF!</definedName>
    <definedName name="PUBL33" localSheetId="31">[132]ASSUMPTIONS!#REF!</definedName>
    <definedName name="PUBL33" localSheetId="32">[132]ASSUMPTIONS!#REF!</definedName>
    <definedName name="PUBL33" localSheetId="33">[132]ASSUMPTIONS!#REF!</definedName>
    <definedName name="PUBL33" localSheetId="36">[132]ASSUMPTIONS!#REF!</definedName>
    <definedName name="PUBL33" localSheetId="37">[132]ASSUMPTIONS!#REF!</definedName>
    <definedName name="PUBL33" localSheetId="38">[132]ASSUMPTIONS!#REF!</definedName>
    <definedName name="PUBL33" localSheetId="39">[132]ASSUMPTIONS!#REF!</definedName>
    <definedName name="PUBL33" localSheetId="40">[132]ASSUMPTIONS!#REF!</definedName>
    <definedName name="PUBL33" localSheetId="54">[132]ASSUMPTIONS!#REF!</definedName>
    <definedName name="PUBL33" localSheetId="55">[132]ASSUMPTIONS!#REF!</definedName>
    <definedName name="PUBL33" localSheetId="52">[132]ASSUMPTIONS!#REF!</definedName>
    <definedName name="PUBL33" localSheetId="23">[132]ASSUMPTIONS!#REF!</definedName>
    <definedName name="PUBL33" localSheetId="51">[132]ASSUMPTIONS!#REF!</definedName>
    <definedName name="PUBL33" localSheetId="53">[132]ASSUMPTIONS!#REF!</definedName>
    <definedName name="PUBL33" localSheetId="20">[132]ASSUMPTIONS!#REF!</definedName>
    <definedName name="PUBL33">[132]ASSUMPTIONS!#REF!</definedName>
    <definedName name="PUBL5" localSheetId="34">[132]ASSUMPTIONS!#REF!</definedName>
    <definedName name="PUBL5" localSheetId="35">[132]ASSUMPTIONS!#REF!</definedName>
    <definedName name="PUBL5" localSheetId="50">[132]ASSUMPTIONS!#REF!</definedName>
    <definedName name="PUBL5" localSheetId="15">[132]ASSUMPTIONS!#REF!</definedName>
    <definedName name="PUBL5" localSheetId="29">[132]ASSUMPTIONS!#REF!</definedName>
    <definedName name="PUBL5" localSheetId="30">[132]ASSUMPTIONS!#REF!</definedName>
    <definedName name="PUBL5" localSheetId="47">[132]ASSUMPTIONS!#REF!</definedName>
    <definedName name="PUBL5" localSheetId="44">[132]ASSUMPTIONS!#REF!</definedName>
    <definedName name="PUBL5" localSheetId="45">[132]ASSUMPTIONS!#REF!</definedName>
    <definedName name="PUBL5" localSheetId="46">[132]ASSUMPTIONS!#REF!</definedName>
    <definedName name="PUBL5" localSheetId="31">[132]ASSUMPTIONS!#REF!</definedName>
    <definedName name="PUBL5" localSheetId="32">[132]ASSUMPTIONS!#REF!</definedName>
    <definedName name="PUBL5" localSheetId="33">[132]ASSUMPTIONS!#REF!</definedName>
    <definedName name="PUBL5" localSheetId="36">[132]ASSUMPTIONS!#REF!</definedName>
    <definedName name="PUBL5" localSheetId="37">[132]ASSUMPTIONS!#REF!</definedName>
    <definedName name="PUBL5" localSheetId="38">[132]ASSUMPTIONS!#REF!</definedName>
    <definedName name="PUBL5" localSheetId="39">[132]ASSUMPTIONS!#REF!</definedName>
    <definedName name="PUBL5" localSheetId="40">[132]ASSUMPTIONS!#REF!</definedName>
    <definedName name="PUBL5" localSheetId="54">[132]ASSUMPTIONS!#REF!</definedName>
    <definedName name="PUBL5" localSheetId="55">[132]ASSUMPTIONS!#REF!</definedName>
    <definedName name="PUBL5" localSheetId="52">[132]ASSUMPTIONS!#REF!</definedName>
    <definedName name="PUBL5" localSheetId="23">[132]ASSUMPTIONS!#REF!</definedName>
    <definedName name="PUBL5" localSheetId="51">[132]ASSUMPTIONS!#REF!</definedName>
    <definedName name="PUBL5" localSheetId="53">[132]ASSUMPTIONS!#REF!</definedName>
    <definedName name="PUBL5" localSheetId="20">[132]ASSUMPTIONS!#REF!</definedName>
    <definedName name="PUBL5">[132]ASSUMPTIONS!#REF!</definedName>
    <definedName name="PUBL55" localSheetId="34">[132]ASSUMPTIONS!#REF!</definedName>
    <definedName name="PUBL55" localSheetId="35">[132]ASSUMPTIONS!#REF!</definedName>
    <definedName name="PUBL55" localSheetId="50">[132]ASSUMPTIONS!#REF!</definedName>
    <definedName name="PUBL55" localSheetId="15">[132]ASSUMPTIONS!#REF!</definedName>
    <definedName name="PUBL55" localSheetId="29">[132]ASSUMPTIONS!#REF!</definedName>
    <definedName name="PUBL55" localSheetId="30">[132]ASSUMPTIONS!#REF!</definedName>
    <definedName name="PUBL55" localSheetId="47">[132]ASSUMPTIONS!#REF!</definedName>
    <definedName name="PUBL55" localSheetId="44">[132]ASSUMPTIONS!#REF!</definedName>
    <definedName name="PUBL55" localSheetId="45">[132]ASSUMPTIONS!#REF!</definedName>
    <definedName name="PUBL55" localSheetId="46">[132]ASSUMPTIONS!#REF!</definedName>
    <definedName name="PUBL55" localSheetId="31">[132]ASSUMPTIONS!#REF!</definedName>
    <definedName name="PUBL55" localSheetId="32">[132]ASSUMPTIONS!#REF!</definedName>
    <definedName name="PUBL55" localSheetId="33">[132]ASSUMPTIONS!#REF!</definedName>
    <definedName name="PUBL55" localSheetId="36">[132]ASSUMPTIONS!#REF!</definedName>
    <definedName name="PUBL55" localSheetId="37">[132]ASSUMPTIONS!#REF!</definedName>
    <definedName name="PUBL55" localSheetId="38">[132]ASSUMPTIONS!#REF!</definedName>
    <definedName name="PUBL55" localSheetId="39">[132]ASSUMPTIONS!#REF!</definedName>
    <definedName name="PUBL55" localSheetId="40">[132]ASSUMPTIONS!#REF!</definedName>
    <definedName name="PUBL55" localSheetId="54">[132]ASSUMPTIONS!#REF!</definedName>
    <definedName name="PUBL55" localSheetId="55">[132]ASSUMPTIONS!#REF!</definedName>
    <definedName name="PUBL55" localSheetId="52">[132]ASSUMPTIONS!#REF!</definedName>
    <definedName name="PUBL55" localSheetId="23">[132]ASSUMPTIONS!#REF!</definedName>
    <definedName name="PUBL55" localSheetId="51">[132]ASSUMPTIONS!#REF!</definedName>
    <definedName name="PUBL55" localSheetId="53">[132]ASSUMPTIONS!#REF!</definedName>
    <definedName name="PUBL55" localSheetId="20">[132]ASSUMPTIONS!#REF!</definedName>
    <definedName name="PUBL55">[132]ASSUMPTIONS!#REF!</definedName>
    <definedName name="PUBL6" localSheetId="34">[132]ASSUMPTIONS!#REF!</definedName>
    <definedName name="PUBL6" localSheetId="35">[132]ASSUMPTIONS!#REF!</definedName>
    <definedName name="PUBL6" localSheetId="50">[132]ASSUMPTIONS!#REF!</definedName>
    <definedName name="PUBL6" localSheetId="15">[132]ASSUMPTIONS!#REF!</definedName>
    <definedName name="PUBL6" localSheetId="29">[132]ASSUMPTIONS!#REF!</definedName>
    <definedName name="PUBL6" localSheetId="30">[132]ASSUMPTIONS!#REF!</definedName>
    <definedName name="PUBL6" localSheetId="47">[132]ASSUMPTIONS!#REF!</definedName>
    <definedName name="PUBL6" localSheetId="44">[132]ASSUMPTIONS!#REF!</definedName>
    <definedName name="PUBL6" localSheetId="45">[132]ASSUMPTIONS!#REF!</definedName>
    <definedName name="PUBL6" localSheetId="46">[132]ASSUMPTIONS!#REF!</definedName>
    <definedName name="PUBL6" localSheetId="31">[132]ASSUMPTIONS!#REF!</definedName>
    <definedName name="PUBL6" localSheetId="32">[132]ASSUMPTIONS!#REF!</definedName>
    <definedName name="PUBL6" localSheetId="33">[132]ASSUMPTIONS!#REF!</definedName>
    <definedName name="PUBL6" localSheetId="36">[132]ASSUMPTIONS!#REF!</definedName>
    <definedName name="PUBL6" localSheetId="37">[132]ASSUMPTIONS!#REF!</definedName>
    <definedName name="PUBL6" localSheetId="38">[132]ASSUMPTIONS!#REF!</definedName>
    <definedName name="PUBL6" localSheetId="39">[132]ASSUMPTIONS!#REF!</definedName>
    <definedName name="PUBL6" localSheetId="40">[132]ASSUMPTIONS!#REF!</definedName>
    <definedName name="PUBL6" localSheetId="54">[132]ASSUMPTIONS!#REF!</definedName>
    <definedName name="PUBL6" localSheetId="55">[132]ASSUMPTIONS!#REF!</definedName>
    <definedName name="PUBL6" localSheetId="52">[132]ASSUMPTIONS!#REF!</definedName>
    <definedName name="PUBL6" localSheetId="23">[132]ASSUMPTIONS!#REF!</definedName>
    <definedName name="PUBL6" localSheetId="51">[132]ASSUMPTIONS!#REF!</definedName>
    <definedName name="PUBL6" localSheetId="53">[132]ASSUMPTIONS!#REF!</definedName>
    <definedName name="PUBL6" localSheetId="20">[132]ASSUMPTIONS!#REF!</definedName>
    <definedName name="PUBL6">[132]ASSUMPTIONS!#REF!</definedName>
    <definedName name="PUBL66" localSheetId="34">[132]ASSUMPTIONS!#REF!</definedName>
    <definedName name="PUBL66" localSheetId="35">[132]ASSUMPTIONS!#REF!</definedName>
    <definedName name="PUBL66" localSheetId="50">[132]ASSUMPTIONS!#REF!</definedName>
    <definedName name="PUBL66" localSheetId="15">[132]ASSUMPTIONS!#REF!</definedName>
    <definedName name="PUBL66" localSheetId="29">[132]ASSUMPTIONS!#REF!</definedName>
    <definedName name="PUBL66" localSheetId="30">[132]ASSUMPTIONS!#REF!</definedName>
    <definedName name="PUBL66" localSheetId="47">[132]ASSUMPTIONS!#REF!</definedName>
    <definedName name="PUBL66" localSheetId="44">[132]ASSUMPTIONS!#REF!</definedName>
    <definedName name="PUBL66" localSheetId="45">[132]ASSUMPTIONS!#REF!</definedName>
    <definedName name="PUBL66" localSheetId="46">[132]ASSUMPTIONS!#REF!</definedName>
    <definedName name="PUBL66" localSheetId="31">[132]ASSUMPTIONS!#REF!</definedName>
    <definedName name="PUBL66" localSheetId="32">[132]ASSUMPTIONS!#REF!</definedName>
    <definedName name="PUBL66" localSheetId="33">[132]ASSUMPTIONS!#REF!</definedName>
    <definedName name="PUBL66" localSheetId="36">[132]ASSUMPTIONS!#REF!</definedName>
    <definedName name="PUBL66" localSheetId="37">[132]ASSUMPTIONS!#REF!</definedName>
    <definedName name="PUBL66" localSheetId="38">[132]ASSUMPTIONS!#REF!</definedName>
    <definedName name="PUBL66" localSheetId="39">[132]ASSUMPTIONS!#REF!</definedName>
    <definedName name="PUBL66" localSheetId="40">[132]ASSUMPTIONS!#REF!</definedName>
    <definedName name="PUBL66" localSheetId="54">[132]ASSUMPTIONS!#REF!</definedName>
    <definedName name="PUBL66" localSheetId="55">[132]ASSUMPTIONS!#REF!</definedName>
    <definedName name="PUBL66" localSheetId="52">[132]ASSUMPTIONS!#REF!</definedName>
    <definedName name="PUBL66" localSheetId="23">[132]ASSUMPTIONS!#REF!</definedName>
    <definedName name="PUBL66" localSheetId="51">[132]ASSUMPTIONS!#REF!</definedName>
    <definedName name="PUBL66" localSheetId="53">[132]ASSUMPTIONS!#REF!</definedName>
    <definedName name="PUBL66" localSheetId="20">[132]ASSUMPTIONS!#REF!</definedName>
    <definedName name="PUBL66">[132]ASSUMPTIONS!#REF!</definedName>
    <definedName name="pyg" localSheetId="34">#REF!</definedName>
    <definedName name="pyg" localSheetId="35">#REF!</definedName>
    <definedName name="pyg" localSheetId="50">#REF!</definedName>
    <definedName name="pyg" localSheetId="15">#REF!</definedName>
    <definedName name="pyg" localSheetId="29">#REF!</definedName>
    <definedName name="pyg" localSheetId="30">#REF!</definedName>
    <definedName name="pyg" localSheetId="47">#REF!</definedName>
    <definedName name="pyg" localSheetId="44">#REF!</definedName>
    <definedName name="pyg" localSheetId="45">#REF!</definedName>
    <definedName name="pyg" localSheetId="46">#REF!</definedName>
    <definedName name="pyg" localSheetId="31">#REF!</definedName>
    <definedName name="pyg" localSheetId="32">#REF!</definedName>
    <definedName name="pyg" localSheetId="33">#REF!</definedName>
    <definedName name="pyg" localSheetId="36">#REF!</definedName>
    <definedName name="pyg" localSheetId="37">#REF!</definedName>
    <definedName name="pyg" localSheetId="38">#REF!</definedName>
    <definedName name="pyg" localSheetId="39">#REF!</definedName>
    <definedName name="pyg" localSheetId="40">#REF!</definedName>
    <definedName name="pyg" localSheetId="54">#REF!</definedName>
    <definedName name="pyg" localSheetId="55">#REF!</definedName>
    <definedName name="pyg" localSheetId="52">#REF!</definedName>
    <definedName name="pyg" localSheetId="23">#REF!</definedName>
    <definedName name="pyg" localSheetId="51">#REF!</definedName>
    <definedName name="pyg" localSheetId="53">#REF!</definedName>
    <definedName name="pyg" localSheetId="20">#REF!</definedName>
    <definedName name="pyg">#REF!</definedName>
    <definedName name="PYGCAJA" localSheetId="34">#REF!</definedName>
    <definedName name="PYGCAJA" localSheetId="35">#REF!</definedName>
    <definedName name="PYGCAJA" localSheetId="50">#REF!</definedName>
    <definedName name="PYGCAJA" localSheetId="15">#REF!</definedName>
    <definedName name="PYGCAJA" localSheetId="29">#REF!</definedName>
    <definedName name="PYGCAJA" localSheetId="30">#REF!</definedName>
    <definedName name="PYGCAJA" localSheetId="47">#REF!</definedName>
    <definedName name="PYGCAJA" localSheetId="44">#REF!</definedName>
    <definedName name="PYGCAJA" localSheetId="45">#REF!</definedName>
    <definedName name="PYGCAJA" localSheetId="46">#REF!</definedName>
    <definedName name="PYGCAJA" localSheetId="31">#REF!</definedName>
    <definedName name="PYGCAJA" localSheetId="32">#REF!</definedName>
    <definedName name="PYGCAJA" localSheetId="33">#REF!</definedName>
    <definedName name="PYGCAJA" localSheetId="36">#REF!</definedName>
    <definedName name="PYGCAJA" localSheetId="37">#REF!</definedName>
    <definedName name="PYGCAJA" localSheetId="38">#REF!</definedName>
    <definedName name="PYGCAJA" localSheetId="39">#REF!</definedName>
    <definedName name="PYGCAJA" localSheetId="40">#REF!</definedName>
    <definedName name="PYGCAJA" localSheetId="54">#REF!</definedName>
    <definedName name="PYGCAJA" localSheetId="55">#REF!</definedName>
    <definedName name="PYGCAJA" localSheetId="52">#REF!</definedName>
    <definedName name="PYGCAJA" localSheetId="23">#REF!</definedName>
    <definedName name="PYGCAJA" localSheetId="51">#REF!</definedName>
    <definedName name="PYGCAJA" localSheetId="53">#REF!</definedName>
    <definedName name="PYGCAJA" localSheetId="20">#REF!</definedName>
    <definedName name="PYGCAJA">#REF!</definedName>
    <definedName name="PYGE" localSheetId="34">#REF!</definedName>
    <definedName name="PYGE" localSheetId="35">#REF!</definedName>
    <definedName name="PYGE" localSheetId="50">#REF!</definedName>
    <definedName name="PYGE" localSheetId="15">#REF!</definedName>
    <definedName name="PYGE" localSheetId="29">#REF!</definedName>
    <definedName name="PYGE" localSheetId="30">#REF!</definedName>
    <definedName name="PYGE" localSheetId="47">#REF!</definedName>
    <definedName name="PYGE" localSheetId="44">#REF!</definedName>
    <definedName name="PYGE" localSheetId="45">#REF!</definedName>
    <definedName name="PYGE" localSheetId="46">#REF!</definedName>
    <definedName name="PYGE" localSheetId="31">#REF!</definedName>
    <definedName name="PYGE" localSheetId="32">#REF!</definedName>
    <definedName name="PYGE" localSheetId="33">#REF!</definedName>
    <definedName name="PYGE" localSheetId="36">#REF!</definedName>
    <definedName name="PYGE" localSheetId="37">#REF!</definedName>
    <definedName name="PYGE" localSheetId="38">#REF!</definedName>
    <definedName name="PYGE" localSheetId="39">#REF!</definedName>
    <definedName name="PYGE" localSheetId="40">#REF!</definedName>
    <definedName name="PYGE" localSheetId="54">#REF!</definedName>
    <definedName name="PYGE" localSheetId="55">#REF!</definedName>
    <definedName name="PYGE" localSheetId="52">#REF!</definedName>
    <definedName name="PYGE" localSheetId="23">#REF!</definedName>
    <definedName name="PYGE" localSheetId="51">#REF!</definedName>
    <definedName name="PYGE" localSheetId="53">#REF!</definedName>
    <definedName name="PYGE" localSheetId="20">#REF!</definedName>
    <definedName name="PYGE">#REF!</definedName>
    <definedName name="PYGI" localSheetId="34">#REF!</definedName>
    <definedName name="PYGI" localSheetId="35">#REF!</definedName>
    <definedName name="PYGI" localSheetId="50">#REF!</definedName>
    <definedName name="PYGI" localSheetId="15">#REF!</definedName>
    <definedName name="PYGI" localSheetId="29">#REF!</definedName>
    <definedName name="PYGI" localSheetId="30">#REF!</definedName>
    <definedName name="PYGI" localSheetId="47">#REF!</definedName>
    <definedName name="PYGI" localSheetId="44">#REF!</definedName>
    <definedName name="PYGI" localSheetId="45">#REF!</definedName>
    <definedName name="PYGI" localSheetId="46">#REF!</definedName>
    <definedName name="PYGI" localSheetId="31">#REF!</definedName>
    <definedName name="PYGI" localSheetId="32">#REF!</definedName>
    <definedName name="PYGI" localSheetId="33">#REF!</definedName>
    <definedName name="PYGI" localSheetId="36">#REF!</definedName>
    <definedName name="PYGI" localSheetId="37">#REF!</definedName>
    <definedName name="PYGI" localSheetId="38">#REF!</definedName>
    <definedName name="PYGI" localSheetId="39">#REF!</definedName>
    <definedName name="PYGI" localSheetId="40">#REF!</definedName>
    <definedName name="PYGI" localSheetId="54">#REF!</definedName>
    <definedName name="PYGI" localSheetId="55">#REF!</definedName>
    <definedName name="PYGI" localSheetId="52">#REF!</definedName>
    <definedName name="PYGI" localSheetId="23">#REF!</definedName>
    <definedName name="PYGI" localSheetId="51">#REF!</definedName>
    <definedName name="PYGI" localSheetId="53">#REF!</definedName>
    <definedName name="PYGI" localSheetId="20">#REF!</definedName>
    <definedName name="PYGI">#REF!</definedName>
    <definedName name="pyramid_list">[74]Admin!$G$6:$G$1200</definedName>
    <definedName name="pyramid_query">[74]Admin!$G$6:$O$1500</definedName>
    <definedName name="PyramidAllocation" localSheetId="50">#REF!</definedName>
    <definedName name="PyramidAllocation" localSheetId="47">#REF!</definedName>
    <definedName name="PyramidAllocation" localSheetId="44">#REF!</definedName>
    <definedName name="PyramidAllocation" localSheetId="45">#REF!</definedName>
    <definedName name="PyramidAllocation" localSheetId="46">#REF!</definedName>
    <definedName name="PyramidAllocation" localSheetId="37">#REF!</definedName>
    <definedName name="PyramidAllocation" localSheetId="40">#REF!</definedName>
    <definedName name="PyramidAllocation" localSheetId="54">#REF!</definedName>
    <definedName name="PyramidAllocation" localSheetId="55">#REF!</definedName>
    <definedName name="PyramidAllocation" localSheetId="52">#REF!</definedName>
    <definedName name="PyramidAllocation" localSheetId="51">#REF!</definedName>
    <definedName name="PyramidAllocation" localSheetId="53">#REF!</definedName>
    <definedName name="PyramidAllocation">#REF!</definedName>
    <definedName name="PyramidAllocationDate" localSheetId="50">#REF!</definedName>
    <definedName name="PyramidAllocationDate" localSheetId="47">#REF!</definedName>
    <definedName name="PyramidAllocationDate" localSheetId="44">#REF!</definedName>
    <definedName name="PyramidAllocationDate" localSheetId="45">#REF!</definedName>
    <definedName name="PyramidAllocationDate" localSheetId="46">#REF!</definedName>
    <definedName name="PyramidAllocationDate" localSheetId="37">#REF!</definedName>
    <definedName name="PyramidAllocationDate" localSheetId="40">#REF!</definedName>
    <definedName name="PyramidAllocationDate" localSheetId="54">#REF!</definedName>
    <definedName name="PyramidAllocationDate" localSheetId="55">#REF!</definedName>
    <definedName name="PyramidAllocationDate" localSheetId="52">#REF!</definedName>
    <definedName name="PyramidAllocationDate" localSheetId="51">#REF!</definedName>
    <definedName name="PyramidAllocationDate" localSheetId="53">#REF!</definedName>
    <definedName name="PyramidAllocationDate">#REF!</definedName>
    <definedName name="PyramidCheckCurrentTeam" localSheetId="50">#REF!</definedName>
    <definedName name="PyramidCheckCurrentTeam" localSheetId="47">#REF!</definedName>
    <definedName name="PyramidCheckCurrentTeam" localSheetId="44">#REF!</definedName>
    <definedName name="PyramidCheckCurrentTeam" localSheetId="45">#REF!</definedName>
    <definedName name="PyramidCheckCurrentTeam" localSheetId="46">#REF!</definedName>
    <definedName name="PyramidCheckCurrentTeam" localSheetId="37">#REF!</definedName>
    <definedName name="PyramidCheckCurrentTeam" localSheetId="40">#REF!</definedName>
    <definedName name="PyramidCheckCurrentTeam" localSheetId="54">#REF!</definedName>
    <definedName name="PyramidCheckCurrentTeam" localSheetId="55">#REF!</definedName>
    <definedName name="PyramidCheckCurrentTeam" localSheetId="52">#REF!</definedName>
    <definedName name="PyramidCheckCurrentTeam" localSheetId="51">#REF!</definedName>
    <definedName name="PyramidCheckCurrentTeam" localSheetId="53">#REF!</definedName>
    <definedName name="PyramidCheckCurrentTeam">#REF!</definedName>
    <definedName name="PyramidClear" localSheetId="50">#REF!</definedName>
    <definedName name="PyramidClear" localSheetId="47">#REF!</definedName>
    <definedName name="PyramidClear" localSheetId="44">#REF!</definedName>
    <definedName name="PyramidClear" localSheetId="45">#REF!</definedName>
    <definedName name="PyramidClear" localSheetId="46">#REF!</definedName>
    <definedName name="PyramidClear" localSheetId="37">#REF!</definedName>
    <definedName name="PyramidClear" localSheetId="40">#REF!</definedName>
    <definedName name="PyramidClear" localSheetId="54">#REF!</definedName>
    <definedName name="PyramidClear" localSheetId="55">#REF!</definedName>
    <definedName name="PyramidClear" localSheetId="52">#REF!</definedName>
    <definedName name="PyramidClear" localSheetId="51">#REF!</definedName>
    <definedName name="PyramidClear" localSheetId="53">#REF!</definedName>
    <definedName name="PyramidClear">#REF!</definedName>
    <definedName name="PyramidName" localSheetId="50">#REF!</definedName>
    <definedName name="PyramidName" localSheetId="47">#REF!</definedName>
    <definedName name="PyramidName" localSheetId="44">#REF!</definedName>
    <definedName name="PyramidName" localSheetId="45">#REF!</definedName>
    <definedName name="PyramidName" localSheetId="46">#REF!</definedName>
    <definedName name="PyramidName" localSheetId="37">#REF!</definedName>
    <definedName name="PyramidName" localSheetId="40">#REF!</definedName>
    <definedName name="PyramidName" localSheetId="54">#REF!</definedName>
    <definedName name="PyramidName" localSheetId="55">#REF!</definedName>
    <definedName name="PyramidName" localSheetId="52">#REF!</definedName>
    <definedName name="PyramidName" localSheetId="51">#REF!</definedName>
    <definedName name="PyramidName" localSheetId="53">#REF!</definedName>
    <definedName name="PyramidName">#REF!</definedName>
    <definedName name="PyramidProjectName" localSheetId="50">#REF!</definedName>
    <definedName name="PyramidProjectName" localSheetId="47">#REF!</definedName>
    <definedName name="PyramidProjectName" localSheetId="44">#REF!</definedName>
    <definedName name="PyramidProjectName" localSheetId="45">#REF!</definedName>
    <definedName name="PyramidProjectName" localSheetId="46">#REF!</definedName>
    <definedName name="PyramidProjectName" localSheetId="37">#REF!</definedName>
    <definedName name="PyramidProjectName" localSheetId="40">#REF!</definedName>
    <definedName name="PyramidProjectName" localSheetId="54">#REF!</definedName>
    <definedName name="PyramidProjectName" localSheetId="55">#REF!</definedName>
    <definedName name="PyramidProjectName" localSheetId="52">#REF!</definedName>
    <definedName name="PyramidProjectName" localSheetId="51">#REF!</definedName>
    <definedName name="PyramidProjectName" localSheetId="53">#REF!</definedName>
    <definedName name="PyramidProjectName">#REF!</definedName>
    <definedName name="Q_5" localSheetId="50">#REF!</definedName>
    <definedName name="Q_5" localSheetId="47">#REF!</definedName>
    <definedName name="Q_5" localSheetId="44">#REF!</definedName>
    <definedName name="Q_5" localSheetId="45">#REF!</definedName>
    <definedName name="Q_5" localSheetId="46">#REF!</definedName>
    <definedName name="Q_5" localSheetId="37">#REF!</definedName>
    <definedName name="Q_5" localSheetId="40">#REF!</definedName>
    <definedName name="Q_5" localSheetId="54">#REF!</definedName>
    <definedName name="Q_5" localSheetId="55">#REF!</definedName>
    <definedName name="Q_5" localSheetId="52">#REF!</definedName>
    <definedName name="Q_5" localSheetId="51">#REF!</definedName>
    <definedName name="Q_5" localSheetId="53">#REF!</definedName>
    <definedName name="Q_5">#REF!</definedName>
    <definedName name="Q_6" localSheetId="50">#REF!</definedName>
    <definedName name="Q_6" localSheetId="47">#REF!</definedName>
    <definedName name="Q_6" localSheetId="44">#REF!</definedName>
    <definedName name="Q_6" localSheetId="45">#REF!</definedName>
    <definedName name="Q_6" localSheetId="46">#REF!</definedName>
    <definedName name="Q_6" localSheetId="37">#REF!</definedName>
    <definedName name="Q_6" localSheetId="40">#REF!</definedName>
    <definedName name="Q_6" localSheetId="54">#REF!</definedName>
    <definedName name="Q_6" localSheetId="55">#REF!</definedName>
    <definedName name="Q_6" localSheetId="52">#REF!</definedName>
    <definedName name="Q_6" localSheetId="51">#REF!</definedName>
    <definedName name="Q_6" localSheetId="53">#REF!</definedName>
    <definedName name="Q_6">#REF!</definedName>
    <definedName name="Q_7" localSheetId="50">#REF!</definedName>
    <definedName name="Q_7" localSheetId="47">#REF!</definedName>
    <definedName name="Q_7" localSheetId="44">#REF!</definedName>
    <definedName name="Q_7" localSheetId="45">#REF!</definedName>
    <definedName name="Q_7" localSheetId="46">#REF!</definedName>
    <definedName name="Q_7" localSheetId="37">#REF!</definedName>
    <definedName name="Q_7" localSheetId="40">#REF!</definedName>
    <definedName name="Q_7" localSheetId="54">#REF!</definedName>
    <definedName name="Q_7" localSheetId="55">#REF!</definedName>
    <definedName name="Q_7" localSheetId="52">#REF!</definedName>
    <definedName name="Q_7" localSheetId="51">#REF!</definedName>
    <definedName name="Q_7" localSheetId="53">#REF!</definedName>
    <definedName name="Q_7">#REF!</definedName>
    <definedName name="Q6_" localSheetId="34">#REF!</definedName>
    <definedName name="Q6_" localSheetId="35">#REF!</definedName>
    <definedName name="Q6_" localSheetId="50">#REF!</definedName>
    <definedName name="Q6_" localSheetId="15">#REF!</definedName>
    <definedName name="Q6_" localSheetId="29">#REF!</definedName>
    <definedName name="Q6_" localSheetId="30">#REF!</definedName>
    <definedName name="Q6_" localSheetId="47">#REF!</definedName>
    <definedName name="Q6_" localSheetId="44">#REF!</definedName>
    <definedName name="Q6_" localSheetId="45">#REF!</definedName>
    <definedName name="Q6_" localSheetId="46">#REF!</definedName>
    <definedName name="Q6_" localSheetId="31">#REF!</definedName>
    <definedName name="Q6_" localSheetId="32">#REF!</definedName>
    <definedName name="Q6_" localSheetId="33">#REF!</definedName>
    <definedName name="Q6_" localSheetId="36">#REF!</definedName>
    <definedName name="Q6_" localSheetId="37">#REF!</definedName>
    <definedName name="Q6_" localSheetId="38">#REF!</definedName>
    <definedName name="Q6_" localSheetId="39">#REF!</definedName>
    <definedName name="Q6_" localSheetId="40">#REF!</definedName>
    <definedName name="Q6_" localSheetId="54">#REF!</definedName>
    <definedName name="Q6_" localSheetId="55">#REF!</definedName>
    <definedName name="Q6_" localSheetId="52">#REF!</definedName>
    <definedName name="Q6_" localSheetId="23">#REF!</definedName>
    <definedName name="Q6_" localSheetId="51">#REF!</definedName>
    <definedName name="Q6_" localSheetId="53">#REF!</definedName>
    <definedName name="Q6_" localSheetId="20">#REF!</definedName>
    <definedName name="Q6_">#REF!</definedName>
    <definedName name="qaz" localSheetId="58" hidden="1">{"Tab1",#N/A,FALSE,"P";"Tab2",#N/A,FALSE,"P"}</definedName>
    <definedName name="qaz" localSheetId="16" hidden="1">{"Tab1",#N/A,FALSE,"P";"Tab2",#N/A,FALSE,"P"}</definedName>
    <definedName name="qaz" localSheetId="61" hidden="1">{"Tab1",#N/A,FALSE,"P";"Tab2",#N/A,FALSE,"P"}</definedName>
    <definedName name="qaz" localSheetId="62" hidden="1">{"Tab1",#N/A,FALSE,"P";"Tab2",#N/A,FALSE,"P"}</definedName>
    <definedName name="qaz" localSheetId="50" hidden="1">{"Tab1",#N/A,FALSE,"P";"Tab2",#N/A,FALSE,"P"}</definedName>
    <definedName name="qaz" localSheetId="63" hidden="1">{"Tab1",#N/A,FALSE,"P";"Tab2",#N/A,FALSE,"P"}</definedName>
    <definedName name="qaz" localSheetId="15" hidden="1">{"Tab1",#N/A,FALSE,"P";"Tab2",#N/A,FALSE,"P"}</definedName>
    <definedName name="qaz" localSheetId="1" hidden="1">{"Tab1",#N/A,FALSE,"P";"Tab2",#N/A,FALSE,"P"}</definedName>
    <definedName name="qaz" localSheetId="43" hidden="1">{"Tab1",#N/A,FALSE,"P";"Tab2",#N/A,FALSE,"P"}</definedName>
    <definedName name="qaz" localSheetId="29" hidden="1">{"Tab1",#N/A,FALSE,"P";"Tab2",#N/A,FALSE,"P"}</definedName>
    <definedName name="qaz" localSheetId="30" hidden="1">{"Tab1",#N/A,FALSE,"P";"Tab2",#N/A,FALSE,"P"}</definedName>
    <definedName name="qaz" localSheetId="44" hidden="1">{"Tab1",#N/A,FALSE,"P";"Tab2",#N/A,FALSE,"P"}</definedName>
    <definedName name="qaz" localSheetId="59" hidden="1">{"Tab1",#N/A,FALSE,"P";"Tab2",#N/A,FALSE,"P"}</definedName>
    <definedName name="qaz" localSheetId="13" hidden="1">{"Tab1",#N/A,FALSE,"P";"Tab2",#N/A,FALSE,"P"}</definedName>
    <definedName name="qaz" localSheetId="0" hidden="1">{"Tab1",#N/A,FALSE,"P";"Tab2",#N/A,FALSE,"P"}</definedName>
    <definedName name="qaz" localSheetId="57" hidden="1">{"Tab1",#N/A,FALSE,"P";"Tab2",#N/A,FALSE,"P"}</definedName>
    <definedName name="qaz" localSheetId="56" hidden="1">{"Tab1",#N/A,FALSE,"P";"Tab2",#N/A,FALSE,"P"}</definedName>
    <definedName name="qaz" localSheetId="54" hidden="1">{"Tab1",#N/A,FALSE,"P";"Tab2",#N/A,FALSE,"P"}</definedName>
    <definedName name="qaz" localSheetId="52" hidden="1">{"Tab1",#N/A,FALSE,"P";"Tab2",#N/A,FALSE,"P"}</definedName>
    <definedName name="qaz" localSheetId="23" hidden="1">{"Tab1",#N/A,FALSE,"P";"Tab2",#N/A,FALSE,"P"}</definedName>
    <definedName name="qaz" localSheetId="51" hidden="1">{"Tab1",#N/A,FALSE,"P";"Tab2",#N/A,FALSE,"P"}</definedName>
    <definedName name="qaz" localSheetId="53" hidden="1">{"Tab1",#N/A,FALSE,"P";"Tab2",#N/A,FALSE,"P"}</definedName>
    <definedName name="qaz" localSheetId="60" hidden="1">{"Tab1",#N/A,FALSE,"P";"Tab2",#N/A,FALSE,"P"}</definedName>
    <definedName name="qaz" hidden="1">{"Tab1",#N/A,FALSE,"P";"Tab2",#N/A,FALSE,"P"}</definedName>
    <definedName name="qer" localSheetId="58" hidden="1">{"Tab1",#N/A,FALSE,"P";"Tab2",#N/A,FALSE,"P"}</definedName>
    <definedName name="qer" localSheetId="16" hidden="1">{"Tab1",#N/A,FALSE,"P";"Tab2",#N/A,FALSE,"P"}</definedName>
    <definedName name="qer" localSheetId="61" hidden="1">{"Tab1",#N/A,FALSE,"P";"Tab2",#N/A,FALSE,"P"}</definedName>
    <definedName name="qer" localSheetId="62" hidden="1">{"Tab1",#N/A,FALSE,"P";"Tab2",#N/A,FALSE,"P"}</definedName>
    <definedName name="qer" localSheetId="50" hidden="1">{"Tab1",#N/A,FALSE,"P";"Tab2",#N/A,FALSE,"P"}</definedName>
    <definedName name="qer" localSheetId="63" hidden="1">{"Tab1",#N/A,FALSE,"P";"Tab2",#N/A,FALSE,"P"}</definedName>
    <definedName name="qer" localSheetId="15" hidden="1">{"Tab1",#N/A,FALSE,"P";"Tab2",#N/A,FALSE,"P"}</definedName>
    <definedName name="qer" localSheetId="1" hidden="1">{"Tab1",#N/A,FALSE,"P";"Tab2",#N/A,FALSE,"P"}</definedName>
    <definedName name="qer" localSheetId="43" hidden="1">{"Tab1",#N/A,FALSE,"P";"Tab2",#N/A,FALSE,"P"}</definedName>
    <definedName name="qer" localSheetId="29" hidden="1">{"Tab1",#N/A,FALSE,"P";"Tab2",#N/A,FALSE,"P"}</definedName>
    <definedName name="qer" localSheetId="30" hidden="1">{"Tab1",#N/A,FALSE,"P";"Tab2",#N/A,FALSE,"P"}</definedName>
    <definedName name="qer" localSheetId="44" hidden="1">{"Tab1",#N/A,FALSE,"P";"Tab2",#N/A,FALSE,"P"}</definedName>
    <definedName name="qer" localSheetId="59" hidden="1">{"Tab1",#N/A,FALSE,"P";"Tab2",#N/A,FALSE,"P"}</definedName>
    <definedName name="qer" localSheetId="13" hidden="1">{"Tab1",#N/A,FALSE,"P";"Tab2",#N/A,FALSE,"P"}</definedName>
    <definedName name="qer" localSheetId="0" hidden="1">{"Tab1",#N/A,FALSE,"P";"Tab2",#N/A,FALSE,"P"}</definedName>
    <definedName name="qer" localSheetId="57" hidden="1">{"Tab1",#N/A,FALSE,"P";"Tab2",#N/A,FALSE,"P"}</definedName>
    <definedName name="qer" localSheetId="56" hidden="1">{"Tab1",#N/A,FALSE,"P";"Tab2",#N/A,FALSE,"P"}</definedName>
    <definedName name="qer" localSheetId="54" hidden="1">{"Tab1",#N/A,FALSE,"P";"Tab2",#N/A,FALSE,"P"}</definedName>
    <definedName name="qer" localSheetId="52" hidden="1">{"Tab1",#N/A,FALSE,"P";"Tab2",#N/A,FALSE,"P"}</definedName>
    <definedName name="qer" localSheetId="23" hidden="1">{"Tab1",#N/A,FALSE,"P";"Tab2",#N/A,FALSE,"P"}</definedName>
    <definedName name="qer" localSheetId="51" hidden="1">{"Tab1",#N/A,FALSE,"P";"Tab2",#N/A,FALSE,"P"}</definedName>
    <definedName name="qer" localSheetId="53" hidden="1">{"Tab1",#N/A,FALSE,"P";"Tab2",#N/A,FALSE,"P"}</definedName>
    <definedName name="qer" localSheetId="60" hidden="1">{"Tab1",#N/A,FALSE,"P";"Tab2",#N/A,FALSE,"P"}</definedName>
    <definedName name="qer" hidden="1">{"Tab1",#N/A,FALSE,"P";"Tab2",#N/A,FALSE,"P"}</definedName>
    <definedName name="QFISCAL" localSheetId="34">'[30]Quarterly Raw Data'!#REF!</definedName>
    <definedName name="QFISCAL" localSheetId="35">'[30]Quarterly Raw Data'!#REF!</definedName>
    <definedName name="QFISCAL" localSheetId="50">'[136]Quarterly Raw Data'!#REF!</definedName>
    <definedName name="QFISCAL" localSheetId="15">'[30]Quarterly Raw Data'!#REF!</definedName>
    <definedName name="QFISCAL" localSheetId="29">'[30]Quarterly Raw Data'!#REF!</definedName>
    <definedName name="QFISCAL" localSheetId="30">'[30]Quarterly Raw Data'!#REF!</definedName>
    <definedName name="QFISCAL" localSheetId="47">'[30]Quarterly Raw Data'!#REF!</definedName>
    <definedName name="QFISCAL" localSheetId="44">'[136]Quarterly Raw Data'!#REF!</definedName>
    <definedName name="QFISCAL" localSheetId="45">'[30]Quarterly Raw Data'!#REF!</definedName>
    <definedName name="QFISCAL" localSheetId="46">'[30]Quarterly Raw Data'!#REF!</definedName>
    <definedName name="QFISCAL" localSheetId="31">'[30]Quarterly Raw Data'!#REF!</definedName>
    <definedName name="QFISCAL" localSheetId="32">'[30]Quarterly Raw Data'!#REF!</definedName>
    <definedName name="QFISCAL" localSheetId="33">'[30]Quarterly Raw Data'!#REF!</definedName>
    <definedName name="QFISCAL" localSheetId="36">'[30]Quarterly Raw Data'!#REF!</definedName>
    <definedName name="QFISCAL" localSheetId="37">'[30]Quarterly Raw Data'!#REF!</definedName>
    <definedName name="QFISCAL" localSheetId="38">'[30]Quarterly Raw Data'!#REF!</definedName>
    <definedName name="QFISCAL" localSheetId="39">'[30]Quarterly Raw Data'!#REF!</definedName>
    <definedName name="QFISCAL" localSheetId="40">'[30]Quarterly Raw Data'!#REF!</definedName>
    <definedName name="QFISCAL" localSheetId="54">'[136]Quarterly Raw Data'!#REF!</definedName>
    <definedName name="QFISCAL" localSheetId="55">'[30]Quarterly Raw Data'!#REF!</definedName>
    <definedName name="QFISCAL" localSheetId="52">'[136]Quarterly Raw Data'!#REF!</definedName>
    <definedName name="QFISCAL" localSheetId="23">'[30]Quarterly Raw Data'!#REF!</definedName>
    <definedName name="QFISCAL" localSheetId="51">'[136]Quarterly Raw Data'!#REF!</definedName>
    <definedName name="QFISCAL" localSheetId="53">'[136]Quarterly Raw Data'!#REF!</definedName>
    <definedName name="QFISCAL" localSheetId="20">'[30]Quarterly Raw Data'!#REF!</definedName>
    <definedName name="QFISCAL">'[30]Quarterly Raw Data'!#REF!</definedName>
    <definedName name="qq" localSheetId="34" hidden="1">'[104]J(Priv.Cap)'!#REF!</definedName>
    <definedName name="qq" localSheetId="35" hidden="1">'[104]J(Priv.Cap)'!#REF!</definedName>
    <definedName name="qq" localSheetId="50" hidden="1">'[104]J(Priv.Cap)'!#REF!</definedName>
    <definedName name="qq" localSheetId="15" hidden="1">'[104]J(Priv.Cap)'!#REF!</definedName>
    <definedName name="qq" localSheetId="29" hidden="1">'[104]J(Priv.Cap)'!#REF!</definedName>
    <definedName name="qq" localSheetId="30" hidden="1">'[104]J(Priv.Cap)'!#REF!</definedName>
    <definedName name="qq" localSheetId="47" hidden="1">'[104]J(Priv.Cap)'!#REF!</definedName>
    <definedName name="qq" localSheetId="44" hidden="1">'[104]J(Priv.Cap)'!#REF!</definedName>
    <definedName name="qq" localSheetId="45" hidden="1">'[104]J(Priv.Cap)'!#REF!</definedName>
    <definedName name="qq" localSheetId="46" hidden="1">'[104]J(Priv.Cap)'!#REF!</definedName>
    <definedName name="qq" localSheetId="31" hidden="1">'[104]J(Priv.Cap)'!#REF!</definedName>
    <definedName name="qq" localSheetId="32" hidden="1">'[104]J(Priv.Cap)'!#REF!</definedName>
    <definedName name="qq" localSheetId="33" hidden="1">'[104]J(Priv.Cap)'!#REF!</definedName>
    <definedName name="qq" localSheetId="36" hidden="1">'[104]J(Priv.Cap)'!#REF!</definedName>
    <definedName name="qq" localSheetId="37" hidden="1">'[104]J(Priv.Cap)'!#REF!</definedName>
    <definedName name="qq" localSheetId="38" hidden="1">'[104]J(Priv.Cap)'!#REF!</definedName>
    <definedName name="qq" localSheetId="39" hidden="1">'[104]J(Priv.Cap)'!#REF!</definedName>
    <definedName name="qq" localSheetId="40" hidden="1">'[104]J(Priv.Cap)'!#REF!</definedName>
    <definedName name="qq" localSheetId="54" hidden="1">'[104]J(Priv.Cap)'!#REF!</definedName>
    <definedName name="qq" localSheetId="55" hidden="1">'[104]J(Priv.Cap)'!#REF!</definedName>
    <definedName name="qq" localSheetId="52" hidden="1">'[104]J(Priv.Cap)'!#REF!</definedName>
    <definedName name="qq" localSheetId="23" hidden="1">'[104]J(Priv.Cap)'!#REF!</definedName>
    <definedName name="qq" localSheetId="51" hidden="1">'[104]J(Priv.Cap)'!#REF!</definedName>
    <definedName name="qq" localSheetId="53" hidden="1">'[104]J(Priv.Cap)'!#REF!</definedName>
    <definedName name="qq" localSheetId="20" hidden="1">'[104]J(Priv.Cap)'!#REF!</definedName>
    <definedName name="qq" hidden="1">'[104]J(Priv.Cap)'!#REF!</definedName>
    <definedName name="qqq" localSheetId="58" hidden="1">{#N/A,#N/A,FALSE,"EXTRABUDGT"}</definedName>
    <definedName name="qqq" localSheetId="16" hidden="1">{#N/A,#N/A,FALSE,"EXTRABUDGT"}</definedName>
    <definedName name="qqq" localSheetId="50" hidden="1">{#N/A,#N/A,FALSE,"EXTRABUDGT"}</definedName>
    <definedName name="qqq" localSheetId="44" hidden="1">{#N/A,#N/A,FALSE,"EXTRABUDGT"}</definedName>
    <definedName name="qqq" localSheetId="59" hidden="1">{#N/A,#N/A,FALSE,"EXTRABUDGT"}</definedName>
    <definedName name="qqq" localSheetId="57" hidden="1">{#N/A,#N/A,FALSE,"EXTRABUDGT"}</definedName>
    <definedName name="qqq" localSheetId="56" hidden="1">{#N/A,#N/A,FALSE,"EXTRABUDGT"}</definedName>
    <definedName name="qqq" localSheetId="54" hidden="1">{#N/A,#N/A,FALSE,"EXTRABUDGT"}</definedName>
    <definedName name="qqq" localSheetId="52" hidden="1">{#N/A,#N/A,FALSE,"EXTRABUDGT"}</definedName>
    <definedName name="qqq" localSheetId="51" hidden="1">{#N/A,#N/A,FALSE,"EXTRABUDGT"}</definedName>
    <definedName name="qqq" localSheetId="60" hidden="1">{#N/A,#N/A,FALSE,"EXTRABUDGT"}</definedName>
    <definedName name="qqq" hidden="1">{#N/A,#N/A,FALSE,"EXTRABUDGT"}</definedName>
    <definedName name="qqqqq" localSheetId="58" hidden="1">{"Minpmon",#N/A,FALSE,"Monthinput"}</definedName>
    <definedName name="qqqqq" localSheetId="16" hidden="1">{"Minpmon",#N/A,FALSE,"Monthinput"}</definedName>
    <definedName name="qqqqq" localSheetId="61" hidden="1">{"Minpmon",#N/A,FALSE,"Monthinput"}</definedName>
    <definedName name="qqqqq" localSheetId="62" hidden="1">{"Minpmon",#N/A,FALSE,"Monthinput"}</definedName>
    <definedName name="qqqqq" localSheetId="50" hidden="1">{"Minpmon",#N/A,FALSE,"Monthinput"}</definedName>
    <definedName name="qqqqq" localSheetId="63" hidden="1">{"Minpmon",#N/A,FALSE,"Monthinput"}</definedName>
    <definedName name="qqqqq" localSheetId="15" hidden="1">{"Minpmon",#N/A,FALSE,"Monthinput"}</definedName>
    <definedName name="qqqqq" localSheetId="1" hidden="1">{"Minpmon",#N/A,FALSE,"Monthinput"}</definedName>
    <definedName name="qqqqq" localSheetId="43" hidden="1">{"Minpmon",#N/A,FALSE,"Monthinput"}</definedName>
    <definedName name="qqqqq" localSheetId="29" hidden="1">{"Minpmon",#N/A,FALSE,"Monthinput"}</definedName>
    <definedName name="qqqqq" localSheetId="30" hidden="1">{"Minpmon",#N/A,FALSE,"Monthinput"}</definedName>
    <definedName name="qqqqq" localSheetId="44" hidden="1">{"Minpmon",#N/A,FALSE,"Monthinput"}</definedName>
    <definedName name="qqqqq" localSheetId="59" hidden="1">{"Minpmon",#N/A,FALSE,"Monthinput"}</definedName>
    <definedName name="qqqqq" localSheetId="13" hidden="1">{"Minpmon",#N/A,FALSE,"Monthinput"}</definedName>
    <definedName name="qqqqq" localSheetId="0" hidden="1">{"Minpmon",#N/A,FALSE,"Monthinput"}</definedName>
    <definedName name="qqqqq" localSheetId="57" hidden="1">{"Minpmon",#N/A,FALSE,"Monthinput"}</definedName>
    <definedName name="qqqqq" localSheetId="56" hidden="1">{"Minpmon",#N/A,FALSE,"Monthinput"}</definedName>
    <definedName name="qqqqq" localSheetId="54" hidden="1">{"Minpmon",#N/A,FALSE,"Monthinput"}</definedName>
    <definedName name="qqqqq" localSheetId="52" hidden="1">{"Minpmon",#N/A,FALSE,"Monthinput"}</definedName>
    <definedName name="qqqqq" localSheetId="23" hidden="1">{"Minpmon",#N/A,FALSE,"Monthinput"}</definedName>
    <definedName name="qqqqq" localSheetId="51" hidden="1">{"Minpmon",#N/A,FALSE,"Monthinput"}</definedName>
    <definedName name="qqqqq" localSheetId="53" hidden="1">{"Minpmon",#N/A,FALSE,"Monthinput"}</definedName>
    <definedName name="qqqqq" localSheetId="60" hidden="1">{"Minpmon",#N/A,FALSE,"Monthinput"}</definedName>
    <definedName name="qqqqq" hidden="1">{"Minpmon",#N/A,FALSE,"Monthinput"}</definedName>
    <definedName name="QTAB7" localSheetId="34">'[30]Quarterly MacroFlow'!#REF!</definedName>
    <definedName name="QTAB7" localSheetId="35">'[30]Quarterly MacroFlow'!#REF!</definedName>
    <definedName name="QTAB7" localSheetId="50">'[136]Quarterly MacroFlow'!#REF!</definedName>
    <definedName name="QTAB7" localSheetId="15">'[30]Quarterly MacroFlow'!#REF!</definedName>
    <definedName name="QTAB7" localSheetId="29">'[30]Quarterly MacroFlow'!#REF!</definedName>
    <definedName name="QTAB7" localSheetId="30">'[30]Quarterly MacroFlow'!#REF!</definedName>
    <definedName name="QTAB7" localSheetId="47">'[30]Quarterly MacroFlow'!#REF!</definedName>
    <definedName name="QTAB7" localSheetId="44">'[136]Quarterly MacroFlow'!#REF!</definedName>
    <definedName name="QTAB7" localSheetId="45">'[30]Quarterly MacroFlow'!#REF!</definedName>
    <definedName name="QTAB7" localSheetId="46">'[30]Quarterly MacroFlow'!#REF!</definedName>
    <definedName name="QTAB7" localSheetId="31">'[30]Quarterly MacroFlow'!#REF!</definedName>
    <definedName name="QTAB7" localSheetId="32">'[30]Quarterly MacroFlow'!#REF!</definedName>
    <definedName name="QTAB7" localSheetId="33">'[30]Quarterly MacroFlow'!#REF!</definedName>
    <definedName name="QTAB7" localSheetId="36">'[30]Quarterly MacroFlow'!#REF!</definedName>
    <definedName name="QTAB7" localSheetId="37">'[30]Quarterly MacroFlow'!#REF!</definedName>
    <definedName name="QTAB7" localSheetId="38">'[30]Quarterly MacroFlow'!#REF!</definedName>
    <definedName name="QTAB7" localSheetId="39">'[30]Quarterly MacroFlow'!#REF!</definedName>
    <definedName name="QTAB7" localSheetId="40">'[30]Quarterly MacroFlow'!#REF!</definedName>
    <definedName name="QTAB7" localSheetId="54">'[136]Quarterly MacroFlow'!#REF!</definedName>
    <definedName name="QTAB7" localSheetId="55">'[30]Quarterly MacroFlow'!#REF!</definedName>
    <definedName name="QTAB7" localSheetId="52">'[136]Quarterly MacroFlow'!#REF!</definedName>
    <definedName name="QTAB7" localSheetId="23">'[30]Quarterly MacroFlow'!#REF!</definedName>
    <definedName name="QTAB7" localSheetId="51">'[136]Quarterly MacroFlow'!#REF!</definedName>
    <definedName name="QTAB7" localSheetId="53">'[136]Quarterly MacroFlow'!#REF!</definedName>
    <definedName name="QTAB7" localSheetId="20">'[30]Quarterly MacroFlow'!#REF!</definedName>
    <definedName name="QTAB7">'[30]Quarterly MacroFlow'!#REF!</definedName>
    <definedName name="QTAB7A" localSheetId="34">'[30]Quarterly MacroFlow'!#REF!</definedName>
    <definedName name="QTAB7A" localSheetId="35">'[30]Quarterly MacroFlow'!#REF!</definedName>
    <definedName name="QTAB7A" localSheetId="50">'[136]Quarterly MacroFlow'!#REF!</definedName>
    <definedName name="QTAB7A" localSheetId="15">'[30]Quarterly MacroFlow'!#REF!</definedName>
    <definedName name="QTAB7A" localSheetId="29">'[30]Quarterly MacroFlow'!#REF!</definedName>
    <definedName name="QTAB7A" localSheetId="30">'[30]Quarterly MacroFlow'!#REF!</definedName>
    <definedName name="QTAB7A" localSheetId="47">'[30]Quarterly MacroFlow'!#REF!</definedName>
    <definedName name="QTAB7A" localSheetId="44">'[136]Quarterly MacroFlow'!#REF!</definedName>
    <definedName name="QTAB7A" localSheetId="45">'[30]Quarterly MacroFlow'!#REF!</definedName>
    <definedName name="QTAB7A" localSheetId="46">'[30]Quarterly MacroFlow'!#REF!</definedName>
    <definedName name="QTAB7A" localSheetId="31">'[30]Quarterly MacroFlow'!#REF!</definedName>
    <definedName name="QTAB7A" localSheetId="32">'[30]Quarterly MacroFlow'!#REF!</definedName>
    <definedName name="QTAB7A" localSheetId="33">'[30]Quarterly MacroFlow'!#REF!</definedName>
    <definedName name="QTAB7A" localSheetId="36">'[30]Quarterly MacroFlow'!#REF!</definedName>
    <definedName name="QTAB7A" localSheetId="37">'[30]Quarterly MacroFlow'!#REF!</definedName>
    <definedName name="QTAB7A" localSheetId="38">'[30]Quarterly MacroFlow'!#REF!</definedName>
    <definedName name="QTAB7A" localSheetId="39">'[30]Quarterly MacroFlow'!#REF!</definedName>
    <definedName name="QTAB7A" localSheetId="40">'[30]Quarterly MacroFlow'!#REF!</definedName>
    <definedName name="QTAB7A" localSheetId="54">'[136]Quarterly MacroFlow'!#REF!</definedName>
    <definedName name="QTAB7A" localSheetId="55">'[30]Quarterly MacroFlow'!#REF!</definedName>
    <definedName name="QTAB7A" localSheetId="52">'[136]Quarterly MacroFlow'!#REF!</definedName>
    <definedName name="QTAB7A" localSheetId="23">'[30]Quarterly MacroFlow'!#REF!</definedName>
    <definedName name="QTAB7A" localSheetId="51">'[136]Quarterly MacroFlow'!#REF!</definedName>
    <definedName name="QTAB7A" localSheetId="53">'[136]Quarterly MacroFlow'!#REF!</definedName>
    <definedName name="QTAB7A" localSheetId="20">'[30]Quarterly MacroFlow'!#REF!</definedName>
    <definedName name="QTAB7A">'[30]Quarterly MacroFlow'!#REF!</definedName>
    <definedName name="QuartProj" localSheetId="50">#REF!</definedName>
    <definedName name="QuartProj" localSheetId="47">#REF!</definedName>
    <definedName name="QuartProj" localSheetId="44">#REF!</definedName>
    <definedName name="QuartProj" localSheetId="45">#REF!</definedName>
    <definedName name="QuartProj" localSheetId="46">#REF!</definedName>
    <definedName name="QuartProj" localSheetId="37">#REF!</definedName>
    <definedName name="QuartProj" localSheetId="40">#REF!</definedName>
    <definedName name="QuartProj" localSheetId="54">#REF!</definedName>
    <definedName name="QuartProj" localSheetId="55">#REF!</definedName>
    <definedName name="QuartProj" localSheetId="52">#REF!</definedName>
    <definedName name="QuartProj" localSheetId="51">#REF!</definedName>
    <definedName name="QuartProj" localSheetId="53">#REF!</definedName>
    <definedName name="QuartProj">#REF!</definedName>
    <definedName name="qw" localSheetId="58" hidden="1">{"Riqfin97",#N/A,FALSE,"Tran";"Riqfinpro",#N/A,FALSE,"Tran"}</definedName>
    <definedName name="qw" localSheetId="16" hidden="1">{"Riqfin97",#N/A,FALSE,"Tran";"Riqfinpro",#N/A,FALSE,"Tran"}</definedName>
    <definedName name="qw" localSheetId="61" hidden="1">{"Riqfin97",#N/A,FALSE,"Tran";"Riqfinpro",#N/A,FALSE,"Tran"}</definedName>
    <definedName name="qw" localSheetId="62" hidden="1">{"Riqfin97",#N/A,FALSE,"Tran";"Riqfinpro",#N/A,FALSE,"Tran"}</definedName>
    <definedName name="qw" localSheetId="50" hidden="1">{"Riqfin97",#N/A,FALSE,"Tran";"Riqfinpro",#N/A,FALSE,"Tran"}</definedName>
    <definedName name="qw" localSheetId="63" hidden="1">{"Riqfin97",#N/A,FALSE,"Tran";"Riqfinpro",#N/A,FALSE,"Tran"}</definedName>
    <definedName name="qw" localSheetId="15" hidden="1">{"Riqfin97",#N/A,FALSE,"Tran";"Riqfinpro",#N/A,FALSE,"Tran"}</definedName>
    <definedName name="qw" localSheetId="1" hidden="1">{"Riqfin97",#N/A,FALSE,"Tran";"Riqfinpro",#N/A,FALSE,"Tran"}</definedName>
    <definedName name="qw" localSheetId="43" hidden="1">{"Riqfin97",#N/A,FALSE,"Tran";"Riqfinpro",#N/A,FALSE,"Tran"}</definedName>
    <definedName name="qw" localSheetId="29" hidden="1">{"Riqfin97",#N/A,FALSE,"Tran";"Riqfinpro",#N/A,FALSE,"Tran"}</definedName>
    <definedName name="qw" localSheetId="30" hidden="1">{"Riqfin97",#N/A,FALSE,"Tran";"Riqfinpro",#N/A,FALSE,"Tran"}</definedName>
    <definedName name="qw" localSheetId="44" hidden="1">{"Riqfin97",#N/A,FALSE,"Tran";"Riqfinpro",#N/A,FALSE,"Tran"}</definedName>
    <definedName name="qw" localSheetId="59" hidden="1">{"Riqfin97",#N/A,FALSE,"Tran";"Riqfinpro",#N/A,FALSE,"Tran"}</definedName>
    <definedName name="qw" localSheetId="13" hidden="1">{"Riqfin97",#N/A,FALSE,"Tran";"Riqfinpro",#N/A,FALSE,"Tran"}</definedName>
    <definedName name="qw" localSheetId="0" hidden="1">{"Riqfin97",#N/A,FALSE,"Tran";"Riqfinpro",#N/A,FALSE,"Tran"}</definedName>
    <definedName name="qw" localSheetId="57" hidden="1">{"Riqfin97",#N/A,FALSE,"Tran";"Riqfinpro",#N/A,FALSE,"Tran"}</definedName>
    <definedName name="qw" localSheetId="56" hidden="1">{"Riqfin97",#N/A,FALSE,"Tran";"Riqfinpro",#N/A,FALSE,"Tran"}</definedName>
    <definedName name="qw" localSheetId="54" hidden="1">{"Riqfin97",#N/A,FALSE,"Tran";"Riqfinpro",#N/A,FALSE,"Tran"}</definedName>
    <definedName name="qw" localSheetId="52" hidden="1">{"Riqfin97",#N/A,FALSE,"Tran";"Riqfinpro",#N/A,FALSE,"Tran"}</definedName>
    <definedName name="qw" localSheetId="23" hidden="1">{"Riqfin97",#N/A,FALSE,"Tran";"Riqfinpro",#N/A,FALSE,"Tran"}</definedName>
    <definedName name="qw" localSheetId="51" hidden="1">{"Riqfin97",#N/A,FALSE,"Tran";"Riqfinpro",#N/A,FALSE,"Tran"}</definedName>
    <definedName name="qw" localSheetId="53" hidden="1">{"Riqfin97",#N/A,FALSE,"Tran";"Riqfinpro",#N/A,FALSE,"Tran"}</definedName>
    <definedName name="qw" localSheetId="60" hidden="1">{"Riqfin97",#N/A,FALSE,"Tran";"Riqfinpro",#N/A,FALSE,"Tran"}</definedName>
    <definedName name="qw" hidden="1">{"Riqfin97",#N/A,FALSE,"Tran";"Riqfinpro",#N/A,FALSE,"Tran"}</definedName>
    <definedName name="RAM" localSheetId="50">#REF!</definedName>
    <definedName name="RAM" localSheetId="47">#REF!</definedName>
    <definedName name="RAM" localSheetId="44">#REF!</definedName>
    <definedName name="RAM" localSheetId="45">#REF!</definedName>
    <definedName name="RAM" localSheetId="46">#REF!</definedName>
    <definedName name="RAM" localSheetId="37">#REF!</definedName>
    <definedName name="RAM" localSheetId="40">#REF!</definedName>
    <definedName name="RAM" localSheetId="54">#REF!</definedName>
    <definedName name="RAM" localSheetId="55">#REF!</definedName>
    <definedName name="RAM" localSheetId="52">#REF!</definedName>
    <definedName name="RAM" localSheetId="51">#REF!</definedName>
    <definedName name="RAM" localSheetId="53">#REF!</definedName>
    <definedName name="RAM">#REF!</definedName>
    <definedName name="Range_AllCurrencyTypes">[137]Control!$B$36:$B$38</definedName>
    <definedName name="Range_AllScaleTypes">[137]Control!$H$36:$H$39</definedName>
    <definedName name="Range_CB">[60]Control!$E$15:$E$22</definedName>
    <definedName name="Range_Country" localSheetId="50">#REF!</definedName>
    <definedName name="Range_Country" localSheetId="47">#REF!</definedName>
    <definedName name="Range_Country" localSheetId="44">#REF!</definedName>
    <definedName name="Range_Country" localSheetId="45">#REF!</definedName>
    <definedName name="Range_Country" localSheetId="46">#REF!</definedName>
    <definedName name="Range_Country" localSheetId="37">#REF!</definedName>
    <definedName name="Range_Country" localSheetId="40">#REF!</definedName>
    <definedName name="Range_Country" localSheetId="54">#REF!</definedName>
    <definedName name="Range_Country" localSheetId="55">#REF!</definedName>
    <definedName name="Range_Country" localSheetId="52">#REF!</definedName>
    <definedName name="Range_Country" localSheetId="51">#REF!</definedName>
    <definedName name="Range_Country" localSheetId="53">#REF!</definedName>
    <definedName name="Range_Country">#REF!</definedName>
    <definedName name="Range_DownloadAnnual" localSheetId="54">[138]Control!$C$4</definedName>
    <definedName name="Range_DownloadAnnual">[138]Control!$C$4</definedName>
    <definedName name="Range_DownloadDateTime" localSheetId="50">#REF!</definedName>
    <definedName name="Range_DownloadDateTime" localSheetId="47">#REF!</definedName>
    <definedName name="Range_DownloadDateTime" localSheetId="44">#REF!</definedName>
    <definedName name="Range_DownloadDateTime" localSheetId="45">#REF!</definedName>
    <definedName name="Range_DownloadDateTime" localSheetId="46">#REF!</definedName>
    <definedName name="Range_DownloadDateTime" localSheetId="37">#REF!</definedName>
    <definedName name="Range_DownloadDateTime" localSheetId="40">#REF!</definedName>
    <definedName name="Range_DownloadDateTime" localSheetId="54">#REF!</definedName>
    <definedName name="Range_DownloadDateTime" localSheetId="55">#REF!</definedName>
    <definedName name="Range_DownloadDateTime" localSheetId="52">#REF!</definedName>
    <definedName name="Range_DownloadDateTime" localSheetId="51">#REF!</definedName>
    <definedName name="Range_DownloadDateTime" localSheetId="53">#REF!</definedName>
    <definedName name="Range_DownloadDateTime">#REF!</definedName>
    <definedName name="Range_DownloadMonth" localSheetId="54">[138]Control!$C$2</definedName>
    <definedName name="Range_DownloadMonth">[138]Control!$C$2</definedName>
    <definedName name="Range_DownloadQuarter" localSheetId="54">[138]Control!$C$3</definedName>
    <definedName name="Range_DownloadQuarter">[138]Control!$C$3</definedName>
    <definedName name="Range_ReportFormName" localSheetId="50">#REF!</definedName>
    <definedName name="Range_ReportFormName" localSheetId="47">#REF!</definedName>
    <definedName name="Range_ReportFormName" localSheetId="44">#REF!</definedName>
    <definedName name="Range_ReportFormName" localSheetId="45">#REF!</definedName>
    <definedName name="Range_ReportFormName" localSheetId="46">#REF!</definedName>
    <definedName name="Range_ReportFormName" localSheetId="37">#REF!</definedName>
    <definedName name="Range_ReportFormName" localSheetId="40">#REF!</definedName>
    <definedName name="Range_ReportFormName" localSheetId="54">#REF!</definedName>
    <definedName name="Range_ReportFormName" localSheetId="55">#REF!</definedName>
    <definedName name="Range_ReportFormName" localSheetId="52">#REF!</definedName>
    <definedName name="Range_ReportFormName" localSheetId="51">#REF!</definedName>
    <definedName name="Range_ReportFormName" localSheetId="53">#REF!</definedName>
    <definedName name="Range_ReportFormName">#REF!</definedName>
    <definedName name="Range1">[128]Admin!$C$8:$C$25</definedName>
    <definedName name="Range2">[128]Admin!$C$26:$C$34</definedName>
    <definedName name="Range3">[128]Admin!$C$35:$C$45</definedName>
    <definedName name="Range4">[128]Admin!$C$46:$C$53</definedName>
    <definedName name="Range5">[128]Admin!$C$48:$C$56</definedName>
    <definedName name="Range6">[139]Admin!$C$34:$C$37</definedName>
    <definedName name="Range7">[140]Admin!$C$36:$C$39</definedName>
    <definedName name="Ranges" localSheetId="50">#REF!</definedName>
    <definedName name="Ranges" localSheetId="47">#REF!</definedName>
    <definedName name="Ranges" localSheetId="44">#REF!</definedName>
    <definedName name="Ranges" localSheetId="45">#REF!</definedName>
    <definedName name="Ranges" localSheetId="46">#REF!</definedName>
    <definedName name="Ranges" localSheetId="37">#REF!</definedName>
    <definedName name="Ranges" localSheetId="40">#REF!</definedName>
    <definedName name="Ranges" localSheetId="54">#REF!</definedName>
    <definedName name="Ranges" localSheetId="55">#REF!</definedName>
    <definedName name="Ranges" localSheetId="52">#REF!</definedName>
    <definedName name="Ranges" localSheetId="51">#REF!</definedName>
    <definedName name="Ranges" localSheetId="53">#REF!</definedName>
    <definedName name="Ranges">#REF!</definedName>
    <definedName name="RASIC" localSheetId="50">#REF!</definedName>
    <definedName name="RASIC" localSheetId="47">#REF!</definedName>
    <definedName name="RASIC" localSheetId="44">#REF!</definedName>
    <definedName name="RASIC" localSheetId="45">#REF!</definedName>
    <definedName name="RASIC" localSheetId="46">#REF!</definedName>
    <definedName name="RASIC" localSheetId="37">#REF!</definedName>
    <definedName name="RASIC" localSheetId="40">#REF!</definedName>
    <definedName name="RASIC" localSheetId="54">#REF!</definedName>
    <definedName name="RASIC" localSheetId="55">#REF!</definedName>
    <definedName name="RASIC" localSheetId="52">#REF!</definedName>
    <definedName name="RASIC" localSheetId="51">#REF!</definedName>
    <definedName name="RASIC" localSheetId="53">#REF!</definedName>
    <definedName name="RASIC">#REF!</definedName>
    <definedName name="RCM" localSheetId="50">#REF!</definedName>
    <definedName name="RCM" localSheetId="47">#REF!</definedName>
    <definedName name="RCM" localSheetId="44">#REF!</definedName>
    <definedName name="RCM" localSheetId="45">#REF!</definedName>
    <definedName name="RCM" localSheetId="46">#REF!</definedName>
    <definedName name="RCM" localSheetId="37">#REF!</definedName>
    <definedName name="RCM" localSheetId="40">#REF!</definedName>
    <definedName name="RCM" localSheetId="54">#REF!</definedName>
    <definedName name="RCM" localSheetId="55">#REF!</definedName>
    <definedName name="RCM" localSheetId="52">#REF!</definedName>
    <definedName name="RCM" localSheetId="51">#REF!</definedName>
    <definedName name="RCM" localSheetId="53">#REF!</definedName>
    <definedName name="RCM">#REF!</definedName>
    <definedName name="rdrate">'[52]Burn Rates'!$G$15</definedName>
    <definedName name="realtab" localSheetId="34">#REF!</definedName>
    <definedName name="realtab" localSheetId="35">#REF!</definedName>
    <definedName name="realtab" localSheetId="50">#REF!</definedName>
    <definedName name="realtab" localSheetId="15">#REF!</definedName>
    <definedName name="realtab" localSheetId="29">#REF!</definedName>
    <definedName name="realtab" localSheetId="30">#REF!</definedName>
    <definedName name="realtab" localSheetId="47">#REF!</definedName>
    <definedName name="realtab" localSheetId="44">#REF!</definedName>
    <definedName name="realtab" localSheetId="45">#REF!</definedName>
    <definedName name="realtab" localSheetId="46">#REF!</definedName>
    <definedName name="realtab" localSheetId="31">#REF!</definedName>
    <definedName name="realtab" localSheetId="32">#REF!</definedName>
    <definedName name="realtab" localSheetId="33">#REF!</definedName>
    <definedName name="realtab" localSheetId="36">#REF!</definedName>
    <definedName name="realtab" localSheetId="37">#REF!</definedName>
    <definedName name="realtab" localSheetId="38">#REF!</definedName>
    <definedName name="realtab" localSheetId="39">#REF!</definedName>
    <definedName name="realtab" localSheetId="40">#REF!</definedName>
    <definedName name="realtab" localSheetId="54">#REF!</definedName>
    <definedName name="realtab" localSheetId="55">#REF!</definedName>
    <definedName name="realtab" localSheetId="52">#REF!</definedName>
    <definedName name="realtab" localSheetId="23">#REF!</definedName>
    <definedName name="realtab" localSheetId="51">#REF!</definedName>
    <definedName name="realtab" localSheetId="53">#REF!</definedName>
    <definedName name="realtab" localSheetId="20">#REF!</definedName>
    <definedName name="realtab">#REF!</definedName>
    <definedName name="Rebate" localSheetId="50">#REF!</definedName>
    <definedName name="Rebate" localSheetId="47">#REF!</definedName>
    <definedName name="Rebate" localSheetId="44">#REF!</definedName>
    <definedName name="Rebate" localSheetId="45">#REF!</definedName>
    <definedName name="Rebate" localSheetId="46">#REF!</definedName>
    <definedName name="Rebate" localSheetId="37">#REF!</definedName>
    <definedName name="Rebate" localSheetId="40">#REF!</definedName>
    <definedName name="Rebate" localSheetId="54">#REF!</definedName>
    <definedName name="Rebate" localSheetId="55">#REF!</definedName>
    <definedName name="Rebate" localSheetId="52">#REF!</definedName>
    <definedName name="Rebate" localSheetId="51">#REF!</definedName>
    <definedName name="Rebate" localSheetId="53">#REF!</definedName>
    <definedName name="Rebate">#REF!</definedName>
    <definedName name="_xlnm.Recorder" localSheetId="34">#REF!</definedName>
    <definedName name="_xlnm.Recorder" localSheetId="35">#REF!</definedName>
    <definedName name="_xlnm.Recorder" localSheetId="50">#REF!</definedName>
    <definedName name="_xlnm.Recorder" localSheetId="15">#REF!</definedName>
    <definedName name="_xlnm.Recorder" localSheetId="29">#REF!</definedName>
    <definedName name="_xlnm.Recorder" localSheetId="30">#REF!</definedName>
    <definedName name="_xlnm.Recorder" localSheetId="47">#REF!</definedName>
    <definedName name="_xlnm.Recorder" localSheetId="44">#REF!</definedName>
    <definedName name="_xlnm.Recorder" localSheetId="45">#REF!</definedName>
    <definedName name="_xlnm.Recorder" localSheetId="46">#REF!</definedName>
    <definedName name="_xlnm.Recorder" localSheetId="31">#REF!</definedName>
    <definedName name="_xlnm.Recorder" localSheetId="32">#REF!</definedName>
    <definedName name="_xlnm.Recorder" localSheetId="33">#REF!</definedName>
    <definedName name="_xlnm.Recorder" localSheetId="36">#REF!</definedName>
    <definedName name="_xlnm.Recorder" localSheetId="37">#REF!</definedName>
    <definedName name="_xlnm.Recorder" localSheetId="38">#REF!</definedName>
    <definedName name="_xlnm.Recorder" localSheetId="39">#REF!</definedName>
    <definedName name="_xlnm.Recorder" localSheetId="40">#REF!</definedName>
    <definedName name="_xlnm.Recorder" localSheetId="54">#REF!</definedName>
    <definedName name="_xlnm.Recorder" localSheetId="55">#REF!</definedName>
    <definedName name="_xlnm.Recorder" localSheetId="52">#REF!</definedName>
    <definedName name="_xlnm.Recorder" localSheetId="23">#REF!</definedName>
    <definedName name="_xlnm.Recorder" localSheetId="51">#REF!</definedName>
    <definedName name="_xlnm.Recorder" localSheetId="53">#REF!</definedName>
    <definedName name="_xlnm.Recorder" localSheetId="20">#REF!</definedName>
    <definedName name="_xlnm.Recorder">#REF!</definedName>
    <definedName name="Red" localSheetId="50">#REF!</definedName>
    <definedName name="Red" localSheetId="47">#REF!</definedName>
    <definedName name="Red" localSheetId="44">#REF!</definedName>
    <definedName name="Red" localSheetId="45">#REF!</definedName>
    <definedName name="Red" localSheetId="46">#REF!</definedName>
    <definedName name="Red" localSheetId="37">#REF!</definedName>
    <definedName name="Red" localSheetId="40">#REF!</definedName>
    <definedName name="Red" localSheetId="54">#REF!</definedName>
    <definedName name="Red" localSheetId="55">#REF!</definedName>
    <definedName name="Red" localSheetId="52">#REF!</definedName>
    <definedName name="Red" localSheetId="51">#REF!</definedName>
    <definedName name="Red" localSheetId="53">#REF!</definedName>
    <definedName name="Red">#REF!</definedName>
    <definedName name="RED_BOP" localSheetId="50">#REF!</definedName>
    <definedName name="RED_BOP" localSheetId="47">#REF!</definedName>
    <definedName name="RED_BOP" localSheetId="44">#REF!</definedName>
    <definedName name="RED_BOP" localSheetId="45">#REF!</definedName>
    <definedName name="RED_BOP" localSheetId="46">#REF!</definedName>
    <definedName name="RED_BOP" localSheetId="37">#REF!</definedName>
    <definedName name="RED_BOP" localSheetId="40">#REF!</definedName>
    <definedName name="RED_BOP" localSheetId="54">#REF!</definedName>
    <definedName name="RED_BOP" localSheetId="55">#REF!</definedName>
    <definedName name="RED_BOP" localSheetId="52">#REF!</definedName>
    <definedName name="RED_BOP" localSheetId="51">#REF!</definedName>
    <definedName name="RED_BOP" localSheetId="53">#REF!</definedName>
    <definedName name="RED_BOP">#REF!</definedName>
    <definedName name="red_cpi" localSheetId="50">#REF!</definedName>
    <definedName name="red_cpi" localSheetId="47">#REF!</definedName>
    <definedName name="red_cpi" localSheetId="44">#REF!</definedName>
    <definedName name="red_cpi" localSheetId="45">#REF!</definedName>
    <definedName name="red_cpi" localSheetId="46">#REF!</definedName>
    <definedName name="red_cpi" localSheetId="37">#REF!</definedName>
    <definedName name="red_cpi" localSheetId="40">#REF!</definedName>
    <definedName name="red_cpi" localSheetId="54">#REF!</definedName>
    <definedName name="red_cpi" localSheetId="55">#REF!</definedName>
    <definedName name="red_cpi" localSheetId="52">#REF!</definedName>
    <definedName name="red_cpi" localSheetId="51">#REF!</definedName>
    <definedName name="red_cpi" localSheetId="53">#REF!</definedName>
    <definedName name="red_cpi">#REF!</definedName>
    <definedName name="RED_D" localSheetId="50">#REF!</definedName>
    <definedName name="RED_D" localSheetId="47">#REF!</definedName>
    <definedName name="RED_D" localSheetId="44">#REF!</definedName>
    <definedName name="RED_D" localSheetId="45">#REF!</definedName>
    <definedName name="RED_D" localSheetId="46">#REF!</definedName>
    <definedName name="RED_D" localSheetId="37">#REF!</definedName>
    <definedName name="RED_D" localSheetId="40">#REF!</definedName>
    <definedName name="RED_D" localSheetId="54">#REF!</definedName>
    <definedName name="RED_D" localSheetId="55">#REF!</definedName>
    <definedName name="RED_D" localSheetId="52">#REF!</definedName>
    <definedName name="RED_D" localSheetId="51">#REF!</definedName>
    <definedName name="RED_D" localSheetId="53">#REF!</definedName>
    <definedName name="RED_D">#REF!</definedName>
    <definedName name="RED_DS" localSheetId="50">#REF!</definedName>
    <definedName name="RED_DS" localSheetId="47">#REF!</definedName>
    <definedName name="RED_DS" localSheetId="44">#REF!</definedName>
    <definedName name="RED_DS" localSheetId="45">#REF!</definedName>
    <definedName name="RED_DS" localSheetId="46">#REF!</definedName>
    <definedName name="RED_DS" localSheetId="37">#REF!</definedName>
    <definedName name="RED_DS" localSheetId="40">#REF!</definedName>
    <definedName name="RED_DS" localSheetId="54">#REF!</definedName>
    <definedName name="RED_DS" localSheetId="55">#REF!</definedName>
    <definedName name="RED_DS" localSheetId="52">#REF!</definedName>
    <definedName name="RED_DS" localSheetId="51">#REF!</definedName>
    <definedName name="RED_DS" localSheetId="53">#REF!</definedName>
    <definedName name="RED_DS">#REF!</definedName>
    <definedName name="red_gdp_exp" localSheetId="50">#REF!</definedName>
    <definedName name="red_gdp_exp" localSheetId="47">#REF!</definedName>
    <definedName name="red_gdp_exp" localSheetId="44">#REF!</definedName>
    <definedName name="red_gdp_exp" localSheetId="45">#REF!</definedName>
    <definedName name="red_gdp_exp" localSheetId="46">#REF!</definedName>
    <definedName name="red_gdp_exp" localSheetId="37">#REF!</definedName>
    <definedName name="red_gdp_exp" localSheetId="40">#REF!</definedName>
    <definedName name="red_gdp_exp" localSheetId="54">#REF!</definedName>
    <definedName name="red_gdp_exp" localSheetId="55">#REF!</definedName>
    <definedName name="red_gdp_exp" localSheetId="52">#REF!</definedName>
    <definedName name="red_gdp_exp" localSheetId="51">#REF!</definedName>
    <definedName name="red_gdp_exp" localSheetId="53">#REF!</definedName>
    <definedName name="red_gdp_exp">#REF!</definedName>
    <definedName name="red_govt_empl" localSheetId="50">#REF!</definedName>
    <definedName name="red_govt_empl" localSheetId="47">#REF!</definedName>
    <definedName name="red_govt_empl" localSheetId="44">#REF!</definedName>
    <definedName name="red_govt_empl" localSheetId="45">#REF!</definedName>
    <definedName name="red_govt_empl" localSheetId="46">#REF!</definedName>
    <definedName name="red_govt_empl" localSheetId="37">#REF!</definedName>
    <definedName name="red_govt_empl" localSheetId="40">#REF!</definedName>
    <definedName name="red_govt_empl" localSheetId="54">#REF!</definedName>
    <definedName name="red_govt_empl" localSheetId="55">#REF!</definedName>
    <definedName name="red_govt_empl" localSheetId="52">#REF!</definedName>
    <definedName name="red_govt_empl" localSheetId="51">#REF!</definedName>
    <definedName name="red_govt_empl" localSheetId="53">#REF!</definedName>
    <definedName name="red_govt_empl">#REF!</definedName>
    <definedName name="RED_NATCPI" localSheetId="50">#REF!</definedName>
    <definedName name="RED_NATCPI" localSheetId="47">#REF!</definedName>
    <definedName name="RED_NATCPI" localSheetId="44">#REF!</definedName>
    <definedName name="RED_NATCPI" localSheetId="45">#REF!</definedName>
    <definedName name="RED_NATCPI" localSheetId="46">#REF!</definedName>
    <definedName name="RED_NATCPI" localSheetId="37">#REF!</definedName>
    <definedName name="RED_NATCPI" localSheetId="40">#REF!</definedName>
    <definedName name="RED_NATCPI" localSheetId="54">#REF!</definedName>
    <definedName name="RED_NATCPI" localSheetId="55">#REF!</definedName>
    <definedName name="RED_NATCPI" localSheetId="52">#REF!</definedName>
    <definedName name="RED_NATCPI" localSheetId="51">#REF!</definedName>
    <definedName name="RED_NATCPI" localSheetId="53">#REF!</definedName>
    <definedName name="RED_NATCPI">#REF!</definedName>
    <definedName name="RED_TBCPI" localSheetId="50">#REF!</definedName>
    <definedName name="RED_TBCPI" localSheetId="47">#REF!</definedName>
    <definedName name="RED_TBCPI" localSheetId="44">#REF!</definedName>
    <definedName name="RED_TBCPI" localSheetId="45">#REF!</definedName>
    <definedName name="RED_TBCPI" localSheetId="46">#REF!</definedName>
    <definedName name="RED_TBCPI" localSheetId="37">#REF!</definedName>
    <definedName name="RED_TBCPI" localSheetId="40">#REF!</definedName>
    <definedName name="RED_TBCPI" localSheetId="54">#REF!</definedName>
    <definedName name="RED_TBCPI" localSheetId="55">#REF!</definedName>
    <definedName name="RED_TBCPI" localSheetId="52">#REF!</definedName>
    <definedName name="RED_TBCPI" localSheetId="51">#REF!</definedName>
    <definedName name="RED_TBCPI" localSheetId="53">#REF!</definedName>
    <definedName name="RED_TBCPI">#REF!</definedName>
    <definedName name="RED_TRD" localSheetId="50">#REF!</definedName>
    <definedName name="RED_TRD" localSheetId="47">#REF!</definedName>
    <definedName name="RED_TRD" localSheetId="44">#REF!</definedName>
    <definedName name="RED_TRD" localSheetId="45">#REF!</definedName>
    <definedName name="RED_TRD" localSheetId="46">#REF!</definedName>
    <definedName name="RED_TRD" localSheetId="37">#REF!</definedName>
    <definedName name="RED_TRD" localSheetId="40">#REF!</definedName>
    <definedName name="RED_TRD" localSheetId="54">#REF!</definedName>
    <definedName name="RED_TRD" localSheetId="55">#REF!</definedName>
    <definedName name="RED_TRD" localSheetId="52">#REF!</definedName>
    <definedName name="RED_TRD" localSheetId="51">#REF!</definedName>
    <definedName name="RED_TRD" localSheetId="53">#REF!</definedName>
    <definedName name="RED_TRD">#REF!</definedName>
    <definedName name="REDTab10" localSheetId="50">#REF!</definedName>
    <definedName name="REDTab10" localSheetId="47">#REF!</definedName>
    <definedName name="REDTab10" localSheetId="44">#REF!</definedName>
    <definedName name="REDTab10" localSheetId="45">#REF!</definedName>
    <definedName name="REDTab10" localSheetId="46">#REF!</definedName>
    <definedName name="REDTab10" localSheetId="37">#REF!</definedName>
    <definedName name="REDTab10" localSheetId="40">#REF!</definedName>
    <definedName name="REDTab10" localSheetId="54">#REF!</definedName>
    <definedName name="REDTab10" localSheetId="55">#REF!</definedName>
    <definedName name="REDTab10" localSheetId="52">#REF!</definedName>
    <definedName name="REDTab10" localSheetId="51">#REF!</definedName>
    <definedName name="REDTab10" localSheetId="53">#REF!</definedName>
    <definedName name="REDTab10">#REF!</definedName>
    <definedName name="REDTab11" localSheetId="50">#REF!</definedName>
    <definedName name="REDTab11" localSheetId="47">#REF!</definedName>
    <definedName name="REDTab11" localSheetId="44">#REF!</definedName>
    <definedName name="REDTab11" localSheetId="45">#REF!</definedName>
    <definedName name="REDTab11" localSheetId="46">#REF!</definedName>
    <definedName name="REDTab11" localSheetId="37">#REF!</definedName>
    <definedName name="REDTab11" localSheetId="40">#REF!</definedName>
    <definedName name="REDTab11" localSheetId="54">#REF!</definedName>
    <definedName name="REDTab11" localSheetId="55">#REF!</definedName>
    <definedName name="REDTab11" localSheetId="52">#REF!</definedName>
    <definedName name="REDTab11" localSheetId="51">#REF!</definedName>
    <definedName name="REDTab11" localSheetId="53">#REF!</definedName>
    <definedName name="REDTab11">#REF!</definedName>
    <definedName name="REDTab12" localSheetId="50">#REF!</definedName>
    <definedName name="REDTab12" localSheetId="47">#REF!</definedName>
    <definedName name="REDTab12" localSheetId="44">#REF!</definedName>
    <definedName name="REDTab12" localSheetId="45">#REF!</definedName>
    <definedName name="REDTab12" localSheetId="46">#REF!</definedName>
    <definedName name="REDTab12" localSheetId="37">#REF!</definedName>
    <definedName name="REDTab12" localSheetId="40">#REF!</definedName>
    <definedName name="REDTab12" localSheetId="54">#REF!</definedName>
    <definedName name="REDTab12" localSheetId="55">#REF!</definedName>
    <definedName name="REDTab12" localSheetId="52">#REF!</definedName>
    <definedName name="REDTab12" localSheetId="51">#REF!</definedName>
    <definedName name="REDTab12" localSheetId="53">#REF!</definedName>
    <definedName name="REDTab12">#REF!</definedName>
    <definedName name="REDTab13" localSheetId="50">#REF!</definedName>
    <definedName name="REDTab13" localSheetId="47">#REF!</definedName>
    <definedName name="REDTab13" localSheetId="44">#REF!</definedName>
    <definedName name="REDTab13" localSheetId="45">#REF!</definedName>
    <definedName name="REDTab13" localSheetId="46">#REF!</definedName>
    <definedName name="REDTab13" localSheetId="37">#REF!</definedName>
    <definedName name="REDTab13" localSheetId="40">#REF!</definedName>
    <definedName name="REDTab13" localSheetId="54">#REF!</definedName>
    <definedName name="REDTab13" localSheetId="55">#REF!</definedName>
    <definedName name="REDTab13" localSheetId="52">#REF!</definedName>
    <definedName name="REDTab13" localSheetId="51">#REF!</definedName>
    <definedName name="REDTab13" localSheetId="53">#REF!</definedName>
    <definedName name="REDTab13">#REF!</definedName>
    <definedName name="REDTab14" localSheetId="50">#REF!</definedName>
    <definedName name="REDTab14" localSheetId="47">#REF!</definedName>
    <definedName name="REDTab14" localSheetId="44">#REF!</definedName>
    <definedName name="REDTab14" localSheetId="45">#REF!</definedName>
    <definedName name="REDTab14" localSheetId="46">#REF!</definedName>
    <definedName name="REDTab14" localSheetId="37">#REF!</definedName>
    <definedName name="REDTab14" localSheetId="40">#REF!</definedName>
    <definedName name="REDTab14" localSheetId="54">#REF!</definedName>
    <definedName name="REDTab14" localSheetId="55">#REF!</definedName>
    <definedName name="REDTab14" localSheetId="52">#REF!</definedName>
    <definedName name="REDTab14" localSheetId="51">#REF!</definedName>
    <definedName name="REDTab14" localSheetId="53">#REF!</definedName>
    <definedName name="REDTab14">#REF!</definedName>
    <definedName name="REDTab8" localSheetId="50">#REF!</definedName>
    <definedName name="REDTab8" localSheetId="47">#REF!</definedName>
    <definedName name="REDTab8" localSheetId="44">#REF!</definedName>
    <definedName name="REDTab8" localSheetId="45">#REF!</definedName>
    <definedName name="REDTab8" localSheetId="46">#REF!</definedName>
    <definedName name="REDTab8" localSheetId="37">#REF!</definedName>
    <definedName name="REDTab8" localSheetId="40">#REF!</definedName>
    <definedName name="REDTab8" localSheetId="54">#REF!</definedName>
    <definedName name="REDTab8" localSheetId="55">#REF!</definedName>
    <definedName name="REDTab8" localSheetId="52">#REF!</definedName>
    <definedName name="REDTab8" localSheetId="51">#REF!</definedName>
    <definedName name="REDTab8" localSheetId="53">#REF!</definedName>
    <definedName name="REDTab8">#REF!</definedName>
    <definedName name="REDTab9" localSheetId="50">#REF!</definedName>
    <definedName name="REDTab9" localSheetId="47">#REF!</definedName>
    <definedName name="REDTab9" localSheetId="44">#REF!</definedName>
    <definedName name="REDTab9" localSheetId="45">#REF!</definedName>
    <definedName name="REDTab9" localSheetId="46">#REF!</definedName>
    <definedName name="REDTab9" localSheetId="37">#REF!</definedName>
    <definedName name="REDTab9" localSheetId="40">#REF!</definedName>
    <definedName name="REDTab9" localSheetId="54">#REF!</definedName>
    <definedName name="REDTab9" localSheetId="55">#REF!</definedName>
    <definedName name="REDTab9" localSheetId="52">#REF!</definedName>
    <definedName name="REDTab9" localSheetId="51">#REF!</definedName>
    <definedName name="REDTab9" localSheetId="53">#REF!</definedName>
    <definedName name="REDTab9">#REF!</definedName>
    <definedName name="REDTbl3" localSheetId="34">#REF!</definedName>
    <definedName name="REDTbl3" localSheetId="35">#REF!</definedName>
    <definedName name="REDTbl3" localSheetId="50">#REF!</definedName>
    <definedName name="REDTbl3" localSheetId="15">#REF!</definedName>
    <definedName name="REDTbl3" localSheetId="29">#REF!</definedName>
    <definedName name="REDTbl3" localSheetId="30">#REF!</definedName>
    <definedName name="REDTbl3" localSheetId="47">#REF!</definedName>
    <definedName name="REDTbl3" localSheetId="44">#REF!</definedName>
    <definedName name="REDTbl3" localSheetId="45">#REF!</definedName>
    <definedName name="REDTbl3" localSheetId="46">#REF!</definedName>
    <definedName name="REDTbl3" localSheetId="31">#REF!</definedName>
    <definedName name="REDTbl3" localSheetId="32">#REF!</definedName>
    <definedName name="REDTbl3" localSheetId="33">#REF!</definedName>
    <definedName name="REDTbl3" localSheetId="36">#REF!</definedName>
    <definedName name="REDTbl3" localSheetId="37">#REF!</definedName>
    <definedName name="REDTbl3" localSheetId="38">#REF!</definedName>
    <definedName name="REDTbl3" localSheetId="39">#REF!</definedName>
    <definedName name="REDTbl3" localSheetId="40">#REF!</definedName>
    <definedName name="REDTbl3" localSheetId="54">#REF!</definedName>
    <definedName name="REDTbl3" localSheetId="55">#REF!</definedName>
    <definedName name="REDTbl3" localSheetId="52">#REF!</definedName>
    <definedName name="REDTbl3" localSheetId="23">#REF!</definedName>
    <definedName name="REDTbl3" localSheetId="51">#REF!</definedName>
    <definedName name="REDTbl3" localSheetId="53">#REF!</definedName>
    <definedName name="REDTbl3" localSheetId="20">#REF!</definedName>
    <definedName name="REDTbl3">#REF!</definedName>
    <definedName name="REDTbl4" localSheetId="34">#REF!</definedName>
    <definedName name="REDTbl4" localSheetId="35">#REF!</definedName>
    <definedName name="REDTbl4" localSheetId="50">#REF!</definedName>
    <definedName name="REDTbl4" localSheetId="15">#REF!</definedName>
    <definedName name="REDTbl4" localSheetId="29">#REF!</definedName>
    <definedName name="REDTbl4" localSheetId="30">#REF!</definedName>
    <definedName name="REDTbl4" localSheetId="47">#REF!</definedName>
    <definedName name="REDTbl4" localSheetId="44">#REF!</definedName>
    <definedName name="REDTbl4" localSheetId="45">#REF!</definedName>
    <definedName name="REDTbl4" localSheetId="46">#REF!</definedName>
    <definedName name="REDTbl4" localSheetId="31">#REF!</definedName>
    <definedName name="REDTbl4" localSheetId="32">#REF!</definedName>
    <definedName name="REDTbl4" localSheetId="33">#REF!</definedName>
    <definedName name="REDTbl4" localSheetId="36">#REF!</definedName>
    <definedName name="REDTbl4" localSheetId="37">#REF!</definedName>
    <definedName name="REDTbl4" localSheetId="38">#REF!</definedName>
    <definedName name="REDTbl4" localSheetId="39">#REF!</definedName>
    <definedName name="REDTbl4" localSheetId="40">#REF!</definedName>
    <definedName name="REDTbl4" localSheetId="54">#REF!</definedName>
    <definedName name="REDTbl4" localSheetId="55">#REF!</definedName>
    <definedName name="REDTbl4" localSheetId="52">#REF!</definedName>
    <definedName name="REDTbl4" localSheetId="23">#REF!</definedName>
    <definedName name="REDTbl4" localSheetId="51">#REF!</definedName>
    <definedName name="REDTbl4" localSheetId="53">#REF!</definedName>
    <definedName name="REDTbl4" localSheetId="20">#REF!</definedName>
    <definedName name="REDTbl4">#REF!</definedName>
    <definedName name="REDTbl5" localSheetId="34">#REF!</definedName>
    <definedName name="REDTbl5" localSheetId="35">#REF!</definedName>
    <definedName name="REDTbl5" localSheetId="50">#REF!</definedName>
    <definedName name="REDTbl5" localSheetId="15">#REF!</definedName>
    <definedName name="REDTbl5" localSheetId="29">#REF!</definedName>
    <definedName name="REDTbl5" localSheetId="30">#REF!</definedName>
    <definedName name="REDTbl5" localSheetId="47">#REF!</definedName>
    <definedName name="REDTbl5" localSheetId="44">#REF!</definedName>
    <definedName name="REDTbl5" localSheetId="45">#REF!</definedName>
    <definedName name="REDTbl5" localSheetId="46">#REF!</definedName>
    <definedName name="REDTbl5" localSheetId="31">#REF!</definedName>
    <definedName name="REDTbl5" localSheetId="32">#REF!</definedName>
    <definedName name="REDTbl5" localSheetId="33">#REF!</definedName>
    <definedName name="REDTbl5" localSheetId="36">#REF!</definedName>
    <definedName name="REDTbl5" localSheetId="37">#REF!</definedName>
    <definedName name="REDTbl5" localSheetId="38">#REF!</definedName>
    <definedName name="REDTbl5" localSheetId="39">#REF!</definedName>
    <definedName name="REDTbl5" localSheetId="40">#REF!</definedName>
    <definedName name="REDTbl5" localSheetId="54">#REF!</definedName>
    <definedName name="REDTbl5" localSheetId="55">#REF!</definedName>
    <definedName name="REDTbl5" localSheetId="52">#REF!</definedName>
    <definedName name="REDTbl5" localSheetId="23">#REF!</definedName>
    <definedName name="REDTbl5" localSheetId="51">#REF!</definedName>
    <definedName name="REDTbl5" localSheetId="53">#REF!</definedName>
    <definedName name="REDTbl5" localSheetId="20">#REF!</definedName>
    <definedName name="REDTbl5">#REF!</definedName>
    <definedName name="REDTbl6" localSheetId="34">#REF!</definedName>
    <definedName name="REDTbl6" localSheetId="35">#REF!</definedName>
    <definedName name="REDTbl6" localSheetId="50">#REF!</definedName>
    <definedName name="REDTbl6" localSheetId="15">#REF!</definedName>
    <definedName name="REDTbl6" localSheetId="29">#REF!</definedName>
    <definedName name="REDTbl6" localSheetId="30">#REF!</definedName>
    <definedName name="REDTbl6" localSheetId="47">#REF!</definedName>
    <definedName name="REDTbl6" localSheetId="44">#REF!</definedName>
    <definedName name="REDTbl6" localSheetId="45">#REF!</definedName>
    <definedName name="REDTbl6" localSheetId="46">#REF!</definedName>
    <definedName name="REDTbl6" localSheetId="31">#REF!</definedName>
    <definedName name="REDTbl6" localSheetId="32">#REF!</definedName>
    <definedName name="REDTbl6" localSheetId="33">#REF!</definedName>
    <definedName name="REDTbl6" localSheetId="36">#REF!</definedName>
    <definedName name="REDTbl6" localSheetId="37">#REF!</definedName>
    <definedName name="REDTbl6" localSheetId="38">#REF!</definedName>
    <definedName name="REDTbl6" localSheetId="39">#REF!</definedName>
    <definedName name="REDTbl6" localSheetId="40">#REF!</definedName>
    <definedName name="REDTbl6" localSheetId="54">#REF!</definedName>
    <definedName name="REDTbl6" localSheetId="55">#REF!</definedName>
    <definedName name="REDTbl6" localSheetId="52">#REF!</definedName>
    <definedName name="REDTbl6" localSheetId="23">#REF!</definedName>
    <definedName name="REDTbl6" localSheetId="51">#REF!</definedName>
    <definedName name="REDTbl6" localSheetId="53">#REF!</definedName>
    <definedName name="REDTbl6" localSheetId="20">#REF!</definedName>
    <definedName name="REDTbl6">#REF!</definedName>
    <definedName name="REDTbl7" localSheetId="34">#REF!</definedName>
    <definedName name="REDTbl7" localSheetId="35">#REF!</definedName>
    <definedName name="REDTbl7" localSheetId="50">#REF!</definedName>
    <definedName name="REDTbl7" localSheetId="15">#REF!</definedName>
    <definedName name="REDTbl7" localSheetId="29">#REF!</definedName>
    <definedName name="REDTbl7" localSheetId="30">#REF!</definedName>
    <definedName name="REDTbl7" localSheetId="47">#REF!</definedName>
    <definedName name="REDTbl7" localSheetId="44">#REF!</definedName>
    <definedName name="REDTbl7" localSheetId="45">#REF!</definedName>
    <definedName name="REDTbl7" localSheetId="46">#REF!</definedName>
    <definedName name="REDTbl7" localSheetId="31">#REF!</definedName>
    <definedName name="REDTbl7" localSheetId="32">#REF!</definedName>
    <definedName name="REDTbl7" localSheetId="33">#REF!</definedName>
    <definedName name="REDTbl7" localSheetId="36">#REF!</definedName>
    <definedName name="REDTbl7" localSheetId="37">#REF!</definedName>
    <definedName name="REDTbl7" localSheetId="38">#REF!</definedName>
    <definedName name="REDTbl7" localSheetId="39">#REF!</definedName>
    <definedName name="REDTbl7" localSheetId="40">#REF!</definedName>
    <definedName name="REDTbl7" localSheetId="54">#REF!</definedName>
    <definedName name="REDTbl7" localSheetId="55">#REF!</definedName>
    <definedName name="REDTbl7" localSheetId="52">#REF!</definedName>
    <definedName name="REDTbl7" localSheetId="23">#REF!</definedName>
    <definedName name="REDTbl7" localSheetId="51">#REF!</definedName>
    <definedName name="REDTbl7" localSheetId="53">#REF!</definedName>
    <definedName name="REDTbl7" localSheetId="20">#REF!</definedName>
    <definedName name="REDTbl7">#REF!</definedName>
    <definedName name="releases">'[41]Project Overview'!$C$17:$C$21</definedName>
    <definedName name="renegocia" localSheetId="34">[27]Programa!#REF!</definedName>
    <definedName name="renegocia" localSheetId="35">[27]Programa!#REF!</definedName>
    <definedName name="renegocia" localSheetId="50">[27]Programa!#REF!</definedName>
    <definedName name="renegocia" localSheetId="15">[27]Programa!#REF!</definedName>
    <definedName name="renegocia" localSheetId="29">[27]Programa!#REF!</definedName>
    <definedName name="renegocia" localSheetId="30">[27]Programa!#REF!</definedName>
    <definedName name="renegocia" localSheetId="47">[27]Programa!#REF!</definedName>
    <definedName name="renegocia" localSheetId="44">[27]Programa!#REF!</definedName>
    <definedName name="renegocia" localSheetId="45">[27]Programa!#REF!</definedName>
    <definedName name="renegocia" localSheetId="46">[27]Programa!#REF!</definedName>
    <definedName name="renegocia" localSheetId="31">[27]Programa!#REF!</definedName>
    <definedName name="renegocia" localSheetId="32">[27]Programa!#REF!</definedName>
    <definedName name="renegocia" localSheetId="33">[27]Programa!#REF!</definedName>
    <definedName name="renegocia" localSheetId="36">[27]Programa!#REF!</definedName>
    <definedName name="renegocia" localSheetId="37">[27]Programa!#REF!</definedName>
    <definedName name="renegocia" localSheetId="38">[27]Programa!#REF!</definedName>
    <definedName name="renegocia" localSheetId="39">[27]Programa!#REF!</definedName>
    <definedName name="renegocia" localSheetId="40">[27]Programa!#REF!</definedName>
    <definedName name="renegocia" localSheetId="54">[27]Programa!#REF!</definedName>
    <definedName name="renegocia" localSheetId="55">[27]Programa!#REF!</definedName>
    <definedName name="renegocia" localSheetId="52">[27]Programa!#REF!</definedName>
    <definedName name="renegocia" localSheetId="23">[27]Programa!#REF!</definedName>
    <definedName name="renegocia" localSheetId="51">[27]Programa!#REF!</definedName>
    <definedName name="renegocia" localSheetId="53">[27]Programa!#REF!</definedName>
    <definedName name="renegocia" localSheetId="20">[27]Programa!#REF!</definedName>
    <definedName name="renegocia">[27]Programa!#REF!</definedName>
    <definedName name="rep_tasas" localSheetId="34">#REF!</definedName>
    <definedName name="rep_tasas" localSheetId="35">#REF!</definedName>
    <definedName name="rep_tasas" localSheetId="50">#REF!</definedName>
    <definedName name="rep_tasas" localSheetId="15">#REF!</definedName>
    <definedName name="rep_tasas" localSheetId="29">#REF!</definedName>
    <definedName name="rep_tasas" localSheetId="30">#REF!</definedName>
    <definedName name="rep_tasas" localSheetId="47">#REF!</definedName>
    <definedName name="rep_tasas" localSheetId="44">#REF!</definedName>
    <definedName name="rep_tasas" localSheetId="45">#REF!</definedName>
    <definedName name="rep_tasas" localSheetId="46">#REF!</definedName>
    <definedName name="rep_tasas" localSheetId="31">#REF!</definedName>
    <definedName name="rep_tasas" localSheetId="32">#REF!</definedName>
    <definedName name="rep_tasas" localSheetId="33">#REF!</definedName>
    <definedName name="rep_tasas" localSheetId="36">#REF!</definedName>
    <definedName name="rep_tasas" localSheetId="37">#REF!</definedName>
    <definedName name="rep_tasas" localSheetId="38">#REF!</definedName>
    <definedName name="rep_tasas" localSheetId="39">#REF!</definedName>
    <definedName name="rep_tasas" localSheetId="40">#REF!</definedName>
    <definedName name="rep_tasas" localSheetId="54">#REF!</definedName>
    <definedName name="rep_tasas" localSheetId="55">#REF!</definedName>
    <definedName name="rep_tasas" localSheetId="52">#REF!</definedName>
    <definedName name="rep_tasas" localSheetId="23">#REF!</definedName>
    <definedName name="rep_tasas" localSheetId="51">#REF!</definedName>
    <definedName name="rep_tasas" localSheetId="53">#REF!</definedName>
    <definedName name="rep_tasas" localSheetId="20">#REF!</definedName>
    <definedName name="rep_tasas">#REF!</definedName>
    <definedName name="Report_High" localSheetId="50">#REF!</definedName>
    <definedName name="Report_High" localSheetId="47">#REF!</definedName>
    <definedName name="Report_High" localSheetId="44">#REF!</definedName>
    <definedName name="Report_High" localSheetId="45">#REF!</definedName>
    <definedName name="Report_High" localSheetId="46">#REF!</definedName>
    <definedName name="Report_High" localSheetId="37">#REF!</definedName>
    <definedName name="Report_High" localSheetId="40">#REF!</definedName>
    <definedName name="Report_High" localSheetId="54">#REF!</definedName>
    <definedName name="Report_High" localSheetId="55">#REF!</definedName>
    <definedName name="Report_High" localSheetId="52">#REF!</definedName>
    <definedName name="Report_High" localSheetId="51">#REF!</definedName>
    <definedName name="Report_High" localSheetId="53">#REF!</definedName>
    <definedName name="Report_High">#REF!</definedName>
    <definedName name="Report_Low" localSheetId="50">#REF!</definedName>
    <definedName name="Report_Low" localSheetId="47">#REF!</definedName>
    <definedName name="Report_Low" localSheetId="44">#REF!</definedName>
    <definedName name="Report_Low" localSheetId="45">#REF!</definedName>
    <definedName name="Report_Low" localSheetId="46">#REF!</definedName>
    <definedName name="Report_Low" localSheetId="37">#REF!</definedName>
    <definedName name="Report_Low" localSheetId="40">#REF!</definedName>
    <definedName name="Report_Low" localSheetId="54">#REF!</definedName>
    <definedName name="Report_Low" localSheetId="55">#REF!</definedName>
    <definedName name="Report_Low" localSheetId="52">#REF!</definedName>
    <definedName name="Report_Low" localSheetId="51">#REF!</definedName>
    <definedName name="Report_Low" localSheetId="53">#REF!</definedName>
    <definedName name="Report_Low">#REF!</definedName>
    <definedName name="Report_Med" localSheetId="50">#REF!</definedName>
    <definedName name="Report_Med" localSheetId="47">#REF!</definedName>
    <definedName name="Report_Med" localSheetId="44">#REF!</definedName>
    <definedName name="Report_Med" localSheetId="45">#REF!</definedName>
    <definedName name="Report_Med" localSheetId="46">#REF!</definedName>
    <definedName name="Report_Med" localSheetId="37">#REF!</definedName>
    <definedName name="Report_Med" localSheetId="40">#REF!</definedName>
    <definedName name="Report_Med" localSheetId="54">#REF!</definedName>
    <definedName name="Report_Med" localSheetId="55">#REF!</definedName>
    <definedName name="Report_Med" localSheetId="52">#REF!</definedName>
    <definedName name="Report_Med" localSheetId="51">#REF!</definedName>
    <definedName name="Report_Med" localSheetId="53">#REF!</definedName>
    <definedName name="Report_Med">#REF!</definedName>
    <definedName name="Report_Scales">'[141]Report Form'!$A$5:$A$8</definedName>
    <definedName name="ReportDate">[87]Config!$B$21</definedName>
    <definedName name="ReportDir" localSheetId="50">#REF!</definedName>
    <definedName name="ReportDir" localSheetId="47">#REF!</definedName>
    <definedName name="ReportDir" localSheetId="44">#REF!</definedName>
    <definedName name="ReportDir" localSheetId="45">#REF!</definedName>
    <definedName name="ReportDir" localSheetId="46">#REF!</definedName>
    <definedName name="ReportDir" localSheetId="37">#REF!</definedName>
    <definedName name="ReportDir" localSheetId="40">#REF!</definedName>
    <definedName name="ReportDir" localSheetId="54">#REF!</definedName>
    <definedName name="ReportDir" localSheetId="55">#REF!</definedName>
    <definedName name="ReportDir" localSheetId="52">#REF!</definedName>
    <definedName name="ReportDir" localSheetId="51">#REF!</definedName>
    <definedName name="ReportDir" localSheetId="53">#REF!</definedName>
    <definedName name="ReportDir">#REF!</definedName>
    <definedName name="REPORTERS" localSheetId="34">[62]Countries_Master!#REF!</definedName>
    <definedName name="REPORTERS" localSheetId="35">[62]Countries_Master!#REF!</definedName>
    <definedName name="REPORTERS" localSheetId="50">[62]Countries_Master!#REF!</definedName>
    <definedName name="REPORTERS" localSheetId="15">[62]Countries_Master!#REF!</definedName>
    <definedName name="REPORTERS" localSheetId="29">[62]Countries_Master!#REF!</definedName>
    <definedName name="REPORTERS" localSheetId="30">[62]Countries_Master!#REF!</definedName>
    <definedName name="REPORTERS" localSheetId="47">[62]Countries_Master!#REF!</definedName>
    <definedName name="REPORTERS" localSheetId="44">[62]Countries_Master!#REF!</definedName>
    <definedName name="REPORTERS" localSheetId="45">[62]Countries_Master!#REF!</definedName>
    <definedName name="REPORTERS" localSheetId="46">[62]Countries_Master!#REF!</definedName>
    <definedName name="REPORTERS" localSheetId="31">[62]Countries_Master!#REF!</definedName>
    <definedName name="REPORTERS" localSheetId="32">[62]Countries_Master!#REF!</definedName>
    <definedName name="REPORTERS" localSheetId="33">[62]Countries_Master!#REF!</definedName>
    <definedName name="REPORTERS" localSheetId="36">[62]Countries_Master!#REF!</definedName>
    <definedName name="REPORTERS" localSheetId="37">[62]Countries_Master!#REF!</definedName>
    <definedName name="REPORTERS" localSheetId="38">[62]Countries_Master!#REF!</definedName>
    <definedName name="REPORTERS" localSheetId="39">[62]Countries_Master!#REF!</definedName>
    <definedName name="REPORTERS" localSheetId="40">[62]Countries_Master!#REF!</definedName>
    <definedName name="REPORTERS" localSheetId="54">[62]Countries_Master!#REF!</definedName>
    <definedName name="REPORTERS" localSheetId="55">[62]Countries_Master!#REF!</definedName>
    <definedName name="REPORTERS" localSheetId="52">[62]Countries_Master!#REF!</definedName>
    <definedName name="REPORTERS" localSheetId="23">[62]Countries_Master!#REF!</definedName>
    <definedName name="REPORTERS" localSheetId="51">[62]Countries_Master!#REF!</definedName>
    <definedName name="REPORTERS" localSheetId="53">[62]Countries_Master!#REF!</definedName>
    <definedName name="REPORTERS" localSheetId="20">[62]Countries_Master!#REF!</definedName>
    <definedName name="REPORTERS">[62]Countries_Master!#REF!</definedName>
    <definedName name="Reporting_Country">[60]Control!$B$27</definedName>
    <definedName name="Reporting_Country_Code">'[94]Report Form'!$M$2</definedName>
    <definedName name="Reporting_Country_Name">'[94]Report Form'!$M$3</definedName>
    <definedName name="Reporting_CountryCode">[137]Control!$B$28</definedName>
    <definedName name="Reporting_Currency_Code">'[94]Report Form'!$M$5</definedName>
    <definedName name="Reporting_Currency_Name">[142]Control!$C$30</definedName>
    <definedName name="Reporting_Scale_Name">[142]Control!$C$31</definedName>
    <definedName name="Reporting_Year">[60]Control!$B$29</definedName>
    <definedName name="Reports" localSheetId="50">#REF!</definedName>
    <definedName name="Reports" localSheetId="47">#REF!</definedName>
    <definedName name="Reports" localSheetId="44">#REF!</definedName>
    <definedName name="Reports" localSheetId="45">#REF!</definedName>
    <definedName name="Reports" localSheetId="46">#REF!</definedName>
    <definedName name="Reports" localSheetId="37">#REF!</definedName>
    <definedName name="Reports" localSheetId="40">#REF!</definedName>
    <definedName name="Reports" localSheetId="54">#REF!</definedName>
    <definedName name="Reports" localSheetId="55">#REF!</definedName>
    <definedName name="Reports" localSheetId="52">#REF!</definedName>
    <definedName name="Reports" localSheetId="51">#REF!</definedName>
    <definedName name="Reports" localSheetId="53">#REF!</definedName>
    <definedName name="Reports">#REF!</definedName>
    <definedName name="ReportsWeek" localSheetId="50">#REF!</definedName>
    <definedName name="ReportsWeek" localSheetId="47">#REF!</definedName>
    <definedName name="ReportsWeek" localSheetId="44">#REF!</definedName>
    <definedName name="ReportsWeek" localSheetId="45">#REF!</definedName>
    <definedName name="ReportsWeek" localSheetId="46">#REF!</definedName>
    <definedName name="ReportsWeek" localSheetId="37">#REF!</definedName>
    <definedName name="ReportsWeek" localSheetId="40">#REF!</definedName>
    <definedName name="ReportsWeek" localSheetId="54">#REF!</definedName>
    <definedName name="ReportsWeek" localSheetId="55">#REF!</definedName>
    <definedName name="ReportsWeek" localSheetId="52">#REF!</definedName>
    <definedName name="ReportsWeek" localSheetId="51">#REF!</definedName>
    <definedName name="ReportsWeek" localSheetId="53">#REF!</definedName>
    <definedName name="ReportsWeek">#REF!</definedName>
    <definedName name="ReportsWeekBody" localSheetId="50">#REF!</definedName>
    <definedName name="ReportsWeekBody" localSheetId="47">#REF!</definedName>
    <definedName name="ReportsWeekBody" localSheetId="44">#REF!</definedName>
    <definedName name="ReportsWeekBody" localSheetId="45">#REF!</definedName>
    <definedName name="ReportsWeekBody" localSheetId="46">#REF!</definedName>
    <definedName name="ReportsWeekBody" localSheetId="37">#REF!</definedName>
    <definedName name="ReportsWeekBody" localSheetId="40">#REF!</definedName>
    <definedName name="ReportsWeekBody" localSheetId="54">#REF!</definedName>
    <definedName name="ReportsWeekBody" localSheetId="55">#REF!</definedName>
    <definedName name="ReportsWeekBody" localSheetId="52">#REF!</definedName>
    <definedName name="ReportsWeekBody" localSheetId="51">#REF!</definedName>
    <definedName name="ReportsWeekBody" localSheetId="53">#REF!</definedName>
    <definedName name="ReportsWeekBody">#REF!</definedName>
    <definedName name="ReportsWeekCC" localSheetId="50">#REF!</definedName>
    <definedName name="ReportsWeekCC" localSheetId="47">#REF!</definedName>
    <definedName name="ReportsWeekCC" localSheetId="44">#REF!</definedName>
    <definedName name="ReportsWeekCC" localSheetId="45">#REF!</definedName>
    <definedName name="ReportsWeekCC" localSheetId="46">#REF!</definedName>
    <definedName name="ReportsWeekCC" localSheetId="37">#REF!</definedName>
    <definedName name="ReportsWeekCC" localSheetId="40">#REF!</definedName>
    <definedName name="ReportsWeekCC" localSheetId="54">#REF!</definedName>
    <definedName name="ReportsWeekCC" localSheetId="55">#REF!</definedName>
    <definedName name="ReportsWeekCC" localSheetId="52">#REF!</definedName>
    <definedName name="ReportsWeekCC" localSheetId="51">#REF!</definedName>
    <definedName name="ReportsWeekCC" localSheetId="53">#REF!</definedName>
    <definedName name="ReportsWeekCC">#REF!</definedName>
    <definedName name="ReportsWeekDir" localSheetId="50">#REF!</definedName>
    <definedName name="ReportsWeekDir" localSheetId="47">#REF!</definedName>
    <definedName name="ReportsWeekDir" localSheetId="44">#REF!</definedName>
    <definedName name="ReportsWeekDir" localSheetId="45">#REF!</definedName>
    <definedName name="ReportsWeekDir" localSheetId="46">#REF!</definedName>
    <definedName name="ReportsWeekDir" localSheetId="37">#REF!</definedName>
    <definedName name="ReportsWeekDir" localSheetId="40">#REF!</definedName>
    <definedName name="ReportsWeekDir" localSheetId="54">#REF!</definedName>
    <definedName name="ReportsWeekDir" localSheetId="55">#REF!</definedName>
    <definedName name="ReportsWeekDir" localSheetId="52">#REF!</definedName>
    <definedName name="ReportsWeekDir" localSheetId="51">#REF!</definedName>
    <definedName name="ReportsWeekDir" localSheetId="53">#REF!</definedName>
    <definedName name="ReportsWeekDir">#REF!</definedName>
    <definedName name="ReportsWeekFile" localSheetId="50">#REF!</definedName>
    <definedName name="ReportsWeekFile" localSheetId="47">#REF!</definedName>
    <definedName name="ReportsWeekFile" localSheetId="44">#REF!</definedName>
    <definedName name="ReportsWeekFile" localSheetId="45">#REF!</definedName>
    <definedName name="ReportsWeekFile" localSheetId="46">#REF!</definedName>
    <definedName name="ReportsWeekFile" localSheetId="37">#REF!</definedName>
    <definedName name="ReportsWeekFile" localSheetId="40">#REF!</definedName>
    <definedName name="ReportsWeekFile" localSheetId="54">#REF!</definedName>
    <definedName name="ReportsWeekFile" localSheetId="55">#REF!</definedName>
    <definedName name="ReportsWeekFile" localSheetId="52">#REF!</definedName>
    <definedName name="ReportsWeekFile" localSheetId="51">#REF!</definedName>
    <definedName name="ReportsWeekFile" localSheetId="53">#REF!</definedName>
    <definedName name="ReportsWeekFile">#REF!</definedName>
    <definedName name="ReportsWeekFilename" localSheetId="50">#REF!</definedName>
    <definedName name="ReportsWeekFilename" localSheetId="47">#REF!</definedName>
    <definedName name="ReportsWeekFilename" localSheetId="44">#REF!</definedName>
    <definedName name="ReportsWeekFilename" localSheetId="45">#REF!</definedName>
    <definedName name="ReportsWeekFilename" localSheetId="46">#REF!</definedName>
    <definedName name="ReportsWeekFilename" localSheetId="37">#REF!</definedName>
    <definedName name="ReportsWeekFilename" localSheetId="40">#REF!</definedName>
    <definedName name="ReportsWeekFilename" localSheetId="54">#REF!</definedName>
    <definedName name="ReportsWeekFilename" localSheetId="55">#REF!</definedName>
    <definedName name="ReportsWeekFilename" localSheetId="52">#REF!</definedName>
    <definedName name="ReportsWeekFilename" localSheetId="51">#REF!</definedName>
    <definedName name="ReportsWeekFilename" localSheetId="53">#REF!</definedName>
    <definedName name="ReportsWeekFilename">#REF!</definedName>
    <definedName name="ReportsWeekLastFile" localSheetId="50">#REF!</definedName>
    <definedName name="ReportsWeekLastFile" localSheetId="47">#REF!</definedName>
    <definedName name="ReportsWeekLastFile" localSheetId="44">#REF!</definedName>
    <definedName name="ReportsWeekLastFile" localSheetId="45">#REF!</definedName>
    <definedName name="ReportsWeekLastFile" localSheetId="46">#REF!</definedName>
    <definedName name="ReportsWeekLastFile" localSheetId="37">#REF!</definedName>
    <definedName name="ReportsWeekLastFile" localSheetId="40">#REF!</definedName>
    <definedName name="ReportsWeekLastFile" localSheetId="54">#REF!</definedName>
    <definedName name="ReportsWeekLastFile" localSheetId="55">#REF!</definedName>
    <definedName name="ReportsWeekLastFile" localSheetId="52">#REF!</definedName>
    <definedName name="ReportsWeekLastFile" localSheetId="51">#REF!</definedName>
    <definedName name="ReportsWeekLastFile" localSheetId="53">#REF!</definedName>
    <definedName name="ReportsWeekLastFile">#REF!</definedName>
    <definedName name="ReportsWeekSendTime" localSheetId="50">#REF!</definedName>
    <definedName name="ReportsWeekSendTime" localSheetId="47">#REF!</definedName>
    <definedName name="ReportsWeekSendTime" localSheetId="44">#REF!</definedName>
    <definedName name="ReportsWeekSendTime" localSheetId="45">#REF!</definedName>
    <definedName name="ReportsWeekSendTime" localSheetId="46">#REF!</definedName>
    <definedName name="ReportsWeekSendTime" localSheetId="37">#REF!</definedName>
    <definedName name="ReportsWeekSendTime" localSheetId="40">#REF!</definedName>
    <definedName name="ReportsWeekSendTime" localSheetId="54">#REF!</definedName>
    <definedName name="ReportsWeekSendTime" localSheetId="55">#REF!</definedName>
    <definedName name="ReportsWeekSendTime" localSheetId="52">#REF!</definedName>
    <definedName name="ReportsWeekSendTime" localSheetId="51">#REF!</definedName>
    <definedName name="ReportsWeekSendTime" localSheetId="53">#REF!</definedName>
    <definedName name="ReportsWeekSendTime">#REF!</definedName>
    <definedName name="ReportsWeekTo" localSheetId="50">#REF!</definedName>
    <definedName name="ReportsWeekTo" localSheetId="47">#REF!</definedName>
    <definedName name="ReportsWeekTo" localSheetId="44">#REF!</definedName>
    <definedName name="ReportsWeekTo" localSheetId="45">#REF!</definedName>
    <definedName name="ReportsWeekTo" localSheetId="46">#REF!</definedName>
    <definedName name="ReportsWeekTo" localSheetId="37">#REF!</definedName>
    <definedName name="ReportsWeekTo" localSheetId="40">#REF!</definedName>
    <definedName name="ReportsWeekTo" localSheetId="54">#REF!</definedName>
    <definedName name="ReportsWeekTo" localSheetId="55">#REF!</definedName>
    <definedName name="ReportsWeekTo" localSheetId="52">#REF!</definedName>
    <definedName name="ReportsWeekTo" localSheetId="51">#REF!</definedName>
    <definedName name="ReportsWeekTo" localSheetId="53">#REF!</definedName>
    <definedName name="ReportsWeekTo">#REF!</definedName>
    <definedName name="ReportsWeekVersion" localSheetId="50">#REF!</definedName>
    <definedName name="ReportsWeekVersion" localSheetId="47">#REF!</definedName>
    <definedName name="ReportsWeekVersion" localSheetId="44">#REF!</definedName>
    <definedName name="ReportsWeekVersion" localSheetId="45">#REF!</definedName>
    <definedName name="ReportsWeekVersion" localSheetId="46">#REF!</definedName>
    <definedName name="ReportsWeekVersion" localSheetId="37">#REF!</definedName>
    <definedName name="ReportsWeekVersion" localSheetId="40">#REF!</definedName>
    <definedName name="ReportsWeekVersion" localSheetId="54">#REF!</definedName>
    <definedName name="ReportsWeekVersion" localSheetId="55">#REF!</definedName>
    <definedName name="ReportsWeekVersion" localSheetId="52">#REF!</definedName>
    <definedName name="ReportsWeekVersion" localSheetId="51">#REF!</definedName>
    <definedName name="ReportsWeekVersion" localSheetId="53">#REF!</definedName>
    <definedName name="ReportsWeekVersion">#REF!</definedName>
    <definedName name="requirements_enum">'[143]phase 1'!$C$2:$C$219</definedName>
    <definedName name="ResourceTypes" localSheetId="50">#REF!</definedName>
    <definedName name="ResourceTypes" localSheetId="47">#REF!</definedName>
    <definedName name="ResourceTypes" localSheetId="44">#REF!</definedName>
    <definedName name="ResourceTypes" localSheetId="45">#REF!</definedName>
    <definedName name="ResourceTypes" localSheetId="46">#REF!</definedName>
    <definedName name="ResourceTypes" localSheetId="37">#REF!</definedName>
    <definedName name="ResourceTypes" localSheetId="40">#REF!</definedName>
    <definedName name="ResourceTypes" localSheetId="54">#REF!</definedName>
    <definedName name="ResourceTypes" localSheetId="55">#REF!</definedName>
    <definedName name="ResourceTypes" localSheetId="52">#REF!</definedName>
    <definedName name="ResourceTypes" localSheetId="51">#REF!</definedName>
    <definedName name="ResourceTypes" localSheetId="53">#REF!</definedName>
    <definedName name="ResourceTypes">#REF!</definedName>
    <definedName name="ResultspacePassword">[87]Config!$B$3</definedName>
    <definedName name="ResultspaceProjectID">[87]Config!$B$4</definedName>
    <definedName name="ResultspaceRoleID">[87]Config!$B$5</definedName>
    <definedName name="ResultspaceUser">[87]Config!$B$2</definedName>
    <definedName name="RevenueFile" localSheetId="50">#REF!</definedName>
    <definedName name="RevenueFile" localSheetId="47">#REF!</definedName>
    <definedName name="RevenueFile" localSheetId="44">#REF!</definedName>
    <definedName name="RevenueFile" localSheetId="45">#REF!</definedName>
    <definedName name="RevenueFile" localSheetId="46">#REF!</definedName>
    <definedName name="RevenueFile" localSheetId="37">#REF!</definedName>
    <definedName name="RevenueFile" localSheetId="40">#REF!</definedName>
    <definedName name="RevenueFile" localSheetId="54">#REF!</definedName>
    <definedName name="RevenueFile" localSheetId="55">#REF!</definedName>
    <definedName name="RevenueFile" localSheetId="52">#REF!</definedName>
    <definedName name="RevenueFile" localSheetId="51">#REF!</definedName>
    <definedName name="RevenueFile" localSheetId="53">#REF!</definedName>
    <definedName name="RevenueFile">#REF!</definedName>
    <definedName name="RevenueRefresh" localSheetId="50">#REF!</definedName>
    <definedName name="RevenueRefresh" localSheetId="47">#REF!</definedName>
    <definedName name="RevenueRefresh" localSheetId="44">#REF!</definedName>
    <definedName name="RevenueRefresh" localSheetId="45">#REF!</definedName>
    <definedName name="RevenueRefresh" localSheetId="46">#REF!</definedName>
    <definedName name="RevenueRefresh" localSheetId="37">#REF!</definedName>
    <definedName name="RevenueRefresh" localSheetId="40">#REF!</definedName>
    <definedName name="RevenueRefresh" localSheetId="54">#REF!</definedName>
    <definedName name="RevenueRefresh" localSheetId="55">#REF!</definedName>
    <definedName name="RevenueRefresh" localSheetId="52">#REF!</definedName>
    <definedName name="RevenueRefresh" localSheetId="51">#REF!</definedName>
    <definedName name="RevenueRefresh" localSheetId="53">#REF!</definedName>
    <definedName name="RevenueRefresh">#REF!</definedName>
    <definedName name="RevenueTarget" localSheetId="50">#REF!</definedName>
    <definedName name="RevenueTarget" localSheetId="47">#REF!</definedName>
    <definedName name="RevenueTarget" localSheetId="44">#REF!</definedName>
    <definedName name="RevenueTarget" localSheetId="45">#REF!</definedName>
    <definedName name="RevenueTarget" localSheetId="46">#REF!</definedName>
    <definedName name="RevenueTarget" localSheetId="37">#REF!</definedName>
    <definedName name="RevenueTarget" localSheetId="40">#REF!</definedName>
    <definedName name="RevenueTarget" localSheetId="54">#REF!</definedName>
    <definedName name="RevenueTarget" localSheetId="55">#REF!</definedName>
    <definedName name="RevenueTarget" localSheetId="52">#REF!</definedName>
    <definedName name="RevenueTarget" localSheetId="51">#REF!</definedName>
    <definedName name="RevenueTarget" localSheetId="53">#REF!</definedName>
    <definedName name="RevenueTarget">#REF!</definedName>
    <definedName name="Revised" localSheetId="50">#REF!</definedName>
    <definedName name="Revised" localSheetId="47">#REF!</definedName>
    <definedName name="Revised" localSheetId="44">#REF!</definedName>
    <definedName name="Revised" localSheetId="45">#REF!</definedName>
    <definedName name="Revised" localSheetId="46">#REF!</definedName>
    <definedName name="Revised" localSheetId="37">#REF!</definedName>
    <definedName name="Revised" localSheetId="40">#REF!</definedName>
    <definedName name="Revised" localSheetId="54">#REF!</definedName>
    <definedName name="Revised" localSheetId="55">#REF!</definedName>
    <definedName name="Revised" localSheetId="52">#REF!</definedName>
    <definedName name="Revised" localSheetId="51">#REF!</definedName>
    <definedName name="Revised" localSheetId="53">#REF!</definedName>
    <definedName name="Revised">#REF!</definedName>
    <definedName name="rf" localSheetId="34">[27]Programa!#REF!</definedName>
    <definedName name="rf" localSheetId="35">[27]Programa!#REF!</definedName>
    <definedName name="rf" localSheetId="50">[27]Programa!#REF!</definedName>
    <definedName name="rf" localSheetId="15">[27]Programa!#REF!</definedName>
    <definedName name="rf" localSheetId="29">[27]Programa!#REF!</definedName>
    <definedName name="rf" localSheetId="30">[27]Programa!#REF!</definedName>
    <definedName name="rf" localSheetId="47">[27]Programa!#REF!</definedName>
    <definedName name="rf" localSheetId="44">[27]Programa!#REF!</definedName>
    <definedName name="rf" localSheetId="45">[27]Programa!#REF!</definedName>
    <definedName name="rf" localSheetId="46">[27]Programa!#REF!</definedName>
    <definedName name="rf" localSheetId="31">[27]Programa!#REF!</definedName>
    <definedName name="rf" localSheetId="32">[27]Programa!#REF!</definedName>
    <definedName name="rf" localSheetId="33">[27]Programa!#REF!</definedName>
    <definedName name="rf" localSheetId="36">[27]Programa!#REF!</definedName>
    <definedName name="rf" localSheetId="37">[27]Programa!#REF!</definedName>
    <definedName name="rf" localSheetId="38">[27]Programa!#REF!</definedName>
    <definedName name="rf" localSheetId="39">[27]Programa!#REF!</definedName>
    <definedName name="rf" localSheetId="40">[27]Programa!#REF!</definedName>
    <definedName name="rf" localSheetId="54">[27]Programa!#REF!</definedName>
    <definedName name="rf" localSheetId="55">[27]Programa!#REF!</definedName>
    <definedName name="rf" localSheetId="52">[27]Programa!#REF!</definedName>
    <definedName name="rf" localSheetId="23">[27]Programa!#REF!</definedName>
    <definedName name="rf" localSheetId="51">[27]Programa!#REF!</definedName>
    <definedName name="rf" localSheetId="53">[27]Programa!#REF!</definedName>
    <definedName name="rf" localSheetId="20">[27]Programa!#REF!</definedName>
    <definedName name="rf">[27]Programa!#REF!</definedName>
    <definedName name="RFSP" localSheetId="34">#REF!</definedName>
    <definedName name="RFSP" localSheetId="35">#REF!</definedName>
    <definedName name="RFSP" localSheetId="50">#REF!</definedName>
    <definedName name="RFSP" localSheetId="15">#REF!</definedName>
    <definedName name="RFSP" localSheetId="29">#REF!</definedName>
    <definedName name="RFSP" localSheetId="30">#REF!</definedName>
    <definedName name="RFSP" localSheetId="47">#REF!</definedName>
    <definedName name="RFSP" localSheetId="44">#REF!</definedName>
    <definedName name="RFSP" localSheetId="45">#REF!</definedName>
    <definedName name="RFSP" localSheetId="46">#REF!</definedName>
    <definedName name="RFSP" localSheetId="31">#REF!</definedName>
    <definedName name="RFSP" localSheetId="32">#REF!</definedName>
    <definedName name="RFSP" localSheetId="33">#REF!</definedName>
    <definedName name="RFSP" localSheetId="36">#REF!</definedName>
    <definedName name="RFSP" localSheetId="37">#REF!</definedName>
    <definedName name="RFSP" localSheetId="38">#REF!</definedName>
    <definedName name="RFSP" localSheetId="39">#REF!</definedName>
    <definedName name="RFSP" localSheetId="40">#REF!</definedName>
    <definedName name="RFSP" localSheetId="54">#REF!</definedName>
    <definedName name="RFSP" localSheetId="55">#REF!</definedName>
    <definedName name="RFSP" localSheetId="52">#REF!</definedName>
    <definedName name="RFSP" localSheetId="23">#REF!</definedName>
    <definedName name="RFSP" localSheetId="51">#REF!</definedName>
    <definedName name="RFSP" localSheetId="53">#REF!</definedName>
    <definedName name="RFSP" localSheetId="20">#REF!</definedName>
    <definedName name="RFSP">#REF!</definedName>
    <definedName name="rft" localSheetId="58" hidden="1">{"Riqfin97",#N/A,FALSE,"Tran";"Riqfinpro",#N/A,FALSE,"Tran"}</definedName>
    <definedName name="rft" localSheetId="16" hidden="1">{"Riqfin97",#N/A,FALSE,"Tran";"Riqfinpro",#N/A,FALSE,"Tran"}</definedName>
    <definedName name="rft" localSheetId="61" hidden="1">{"Riqfin97",#N/A,FALSE,"Tran";"Riqfinpro",#N/A,FALSE,"Tran"}</definedName>
    <definedName name="rft" localSheetId="62" hidden="1">{"Riqfin97",#N/A,FALSE,"Tran";"Riqfinpro",#N/A,FALSE,"Tran"}</definedName>
    <definedName name="rft" localSheetId="50" hidden="1">{"Riqfin97",#N/A,FALSE,"Tran";"Riqfinpro",#N/A,FALSE,"Tran"}</definedName>
    <definedName name="rft" localSheetId="63" hidden="1">{"Riqfin97",#N/A,FALSE,"Tran";"Riqfinpro",#N/A,FALSE,"Tran"}</definedName>
    <definedName name="rft" localSheetId="15" hidden="1">{"Riqfin97",#N/A,FALSE,"Tran";"Riqfinpro",#N/A,FALSE,"Tran"}</definedName>
    <definedName name="rft" localSheetId="1" hidden="1">{"Riqfin97",#N/A,FALSE,"Tran";"Riqfinpro",#N/A,FALSE,"Tran"}</definedName>
    <definedName name="rft" localSheetId="43" hidden="1">{"Riqfin97",#N/A,FALSE,"Tran";"Riqfinpro",#N/A,FALSE,"Tran"}</definedName>
    <definedName name="rft" localSheetId="29" hidden="1">{"Riqfin97",#N/A,FALSE,"Tran";"Riqfinpro",#N/A,FALSE,"Tran"}</definedName>
    <definedName name="rft" localSheetId="30" hidden="1">{"Riqfin97",#N/A,FALSE,"Tran";"Riqfinpro",#N/A,FALSE,"Tran"}</definedName>
    <definedName name="rft" localSheetId="44" hidden="1">{"Riqfin97",#N/A,FALSE,"Tran";"Riqfinpro",#N/A,FALSE,"Tran"}</definedName>
    <definedName name="rft" localSheetId="59" hidden="1">{"Riqfin97",#N/A,FALSE,"Tran";"Riqfinpro",#N/A,FALSE,"Tran"}</definedName>
    <definedName name="rft" localSheetId="13" hidden="1">{"Riqfin97",#N/A,FALSE,"Tran";"Riqfinpro",#N/A,FALSE,"Tran"}</definedName>
    <definedName name="rft" localSheetId="0" hidden="1">{"Riqfin97",#N/A,FALSE,"Tran";"Riqfinpro",#N/A,FALSE,"Tran"}</definedName>
    <definedName name="rft" localSheetId="57" hidden="1">{"Riqfin97",#N/A,FALSE,"Tran";"Riqfinpro",#N/A,FALSE,"Tran"}</definedName>
    <definedName name="rft" localSheetId="56" hidden="1">{"Riqfin97",#N/A,FALSE,"Tran";"Riqfinpro",#N/A,FALSE,"Tran"}</definedName>
    <definedName name="rft" localSheetId="54" hidden="1">{"Riqfin97",#N/A,FALSE,"Tran";"Riqfinpro",#N/A,FALSE,"Tran"}</definedName>
    <definedName name="rft" localSheetId="52" hidden="1">{"Riqfin97",#N/A,FALSE,"Tran";"Riqfinpro",#N/A,FALSE,"Tran"}</definedName>
    <definedName name="rft" localSheetId="23" hidden="1">{"Riqfin97",#N/A,FALSE,"Tran";"Riqfinpro",#N/A,FALSE,"Tran"}</definedName>
    <definedName name="rft" localSheetId="51" hidden="1">{"Riqfin97",#N/A,FALSE,"Tran";"Riqfinpro",#N/A,FALSE,"Tran"}</definedName>
    <definedName name="rft" localSheetId="53" hidden="1">{"Riqfin97",#N/A,FALSE,"Tran";"Riqfinpro",#N/A,FALSE,"Tran"}</definedName>
    <definedName name="rft" localSheetId="60" hidden="1">{"Riqfin97",#N/A,FALSE,"Tran";"Riqfinpro",#N/A,FALSE,"Tran"}</definedName>
    <definedName name="rft" hidden="1">{"Riqfin97",#N/A,FALSE,"Tran";"Riqfinpro",#N/A,FALSE,"Tran"}</definedName>
    <definedName name="rfv" localSheetId="58" hidden="1">{"Tab1",#N/A,FALSE,"P";"Tab2",#N/A,FALSE,"P"}</definedName>
    <definedName name="rfv" localSheetId="16" hidden="1">{"Tab1",#N/A,FALSE,"P";"Tab2",#N/A,FALSE,"P"}</definedName>
    <definedName name="rfv" localSheetId="61" hidden="1">{"Tab1",#N/A,FALSE,"P";"Tab2",#N/A,FALSE,"P"}</definedName>
    <definedName name="rfv" localSheetId="62" hidden="1">{"Tab1",#N/A,FALSE,"P";"Tab2",#N/A,FALSE,"P"}</definedName>
    <definedName name="rfv" localSheetId="50" hidden="1">{"Tab1",#N/A,FALSE,"P";"Tab2",#N/A,FALSE,"P"}</definedName>
    <definedName name="rfv" localSheetId="63" hidden="1">{"Tab1",#N/A,FALSE,"P";"Tab2",#N/A,FALSE,"P"}</definedName>
    <definedName name="rfv" localSheetId="15" hidden="1">{"Tab1",#N/A,FALSE,"P";"Tab2",#N/A,FALSE,"P"}</definedName>
    <definedName name="rfv" localSheetId="1" hidden="1">{"Tab1",#N/A,FALSE,"P";"Tab2",#N/A,FALSE,"P"}</definedName>
    <definedName name="rfv" localSheetId="43" hidden="1">{"Tab1",#N/A,FALSE,"P";"Tab2",#N/A,FALSE,"P"}</definedName>
    <definedName name="rfv" localSheetId="29" hidden="1">{"Tab1",#N/A,FALSE,"P";"Tab2",#N/A,FALSE,"P"}</definedName>
    <definedName name="rfv" localSheetId="30" hidden="1">{"Tab1",#N/A,FALSE,"P";"Tab2",#N/A,FALSE,"P"}</definedName>
    <definedName name="rfv" localSheetId="44" hidden="1">{"Tab1",#N/A,FALSE,"P";"Tab2",#N/A,FALSE,"P"}</definedName>
    <definedName name="rfv" localSheetId="59" hidden="1">{"Tab1",#N/A,FALSE,"P";"Tab2",#N/A,FALSE,"P"}</definedName>
    <definedName name="rfv" localSheetId="13" hidden="1">{"Tab1",#N/A,FALSE,"P";"Tab2",#N/A,FALSE,"P"}</definedName>
    <definedName name="rfv" localSheetId="0" hidden="1">{"Tab1",#N/A,FALSE,"P";"Tab2",#N/A,FALSE,"P"}</definedName>
    <definedName name="rfv" localSheetId="57" hidden="1">{"Tab1",#N/A,FALSE,"P";"Tab2",#N/A,FALSE,"P"}</definedName>
    <definedName name="rfv" localSheetId="56" hidden="1">{"Tab1",#N/A,FALSE,"P";"Tab2",#N/A,FALSE,"P"}</definedName>
    <definedName name="rfv" localSheetId="54" hidden="1">{"Tab1",#N/A,FALSE,"P";"Tab2",#N/A,FALSE,"P"}</definedName>
    <definedName name="rfv" localSheetId="52" hidden="1">{"Tab1",#N/A,FALSE,"P";"Tab2",#N/A,FALSE,"P"}</definedName>
    <definedName name="rfv" localSheetId="23" hidden="1">{"Tab1",#N/A,FALSE,"P";"Tab2",#N/A,FALSE,"P"}</definedName>
    <definedName name="rfv" localSheetId="51" hidden="1">{"Tab1",#N/A,FALSE,"P";"Tab2",#N/A,FALSE,"P"}</definedName>
    <definedName name="rfv" localSheetId="53" hidden="1">{"Tab1",#N/A,FALSE,"P";"Tab2",#N/A,FALSE,"P"}</definedName>
    <definedName name="rfv" localSheetId="60" hidden="1">{"Tab1",#N/A,FALSE,"P";"Tab2",#N/A,FALSE,"P"}</definedName>
    <definedName name="rfv" hidden="1">{"Tab1",#N/A,FALSE,"P";"Tab2",#N/A,FALSE,"P"}</definedName>
    <definedName name="RGDPA" localSheetId="34">#REF!</definedName>
    <definedName name="RGDPA" localSheetId="35">#REF!</definedName>
    <definedName name="RGDPA" localSheetId="50">#REF!</definedName>
    <definedName name="RGDPA" localSheetId="15">#REF!</definedName>
    <definedName name="RGDPA" localSheetId="29">#REF!</definedName>
    <definedName name="RGDPA" localSheetId="30">#REF!</definedName>
    <definedName name="RGDPA" localSheetId="47">#REF!</definedName>
    <definedName name="RGDPA" localSheetId="44">#REF!</definedName>
    <definedName name="RGDPA" localSheetId="45">#REF!</definedName>
    <definedName name="RGDPA" localSheetId="46">#REF!</definedName>
    <definedName name="RGDPA" localSheetId="31">#REF!</definedName>
    <definedName name="RGDPA" localSheetId="32">#REF!</definedName>
    <definedName name="RGDPA" localSheetId="33">#REF!</definedName>
    <definedName name="RGDPA" localSheetId="36">#REF!</definedName>
    <definedName name="RGDPA" localSheetId="37">#REF!</definedName>
    <definedName name="RGDPA" localSheetId="38">#REF!</definedName>
    <definedName name="RGDPA" localSheetId="39">#REF!</definedName>
    <definedName name="RGDPA" localSheetId="40">#REF!</definedName>
    <definedName name="RGDPA" localSheetId="54">#REF!</definedName>
    <definedName name="RGDPA" localSheetId="55">#REF!</definedName>
    <definedName name="RGDPA" localSheetId="52">#REF!</definedName>
    <definedName name="RGDPA" localSheetId="23">#REF!</definedName>
    <definedName name="RGDPA" localSheetId="51">#REF!</definedName>
    <definedName name="RGDPA" localSheetId="53">#REF!</definedName>
    <definedName name="RGDPA" localSheetId="20">#REF!</definedName>
    <definedName name="RGDPA">#REF!</definedName>
    <definedName name="RgFdPartCsource" localSheetId="34">#REF!</definedName>
    <definedName name="RgFdPartCsource" localSheetId="35">#REF!</definedName>
    <definedName name="RgFdPartCsource" localSheetId="50">#REF!</definedName>
    <definedName name="RgFdPartCsource" localSheetId="15">#REF!</definedName>
    <definedName name="RgFdPartCsource" localSheetId="27">#REF!</definedName>
    <definedName name="RgFdPartCsource" localSheetId="24">#REF!</definedName>
    <definedName name="RgFdPartCsource" localSheetId="26">#REF!</definedName>
    <definedName name="RgFdPartCsource" localSheetId="29">#REF!</definedName>
    <definedName name="RgFdPartCsource" localSheetId="42">#REF!</definedName>
    <definedName name="RgFdPartCsource" localSheetId="30">#REF!</definedName>
    <definedName name="RgFdPartCsource" localSheetId="47">#REF!</definedName>
    <definedName name="RgFdPartCsource" localSheetId="44">#REF!</definedName>
    <definedName name="RgFdPartCsource" localSheetId="45">#REF!</definedName>
    <definedName name="RgFdPartCsource" localSheetId="46">#REF!</definedName>
    <definedName name="RgFdPartCsource" localSheetId="31">#REF!</definedName>
    <definedName name="RgFdPartCsource" localSheetId="32">#REF!</definedName>
    <definedName name="RgFdPartCsource" localSheetId="33">#REF!</definedName>
    <definedName name="RgFdPartCsource" localSheetId="36">#REF!</definedName>
    <definedName name="RgFdPartCsource" localSheetId="37">#REF!</definedName>
    <definedName name="RgFdPartCsource" localSheetId="38">#REF!</definedName>
    <definedName name="RgFdPartCsource" localSheetId="39">#REF!</definedName>
    <definedName name="RgFdPartCsource" localSheetId="40">#REF!</definedName>
    <definedName name="RgFdPartCsource" localSheetId="25">#REF!</definedName>
    <definedName name="RgFdPartCsource" localSheetId="54">#REF!</definedName>
    <definedName name="RgFdPartCsource" localSheetId="55">#REF!</definedName>
    <definedName name="RgFdPartCsource" localSheetId="52">#REF!</definedName>
    <definedName name="RgFdPartCsource" localSheetId="23">#REF!</definedName>
    <definedName name="RgFdPartCsource" localSheetId="51">#REF!</definedName>
    <definedName name="RgFdPartCsource" localSheetId="12">#REF!</definedName>
    <definedName name="RgFdPartCsource" localSheetId="53">#REF!</definedName>
    <definedName name="RgFdPartCsource" localSheetId="49">#REF!</definedName>
    <definedName name="RgFdPartCsource" localSheetId="20">#REF!</definedName>
    <definedName name="RgFdPartCsource">#REF!</definedName>
    <definedName name="RgFdPartEseries" localSheetId="34">#REF!</definedName>
    <definedName name="RgFdPartEseries" localSheetId="35">#REF!</definedName>
    <definedName name="RgFdPartEseries" localSheetId="50">#REF!</definedName>
    <definedName name="RgFdPartEseries" localSheetId="15">#REF!</definedName>
    <definedName name="RgFdPartEseries" localSheetId="27">#REF!</definedName>
    <definedName name="RgFdPartEseries" localSheetId="24">#REF!</definedName>
    <definedName name="RgFdPartEseries" localSheetId="26">#REF!</definedName>
    <definedName name="RgFdPartEseries" localSheetId="29">#REF!</definedName>
    <definedName name="RgFdPartEseries" localSheetId="30">#REF!</definedName>
    <definedName name="RgFdPartEseries" localSheetId="47">#REF!</definedName>
    <definedName name="RgFdPartEseries" localSheetId="44">#REF!</definedName>
    <definedName name="RgFdPartEseries" localSheetId="45">#REF!</definedName>
    <definedName name="RgFdPartEseries" localSheetId="46">#REF!</definedName>
    <definedName name="RgFdPartEseries" localSheetId="31">#REF!</definedName>
    <definedName name="RgFdPartEseries" localSheetId="32">#REF!</definedName>
    <definedName name="RgFdPartEseries" localSheetId="33">#REF!</definedName>
    <definedName name="RgFdPartEseries" localSheetId="36">#REF!</definedName>
    <definedName name="RgFdPartEseries" localSheetId="37">#REF!</definedName>
    <definedName name="RgFdPartEseries" localSheetId="38">#REF!</definedName>
    <definedName name="RgFdPartEseries" localSheetId="39">#REF!</definedName>
    <definedName name="RgFdPartEseries" localSheetId="40">#REF!</definedName>
    <definedName name="RgFdPartEseries" localSheetId="25">#REF!</definedName>
    <definedName name="RgFdPartEseries" localSheetId="54">#REF!</definedName>
    <definedName name="RgFdPartEseries" localSheetId="55">#REF!</definedName>
    <definedName name="RgFdPartEseries" localSheetId="52">#REF!</definedName>
    <definedName name="RgFdPartEseries" localSheetId="23">#REF!</definedName>
    <definedName name="RgFdPartEseries" localSheetId="51">#REF!</definedName>
    <definedName name="RgFdPartEseries" localSheetId="12">#REF!</definedName>
    <definedName name="RgFdPartEseries" localSheetId="53">#REF!</definedName>
    <definedName name="RgFdPartEseries" localSheetId="49">#REF!</definedName>
    <definedName name="RgFdPartEseries" localSheetId="20">#REF!</definedName>
    <definedName name="RgFdPartEseries">#REF!</definedName>
    <definedName name="RgFdPartEsource" localSheetId="34">#REF!</definedName>
    <definedName name="RgFdPartEsource" localSheetId="35">#REF!</definedName>
    <definedName name="RgFdPartEsource" localSheetId="50">#REF!</definedName>
    <definedName name="RgFdPartEsource" localSheetId="15">#REF!</definedName>
    <definedName name="RgFdPartEsource" localSheetId="29">#REF!</definedName>
    <definedName name="RgFdPartEsource" localSheetId="30">#REF!</definedName>
    <definedName name="RgFdPartEsource" localSheetId="47">#REF!</definedName>
    <definedName name="RgFdPartEsource" localSheetId="44">#REF!</definedName>
    <definedName name="RgFdPartEsource" localSheetId="45">#REF!</definedName>
    <definedName name="RgFdPartEsource" localSheetId="46">#REF!</definedName>
    <definedName name="RgFdPartEsource" localSheetId="31">#REF!</definedName>
    <definedName name="RgFdPartEsource" localSheetId="32">#REF!</definedName>
    <definedName name="RgFdPartEsource" localSheetId="33">#REF!</definedName>
    <definedName name="RgFdPartEsource" localSheetId="36">#REF!</definedName>
    <definedName name="RgFdPartEsource" localSheetId="37">#REF!</definedName>
    <definedName name="RgFdPartEsource" localSheetId="38">#REF!</definedName>
    <definedName name="RgFdPartEsource" localSheetId="39">#REF!</definedName>
    <definedName name="RgFdPartEsource" localSheetId="40">#REF!</definedName>
    <definedName name="RgFdPartEsource" localSheetId="54">#REF!</definedName>
    <definedName name="RgFdPartEsource" localSheetId="55">#REF!</definedName>
    <definedName name="RgFdPartEsource" localSheetId="52">#REF!</definedName>
    <definedName name="RgFdPartEsource" localSheetId="23">#REF!</definedName>
    <definedName name="RgFdPartEsource" localSheetId="51">#REF!</definedName>
    <definedName name="RgFdPartEsource" localSheetId="12">#REF!</definedName>
    <definedName name="RgFdPartEsource" localSheetId="53">#REF!</definedName>
    <definedName name="RgFdPartEsource" localSheetId="49">#REF!</definedName>
    <definedName name="RgFdPartEsource" localSheetId="20">#REF!</definedName>
    <definedName name="RgFdPartEsource">#REF!</definedName>
    <definedName name="RgFdReptCSeries" localSheetId="34">#REF!</definedName>
    <definedName name="RgFdReptCSeries" localSheetId="35">#REF!</definedName>
    <definedName name="RgFdReptCSeries" localSheetId="50">#REF!</definedName>
    <definedName name="RgFdReptCSeries" localSheetId="15">#REF!</definedName>
    <definedName name="RgFdReptCSeries" localSheetId="29">#REF!</definedName>
    <definedName name="RgFdReptCSeries" localSheetId="30">#REF!</definedName>
    <definedName name="RgFdReptCSeries" localSheetId="47">#REF!</definedName>
    <definedName name="RgFdReptCSeries" localSheetId="44">#REF!</definedName>
    <definedName name="RgFdReptCSeries" localSheetId="45">#REF!</definedName>
    <definedName name="RgFdReptCSeries" localSheetId="46">#REF!</definedName>
    <definedName name="RgFdReptCSeries" localSheetId="31">#REF!</definedName>
    <definedName name="RgFdReptCSeries" localSheetId="32">#REF!</definedName>
    <definedName name="RgFdReptCSeries" localSheetId="33">#REF!</definedName>
    <definedName name="RgFdReptCSeries" localSheetId="36">#REF!</definedName>
    <definedName name="RgFdReptCSeries" localSheetId="37">#REF!</definedName>
    <definedName name="RgFdReptCSeries" localSheetId="38">#REF!</definedName>
    <definedName name="RgFdReptCSeries" localSheetId="39">#REF!</definedName>
    <definedName name="RgFdReptCSeries" localSheetId="40">#REF!</definedName>
    <definedName name="RgFdReptCSeries" localSheetId="54">#REF!</definedName>
    <definedName name="RgFdReptCSeries" localSheetId="55">#REF!</definedName>
    <definedName name="RgFdReptCSeries" localSheetId="52">#REF!</definedName>
    <definedName name="RgFdReptCSeries" localSheetId="23">#REF!</definedName>
    <definedName name="RgFdReptCSeries" localSheetId="51">#REF!</definedName>
    <definedName name="RgFdReptCSeries" localSheetId="12">#REF!</definedName>
    <definedName name="RgFdReptCSeries" localSheetId="53">#REF!</definedName>
    <definedName name="RgFdReptCSeries" localSheetId="49">#REF!</definedName>
    <definedName name="RgFdReptCSeries" localSheetId="20">#REF!</definedName>
    <definedName name="RgFdReptCSeries">#REF!</definedName>
    <definedName name="RgFdReptCsource" localSheetId="34">#REF!</definedName>
    <definedName name="RgFdReptCsource" localSheetId="35">#REF!</definedName>
    <definedName name="RgFdReptCsource" localSheetId="50">#REF!</definedName>
    <definedName name="RgFdReptCsource" localSheetId="15">#REF!</definedName>
    <definedName name="RgFdReptCsource" localSheetId="29">#REF!</definedName>
    <definedName name="RgFdReptCsource" localSheetId="30">#REF!</definedName>
    <definedName name="RgFdReptCsource" localSheetId="47">#REF!</definedName>
    <definedName name="RgFdReptCsource" localSheetId="44">#REF!</definedName>
    <definedName name="RgFdReptCsource" localSheetId="45">#REF!</definedName>
    <definedName name="RgFdReptCsource" localSheetId="46">#REF!</definedName>
    <definedName name="RgFdReptCsource" localSheetId="31">#REF!</definedName>
    <definedName name="RgFdReptCsource" localSheetId="32">#REF!</definedName>
    <definedName name="RgFdReptCsource" localSheetId="33">#REF!</definedName>
    <definedName name="RgFdReptCsource" localSheetId="36">#REF!</definedName>
    <definedName name="RgFdReptCsource" localSheetId="37">#REF!</definedName>
    <definedName name="RgFdReptCsource" localSheetId="38">#REF!</definedName>
    <definedName name="RgFdReptCsource" localSheetId="39">#REF!</definedName>
    <definedName name="RgFdReptCsource" localSheetId="40">#REF!</definedName>
    <definedName name="RgFdReptCsource" localSheetId="54">#REF!</definedName>
    <definedName name="RgFdReptCsource" localSheetId="55">#REF!</definedName>
    <definedName name="RgFdReptCsource" localSheetId="52">#REF!</definedName>
    <definedName name="RgFdReptCsource" localSheetId="23">#REF!</definedName>
    <definedName name="RgFdReptCsource" localSheetId="51">#REF!</definedName>
    <definedName name="RgFdReptCsource" localSheetId="12">#REF!</definedName>
    <definedName name="RgFdReptCsource" localSheetId="53">#REF!</definedName>
    <definedName name="RgFdReptCsource" localSheetId="49">#REF!</definedName>
    <definedName name="RgFdReptCsource" localSheetId="20">#REF!</definedName>
    <definedName name="RgFdReptCsource">#REF!</definedName>
    <definedName name="RgFdReptEseries" localSheetId="34">#REF!</definedName>
    <definedName name="RgFdReptEseries" localSheetId="35">#REF!</definedName>
    <definedName name="RgFdReptEseries" localSheetId="50">#REF!</definedName>
    <definedName name="RgFdReptEseries" localSheetId="15">#REF!</definedName>
    <definedName name="RgFdReptEseries" localSheetId="29">#REF!</definedName>
    <definedName name="RgFdReptEseries" localSheetId="30">#REF!</definedName>
    <definedName name="RgFdReptEseries" localSheetId="47">#REF!</definedName>
    <definedName name="RgFdReptEseries" localSheetId="44">#REF!</definedName>
    <definedName name="RgFdReptEseries" localSheetId="45">#REF!</definedName>
    <definedName name="RgFdReptEseries" localSheetId="46">#REF!</definedName>
    <definedName name="RgFdReptEseries" localSheetId="31">#REF!</definedName>
    <definedName name="RgFdReptEseries" localSheetId="32">#REF!</definedName>
    <definedName name="RgFdReptEseries" localSheetId="33">#REF!</definedName>
    <definedName name="RgFdReptEseries" localSheetId="36">#REF!</definedName>
    <definedName name="RgFdReptEseries" localSheetId="37">#REF!</definedName>
    <definedName name="RgFdReptEseries" localSheetId="38">#REF!</definedName>
    <definedName name="RgFdReptEseries" localSheetId="39">#REF!</definedName>
    <definedName name="RgFdReptEseries" localSheetId="40">#REF!</definedName>
    <definedName name="RgFdReptEseries" localSheetId="54">#REF!</definedName>
    <definedName name="RgFdReptEseries" localSheetId="55">#REF!</definedName>
    <definedName name="RgFdReptEseries" localSheetId="52">#REF!</definedName>
    <definedName name="RgFdReptEseries" localSheetId="23">#REF!</definedName>
    <definedName name="RgFdReptEseries" localSheetId="51">#REF!</definedName>
    <definedName name="RgFdReptEseries" localSheetId="12">#REF!</definedName>
    <definedName name="RgFdReptEseries" localSheetId="53">#REF!</definedName>
    <definedName name="RgFdReptEseries" localSheetId="49">#REF!</definedName>
    <definedName name="RgFdReptEseries" localSheetId="20">#REF!</definedName>
    <definedName name="RgFdReptEseries">#REF!</definedName>
    <definedName name="RgFdReptEsource" localSheetId="34">#REF!</definedName>
    <definedName name="RgFdReptEsource" localSheetId="35">#REF!</definedName>
    <definedName name="RgFdReptEsource" localSheetId="50">#REF!</definedName>
    <definedName name="RgFdReptEsource" localSheetId="15">#REF!</definedName>
    <definedName name="RgFdReptEsource" localSheetId="29">#REF!</definedName>
    <definedName name="RgFdReptEsource" localSheetId="30">#REF!</definedName>
    <definedName name="RgFdReptEsource" localSheetId="47">#REF!</definedName>
    <definedName name="RgFdReptEsource" localSheetId="44">#REF!</definedName>
    <definedName name="RgFdReptEsource" localSheetId="45">#REF!</definedName>
    <definedName name="RgFdReptEsource" localSheetId="46">#REF!</definedName>
    <definedName name="RgFdReptEsource" localSheetId="31">#REF!</definedName>
    <definedName name="RgFdReptEsource" localSheetId="32">#REF!</definedName>
    <definedName name="RgFdReptEsource" localSheetId="33">#REF!</definedName>
    <definedName name="RgFdReptEsource" localSheetId="36">#REF!</definedName>
    <definedName name="RgFdReptEsource" localSheetId="37">#REF!</definedName>
    <definedName name="RgFdReptEsource" localSheetId="38">#REF!</definedName>
    <definedName name="RgFdReptEsource" localSheetId="39">#REF!</definedName>
    <definedName name="RgFdReptEsource" localSheetId="40">#REF!</definedName>
    <definedName name="RgFdReptEsource" localSheetId="54">#REF!</definedName>
    <definedName name="RgFdReptEsource" localSheetId="55">#REF!</definedName>
    <definedName name="RgFdReptEsource" localSheetId="52">#REF!</definedName>
    <definedName name="RgFdReptEsource" localSheetId="23">#REF!</definedName>
    <definedName name="RgFdReptEsource" localSheetId="51">#REF!</definedName>
    <definedName name="RgFdReptEsource" localSheetId="12">#REF!</definedName>
    <definedName name="RgFdReptEsource" localSheetId="53">#REF!</definedName>
    <definedName name="RgFdReptEsource" localSheetId="49">#REF!</definedName>
    <definedName name="RgFdReptEsource" localSheetId="20">#REF!</definedName>
    <definedName name="RgFdReptEsource">#REF!</definedName>
    <definedName name="RgFdSAMethod" localSheetId="34">#REF!</definedName>
    <definedName name="RgFdSAMethod" localSheetId="35">#REF!</definedName>
    <definedName name="RgFdSAMethod" localSheetId="50">#REF!</definedName>
    <definedName name="RgFdSAMethod" localSheetId="15">#REF!</definedName>
    <definedName name="RgFdSAMethod" localSheetId="29">#REF!</definedName>
    <definedName name="RgFdSAMethod" localSheetId="30">#REF!</definedName>
    <definedName name="RgFdSAMethod" localSheetId="47">#REF!</definedName>
    <definedName name="RgFdSAMethod" localSheetId="44">#REF!</definedName>
    <definedName name="RgFdSAMethod" localSheetId="45">#REF!</definedName>
    <definedName name="RgFdSAMethod" localSheetId="46">#REF!</definedName>
    <definedName name="RgFdSAMethod" localSheetId="31">#REF!</definedName>
    <definedName name="RgFdSAMethod" localSheetId="32">#REF!</definedName>
    <definedName name="RgFdSAMethod" localSheetId="33">#REF!</definedName>
    <definedName name="RgFdSAMethod" localSheetId="36">#REF!</definedName>
    <definedName name="RgFdSAMethod" localSheetId="37">#REF!</definedName>
    <definedName name="RgFdSAMethod" localSheetId="38">#REF!</definedName>
    <definedName name="RgFdSAMethod" localSheetId="39">#REF!</definedName>
    <definedName name="RgFdSAMethod" localSheetId="40">#REF!</definedName>
    <definedName name="RgFdSAMethod" localSheetId="54">#REF!</definedName>
    <definedName name="RgFdSAMethod" localSheetId="55">#REF!</definedName>
    <definedName name="RgFdSAMethod" localSheetId="52">#REF!</definedName>
    <definedName name="RgFdSAMethod" localSheetId="23">#REF!</definedName>
    <definedName name="RgFdSAMethod" localSheetId="51">#REF!</definedName>
    <definedName name="RgFdSAMethod" localSheetId="12">#REF!</definedName>
    <definedName name="RgFdSAMethod" localSheetId="53">#REF!</definedName>
    <definedName name="RgFdSAMethod" localSheetId="49">#REF!</definedName>
    <definedName name="RgFdSAMethod" localSheetId="20">#REF!</definedName>
    <definedName name="RgFdSAMethod">#REF!</definedName>
    <definedName name="RgFdTbBper" localSheetId="34">#REF!</definedName>
    <definedName name="RgFdTbBper" localSheetId="35">#REF!</definedName>
    <definedName name="RgFdTbBper" localSheetId="50">#REF!</definedName>
    <definedName name="RgFdTbBper" localSheetId="15">#REF!</definedName>
    <definedName name="RgFdTbBper" localSheetId="29">#REF!</definedName>
    <definedName name="RgFdTbBper" localSheetId="30">#REF!</definedName>
    <definedName name="RgFdTbBper" localSheetId="47">#REF!</definedName>
    <definedName name="RgFdTbBper" localSheetId="44">#REF!</definedName>
    <definedName name="RgFdTbBper" localSheetId="45">#REF!</definedName>
    <definedName name="RgFdTbBper" localSheetId="46">#REF!</definedName>
    <definedName name="RgFdTbBper" localSheetId="31">#REF!</definedName>
    <definedName name="RgFdTbBper" localSheetId="32">#REF!</definedName>
    <definedName name="RgFdTbBper" localSheetId="33">#REF!</definedName>
    <definedName name="RgFdTbBper" localSheetId="36">#REF!</definedName>
    <definedName name="RgFdTbBper" localSheetId="37">#REF!</definedName>
    <definedName name="RgFdTbBper" localSheetId="38">#REF!</definedName>
    <definedName name="RgFdTbBper" localSheetId="39">#REF!</definedName>
    <definedName name="RgFdTbBper" localSheetId="40">#REF!</definedName>
    <definedName name="RgFdTbBper" localSheetId="54">#REF!</definedName>
    <definedName name="RgFdTbBper" localSheetId="55">#REF!</definedName>
    <definedName name="RgFdTbBper" localSheetId="52">#REF!</definedName>
    <definedName name="RgFdTbBper" localSheetId="23">#REF!</definedName>
    <definedName name="RgFdTbBper" localSheetId="51">#REF!</definedName>
    <definedName name="RgFdTbBper" localSheetId="12">#REF!</definedName>
    <definedName name="RgFdTbBper" localSheetId="53">#REF!</definedName>
    <definedName name="RgFdTbBper" localSheetId="49">#REF!</definedName>
    <definedName name="RgFdTbBper" localSheetId="20">#REF!</definedName>
    <definedName name="RgFdTbBper">#REF!</definedName>
    <definedName name="RgFdTbCreate" localSheetId="34">#REF!</definedName>
    <definedName name="RgFdTbCreate" localSheetId="35">#REF!</definedName>
    <definedName name="RgFdTbCreate" localSheetId="50">#REF!</definedName>
    <definedName name="RgFdTbCreate" localSheetId="15">#REF!</definedName>
    <definedName name="RgFdTbCreate" localSheetId="29">#REF!</definedName>
    <definedName name="RgFdTbCreate" localSheetId="30">#REF!</definedName>
    <definedName name="RgFdTbCreate" localSheetId="47">#REF!</definedName>
    <definedName name="RgFdTbCreate" localSheetId="44">#REF!</definedName>
    <definedName name="RgFdTbCreate" localSheetId="45">#REF!</definedName>
    <definedName name="RgFdTbCreate" localSheetId="46">#REF!</definedName>
    <definedName name="RgFdTbCreate" localSheetId="31">#REF!</definedName>
    <definedName name="RgFdTbCreate" localSheetId="32">#REF!</definedName>
    <definedName name="RgFdTbCreate" localSheetId="33">#REF!</definedName>
    <definedName name="RgFdTbCreate" localSheetId="36">#REF!</definedName>
    <definedName name="RgFdTbCreate" localSheetId="37">#REF!</definedName>
    <definedName name="RgFdTbCreate" localSheetId="38">#REF!</definedName>
    <definedName name="RgFdTbCreate" localSheetId="39">#REF!</definedName>
    <definedName name="RgFdTbCreate" localSheetId="40">#REF!</definedName>
    <definedName name="RgFdTbCreate" localSheetId="54">#REF!</definedName>
    <definedName name="RgFdTbCreate" localSheetId="55">#REF!</definedName>
    <definedName name="RgFdTbCreate" localSheetId="52">#REF!</definedName>
    <definedName name="RgFdTbCreate" localSheetId="23">#REF!</definedName>
    <definedName name="RgFdTbCreate" localSheetId="51">#REF!</definedName>
    <definedName name="RgFdTbCreate" localSheetId="12">#REF!</definedName>
    <definedName name="RgFdTbCreate" localSheetId="53">#REF!</definedName>
    <definedName name="RgFdTbCreate" localSheetId="49">#REF!</definedName>
    <definedName name="RgFdTbCreate" localSheetId="20">#REF!</definedName>
    <definedName name="RgFdTbCreate">#REF!</definedName>
    <definedName name="RgFdTbEper" localSheetId="34">#REF!</definedName>
    <definedName name="RgFdTbEper" localSheetId="35">#REF!</definedName>
    <definedName name="RgFdTbEper" localSheetId="50">#REF!</definedName>
    <definedName name="RgFdTbEper" localSheetId="15">#REF!</definedName>
    <definedName name="RgFdTbEper" localSheetId="29">#REF!</definedName>
    <definedName name="RgFdTbEper" localSheetId="30">#REF!</definedName>
    <definedName name="RgFdTbEper" localSheetId="47">#REF!</definedName>
    <definedName name="RgFdTbEper" localSheetId="44">#REF!</definedName>
    <definedName name="RgFdTbEper" localSheetId="45">#REF!</definedName>
    <definedName name="RgFdTbEper" localSheetId="46">#REF!</definedName>
    <definedName name="RgFdTbEper" localSheetId="31">#REF!</definedName>
    <definedName name="RgFdTbEper" localSheetId="32">#REF!</definedName>
    <definedName name="RgFdTbEper" localSheetId="33">#REF!</definedName>
    <definedName name="RgFdTbEper" localSheetId="36">#REF!</definedName>
    <definedName name="RgFdTbEper" localSheetId="37">#REF!</definedName>
    <definedName name="RgFdTbEper" localSheetId="38">#REF!</definedName>
    <definedName name="RgFdTbEper" localSheetId="39">#REF!</definedName>
    <definedName name="RgFdTbEper" localSheetId="40">#REF!</definedName>
    <definedName name="RgFdTbEper" localSheetId="54">#REF!</definedName>
    <definedName name="RgFdTbEper" localSheetId="55">#REF!</definedName>
    <definedName name="RgFdTbEper" localSheetId="52">#REF!</definedName>
    <definedName name="RgFdTbEper" localSheetId="23">#REF!</definedName>
    <definedName name="RgFdTbEper" localSheetId="51">#REF!</definedName>
    <definedName name="RgFdTbEper" localSheetId="12">#REF!</definedName>
    <definedName name="RgFdTbEper" localSheetId="53">#REF!</definedName>
    <definedName name="RgFdTbEper" localSheetId="49">#REF!</definedName>
    <definedName name="RgFdTbEper" localSheetId="20">#REF!</definedName>
    <definedName name="RgFdTbEper">#REF!</definedName>
    <definedName name="RGFdTbFoot" localSheetId="34">#REF!</definedName>
    <definedName name="RGFdTbFoot" localSheetId="35">#REF!</definedName>
    <definedName name="RGFdTbFoot" localSheetId="50">#REF!</definedName>
    <definedName name="RGFdTbFoot" localSheetId="15">#REF!</definedName>
    <definedName name="RGFdTbFoot" localSheetId="29">#REF!</definedName>
    <definedName name="RGFdTbFoot" localSheetId="30">#REF!</definedName>
    <definedName name="RGFdTbFoot" localSheetId="47">#REF!</definedName>
    <definedName name="RGFdTbFoot" localSheetId="44">#REF!</definedName>
    <definedName name="RGFdTbFoot" localSheetId="45">#REF!</definedName>
    <definedName name="RGFdTbFoot" localSheetId="46">#REF!</definedName>
    <definedName name="RGFdTbFoot" localSheetId="31">#REF!</definedName>
    <definedName name="RGFdTbFoot" localSheetId="32">#REF!</definedName>
    <definedName name="RGFdTbFoot" localSheetId="33">#REF!</definedName>
    <definedName name="RGFdTbFoot" localSheetId="36">#REF!</definedName>
    <definedName name="RGFdTbFoot" localSheetId="37">#REF!</definedName>
    <definedName name="RGFdTbFoot" localSheetId="38">#REF!</definedName>
    <definedName name="RGFdTbFoot" localSheetId="39">#REF!</definedName>
    <definedName name="RGFdTbFoot" localSheetId="40">#REF!</definedName>
    <definedName name="RGFdTbFoot" localSheetId="54">#REF!</definedName>
    <definedName name="RGFdTbFoot" localSheetId="55">#REF!</definedName>
    <definedName name="RGFdTbFoot" localSheetId="52">#REF!</definedName>
    <definedName name="RGFdTbFoot" localSheetId="23">#REF!</definedName>
    <definedName name="RGFdTbFoot" localSheetId="51">#REF!</definedName>
    <definedName name="RGFdTbFoot" localSheetId="12">#REF!</definedName>
    <definedName name="RGFdTbFoot" localSheetId="53">#REF!</definedName>
    <definedName name="RGFdTbFoot" localSheetId="49">#REF!</definedName>
    <definedName name="RGFdTbFoot" localSheetId="20">#REF!</definedName>
    <definedName name="RGFdTbFoot">#REF!</definedName>
    <definedName name="RgFdTbFreq" localSheetId="34">#REF!</definedName>
    <definedName name="RgFdTbFreq" localSheetId="35">#REF!</definedName>
    <definedName name="RgFdTbFreq" localSheetId="50">#REF!</definedName>
    <definedName name="RgFdTbFreq" localSheetId="15">#REF!</definedName>
    <definedName name="RgFdTbFreq" localSheetId="29">#REF!</definedName>
    <definedName name="RgFdTbFreq" localSheetId="30">#REF!</definedName>
    <definedName name="RgFdTbFreq" localSheetId="47">#REF!</definedName>
    <definedName name="RgFdTbFreq" localSheetId="44">#REF!</definedName>
    <definedName name="RgFdTbFreq" localSheetId="45">#REF!</definedName>
    <definedName name="RgFdTbFreq" localSheetId="46">#REF!</definedName>
    <definedName name="RgFdTbFreq" localSheetId="31">#REF!</definedName>
    <definedName name="RgFdTbFreq" localSheetId="32">#REF!</definedName>
    <definedName name="RgFdTbFreq" localSheetId="33">#REF!</definedName>
    <definedName name="RgFdTbFreq" localSheetId="36">#REF!</definedName>
    <definedName name="RgFdTbFreq" localSheetId="37">#REF!</definedName>
    <definedName name="RgFdTbFreq" localSheetId="38">#REF!</definedName>
    <definedName name="RgFdTbFreq" localSheetId="39">#REF!</definedName>
    <definedName name="RgFdTbFreq" localSheetId="40">#REF!</definedName>
    <definedName name="RgFdTbFreq" localSheetId="54">#REF!</definedName>
    <definedName name="RgFdTbFreq" localSheetId="55">#REF!</definedName>
    <definedName name="RgFdTbFreq" localSheetId="52">#REF!</definedName>
    <definedName name="RgFdTbFreq" localSheetId="23">#REF!</definedName>
    <definedName name="RgFdTbFreq" localSheetId="51">#REF!</definedName>
    <definedName name="RgFdTbFreq" localSheetId="12">#REF!</definedName>
    <definedName name="RgFdTbFreq" localSheetId="53">#REF!</definedName>
    <definedName name="RgFdTbFreq" localSheetId="49">#REF!</definedName>
    <definedName name="RgFdTbFreq" localSheetId="20">#REF!</definedName>
    <definedName name="RgFdTbFreq">#REF!</definedName>
    <definedName name="RgFdTbFreqVal" localSheetId="34">#REF!</definedName>
    <definedName name="RgFdTbFreqVal" localSheetId="35">#REF!</definedName>
    <definedName name="RgFdTbFreqVal" localSheetId="50">#REF!</definedName>
    <definedName name="RgFdTbFreqVal" localSheetId="15">#REF!</definedName>
    <definedName name="RgFdTbFreqVal" localSheetId="29">#REF!</definedName>
    <definedName name="RgFdTbFreqVal" localSheetId="30">#REF!</definedName>
    <definedName name="RgFdTbFreqVal" localSheetId="47">#REF!</definedName>
    <definedName name="RgFdTbFreqVal" localSheetId="44">#REF!</definedName>
    <definedName name="RgFdTbFreqVal" localSheetId="45">#REF!</definedName>
    <definedName name="RgFdTbFreqVal" localSheetId="46">#REF!</definedName>
    <definedName name="RgFdTbFreqVal" localSheetId="31">#REF!</definedName>
    <definedName name="RgFdTbFreqVal" localSheetId="32">#REF!</definedName>
    <definedName name="RgFdTbFreqVal" localSheetId="33">#REF!</definedName>
    <definedName name="RgFdTbFreqVal" localSheetId="36">#REF!</definedName>
    <definedName name="RgFdTbFreqVal" localSheetId="37">#REF!</definedName>
    <definedName name="RgFdTbFreqVal" localSheetId="38">#REF!</definedName>
    <definedName name="RgFdTbFreqVal" localSheetId="39">#REF!</definedName>
    <definedName name="RgFdTbFreqVal" localSheetId="40">#REF!</definedName>
    <definedName name="RgFdTbFreqVal" localSheetId="54">#REF!</definedName>
    <definedName name="RgFdTbFreqVal" localSheetId="55">#REF!</definedName>
    <definedName name="RgFdTbFreqVal" localSheetId="52">#REF!</definedName>
    <definedName name="RgFdTbFreqVal" localSheetId="23">#REF!</definedName>
    <definedName name="RgFdTbFreqVal" localSheetId="51">#REF!</definedName>
    <definedName name="RgFdTbFreqVal" localSheetId="12">#REF!</definedName>
    <definedName name="RgFdTbFreqVal" localSheetId="53">#REF!</definedName>
    <definedName name="RgFdTbFreqVal" localSheetId="49">#REF!</definedName>
    <definedName name="RgFdTbFreqVal" localSheetId="20">#REF!</definedName>
    <definedName name="RgFdTbFreqVal">#REF!</definedName>
    <definedName name="RgFdTbSendto" localSheetId="34">#REF!</definedName>
    <definedName name="RgFdTbSendto" localSheetId="35">#REF!</definedName>
    <definedName name="RgFdTbSendto" localSheetId="50">#REF!</definedName>
    <definedName name="RgFdTbSendto" localSheetId="15">#REF!</definedName>
    <definedName name="RgFdTbSendto" localSheetId="29">#REF!</definedName>
    <definedName name="RgFdTbSendto" localSheetId="30">#REF!</definedName>
    <definedName name="RgFdTbSendto" localSheetId="47">#REF!</definedName>
    <definedName name="RgFdTbSendto" localSheetId="44">#REF!</definedName>
    <definedName name="RgFdTbSendto" localSheetId="45">#REF!</definedName>
    <definedName name="RgFdTbSendto" localSheetId="46">#REF!</definedName>
    <definedName name="RgFdTbSendto" localSheetId="31">#REF!</definedName>
    <definedName name="RgFdTbSendto" localSheetId="32">#REF!</definedName>
    <definedName name="RgFdTbSendto" localSheetId="33">#REF!</definedName>
    <definedName name="RgFdTbSendto" localSheetId="36">#REF!</definedName>
    <definedName name="RgFdTbSendto" localSheetId="37">#REF!</definedName>
    <definedName name="RgFdTbSendto" localSheetId="38">#REF!</definedName>
    <definedName name="RgFdTbSendto" localSheetId="39">#REF!</definedName>
    <definedName name="RgFdTbSendto" localSheetId="40">#REF!</definedName>
    <definedName name="RgFdTbSendto" localSheetId="54">#REF!</definedName>
    <definedName name="RgFdTbSendto" localSheetId="55">#REF!</definedName>
    <definedName name="RgFdTbSendto" localSheetId="52">#REF!</definedName>
    <definedName name="RgFdTbSendto" localSheetId="23">#REF!</definedName>
    <definedName name="RgFdTbSendto" localSheetId="51">#REF!</definedName>
    <definedName name="RgFdTbSendto" localSheetId="12">#REF!</definedName>
    <definedName name="RgFdTbSendto" localSheetId="53">#REF!</definedName>
    <definedName name="RgFdTbSendto" localSheetId="49">#REF!</definedName>
    <definedName name="RgFdTbSendto" localSheetId="20">#REF!</definedName>
    <definedName name="RgFdTbSendto">#REF!</definedName>
    <definedName name="RgFdWgtMethod" localSheetId="34">#REF!</definedName>
    <definedName name="RgFdWgtMethod" localSheetId="35">#REF!</definedName>
    <definedName name="RgFdWgtMethod" localSheetId="50">#REF!</definedName>
    <definedName name="RgFdWgtMethod" localSheetId="15">#REF!</definedName>
    <definedName name="RgFdWgtMethod" localSheetId="29">#REF!</definedName>
    <definedName name="RgFdWgtMethod" localSheetId="30">#REF!</definedName>
    <definedName name="RgFdWgtMethod" localSheetId="47">#REF!</definedName>
    <definedName name="RgFdWgtMethod" localSheetId="44">#REF!</definedName>
    <definedName name="RgFdWgtMethod" localSheetId="45">#REF!</definedName>
    <definedName name="RgFdWgtMethod" localSheetId="46">#REF!</definedName>
    <definedName name="RgFdWgtMethod" localSheetId="31">#REF!</definedName>
    <definedName name="RgFdWgtMethod" localSheetId="32">#REF!</definedName>
    <definedName name="RgFdWgtMethod" localSheetId="33">#REF!</definedName>
    <definedName name="RgFdWgtMethod" localSheetId="36">#REF!</definedName>
    <definedName name="RgFdWgtMethod" localSheetId="37">#REF!</definedName>
    <definedName name="RgFdWgtMethod" localSheetId="38">#REF!</definedName>
    <definedName name="RgFdWgtMethod" localSheetId="39">#REF!</definedName>
    <definedName name="RgFdWgtMethod" localSheetId="40">#REF!</definedName>
    <definedName name="RgFdWgtMethod" localSheetId="54">#REF!</definedName>
    <definedName name="RgFdWgtMethod" localSheetId="55">#REF!</definedName>
    <definedName name="RgFdWgtMethod" localSheetId="52">#REF!</definedName>
    <definedName name="RgFdWgtMethod" localSheetId="23">#REF!</definedName>
    <definedName name="RgFdWgtMethod" localSheetId="51">#REF!</definedName>
    <definedName name="RgFdWgtMethod" localSheetId="12">#REF!</definedName>
    <definedName name="RgFdWgtMethod" localSheetId="53">#REF!</definedName>
    <definedName name="RgFdWgtMethod" localSheetId="49">#REF!</definedName>
    <definedName name="RgFdWgtMethod" localSheetId="20">#REF!</definedName>
    <definedName name="RgFdWgtMethod">#REF!</definedName>
    <definedName name="RGSPA" localSheetId="34">#REF!</definedName>
    <definedName name="RGSPA" localSheetId="35">#REF!</definedName>
    <definedName name="RGSPA" localSheetId="50">#REF!</definedName>
    <definedName name="RGSPA" localSheetId="15">#REF!</definedName>
    <definedName name="RGSPA" localSheetId="29">#REF!</definedName>
    <definedName name="RGSPA" localSheetId="30">#REF!</definedName>
    <definedName name="RGSPA" localSheetId="47">#REF!</definedName>
    <definedName name="RGSPA" localSheetId="44">#REF!</definedName>
    <definedName name="RGSPA" localSheetId="45">#REF!</definedName>
    <definedName name="RGSPA" localSheetId="46">#REF!</definedName>
    <definedName name="RGSPA" localSheetId="31">#REF!</definedName>
    <definedName name="RGSPA" localSheetId="32">#REF!</definedName>
    <definedName name="RGSPA" localSheetId="33">#REF!</definedName>
    <definedName name="RGSPA" localSheetId="36">#REF!</definedName>
    <definedName name="RGSPA" localSheetId="37">#REF!</definedName>
    <definedName name="RGSPA" localSheetId="38">#REF!</definedName>
    <definedName name="RGSPA" localSheetId="39">#REF!</definedName>
    <definedName name="RGSPA" localSheetId="40">#REF!</definedName>
    <definedName name="RGSPA" localSheetId="54">#REF!</definedName>
    <definedName name="RGSPA" localSheetId="55">#REF!</definedName>
    <definedName name="RGSPA" localSheetId="52">#REF!</definedName>
    <definedName name="RGSPA" localSheetId="23">#REF!</definedName>
    <definedName name="RGSPA" localSheetId="51">#REF!</definedName>
    <definedName name="RGSPA" localSheetId="53">#REF!</definedName>
    <definedName name="RGSPA" localSheetId="20">#REF!</definedName>
    <definedName name="RGSPA">#REF!</definedName>
    <definedName name="right" localSheetId="34">#REF!</definedName>
    <definedName name="right" localSheetId="35">#REF!</definedName>
    <definedName name="right" localSheetId="50">#REF!</definedName>
    <definedName name="right" localSheetId="15">#REF!</definedName>
    <definedName name="right" localSheetId="29">#REF!</definedName>
    <definedName name="right" localSheetId="30">#REF!</definedName>
    <definedName name="right" localSheetId="47">#REF!</definedName>
    <definedName name="right" localSheetId="44">#REF!</definedName>
    <definedName name="right" localSheetId="45">#REF!</definedName>
    <definedName name="right" localSheetId="46">#REF!</definedName>
    <definedName name="right" localSheetId="31">#REF!</definedName>
    <definedName name="right" localSheetId="32">#REF!</definedName>
    <definedName name="right" localSheetId="33">#REF!</definedName>
    <definedName name="right" localSheetId="36">#REF!</definedName>
    <definedName name="right" localSheetId="37">#REF!</definedName>
    <definedName name="right" localSheetId="38">#REF!</definedName>
    <definedName name="right" localSheetId="39">#REF!</definedName>
    <definedName name="right" localSheetId="40">#REF!</definedName>
    <definedName name="right" localSheetId="54">#REF!</definedName>
    <definedName name="right" localSheetId="55">#REF!</definedName>
    <definedName name="right" localSheetId="52">#REF!</definedName>
    <definedName name="right" localSheetId="23">#REF!</definedName>
    <definedName name="right" localSheetId="51">#REF!</definedName>
    <definedName name="right" localSheetId="53">#REF!</definedName>
    <definedName name="right" localSheetId="20">#REF!</definedName>
    <definedName name="right">#REF!</definedName>
    <definedName name="rindex" localSheetId="50">#REF!</definedName>
    <definedName name="rindex" localSheetId="47">#REF!</definedName>
    <definedName name="rindex" localSheetId="44">#REF!</definedName>
    <definedName name="rindex" localSheetId="45">#REF!</definedName>
    <definedName name="rindex" localSheetId="46">#REF!</definedName>
    <definedName name="rindex" localSheetId="37">#REF!</definedName>
    <definedName name="rindex" localSheetId="40">#REF!</definedName>
    <definedName name="rindex" localSheetId="54">#REF!</definedName>
    <definedName name="rindex" localSheetId="55">#REF!</definedName>
    <definedName name="rindex" localSheetId="52">#REF!</definedName>
    <definedName name="rindex" localSheetId="51">#REF!</definedName>
    <definedName name="rindex" localSheetId="53">#REF!</definedName>
    <definedName name="rindex">#REF!</definedName>
    <definedName name="rinfinpriv" localSheetId="34">#REF!</definedName>
    <definedName name="rinfinpriv" localSheetId="35">#REF!</definedName>
    <definedName name="rinfinpriv" localSheetId="50">#REF!</definedName>
    <definedName name="rinfinpriv" localSheetId="15">#REF!</definedName>
    <definedName name="rinfinpriv" localSheetId="29">#REF!</definedName>
    <definedName name="rinfinpriv" localSheetId="30">#REF!</definedName>
    <definedName name="rinfinpriv" localSheetId="47">#REF!</definedName>
    <definedName name="rinfinpriv" localSheetId="44">#REF!</definedName>
    <definedName name="rinfinpriv" localSheetId="45">#REF!</definedName>
    <definedName name="rinfinpriv" localSheetId="46">#REF!</definedName>
    <definedName name="rinfinpriv" localSheetId="31">#REF!</definedName>
    <definedName name="rinfinpriv" localSheetId="32">#REF!</definedName>
    <definedName name="rinfinpriv" localSheetId="33">#REF!</definedName>
    <definedName name="rinfinpriv" localSheetId="36">#REF!</definedName>
    <definedName name="rinfinpriv" localSheetId="37">#REF!</definedName>
    <definedName name="rinfinpriv" localSheetId="38">#REF!</definedName>
    <definedName name="rinfinpriv" localSheetId="39">#REF!</definedName>
    <definedName name="rinfinpriv" localSheetId="40">#REF!</definedName>
    <definedName name="rinfinpriv" localSheetId="54">#REF!</definedName>
    <definedName name="rinfinpriv" localSheetId="55">#REF!</definedName>
    <definedName name="rinfinpriv" localSheetId="52">#REF!</definedName>
    <definedName name="rinfinpriv" localSheetId="23">#REF!</definedName>
    <definedName name="rinfinpriv" localSheetId="51">#REF!</definedName>
    <definedName name="rinfinpriv" localSheetId="53">#REF!</definedName>
    <definedName name="rinfinpriv" localSheetId="20">#REF!</definedName>
    <definedName name="rinfinpriv">#REF!</definedName>
    <definedName name="RIQFIN" localSheetId="34">#REF!</definedName>
    <definedName name="RIQFIN" localSheetId="35">#REF!</definedName>
    <definedName name="RIQFIN" localSheetId="50">#REF!</definedName>
    <definedName name="RIQFIN" localSheetId="15">#REF!</definedName>
    <definedName name="RIQFIN" localSheetId="29">#REF!</definedName>
    <definedName name="RIQFIN" localSheetId="30">#REF!</definedName>
    <definedName name="RIQFIN" localSheetId="47">#REF!</definedName>
    <definedName name="RIQFIN" localSheetId="44">#REF!</definedName>
    <definedName name="RIQFIN" localSheetId="45">#REF!</definedName>
    <definedName name="RIQFIN" localSheetId="46">#REF!</definedName>
    <definedName name="RIQFIN" localSheetId="31">#REF!</definedName>
    <definedName name="RIQFIN" localSheetId="32">#REF!</definedName>
    <definedName name="RIQFIN" localSheetId="33">#REF!</definedName>
    <definedName name="RIQFIN" localSheetId="36">#REF!</definedName>
    <definedName name="RIQFIN" localSheetId="37">#REF!</definedName>
    <definedName name="RIQFIN" localSheetId="38">#REF!</definedName>
    <definedName name="RIQFIN" localSheetId="39">#REF!</definedName>
    <definedName name="RIQFIN" localSheetId="40">#REF!</definedName>
    <definedName name="RIQFIN" localSheetId="54">#REF!</definedName>
    <definedName name="RIQFIN" localSheetId="55">#REF!</definedName>
    <definedName name="RIQFIN" localSheetId="52">#REF!</definedName>
    <definedName name="RIQFIN" localSheetId="23">#REF!</definedName>
    <definedName name="RIQFIN" localSheetId="51">#REF!</definedName>
    <definedName name="RIQFIN" localSheetId="53">#REF!</definedName>
    <definedName name="RIQFIN" localSheetId="20">#REF!</definedName>
    <definedName name="RIQFIN">#REF!</definedName>
    <definedName name="riqueza1">[26]riqueza!$A$1:$AU$89</definedName>
    <definedName name="riqueza2">[26]riqueza!$A$93:$AU$123</definedName>
    <definedName name="risk_loe">'[41]Objective Risks'!$H$15:$H$23</definedName>
    <definedName name="risk_loe_exp">'[41]Objective Risks'!$H$11</definedName>
    <definedName name="risk_loe_high" localSheetId="50">'[40]Objective Risks'!#REF!</definedName>
    <definedName name="risk_loe_high" localSheetId="47">'[40]Objective Risks'!#REF!</definedName>
    <definedName name="risk_loe_high" localSheetId="44">'[40]Objective Risks'!#REF!</definedName>
    <definedName name="risk_loe_high" localSheetId="45">'[40]Objective Risks'!#REF!</definedName>
    <definedName name="risk_loe_high" localSheetId="46">'[40]Objective Risks'!#REF!</definedName>
    <definedName name="risk_loe_high" localSheetId="37">'[40]Objective Risks'!#REF!</definedName>
    <definedName name="risk_loe_high" localSheetId="40">'[40]Objective Risks'!#REF!</definedName>
    <definedName name="risk_loe_high" localSheetId="54">'[40]Objective Risks'!#REF!</definedName>
    <definedName name="risk_loe_high" localSheetId="55">'[40]Objective Risks'!#REF!</definedName>
    <definedName name="risk_loe_high" localSheetId="52">'[40]Objective Risks'!#REF!</definedName>
    <definedName name="risk_loe_high" localSheetId="51">'[40]Objective Risks'!#REF!</definedName>
    <definedName name="risk_loe_high" localSheetId="53">'[40]Objective Risks'!#REF!</definedName>
    <definedName name="risk_loe_high">'[40]Objective Risks'!#REF!</definedName>
    <definedName name="risk_loe_high_1" localSheetId="50">'[42]Objective Risks'!#REF!</definedName>
    <definedName name="risk_loe_high_1" localSheetId="47">'[42]Objective Risks'!#REF!</definedName>
    <definedName name="risk_loe_high_1" localSheetId="44">'[42]Objective Risks'!#REF!</definedName>
    <definedName name="risk_loe_high_1" localSheetId="45">'[42]Objective Risks'!#REF!</definedName>
    <definedName name="risk_loe_high_1" localSheetId="46">'[42]Objective Risks'!#REF!</definedName>
    <definedName name="risk_loe_high_1" localSheetId="37">'[42]Objective Risks'!#REF!</definedName>
    <definedName name="risk_loe_high_1" localSheetId="40">'[42]Objective Risks'!#REF!</definedName>
    <definedName name="risk_loe_high_1" localSheetId="54">'[42]Objective Risks'!#REF!</definedName>
    <definedName name="risk_loe_high_1" localSheetId="55">'[42]Objective Risks'!#REF!</definedName>
    <definedName name="risk_loe_high_1" localSheetId="52">'[42]Objective Risks'!#REF!</definedName>
    <definedName name="risk_loe_high_1" localSheetId="51">'[42]Objective Risks'!#REF!</definedName>
    <definedName name="risk_loe_high_1" localSheetId="53">'[42]Objective Risks'!#REF!</definedName>
    <definedName name="risk_loe_high_1">'[42]Objective Risks'!#REF!</definedName>
    <definedName name="risk_loe_low" localSheetId="50">#REF!</definedName>
    <definedName name="risk_loe_low" localSheetId="47">#REF!</definedName>
    <definedName name="risk_loe_low" localSheetId="44">#REF!</definedName>
    <definedName name="risk_loe_low" localSheetId="45">#REF!</definedName>
    <definedName name="risk_loe_low" localSheetId="46">#REF!</definedName>
    <definedName name="risk_loe_low" localSheetId="37">#REF!</definedName>
    <definedName name="risk_loe_low" localSheetId="40">#REF!</definedName>
    <definedName name="risk_loe_low" localSheetId="54">#REF!</definedName>
    <definedName name="risk_loe_low" localSheetId="55">#REF!</definedName>
    <definedName name="risk_loe_low" localSheetId="52">#REF!</definedName>
    <definedName name="risk_loe_low" localSheetId="51">#REF!</definedName>
    <definedName name="risk_loe_low" localSheetId="53">#REF!</definedName>
    <definedName name="risk_loe_low">#REF!</definedName>
    <definedName name="risk_loe_mlkly" localSheetId="50">'[40]Objective Risks'!#REF!</definedName>
    <definedName name="risk_loe_mlkly" localSheetId="47">'[40]Objective Risks'!#REF!</definedName>
    <definedName name="risk_loe_mlkly" localSheetId="44">'[40]Objective Risks'!#REF!</definedName>
    <definedName name="risk_loe_mlkly" localSheetId="45">'[40]Objective Risks'!#REF!</definedName>
    <definedName name="risk_loe_mlkly" localSheetId="46">'[40]Objective Risks'!#REF!</definedName>
    <definedName name="risk_loe_mlkly" localSheetId="37">'[40]Objective Risks'!#REF!</definedName>
    <definedName name="risk_loe_mlkly" localSheetId="40">'[40]Objective Risks'!#REF!</definedName>
    <definedName name="risk_loe_mlkly" localSheetId="54">'[40]Objective Risks'!#REF!</definedName>
    <definedName name="risk_loe_mlkly" localSheetId="55">'[40]Objective Risks'!#REF!</definedName>
    <definedName name="risk_loe_mlkly" localSheetId="52">'[40]Objective Risks'!#REF!</definedName>
    <definedName name="risk_loe_mlkly" localSheetId="51">'[40]Objective Risks'!#REF!</definedName>
    <definedName name="risk_loe_mlkly" localSheetId="53">'[40]Objective Risks'!#REF!</definedName>
    <definedName name="risk_loe_mlkly">'[40]Objective Risks'!#REF!</definedName>
    <definedName name="risk_loe_mlkly_1" localSheetId="50">'[42]Objective Risks'!#REF!</definedName>
    <definedName name="risk_loe_mlkly_1" localSheetId="47">'[42]Objective Risks'!#REF!</definedName>
    <definedName name="risk_loe_mlkly_1" localSheetId="44">'[42]Objective Risks'!#REF!</definedName>
    <definedName name="risk_loe_mlkly_1" localSheetId="45">'[42]Objective Risks'!#REF!</definedName>
    <definedName name="risk_loe_mlkly_1" localSheetId="46">'[42]Objective Risks'!#REF!</definedName>
    <definedName name="risk_loe_mlkly_1" localSheetId="37">'[42]Objective Risks'!#REF!</definedName>
    <definedName name="risk_loe_mlkly_1" localSheetId="40">'[42]Objective Risks'!#REF!</definedName>
    <definedName name="risk_loe_mlkly_1" localSheetId="54">'[42]Objective Risks'!#REF!</definedName>
    <definedName name="risk_loe_mlkly_1" localSheetId="55">'[42]Objective Risks'!#REF!</definedName>
    <definedName name="risk_loe_mlkly_1" localSheetId="52">'[42]Objective Risks'!#REF!</definedName>
    <definedName name="risk_loe_mlkly_1" localSheetId="51">'[42]Objective Risks'!#REF!</definedName>
    <definedName name="risk_loe_mlkly_1" localSheetId="53">'[42]Objective Risks'!#REF!</definedName>
    <definedName name="risk_loe_mlkly_1">'[42]Objective Risks'!#REF!</definedName>
    <definedName name="risk_track">'[41]Objective Risks'!$C$15:$C$23</definedName>
    <definedName name="RiskImpact" localSheetId="50">#REF!</definedName>
    <definedName name="RiskImpact" localSheetId="47">#REF!</definedName>
    <definedName name="RiskImpact" localSheetId="44">#REF!</definedName>
    <definedName name="RiskImpact" localSheetId="45">#REF!</definedName>
    <definedName name="RiskImpact" localSheetId="46">#REF!</definedName>
    <definedName name="RiskImpact" localSheetId="37">#REF!</definedName>
    <definedName name="RiskImpact" localSheetId="40">#REF!</definedName>
    <definedName name="RiskImpact" localSheetId="54">#REF!</definedName>
    <definedName name="RiskImpact" localSheetId="55">#REF!</definedName>
    <definedName name="RiskImpact" localSheetId="52">#REF!</definedName>
    <definedName name="RiskImpact" localSheetId="51">#REF!</definedName>
    <definedName name="RiskImpact" localSheetId="53">#REF!</definedName>
    <definedName name="RiskImpact">#REF!</definedName>
    <definedName name="RiskLikelihood" localSheetId="50">#REF!</definedName>
    <definedName name="RiskLikelihood" localSheetId="47">#REF!</definedName>
    <definedName name="RiskLikelihood" localSheetId="44">#REF!</definedName>
    <definedName name="RiskLikelihood" localSheetId="45">#REF!</definedName>
    <definedName name="RiskLikelihood" localSheetId="46">#REF!</definedName>
    <definedName name="RiskLikelihood" localSheetId="37">#REF!</definedName>
    <definedName name="RiskLikelihood" localSheetId="40">#REF!</definedName>
    <definedName name="RiskLikelihood" localSheetId="54">#REF!</definedName>
    <definedName name="RiskLikelihood" localSheetId="55">#REF!</definedName>
    <definedName name="RiskLikelihood" localSheetId="52">#REF!</definedName>
    <definedName name="RiskLikelihood" localSheetId="51">#REF!</definedName>
    <definedName name="RiskLikelihood" localSheetId="53">#REF!</definedName>
    <definedName name="RiskLikelihood">#REF!</definedName>
    <definedName name="RiskPriority" localSheetId="50">#REF!</definedName>
    <definedName name="RiskPriority" localSheetId="47">#REF!</definedName>
    <definedName name="RiskPriority" localSheetId="44">#REF!</definedName>
    <definedName name="RiskPriority" localSheetId="45">#REF!</definedName>
    <definedName name="RiskPriority" localSheetId="46">#REF!</definedName>
    <definedName name="RiskPriority" localSheetId="37">#REF!</definedName>
    <definedName name="RiskPriority" localSheetId="40">#REF!</definedName>
    <definedName name="RiskPriority" localSheetId="54">#REF!</definedName>
    <definedName name="RiskPriority" localSheetId="55">#REF!</definedName>
    <definedName name="RiskPriority" localSheetId="52">#REF!</definedName>
    <definedName name="RiskPriority" localSheetId="51">#REF!</definedName>
    <definedName name="RiskPriority" localSheetId="53">#REF!</definedName>
    <definedName name="RiskPriority">#REF!</definedName>
    <definedName name="Risks" localSheetId="50">#REF!</definedName>
    <definedName name="Risks" localSheetId="47">#REF!</definedName>
    <definedName name="Risks" localSheetId="44">#REF!</definedName>
    <definedName name="Risks" localSheetId="45">#REF!</definedName>
    <definedName name="Risks" localSheetId="46">#REF!</definedName>
    <definedName name="Risks" localSheetId="37">#REF!</definedName>
    <definedName name="Risks" localSheetId="40">#REF!</definedName>
    <definedName name="Risks" localSheetId="54">#REF!</definedName>
    <definedName name="Risks" localSheetId="55">#REF!</definedName>
    <definedName name="Risks" localSheetId="52">#REF!</definedName>
    <definedName name="Risks" localSheetId="51">#REF!</definedName>
    <definedName name="Risks" localSheetId="53">#REF!</definedName>
    <definedName name="Risks">#REF!</definedName>
    <definedName name="risks_last_row" localSheetId="50">#REF!</definedName>
    <definedName name="risks_last_row" localSheetId="47">#REF!</definedName>
    <definedName name="risks_last_row" localSheetId="44">#REF!</definedName>
    <definedName name="risks_last_row" localSheetId="45">#REF!</definedName>
    <definedName name="risks_last_row" localSheetId="46">#REF!</definedName>
    <definedName name="risks_last_row" localSheetId="37">#REF!</definedName>
    <definedName name="risks_last_row" localSheetId="40">#REF!</definedName>
    <definedName name="risks_last_row" localSheetId="54">#REF!</definedName>
    <definedName name="risks_last_row" localSheetId="55">#REF!</definedName>
    <definedName name="risks_last_row" localSheetId="52">#REF!</definedName>
    <definedName name="risks_last_row" localSheetId="51">#REF!</definedName>
    <definedName name="risks_last_row" localSheetId="53">#REF!</definedName>
    <definedName name="risks_last_row">#REF!</definedName>
    <definedName name="RiskTrend" localSheetId="50">#REF!</definedName>
    <definedName name="RiskTrend" localSheetId="47">#REF!</definedName>
    <definedName name="RiskTrend" localSheetId="44">#REF!</definedName>
    <definedName name="RiskTrend" localSheetId="45">#REF!</definedName>
    <definedName name="RiskTrend" localSheetId="46">#REF!</definedName>
    <definedName name="RiskTrend" localSheetId="37">#REF!</definedName>
    <definedName name="RiskTrend" localSheetId="40">#REF!</definedName>
    <definedName name="RiskTrend" localSheetId="54">#REF!</definedName>
    <definedName name="RiskTrend" localSheetId="55">#REF!</definedName>
    <definedName name="RiskTrend" localSheetId="52">#REF!</definedName>
    <definedName name="RiskTrend" localSheetId="51">#REF!</definedName>
    <definedName name="RiskTrend" localSheetId="53">#REF!</definedName>
    <definedName name="RiskTrend">#REF!</definedName>
    <definedName name="rngBefore">[144]Main!$AB$26</definedName>
    <definedName name="rngDepartmentDrive">[144]Main!$AB$23</definedName>
    <definedName name="rngEMailAddress">[144]Main!$AB$20</definedName>
    <definedName name="rngErrorSort" localSheetId="50">[88]ErrCheck!$A$4</definedName>
    <definedName name="rngErrorSort" localSheetId="44">[88]ErrCheck!$A$4</definedName>
    <definedName name="rngErrorSort" localSheetId="54">[88]ErrCheck!$A$4</definedName>
    <definedName name="rngErrorSort" localSheetId="52">[88]ErrCheck!$A$4</definedName>
    <definedName name="rngErrorSort" localSheetId="51">[88]ErrCheck!$A$4</definedName>
    <definedName name="rngErrorSort" localSheetId="53">[88]ErrCheck!$A$4</definedName>
    <definedName name="rngErrorSort">[89]ErrCheck!$A$4</definedName>
    <definedName name="rngLastSave" localSheetId="50">[88]Main!$G$19</definedName>
    <definedName name="rngLastSave" localSheetId="44">[88]Main!$G$19</definedName>
    <definedName name="rngLastSave" localSheetId="54">[88]Main!$G$19</definedName>
    <definedName name="rngLastSave" localSheetId="52">[88]Main!$G$19</definedName>
    <definedName name="rngLastSave" localSheetId="51">[88]Main!$G$19</definedName>
    <definedName name="rngLastSave" localSheetId="53">[88]Main!$G$19</definedName>
    <definedName name="rngLastSave">[89]Main!$G$19</definedName>
    <definedName name="rngLastSent" localSheetId="50">[88]Main!$G$18</definedName>
    <definedName name="rngLastSent" localSheetId="44">[88]Main!$G$18</definedName>
    <definedName name="rngLastSent" localSheetId="54">[88]Main!$G$18</definedName>
    <definedName name="rngLastSent" localSheetId="52">[88]Main!$G$18</definedName>
    <definedName name="rngLastSent" localSheetId="51">[88]Main!$G$18</definedName>
    <definedName name="rngLastSent" localSheetId="53">[88]Main!$G$18</definedName>
    <definedName name="rngLastSent">[89]Main!$G$18</definedName>
    <definedName name="rngLastUpdate" localSheetId="50">[88]Links!$D$2</definedName>
    <definedName name="rngLastUpdate" localSheetId="44">[88]Links!$D$2</definedName>
    <definedName name="rngLastUpdate" localSheetId="54">[88]Links!$D$2</definedName>
    <definedName name="rngLastUpdate" localSheetId="52">[88]Links!$D$2</definedName>
    <definedName name="rngLastUpdate" localSheetId="51">[88]Links!$D$2</definedName>
    <definedName name="rngLastUpdate" localSheetId="53">[88]Links!$D$2</definedName>
    <definedName name="rngLastUpdate">[89]Links!$D$2</definedName>
    <definedName name="rngNeedsUpdate" localSheetId="50">[88]Links!$E$2</definedName>
    <definedName name="rngNeedsUpdate" localSheetId="44">[88]Links!$E$2</definedName>
    <definedName name="rngNeedsUpdate" localSheetId="54">[88]Links!$E$2</definedName>
    <definedName name="rngNeedsUpdate" localSheetId="52">[88]Links!$E$2</definedName>
    <definedName name="rngNeedsUpdate" localSheetId="51">[88]Links!$E$2</definedName>
    <definedName name="rngNeedsUpdate" localSheetId="53">[88]Links!$E$2</definedName>
    <definedName name="rngNeedsUpdate">[89]Links!$E$2</definedName>
    <definedName name="rngNews">[144]Main!$AB$27</definedName>
    <definedName name="rngQuestChecked" localSheetId="50">[88]ErrCheck!$A$3</definedName>
    <definedName name="rngQuestChecked" localSheetId="44">[88]ErrCheck!$A$3</definedName>
    <definedName name="rngQuestChecked" localSheetId="54">[88]ErrCheck!$A$3</definedName>
    <definedName name="rngQuestChecked" localSheetId="52">[88]ErrCheck!$A$3</definedName>
    <definedName name="rngQuestChecked" localSheetId="51">[88]ErrCheck!$A$3</definedName>
    <definedName name="rngQuestChecked" localSheetId="53">[88]ErrCheck!$A$3</definedName>
    <definedName name="rngQuestChecked">[89]ErrCheck!$A$3</definedName>
    <definedName name="Role_criteria" localSheetId="50">[40]Roles!#REF!</definedName>
    <definedName name="Role_criteria" localSheetId="47">[40]Roles!#REF!</definedName>
    <definedName name="Role_criteria" localSheetId="44">[40]Roles!#REF!</definedName>
    <definedName name="Role_criteria" localSheetId="45">[40]Roles!#REF!</definedName>
    <definedName name="Role_criteria" localSheetId="46">[40]Roles!#REF!</definedName>
    <definedName name="Role_criteria" localSheetId="37">[40]Roles!#REF!</definedName>
    <definedName name="Role_criteria" localSheetId="40">[40]Roles!#REF!</definedName>
    <definedName name="Role_criteria" localSheetId="54">[40]Roles!#REF!</definedName>
    <definedName name="Role_criteria" localSheetId="55">[40]Roles!#REF!</definedName>
    <definedName name="Role_criteria" localSheetId="52">[40]Roles!#REF!</definedName>
    <definedName name="Role_criteria" localSheetId="51">[40]Roles!#REF!</definedName>
    <definedName name="Role_criteria" localSheetId="53">[40]Roles!#REF!</definedName>
    <definedName name="Role_criteria">[40]Roles!#REF!</definedName>
    <definedName name="Role_criteria_1" localSheetId="50">[42]Roles!#REF!</definedName>
    <definedName name="Role_criteria_1" localSheetId="47">[42]Roles!#REF!</definedName>
    <definedName name="Role_criteria_1" localSheetId="44">[42]Roles!#REF!</definedName>
    <definedName name="Role_criteria_1" localSheetId="45">[42]Roles!#REF!</definedName>
    <definedName name="Role_criteria_1" localSheetId="46">[42]Roles!#REF!</definedName>
    <definedName name="Role_criteria_1" localSheetId="37">[42]Roles!#REF!</definedName>
    <definedName name="Role_criteria_1" localSheetId="40">[42]Roles!#REF!</definedName>
    <definedName name="Role_criteria_1" localSheetId="54">[42]Roles!#REF!</definedName>
    <definedName name="Role_criteria_1" localSheetId="55">[42]Roles!#REF!</definedName>
    <definedName name="Role_criteria_1" localSheetId="52">[42]Roles!#REF!</definedName>
    <definedName name="Role_criteria_1" localSheetId="51">[42]Roles!#REF!</definedName>
    <definedName name="Role_criteria_1" localSheetId="53">[42]Roles!#REF!</definedName>
    <definedName name="Role_criteria_1">[42]Roles!#REF!</definedName>
    <definedName name="role_enum" localSheetId="50">[40]Roles!#REF!</definedName>
    <definedName name="role_enum" localSheetId="47">[40]Roles!#REF!</definedName>
    <definedName name="role_enum" localSheetId="44">[40]Roles!#REF!</definedName>
    <definedName name="role_enum" localSheetId="45">[40]Roles!#REF!</definedName>
    <definedName name="role_enum" localSheetId="46">[40]Roles!#REF!</definedName>
    <definedName name="role_enum" localSheetId="37">[40]Roles!#REF!</definedName>
    <definedName name="role_enum" localSheetId="40">[40]Roles!#REF!</definedName>
    <definedName name="role_enum" localSheetId="54">[40]Roles!#REF!</definedName>
    <definedName name="role_enum" localSheetId="55">[40]Roles!#REF!</definedName>
    <definedName name="role_enum" localSheetId="52">[40]Roles!#REF!</definedName>
    <definedName name="role_enum" localSheetId="51">[40]Roles!#REF!</definedName>
    <definedName name="role_enum" localSheetId="53">[40]Roles!#REF!</definedName>
    <definedName name="role_enum">[40]Roles!#REF!</definedName>
    <definedName name="role_enum_1" localSheetId="50">[42]Roles!#REF!</definedName>
    <definedName name="role_enum_1" localSheetId="47">[42]Roles!#REF!</definedName>
    <definedName name="role_enum_1" localSheetId="44">[42]Roles!#REF!</definedName>
    <definedName name="role_enum_1" localSheetId="45">[42]Roles!#REF!</definedName>
    <definedName name="role_enum_1" localSheetId="46">[42]Roles!#REF!</definedName>
    <definedName name="role_enum_1" localSheetId="37">[42]Roles!#REF!</definedName>
    <definedName name="role_enum_1" localSheetId="40">[42]Roles!#REF!</definedName>
    <definedName name="role_enum_1" localSheetId="54">[42]Roles!#REF!</definedName>
    <definedName name="role_enum_1" localSheetId="55">[42]Roles!#REF!</definedName>
    <definedName name="role_enum_1" localSheetId="52">[42]Roles!#REF!</definedName>
    <definedName name="role_enum_1" localSheetId="51">[42]Roles!#REF!</definedName>
    <definedName name="role_enum_1" localSheetId="53">[42]Roles!#REF!</definedName>
    <definedName name="role_enum_1">[42]Roles!#REF!</definedName>
    <definedName name="role_enum_nogen" localSheetId="50">[40]Roles!#REF!</definedName>
    <definedName name="role_enum_nogen" localSheetId="47">[40]Roles!#REF!</definedName>
    <definedName name="role_enum_nogen" localSheetId="44">[40]Roles!#REF!</definedName>
    <definedName name="role_enum_nogen" localSheetId="45">[40]Roles!#REF!</definedName>
    <definedName name="role_enum_nogen" localSheetId="46">[40]Roles!#REF!</definedName>
    <definedName name="role_enum_nogen" localSheetId="37">[40]Roles!#REF!</definedName>
    <definedName name="role_enum_nogen" localSheetId="40">[40]Roles!#REF!</definedName>
    <definedName name="role_enum_nogen" localSheetId="54">[40]Roles!#REF!</definedName>
    <definedName name="role_enum_nogen" localSheetId="55">[40]Roles!#REF!</definedName>
    <definedName name="role_enum_nogen" localSheetId="52">[40]Roles!#REF!</definedName>
    <definedName name="role_enum_nogen" localSheetId="51">[40]Roles!#REF!</definedName>
    <definedName name="role_enum_nogen" localSheetId="53">[40]Roles!#REF!</definedName>
    <definedName name="role_enum_nogen">[40]Roles!#REF!</definedName>
    <definedName name="role_enum_nogen_1" localSheetId="50">[42]Roles!#REF!</definedName>
    <definedName name="role_enum_nogen_1" localSheetId="47">[42]Roles!#REF!</definedName>
    <definedName name="role_enum_nogen_1" localSheetId="44">[42]Roles!#REF!</definedName>
    <definedName name="role_enum_nogen_1" localSheetId="45">[42]Roles!#REF!</definedName>
    <definedName name="role_enum_nogen_1" localSheetId="46">[42]Roles!#REF!</definedName>
    <definedName name="role_enum_nogen_1" localSheetId="37">[42]Roles!#REF!</definedName>
    <definedName name="role_enum_nogen_1" localSheetId="40">[42]Roles!#REF!</definedName>
    <definedName name="role_enum_nogen_1" localSheetId="54">[42]Roles!#REF!</definedName>
    <definedName name="role_enum_nogen_1" localSheetId="55">[42]Roles!#REF!</definedName>
    <definedName name="role_enum_nogen_1" localSheetId="52">[42]Roles!#REF!</definedName>
    <definedName name="role_enum_nogen_1" localSheetId="51">[42]Roles!#REF!</definedName>
    <definedName name="role_enum_nogen_1" localSheetId="53">[42]Roles!#REF!</definedName>
    <definedName name="role_enum_nogen_1">[42]Roles!#REF!</definedName>
    <definedName name="role_enum_team" localSheetId="50">[40]Roles!#REF!</definedName>
    <definedName name="role_enum_team" localSheetId="47">[40]Roles!#REF!</definedName>
    <definedName name="role_enum_team" localSheetId="44">[40]Roles!#REF!</definedName>
    <definedName name="role_enum_team" localSheetId="45">[40]Roles!#REF!</definedName>
    <definedName name="role_enum_team" localSheetId="46">[40]Roles!#REF!</definedName>
    <definedName name="role_enum_team" localSheetId="37">[40]Roles!#REF!</definedName>
    <definedName name="role_enum_team" localSheetId="40">[40]Roles!#REF!</definedName>
    <definedName name="role_enum_team" localSheetId="54">[40]Roles!#REF!</definedName>
    <definedName name="role_enum_team" localSheetId="55">[40]Roles!#REF!</definedName>
    <definedName name="role_enum_team" localSheetId="52">[40]Roles!#REF!</definedName>
    <definedName name="role_enum_team" localSheetId="51">[40]Roles!#REF!</definedName>
    <definedName name="role_enum_team" localSheetId="53">[40]Roles!#REF!</definedName>
    <definedName name="role_enum_team">[40]Roles!#REF!</definedName>
    <definedName name="role_enum_team_1" localSheetId="50">[42]Roles!#REF!</definedName>
    <definedName name="role_enum_team_1" localSheetId="47">[42]Roles!#REF!</definedName>
    <definedName name="role_enum_team_1" localSheetId="44">[42]Roles!#REF!</definedName>
    <definedName name="role_enum_team_1" localSheetId="45">[42]Roles!#REF!</definedName>
    <definedName name="role_enum_team_1" localSheetId="46">[42]Roles!#REF!</definedName>
    <definedName name="role_enum_team_1" localSheetId="37">[42]Roles!#REF!</definedName>
    <definedName name="role_enum_team_1" localSheetId="40">[42]Roles!#REF!</definedName>
    <definedName name="role_enum_team_1" localSheetId="54">[42]Roles!#REF!</definedName>
    <definedName name="role_enum_team_1" localSheetId="55">[42]Roles!#REF!</definedName>
    <definedName name="role_enum_team_1" localSheetId="52">[42]Roles!#REF!</definedName>
    <definedName name="role_enum_team_1" localSheetId="51">[42]Roles!#REF!</definedName>
    <definedName name="role_enum_team_1" localSheetId="53">[42]Roles!#REF!</definedName>
    <definedName name="role_enum_team_1">[42]Roles!#REF!</definedName>
    <definedName name="role_list">[41]Roles!$A$2:$A$268</definedName>
    <definedName name="role_rates_range" localSheetId="50">#REF!</definedName>
    <definedName name="role_rates_range" localSheetId="47">#REF!</definedName>
    <definedName name="role_rates_range" localSheetId="44">#REF!</definedName>
    <definedName name="role_rates_range" localSheetId="45">#REF!</definedName>
    <definedName name="role_rates_range" localSheetId="46">#REF!</definedName>
    <definedName name="role_rates_range" localSheetId="37">#REF!</definedName>
    <definedName name="role_rates_range" localSheetId="40">#REF!</definedName>
    <definedName name="role_rates_range" localSheetId="54">#REF!</definedName>
    <definedName name="role_rates_range" localSheetId="55">#REF!</definedName>
    <definedName name="role_rates_range" localSheetId="52">#REF!</definedName>
    <definedName name="role_rates_range" localSheetId="51">#REF!</definedName>
    <definedName name="role_rates_range" localSheetId="53">#REF!</definedName>
    <definedName name="role_rates_range">#REF!</definedName>
    <definedName name="Roles" localSheetId="50">#REF!</definedName>
    <definedName name="Roles" localSheetId="47">#REF!</definedName>
    <definedName name="Roles" localSheetId="44">#REF!</definedName>
    <definedName name="Roles" localSheetId="45">#REF!</definedName>
    <definedName name="Roles" localSheetId="46">#REF!</definedName>
    <definedName name="Roles" localSheetId="37">#REF!</definedName>
    <definedName name="Roles" localSheetId="40">#REF!</definedName>
    <definedName name="Roles" localSheetId="54">#REF!</definedName>
    <definedName name="Roles" localSheetId="55">#REF!</definedName>
    <definedName name="Roles" localSheetId="52">#REF!</definedName>
    <definedName name="Roles" localSheetId="51">#REF!</definedName>
    <definedName name="Roles" localSheetId="53">#REF!</definedName>
    <definedName name="Roles">#REF!</definedName>
    <definedName name="Roles_Rates">[41]Roles!$B$2:$B$183</definedName>
    <definedName name="RolesList">'[145]Roles List'!$A$2:$A$85</definedName>
    <definedName name="Roster" localSheetId="50">#REF!</definedName>
    <definedName name="Roster" localSheetId="47">#REF!</definedName>
    <definedName name="Roster" localSheetId="44">#REF!</definedName>
    <definedName name="Roster" localSheetId="45">#REF!</definedName>
    <definedName name="Roster" localSheetId="46">#REF!</definedName>
    <definedName name="Roster" localSheetId="37">#REF!</definedName>
    <definedName name="Roster" localSheetId="40">#REF!</definedName>
    <definedName name="Roster" localSheetId="54">#REF!</definedName>
    <definedName name="Roster" localSheetId="55">#REF!</definedName>
    <definedName name="Roster" localSheetId="52">#REF!</definedName>
    <definedName name="Roster" localSheetId="51">#REF!</definedName>
    <definedName name="Roster" localSheetId="53">#REF!</definedName>
    <definedName name="Roster">#REF!</definedName>
    <definedName name="rowforaddin" localSheetId="50">#REF!</definedName>
    <definedName name="rowforaddin" localSheetId="47">#REF!</definedName>
    <definedName name="rowforaddin" localSheetId="44">#REF!</definedName>
    <definedName name="rowforaddin" localSheetId="45">#REF!</definedName>
    <definedName name="rowforaddin" localSheetId="46">#REF!</definedName>
    <definedName name="rowforaddin" localSheetId="37">#REF!</definedName>
    <definedName name="rowforaddin" localSheetId="40">#REF!</definedName>
    <definedName name="rowforaddin" localSheetId="54">#REF!</definedName>
    <definedName name="rowforaddin" localSheetId="55">#REF!</definedName>
    <definedName name="rowforaddin" localSheetId="52">#REF!</definedName>
    <definedName name="rowforaddin" localSheetId="51">#REF!</definedName>
    <definedName name="rowforaddin" localSheetId="53">#REF!</definedName>
    <definedName name="rowforaddin">#REF!</definedName>
    <definedName name="rowforobjectiverisk" localSheetId="50">#REF!</definedName>
    <definedName name="rowforobjectiverisk" localSheetId="47">#REF!</definedName>
    <definedName name="rowforobjectiverisk" localSheetId="44">#REF!</definedName>
    <definedName name="rowforobjectiverisk" localSheetId="45">#REF!</definedName>
    <definedName name="rowforobjectiverisk" localSheetId="46">#REF!</definedName>
    <definedName name="rowforobjectiverisk" localSheetId="37">#REF!</definedName>
    <definedName name="rowforobjectiverisk" localSheetId="40">#REF!</definedName>
    <definedName name="rowforobjectiverisk" localSheetId="54">#REF!</definedName>
    <definedName name="rowforobjectiverisk" localSheetId="55">#REF!</definedName>
    <definedName name="rowforobjectiverisk" localSheetId="52">#REF!</definedName>
    <definedName name="rowforobjectiverisk" localSheetId="51">#REF!</definedName>
    <definedName name="rowforobjectiverisk" localSheetId="53">#REF!</definedName>
    <definedName name="rowforobjectiverisk">#REF!</definedName>
    <definedName name="rowforresourceplan" localSheetId="50">'[41]Staffing Plan'!#REF!</definedName>
    <definedName name="rowforresourceplan" localSheetId="47">'[41]Staffing Plan'!#REF!</definedName>
    <definedName name="rowforresourceplan" localSheetId="44">'[41]Staffing Plan'!#REF!</definedName>
    <definedName name="rowforresourceplan" localSheetId="45">'[41]Staffing Plan'!#REF!</definedName>
    <definedName name="rowforresourceplan" localSheetId="46">'[41]Staffing Plan'!#REF!</definedName>
    <definedName name="rowforresourceplan" localSheetId="37">'[41]Staffing Plan'!#REF!</definedName>
    <definedName name="rowforresourceplan" localSheetId="40">'[41]Staffing Plan'!#REF!</definedName>
    <definedName name="rowforresourceplan" localSheetId="54">'[41]Staffing Plan'!#REF!</definedName>
    <definedName name="rowforresourceplan" localSheetId="55">'[41]Staffing Plan'!#REF!</definedName>
    <definedName name="rowforresourceplan" localSheetId="52">'[41]Staffing Plan'!#REF!</definedName>
    <definedName name="rowforresourceplan" localSheetId="51">'[41]Staffing Plan'!#REF!</definedName>
    <definedName name="rowforresourceplan" localSheetId="53">'[41]Staffing Plan'!#REF!</definedName>
    <definedName name="rowforresourceplan">'[41]Staffing Plan'!#REF!</definedName>
    <definedName name="rowforresplan" localSheetId="50">'[146]Staffing Plan'!#REF!</definedName>
    <definedName name="rowforresplan" localSheetId="47">'[146]Staffing Plan'!#REF!</definedName>
    <definedName name="rowforresplan" localSheetId="44">'[146]Staffing Plan'!#REF!</definedName>
    <definedName name="rowforresplan" localSheetId="45">'[146]Staffing Plan'!#REF!</definedName>
    <definedName name="rowforresplan" localSheetId="46">'[146]Staffing Plan'!#REF!</definedName>
    <definedName name="rowforresplan" localSheetId="37">'[146]Staffing Plan'!#REF!</definedName>
    <definedName name="rowforresplan" localSheetId="40">'[146]Staffing Plan'!#REF!</definedName>
    <definedName name="rowforresplan" localSheetId="54">'[146]Staffing Plan'!#REF!</definedName>
    <definedName name="rowforresplan" localSheetId="55">'[146]Staffing Plan'!#REF!</definedName>
    <definedName name="rowforresplan" localSheetId="52">'[146]Staffing Plan'!#REF!</definedName>
    <definedName name="rowforresplan" localSheetId="51">'[146]Staffing Plan'!#REF!</definedName>
    <definedName name="rowforresplan" localSheetId="53">'[146]Staffing Plan'!#REF!</definedName>
    <definedName name="rowforresplan">'[146]Staffing Plan'!#REF!</definedName>
    <definedName name="rowforSOD" localSheetId="50">#REF!</definedName>
    <definedName name="rowforSOD" localSheetId="47">#REF!</definedName>
    <definedName name="rowforSOD" localSheetId="44">#REF!</definedName>
    <definedName name="rowforSOD" localSheetId="45">#REF!</definedName>
    <definedName name="rowforSOD" localSheetId="46">#REF!</definedName>
    <definedName name="rowforSOD" localSheetId="37">#REF!</definedName>
    <definedName name="rowforSOD" localSheetId="40">#REF!</definedName>
    <definedName name="rowforSOD" localSheetId="54">#REF!</definedName>
    <definedName name="rowforSOD" localSheetId="55">#REF!</definedName>
    <definedName name="rowforSOD" localSheetId="52">#REF!</definedName>
    <definedName name="rowforSOD" localSheetId="51">#REF!</definedName>
    <definedName name="rowforSOD" localSheetId="53">#REF!</definedName>
    <definedName name="rowforSOD">#REF!</definedName>
    <definedName name="rowforwbs" localSheetId="50">#REF!</definedName>
    <definedName name="rowforwbs" localSheetId="47">#REF!</definedName>
    <definedName name="rowforwbs" localSheetId="44">#REF!</definedName>
    <definedName name="rowforwbs" localSheetId="45">#REF!</definedName>
    <definedName name="rowforwbs" localSheetId="46">#REF!</definedName>
    <definedName name="rowforwbs" localSheetId="37">#REF!</definedName>
    <definedName name="rowforwbs" localSheetId="40">#REF!</definedName>
    <definedName name="rowforwbs" localSheetId="54">#REF!</definedName>
    <definedName name="rowforwbs" localSheetId="55">#REF!</definedName>
    <definedName name="rowforwbs" localSheetId="52">#REF!</definedName>
    <definedName name="rowforwbs" localSheetId="51">#REF!</definedName>
    <definedName name="rowforwbs" localSheetId="53">#REF!</definedName>
    <definedName name="rowforwbs">#REF!</definedName>
    <definedName name="Rows_Table" localSheetId="50">#REF!</definedName>
    <definedName name="Rows_Table" localSheetId="47">#REF!</definedName>
    <definedName name="Rows_Table" localSheetId="44">#REF!</definedName>
    <definedName name="Rows_Table" localSheetId="45">#REF!</definedName>
    <definedName name="Rows_Table" localSheetId="46">#REF!</definedName>
    <definedName name="Rows_Table" localSheetId="37">#REF!</definedName>
    <definedName name="Rows_Table" localSheetId="40">#REF!</definedName>
    <definedName name="Rows_Table" localSheetId="54">#REF!</definedName>
    <definedName name="Rows_Table" localSheetId="55">#REF!</definedName>
    <definedName name="Rows_Table" localSheetId="52">#REF!</definedName>
    <definedName name="Rows_Table" localSheetId="51">#REF!</definedName>
    <definedName name="Rows_Table" localSheetId="53">#REF!</definedName>
    <definedName name="Rows_Table">#REF!</definedName>
    <definedName name="RR" localSheetId="50">#REF!</definedName>
    <definedName name="RR" localSheetId="44">#REF!</definedName>
    <definedName name="RR" localSheetId="54">#REF!</definedName>
    <definedName name="RR" localSheetId="52">#REF!</definedName>
    <definedName name="RR" localSheetId="51">#REF!</definedName>
    <definedName name="RR" localSheetId="53">#REF!</definedName>
    <definedName name="RR">[36]Projections:PDVSA!$B$2:$BH$531</definedName>
    <definedName name="rrr" localSheetId="58" hidden="1">{"Riqfin97",#N/A,FALSE,"Tran";"Riqfinpro",#N/A,FALSE,"Tran"}</definedName>
    <definedName name="rrr" localSheetId="16" hidden="1">{"Riqfin97",#N/A,FALSE,"Tran";"Riqfinpro",#N/A,FALSE,"Tran"}</definedName>
    <definedName name="rrr" localSheetId="61" hidden="1">{"Riqfin97",#N/A,FALSE,"Tran";"Riqfinpro",#N/A,FALSE,"Tran"}</definedName>
    <definedName name="rrr" localSheetId="62" hidden="1">{"Riqfin97",#N/A,FALSE,"Tran";"Riqfinpro",#N/A,FALSE,"Tran"}</definedName>
    <definedName name="rrr" localSheetId="50" hidden="1">{"Riqfin97",#N/A,FALSE,"Tran";"Riqfinpro",#N/A,FALSE,"Tran"}</definedName>
    <definedName name="rrr" localSheetId="63" hidden="1">{"Riqfin97",#N/A,FALSE,"Tran";"Riqfinpro",#N/A,FALSE,"Tran"}</definedName>
    <definedName name="rrr" localSheetId="15" hidden="1">{"Riqfin97",#N/A,FALSE,"Tran";"Riqfinpro",#N/A,FALSE,"Tran"}</definedName>
    <definedName name="rrr" localSheetId="1" hidden="1">{"Riqfin97",#N/A,FALSE,"Tran";"Riqfinpro",#N/A,FALSE,"Tran"}</definedName>
    <definedName name="rrr" localSheetId="43" hidden="1">{"Riqfin97",#N/A,FALSE,"Tran";"Riqfinpro",#N/A,FALSE,"Tran"}</definedName>
    <definedName name="rrr" localSheetId="29" hidden="1">{"Riqfin97",#N/A,FALSE,"Tran";"Riqfinpro",#N/A,FALSE,"Tran"}</definedName>
    <definedName name="rrr" localSheetId="30" hidden="1">{"Riqfin97",#N/A,FALSE,"Tran";"Riqfinpro",#N/A,FALSE,"Tran"}</definedName>
    <definedName name="rrr" localSheetId="44" hidden="1">{"Riqfin97",#N/A,FALSE,"Tran";"Riqfinpro",#N/A,FALSE,"Tran"}</definedName>
    <definedName name="rrr" localSheetId="59" hidden="1">{"Riqfin97",#N/A,FALSE,"Tran";"Riqfinpro",#N/A,FALSE,"Tran"}</definedName>
    <definedName name="rrr" localSheetId="13" hidden="1">{"Riqfin97",#N/A,FALSE,"Tran";"Riqfinpro",#N/A,FALSE,"Tran"}</definedName>
    <definedName name="rrr" localSheetId="0" hidden="1">{"Riqfin97",#N/A,FALSE,"Tran";"Riqfinpro",#N/A,FALSE,"Tran"}</definedName>
    <definedName name="rrr" localSheetId="57" hidden="1">{"Riqfin97",#N/A,FALSE,"Tran";"Riqfinpro",#N/A,FALSE,"Tran"}</definedName>
    <definedName name="rrr" localSheetId="56" hidden="1">{"Riqfin97",#N/A,FALSE,"Tran";"Riqfinpro",#N/A,FALSE,"Tran"}</definedName>
    <definedName name="rrr" localSheetId="54" hidden="1">{"Riqfin97",#N/A,FALSE,"Tran";"Riqfinpro",#N/A,FALSE,"Tran"}</definedName>
    <definedName name="rrr" localSheetId="52" hidden="1">{"Riqfin97",#N/A,FALSE,"Tran";"Riqfinpro",#N/A,FALSE,"Tran"}</definedName>
    <definedName name="rrr" localSheetId="23" hidden="1">{"Riqfin97",#N/A,FALSE,"Tran";"Riqfinpro",#N/A,FALSE,"Tran"}</definedName>
    <definedName name="rrr" localSheetId="51" hidden="1">{"Riqfin97",#N/A,FALSE,"Tran";"Riqfinpro",#N/A,FALSE,"Tran"}</definedName>
    <definedName name="rrr" localSheetId="53" hidden="1">{"Riqfin97",#N/A,FALSE,"Tran";"Riqfinpro",#N/A,FALSE,"Tran"}</definedName>
    <definedName name="rrr" localSheetId="60" hidden="1">{"Riqfin97",#N/A,FALSE,"Tran";"Riqfinpro",#N/A,FALSE,"Tran"}</definedName>
    <definedName name="rrr" hidden="1">{"Riqfin97",#N/A,FALSE,"Tran";"Riqfinpro",#N/A,FALSE,"Tran"}</definedName>
    <definedName name="rrrr" localSheetId="58" hidden="1">{#N/A,#N/A,FALSE,"slvsrtb1";#N/A,#N/A,FALSE,"slvsrtb2";#N/A,#N/A,FALSE,"slvsrtb3";#N/A,#N/A,FALSE,"slvsrtb4";#N/A,#N/A,FALSE,"slvsrtb5";#N/A,#N/A,FALSE,"slvsrtb6";#N/A,#N/A,FALSE,"slvsrtb7";#N/A,#N/A,FALSE,"slvsrtb8";#N/A,#N/A,FALSE,"slvsrtb9";#N/A,#N/A,FALSE,"slvsrtb10";#N/A,#N/A,FALSE,"slvsrtb12"}</definedName>
    <definedName name="rrrr" localSheetId="16" hidden="1">{#N/A,#N/A,FALSE,"slvsrtb1";#N/A,#N/A,FALSE,"slvsrtb2";#N/A,#N/A,FALSE,"slvsrtb3";#N/A,#N/A,FALSE,"slvsrtb4";#N/A,#N/A,FALSE,"slvsrtb5";#N/A,#N/A,FALSE,"slvsrtb6";#N/A,#N/A,FALSE,"slvsrtb7";#N/A,#N/A,FALSE,"slvsrtb8";#N/A,#N/A,FALSE,"slvsrtb9";#N/A,#N/A,FALSE,"slvsrtb10";#N/A,#N/A,FALSE,"slvsrtb12"}</definedName>
    <definedName name="rrrr" localSheetId="61" hidden="1">{#N/A,#N/A,FALSE,"slvsrtb1";#N/A,#N/A,FALSE,"slvsrtb2";#N/A,#N/A,FALSE,"slvsrtb3";#N/A,#N/A,FALSE,"slvsrtb4";#N/A,#N/A,FALSE,"slvsrtb5";#N/A,#N/A,FALSE,"slvsrtb6";#N/A,#N/A,FALSE,"slvsrtb7";#N/A,#N/A,FALSE,"slvsrtb8";#N/A,#N/A,FALSE,"slvsrtb9";#N/A,#N/A,FALSE,"slvsrtb10";#N/A,#N/A,FALSE,"slvsrtb12"}</definedName>
    <definedName name="rrrr" localSheetId="62" hidden="1">{#N/A,#N/A,FALSE,"slvsrtb1";#N/A,#N/A,FALSE,"slvsrtb2";#N/A,#N/A,FALSE,"slvsrtb3";#N/A,#N/A,FALSE,"slvsrtb4";#N/A,#N/A,FALSE,"slvsrtb5";#N/A,#N/A,FALSE,"slvsrtb6";#N/A,#N/A,FALSE,"slvsrtb7";#N/A,#N/A,FALSE,"slvsrtb8";#N/A,#N/A,FALSE,"slvsrtb9";#N/A,#N/A,FALSE,"slvsrtb10";#N/A,#N/A,FALSE,"slvsrtb12"}</definedName>
    <definedName name="rrrr" localSheetId="50" hidden="1">{#N/A,#N/A,FALSE,"slvsrtb1";#N/A,#N/A,FALSE,"slvsrtb2";#N/A,#N/A,FALSE,"slvsrtb3";#N/A,#N/A,FALSE,"slvsrtb4";#N/A,#N/A,FALSE,"slvsrtb5";#N/A,#N/A,FALSE,"slvsrtb6";#N/A,#N/A,FALSE,"slvsrtb7";#N/A,#N/A,FALSE,"slvsrtb8";#N/A,#N/A,FALSE,"slvsrtb9";#N/A,#N/A,FALSE,"slvsrtb10";#N/A,#N/A,FALSE,"slvsrtb12"}</definedName>
    <definedName name="rrrr" localSheetId="63" hidden="1">{#N/A,#N/A,FALSE,"slvsrtb1";#N/A,#N/A,FALSE,"slvsrtb2";#N/A,#N/A,FALSE,"slvsrtb3";#N/A,#N/A,FALSE,"slvsrtb4";#N/A,#N/A,FALSE,"slvsrtb5";#N/A,#N/A,FALSE,"slvsrtb6";#N/A,#N/A,FALSE,"slvsrtb7";#N/A,#N/A,FALSE,"slvsrtb8";#N/A,#N/A,FALSE,"slvsrtb9";#N/A,#N/A,FALSE,"slvsrtb10";#N/A,#N/A,FALSE,"slvsrtb12"}</definedName>
    <definedName name="rrrr" localSheetId="15" hidden="1">{#N/A,#N/A,FALSE,"slvsrtb1";#N/A,#N/A,FALSE,"slvsrtb2";#N/A,#N/A,FALSE,"slvsrtb3";#N/A,#N/A,FALSE,"slvsrtb4";#N/A,#N/A,FALSE,"slvsrtb5";#N/A,#N/A,FALSE,"slvsrtb6";#N/A,#N/A,FALSE,"slvsrtb7";#N/A,#N/A,FALSE,"slvsrtb8";#N/A,#N/A,FALSE,"slvsrtb9";#N/A,#N/A,FALSE,"slvsrtb10";#N/A,#N/A,FALSE,"slvsrtb12"}</definedName>
    <definedName name="rrrr" localSheetId="1" hidden="1">{#N/A,#N/A,FALSE,"slvsrtb1";#N/A,#N/A,FALSE,"slvsrtb2";#N/A,#N/A,FALSE,"slvsrtb3";#N/A,#N/A,FALSE,"slvsrtb4";#N/A,#N/A,FALSE,"slvsrtb5";#N/A,#N/A,FALSE,"slvsrtb6";#N/A,#N/A,FALSE,"slvsrtb7";#N/A,#N/A,FALSE,"slvsrtb8";#N/A,#N/A,FALSE,"slvsrtb9";#N/A,#N/A,FALSE,"slvsrtb10";#N/A,#N/A,FALSE,"slvsrtb12"}</definedName>
    <definedName name="rrrr" localSheetId="43" hidden="1">{#N/A,#N/A,FALSE,"slvsrtb1";#N/A,#N/A,FALSE,"slvsrtb2";#N/A,#N/A,FALSE,"slvsrtb3";#N/A,#N/A,FALSE,"slvsrtb4";#N/A,#N/A,FALSE,"slvsrtb5";#N/A,#N/A,FALSE,"slvsrtb6";#N/A,#N/A,FALSE,"slvsrtb7";#N/A,#N/A,FALSE,"slvsrtb8";#N/A,#N/A,FALSE,"slvsrtb9";#N/A,#N/A,FALSE,"slvsrtb10";#N/A,#N/A,FALSE,"slvsrtb12"}</definedName>
    <definedName name="rrrr" localSheetId="29" hidden="1">{#N/A,#N/A,FALSE,"slvsrtb1";#N/A,#N/A,FALSE,"slvsrtb2";#N/A,#N/A,FALSE,"slvsrtb3";#N/A,#N/A,FALSE,"slvsrtb4";#N/A,#N/A,FALSE,"slvsrtb5";#N/A,#N/A,FALSE,"slvsrtb6";#N/A,#N/A,FALSE,"slvsrtb7";#N/A,#N/A,FALSE,"slvsrtb8";#N/A,#N/A,FALSE,"slvsrtb9";#N/A,#N/A,FALSE,"slvsrtb10";#N/A,#N/A,FALSE,"slvsrtb12"}</definedName>
    <definedName name="rrrr" localSheetId="30" hidden="1">{#N/A,#N/A,FALSE,"slvsrtb1";#N/A,#N/A,FALSE,"slvsrtb2";#N/A,#N/A,FALSE,"slvsrtb3";#N/A,#N/A,FALSE,"slvsrtb4";#N/A,#N/A,FALSE,"slvsrtb5";#N/A,#N/A,FALSE,"slvsrtb6";#N/A,#N/A,FALSE,"slvsrtb7";#N/A,#N/A,FALSE,"slvsrtb8";#N/A,#N/A,FALSE,"slvsrtb9";#N/A,#N/A,FALSE,"slvsrtb10";#N/A,#N/A,FALSE,"slvsrtb12"}</definedName>
    <definedName name="rrrr" localSheetId="44" hidden="1">{#N/A,#N/A,FALSE,"slvsrtb1";#N/A,#N/A,FALSE,"slvsrtb2";#N/A,#N/A,FALSE,"slvsrtb3";#N/A,#N/A,FALSE,"slvsrtb4";#N/A,#N/A,FALSE,"slvsrtb5";#N/A,#N/A,FALSE,"slvsrtb6";#N/A,#N/A,FALSE,"slvsrtb7";#N/A,#N/A,FALSE,"slvsrtb8";#N/A,#N/A,FALSE,"slvsrtb9";#N/A,#N/A,FALSE,"slvsrtb10";#N/A,#N/A,FALSE,"slvsrtb12"}</definedName>
    <definedName name="rrrr" localSheetId="59" hidden="1">{#N/A,#N/A,FALSE,"slvsrtb1";#N/A,#N/A,FALSE,"slvsrtb2";#N/A,#N/A,FALSE,"slvsrtb3";#N/A,#N/A,FALSE,"slvsrtb4";#N/A,#N/A,FALSE,"slvsrtb5";#N/A,#N/A,FALSE,"slvsrtb6";#N/A,#N/A,FALSE,"slvsrtb7";#N/A,#N/A,FALSE,"slvsrtb8";#N/A,#N/A,FALSE,"slvsrtb9";#N/A,#N/A,FALSE,"slvsrtb10";#N/A,#N/A,FALSE,"slvsrtb12"}</definedName>
    <definedName name="rrrr" localSheetId="13" hidden="1">{#N/A,#N/A,FALSE,"slvsrtb1";#N/A,#N/A,FALSE,"slvsrtb2";#N/A,#N/A,FALSE,"slvsrtb3";#N/A,#N/A,FALSE,"slvsrtb4";#N/A,#N/A,FALSE,"slvsrtb5";#N/A,#N/A,FALSE,"slvsrtb6";#N/A,#N/A,FALSE,"slvsrtb7";#N/A,#N/A,FALSE,"slvsrtb8";#N/A,#N/A,FALSE,"slvsrtb9";#N/A,#N/A,FALSE,"slvsrtb10";#N/A,#N/A,FALSE,"slvsrtb12"}</definedName>
    <definedName name="rrrr" localSheetId="0" hidden="1">{#N/A,#N/A,FALSE,"slvsrtb1";#N/A,#N/A,FALSE,"slvsrtb2";#N/A,#N/A,FALSE,"slvsrtb3";#N/A,#N/A,FALSE,"slvsrtb4";#N/A,#N/A,FALSE,"slvsrtb5";#N/A,#N/A,FALSE,"slvsrtb6";#N/A,#N/A,FALSE,"slvsrtb7";#N/A,#N/A,FALSE,"slvsrtb8";#N/A,#N/A,FALSE,"slvsrtb9";#N/A,#N/A,FALSE,"slvsrtb10";#N/A,#N/A,FALSE,"slvsrtb12"}</definedName>
    <definedName name="rrrr" localSheetId="57" hidden="1">{#N/A,#N/A,FALSE,"slvsrtb1";#N/A,#N/A,FALSE,"slvsrtb2";#N/A,#N/A,FALSE,"slvsrtb3";#N/A,#N/A,FALSE,"slvsrtb4";#N/A,#N/A,FALSE,"slvsrtb5";#N/A,#N/A,FALSE,"slvsrtb6";#N/A,#N/A,FALSE,"slvsrtb7";#N/A,#N/A,FALSE,"slvsrtb8";#N/A,#N/A,FALSE,"slvsrtb9";#N/A,#N/A,FALSE,"slvsrtb10";#N/A,#N/A,FALSE,"slvsrtb12"}</definedName>
    <definedName name="rrrr" localSheetId="56" hidden="1">{#N/A,#N/A,FALSE,"slvsrtb1";#N/A,#N/A,FALSE,"slvsrtb2";#N/A,#N/A,FALSE,"slvsrtb3";#N/A,#N/A,FALSE,"slvsrtb4";#N/A,#N/A,FALSE,"slvsrtb5";#N/A,#N/A,FALSE,"slvsrtb6";#N/A,#N/A,FALSE,"slvsrtb7";#N/A,#N/A,FALSE,"slvsrtb8";#N/A,#N/A,FALSE,"slvsrtb9";#N/A,#N/A,FALSE,"slvsrtb10";#N/A,#N/A,FALSE,"slvsrtb12"}</definedName>
    <definedName name="rrrr" localSheetId="54" hidden="1">{#N/A,#N/A,FALSE,"slvsrtb1";#N/A,#N/A,FALSE,"slvsrtb2";#N/A,#N/A,FALSE,"slvsrtb3";#N/A,#N/A,FALSE,"slvsrtb4";#N/A,#N/A,FALSE,"slvsrtb5";#N/A,#N/A,FALSE,"slvsrtb6";#N/A,#N/A,FALSE,"slvsrtb7";#N/A,#N/A,FALSE,"slvsrtb8";#N/A,#N/A,FALSE,"slvsrtb9";#N/A,#N/A,FALSE,"slvsrtb10";#N/A,#N/A,FALSE,"slvsrtb12"}</definedName>
    <definedName name="rrrr" localSheetId="52" hidden="1">{#N/A,#N/A,FALSE,"slvsrtb1";#N/A,#N/A,FALSE,"slvsrtb2";#N/A,#N/A,FALSE,"slvsrtb3";#N/A,#N/A,FALSE,"slvsrtb4";#N/A,#N/A,FALSE,"slvsrtb5";#N/A,#N/A,FALSE,"slvsrtb6";#N/A,#N/A,FALSE,"slvsrtb7";#N/A,#N/A,FALSE,"slvsrtb8";#N/A,#N/A,FALSE,"slvsrtb9";#N/A,#N/A,FALSE,"slvsrtb10";#N/A,#N/A,FALSE,"slvsrtb12"}</definedName>
    <definedName name="rrrr" localSheetId="23" hidden="1">{#N/A,#N/A,FALSE,"slvsrtb1";#N/A,#N/A,FALSE,"slvsrtb2";#N/A,#N/A,FALSE,"slvsrtb3";#N/A,#N/A,FALSE,"slvsrtb4";#N/A,#N/A,FALSE,"slvsrtb5";#N/A,#N/A,FALSE,"slvsrtb6";#N/A,#N/A,FALSE,"slvsrtb7";#N/A,#N/A,FALSE,"slvsrtb8";#N/A,#N/A,FALSE,"slvsrtb9";#N/A,#N/A,FALSE,"slvsrtb10";#N/A,#N/A,FALSE,"slvsrtb12"}</definedName>
    <definedName name="rrrr" localSheetId="51" hidden="1">{#N/A,#N/A,FALSE,"slvsrtb1";#N/A,#N/A,FALSE,"slvsrtb2";#N/A,#N/A,FALSE,"slvsrtb3";#N/A,#N/A,FALSE,"slvsrtb4";#N/A,#N/A,FALSE,"slvsrtb5";#N/A,#N/A,FALSE,"slvsrtb6";#N/A,#N/A,FALSE,"slvsrtb7";#N/A,#N/A,FALSE,"slvsrtb8";#N/A,#N/A,FALSE,"slvsrtb9";#N/A,#N/A,FALSE,"slvsrtb10";#N/A,#N/A,FALSE,"slvsrtb12"}</definedName>
    <definedName name="rrrr" localSheetId="53" hidden="1">{#N/A,#N/A,FALSE,"slvsrtb1";#N/A,#N/A,FALSE,"slvsrtb2";#N/A,#N/A,FALSE,"slvsrtb3";#N/A,#N/A,FALSE,"slvsrtb4";#N/A,#N/A,FALSE,"slvsrtb5";#N/A,#N/A,FALSE,"slvsrtb6";#N/A,#N/A,FALSE,"slvsrtb7";#N/A,#N/A,FALSE,"slvsrtb8";#N/A,#N/A,FALSE,"slvsrtb9";#N/A,#N/A,FALSE,"slvsrtb10";#N/A,#N/A,FALSE,"slvsrtb12"}</definedName>
    <definedName name="rrrr" localSheetId="60" hidden="1">{#N/A,#N/A,FALSE,"slvsrtb1";#N/A,#N/A,FALSE,"slvsrtb2";#N/A,#N/A,FALSE,"slvsrtb3";#N/A,#N/A,FALSE,"slvsrtb4";#N/A,#N/A,FALSE,"slvsrtb5";#N/A,#N/A,FALSE,"slvsrtb6";#N/A,#N/A,FALSE,"slvsrtb7";#N/A,#N/A,FALSE,"slvsrtb8";#N/A,#N/A,FALSE,"slvsrtb9";#N/A,#N/A,FALSE,"slvsrtb10";#N/A,#N/A,FALSE,"slvsrtb12"}</definedName>
    <definedName name="rrrr" hidden="1">{#N/A,#N/A,FALSE,"slvsrtb1";#N/A,#N/A,FALSE,"slvsrtb2";#N/A,#N/A,FALSE,"slvsrtb3";#N/A,#N/A,FALSE,"slvsrtb4";#N/A,#N/A,FALSE,"slvsrtb5";#N/A,#N/A,FALSE,"slvsrtb6";#N/A,#N/A,FALSE,"slvsrtb7";#N/A,#N/A,FALSE,"slvsrtb8";#N/A,#N/A,FALSE,"slvsrtb9";#N/A,#N/A,FALSE,"slvsrtb10";#N/A,#N/A,FALSE,"slvsrtb12"}</definedName>
    <definedName name="rrrrrr" localSheetId="58" hidden="1">{"Tab1",#N/A,FALSE,"P";"Tab2",#N/A,FALSE,"P"}</definedName>
    <definedName name="rrrrrr" localSheetId="16" hidden="1">{"Tab1",#N/A,FALSE,"P";"Tab2",#N/A,FALSE,"P"}</definedName>
    <definedName name="rrrrrr" localSheetId="61" hidden="1">{"Tab1",#N/A,FALSE,"P";"Tab2",#N/A,FALSE,"P"}</definedName>
    <definedName name="rrrrrr" localSheetId="62" hidden="1">{"Tab1",#N/A,FALSE,"P";"Tab2",#N/A,FALSE,"P"}</definedName>
    <definedName name="rrrrrr" localSheetId="50" hidden="1">{"Tab1",#N/A,FALSE,"P";"Tab2",#N/A,FALSE,"P"}</definedName>
    <definedName name="rrrrrr" localSheetId="63" hidden="1">{"Tab1",#N/A,FALSE,"P";"Tab2",#N/A,FALSE,"P"}</definedName>
    <definedName name="rrrrrr" localSheetId="15" hidden="1">{"Tab1",#N/A,FALSE,"P";"Tab2",#N/A,FALSE,"P"}</definedName>
    <definedName name="rrrrrr" localSheetId="1" hidden="1">{"Tab1",#N/A,FALSE,"P";"Tab2",#N/A,FALSE,"P"}</definedName>
    <definedName name="rrrrrr" localSheetId="43" hidden="1">{"Tab1",#N/A,FALSE,"P";"Tab2",#N/A,FALSE,"P"}</definedName>
    <definedName name="rrrrrr" localSheetId="29" hidden="1">{"Tab1",#N/A,FALSE,"P";"Tab2",#N/A,FALSE,"P"}</definedName>
    <definedName name="rrrrrr" localSheetId="30" hidden="1">{"Tab1",#N/A,FALSE,"P";"Tab2",#N/A,FALSE,"P"}</definedName>
    <definedName name="rrrrrr" localSheetId="44" hidden="1">{"Tab1",#N/A,FALSE,"P";"Tab2",#N/A,FALSE,"P"}</definedName>
    <definedName name="rrrrrr" localSheetId="59" hidden="1">{"Tab1",#N/A,FALSE,"P";"Tab2",#N/A,FALSE,"P"}</definedName>
    <definedName name="rrrrrr" localSheetId="13" hidden="1">{"Tab1",#N/A,FALSE,"P";"Tab2",#N/A,FALSE,"P"}</definedName>
    <definedName name="rrrrrr" localSheetId="0" hidden="1">{"Tab1",#N/A,FALSE,"P";"Tab2",#N/A,FALSE,"P"}</definedName>
    <definedName name="rrrrrr" localSheetId="57" hidden="1">{"Tab1",#N/A,FALSE,"P";"Tab2",#N/A,FALSE,"P"}</definedName>
    <definedName name="rrrrrr" localSheetId="56" hidden="1">{"Tab1",#N/A,FALSE,"P";"Tab2",#N/A,FALSE,"P"}</definedName>
    <definedName name="rrrrrr" localSheetId="54" hidden="1">{"Tab1",#N/A,FALSE,"P";"Tab2",#N/A,FALSE,"P"}</definedName>
    <definedName name="rrrrrr" localSheetId="52" hidden="1">{"Tab1",#N/A,FALSE,"P";"Tab2",#N/A,FALSE,"P"}</definedName>
    <definedName name="rrrrrr" localSheetId="23" hidden="1">{"Tab1",#N/A,FALSE,"P";"Tab2",#N/A,FALSE,"P"}</definedName>
    <definedName name="rrrrrr" localSheetId="51" hidden="1">{"Tab1",#N/A,FALSE,"P";"Tab2",#N/A,FALSE,"P"}</definedName>
    <definedName name="rrrrrr" localSheetId="53" hidden="1">{"Tab1",#N/A,FALSE,"P";"Tab2",#N/A,FALSE,"P"}</definedName>
    <definedName name="rrrrrr" localSheetId="60" hidden="1">{"Tab1",#N/A,FALSE,"P";"Tab2",#N/A,FALSE,"P"}</definedName>
    <definedName name="rrrrrr" hidden="1">{"Tab1",#N/A,FALSE,"P";"Tab2",#N/A,FALSE,"P"}</definedName>
    <definedName name="rrrrrrr" localSheetId="58" hidden="1">{"Tab1",#N/A,FALSE,"P";"Tab2",#N/A,FALSE,"P"}</definedName>
    <definedName name="rrrrrrr" localSheetId="16" hidden="1">{"Tab1",#N/A,FALSE,"P";"Tab2",#N/A,FALSE,"P"}</definedName>
    <definedName name="rrrrrrr" localSheetId="61" hidden="1">{"Tab1",#N/A,FALSE,"P";"Tab2",#N/A,FALSE,"P"}</definedName>
    <definedName name="rrrrrrr" localSheetId="62" hidden="1">{"Tab1",#N/A,FALSE,"P";"Tab2",#N/A,FALSE,"P"}</definedName>
    <definedName name="rrrrrrr" localSheetId="50" hidden="1">{"Tab1",#N/A,FALSE,"P";"Tab2",#N/A,FALSE,"P"}</definedName>
    <definedName name="rrrrrrr" localSheetId="63" hidden="1">{"Tab1",#N/A,FALSE,"P";"Tab2",#N/A,FALSE,"P"}</definedName>
    <definedName name="rrrrrrr" localSheetId="15" hidden="1">{"Tab1",#N/A,FALSE,"P";"Tab2",#N/A,FALSE,"P"}</definedName>
    <definedName name="rrrrrrr" localSheetId="1" hidden="1">{"Tab1",#N/A,FALSE,"P";"Tab2",#N/A,FALSE,"P"}</definedName>
    <definedName name="rrrrrrr" localSheetId="43" hidden="1">{"Tab1",#N/A,FALSE,"P";"Tab2",#N/A,FALSE,"P"}</definedName>
    <definedName name="rrrrrrr" localSheetId="29" hidden="1">{"Tab1",#N/A,FALSE,"P";"Tab2",#N/A,FALSE,"P"}</definedName>
    <definedName name="rrrrrrr" localSheetId="30" hidden="1">{"Tab1",#N/A,FALSE,"P";"Tab2",#N/A,FALSE,"P"}</definedName>
    <definedName name="rrrrrrr" localSheetId="44" hidden="1">{"Tab1",#N/A,FALSE,"P";"Tab2",#N/A,FALSE,"P"}</definedName>
    <definedName name="rrrrrrr" localSheetId="59" hidden="1">{"Tab1",#N/A,FALSE,"P";"Tab2",#N/A,FALSE,"P"}</definedName>
    <definedName name="rrrrrrr" localSheetId="13" hidden="1">{"Tab1",#N/A,FALSE,"P";"Tab2",#N/A,FALSE,"P"}</definedName>
    <definedName name="rrrrrrr" localSheetId="0" hidden="1">{"Tab1",#N/A,FALSE,"P";"Tab2",#N/A,FALSE,"P"}</definedName>
    <definedName name="rrrrrrr" localSheetId="57" hidden="1">{"Tab1",#N/A,FALSE,"P";"Tab2",#N/A,FALSE,"P"}</definedName>
    <definedName name="rrrrrrr" localSheetId="56" hidden="1">{"Tab1",#N/A,FALSE,"P";"Tab2",#N/A,FALSE,"P"}</definedName>
    <definedName name="rrrrrrr" localSheetId="54" hidden="1">{"Tab1",#N/A,FALSE,"P";"Tab2",#N/A,FALSE,"P"}</definedName>
    <definedName name="rrrrrrr" localSheetId="52" hidden="1">{"Tab1",#N/A,FALSE,"P";"Tab2",#N/A,FALSE,"P"}</definedName>
    <definedName name="rrrrrrr" localSheetId="23" hidden="1">{"Tab1",#N/A,FALSE,"P";"Tab2",#N/A,FALSE,"P"}</definedName>
    <definedName name="rrrrrrr" localSheetId="51" hidden="1">{"Tab1",#N/A,FALSE,"P";"Tab2",#N/A,FALSE,"P"}</definedName>
    <definedName name="rrrrrrr" localSheetId="53" hidden="1">{"Tab1",#N/A,FALSE,"P";"Tab2",#N/A,FALSE,"P"}</definedName>
    <definedName name="rrrrrrr" localSheetId="60" hidden="1">{"Tab1",#N/A,FALSE,"P";"Tab2",#N/A,FALSE,"P"}</definedName>
    <definedName name="rrrrrrr" hidden="1">{"Tab1",#N/A,FALSE,"P";"Tab2",#N/A,FALSE,"P"}</definedName>
    <definedName name="rs_database" localSheetId="50">[40]Roles!#REF!</definedName>
    <definedName name="rs_database" localSheetId="47">[40]Roles!#REF!</definedName>
    <definedName name="rs_database" localSheetId="44">[40]Roles!#REF!</definedName>
    <definedName name="rs_database" localSheetId="45">[40]Roles!#REF!</definedName>
    <definedName name="rs_database" localSheetId="46">[40]Roles!#REF!</definedName>
    <definedName name="rs_database" localSheetId="37">[40]Roles!#REF!</definedName>
    <definedName name="rs_database" localSheetId="40">[40]Roles!#REF!</definedName>
    <definedName name="rs_database" localSheetId="54">[40]Roles!#REF!</definedName>
    <definedName name="rs_database" localSheetId="55">[40]Roles!#REF!</definedName>
    <definedName name="rs_database" localSheetId="52">[40]Roles!#REF!</definedName>
    <definedName name="rs_database" localSheetId="51">[40]Roles!#REF!</definedName>
    <definedName name="rs_database" localSheetId="53">[40]Roles!#REF!</definedName>
    <definedName name="rs_database">[40]Roles!#REF!</definedName>
    <definedName name="rs_database_1" localSheetId="50">[42]Roles!#REF!</definedName>
    <definedName name="rs_database_1" localSheetId="47">[42]Roles!#REF!</definedName>
    <definedName name="rs_database_1" localSheetId="44">[42]Roles!#REF!</definedName>
    <definedName name="rs_database_1" localSheetId="45">[42]Roles!#REF!</definedName>
    <definedName name="rs_database_1" localSheetId="46">[42]Roles!#REF!</definedName>
    <definedName name="rs_database_1" localSheetId="37">[42]Roles!#REF!</definedName>
    <definedName name="rs_database_1" localSheetId="40">[42]Roles!#REF!</definedName>
    <definedName name="rs_database_1" localSheetId="54">[42]Roles!#REF!</definedName>
    <definedName name="rs_database_1" localSheetId="55">[42]Roles!#REF!</definedName>
    <definedName name="rs_database_1" localSheetId="52">[42]Roles!#REF!</definedName>
    <definedName name="rs_database_1" localSheetId="51">[42]Roles!#REF!</definedName>
    <definedName name="rs_database_1" localSheetId="53">[42]Roles!#REF!</definedName>
    <definedName name="rs_database_1">[42]Roles!#REF!</definedName>
    <definedName name="rssrate">'[52]Burn Rates'!$G$14</definedName>
    <definedName name="rt" localSheetId="58" hidden="1">{"Minpmon",#N/A,FALSE,"Monthinput"}</definedName>
    <definedName name="rt" localSheetId="16" hidden="1">{"Minpmon",#N/A,FALSE,"Monthinput"}</definedName>
    <definedName name="rt" localSheetId="61" hidden="1">{"Minpmon",#N/A,FALSE,"Monthinput"}</definedName>
    <definedName name="rt" localSheetId="62" hidden="1">{"Minpmon",#N/A,FALSE,"Monthinput"}</definedName>
    <definedName name="rt" localSheetId="50" hidden="1">{"Minpmon",#N/A,FALSE,"Monthinput"}</definedName>
    <definedName name="rt" localSheetId="63" hidden="1">{"Minpmon",#N/A,FALSE,"Monthinput"}</definedName>
    <definedName name="rt" localSheetId="15" hidden="1">{"Minpmon",#N/A,FALSE,"Monthinput"}</definedName>
    <definedName name="rt" localSheetId="1" hidden="1">{"Minpmon",#N/A,FALSE,"Monthinput"}</definedName>
    <definedName name="rt" localSheetId="43" hidden="1">{"Minpmon",#N/A,FALSE,"Monthinput"}</definedName>
    <definedName name="rt" localSheetId="29" hidden="1">{"Minpmon",#N/A,FALSE,"Monthinput"}</definedName>
    <definedName name="rt" localSheetId="30" hidden="1">{"Minpmon",#N/A,FALSE,"Monthinput"}</definedName>
    <definedName name="rt" localSheetId="44" hidden="1">{"Minpmon",#N/A,FALSE,"Monthinput"}</definedName>
    <definedName name="rt" localSheetId="59" hidden="1">{"Minpmon",#N/A,FALSE,"Monthinput"}</definedName>
    <definedName name="rt" localSheetId="13" hidden="1">{"Minpmon",#N/A,FALSE,"Monthinput"}</definedName>
    <definedName name="rt" localSheetId="0" hidden="1">{"Minpmon",#N/A,FALSE,"Monthinput"}</definedName>
    <definedName name="rt" localSheetId="57" hidden="1">{"Minpmon",#N/A,FALSE,"Monthinput"}</definedName>
    <definedName name="rt" localSheetId="56" hidden="1">{"Minpmon",#N/A,FALSE,"Monthinput"}</definedName>
    <definedName name="rt" localSheetId="54" hidden="1">{"Minpmon",#N/A,FALSE,"Monthinput"}</definedName>
    <definedName name="rt" localSheetId="52" hidden="1">{"Minpmon",#N/A,FALSE,"Monthinput"}</definedName>
    <definedName name="rt" localSheetId="23" hidden="1">{"Minpmon",#N/A,FALSE,"Monthinput"}</definedName>
    <definedName name="rt" localSheetId="51" hidden="1">{"Minpmon",#N/A,FALSE,"Monthinput"}</definedName>
    <definedName name="rt" localSheetId="53" hidden="1">{"Minpmon",#N/A,FALSE,"Monthinput"}</definedName>
    <definedName name="rt" localSheetId="60" hidden="1">{"Minpmon",#N/A,FALSE,"Monthinput"}</definedName>
    <definedName name="rt" hidden="1">{"Minpmon",#N/A,FALSE,"Monthinput"}</definedName>
    <definedName name="rte" localSheetId="58" hidden="1">{"Riqfin97",#N/A,FALSE,"Tran";"Riqfinpro",#N/A,FALSE,"Tran"}</definedName>
    <definedName name="rte" localSheetId="16" hidden="1">{"Riqfin97",#N/A,FALSE,"Tran";"Riqfinpro",#N/A,FALSE,"Tran"}</definedName>
    <definedName name="rte" localSheetId="61" hidden="1">{"Riqfin97",#N/A,FALSE,"Tran";"Riqfinpro",#N/A,FALSE,"Tran"}</definedName>
    <definedName name="rte" localSheetId="62" hidden="1">{"Riqfin97",#N/A,FALSE,"Tran";"Riqfinpro",#N/A,FALSE,"Tran"}</definedName>
    <definedName name="rte" localSheetId="50" hidden="1">{"Riqfin97",#N/A,FALSE,"Tran";"Riqfinpro",#N/A,FALSE,"Tran"}</definedName>
    <definedName name="rte" localSheetId="63" hidden="1">{"Riqfin97",#N/A,FALSE,"Tran";"Riqfinpro",#N/A,FALSE,"Tran"}</definedName>
    <definedName name="rte" localSheetId="15" hidden="1">{"Riqfin97",#N/A,FALSE,"Tran";"Riqfinpro",#N/A,FALSE,"Tran"}</definedName>
    <definedName name="rte" localSheetId="1" hidden="1">{"Riqfin97",#N/A,FALSE,"Tran";"Riqfinpro",#N/A,FALSE,"Tran"}</definedName>
    <definedName name="rte" localSheetId="43" hidden="1">{"Riqfin97",#N/A,FALSE,"Tran";"Riqfinpro",#N/A,FALSE,"Tran"}</definedName>
    <definedName name="rte" localSheetId="29" hidden="1">{"Riqfin97",#N/A,FALSE,"Tran";"Riqfinpro",#N/A,FALSE,"Tran"}</definedName>
    <definedName name="rte" localSheetId="30" hidden="1">{"Riqfin97",#N/A,FALSE,"Tran";"Riqfinpro",#N/A,FALSE,"Tran"}</definedName>
    <definedName name="rte" localSheetId="44" hidden="1">{"Riqfin97",#N/A,FALSE,"Tran";"Riqfinpro",#N/A,FALSE,"Tran"}</definedName>
    <definedName name="rte" localSheetId="59" hidden="1">{"Riqfin97",#N/A,FALSE,"Tran";"Riqfinpro",#N/A,FALSE,"Tran"}</definedName>
    <definedName name="rte" localSheetId="13" hidden="1">{"Riqfin97",#N/A,FALSE,"Tran";"Riqfinpro",#N/A,FALSE,"Tran"}</definedName>
    <definedName name="rte" localSheetId="0" hidden="1">{"Riqfin97",#N/A,FALSE,"Tran";"Riqfinpro",#N/A,FALSE,"Tran"}</definedName>
    <definedName name="rte" localSheetId="57" hidden="1">{"Riqfin97",#N/A,FALSE,"Tran";"Riqfinpro",#N/A,FALSE,"Tran"}</definedName>
    <definedName name="rte" localSheetId="56" hidden="1">{"Riqfin97",#N/A,FALSE,"Tran";"Riqfinpro",#N/A,FALSE,"Tran"}</definedName>
    <definedName name="rte" localSheetId="54" hidden="1">{"Riqfin97",#N/A,FALSE,"Tran";"Riqfinpro",#N/A,FALSE,"Tran"}</definedName>
    <definedName name="rte" localSheetId="52" hidden="1">{"Riqfin97",#N/A,FALSE,"Tran";"Riqfinpro",#N/A,FALSE,"Tran"}</definedName>
    <definedName name="rte" localSheetId="23" hidden="1">{"Riqfin97",#N/A,FALSE,"Tran";"Riqfinpro",#N/A,FALSE,"Tran"}</definedName>
    <definedName name="rte" localSheetId="51" hidden="1">{"Riqfin97",#N/A,FALSE,"Tran";"Riqfinpro",#N/A,FALSE,"Tran"}</definedName>
    <definedName name="rte" localSheetId="53" hidden="1">{"Riqfin97",#N/A,FALSE,"Tran";"Riqfinpro",#N/A,FALSE,"Tran"}</definedName>
    <definedName name="rte" localSheetId="60" hidden="1">{"Riqfin97",#N/A,FALSE,"Tran";"Riqfinpro",#N/A,FALSE,"Tran"}</definedName>
    <definedName name="rte" hidden="1">{"Riqfin97",#N/A,FALSE,"Tran";"Riqfinpro",#N/A,FALSE,"Tran"}</definedName>
    <definedName name="rty" localSheetId="58" hidden="1">{"Riqfin97",#N/A,FALSE,"Tran";"Riqfinpro",#N/A,FALSE,"Tran"}</definedName>
    <definedName name="rty" localSheetId="16" hidden="1">{"Riqfin97",#N/A,FALSE,"Tran";"Riqfinpro",#N/A,FALSE,"Tran"}</definedName>
    <definedName name="rty" localSheetId="61" hidden="1">{"Riqfin97",#N/A,FALSE,"Tran";"Riqfinpro",#N/A,FALSE,"Tran"}</definedName>
    <definedName name="rty" localSheetId="62" hidden="1">{"Riqfin97",#N/A,FALSE,"Tran";"Riqfinpro",#N/A,FALSE,"Tran"}</definedName>
    <definedName name="rty" localSheetId="50" hidden="1">{"Riqfin97",#N/A,FALSE,"Tran";"Riqfinpro",#N/A,FALSE,"Tran"}</definedName>
    <definedName name="rty" localSheetId="63" hidden="1">{"Riqfin97",#N/A,FALSE,"Tran";"Riqfinpro",#N/A,FALSE,"Tran"}</definedName>
    <definedName name="rty" localSheetId="15" hidden="1">{"Riqfin97",#N/A,FALSE,"Tran";"Riqfinpro",#N/A,FALSE,"Tran"}</definedName>
    <definedName name="rty" localSheetId="1" hidden="1">{"Riqfin97",#N/A,FALSE,"Tran";"Riqfinpro",#N/A,FALSE,"Tran"}</definedName>
    <definedName name="rty" localSheetId="43" hidden="1">{"Riqfin97",#N/A,FALSE,"Tran";"Riqfinpro",#N/A,FALSE,"Tran"}</definedName>
    <definedName name="rty" localSheetId="29" hidden="1">{"Riqfin97",#N/A,FALSE,"Tran";"Riqfinpro",#N/A,FALSE,"Tran"}</definedName>
    <definedName name="rty" localSheetId="30" hidden="1">{"Riqfin97",#N/A,FALSE,"Tran";"Riqfinpro",#N/A,FALSE,"Tran"}</definedName>
    <definedName name="rty" localSheetId="44" hidden="1">{"Riqfin97",#N/A,FALSE,"Tran";"Riqfinpro",#N/A,FALSE,"Tran"}</definedName>
    <definedName name="rty" localSheetId="59" hidden="1">{"Riqfin97",#N/A,FALSE,"Tran";"Riqfinpro",#N/A,FALSE,"Tran"}</definedName>
    <definedName name="rty" localSheetId="13" hidden="1">{"Riqfin97",#N/A,FALSE,"Tran";"Riqfinpro",#N/A,FALSE,"Tran"}</definedName>
    <definedName name="rty" localSheetId="0" hidden="1">{"Riqfin97",#N/A,FALSE,"Tran";"Riqfinpro",#N/A,FALSE,"Tran"}</definedName>
    <definedName name="rty" localSheetId="57" hidden="1">{"Riqfin97",#N/A,FALSE,"Tran";"Riqfinpro",#N/A,FALSE,"Tran"}</definedName>
    <definedName name="rty" localSheetId="56" hidden="1">{"Riqfin97",#N/A,FALSE,"Tran";"Riqfinpro",#N/A,FALSE,"Tran"}</definedName>
    <definedName name="rty" localSheetId="54" hidden="1">{"Riqfin97",#N/A,FALSE,"Tran";"Riqfinpro",#N/A,FALSE,"Tran"}</definedName>
    <definedName name="rty" localSheetId="52" hidden="1">{"Riqfin97",#N/A,FALSE,"Tran";"Riqfinpro",#N/A,FALSE,"Tran"}</definedName>
    <definedName name="rty" localSheetId="23" hidden="1">{"Riqfin97",#N/A,FALSE,"Tran";"Riqfinpro",#N/A,FALSE,"Tran"}</definedName>
    <definedName name="rty" localSheetId="51" hidden="1">{"Riqfin97",#N/A,FALSE,"Tran";"Riqfinpro",#N/A,FALSE,"Tran"}</definedName>
    <definedName name="rty" localSheetId="53" hidden="1">{"Riqfin97",#N/A,FALSE,"Tran";"Riqfinpro",#N/A,FALSE,"Tran"}</definedName>
    <definedName name="rty" localSheetId="60" hidden="1">{"Riqfin97",#N/A,FALSE,"Tran";"Riqfinpro",#N/A,FALSE,"Tran"}</definedName>
    <definedName name="rty" hidden="1">{"Riqfin97",#N/A,FALSE,"Tran";"Riqfinpro",#N/A,FALSE,"Tran"}</definedName>
    <definedName name="rubros" localSheetId="34">#REF!</definedName>
    <definedName name="rubros" localSheetId="35">#REF!</definedName>
    <definedName name="rubros" localSheetId="50">#REF!</definedName>
    <definedName name="rubros" localSheetId="15">#REF!</definedName>
    <definedName name="rubros" localSheetId="29">#REF!</definedName>
    <definedName name="rubros" localSheetId="30">#REF!</definedName>
    <definedName name="rubros" localSheetId="47">#REF!</definedName>
    <definedName name="rubros" localSheetId="44">#REF!</definedName>
    <definedName name="rubros" localSheetId="45">#REF!</definedName>
    <definedName name="rubros" localSheetId="46">#REF!</definedName>
    <definedName name="rubros" localSheetId="31">#REF!</definedName>
    <definedName name="rubros" localSheetId="32">#REF!</definedName>
    <definedName name="rubros" localSheetId="33">#REF!</definedName>
    <definedName name="rubros" localSheetId="36">#REF!</definedName>
    <definedName name="rubros" localSheetId="37">#REF!</definedName>
    <definedName name="rubros" localSheetId="38">#REF!</definedName>
    <definedName name="rubros" localSheetId="39">#REF!</definedName>
    <definedName name="rubros" localSheetId="40">#REF!</definedName>
    <definedName name="rubros" localSheetId="54">#REF!</definedName>
    <definedName name="rubros" localSheetId="55">#REF!</definedName>
    <definedName name="rubros" localSheetId="52">#REF!</definedName>
    <definedName name="rubros" localSheetId="23">#REF!</definedName>
    <definedName name="rubros" localSheetId="51">#REF!</definedName>
    <definedName name="rubros" localSheetId="53">#REF!</definedName>
    <definedName name="rubros" localSheetId="20">#REF!</definedName>
    <definedName name="rubros">#REF!</definedName>
    <definedName name="rubros1" localSheetId="34">#REF!</definedName>
    <definedName name="rubros1" localSheetId="35">#REF!</definedName>
    <definedName name="rubros1" localSheetId="50">#REF!</definedName>
    <definedName name="rubros1" localSheetId="15">#REF!</definedName>
    <definedName name="rubros1" localSheetId="29">#REF!</definedName>
    <definedName name="rubros1" localSheetId="30">#REF!</definedName>
    <definedName name="rubros1" localSheetId="47">#REF!</definedName>
    <definedName name="rubros1" localSheetId="44">#REF!</definedName>
    <definedName name="rubros1" localSheetId="45">#REF!</definedName>
    <definedName name="rubros1" localSheetId="46">#REF!</definedName>
    <definedName name="rubros1" localSheetId="31">#REF!</definedName>
    <definedName name="rubros1" localSheetId="32">#REF!</definedName>
    <definedName name="rubros1" localSheetId="33">#REF!</definedName>
    <definedName name="rubros1" localSheetId="36">#REF!</definedName>
    <definedName name="rubros1" localSheetId="37">#REF!</definedName>
    <definedName name="rubros1" localSheetId="38">#REF!</definedName>
    <definedName name="rubros1" localSheetId="39">#REF!</definedName>
    <definedName name="rubros1" localSheetId="40">#REF!</definedName>
    <definedName name="rubros1" localSheetId="54">#REF!</definedName>
    <definedName name="rubros1" localSheetId="55">#REF!</definedName>
    <definedName name="rubros1" localSheetId="52">#REF!</definedName>
    <definedName name="rubros1" localSheetId="23">#REF!</definedName>
    <definedName name="rubros1" localSheetId="51">#REF!</definedName>
    <definedName name="rubros1" localSheetId="53">#REF!</definedName>
    <definedName name="rubros1" localSheetId="20">#REF!</definedName>
    <definedName name="rubros1">#REF!</definedName>
    <definedName name="Rule" localSheetId="50">#REF!</definedName>
    <definedName name="Rule" localSheetId="47">#REF!</definedName>
    <definedName name="Rule" localSheetId="44">#REF!</definedName>
    <definedName name="Rule" localSheetId="45">#REF!</definedName>
    <definedName name="Rule" localSheetId="46">#REF!</definedName>
    <definedName name="Rule" localSheetId="37">#REF!</definedName>
    <definedName name="Rule" localSheetId="40">#REF!</definedName>
    <definedName name="Rule" localSheetId="54">#REF!</definedName>
    <definedName name="Rule" localSheetId="55">#REF!</definedName>
    <definedName name="Rule" localSheetId="52">#REF!</definedName>
    <definedName name="Rule" localSheetId="51">#REF!</definedName>
    <definedName name="Rule" localSheetId="53">#REF!</definedName>
    <definedName name="Rule">#REF!</definedName>
    <definedName name="RYG" localSheetId="50">#REF!</definedName>
    <definedName name="RYG" localSheetId="47">#REF!</definedName>
    <definedName name="RYG" localSheetId="44">#REF!</definedName>
    <definedName name="RYG" localSheetId="45">#REF!</definedName>
    <definedName name="RYG" localSheetId="46">#REF!</definedName>
    <definedName name="RYG" localSheetId="37">#REF!</definedName>
    <definedName name="RYG" localSheetId="40">#REF!</definedName>
    <definedName name="RYG" localSheetId="54">#REF!</definedName>
    <definedName name="RYG" localSheetId="55">#REF!</definedName>
    <definedName name="RYG" localSheetId="52">#REF!</definedName>
    <definedName name="RYG" localSheetId="51">#REF!</definedName>
    <definedName name="RYG" localSheetId="53">#REF!</definedName>
    <definedName name="RYG">#REF!</definedName>
    <definedName name="s" localSheetId="58" hidden="1">{"Tab1",#N/A,FALSE,"P";"Tab2",#N/A,FALSE,"P"}</definedName>
    <definedName name="s" localSheetId="16" hidden="1">{"Tab1",#N/A,FALSE,"P";"Tab2",#N/A,FALSE,"P"}</definedName>
    <definedName name="s" localSheetId="61" hidden="1">{"Tab1",#N/A,FALSE,"P";"Tab2",#N/A,FALSE,"P"}</definedName>
    <definedName name="s" localSheetId="62" hidden="1">{"Tab1",#N/A,FALSE,"P";"Tab2",#N/A,FALSE,"P"}</definedName>
    <definedName name="s" localSheetId="50">#REF!</definedName>
    <definedName name="s" localSheetId="63" hidden="1">{"Tab1",#N/A,FALSE,"P";"Tab2",#N/A,FALSE,"P"}</definedName>
    <definedName name="s" localSheetId="15" hidden="1">{"Tab1",#N/A,FALSE,"P";"Tab2",#N/A,FALSE,"P"}</definedName>
    <definedName name="s" localSheetId="1" hidden="1">{"Tab1",#N/A,FALSE,"P";"Tab2",#N/A,FALSE,"P"}</definedName>
    <definedName name="s" localSheetId="43" hidden="1">{"Tab1",#N/A,FALSE,"P";"Tab2",#N/A,FALSE,"P"}</definedName>
    <definedName name="s" localSheetId="29" hidden="1">{"Tab1",#N/A,FALSE,"P";"Tab2",#N/A,FALSE,"P"}</definedName>
    <definedName name="s" localSheetId="30" hidden="1">{"Tab1",#N/A,FALSE,"P";"Tab2",#N/A,FALSE,"P"}</definedName>
    <definedName name="s" localSheetId="44">#REF!</definedName>
    <definedName name="s" localSheetId="59" hidden="1">{"Tab1",#N/A,FALSE,"P";"Tab2",#N/A,FALSE,"P"}</definedName>
    <definedName name="s" localSheetId="13" hidden="1">{"Tab1",#N/A,FALSE,"P";"Tab2",#N/A,FALSE,"P"}</definedName>
    <definedName name="s" localSheetId="0" hidden="1">{"Tab1",#N/A,FALSE,"P";"Tab2",#N/A,FALSE,"P"}</definedName>
    <definedName name="s" localSheetId="57" hidden="1">{"Tab1",#N/A,FALSE,"P";"Tab2",#N/A,FALSE,"P"}</definedName>
    <definedName name="s" localSheetId="56" hidden="1">{"Tab1",#N/A,FALSE,"P";"Tab2",#N/A,FALSE,"P"}</definedName>
    <definedName name="s" localSheetId="54">#REF!</definedName>
    <definedName name="s" localSheetId="52">#REF!</definedName>
    <definedName name="s" localSheetId="23" hidden="1">{"Tab1",#N/A,FALSE,"P";"Tab2",#N/A,FALSE,"P"}</definedName>
    <definedName name="s" localSheetId="51">#REF!</definedName>
    <definedName name="s" localSheetId="53">#REF!</definedName>
    <definedName name="s" localSheetId="60" hidden="1">{"Tab1",#N/A,FALSE,"P";"Tab2",#N/A,FALSE,"P"}</definedName>
    <definedName name="s" hidden="1">{"Tab1",#N/A,FALSE,"P";"Tab2",#N/A,FALSE,"P"}</definedName>
    <definedName name="S1_Nomenclature" localSheetId="34">#REF!</definedName>
    <definedName name="S1_Nomenclature" localSheetId="35">#REF!</definedName>
    <definedName name="S1_Nomenclature" localSheetId="50">#REF!</definedName>
    <definedName name="S1_Nomenclature" localSheetId="15">#REF!</definedName>
    <definedName name="S1_Nomenclature" localSheetId="29">#REF!</definedName>
    <definedName name="S1_Nomenclature" localSheetId="30">#REF!</definedName>
    <definedName name="S1_Nomenclature" localSheetId="47">#REF!</definedName>
    <definedName name="S1_Nomenclature" localSheetId="44">#REF!</definedName>
    <definedName name="S1_Nomenclature" localSheetId="45">#REF!</definedName>
    <definedName name="S1_Nomenclature" localSheetId="46">#REF!</definedName>
    <definedName name="S1_Nomenclature" localSheetId="31">#REF!</definedName>
    <definedName name="S1_Nomenclature" localSheetId="32">#REF!</definedName>
    <definedName name="S1_Nomenclature" localSheetId="33">#REF!</definedName>
    <definedName name="S1_Nomenclature" localSheetId="36">#REF!</definedName>
    <definedName name="S1_Nomenclature" localSheetId="37">#REF!</definedName>
    <definedName name="S1_Nomenclature" localSheetId="38">#REF!</definedName>
    <definedName name="S1_Nomenclature" localSheetId="39">#REF!</definedName>
    <definedName name="S1_Nomenclature" localSheetId="40">#REF!</definedName>
    <definedName name="S1_Nomenclature" localSheetId="54">#REF!</definedName>
    <definedName name="S1_Nomenclature" localSheetId="55">#REF!</definedName>
    <definedName name="S1_Nomenclature" localSheetId="52">#REF!</definedName>
    <definedName name="S1_Nomenclature" localSheetId="23">#REF!</definedName>
    <definedName name="S1_Nomenclature" localSheetId="51">#REF!</definedName>
    <definedName name="S1_Nomenclature" localSheetId="53">#REF!</definedName>
    <definedName name="S1_Nomenclature" localSheetId="20">#REF!</definedName>
    <definedName name="S1_Nomenclature">#REF!</definedName>
    <definedName name="S2_Nomenclature" localSheetId="34">#REF!</definedName>
    <definedName name="S2_Nomenclature" localSheetId="35">#REF!</definedName>
    <definedName name="S2_Nomenclature" localSheetId="50">#REF!</definedName>
    <definedName name="S2_Nomenclature" localSheetId="15">#REF!</definedName>
    <definedName name="S2_Nomenclature" localSheetId="29">#REF!</definedName>
    <definedName name="S2_Nomenclature" localSheetId="30">#REF!</definedName>
    <definedName name="S2_Nomenclature" localSheetId="47">#REF!</definedName>
    <definedName name="S2_Nomenclature" localSheetId="44">#REF!</definedName>
    <definedName name="S2_Nomenclature" localSheetId="45">#REF!</definedName>
    <definedName name="S2_Nomenclature" localSheetId="46">#REF!</definedName>
    <definedName name="S2_Nomenclature" localSheetId="31">#REF!</definedName>
    <definedName name="S2_Nomenclature" localSheetId="32">#REF!</definedName>
    <definedName name="S2_Nomenclature" localSheetId="33">#REF!</definedName>
    <definedName name="S2_Nomenclature" localSheetId="36">#REF!</definedName>
    <definedName name="S2_Nomenclature" localSheetId="37">#REF!</definedName>
    <definedName name="S2_Nomenclature" localSheetId="38">#REF!</definedName>
    <definedName name="S2_Nomenclature" localSheetId="39">#REF!</definedName>
    <definedName name="S2_Nomenclature" localSheetId="40">#REF!</definedName>
    <definedName name="S2_Nomenclature" localSheetId="54">#REF!</definedName>
    <definedName name="S2_Nomenclature" localSheetId="55">#REF!</definedName>
    <definedName name="S2_Nomenclature" localSheetId="52">#REF!</definedName>
    <definedName name="S2_Nomenclature" localSheetId="23">#REF!</definedName>
    <definedName name="S2_Nomenclature" localSheetId="51">#REF!</definedName>
    <definedName name="S2_Nomenclature" localSheetId="53">#REF!</definedName>
    <definedName name="S2_Nomenclature" localSheetId="20">#REF!</definedName>
    <definedName name="S2_Nomenclature">#REF!</definedName>
    <definedName name="S3_Nomenclature" localSheetId="34">#REF!</definedName>
    <definedName name="S3_Nomenclature" localSheetId="35">#REF!</definedName>
    <definedName name="S3_Nomenclature" localSheetId="50">#REF!</definedName>
    <definedName name="S3_Nomenclature" localSheetId="15">#REF!</definedName>
    <definedName name="S3_Nomenclature" localSheetId="29">#REF!</definedName>
    <definedName name="S3_Nomenclature" localSheetId="30">#REF!</definedName>
    <definedName name="S3_Nomenclature" localSheetId="47">#REF!</definedName>
    <definedName name="S3_Nomenclature" localSheetId="44">#REF!</definedName>
    <definedName name="S3_Nomenclature" localSheetId="45">#REF!</definedName>
    <definedName name="S3_Nomenclature" localSheetId="46">#REF!</definedName>
    <definedName name="S3_Nomenclature" localSheetId="31">#REF!</definedName>
    <definedName name="S3_Nomenclature" localSheetId="32">#REF!</definedName>
    <definedName name="S3_Nomenclature" localSheetId="33">#REF!</definedName>
    <definedName name="S3_Nomenclature" localSheetId="36">#REF!</definedName>
    <definedName name="S3_Nomenclature" localSheetId="37">#REF!</definedName>
    <definedName name="S3_Nomenclature" localSheetId="38">#REF!</definedName>
    <definedName name="S3_Nomenclature" localSheetId="39">#REF!</definedName>
    <definedName name="S3_Nomenclature" localSheetId="40">#REF!</definedName>
    <definedName name="S3_Nomenclature" localSheetId="54">#REF!</definedName>
    <definedName name="S3_Nomenclature" localSheetId="55">#REF!</definedName>
    <definedName name="S3_Nomenclature" localSheetId="52">#REF!</definedName>
    <definedName name="S3_Nomenclature" localSheetId="23">#REF!</definedName>
    <definedName name="S3_Nomenclature" localSheetId="51">#REF!</definedName>
    <definedName name="S3_Nomenclature" localSheetId="53">#REF!</definedName>
    <definedName name="S3_Nomenclature" localSheetId="20">#REF!</definedName>
    <definedName name="S3_Nomenclature">#REF!</definedName>
    <definedName name="SA_Tab" localSheetId="50">#REF!</definedName>
    <definedName name="SA_Tab" localSheetId="47">#REF!</definedName>
    <definedName name="SA_Tab" localSheetId="44">#REF!</definedName>
    <definedName name="SA_Tab" localSheetId="45">#REF!</definedName>
    <definedName name="SA_Tab" localSheetId="46">#REF!</definedName>
    <definedName name="SA_Tab" localSheetId="37">#REF!</definedName>
    <definedName name="SA_Tab" localSheetId="40">#REF!</definedName>
    <definedName name="SA_Tab" localSheetId="54">#REF!</definedName>
    <definedName name="SA_Tab" localSheetId="55">#REF!</definedName>
    <definedName name="SA_Tab" localSheetId="52">#REF!</definedName>
    <definedName name="SA_Tab" localSheetId="51">#REF!</definedName>
    <definedName name="SA_Tab" localSheetId="53">#REF!</definedName>
    <definedName name="SA_Tab">#REF!</definedName>
    <definedName name="sad" localSheetId="58" hidden="1">{"Riqfin97",#N/A,FALSE,"Tran";"Riqfinpro",#N/A,FALSE,"Tran"}</definedName>
    <definedName name="sad" localSheetId="16" hidden="1">{"Riqfin97",#N/A,FALSE,"Tran";"Riqfinpro",#N/A,FALSE,"Tran"}</definedName>
    <definedName name="sad" localSheetId="61" hidden="1">{"Riqfin97",#N/A,FALSE,"Tran";"Riqfinpro",#N/A,FALSE,"Tran"}</definedName>
    <definedName name="sad" localSheetId="62" hidden="1">{"Riqfin97",#N/A,FALSE,"Tran";"Riqfinpro",#N/A,FALSE,"Tran"}</definedName>
    <definedName name="sad" localSheetId="50" hidden="1">{"Riqfin97",#N/A,FALSE,"Tran";"Riqfinpro",#N/A,FALSE,"Tran"}</definedName>
    <definedName name="sad" localSheetId="63" hidden="1">{"Riqfin97",#N/A,FALSE,"Tran";"Riqfinpro",#N/A,FALSE,"Tran"}</definedName>
    <definedName name="sad" localSheetId="15" hidden="1">{"Riqfin97",#N/A,FALSE,"Tran";"Riqfinpro",#N/A,FALSE,"Tran"}</definedName>
    <definedName name="sad" localSheetId="1" hidden="1">{"Riqfin97",#N/A,FALSE,"Tran";"Riqfinpro",#N/A,FALSE,"Tran"}</definedName>
    <definedName name="sad" localSheetId="43" hidden="1">{"Riqfin97",#N/A,FALSE,"Tran";"Riqfinpro",#N/A,FALSE,"Tran"}</definedName>
    <definedName name="sad" localSheetId="29" hidden="1">{"Riqfin97",#N/A,FALSE,"Tran";"Riqfinpro",#N/A,FALSE,"Tran"}</definedName>
    <definedName name="sad" localSheetId="30" hidden="1">{"Riqfin97",#N/A,FALSE,"Tran";"Riqfinpro",#N/A,FALSE,"Tran"}</definedName>
    <definedName name="sad" localSheetId="44" hidden="1">{"Riqfin97",#N/A,FALSE,"Tran";"Riqfinpro",#N/A,FALSE,"Tran"}</definedName>
    <definedName name="sad" localSheetId="59" hidden="1">{"Riqfin97",#N/A,FALSE,"Tran";"Riqfinpro",#N/A,FALSE,"Tran"}</definedName>
    <definedName name="sad" localSheetId="13" hidden="1">{"Riqfin97",#N/A,FALSE,"Tran";"Riqfinpro",#N/A,FALSE,"Tran"}</definedName>
    <definedName name="sad" localSheetId="0" hidden="1">{"Riqfin97",#N/A,FALSE,"Tran";"Riqfinpro",#N/A,FALSE,"Tran"}</definedName>
    <definedName name="sad" localSheetId="57" hidden="1">{"Riqfin97",#N/A,FALSE,"Tran";"Riqfinpro",#N/A,FALSE,"Tran"}</definedName>
    <definedName name="sad" localSheetId="56" hidden="1">{"Riqfin97",#N/A,FALSE,"Tran";"Riqfinpro",#N/A,FALSE,"Tran"}</definedName>
    <definedName name="sad" localSheetId="54" hidden="1">{"Riqfin97",#N/A,FALSE,"Tran";"Riqfinpro",#N/A,FALSE,"Tran"}</definedName>
    <definedName name="sad" localSheetId="52" hidden="1">{"Riqfin97",#N/A,FALSE,"Tran";"Riqfinpro",#N/A,FALSE,"Tran"}</definedName>
    <definedName name="sad" localSheetId="23" hidden="1">{"Riqfin97",#N/A,FALSE,"Tran";"Riqfinpro",#N/A,FALSE,"Tran"}</definedName>
    <definedName name="sad" localSheetId="51" hidden="1">{"Riqfin97",#N/A,FALSE,"Tran";"Riqfinpro",#N/A,FALSE,"Tran"}</definedName>
    <definedName name="sad" localSheetId="53" hidden="1">{"Riqfin97",#N/A,FALSE,"Tran";"Riqfinpro",#N/A,FALSE,"Tran"}</definedName>
    <definedName name="sad" localSheetId="60" hidden="1">{"Riqfin97",#N/A,FALSE,"Tran";"Riqfinpro",#N/A,FALSE,"Tran"}</definedName>
    <definedName name="sad" hidden="1">{"Riqfin97",#N/A,FALSE,"Tran";"Riqfinpro",#N/A,FALSE,"Tran"}</definedName>
    <definedName name="SALDOS">[26]FMI!$A$5:$T$77</definedName>
    <definedName name="SaleProb">[68]Varie!$B$4:$B$11</definedName>
    <definedName name="SALO" localSheetId="34">#REF!</definedName>
    <definedName name="SALO" localSheetId="35">#REF!</definedName>
    <definedName name="SALO" localSheetId="50">#REF!</definedName>
    <definedName name="SALO" localSheetId="15">#REF!</definedName>
    <definedName name="SALO" localSheetId="29">#REF!</definedName>
    <definedName name="SALO" localSheetId="30">#REF!</definedName>
    <definedName name="SALO" localSheetId="47">#REF!</definedName>
    <definedName name="SALO" localSheetId="44">#REF!</definedName>
    <definedName name="SALO" localSheetId="45">#REF!</definedName>
    <definedName name="SALO" localSheetId="46">#REF!</definedName>
    <definedName name="SALO" localSheetId="31">#REF!</definedName>
    <definedName name="SALO" localSheetId="32">#REF!</definedName>
    <definedName name="SALO" localSheetId="33">#REF!</definedName>
    <definedName name="SALO" localSheetId="36">#REF!</definedName>
    <definedName name="SALO" localSheetId="37">#REF!</definedName>
    <definedName name="SALO" localSheetId="38">#REF!</definedName>
    <definedName name="SALO" localSheetId="39">#REF!</definedName>
    <definedName name="SALO" localSheetId="40">#REF!</definedName>
    <definedName name="SALO" localSheetId="54">#REF!</definedName>
    <definedName name="SALO" localSheetId="55">#REF!</definedName>
    <definedName name="SALO" localSheetId="52">#REF!</definedName>
    <definedName name="SALO" localSheetId="23">#REF!</definedName>
    <definedName name="SALO" localSheetId="51">#REF!</definedName>
    <definedName name="SALO" localSheetId="53">#REF!</definedName>
    <definedName name="SALO" localSheetId="20">#REF!</definedName>
    <definedName name="SALO">#REF!</definedName>
    <definedName name="sbat4" localSheetId="34">#REF!</definedName>
    <definedName name="sbat4" localSheetId="35">#REF!</definedName>
    <definedName name="sbat4" localSheetId="50">#REF!</definedName>
    <definedName name="sbat4" localSheetId="15">#REF!</definedName>
    <definedName name="sbat4" localSheetId="29">#REF!</definedName>
    <definedName name="sbat4" localSheetId="30">#REF!</definedName>
    <definedName name="sbat4" localSheetId="47">#REF!</definedName>
    <definedName name="sbat4" localSheetId="44">#REF!</definedName>
    <definedName name="sbat4" localSheetId="45">#REF!</definedName>
    <definedName name="sbat4" localSheetId="46">#REF!</definedName>
    <definedName name="sbat4" localSheetId="31">#REF!</definedName>
    <definedName name="sbat4" localSheetId="32">#REF!</definedName>
    <definedName name="sbat4" localSheetId="33">#REF!</definedName>
    <definedName name="sbat4" localSheetId="36">#REF!</definedName>
    <definedName name="sbat4" localSheetId="37">#REF!</definedName>
    <definedName name="sbat4" localSheetId="38">#REF!</definedName>
    <definedName name="sbat4" localSheetId="39">#REF!</definedName>
    <definedName name="sbat4" localSheetId="40">#REF!</definedName>
    <definedName name="sbat4" localSheetId="54">#REF!</definedName>
    <definedName name="sbat4" localSheetId="55">#REF!</definedName>
    <definedName name="sbat4" localSheetId="52">#REF!</definedName>
    <definedName name="sbat4" localSheetId="23">#REF!</definedName>
    <definedName name="sbat4" localSheetId="51">#REF!</definedName>
    <definedName name="sbat4" localSheetId="53">#REF!</definedName>
    <definedName name="sbat4" localSheetId="20">#REF!</definedName>
    <definedName name="sbat4">#REF!</definedName>
    <definedName name="SBFixedNoPct" localSheetId="50">#REF!</definedName>
    <definedName name="SBFixedNoPct" localSheetId="47">#REF!</definedName>
    <definedName name="SBFixedNoPct" localSheetId="44">#REF!</definedName>
    <definedName name="SBFixedNoPct" localSheetId="45">#REF!</definedName>
    <definedName name="SBFixedNoPct" localSheetId="46">#REF!</definedName>
    <definedName name="SBFixedNoPct" localSheetId="37">#REF!</definedName>
    <definedName name="SBFixedNoPct" localSheetId="40">#REF!</definedName>
    <definedName name="SBFixedNoPct" localSheetId="54">#REF!</definedName>
    <definedName name="SBFixedNoPct" localSheetId="55">#REF!</definedName>
    <definedName name="SBFixedNoPct" localSheetId="52">#REF!</definedName>
    <definedName name="SBFixedNoPct" localSheetId="51">#REF!</definedName>
    <definedName name="SBFixedNoPct" localSheetId="53">#REF!</definedName>
    <definedName name="SBFixedNoPct">#REF!</definedName>
    <definedName name="ScalesList">'[69]Report Form'!$A$5:$A$5</definedName>
    <definedName name="scope_count_list">[41]Data!$F$7:$F$8</definedName>
    <definedName name="ScopeImpact" localSheetId="50">#REF!</definedName>
    <definedName name="ScopeImpact" localSheetId="47">#REF!</definedName>
    <definedName name="ScopeImpact" localSheetId="44">#REF!</definedName>
    <definedName name="ScopeImpact" localSheetId="45">#REF!</definedName>
    <definedName name="ScopeImpact" localSheetId="46">#REF!</definedName>
    <definedName name="ScopeImpact" localSheetId="37">#REF!</definedName>
    <definedName name="ScopeImpact" localSheetId="40">#REF!</definedName>
    <definedName name="ScopeImpact" localSheetId="54">#REF!</definedName>
    <definedName name="ScopeImpact" localSheetId="55">#REF!</definedName>
    <definedName name="ScopeImpact" localSheetId="52">#REF!</definedName>
    <definedName name="ScopeImpact" localSheetId="51">#REF!</definedName>
    <definedName name="ScopeImpact" localSheetId="53">#REF!</definedName>
    <definedName name="ScopeImpact">#REF!</definedName>
    <definedName name="ScopeType" localSheetId="50">#REF!</definedName>
    <definedName name="ScopeType" localSheetId="47">#REF!</definedName>
    <definedName name="ScopeType" localSheetId="44">#REF!</definedName>
    <definedName name="ScopeType" localSheetId="45">#REF!</definedName>
    <definedName name="ScopeType" localSheetId="46">#REF!</definedName>
    <definedName name="ScopeType" localSheetId="37">#REF!</definedName>
    <definedName name="ScopeType" localSheetId="40">#REF!</definedName>
    <definedName name="ScopeType" localSheetId="54">#REF!</definedName>
    <definedName name="ScopeType" localSheetId="55">#REF!</definedName>
    <definedName name="ScopeType" localSheetId="52">#REF!</definedName>
    <definedName name="ScopeType" localSheetId="51">#REF!</definedName>
    <definedName name="ScopeType" localSheetId="53">#REF!</definedName>
    <definedName name="ScopeType">#REF!</definedName>
    <definedName name="Screen_High" localSheetId="50">#REF!</definedName>
    <definedName name="Screen_High" localSheetId="47">#REF!</definedName>
    <definedName name="Screen_High" localSheetId="44">#REF!</definedName>
    <definedName name="Screen_High" localSheetId="45">#REF!</definedName>
    <definedName name="Screen_High" localSheetId="46">#REF!</definedName>
    <definedName name="Screen_High" localSheetId="37">#REF!</definedName>
    <definedName name="Screen_High" localSheetId="40">#REF!</definedName>
    <definedName name="Screen_High" localSheetId="54">#REF!</definedName>
    <definedName name="Screen_High" localSheetId="55">#REF!</definedName>
    <definedName name="Screen_High" localSheetId="52">#REF!</definedName>
    <definedName name="Screen_High" localSheetId="51">#REF!</definedName>
    <definedName name="Screen_High" localSheetId="53">#REF!</definedName>
    <definedName name="Screen_High">#REF!</definedName>
    <definedName name="Screen_High_Expert" localSheetId="50">#REF!</definedName>
    <definedName name="Screen_High_Expert" localSheetId="47">#REF!</definedName>
    <definedName name="Screen_High_Expert" localSheetId="44">#REF!</definedName>
    <definedName name="Screen_High_Expert" localSheetId="45">#REF!</definedName>
    <definedName name="Screen_High_Expert" localSheetId="46">#REF!</definedName>
    <definedName name="Screen_High_Expert" localSheetId="37">#REF!</definedName>
    <definedName name="Screen_High_Expert" localSheetId="40">#REF!</definedName>
    <definedName name="Screen_High_Expert" localSheetId="54">#REF!</definedName>
    <definedName name="Screen_High_Expert" localSheetId="55">#REF!</definedName>
    <definedName name="Screen_High_Expert" localSheetId="52">#REF!</definedName>
    <definedName name="Screen_High_Expert" localSheetId="51">#REF!</definedName>
    <definedName name="Screen_High_Expert" localSheetId="53">#REF!</definedName>
    <definedName name="Screen_High_Expert">#REF!</definedName>
    <definedName name="Screen_High_Green" localSheetId="50">#REF!</definedName>
    <definedName name="Screen_High_Green" localSheetId="47">#REF!</definedName>
    <definedName name="Screen_High_Green" localSheetId="44">#REF!</definedName>
    <definedName name="Screen_High_Green" localSheetId="45">#REF!</definedName>
    <definedName name="Screen_High_Green" localSheetId="46">#REF!</definedName>
    <definedName name="Screen_High_Green" localSheetId="37">#REF!</definedName>
    <definedName name="Screen_High_Green" localSheetId="40">#REF!</definedName>
    <definedName name="Screen_High_Green" localSheetId="54">#REF!</definedName>
    <definedName name="Screen_High_Green" localSheetId="55">#REF!</definedName>
    <definedName name="Screen_High_Green" localSheetId="52">#REF!</definedName>
    <definedName name="Screen_High_Green" localSheetId="51">#REF!</definedName>
    <definedName name="Screen_High_Green" localSheetId="53">#REF!</definedName>
    <definedName name="Screen_High_Green">#REF!</definedName>
    <definedName name="Screen_Lookup">[111]LookupSheet!$A$14:$A$15</definedName>
    <definedName name="Screen_Low" localSheetId="50">#REF!</definedName>
    <definedName name="Screen_Low" localSheetId="47">#REF!</definedName>
    <definedName name="Screen_Low" localSheetId="44">#REF!</definedName>
    <definedName name="Screen_Low" localSheetId="45">#REF!</definedName>
    <definedName name="Screen_Low" localSheetId="46">#REF!</definedName>
    <definedName name="Screen_Low" localSheetId="37">#REF!</definedName>
    <definedName name="Screen_Low" localSheetId="40">#REF!</definedName>
    <definedName name="Screen_Low" localSheetId="54">#REF!</definedName>
    <definedName name="Screen_Low" localSheetId="55">#REF!</definedName>
    <definedName name="Screen_Low" localSheetId="52">#REF!</definedName>
    <definedName name="Screen_Low" localSheetId="51">#REF!</definedName>
    <definedName name="Screen_Low" localSheetId="53">#REF!</definedName>
    <definedName name="Screen_Low">#REF!</definedName>
    <definedName name="Screen_Low_Expert" localSheetId="50">#REF!</definedName>
    <definedName name="Screen_Low_Expert" localSheetId="47">#REF!</definedName>
    <definedName name="Screen_Low_Expert" localSheetId="44">#REF!</definedName>
    <definedName name="Screen_Low_Expert" localSheetId="45">#REF!</definedName>
    <definedName name="Screen_Low_Expert" localSheetId="46">#REF!</definedName>
    <definedName name="Screen_Low_Expert" localSheetId="37">#REF!</definedName>
    <definedName name="Screen_Low_Expert" localSheetId="40">#REF!</definedName>
    <definedName name="Screen_Low_Expert" localSheetId="54">#REF!</definedName>
    <definedName name="Screen_Low_Expert" localSheetId="55">#REF!</definedName>
    <definedName name="Screen_Low_Expert" localSheetId="52">#REF!</definedName>
    <definedName name="Screen_Low_Expert" localSheetId="51">#REF!</definedName>
    <definedName name="Screen_Low_Expert" localSheetId="53">#REF!</definedName>
    <definedName name="Screen_Low_Expert">#REF!</definedName>
    <definedName name="Screen_Low_Green" localSheetId="50">#REF!</definedName>
    <definedName name="Screen_Low_Green" localSheetId="47">#REF!</definedName>
    <definedName name="Screen_Low_Green" localSheetId="44">#REF!</definedName>
    <definedName name="Screen_Low_Green" localSheetId="45">#REF!</definedName>
    <definedName name="Screen_Low_Green" localSheetId="46">#REF!</definedName>
    <definedName name="Screen_Low_Green" localSheetId="37">#REF!</definedName>
    <definedName name="Screen_Low_Green" localSheetId="40">#REF!</definedName>
    <definedName name="Screen_Low_Green" localSheetId="54">#REF!</definedName>
    <definedName name="Screen_Low_Green" localSheetId="55">#REF!</definedName>
    <definedName name="Screen_Low_Green" localSheetId="52">#REF!</definedName>
    <definedName name="Screen_Low_Green" localSheetId="51">#REF!</definedName>
    <definedName name="Screen_Low_Green" localSheetId="53">#REF!</definedName>
    <definedName name="Screen_Low_Green">#REF!</definedName>
    <definedName name="Screen_Med" localSheetId="50">#REF!</definedName>
    <definedName name="Screen_Med" localSheetId="47">#REF!</definedName>
    <definedName name="Screen_Med" localSheetId="44">#REF!</definedName>
    <definedName name="Screen_Med" localSheetId="45">#REF!</definedName>
    <definedName name="Screen_Med" localSheetId="46">#REF!</definedName>
    <definedName name="Screen_Med" localSheetId="37">#REF!</definedName>
    <definedName name="Screen_Med" localSheetId="40">#REF!</definedName>
    <definedName name="Screen_Med" localSheetId="54">#REF!</definedName>
    <definedName name="Screen_Med" localSheetId="55">#REF!</definedName>
    <definedName name="Screen_Med" localSheetId="52">#REF!</definedName>
    <definedName name="Screen_Med" localSheetId="51">#REF!</definedName>
    <definedName name="Screen_Med" localSheetId="53">#REF!</definedName>
    <definedName name="Screen_Med">#REF!</definedName>
    <definedName name="Screen_Med_Expert" localSheetId="50">#REF!</definedName>
    <definedName name="Screen_Med_Expert" localSheetId="47">#REF!</definedName>
    <definedName name="Screen_Med_Expert" localSheetId="44">#REF!</definedName>
    <definedName name="Screen_Med_Expert" localSheetId="45">#REF!</definedName>
    <definedName name="Screen_Med_Expert" localSheetId="46">#REF!</definedName>
    <definedName name="Screen_Med_Expert" localSheetId="37">#REF!</definedName>
    <definedName name="Screen_Med_Expert" localSheetId="40">#REF!</definedName>
    <definedName name="Screen_Med_Expert" localSheetId="54">#REF!</definedName>
    <definedName name="Screen_Med_Expert" localSheetId="55">#REF!</definedName>
    <definedName name="Screen_Med_Expert" localSheetId="52">#REF!</definedName>
    <definedName name="Screen_Med_Expert" localSheetId="51">#REF!</definedName>
    <definedName name="Screen_Med_Expert" localSheetId="53">#REF!</definedName>
    <definedName name="Screen_Med_Expert">#REF!</definedName>
    <definedName name="Screen_Med_Green" localSheetId="50">#REF!</definedName>
    <definedName name="Screen_Med_Green" localSheetId="47">#REF!</definedName>
    <definedName name="Screen_Med_Green" localSheetId="44">#REF!</definedName>
    <definedName name="Screen_Med_Green" localSheetId="45">#REF!</definedName>
    <definedName name="Screen_Med_Green" localSheetId="46">#REF!</definedName>
    <definedName name="Screen_Med_Green" localSheetId="37">#REF!</definedName>
    <definedName name="Screen_Med_Green" localSheetId="40">#REF!</definedName>
    <definedName name="Screen_Med_Green" localSheetId="54">#REF!</definedName>
    <definedName name="Screen_Med_Green" localSheetId="55">#REF!</definedName>
    <definedName name="Screen_Med_Green" localSheetId="52">#REF!</definedName>
    <definedName name="Screen_Med_Green" localSheetId="51">#REF!</definedName>
    <definedName name="Screen_Med_Green" localSheetId="53">#REF!</definedName>
    <definedName name="Screen_Med_Green">#REF!</definedName>
    <definedName name="sdr" localSheetId="58" hidden="1">{"Riqfin97",#N/A,FALSE,"Tran";"Riqfinpro",#N/A,FALSE,"Tran"}</definedName>
    <definedName name="sdr" localSheetId="16" hidden="1">{"Riqfin97",#N/A,FALSE,"Tran";"Riqfinpro",#N/A,FALSE,"Tran"}</definedName>
    <definedName name="sdr" localSheetId="61" hidden="1">{"Riqfin97",#N/A,FALSE,"Tran";"Riqfinpro",#N/A,FALSE,"Tran"}</definedName>
    <definedName name="sdr" localSheetId="62" hidden="1">{"Riqfin97",#N/A,FALSE,"Tran";"Riqfinpro",#N/A,FALSE,"Tran"}</definedName>
    <definedName name="sdr" localSheetId="50" hidden="1">{"Riqfin97",#N/A,FALSE,"Tran";"Riqfinpro",#N/A,FALSE,"Tran"}</definedName>
    <definedName name="sdr" localSheetId="63" hidden="1">{"Riqfin97",#N/A,FALSE,"Tran";"Riqfinpro",#N/A,FALSE,"Tran"}</definedName>
    <definedName name="sdr" localSheetId="15" hidden="1">{"Riqfin97",#N/A,FALSE,"Tran";"Riqfinpro",#N/A,FALSE,"Tran"}</definedName>
    <definedName name="sdr" localSheetId="1" hidden="1">{"Riqfin97",#N/A,FALSE,"Tran";"Riqfinpro",#N/A,FALSE,"Tran"}</definedName>
    <definedName name="sdr" localSheetId="43" hidden="1">{"Riqfin97",#N/A,FALSE,"Tran";"Riqfinpro",#N/A,FALSE,"Tran"}</definedName>
    <definedName name="sdr" localSheetId="29" hidden="1">{"Riqfin97",#N/A,FALSE,"Tran";"Riqfinpro",#N/A,FALSE,"Tran"}</definedName>
    <definedName name="sdr" localSheetId="30" hidden="1">{"Riqfin97",#N/A,FALSE,"Tran";"Riqfinpro",#N/A,FALSE,"Tran"}</definedName>
    <definedName name="sdr" localSheetId="44" hidden="1">{"Riqfin97",#N/A,FALSE,"Tran";"Riqfinpro",#N/A,FALSE,"Tran"}</definedName>
    <definedName name="sdr" localSheetId="59" hidden="1">{"Riqfin97",#N/A,FALSE,"Tran";"Riqfinpro",#N/A,FALSE,"Tran"}</definedName>
    <definedName name="sdr" localSheetId="13" hidden="1">{"Riqfin97",#N/A,FALSE,"Tran";"Riqfinpro",#N/A,FALSE,"Tran"}</definedName>
    <definedName name="sdr" localSheetId="0" hidden="1">{"Riqfin97",#N/A,FALSE,"Tran";"Riqfinpro",#N/A,FALSE,"Tran"}</definedName>
    <definedName name="sdr" localSheetId="57" hidden="1">{"Riqfin97",#N/A,FALSE,"Tran";"Riqfinpro",#N/A,FALSE,"Tran"}</definedName>
    <definedName name="sdr" localSheetId="56" hidden="1">{"Riqfin97",#N/A,FALSE,"Tran";"Riqfinpro",#N/A,FALSE,"Tran"}</definedName>
    <definedName name="sdr" localSheetId="54" hidden="1">{"Riqfin97",#N/A,FALSE,"Tran";"Riqfinpro",#N/A,FALSE,"Tran"}</definedName>
    <definedName name="sdr" localSheetId="52" hidden="1">{"Riqfin97",#N/A,FALSE,"Tran";"Riqfinpro",#N/A,FALSE,"Tran"}</definedName>
    <definedName name="sdr" localSheetId="23" hidden="1">{"Riqfin97",#N/A,FALSE,"Tran";"Riqfinpro",#N/A,FALSE,"Tran"}</definedName>
    <definedName name="sdr" localSheetId="51" hidden="1">{"Riqfin97",#N/A,FALSE,"Tran";"Riqfinpro",#N/A,FALSE,"Tran"}</definedName>
    <definedName name="sdr" localSheetId="53" hidden="1">{"Riqfin97",#N/A,FALSE,"Tran";"Riqfinpro",#N/A,FALSE,"Tran"}</definedName>
    <definedName name="sdr" localSheetId="60" hidden="1">{"Riqfin97",#N/A,FALSE,"Tran";"Riqfinpro",#N/A,FALSE,"Tran"}</definedName>
    <definedName name="sdr" hidden="1">{"Riqfin97",#N/A,FALSE,"Tran";"Riqfinpro",#N/A,FALSE,"Tran"}</definedName>
    <definedName name="sds_gdp_exp_lari" localSheetId="50">#REF!</definedName>
    <definedName name="sds_gdp_exp_lari" localSheetId="47">#REF!</definedName>
    <definedName name="sds_gdp_exp_lari" localSheetId="44">#REF!</definedName>
    <definedName name="sds_gdp_exp_lari" localSheetId="45">#REF!</definedName>
    <definedName name="sds_gdp_exp_lari" localSheetId="46">#REF!</definedName>
    <definedName name="sds_gdp_exp_lari" localSheetId="37">#REF!</definedName>
    <definedName name="sds_gdp_exp_lari" localSheetId="40">#REF!</definedName>
    <definedName name="sds_gdp_exp_lari" localSheetId="54">#REF!</definedName>
    <definedName name="sds_gdp_exp_lari" localSheetId="55">#REF!</definedName>
    <definedName name="sds_gdp_exp_lari" localSheetId="52">#REF!</definedName>
    <definedName name="sds_gdp_exp_lari" localSheetId="51">#REF!</definedName>
    <definedName name="sds_gdp_exp_lari" localSheetId="53">#REF!</definedName>
    <definedName name="sds_gdp_exp_lari">#REF!</definedName>
    <definedName name="sds_gdp_origin" localSheetId="50">#REF!</definedName>
    <definedName name="sds_gdp_origin" localSheetId="47">#REF!</definedName>
    <definedName name="sds_gdp_origin" localSheetId="44">#REF!</definedName>
    <definedName name="sds_gdp_origin" localSheetId="45">#REF!</definedName>
    <definedName name="sds_gdp_origin" localSheetId="46">#REF!</definedName>
    <definedName name="sds_gdp_origin" localSheetId="37">#REF!</definedName>
    <definedName name="sds_gdp_origin" localSheetId="40">#REF!</definedName>
    <definedName name="sds_gdp_origin" localSheetId="54">#REF!</definedName>
    <definedName name="sds_gdp_origin" localSheetId="55">#REF!</definedName>
    <definedName name="sds_gdp_origin" localSheetId="52">#REF!</definedName>
    <definedName name="sds_gdp_origin" localSheetId="51">#REF!</definedName>
    <definedName name="sds_gdp_origin" localSheetId="53">#REF!</definedName>
    <definedName name="sds_gdp_origin">#REF!</definedName>
    <definedName name="sds_gpd_exp_gdp" localSheetId="50">#REF!</definedName>
    <definedName name="sds_gpd_exp_gdp" localSheetId="47">#REF!</definedName>
    <definedName name="sds_gpd_exp_gdp" localSheetId="44">#REF!</definedName>
    <definedName name="sds_gpd_exp_gdp" localSheetId="45">#REF!</definedName>
    <definedName name="sds_gpd_exp_gdp" localSheetId="46">#REF!</definedName>
    <definedName name="sds_gpd_exp_gdp" localSheetId="37">#REF!</definedName>
    <definedName name="sds_gpd_exp_gdp" localSheetId="40">#REF!</definedName>
    <definedName name="sds_gpd_exp_gdp" localSheetId="54">#REF!</definedName>
    <definedName name="sds_gpd_exp_gdp" localSheetId="55">#REF!</definedName>
    <definedName name="sds_gpd_exp_gdp" localSheetId="52">#REF!</definedName>
    <definedName name="sds_gpd_exp_gdp" localSheetId="51">#REF!</definedName>
    <definedName name="sds_gpd_exp_gdp" localSheetId="53">#REF!</definedName>
    <definedName name="sds_gpd_exp_gdp">#REF!</definedName>
    <definedName name="sdsd" localSheetId="58" hidden="1">{"Riqfin97",#N/A,FALSE,"Tran";"Riqfinpro",#N/A,FALSE,"Tran"}</definedName>
    <definedName name="sdsd" localSheetId="16" hidden="1">{"Riqfin97",#N/A,FALSE,"Tran";"Riqfinpro",#N/A,FALSE,"Tran"}</definedName>
    <definedName name="sdsd" localSheetId="61" hidden="1">{"Riqfin97",#N/A,FALSE,"Tran";"Riqfinpro",#N/A,FALSE,"Tran"}</definedName>
    <definedName name="sdsd" localSheetId="62" hidden="1">{"Riqfin97",#N/A,FALSE,"Tran";"Riqfinpro",#N/A,FALSE,"Tran"}</definedName>
    <definedName name="sdsd" localSheetId="50" hidden="1">{"Riqfin97",#N/A,FALSE,"Tran";"Riqfinpro",#N/A,FALSE,"Tran"}</definedName>
    <definedName name="sdsd" localSheetId="63" hidden="1">{"Riqfin97",#N/A,FALSE,"Tran";"Riqfinpro",#N/A,FALSE,"Tran"}</definedName>
    <definedName name="sdsd" localSheetId="15" hidden="1">{"Riqfin97",#N/A,FALSE,"Tran";"Riqfinpro",#N/A,FALSE,"Tran"}</definedName>
    <definedName name="sdsd" localSheetId="1" hidden="1">{"Riqfin97",#N/A,FALSE,"Tran";"Riqfinpro",#N/A,FALSE,"Tran"}</definedName>
    <definedName name="sdsd" localSheetId="43" hidden="1">{"Riqfin97",#N/A,FALSE,"Tran";"Riqfinpro",#N/A,FALSE,"Tran"}</definedName>
    <definedName name="sdsd" localSheetId="29" hidden="1">{"Riqfin97",#N/A,FALSE,"Tran";"Riqfinpro",#N/A,FALSE,"Tran"}</definedName>
    <definedName name="sdsd" localSheetId="30" hidden="1">{"Riqfin97",#N/A,FALSE,"Tran";"Riqfinpro",#N/A,FALSE,"Tran"}</definedName>
    <definedName name="sdsd" localSheetId="44" hidden="1">{"Riqfin97",#N/A,FALSE,"Tran";"Riqfinpro",#N/A,FALSE,"Tran"}</definedName>
    <definedName name="sdsd" localSheetId="59" hidden="1">{"Riqfin97",#N/A,FALSE,"Tran";"Riqfinpro",#N/A,FALSE,"Tran"}</definedName>
    <definedName name="sdsd" localSheetId="13" hidden="1">{"Riqfin97",#N/A,FALSE,"Tran";"Riqfinpro",#N/A,FALSE,"Tran"}</definedName>
    <definedName name="sdsd" localSheetId="0" hidden="1">{"Riqfin97",#N/A,FALSE,"Tran";"Riqfinpro",#N/A,FALSE,"Tran"}</definedName>
    <definedName name="sdsd" localSheetId="57" hidden="1">{"Riqfin97",#N/A,FALSE,"Tran";"Riqfinpro",#N/A,FALSE,"Tran"}</definedName>
    <definedName name="sdsd" localSheetId="56" hidden="1">{"Riqfin97",#N/A,FALSE,"Tran";"Riqfinpro",#N/A,FALSE,"Tran"}</definedName>
    <definedName name="sdsd" localSheetId="54" hidden="1">{"Riqfin97",#N/A,FALSE,"Tran";"Riqfinpro",#N/A,FALSE,"Tran"}</definedName>
    <definedName name="sdsd" localSheetId="52" hidden="1">{"Riqfin97",#N/A,FALSE,"Tran";"Riqfinpro",#N/A,FALSE,"Tran"}</definedName>
    <definedName name="sdsd" localSheetId="23" hidden="1">{"Riqfin97",#N/A,FALSE,"Tran";"Riqfinpro",#N/A,FALSE,"Tran"}</definedName>
    <definedName name="sdsd" localSheetId="51" hidden="1">{"Riqfin97",#N/A,FALSE,"Tran";"Riqfinpro",#N/A,FALSE,"Tran"}</definedName>
    <definedName name="sdsd" localSheetId="53" hidden="1">{"Riqfin97",#N/A,FALSE,"Tran";"Riqfinpro",#N/A,FALSE,"Tran"}</definedName>
    <definedName name="sdsd" localSheetId="60" hidden="1">{"Riqfin97",#N/A,FALSE,"Tran";"Riqfinpro",#N/A,FALSE,"Tran"}</definedName>
    <definedName name="sdsd" hidden="1">{"Riqfin97",#N/A,FALSE,"Tran";"Riqfinpro",#N/A,FALSE,"Tran"}</definedName>
    <definedName name="Sec1aSec1b">[147]Sec1aSec1b!$A$1:$J$279</definedName>
    <definedName name="Second" localSheetId="50">#REF!</definedName>
    <definedName name="Second" localSheetId="47">#REF!</definedName>
    <definedName name="Second" localSheetId="44">#REF!</definedName>
    <definedName name="Second" localSheetId="45">#REF!</definedName>
    <definedName name="Second" localSheetId="46">#REF!</definedName>
    <definedName name="Second" localSheetId="37">#REF!</definedName>
    <definedName name="Second" localSheetId="40">#REF!</definedName>
    <definedName name="Second" localSheetId="54">#REF!</definedName>
    <definedName name="Second" localSheetId="55">#REF!</definedName>
    <definedName name="Second" localSheetId="52">#REF!</definedName>
    <definedName name="Second" localSheetId="51">#REF!</definedName>
    <definedName name="Second" localSheetId="53">#REF!</definedName>
    <definedName name="Second">#REF!</definedName>
    <definedName name="Section2" localSheetId="58">#REF!</definedName>
    <definedName name="Section2" localSheetId="34">#REF!</definedName>
    <definedName name="Section2" localSheetId="35">#REF!</definedName>
    <definedName name="Section2" localSheetId="50">#REF!</definedName>
    <definedName name="Section2" localSheetId="15">#REF!</definedName>
    <definedName name="Section2" localSheetId="27">#REF!</definedName>
    <definedName name="Section2" localSheetId="24">#REF!</definedName>
    <definedName name="Section2" localSheetId="26">#REF!</definedName>
    <definedName name="Section2" localSheetId="29">#REF!</definedName>
    <definedName name="Section2" localSheetId="42">#REF!</definedName>
    <definedName name="Section2" localSheetId="30">#REF!</definedName>
    <definedName name="Section2" localSheetId="47">#REF!</definedName>
    <definedName name="Section2" localSheetId="44">#REF!</definedName>
    <definedName name="Section2" localSheetId="45">#REF!</definedName>
    <definedName name="Section2" localSheetId="46">#REF!</definedName>
    <definedName name="Section2" localSheetId="31">#REF!</definedName>
    <definedName name="Section2" localSheetId="32">#REF!</definedName>
    <definedName name="Section2" localSheetId="33">#REF!</definedName>
    <definedName name="Section2" localSheetId="59">#REF!</definedName>
    <definedName name="Section2" localSheetId="36">#REF!</definedName>
    <definedName name="Section2" localSheetId="37">#REF!</definedName>
    <definedName name="Section2" localSheetId="38">#REF!</definedName>
    <definedName name="Section2" localSheetId="39">#REF!</definedName>
    <definedName name="Section2" localSheetId="40">#REF!</definedName>
    <definedName name="Section2" localSheetId="25">#REF!</definedName>
    <definedName name="Section2" localSheetId="54">#REF!</definedName>
    <definedName name="Section2" localSheetId="55">#REF!</definedName>
    <definedName name="Section2" localSheetId="52">#REF!</definedName>
    <definedName name="Section2" localSheetId="23">#REF!</definedName>
    <definedName name="Section2" localSheetId="51">#REF!</definedName>
    <definedName name="Section2" localSheetId="12">#REF!</definedName>
    <definedName name="Section2" localSheetId="53">#REF!</definedName>
    <definedName name="Section2" localSheetId="60">#REF!</definedName>
    <definedName name="Section2" localSheetId="20">#REF!</definedName>
    <definedName name="Section2">#REF!</definedName>
    <definedName name="Section3" localSheetId="34">#REF!</definedName>
    <definedName name="Section3" localSheetId="35">#REF!</definedName>
    <definedName name="Section3" localSheetId="50">#REF!</definedName>
    <definedName name="Section3" localSheetId="15">#REF!</definedName>
    <definedName name="Section3" localSheetId="27">#REF!</definedName>
    <definedName name="Section3" localSheetId="24">#REF!</definedName>
    <definedName name="Section3" localSheetId="26">#REF!</definedName>
    <definedName name="Section3" localSheetId="29">#REF!</definedName>
    <definedName name="Section3" localSheetId="30">#REF!</definedName>
    <definedName name="Section3" localSheetId="47">#REF!</definedName>
    <definedName name="Section3" localSheetId="44">#REF!</definedName>
    <definedName name="Section3" localSheetId="45">#REF!</definedName>
    <definedName name="Section3" localSheetId="46">#REF!</definedName>
    <definedName name="Section3" localSheetId="31">#REF!</definedName>
    <definedName name="Section3" localSheetId="32">#REF!</definedName>
    <definedName name="Section3" localSheetId="33">#REF!</definedName>
    <definedName name="Section3" localSheetId="36">#REF!</definedName>
    <definedName name="Section3" localSheetId="37">#REF!</definedName>
    <definedName name="Section3" localSheetId="38">#REF!</definedName>
    <definedName name="Section3" localSheetId="39">#REF!</definedName>
    <definedName name="Section3" localSheetId="40">#REF!</definedName>
    <definedName name="Section3" localSheetId="25">#REF!</definedName>
    <definedName name="Section3" localSheetId="54">#REF!</definedName>
    <definedName name="Section3" localSheetId="55">#REF!</definedName>
    <definedName name="Section3" localSheetId="52">#REF!</definedName>
    <definedName name="Section3" localSheetId="23">#REF!</definedName>
    <definedName name="Section3" localSheetId="51">#REF!</definedName>
    <definedName name="Section3" localSheetId="12">#REF!</definedName>
    <definedName name="Section3" localSheetId="53">#REF!</definedName>
    <definedName name="Section3" localSheetId="20">#REF!</definedName>
    <definedName name="Section3">#REF!</definedName>
    <definedName name="Section4" localSheetId="34">#REF!</definedName>
    <definedName name="Section4" localSheetId="35">#REF!</definedName>
    <definedName name="Section4" localSheetId="50">#REF!</definedName>
    <definedName name="Section4" localSheetId="15">#REF!</definedName>
    <definedName name="Section4" localSheetId="27">#REF!</definedName>
    <definedName name="Section4" localSheetId="24">#REF!</definedName>
    <definedName name="Section4" localSheetId="26">#REF!</definedName>
    <definedName name="Section4" localSheetId="29">#REF!</definedName>
    <definedName name="Section4" localSheetId="30">#REF!</definedName>
    <definedName name="Section4" localSheetId="47">#REF!</definedName>
    <definedName name="Section4" localSheetId="44">#REF!</definedName>
    <definedName name="Section4" localSheetId="45">#REF!</definedName>
    <definedName name="Section4" localSheetId="46">#REF!</definedName>
    <definedName name="Section4" localSheetId="31">#REF!</definedName>
    <definedName name="Section4" localSheetId="32">#REF!</definedName>
    <definedName name="Section4" localSheetId="33">#REF!</definedName>
    <definedName name="Section4" localSheetId="36">#REF!</definedName>
    <definedName name="Section4" localSheetId="37">#REF!</definedName>
    <definedName name="Section4" localSheetId="38">#REF!</definedName>
    <definedName name="Section4" localSheetId="39">#REF!</definedName>
    <definedName name="Section4" localSheetId="40">#REF!</definedName>
    <definedName name="Section4" localSheetId="25">#REF!</definedName>
    <definedName name="Section4" localSheetId="54">#REF!</definedName>
    <definedName name="Section4" localSheetId="55">#REF!</definedName>
    <definedName name="Section4" localSheetId="52">#REF!</definedName>
    <definedName name="Section4" localSheetId="23">#REF!</definedName>
    <definedName name="Section4" localSheetId="51">#REF!</definedName>
    <definedName name="Section4" localSheetId="12">#REF!</definedName>
    <definedName name="Section4" localSheetId="53">#REF!</definedName>
    <definedName name="Section4" localSheetId="20">#REF!</definedName>
    <definedName name="Section4">#REF!</definedName>
    <definedName name="Section5" localSheetId="34">#REF!</definedName>
    <definedName name="Section5" localSheetId="35">#REF!</definedName>
    <definedName name="Section5" localSheetId="50">#REF!</definedName>
    <definedName name="Section5" localSheetId="15">#REF!</definedName>
    <definedName name="Section5" localSheetId="29">#REF!</definedName>
    <definedName name="Section5" localSheetId="30">#REF!</definedName>
    <definedName name="Section5" localSheetId="47">#REF!</definedName>
    <definedName name="Section5" localSheetId="44">#REF!</definedName>
    <definedName name="Section5" localSheetId="45">#REF!</definedName>
    <definedName name="Section5" localSheetId="46">#REF!</definedName>
    <definedName name="Section5" localSheetId="31">#REF!</definedName>
    <definedName name="Section5" localSheetId="32">#REF!</definedName>
    <definedName name="Section5" localSheetId="33">#REF!</definedName>
    <definedName name="Section5" localSheetId="36">#REF!</definedName>
    <definedName name="Section5" localSheetId="37">#REF!</definedName>
    <definedName name="Section5" localSheetId="38">#REF!</definedName>
    <definedName name="Section5" localSheetId="39">#REF!</definedName>
    <definedName name="Section5" localSheetId="40">#REF!</definedName>
    <definedName name="Section5" localSheetId="54">#REF!</definedName>
    <definedName name="Section5" localSheetId="55">#REF!</definedName>
    <definedName name="Section5" localSheetId="52">#REF!</definedName>
    <definedName name="Section5" localSheetId="23">#REF!</definedName>
    <definedName name="Section5" localSheetId="51">#REF!</definedName>
    <definedName name="Section5" localSheetId="12">#REF!</definedName>
    <definedName name="Section5" localSheetId="53">#REF!</definedName>
    <definedName name="Section5" localSheetId="20">#REF!</definedName>
    <definedName name="Section5">#REF!</definedName>
    <definedName name="Section6" localSheetId="34">#REF!</definedName>
    <definedName name="Section6" localSheetId="35">#REF!</definedName>
    <definedName name="Section6" localSheetId="50">#REF!</definedName>
    <definedName name="Section6" localSheetId="15">#REF!</definedName>
    <definedName name="Section6" localSheetId="29">#REF!</definedName>
    <definedName name="Section6" localSheetId="30">#REF!</definedName>
    <definedName name="Section6" localSheetId="47">#REF!</definedName>
    <definedName name="Section6" localSheetId="44">#REF!</definedName>
    <definedName name="Section6" localSheetId="45">#REF!</definedName>
    <definedName name="Section6" localSheetId="46">#REF!</definedName>
    <definedName name="Section6" localSheetId="31">#REF!</definedName>
    <definedName name="Section6" localSheetId="32">#REF!</definedName>
    <definedName name="Section6" localSheetId="33">#REF!</definedName>
    <definedName name="Section6" localSheetId="36">#REF!</definedName>
    <definedName name="Section6" localSheetId="37">#REF!</definedName>
    <definedName name="Section6" localSheetId="38">#REF!</definedName>
    <definedName name="Section6" localSheetId="39">#REF!</definedName>
    <definedName name="Section6" localSheetId="40">#REF!</definedName>
    <definedName name="Section6" localSheetId="54">#REF!</definedName>
    <definedName name="Section6" localSheetId="55">#REF!</definedName>
    <definedName name="Section6" localSheetId="52">#REF!</definedName>
    <definedName name="Section6" localSheetId="23">#REF!</definedName>
    <definedName name="Section6" localSheetId="51">#REF!</definedName>
    <definedName name="Section6" localSheetId="12">#REF!</definedName>
    <definedName name="Section6" localSheetId="53">#REF!</definedName>
    <definedName name="Section6" localSheetId="20">#REF!</definedName>
    <definedName name="Section6">#REF!</definedName>
    <definedName name="Section7" localSheetId="34">#REF!</definedName>
    <definedName name="Section7" localSheetId="35">#REF!</definedName>
    <definedName name="Section7" localSheetId="50">#REF!</definedName>
    <definedName name="Section7" localSheetId="15">#REF!</definedName>
    <definedName name="Section7" localSheetId="29">#REF!</definedName>
    <definedName name="Section7" localSheetId="30">#REF!</definedName>
    <definedName name="Section7" localSheetId="47">#REF!</definedName>
    <definedName name="Section7" localSheetId="44">#REF!</definedName>
    <definedName name="Section7" localSheetId="45">#REF!</definedName>
    <definedName name="Section7" localSheetId="46">#REF!</definedName>
    <definedName name="Section7" localSheetId="31">#REF!</definedName>
    <definedName name="Section7" localSheetId="32">#REF!</definedName>
    <definedName name="Section7" localSheetId="33">#REF!</definedName>
    <definedName name="Section7" localSheetId="36">#REF!</definedName>
    <definedName name="Section7" localSheetId="37">#REF!</definedName>
    <definedName name="Section7" localSheetId="38">#REF!</definedName>
    <definedName name="Section7" localSheetId="39">#REF!</definedName>
    <definedName name="Section7" localSheetId="40">#REF!</definedName>
    <definedName name="Section7" localSheetId="54">#REF!</definedName>
    <definedName name="Section7" localSheetId="55">#REF!</definedName>
    <definedName name="Section7" localSheetId="52">#REF!</definedName>
    <definedName name="Section7" localSheetId="23">#REF!</definedName>
    <definedName name="Section7" localSheetId="51">#REF!</definedName>
    <definedName name="Section7" localSheetId="12">#REF!</definedName>
    <definedName name="Section7" localSheetId="53">#REF!</definedName>
    <definedName name="Section7" localSheetId="20">#REF!</definedName>
    <definedName name="Section7">#REF!</definedName>
    <definedName name="Section8" localSheetId="34">#REF!</definedName>
    <definedName name="Section8" localSheetId="35">#REF!</definedName>
    <definedName name="Section8" localSheetId="50">#REF!</definedName>
    <definedName name="Section8" localSheetId="15">#REF!</definedName>
    <definedName name="Section8" localSheetId="29">#REF!</definedName>
    <definedName name="Section8" localSheetId="30">#REF!</definedName>
    <definedName name="Section8" localSheetId="47">#REF!</definedName>
    <definedName name="Section8" localSheetId="44">#REF!</definedName>
    <definedName name="Section8" localSheetId="45">#REF!</definedName>
    <definedName name="Section8" localSheetId="46">#REF!</definedName>
    <definedName name="Section8" localSheetId="31">#REF!</definedName>
    <definedName name="Section8" localSheetId="32">#REF!</definedName>
    <definedName name="Section8" localSheetId="33">#REF!</definedName>
    <definedName name="Section8" localSheetId="36">#REF!</definedName>
    <definedName name="Section8" localSheetId="37">#REF!</definedName>
    <definedName name="Section8" localSheetId="38">#REF!</definedName>
    <definedName name="Section8" localSheetId="39">#REF!</definedName>
    <definedName name="Section8" localSheetId="40">#REF!</definedName>
    <definedName name="Section8" localSheetId="54">#REF!</definedName>
    <definedName name="Section8" localSheetId="55">#REF!</definedName>
    <definedName name="Section8" localSheetId="52">#REF!</definedName>
    <definedName name="Section8" localSheetId="23">#REF!</definedName>
    <definedName name="Section8" localSheetId="51">#REF!</definedName>
    <definedName name="Section8" localSheetId="12">#REF!</definedName>
    <definedName name="Section8" localSheetId="53">#REF!</definedName>
    <definedName name="Section8" localSheetId="20">#REF!</definedName>
    <definedName name="Section8">#REF!</definedName>
    <definedName name="Section9" localSheetId="34">#REF!</definedName>
    <definedName name="Section9" localSheetId="35">#REF!</definedName>
    <definedName name="Section9" localSheetId="50">#REF!</definedName>
    <definedName name="Section9" localSheetId="15">#REF!</definedName>
    <definedName name="Section9" localSheetId="29">#REF!</definedName>
    <definedName name="Section9" localSheetId="30">#REF!</definedName>
    <definedName name="Section9" localSheetId="47">#REF!</definedName>
    <definedName name="Section9" localSheetId="44">#REF!</definedName>
    <definedName name="Section9" localSheetId="45">#REF!</definedName>
    <definedName name="Section9" localSheetId="46">#REF!</definedName>
    <definedName name="Section9" localSheetId="31">#REF!</definedName>
    <definedName name="Section9" localSheetId="32">#REF!</definedName>
    <definedName name="Section9" localSheetId="33">#REF!</definedName>
    <definedName name="Section9" localSheetId="36">#REF!</definedName>
    <definedName name="Section9" localSheetId="37">#REF!</definedName>
    <definedName name="Section9" localSheetId="38">#REF!</definedName>
    <definedName name="Section9" localSheetId="39">#REF!</definedName>
    <definedName name="Section9" localSheetId="40">#REF!</definedName>
    <definedName name="Section9" localSheetId="54">#REF!</definedName>
    <definedName name="Section9" localSheetId="55">#REF!</definedName>
    <definedName name="Section9" localSheetId="52">#REF!</definedName>
    <definedName name="Section9" localSheetId="23">#REF!</definedName>
    <definedName name="Section9" localSheetId="51">#REF!</definedName>
    <definedName name="Section9" localSheetId="12">#REF!</definedName>
    <definedName name="Section9" localSheetId="53">#REF!</definedName>
    <definedName name="Section9" localSheetId="20">#REF!</definedName>
    <definedName name="Section9">#REF!</definedName>
    <definedName name="sei">[49]sei!$A$61:$I$139</definedName>
    <definedName name="SEIbrief" localSheetId="50">#REF!</definedName>
    <definedName name="SEIbrief" localSheetId="47">#REF!</definedName>
    <definedName name="SEIbrief" localSheetId="44">#REF!</definedName>
    <definedName name="SEIbrief" localSheetId="45">#REF!</definedName>
    <definedName name="SEIbrief" localSheetId="46">#REF!</definedName>
    <definedName name="SEIbrief" localSheetId="37">#REF!</definedName>
    <definedName name="SEIbrief" localSheetId="40">#REF!</definedName>
    <definedName name="SEIbrief" localSheetId="54">#REF!</definedName>
    <definedName name="SEIbrief" localSheetId="55">#REF!</definedName>
    <definedName name="SEIbrief" localSheetId="52">#REF!</definedName>
    <definedName name="SEIbrief" localSheetId="51">#REF!</definedName>
    <definedName name="SEIbrief" localSheetId="53">#REF!</definedName>
    <definedName name="SEIbrief">#REF!</definedName>
    <definedName name="SEIFiscal" localSheetId="50">#REF!</definedName>
    <definedName name="SEIFiscal" localSheetId="47">#REF!</definedName>
    <definedName name="SEIFiscal" localSheetId="44">#REF!</definedName>
    <definedName name="SEIFiscal" localSheetId="45">#REF!</definedName>
    <definedName name="SEIFiscal" localSheetId="46">#REF!</definedName>
    <definedName name="SEIFiscal" localSheetId="37">#REF!</definedName>
    <definedName name="SEIFiscal" localSheetId="40">#REF!</definedName>
    <definedName name="SEIFiscal" localSheetId="54">#REF!</definedName>
    <definedName name="SEIFiscal" localSheetId="55">#REF!</definedName>
    <definedName name="SEIFiscal" localSheetId="52">#REF!</definedName>
    <definedName name="SEIFiscal" localSheetId="51">#REF!</definedName>
    <definedName name="SEIFiscal" localSheetId="53">#REF!</definedName>
    <definedName name="SEIFiscal">#REF!</definedName>
    <definedName name="Select" localSheetId="50">#REF!</definedName>
    <definedName name="Select" localSheetId="47">#REF!</definedName>
    <definedName name="Select" localSheetId="44">#REF!</definedName>
    <definedName name="Select" localSheetId="45">#REF!</definedName>
    <definedName name="Select" localSheetId="46">#REF!</definedName>
    <definedName name="Select" localSheetId="37">#REF!</definedName>
    <definedName name="Select" localSheetId="40">#REF!</definedName>
    <definedName name="Select" localSheetId="54">#REF!</definedName>
    <definedName name="Select" localSheetId="55">#REF!</definedName>
    <definedName name="Select" localSheetId="52">#REF!</definedName>
    <definedName name="Select" localSheetId="51">#REF!</definedName>
    <definedName name="Select" localSheetId="53">#REF!</definedName>
    <definedName name="Select">#REF!</definedName>
    <definedName name="Selected_Items">'[148]Raw Data_UN'!$A$1:$I$11495</definedName>
    <definedName name="SelNE" localSheetId="34">#REF!</definedName>
    <definedName name="SelNE" localSheetId="35">#REF!</definedName>
    <definedName name="SelNE" localSheetId="50">#REF!</definedName>
    <definedName name="SelNE" localSheetId="15">#REF!</definedName>
    <definedName name="SelNE" localSheetId="29">#REF!</definedName>
    <definedName name="SelNE" localSheetId="30">#REF!</definedName>
    <definedName name="SelNE" localSheetId="47">#REF!</definedName>
    <definedName name="SelNE" localSheetId="44">#REF!</definedName>
    <definedName name="SelNE" localSheetId="45">#REF!</definedName>
    <definedName name="SelNE" localSheetId="46">#REF!</definedName>
    <definedName name="SelNE" localSheetId="31">#REF!</definedName>
    <definedName name="SelNE" localSheetId="32">#REF!</definedName>
    <definedName name="SelNE" localSheetId="33">#REF!</definedName>
    <definedName name="SelNE" localSheetId="36">#REF!</definedName>
    <definedName name="SelNE" localSheetId="37">#REF!</definedName>
    <definedName name="SelNE" localSheetId="38">#REF!</definedName>
    <definedName name="SelNE" localSheetId="39">#REF!</definedName>
    <definedName name="SelNE" localSheetId="40">#REF!</definedName>
    <definedName name="SelNE" localSheetId="54">#REF!</definedName>
    <definedName name="SelNE" localSheetId="55">#REF!</definedName>
    <definedName name="SelNE" localSheetId="52">#REF!</definedName>
    <definedName name="SelNE" localSheetId="23">#REF!</definedName>
    <definedName name="SelNE" localSheetId="51">#REF!</definedName>
    <definedName name="SelNE" localSheetId="53">#REF!</definedName>
    <definedName name="SelNE" localSheetId="20">#REF!</definedName>
    <definedName name="SelNE">#REF!</definedName>
    <definedName name="SelNEperc" localSheetId="34">#REF!</definedName>
    <definedName name="SelNEperc" localSheetId="35">#REF!</definedName>
    <definedName name="SelNEperc" localSheetId="50">#REF!</definedName>
    <definedName name="SelNEperc" localSheetId="15">#REF!</definedName>
    <definedName name="SelNEperc" localSheetId="29">#REF!</definedName>
    <definedName name="SelNEperc" localSheetId="30">#REF!</definedName>
    <definedName name="SelNEperc" localSheetId="47">#REF!</definedName>
    <definedName name="SelNEperc" localSheetId="44">#REF!</definedName>
    <definedName name="SelNEperc" localSheetId="45">#REF!</definedName>
    <definedName name="SelNEperc" localSheetId="46">#REF!</definedName>
    <definedName name="SelNEperc" localSheetId="31">#REF!</definedName>
    <definedName name="SelNEperc" localSheetId="32">#REF!</definedName>
    <definedName name="SelNEperc" localSheetId="33">#REF!</definedName>
    <definedName name="SelNEperc" localSheetId="36">#REF!</definedName>
    <definedName name="SelNEperc" localSheetId="37">#REF!</definedName>
    <definedName name="SelNEperc" localSheetId="38">#REF!</definedName>
    <definedName name="SelNEperc" localSheetId="39">#REF!</definedName>
    <definedName name="SelNEperc" localSheetId="40">#REF!</definedName>
    <definedName name="SelNEperc" localSheetId="54">#REF!</definedName>
    <definedName name="SelNEperc" localSheetId="55">#REF!</definedName>
    <definedName name="SelNEperc" localSheetId="52">#REF!</definedName>
    <definedName name="SelNEperc" localSheetId="23">#REF!</definedName>
    <definedName name="SelNEperc" localSheetId="51">#REF!</definedName>
    <definedName name="SelNEperc" localSheetId="53">#REF!</definedName>
    <definedName name="SelNEperc" localSheetId="20">#REF!</definedName>
    <definedName name="SelNEperc">#REF!</definedName>
    <definedName name="SEMESTRE" localSheetId="34">#REF!</definedName>
    <definedName name="SEMESTRE" localSheetId="35">#REF!</definedName>
    <definedName name="SEMESTRE" localSheetId="50">#REF!</definedName>
    <definedName name="SEMESTRE" localSheetId="15">#REF!</definedName>
    <definedName name="SEMESTRE" localSheetId="29">#REF!</definedName>
    <definedName name="SEMESTRE" localSheetId="30">#REF!</definedName>
    <definedName name="SEMESTRE" localSheetId="47">#REF!</definedName>
    <definedName name="SEMESTRE" localSheetId="44">#REF!</definedName>
    <definedName name="SEMESTRE" localSheetId="45">#REF!</definedName>
    <definedName name="SEMESTRE" localSheetId="46">#REF!</definedName>
    <definedName name="SEMESTRE" localSheetId="31">#REF!</definedName>
    <definedName name="SEMESTRE" localSheetId="32">#REF!</definedName>
    <definedName name="SEMESTRE" localSheetId="33">#REF!</definedName>
    <definedName name="SEMESTRE" localSheetId="36">#REF!</definedName>
    <definedName name="SEMESTRE" localSheetId="37">#REF!</definedName>
    <definedName name="SEMESTRE" localSheetId="38">#REF!</definedName>
    <definedName name="SEMESTRE" localSheetId="39">#REF!</definedName>
    <definedName name="SEMESTRE" localSheetId="40">#REF!</definedName>
    <definedName name="SEMESTRE" localSheetId="54">#REF!</definedName>
    <definedName name="SEMESTRE" localSheetId="55">#REF!</definedName>
    <definedName name="SEMESTRE" localSheetId="52">#REF!</definedName>
    <definedName name="SEMESTRE" localSheetId="23">#REF!</definedName>
    <definedName name="SEMESTRE" localSheetId="51">#REF!</definedName>
    <definedName name="SEMESTRE" localSheetId="53">#REF!</definedName>
    <definedName name="SEMESTRE" localSheetId="20">#REF!</definedName>
    <definedName name="SEMESTRE">#REF!</definedName>
    <definedName name="sencount" hidden="1">2</definedName>
    <definedName name="SEP._89" localSheetId="34">#REF!</definedName>
    <definedName name="SEP._89" localSheetId="35">#REF!</definedName>
    <definedName name="SEP._89" localSheetId="50">#REF!</definedName>
    <definedName name="SEP._89" localSheetId="15">#REF!</definedName>
    <definedName name="SEP._89" localSheetId="29">#REF!</definedName>
    <definedName name="SEP._89" localSheetId="30">#REF!</definedName>
    <definedName name="SEP._89" localSheetId="47">#REF!</definedName>
    <definedName name="SEP._89" localSheetId="44">#REF!</definedName>
    <definedName name="SEP._89" localSheetId="45">#REF!</definedName>
    <definedName name="SEP._89" localSheetId="46">#REF!</definedName>
    <definedName name="SEP._89" localSheetId="31">#REF!</definedName>
    <definedName name="SEP._89" localSheetId="32">#REF!</definedName>
    <definedName name="SEP._89" localSheetId="33">#REF!</definedName>
    <definedName name="SEP._89" localSheetId="36">#REF!</definedName>
    <definedName name="SEP._89" localSheetId="37">#REF!</definedName>
    <definedName name="SEP._89" localSheetId="38">#REF!</definedName>
    <definedName name="SEP._89" localSheetId="39">#REF!</definedName>
    <definedName name="SEP._89" localSheetId="40">#REF!</definedName>
    <definedName name="SEP._89" localSheetId="54">#REF!</definedName>
    <definedName name="SEP._89" localSheetId="55">#REF!</definedName>
    <definedName name="SEP._89" localSheetId="52">#REF!</definedName>
    <definedName name="SEP._89" localSheetId="23">#REF!</definedName>
    <definedName name="SEP._89" localSheetId="51">#REF!</definedName>
    <definedName name="SEP._89" localSheetId="53">#REF!</definedName>
    <definedName name="SEP._89" localSheetId="20">#REF!</definedName>
    <definedName name="SEP._89">#REF!</definedName>
    <definedName name="Sep05Cap" localSheetId="50">#REF!</definedName>
    <definedName name="Sep05Cap" localSheetId="47">#REF!</definedName>
    <definedName name="Sep05Cap" localSheetId="44">#REF!</definedName>
    <definedName name="Sep05Cap" localSheetId="45">#REF!</definedName>
    <definedName name="Sep05Cap" localSheetId="46">#REF!</definedName>
    <definedName name="Sep05Cap" localSheetId="37">#REF!</definedName>
    <definedName name="Sep05Cap" localSheetId="40">#REF!</definedName>
    <definedName name="Sep05Cap" localSheetId="54">#REF!</definedName>
    <definedName name="Sep05Cap" localSheetId="55">#REF!</definedName>
    <definedName name="Sep05Cap" localSheetId="52">#REF!</definedName>
    <definedName name="Sep05Cap" localSheetId="51">#REF!</definedName>
    <definedName name="Sep05Cap" localSheetId="53">#REF!</definedName>
    <definedName name="Sep05Cap">#REF!</definedName>
    <definedName name="Sep06Cap" localSheetId="50">#REF!</definedName>
    <definedName name="Sep06Cap" localSheetId="47">#REF!</definedName>
    <definedName name="Sep06Cap" localSheetId="44">#REF!</definedName>
    <definedName name="Sep06Cap" localSheetId="45">#REF!</definedName>
    <definedName name="Sep06Cap" localSheetId="46">#REF!</definedName>
    <definedName name="Sep06Cap" localSheetId="37">#REF!</definedName>
    <definedName name="Sep06Cap" localSheetId="40">#REF!</definedName>
    <definedName name="Sep06Cap" localSheetId="54">#REF!</definedName>
    <definedName name="Sep06Cap" localSheetId="55">#REF!</definedName>
    <definedName name="Sep06Cap" localSheetId="52">#REF!</definedName>
    <definedName name="Sep06Cap" localSheetId="51">#REF!</definedName>
    <definedName name="Sep06Cap" localSheetId="53">#REF!</definedName>
    <definedName name="Sep06Cap">#REF!</definedName>
    <definedName name="September">'[45]Variance Explanations'!$L$10:$L$84,'[45]Variance Explanations'!$L$98:$L$178,'[45]Variance Explanations'!$L$190:$L$252,'[45]Variance Explanations'!$L$252,'[45]Variance Explanations'!$L$264:$L$343,'[45]Variance Explanations'!$L$356:$L$409,'[45]Variance Explanations'!$L$424:$L$485,'[45]Variance Explanations'!$L$508:$L$555</definedName>
    <definedName name="ser" localSheetId="58" hidden="1">{"Riqfin97",#N/A,FALSE,"Tran";"Riqfinpro",#N/A,FALSE,"Tran"}</definedName>
    <definedName name="ser" localSheetId="16" hidden="1">{"Riqfin97",#N/A,FALSE,"Tran";"Riqfinpro",#N/A,FALSE,"Tran"}</definedName>
    <definedName name="ser" localSheetId="61" hidden="1">{"Riqfin97",#N/A,FALSE,"Tran";"Riqfinpro",#N/A,FALSE,"Tran"}</definedName>
    <definedName name="ser" localSheetId="62" hidden="1">{"Riqfin97",#N/A,FALSE,"Tran";"Riqfinpro",#N/A,FALSE,"Tran"}</definedName>
    <definedName name="ser" localSheetId="50" hidden="1">{"Riqfin97",#N/A,FALSE,"Tran";"Riqfinpro",#N/A,FALSE,"Tran"}</definedName>
    <definedName name="ser" localSheetId="63" hidden="1">{"Riqfin97",#N/A,FALSE,"Tran";"Riqfinpro",#N/A,FALSE,"Tran"}</definedName>
    <definedName name="ser" localSheetId="15" hidden="1">{"Riqfin97",#N/A,FALSE,"Tran";"Riqfinpro",#N/A,FALSE,"Tran"}</definedName>
    <definedName name="ser" localSheetId="1" hidden="1">{"Riqfin97",#N/A,FALSE,"Tran";"Riqfinpro",#N/A,FALSE,"Tran"}</definedName>
    <definedName name="ser" localSheetId="43" hidden="1">{"Riqfin97",#N/A,FALSE,"Tran";"Riqfinpro",#N/A,FALSE,"Tran"}</definedName>
    <definedName name="ser" localSheetId="29" hidden="1">{"Riqfin97",#N/A,FALSE,"Tran";"Riqfinpro",#N/A,FALSE,"Tran"}</definedName>
    <definedName name="ser" localSheetId="30" hidden="1">{"Riqfin97",#N/A,FALSE,"Tran";"Riqfinpro",#N/A,FALSE,"Tran"}</definedName>
    <definedName name="ser" localSheetId="44" hidden="1">{"Riqfin97",#N/A,FALSE,"Tran";"Riqfinpro",#N/A,FALSE,"Tran"}</definedName>
    <definedName name="ser" localSheetId="59" hidden="1">{"Riqfin97",#N/A,FALSE,"Tran";"Riqfinpro",#N/A,FALSE,"Tran"}</definedName>
    <definedName name="ser" localSheetId="13" hidden="1">{"Riqfin97",#N/A,FALSE,"Tran";"Riqfinpro",#N/A,FALSE,"Tran"}</definedName>
    <definedName name="ser" localSheetId="0" hidden="1">{"Riqfin97",#N/A,FALSE,"Tran";"Riqfinpro",#N/A,FALSE,"Tran"}</definedName>
    <definedName name="ser" localSheetId="57" hidden="1">{"Riqfin97",#N/A,FALSE,"Tran";"Riqfinpro",#N/A,FALSE,"Tran"}</definedName>
    <definedName name="ser" localSheetId="56" hidden="1">{"Riqfin97",#N/A,FALSE,"Tran";"Riqfinpro",#N/A,FALSE,"Tran"}</definedName>
    <definedName name="ser" localSheetId="54" hidden="1">{"Riqfin97",#N/A,FALSE,"Tran";"Riqfinpro",#N/A,FALSE,"Tran"}</definedName>
    <definedName name="ser" localSheetId="52" hidden="1">{"Riqfin97",#N/A,FALSE,"Tran";"Riqfinpro",#N/A,FALSE,"Tran"}</definedName>
    <definedName name="ser" localSheetId="23" hidden="1">{"Riqfin97",#N/A,FALSE,"Tran";"Riqfinpro",#N/A,FALSE,"Tran"}</definedName>
    <definedName name="ser" localSheetId="51" hidden="1">{"Riqfin97",#N/A,FALSE,"Tran";"Riqfinpro",#N/A,FALSE,"Tran"}</definedName>
    <definedName name="ser" localSheetId="53" hidden="1">{"Riqfin97",#N/A,FALSE,"Tran";"Riqfinpro",#N/A,FALSE,"Tran"}</definedName>
    <definedName name="ser" localSheetId="60" hidden="1">{"Riqfin97",#N/A,FALSE,"Tran";"Riqfinpro",#N/A,FALSE,"Tran"}</definedName>
    <definedName name="ser" hidden="1">{"Riqfin97",#N/A,FALSE,"Tran";"Riqfinpro",#N/A,FALSE,"Tran"}</definedName>
    <definedName name="SERIES" localSheetId="34">#REF!</definedName>
    <definedName name="SERIES" localSheetId="35">#REF!</definedName>
    <definedName name="SERIES" localSheetId="50">#REF!</definedName>
    <definedName name="SERIES" localSheetId="15">#REF!</definedName>
    <definedName name="SERIES" localSheetId="29">#REF!</definedName>
    <definedName name="SERIES" localSheetId="30">#REF!</definedName>
    <definedName name="SERIES" localSheetId="47">#REF!</definedName>
    <definedName name="SERIES" localSheetId="44">#REF!</definedName>
    <definedName name="SERIES" localSheetId="45">#REF!</definedName>
    <definedName name="SERIES" localSheetId="46">#REF!</definedName>
    <definedName name="SERIES" localSheetId="31">#REF!</definedName>
    <definedName name="SERIES" localSheetId="32">#REF!</definedName>
    <definedName name="SERIES" localSheetId="33">#REF!</definedName>
    <definedName name="SERIES" localSheetId="36">#REF!</definedName>
    <definedName name="SERIES" localSheetId="37">#REF!</definedName>
    <definedName name="SERIES" localSheetId="38">#REF!</definedName>
    <definedName name="SERIES" localSheetId="39">#REF!</definedName>
    <definedName name="SERIES" localSheetId="40">#REF!</definedName>
    <definedName name="SERIES" localSheetId="54">#REF!</definedName>
    <definedName name="SERIES" localSheetId="55">#REF!</definedName>
    <definedName name="SERIES" localSheetId="52">#REF!</definedName>
    <definedName name="SERIES" localSheetId="23">#REF!</definedName>
    <definedName name="SERIES" localSheetId="51">#REF!</definedName>
    <definedName name="SERIES" localSheetId="53">#REF!</definedName>
    <definedName name="SERIES" localSheetId="20">#REF!</definedName>
    <definedName name="SERIES">#REF!</definedName>
    <definedName name="service_line" localSheetId="50">[38]Instructions!#REF!</definedName>
    <definedName name="service_line" localSheetId="47">[38]Instructions!#REF!</definedName>
    <definedName name="service_line" localSheetId="44">[38]Instructions!#REF!</definedName>
    <definedName name="service_line" localSheetId="45">[38]Instructions!#REF!</definedName>
    <definedName name="service_line" localSheetId="46">[38]Instructions!#REF!</definedName>
    <definedName name="service_line" localSheetId="37">[38]Instructions!#REF!</definedName>
    <definedName name="service_line" localSheetId="40">[38]Instructions!#REF!</definedName>
    <definedName name="service_line" localSheetId="54">[38]Instructions!#REF!</definedName>
    <definedName name="service_line" localSheetId="55">[38]Instructions!#REF!</definedName>
    <definedName name="service_line" localSheetId="52">[38]Instructions!#REF!</definedName>
    <definedName name="service_line" localSheetId="51">[38]Instructions!#REF!</definedName>
    <definedName name="service_line" localSheetId="53">[38]Instructions!#REF!</definedName>
    <definedName name="service_line">[38]Instructions!#REF!</definedName>
    <definedName name="SET" localSheetId="34">#REF!</definedName>
    <definedName name="SET" localSheetId="35">#REF!</definedName>
    <definedName name="SET" localSheetId="50">#REF!</definedName>
    <definedName name="SET" localSheetId="15">#REF!</definedName>
    <definedName name="SET" localSheetId="29">#REF!</definedName>
    <definedName name="SET" localSheetId="30">#REF!</definedName>
    <definedName name="SET" localSheetId="47">#REF!</definedName>
    <definedName name="SET" localSheetId="44">#REF!</definedName>
    <definedName name="SET" localSheetId="45">#REF!</definedName>
    <definedName name="SET" localSheetId="46">#REF!</definedName>
    <definedName name="SET" localSheetId="31">#REF!</definedName>
    <definedName name="SET" localSheetId="32">#REF!</definedName>
    <definedName name="SET" localSheetId="33">#REF!</definedName>
    <definedName name="SET" localSheetId="36">#REF!</definedName>
    <definedName name="SET" localSheetId="37">#REF!</definedName>
    <definedName name="SET" localSheetId="38">#REF!</definedName>
    <definedName name="SET" localSheetId="39">#REF!</definedName>
    <definedName name="SET" localSheetId="40">#REF!</definedName>
    <definedName name="SET" localSheetId="54">#REF!</definedName>
    <definedName name="SET" localSheetId="55">#REF!</definedName>
    <definedName name="SET" localSheetId="52">#REF!</definedName>
    <definedName name="SET" localSheetId="23">#REF!</definedName>
    <definedName name="SET" localSheetId="51">#REF!</definedName>
    <definedName name="SET" localSheetId="53">#REF!</definedName>
    <definedName name="SET" localSheetId="20">#REF!</definedName>
    <definedName name="SET">#REF!</definedName>
    <definedName name="SfdcPassword" localSheetId="50">#REF!</definedName>
    <definedName name="SfdcPassword" localSheetId="47">#REF!</definedName>
    <definedName name="SfdcPassword" localSheetId="44">#REF!</definedName>
    <definedName name="SfdcPassword" localSheetId="45">#REF!</definedName>
    <definedName name="SfdcPassword" localSheetId="46">#REF!</definedName>
    <definedName name="SfdcPassword" localSheetId="37">#REF!</definedName>
    <definedName name="SfdcPassword" localSheetId="40">#REF!</definedName>
    <definedName name="SfdcPassword" localSheetId="54">#REF!</definedName>
    <definedName name="SfdcPassword" localSheetId="55">#REF!</definedName>
    <definedName name="SfdcPassword" localSheetId="52">#REF!</definedName>
    <definedName name="SfdcPassword" localSheetId="51">#REF!</definedName>
    <definedName name="SfdcPassword" localSheetId="53">#REF!</definedName>
    <definedName name="SfdcPassword">#REF!</definedName>
    <definedName name="SfdcPSStatusList" localSheetId="50">#REF!</definedName>
    <definedName name="SfdcPSStatusList" localSheetId="47">#REF!</definedName>
    <definedName name="SfdcPSStatusList" localSheetId="44">#REF!</definedName>
    <definedName name="SfdcPSStatusList" localSheetId="45">#REF!</definedName>
    <definedName name="SfdcPSStatusList" localSheetId="46">#REF!</definedName>
    <definedName name="SfdcPSStatusList" localSheetId="37">#REF!</definedName>
    <definedName name="SfdcPSStatusList" localSheetId="40">#REF!</definedName>
    <definedName name="SfdcPSStatusList" localSheetId="54">#REF!</definedName>
    <definedName name="SfdcPSStatusList" localSheetId="55">#REF!</definedName>
    <definedName name="SfdcPSStatusList" localSheetId="52">#REF!</definedName>
    <definedName name="SfdcPSStatusList" localSheetId="51">#REF!</definedName>
    <definedName name="SfdcPSStatusList" localSheetId="53">#REF!</definedName>
    <definedName name="SfdcPSStatusList">#REF!</definedName>
    <definedName name="SfdcQuery" localSheetId="50">#REF!</definedName>
    <definedName name="SfdcQuery" localSheetId="47">#REF!</definedName>
    <definedName name="SfdcQuery" localSheetId="44">#REF!</definedName>
    <definedName name="SfdcQuery" localSheetId="45">#REF!</definedName>
    <definedName name="SfdcQuery" localSheetId="46">#REF!</definedName>
    <definedName name="SfdcQuery" localSheetId="37">#REF!</definedName>
    <definedName name="SfdcQuery" localSheetId="40">#REF!</definedName>
    <definedName name="SfdcQuery" localSheetId="54">#REF!</definedName>
    <definedName name="SfdcQuery" localSheetId="55">#REF!</definedName>
    <definedName name="SfdcQuery" localSheetId="52">#REF!</definedName>
    <definedName name="SfdcQuery" localSheetId="51">#REF!</definedName>
    <definedName name="SfdcQuery" localSheetId="53">#REF!</definedName>
    <definedName name="SfdcQuery">#REF!</definedName>
    <definedName name="SfdcUploadTime" localSheetId="50">#REF!</definedName>
    <definedName name="SfdcUploadTime" localSheetId="47">#REF!</definedName>
    <definedName name="SfdcUploadTime" localSheetId="44">#REF!</definedName>
    <definedName name="SfdcUploadTime" localSheetId="45">#REF!</definedName>
    <definedName name="SfdcUploadTime" localSheetId="46">#REF!</definedName>
    <definedName name="SfdcUploadTime" localSheetId="37">#REF!</definedName>
    <definedName name="SfdcUploadTime" localSheetId="40">#REF!</definedName>
    <definedName name="SfdcUploadTime" localSheetId="54">#REF!</definedName>
    <definedName name="SfdcUploadTime" localSheetId="55">#REF!</definedName>
    <definedName name="SfdcUploadTime" localSheetId="52">#REF!</definedName>
    <definedName name="SfdcUploadTime" localSheetId="51">#REF!</definedName>
    <definedName name="SfdcUploadTime" localSheetId="53">#REF!</definedName>
    <definedName name="SfdcUploadTime">#REF!</definedName>
    <definedName name="SfdcUserName" localSheetId="50">#REF!</definedName>
    <definedName name="SfdcUserName" localSheetId="47">#REF!</definedName>
    <definedName name="SfdcUserName" localSheetId="44">#REF!</definedName>
    <definedName name="SfdcUserName" localSheetId="45">#REF!</definedName>
    <definedName name="SfdcUserName" localSheetId="46">#REF!</definedName>
    <definedName name="SfdcUserName" localSheetId="37">#REF!</definedName>
    <definedName name="SfdcUserName" localSheetId="40">#REF!</definedName>
    <definedName name="SfdcUserName" localSheetId="54">#REF!</definedName>
    <definedName name="SfdcUserName" localSheetId="55">#REF!</definedName>
    <definedName name="SfdcUserName" localSheetId="52">#REF!</definedName>
    <definedName name="SfdcUserName" localSheetId="51">#REF!</definedName>
    <definedName name="SfdcUserName" localSheetId="53">#REF!</definedName>
    <definedName name="SfdcUserName">#REF!</definedName>
    <definedName name="ShoppingAides" localSheetId="50">#REF!</definedName>
    <definedName name="ShoppingAides" localSheetId="47">#REF!</definedName>
    <definedName name="ShoppingAides" localSheetId="44">#REF!</definedName>
    <definedName name="ShoppingAides" localSheetId="45">#REF!</definedName>
    <definedName name="ShoppingAides" localSheetId="46">#REF!</definedName>
    <definedName name="ShoppingAides" localSheetId="37">#REF!</definedName>
    <definedName name="ShoppingAides" localSheetId="40">#REF!</definedName>
    <definedName name="ShoppingAides" localSheetId="54">#REF!</definedName>
    <definedName name="ShoppingAides" localSheetId="55">#REF!</definedName>
    <definedName name="ShoppingAides" localSheetId="52">#REF!</definedName>
    <definedName name="ShoppingAides" localSheetId="51">#REF!</definedName>
    <definedName name="ShoppingAides" localSheetId="53">#REF!</definedName>
    <definedName name="ShoppingAides">#REF!</definedName>
    <definedName name="ShoppingLists" localSheetId="50">#REF!</definedName>
    <definedName name="ShoppingLists" localSheetId="47">#REF!</definedName>
    <definedName name="ShoppingLists" localSheetId="44">#REF!</definedName>
    <definedName name="ShoppingLists" localSheetId="45">#REF!</definedName>
    <definedName name="ShoppingLists" localSheetId="46">#REF!</definedName>
    <definedName name="ShoppingLists" localSheetId="37">#REF!</definedName>
    <definedName name="ShoppingLists" localSheetId="40">#REF!</definedName>
    <definedName name="ShoppingLists" localSheetId="54">#REF!</definedName>
    <definedName name="ShoppingLists" localSheetId="55">#REF!</definedName>
    <definedName name="ShoppingLists" localSheetId="52">#REF!</definedName>
    <definedName name="ShoppingLists" localSheetId="51">#REF!</definedName>
    <definedName name="ShoppingLists" localSheetId="53">#REF!</definedName>
    <definedName name="ShoppingLists">#REF!</definedName>
    <definedName name="SIDXGOB" localSheetId="50">'[65]SFISCAL-MOD'!$146:$146</definedName>
    <definedName name="SIDXGOB" localSheetId="44">'[65]SFISCAL-MOD'!$146:$146</definedName>
    <definedName name="SIDXGOB" localSheetId="54">'[65]SFISCAL-MOD'!$146:$146</definedName>
    <definedName name="SIDXGOB" localSheetId="52">'[65]SFISCAL-MOD'!$146:$146</definedName>
    <definedName name="SIDXGOB" localSheetId="51">'[65]SFISCAL-MOD'!$146:$146</definedName>
    <definedName name="SIDXGOB" localSheetId="53">'[65]SFISCAL-MOD'!$146:$146</definedName>
    <definedName name="SIDXGOB">'[65]SFISCAL-MOD'!$A$146:$IV$146</definedName>
    <definedName name="sisfin2" localSheetId="34">#REF!</definedName>
    <definedName name="sisfin2" localSheetId="35">#REF!</definedName>
    <definedName name="sisfin2" localSheetId="50">#REF!</definedName>
    <definedName name="sisfin2" localSheetId="15">#REF!</definedName>
    <definedName name="sisfin2" localSheetId="29">#REF!</definedName>
    <definedName name="sisfin2" localSheetId="30">#REF!</definedName>
    <definedName name="sisfin2" localSheetId="47">#REF!</definedName>
    <definedName name="sisfin2" localSheetId="44">#REF!</definedName>
    <definedName name="sisfin2" localSheetId="45">#REF!</definedName>
    <definedName name="sisfin2" localSheetId="46">#REF!</definedName>
    <definedName name="sisfin2" localSheetId="31">#REF!</definedName>
    <definedName name="sisfin2" localSheetId="32">#REF!</definedName>
    <definedName name="sisfin2" localSheetId="33">#REF!</definedName>
    <definedName name="sisfin2" localSheetId="36">#REF!</definedName>
    <definedName name="sisfin2" localSheetId="37">#REF!</definedName>
    <definedName name="sisfin2" localSheetId="38">#REF!</definedName>
    <definedName name="sisfin2" localSheetId="39">#REF!</definedName>
    <definedName name="sisfin2" localSheetId="40">#REF!</definedName>
    <definedName name="sisfin2" localSheetId="54">#REF!</definedName>
    <definedName name="sisfin2" localSheetId="55">#REF!</definedName>
    <definedName name="sisfin2" localSheetId="52">#REF!</definedName>
    <definedName name="sisfin2" localSheetId="23">#REF!</definedName>
    <definedName name="sisfin2" localSheetId="51">#REF!</definedName>
    <definedName name="sisfin2" localSheetId="53">#REF!</definedName>
    <definedName name="sisfin2" localSheetId="20">#REF!</definedName>
    <definedName name="sisfin2">#REF!</definedName>
    <definedName name="SISTEMA_BANCARIO_NACIONAL" localSheetId="34">#REF!</definedName>
    <definedName name="SISTEMA_BANCARIO_NACIONAL" localSheetId="35">#REF!</definedName>
    <definedName name="SISTEMA_BANCARIO_NACIONAL" localSheetId="50">#REF!</definedName>
    <definedName name="SISTEMA_BANCARIO_NACIONAL" localSheetId="15">#REF!</definedName>
    <definedName name="SISTEMA_BANCARIO_NACIONAL" localSheetId="29">#REF!</definedName>
    <definedName name="SISTEMA_BANCARIO_NACIONAL" localSheetId="30">#REF!</definedName>
    <definedName name="SISTEMA_BANCARIO_NACIONAL" localSheetId="47">#REF!</definedName>
    <definedName name="SISTEMA_BANCARIO_NACIONAL" localSheetId="44">#REF!</definedName>
    <definedName name="SISTEMA_BANCARIO_NACIONAL" localSheetId="45">#REF!</definedName>
    <definedName name="SISTEMA_BANCARIO_NACIONAL" localSheetId="46">#REF!</definedName>
    <definedName name="SISTEMA_BANCARIO_NACIONAL" localSheetId="31">#REF!</definedName>
    <definedName name="SISTEMA_BANCARIO_NACIONAL" localSheetId="32">#REF!</definedName>
    <definedName name="SISTEMA_BANCARIO_NACIONAL" localSheetId="33">#REF!</definedName>
    <definedName name="SISTEMA_BANCARIO_NACIONAL" localSheetId="36">#REF!</definedName>
    <definedName name="SISTEMA_BANCARIO_NACIONAL" localSheetId="37">#REF!</definedName>
    <definedName name="SISTEMA_BANCARIO_NACIONAL" localSheetId="38">#REF!</definedName>
    <definedName name="SISTEMA_BANCARIO_NACIONAL" localSheetId="39">#REF!</definedName>
    <definedName name="SISTEMA_BANCARIO_NACIONAL" localSheetId="40">#REF!</definedName>
    <definedName name="SISTEMA_BANCARIO_NACIONAL" localSheetId="54">#REF!</definedName>
    <definedName name="SISTEMA_BANCARIO_NACIONAL" localSheetId="55">#REF!</definedName>
    <definedName name="SISTEMA_BANCARIO_NACIONAL" localSheetId="52">#REF!</definedName>
    <definedName name="SISTEMA_BANCARIO_NACIONAL" localSheetId="23">#REF!</definedName>
    <definedName name="SISTEMA_BANCARIO_NACIONAL" localSheetId="51">#REF!</definedName>
    <definedName name="SISTEMA_BANCARIO_NACIONAL" localSheetId="53">#REF!</definedName>
    <definedName name="SISTEMA_BANCARIO_NACIONAL" localSheetId="20">#REF!</definedName>
    <definedName name="SISTEMA_BANCARIO_NACIONAL">#REF!</definedName>
    <definedName name="SkillLevel">'[145]Skill Level'!$A$2:$A$6</definedName>
    <definedName name="SkillsList">'[145]Skills List'!$A$3:$A$150</definedName>
    <definedName name="SKUSetDescriptions" localSheetId="50">#REF!</definedName>
    <definedName name="SKUSetDescriptions" localSheetId="47">#REF!</definedName>
    <definedName name="SKUSetDescriptions" localSheetId="44">#REF!</definedName>
    <definedName name="SKUSetDescriptions" localSheetId="45">#REF!</definedName>
    <definedName name="SKUSetDescriptions" localSheetId="46">#REF!</definedName>
    <definedName name="SKUSetDescriptions" localSheetId="37">#REF!</definedName>
    <definedName name="SKUSetDescriptions" localSheetId="40">#REF!</definedName>
    <definedName name="SKUSetDescriptions" localSheetId="54">#REF!</definedName>
    <definedName name="SKUSetDescriptions" localSheetId="55">#REF!</definedName>
    <definedName name="SKUSetDescriptions" localSheetId="52">#REF!</definedName>
    <definedName name="SKUSetDescriptions" localSheetId="51">#REF!</definedName>
    <definedName name="SKUSetDescriptions" localSheetId="53">#REF!</definedName>
    <definedName name="SKUSetDescriptions">#REF!</definedName>
    <definedName name="sod_master_rows" localSheetId="50">#REF!</definedName>
    <definedName name="sod_master_rows" localSheetId="47">#REF!</definedName>
    <definedName name="sod_master_rows" localSheetId="44">#REF!</definedName>
    <definedName name="sod_master_rows" localSheetId="45">#REF!</definedName>
    <definedName name="sod_master_rows" localSheetId="46">#REF!</definedName>
    <definedName name="sod_master_rows" localSheetId="37">#REF!</definedName>
    <definedName name="sod_master_rows" localSheetId="40">#REF!</definedName>
    <definedName name="sod_master_rows" localSheetId="54">#REF!</definedName>
    <definedName name="sod_master_rows" localSheetId="55">#REF!</definedName>
    <definedName name="sod_master_rows" localSheetId="52">#REF!</definedName>
    <definedName name="sod_master_rows" localSheetId="51">#REF!</definedName>
    <definedName name="sod_master_rows" localSheetId="53">#REF!</definedName>
    <definedName name="sod_master_rows">#REF!</definedName>
    <definedName name="Solución_preguntas_13a_y_13b" localSheetId="34">#REF!</definedName>
    <definedName name="Solución_preguntas_13a_y_13b" localSheetId="35">#REF!</definedName>
    <definedName name="Solución_preguntas_13a_y_13b" localSheetId="50">#REF!</definedName>
    <definedName name="Solución_preguntas_13a_y_13b" localSheetId="15">#REF!</definedName>
    <definedName name="Solución_preguntas_13a_y_13b" localSheetId="29">#REF!</definedName>
    <definedName name="Solución_preguntas_13a_y_13b" localSheetId="30">#REF!</definedName>
    <definedName name="Solución_preguntas_13a_y_13b" localSheetId="47">#REF!</definedName>
    <definedName name="Solución_preguntas_13a_y_13b" localSheetId="44">#REF!</definedName>
    <definedName name="Solución_preguntas_13a_y_13b" localSheetId="45">#REF!</definedName>
    <definedName name="Solución_preguntas_13a_y_13b" localSheetId="46">#REF!</definedName>
    <definedName name="Solución_preguntas_13a_y_13b" localSheetId="31">#REF!</definedName>
    <definedName name="Solución_preguntas_13a_y_13b" localSheetId="32">#REF!</definedName>
    <definedName name="Solución_preguntas_13a_y_13b" localSheetId="33">#REF!</definedName>
    <definedName name="Solución_preguntas_13a_y_13b" localSheetId="36">#REF!</definedName>
    <definedName name="Solución_preguntas_13a_y_13b" localSheetId="37">#REF!</definedName>
    <definedName name="Solución_preguntas_13a_y_13b" localSheetId="38">#REF!</definedName>
    <definedName name="Solución_preguntas_13a_y_13b" localSheetId="39">#REF!</definedName>
    <definedName name="Solución_preguntas_13a_y_13b" localSheetId="40">#REF!</definedName>
    <definedName name="Solución_preguntas_13a_y_13b" localSheetId="54">#REF!</definedName>
    <definedName name="Solución_preguntas_13a_y_13b" localSheetId="55">#REF!</definedName>
    <definedName name="Solución_preguntas_13a_y_13b" localSheetId="52">#REF!</definedName>
    <definedName name="Solución_preguntas_13a_y_13b" localSheetId="23">#REF!</definedName>
    <definedName name="Solución_preguntas_13a_y_13b" localSheetId="51">#REF!</definedName>
    <definedName name="Solución_preguntas_13a_y_13b" localSheetId="53">#REF!</definedName>
    <definedName name="Solución_preguntas_13a_y_13b" localSheetId="20">#REF!</definedName>
    <definedName name="Solución_preguntas_13a_y_13b">#REF!</definedName>
    <definedName name="SOLUTION_NAME">'[55]Header Info'!$D$2</definedName>
    <definedName name="SourceData" localSheetId="50">#REF!</definedName>
    <definedName name="SourceData" localSheetId="47">#REF!</definedName>
    <definedName name="SourceData" localSheetId="44">#REF!</definedName>
    <definedName name="SourceData" localSheetId="45">#REF!</definedName>
    <definedName name="SourceData" localSheetId="46">#REF!</definedName>
    <definedName name="SourceData" localSheetId="37">#REF!</definedName>
    <definedName name="SourceData" localSheetId="40">#REF!</definedName>
    <definedName name="SourceData" localSheetId="54">#REF!</definedName>
    <definedName name="SourceData" localSheetId="55">#REF!</definedName>
    <definedName name="SourceData" localSheetId="52">#REF!</definedName>
    <definedName name="SourceData" localSheetId="51">#REF!</definedName>
    <definedName name="SourceData" localSheetId="53">#REF!</definedName>
    <definedName name="SourceData">#REF!</definedName>
    <definedName name="SRTab1" localSheetId="50">'[149]SR-tables'!#REF!</definedName>
    <definedName name="SRTab1" localSheetId="47">'[149]SR-tables'!#REF!</definedName>
    <definedName name="SRTab1" localSheetId="44">'[149]SR-tables'!#REF!</definedName>
    <definedName name="SRTab1" localSheetId="45">'[149]SR-tables'!#REF!</definedName>
    <definedName name="SRTab1" localSheetId="46">'[149]SR-tables'!#REF!</definedName>
    <definedName name="SRTab1" localSheetId="37">'[149]SR-tables'!#REF!</definedName>
    <definedName name="SRTab1" localSheetId="40">'[149]SR-tables'!#REF!</definedName>
    <definedName name="SRTab1" localSheetId="54">'[149]SR-tables'!#REF!</definedName>
    <definedName name="SRTab1" localSheetId="55">'[149]SR-tables'!#REF!</definedName>
    <definedName name="SRTab1" localSheetId="52">'[149]SR-tables'!#REF!</definedName>
    <definedName name="SRTab1" localSheetId="51">'[149]SR-tables'!#REF!</definedName>
    <definedName name="SRTab1" localSheetId="53">'[149]SR-tables'!#REF!</definedName>
    <definedName name="SRTab1">'[149]SR-tables'!#REF!</definedName>
    <definedName name="SRTab2" localSheetId="50">#REF!</definedName>
    <definedName name="SRTab2" localSheetId="47">#REF!</definedName>
    <definedName name="SRTab2" localSheetId="44">#REF!</definedName>
    <definedName name="SRTab2" localSheetId="45">#REF!</definedName>
    <definedName name="SRTab2" localSheetId="46">#REF!</definedName>
    <definedName name="SRTab2" localSheetId="37">#REF!</definedName>
    <definedName name="SRTab2" localSheetId="40">#REF!</definedName>
    <definedName name="SRTab2" localSheetId="54">#REF!</definedName>
    <definedName name="SRTab2" localSheetId="55">#REF!</definedName>
    <definedName name="SRTab2" localSheetId="52">#REF!</definedName>
    <definedName name="SRTab2" localSheetId="51">#REF!</definedName>
    <definedName name="SRTab2" localSheetId="53">#REF!</definedName>
    <definedName name="SRTab2">#REF!</definedName>
    <definedName name="SRTab6" localSheetId="50">'[149]SR-tables'!#REF!</definedName>
    <definedName name="SRTab6" localSheetId="47">'[149]SR-tables'!#REF!</definedName>
    <definedName name="SRTab6" localSheetId="44">'[149]SR-tables'!#REF!</definedName>
    <definedName name="SRTab6" localSheetId="45">'[149]SR-tables'!#REF!</definedName>
    <definedName name="SRTab6" localSheetId="46">'[149]SR-tables'!#REF!</definedName>
    <definedName name="SRTab6" localSheetId="37">'[149]SR-tables'!#REF!</definedName>
    <definedName name="SRTab6" localSheetId="40">'[149]SR-tables'!#REF!</definedName>
    <definedName name="SRTab6" localSheetId="54">'[149]SR-tables'!#REF!</definedName>
    <definedName name="SRTab6" localSheetId="55">'[149]SR-tables'!#REF!</definedName>
    <definedName name="SRTab6" localSheetId="52">'[149]SR-tables'!#REF!</definedName>
    <definedName name="SRTab6" localSheetId="51">'[149]SR-tables'!#REF!</definedName>
    <definedName name="SRTab6" localSheetId="53">'[149]SR-tables'!#REF!</definedName>
    <definedName name="SRTab6">'[149]SR-tables'!#REF!</definedName>
    <definedName name="SS" localSheetId="34">#REF!</definedName>
    <definedName name="SS" localSheetId="35">#REF!</definedName>
    <definedName name="ss" localSheetId="50">[150]Admin!$C$8:$C$13</definedName>
    <definedName name="SS" localSheetId="15">#REF!</definedName>
    <definedName name="SS" localSheetId="29">#REF!</definedName>
    <definedName name="SS" localSheetId="30">#REF!</definedName>
    <definedName name="SS" localSheetId="47">#REF!</definedName>
    <definedName name="ss" localSheetId="44">[150]Admin!$C$8:$C$13</definedName>
    <definedName name="SS" localSheetId="45">#REF!</definedName>
    <definedName name="SS" localSheetId="46">#REF!</definedName>
    <definedName name="SS" localSheetId="31">#REF!</definedName>
    <definedName name="SS" localSheetId="32">#REF!</definedName>
    <definedName name="SS" localSheetId="33">#REF!</definedName>
    <definedName name="SS" localSheetId="36">#REF!</definedName>
    <definedName name="SS" localSheetId="37">#REF!</definedName>
    <definedName name="SS" localSheetId="38">#REF!</definedName>
    <definedName name="SS" localSheetId="39">#REF!</definedName>
    <definedName name="SS" localSheetId="40">#REF!</definedName>
    <definedName name="ss" localSheetId="54">[150]Admin!$C$8:$C$13</definedName>
    <definedName name="SS" localSheetId="55">#REF!</definedName>
    <definedName name="ss" localSheetId="52">[150]Admin!$C$8:$C$13</definedName>
    <definedName name="SS" localSheetId="23">#REF!</definedName>
    <definedName name="ss" localSheetId="51">[150]Admin!$C$8:$C$13</definedName>
    <definedName name="ss" localSheetId="53">[150]Admin!$C$8:$C$13</definedName>
    <definedName name="SS" localSheetId="20">#REF!</definedName>
    <definedName name="SS">#REF!</definedName>
    <definedName name="SSperc" localSheetId="34">#REF!</definedName>
    <definedName name="SSperc" localSheetId="35">#REF!</definedName>
    <definedName name="SSperc" localSheetId="50">#REF!</definedName>
    <definedName name="SSperc" localSheetId="15">#REF!</definedName>
    <definedName name="SSperc" localSheetId="29">#REF!</definedName>
    <definedName name="SSperc" localSheetId="30">#REF!</definedName>
    <definedName name="SSperc" localSheetId="47">#REF!</definedName>
    <definedName name="SSperc" localSheetId="44">#REF!</definedName>
    <definedName name="SSperc" localSheetId="45">#REF!</definedName>
    <definedName name="SSperc" localSheetId="46">#REF!</definedName>
    <definedName name="SSperc" localSheetId="31">#REF!</definedName>
    <definedName name="SSperc" localSheetId="32">#REF!</definedName>
    <definedName name="SSperc" localSheetId="33">#REF!</definedName>
    <definedName name="SSperc" localSheetId="36">#REF!</definedName>
    <definedName name="SSperc" localSheetId="37">#REF!</definedName>
    <definedName name="SSperc" localSheetId="38">#REF!</definedName>
    <definedName name="SSperc" localSheetId="39">#REF!</definedName>
    <definedName name="SSperc" localSheetId="40">#REF!</definedName>
    <definedName name="SSperc" localSheetId="54">#REF!</definedName>
    <definedName name="SSperc" localSheetId="55">#REF!</definedName>
    <definedName name="SSperc" localSheetId="52">#REF!</definedName>
    <definedName name="SSperc" localSheetId="23">#REF!</definedName>
    <definedName name="SSperc" localSheetId="51">#REF!</definedName>
    <definedName name="SSperc" localSheetId="53">#REF!</definedName>
    <definedName name="SSperc" localSheetId="20">#REF!</definedName>
    <definedName name="SSperc">#REF!</definedName>
    <definedName name="ssss" localSheetId="58" hidden="1">{"Riqfin97",#N/A,FALSE,"Tran";"Riqfinpro",#N/A,FALSE,"Tran"}</definedName>
    <definedName name="ssss" localSheetId="16" hidden="1">{"Riqfin97",#N/A,FALSE,"Tran";"Riqfinpro",#N/A,FALSE,"Tran"}</definedName>
    <definedName name="ssss" localSheetId="61" hidden="1">{"Riqfin97",#N/A,FALSE,"Tran";"Riqfinpro",#N/A,FALSE,"Tran"}</definedName>
    <definedName name="ssss" localSheetId="62" hidden="1">{"Riqfin97",#N/A,FALSE,"Tran";"Riqfinpro",#N/A,FALSE,"Tran"}</definedName>
    <definedName name="ssss" localSheetId="50" hidden="1">{"Riqfin97",#N/A,FALSE,"Tran";"Riqfinpro",#N/A,FALSE,"Tran"}</definedName>
    <definedName name="ssss" localSheetId="63" hidden="1">{"Riqfin97",#N/A,FALSE,"Tran";"Riqfinpro",#N/A,FALSE,"Tran"}</definedName>
    <definedName name="ssss" localSheetId="15" hidden="1">{"Riqfin97",#N/A,FALSE,"Tran";"Riqfinpro",#N/A,FALSE,"Tran"}</definedName>
    <definedName name="ssss" localSheetId="1" hidden="1">{"Riqfin97",#N/A,FALSE,"Tran";"Riqfinpro",#N/A,FALSE,"Tran"}</definedName>
    <definedName name="ssss" localSheetId="43" hidden="1">{"Riqfin97",#N/A,FALSE,"Tran";"Riqfinpro",#N/A,FALSE,"Tran"}</definedName>
    <definedName name="ssss" localSheetId="29" hidden="1">{"Riqfin97",#N/A,FALSE,"Tran";"Riqfinpro",#N/A,FALSE,"Tran"}</definedName>
    <definedName name="ssss" localSheetId="30" hidden="1">{"Riqfin97",#N/A,FALSE,"Tran";"Riqfinpro",#N/A,FALSE,"Tran"}</definedName>
    <definedName name="ssss" localSheetId="44" hidden="1">{"Riqfin97",#N/A,FALSE,"Tran";"Riqfinpro",#N/A,FALSE,"Tran"}</definedName>
    <definedName name="ssss" localSheetId="59" hidden="1">{"Riqfin97",#N/A,FALSE,"Tran";"Riqfinpro",#N/A,FALSE,"Tran"}</definedName>
    <definedName name="ssss" localSheetId="13" hidden="1">{"Riqfin97",#N/A,FALSE,"Tran";"Riqfinpro",#N/A,FALSE,"Tran"}</definedName>
    <definedName name="ssss" localSheetId="0" hidden="1">{"Riqfin97",#N/A,FALSE,"Tran";"Riqfinpro",#N/A,FALSE,"Tran"}</definedName>
    <definedName name="ssss" localSheetId="57" hidden="1">{"Riqfin97",#N/A,FALSE,"Tran";"Riqfinpro",#N/A,FALSE,"Tran"}</definedName>
    <definedName name="ssss" localSheetId="56" hidden="1">{"Riqfin97",#N/A,FALSE,"Tran";"Riqfinpro",#N/A,FALSE,"Tran"}</definedName>
    <definedName name="ssss" localSheetId="54" hidden="1">{"Riqfin97",#N/A,FALSE,"Tran";"Riqfinpro",#N/A,FALSE,"Tran"}</definedName>
    <definedName name="ssss" localSheetId="52" hidden="1">{"Riqfin97",#N/A,FALSE,"Tran";"Riqfinpro",#N/A,FALSE,"Tran"}</definedName>
    <definedName name="ssss" localSheetId="23" hidden="1">{"Riqfin97",#N/A,FALSE,"Tran";"Riqfinpro",#N/A,FALSE,"Tran"}</definedName>
    <definedName name="ssss" localSheetId="51" hidden="1">{"Riqfin97",#N/A,FALSE,"Tran";"Riqfinpro",#N/A,FALSE,"Tran"}</definedName>
    <definedName name="ssss" localSheetId="53" hidden="1">{"Riqfin97",#N/A,FALSE,"Tran";"Riqfinpro",#N/A,FALSE,"Tran"}</definedName>
    <definedName name="ssss" localSheetId="60" hidden="1">{"Riqfin97",#N/A,FALSE,"Tran";"Riqfinpro",#N/A,FALSE,"Tran"}</definedName>
    <definedName name="ssss" hidden="1">{"Riqfin97",#N/A,FALSE,"Tran";"Riqfinpro",#N/A,FALSE,"Tran"}</definedName>
    <definedName name="ssssss" localSheetId="50">#N/A</definedName>
    <definedName name="ssssss" localSheetId="44">#N/A</definedName>
    <definedName name="ssssss" localSheetId="54">#N/A</definedName>
    <definedName name="ssssss" localSheetId="52">#N/A</definedName>
    <definedName name="ssssss" localSheetId="51">#N/A</definedName>
    <definedName name="ssssss" localSheetId="53">#N/A</definedName>
    <definedName name="ssssss">[54]!ssssss</definedName>
    <definedName name="ˢᵗ">"First"</definedName>
    <definedName name="StaffAccount">[87]Projects!$Q$56</definedName>
    <definedName name="StaffBangalore" localSheetId="50">#REF!</definedName>
    <definedName name="StaffBangalore" localSheetId="47">#REF!</definedName>
    <definedName name="StaffBangalore" localSheetId="44">#REF!</definedName>
    <definedName name="StaffBangalore" localSheetId="45">#REF!</definedName>
    <definedName name="StaffBangalore" localSheetId="46">#REF!</definedName>
    <definedName name="StaffBangalore" localSheetId="37">#REF!</definedName>
    <definedName name="StaffBangalore" localSheetId="40">#REF!</definedName>
    <definedName name="StaffBangalore" localSheetId="54">#REF!</definedName>
    <definedName name="StaffBangalore" localSheetId="55">#REF!</definedName>
    <definedName name="StaffBangalore" localSheetId="52">#REF!</definedName>
    <definedName name="StaffBangalore" localSheetId="51">#REF!</definedName>
    <definedName name="StaffBangalore" localSheetId="53">#REF!</definedName>
    <definedName name="StaffBangalore">#REF!</definedName>
    <definedName name="StaffBench">[87]Projects!$Q$57</definedName>
    <definedName name="StaffByLevel" localSheetId="50">#REF!</definedName>
    <definedName name="StaffByLevel" localSheetId="47">#REF!</definedName>
    <definedName name="StaffByLevel" localSheetId="44">#REF!</definedName>
    <definedName name="StaffByLevel" localSheetId="45">#REF!</definedName>
    <definedName name="StaffByLevel" localSheetId="46">#REF!</definedName>
    <definedName name="StaffByLevel" localSheetId="37">#REF!</definedName>
    <definedName name="StaffByLevel" localSheetId="40">#REF!</definedName>
    <definedName name="StaffByLevel" localSheetId="54">#REF!</definedName>
    <definedName name="StaffByLevel" localSheetId="55">#REF!</definedName>
    <definedName name="StaffByLevel" localSheetId="52">#REF!</definedName>
    <definedName name="StaffByLevel" localSheetId="51">#REF!</definedName>
    <definedName name="StaffByLevel" localSheetId="53">#REF!</definedName>
    <definedName name="StaffByLevel">#REF!</definedName>
    <definedName name="StaffByLocation" localSheetId="50">#REF!</definedName>
    <definedName name="StaffByLocation" localSheetId="47">#REF!</definedName>
    <definedName name="StaffByLocation" localSheetId="44">#REF!</definedName>
    <definedName name="StaffByLocation" localSheetId="45">#REF!</definedName>
    <definedName name="StaffByLocation" localSheetId="46">#REF!</definedName>
    <definedName name="StaffByLocation" localSheetId="37">#REF!</definedName>
    <definedName name="StaffByLocation" localSheetId="40">#REF!</definedName>
    <definedName name="StaffByLocation" localSheetId="54">#REF!</definedName>
    <definedName name="StaffByLocation" localSheetId="55">#REF!</definedName>
    <definedName name="StaffByLocation" localSheetId="52">#REF!</definedName>
    <definedName name="StaffByLocation" localSheetId="51">#REF!</definedName>
    <definedName name="StaffByLocation" localSheetId="53">#REF!</definedName>
    <definedName name="StaffByLocation">#REF!</definedName>
    <definedName name="StaffChicago" localSheetId="50">#REF!</definedName>
    <definedName name="StaffChicago" localSheetId="47">#REF!</definedName>
    <definedName name="StaffChicago" localSheetId="44">#REF!</definedName>
    <definedName name="StaffChicago" localSheetId="45">#REF!</definedName>
    <definedName name="StaffChicago" localSheetId="46">#REF!</definedName>
    <definedName name="StaffChicago" localSheetId="37">#REF!</definedName>
    <definedName name="StaffChicago" localSheetId="40">#REF!</definedName>
    <definedName name="StaffChicago" localSheetId="54">#REF!</definedName>
    <definedName name="StaffChicago" localSheetId="55">#REF!</definedName>
    <definedName name="StaffChicago" localSheetId="52">#REF!</definedName>
    <definedName name="StaffChicago" localSheetId="51">#REF!</definedName>
    <definedName name="StaffChicago" localSheetId="53">#REF!</definedName>
    <definedName name="StaffChicago">#REF!</definedName>
    <definedName name="StaffGurgaon" localSheetId="50">#REF!</definedName>
    <definedName name="StaffGurgaon" localSheetId="47">#REF!</definedName>
    <definedName name="StaffGurgaon" localSheetId="44">#REF!</definedName>
    <definedName name="StaffGurgaon" localSheetId="45">#REF!</definedName>
    <definedName name="StaffGurgaon" localSheetId="46">#REF!</definedName>
    <definedName name="StaffGurgaon" localSheetId="37">#REF!</definedName>
    <definedName name="StaffGurgaon" localSheetId="40">#REF!</definedName>
    <definedName name="StaffGurgaon" localSheetId="54">#REF!</definedName>
    <definedName name="StaffGurgaon" localSheetId="55">#REF!</definedName>
    <definedName name="StaffGurgaon" localSheetId="52">#REF!</definedName>
    <definedName name="StaffGurgaon" localSheetId="51">#REF!</definedName>
    <definedName name="StaffGurgaon" localSheetId="53">#REF!</definedName>
    <definedName name="StaffGurgaon">#REF!</definedName>
    <definedName name="staffing_insert_exclude_end" localSheetId="50">'[41]Staffing Plan'!#REF!</definedName>
    <definedName name="staffing_insert_exclude_end" localSheetId="47">'[41]Staffing Plan'!#REF!</definedName>
    <definedName name="staffing_insert_exclude_end" localSheetId="44">'[41]Staffing Plan'!#REF!</definedName>
    <definedName name="staffing_insert_exclude_end" localSheetId="45">'[41]Staffing Plan'!#REF!</definedName>
    <definedName name="staffing_insert_exclude_end" localSheetId="46">'[41]Staffing Plan'!#REF!</definedName>
    <definedName name="staffing_insert_exclude_end" localSheetId="37">'[41]Staffing Plan'!#REF!</definedName>
    <definedName name="staffing_insert_exclude_end" localSheetId="40">'[41]Staffing Plan'!#REF!</definedName>
    <definedName name="staffing_insert_exclude_end" localSheetId="54">'[41]Staffing Plan'!#REF!</definedName>
    <definedName name="staffing_insert_exclude_end" localSheetId="55">'[41]Staffing Plan'!#REF!</definedName>
    <definedName name="staffing_insert_exclude_end" localSheetId="52">'[41]Staffing Plan'!#REF!</definedName>
    <definedName name="staffing_insert_exclude_end" localSheetId="51">'[41]Staffing Plan'!#REF!</definedName>
    <definedName name="staffing_insert_exclude_end" localSheetId="53">'[41]Staffing Plan'!#REF!</definedName>
    <definedName name="staffing_insert_exclude_end">'[41]Staffing Plan'!#REF!</definedName>
    <definedName name="staffing_insert_exclude_start" localSheetId="50">#REF!</definedName>
    <definedName name="staffing_insert_exclude_start" localSheetId="47">#REF!</definedName>
    <definedName name="staffing_insert_exclude_start" localSheetId="44">#REF!</definedName>
    <definedName name="staffing_insert_exclude_start" localSheetId="45">#REF!</definedName>
    <definedName name="staffing_insert_exclude_start" localSheetId="46">#REF!</definedName>
    <definedName name="staffing_insert_exclude_start" localSheetId="37">#REF!</definedName>
    <definedName name="staffing_insert_exclude_start" localSheetId="40">#REF!</definedName>
    <definedName name="staffing_insert_exclude_start" localSheetId="54">#REF!</definedName>
    <definedName name="staffing_insert_exclude_start" localSheetId="55">#REF!</definedName>
    <definedName name="staffing_insert_exclude_start" localSheetId="52">#REF!</definedName>
    <definedName name="staffing_insert_exclude_start" localSheetId="51">#REF!</definedName>
    <definedName name="staffing_insert_exclude_start" localSheetId="53">#REF!</definedName>
    <definedName name="staffing_insert_exclude_start">#REF!</definedName>
    <definedName name="staffing_last_row" localSheetId="50">'[151]Assumed team'!#REF!</definedName>
    <definedName name="staffing_last_row" localSheetId="47">'[151]Assumed team'!#REF!</definedName>
    <definedName name="staffing_last_row" localSheetId="44">'[151]Assumed team'!#REF!</definedName>
    <definedName name="staffing_last_row" localSheetId="45">'[151]Assumed team'!#REF!</definedName>
    <definedName name="staffing_last_row" localSheetId="46">'[151]Assumed team'!#REF!</definedName>
    <definedName name="staffing_last_row" localSheetId="37">'[151]Assumed team'!#REF!</definedName>
    <definedName name="staffing_last_row" localSheetId="40">'[151]Assumed team'!#REF!</definedName>
    <definedName name="staffing_last_row" localSheetId="54">'[151]Assumed team'!#REF!</definedName>
    <definedName name="staffing_last_row" localSheetId="55">'[151]Assumed team'!#REF!</definedName>
    <definedName name="staffing_last_row" localSheetId="52">'[151]Assumed team'!#REF!</definedName>
    <definedName name="staffing_last_row" localSheetId="51">'[151]Assumed team'!#REF!</definedName>
    <definedName name="staffing_last_row" localSheetId="53">'[151]Assumed team'!#REF!</definedName>
    <definedName name="staffing_last_row">'[151]Assumed team'!#REF!</definedName>
    <definedName name="staffing_loe">'[41]Staffing Plan'!$AK$28:$AK$64</definedName>
    <definedName name="staffing_track">'[41]Staffing Plan'!$G$28:$G$64</definedName>
    <definedName name="StaffingDailyRate">[87]Peoplesoft!$V$14</definedName>
    <definedName name="StaffingHeadcount" localSheetId="50">[87]Projects!#REF!</definedName>
    <definedName name="StaffingHeadcount" localSheetId="47">[87]Projects!#REF!</definedName>
    <definedName name="StaffingHeadcount" localSheetId="44">[87]Projects!#REF!</definedName>
    <definedName name="StaffingHeadcount" localSheetId="45">[87]Projects!#REF!</definedName>
    <definedName name="StaffingHeadcount" localSheetId="46">[87]Projects!#REF!</definedName>
    <definedName name="StaffingHeadcount" localSheetId="37">[87]Projects!#REF!</definedName>
    <definedName name="StaffingHeadcount" localSheetId="40">[87]Projects!#REF!</definedName>
    <definedName name="StaffingHeadcount" localSheetId="54">[87]Projects!#REF!</definedName>
    <definedName name="StaffingHeadcount" localSheetId="55">[87]Projects!#REF!</definedName>
    <definedName name="StaffingHeadcount" localSheetId="52">[87]Projects!#REF!</definedName>
    <definedName name="StaffingHeadcount" localSheetId="51">[87]Projects!#REF!</definedName>
    <definedName name="StaffingHeadcount" localSheetId="53">[87]Projects!#REF!</definedName>
    <definedName name="StaffingHeadcount">[87]Projects!#REF!</definedName>
    <definedName name="StaffingMasterFile" localSheetId="50">#REF!</definedName>
    <definedName name="StaffingMasterFile" localSheetId="47">#REF!</definedName>
    <definedName name="StaffingMasterFile" localSheetId="44">#REF!</definedName>
    <definedName name="StaffingMasterFile" localSheetId="45">#REF!</definedName>
    <definedName name="StaffingMasterFile" localSheetId="46">#REF!</definedName>
    <definedName name="StaffingMasterFile" localSheetId="37">#REF!</definedName>
    <definedName name="StaffingMasterFile" localSheetId="40">#REF!</definedName>
    <definedName name="StaffingMasterFile" localSheetId="54">#REF!</definedName>
    <definedName name="StaffingMasterFile" localSheetId="55">#REF!</definedName>
    <definedName name="StaffingMasterFile" localSheetId="52">#REF!</definedName>
    <definedName name="StaffingMasterFile" localSheetId="51">#REF!</definedName>
    <definedName name="StaffingMasterFile" localSheetId="53">#REF!</definedName>
    <definedName name="StaffingMasterFile">#REF!</definedName>
    <definedName name="StaffingSheetAllocThreshold" localSheetId="50">#REF!</definedName>
    <definedName name="StaffingSheetAllocThreshold" localSheetId="47">#REF!</definedName>
    <definedName name="StaffingSheetAllocThreshold" localSheetId="44">#REF!</definedName>
    <definedName name="StaffingSheetAllocThreshold" localSheetId="45">#REF!</definedName>
    <definedName name="StaffingSheetAllocThreshold" localSheetId="46">#REF!</definedName>
    <definedName name="StaffingSheetAllocThreshold" localSheetId="37">#REF!</definedName>
    <definedName name="StaffingSheetAllocThreshold" localSheetId="40">#REF!</definedName>
    <definedName name="StaffingSheetAllocThreshold" localSheetId="54">#REF!</definedName>
    <definedName name="StaffingSheetAllocThreshold" localSheetId="55">#REF!</definedName>
    <definedName name="StaffingSheetAllocThreshold" localSheetId="52">#REF!</definedName>
    <definedName name="StaffingSheetAllocThreshold" localSheetId="51">#REF!</definedName>
    <definedName name="StaffingSheetAllocThreshold" localSheetId="53">#REF!</definedName>
    <definedName name="StaffingSheetAllocThreshold">#REF!</definedName>
    <definedName name="StaffingSheetFile" localSheetId="50">#REF!</definedName>
    <definedName name="StaffingSheetFile" localSheetId="47">#REF!</definedName>
    <definedName name="StaffingSheetFile" localSheetId="44">#REF!</definedName>
    <definedName name="StaffingSheetFile" localSheetId="45">#REF!</definedName>
    <definedName name="StaffingSheetFile" localSheetId="46">#REF!</definedName>
    <definedName name="StaffingSheetFile" localSheetId="37">#REF!</definedName>
    <definedName name="StaffingSheetFile" localSheetId="40">#REF!</definedName>
    <definedName name="StaffingSheetFile" localSheetId="54">#REF!</definedName>
    <definedName name="StaffingSheetFile" localSheetId="55">#REF!</definedName>
    <definedName name="StaffingSheetFile" localSheetId="52">#REF!</definedName>
    <definedName name="StaffingSheetFile" localSheetId="51">#REF!</definedName>
    <definedName name="StaffingSheetFile" localSheetId="53">#REF!</definedName>
    <definedName name="StaffingSheetFile">#REF!</definedName>
    <definedName name="StaffingSheetOverages" localSheetId="50">#REF!</definedName>
    <definedName name="StaffingSheetOverages" localSheetId="47">#REF!</definedName>
    <definedName name="StaffingSheetOverages" localSheetId="44">#REF!</definedName>
    <definedName name="StaffingSheetOverages" localSheetId="45">#REF!</definedName>
    <definedName name="StaffingSheetOverages" localSheetId="46">#REF!</definedName>
    <definedName name="StaffingSheetOverages" localSheetId="37">#REF!</definedName>
    <definedName name="StaffingSheetOverages" localSheetId="40">#REF!</definedName>
    <definedName name="StaffingSheetOverages" localSheetId="54">#REF!</definedName>
    <definedName name="StaffingSheetOverages" localSheetId="55">#REF!</definedName>
    <definedName name="StaffingSheetOverages" localSheetId="52">#REF!</definedName>
    <definedName name="StaffingSheetOverages" localSheetId="51">#REF!</definedName>
    <definedName name="StaffingSheetOverages" localSheetId="53">#REF!</definedName>
    <definedName name="StaffingSheetOverages">#REF!</definedName>
    <definedName name="StaffingSheetRefresh" localSheetId="50">#REF!</definedName>
    <definedName name="StaffingSheetRefresh" localSheetId="47">#REF!</definedName>
    <definedName name="StaffingSheetRefresh" localSheetId="44">#REF!</definedName>
    <definedName name="StaffingSheetRefresh" localSheetId="45">#REF!</definedName>
    <definedName name="StaffingSheetRefresh" localSheetId="46">#REF!</definedName>
    <definedName name="StaffingSheetRefresh" localSheetId="37">#REF!</definedName>
    <definedName name="StaffingSheetRefresh" localSheetId="40">#REF!</definedName>
    <definedName name="StaffingSheetRefresh" localSheetId="54">#REF!</definedName>
    <definedName name="StaffingSheetRefresh" localSheetId="55">#REF!</definedName>
    <definedName name="StaffingSheetRefresh" localSheetId="52">#REF!</definedName>
    <definedName name="StaffingSheetRefresh" localSheetId="51">#REF!</definedName>
    <definedName name="StaffingSheetRefresh" localSheetId="53">#REF!</definedName>
    <definedName name="StaffingSheetRefresh">#REF!</definedName>
    <definedName name="StaffProject">[87]Projects!$Q$54</definedName>
    <definedName name="StaffSupport">[87]Projects!$Q$55</definedName>
    <definedName name="StandardAccount" localSheetId="50">#REF!</definedName>
    <definedName name="StandardAccount" localSheetId="47">#REF!</definedName>
    <definedName name="StandardAccount" localSheetId="44">#REF!</definedName>
    <definedName name="StandardAccount" localSheetId="45">#REF!</definedName>
    <definedName name="StandardAccount" localSheetId="46">#REF!</definedName>
    <definedName name="StandardAccount" localSheetId="37">#REF!</definedName>
    <definedName name="StandardAccount" localSheetId="40">#REF!</definedName>
    <definedName name="StandardAccount" localSheetId="54">#REF!</definedName>
    <definedName name="StandardAccount" localSheetId="55">#REF!</definedName>
    <definedName name="StandardAccount" localSheetId="52">#REF!</definedName>
    <definedName name="StandardAccount" localSheetId="51">#REF!</definedName>
    <definedName name="StandardAccount" localSheetId="53">#REF!</definedName>
    <definedName name="StandardAccount">#REF!</definedName>
    <definedName name="START" localSheetId="50">#REF!</definedName>
    <definedName name="START" localSheetId="47">#REF!</definedName>
    <definedName name="START" localSheetId="44">#REF!</definedName>
    <definedName name="START" localSheetId="45">#REF!</definedName>
    <definedName name="START" localSheetId="46">#REF!</definedName>
    <definedName name="START" localSheetId="37">#REF!</definedName>
    <definedName name="START" localSheetId="40">#REF!</definedName>
    <definedName name="START" localSheetId="54">#REF!</definedName>
    <definedName name="START" localSheetId="55">#REF!</definedName>
    <definedName name="START" localSheetId="52">#REF!</definedName>
    <definedName name="START" localSheetId="51">#REF!</definedName>
    <definedName name="START" localSheetId="53">#REF!</definedName>
    <definedName name="START">#REF!</definedName>
    <definedName name="start_date">'[55]Header Info'!$G$2</definedName>
    <definedName name="StartDate" localSheetId="50">#REF!</definedName>
    <definedName name="StartDate" localSheetId="47">#REF!</definedName>
    <definedName name="StartDate" localSheetId="44">#REF!</definedName>
    <definedName name="StartDate" localSheetId="45">#REF!</definedName>
    <definedName name="StartDate" localSheetId="46">#REF!</definedName>
    <definedName name="StartDate" localSheetId="37">#REF!</definedName>
    <definedName name="StartDate" localSheetId="40">#REF!</definedName>
    <definedName name="StartDate" localSheetId="54">#REF!</definedName>
    <definedName name="StartDate" localSheetId="55">#REF!</definedName>
    <definedName name="StartDate" localSheetId="52">#REF!</definedName>
    <definedName name="StartDate" localSheetId="51">#REF!</definedName>
    <definedName name="StartDate" localSheetId="53">#REF!</definedName>
    <definedName name="StartDate">#REF!</definedName>
    <definedName name="State" localSheetId="50">#REF!</definedName>
    <definedName name="State" localSheetId="47">#REF!</definedName>
    <definedName name="State" localSheetId="44">#REF!</definedName>
    <definedName name="State" localSheetId="45">#REF!</definedName>
    <definedName name="State" localSheetId="46">#REF!</definedName>
    <definedName name="State" localSheetId="37">#REF!</definedName>
    <definedName name="State" localSheetId="40">#REF!</definedName>
    <definedName name="State" localSheetId="54">#REF!</definedName>
    <definedName name="State" localSheetId="55">#REF!</definedName>
    <definedName name="State" localSheetId="52">#REF!</definedName>
    <definedName name="State" localSheetId="51">#REF!</definedName>
    <definedName name="State" localSheetId="53">#REF!</definedName>
    <definedName name="State">#REF!</definedName>
    <definedName name="Status">[131]Lists!$H$2:$H$4</definedName>
    <definedName name="StatusList2">[102]Data!$D$1:$D$6</definedName>
    <definedName name="StatusMasterFile" localSheetId="50">#REF!</definedName>
    <definedName name="StatusMasterFile" localSheetId="47">#REF!</definedName>
    <definedName name="StatusMasterFile" localSheetId="44">#REF!</definedName>
    <definedName name="StatusMasterFile" localSheetId="45">#REF!</definedName>
    <definedName name="StatusMasterFile" localSheetId="46">#REF!</definedName>
    <definedName name="StatusMasterFile" localSheetId="37">#REF!</definedName>
    <definedName name="StatusMasterFile" localSheetId="40">#REF!</definedName>
    <definedName name="StatusMasterFile" localSheetId="54">#REF!</definedName>
    <definedName name="StatusMasterFile" localSheetId="55">#REF!</definedName>
    <definedName name="StatusMasterFile" localSheetId="52">#REF!</definedName>
    <definedName name="StatusMasterFile" localSheetId="51">#REF!</definedName>
    <definedName name="StatusMasterFile" localSheetId="53">#REF!</definedName>
    <definedName name="StatusMasterFile">#REF!</definedName>
    <definedName name="StatusOptions" localSheetId="50">#REF!</definedName>
    <definedName name="StatusOptions" localSheetId="47">#REF!</definedName>
    <definedName name="StatusOptions" localSheetId="44">#REF!</definedName>
    <definedName name="StatusOptions" localSheetId="45">#REF!</definedName>
    <definedName name="StatusOptions" localSheetId="46">#REF!</definedName>
    <definedName name="StatusOptions" localSheetId="37">#REF!</definedName>
    <definedName name="StatusOptions" localSheetId="40">#REF!</definedName>
    <definedName name="StatusOptions" localSheetId="54">#REF!</definedName>
    <definedName name="StatusOptions" localSheetId="55">#REF!</definedName>
    <definedName name="StatusOptions" localSheetId="52">#REF!</definedName>
    <definedName name="StatusOptions" localSheetId="51">#REF!</definedName>
    <definedName name="StatusOptions" localSheetId="53">#REF!</definedName>
    <definedName name="StatusOptions">#REF!</definedName>
    <definedName name="StatusReportBody" localSheetId="50">#REF!</definedName>
    <definedName name="StatusReportBody" localSheetId="47">#REF!</definedName>
    <definedName name="StatusReportBody" localSheetId="44">#REF!</definedName>
    <definedName name="StatusReportBody" localSheetId="45">#REF!</definedName>
    <definedName name="StatusReportBody" localSheetId="46">#REF!</definedName>
    <definedName name="StatusReportBody" localSheetId="37">#REF!</definedName>
    <definedName name="StatusReportBody" localSheetId="40">#REF!</definedName>
    <definedName name="StatusReportBody" localSheetId="54">#REF!</definedName>
    <definedName name="StatusReportBody" localSheetId="55">#REF!</definedName>
    <definedName name="StatusReportBody" localSheetId="52">#REF!</definedName>
    <definedName name="StatusReportBody" localSheetId="51">#REF!</definedName>
    <definedName name="StatusReportBody" localSheetId="53">#REF!</definedName>
    <definedName name="StatusReportBody">#REF!</definedName>
    <definedName name="StatusReportCC" localSheetId="50">#REF!</definedName>
    <definedName name="StatusReportCC" localSheetId="47">#REF!</definedName>
    <definedName name="StatusReportCC" localSheetId="44">#REF!</definedName>
    <definedName name="StatusReportCC" localSheetId="45">#REF!</definedName>
    <definedName name="StatusReportCC" localSheetId="46">#REF!</definedName>
    <definedName name="StatusReportCC" localSheetId="37">#REF!</definedName>
    <definedName name="StatusReportCC" localSheetId="40">#REF!</definedName>
    <definedName name="StatusReportCC" localSheetId="54">#REF!</definedName>
    <definedName name="StatusReportCC" localSheetId="55">#REF!</definedName>
    <definedName name="StatusReportCC" localSheetId="52">#REF!</definedName>
    <definedName name="StatusReportCC" localSheetId="51">#REF!</definedName>
    <definedName name="StatusReportCC" localSheetId="53">#REF!</definedName>
    <definedName name="StatusReportCC">#REF!</definedName>
    <definedName name="StatusReportFile" localSheetId="50">#REF!</definedName>
    <definedName name="StatusReportFile" localSheetId="47">#REF!</definedName>
    <definedName name="StatusReportFile" localSheetId="44">#REF!</definedName>
    <definedName name="StatusReportFile" localSheetId="45">#REF!</definedName>
    <definedName name="StatusReportFile" localSheetId="46">#REF!</definedName>
    <definedName name="StatusReportFile" localSheetId="37">#REF!</definedName>
    <definedName name="StatusReportFile" localSheetId="40">#REF!</definedName>
    <definedName name="StatusReportFile" localSheetId="54">#REF!</definedName>
    <definedName name="StatusReportFile" localSheetId="55">#REF!</definedName>
    <definedName name="StatusReportFile" localSheetId="52">#REF!</definedName>
    <definedName name="StatusReportFile" localSheetId="51">#REF!</definedName>
    <definedName name="StatusReportFile" localSheetId="53">#REF!</definedName>
    <definedName name="StatusReportFile">#REF!</definedName>
    <definedName name="StatusReportIndustry" localSheetId="50">#REF!</definedName>
    <definedName name="StatusReportIndustry" localSheetId="47">#REF!</definedName>
    <definedName name="StatusReportIndustry" localSheetId="44">#REF!</definedName>
    <definedName name="StatusReportIndustry" localSheetId="45">#REF!</definedName>
    <definedName name="StatusReportIndustry" localSheetId="46">#REF!</definedName>
    <definedName name="StatusReportIndustry" localSheetId="37">#REF!</definedName>
    <definedName name="StatusReportIndustry" localSheetId="40">#REF!</definedName>
    <definedName name="StatusReportIndustry" localSheetId="54">#REF!</definedName>
    <definedName name="StatusReportIndustry" localSheetId="55">#REF!</definedName>
    <definedName name="StatusReportIndustry" localSheetId="52">#REF!</definedName>
    <definedName name="StatusReportIndustry" localSheetId="51">#REF!</definedName>
    <definedName name="StatusReportIndustry" localSheetId="53">#REF!</definedName>
    <definedName name="StatusReportIndustry">#REF!</definedName>
    <definedName name="StatusReportRefresh" localSheetId="50">#REF!</definedName>
    <definedName name="StatusReportRefresh" localSheetId="47">#REF!</definedName>
    <definedName name="StatusReportRefresh" localSheetId="44">#REF!</definedName>
    <definedName name="StatusReportRefresh" localSheetId="45">#REF!</definedName>
    <definedName name="StatusReportRefresh" localSheetId="46">#REF!</definedName>
    <definedName name="StatusReportRefresh" localSheetId="37">#REF!</definedName>
    <definedName name="StatusReportRefresh" localSheetId="40">#REF!</definedName>
    <definedName name="StatusReportRefresh" localSheetId="54">#REF!</definedName>
    <definedName name="StatusReportRefresh" localSheetId="55">#REF!</definedName>
    <definedName name="StatusReportRefresh" localSheetId="52">#REF!</definedName>
    <definedName name="StatusReportRefresh" localSheetId="51">#REF!</definedName>
    <definedName name="StatusReportRefresh" localSheetId="53">#REF!</definedName>
    <definedName name="StatusReportRefresh">#REF!</definedName>
    <definedName name="StatusReportSendTime" localSheetId="50">#REF!</definedName>
    <definedName name="StatusReportSendTime" localSheetId="47">#REF!</definedName>
    <definedName name="StatusReportSendTime" localSheetId="44">#REF!</definedName>
    <definedName name="StatusReportSendTime" localSheetId="45">#REF!</definedName>
    <definedName name="StatusReportSendTime" localSheetId="46">#REF!</definedName>
    <definedName name="StatusReportSendTime" localSheetId="37">#REF!</definedName>
    <definedName name="StatusReportSendTime" localSheetId="40">#REF!</definedName>
    <definedName name="StatusReportSendTime" localSheetId="54">#REF!</definedName>
    <definedName name="StatusReportSendTime" localSheetId="55">#REF!</definedName>
    <definedName name="StatusReportSendTime" localSheetId="52">#REF!</definedName>
    <definedName name="StatusReportSendTime" localSheetId="51">#REF!</definedName>
    <definedName name="StatusReportSendTime" localSheetId="53">#REF!</definedName>
    <definedName name="StatusReportSendTime">#REF!</definedName>
    <definedName name="StatusReportSubject" localSheetId="50">#REF!</definedName>
    <definedName name="StatusReportSubject" localSheetId="47">#REF!</definedName>
    <definedName name="StatusReportSubject" localSheetId="44">#REF!</definedName>
    <definedName name="StatusReportSubject" localSheetId="45">#REF!</definedName>
    <definedName name="StatusReportSubject" localSheetId="46">#REF!</definedName>
    <definedName name="StatusReportSubject" localSheetId="37">#REF!</definedName>
    <definedName name="StatusReportSubject" localSheetId="40">#REF!</definedName>
    <definedName name="StatusReportSubject" localSheetId="54">#REF!</definedName>
    <definedName name="StatusReportSubject" localSheetId="55">#REF!</definedName>
    <definedName name="StatusReportSubject" localSheetId="52">#REF!</definedName>
    <definedName name="StatusReportSubject" localSheetId="51">#REF!</definedName>
    <definedName name="StatusReportSubject" localSheetId="53">#REF!</definedName>
    <definedName name="StatusReportSubject">#REF!</definedName>
    <definedName name="StatusReportTo" localSheetId="50">#REF!</definedName>
    <definedName name="StatusReportTo" localSheetId="47">#REF!</definedName>
    <definedName name="StatusReportTo" localSheetId="44">#REF!</definedName>
    <definedName name="StatusReportTo" localSheetId="45">#REF!</definedName>
    <definedName name="StatusReportTo" localSheetId="46">#REF!</definedName>
    <definedName name="StatusReportTo" localSheetId="37">#REF!</definedName>
    <definedName name="StatusReportTo" localSheetId="40">#REF!</definedName>
    <definedName name="StatusReportTo" localSheetId="54">#REF!</definedName>
    <definedName name="StatusReportTo" localSheetId="55">#REF!</definedName>
    <definedName name="StatusReportTo" localSheetId="52">#REF!</definedName>
    <definedName name="StatusReportTo" localSheetId="51">#REF!</definedName>
    <definedName name="StatusReportTo" localSheetId="53">#REF!</definedName>
    <definedName name="StatusReportTo">#REF!</definedName>
    <definedName name="StatusReportWeek" localSheetId="50">#REF!</definedName>
    <definedName name="StatusReportWeek" localSheetId="47">#REF!</definedName>
    <definedName name="StatusReportWeek" localSheetId="44">#REF!</definedName>
    <definedName name="StatusReportWeek" localSheetId="45">#REF!</definedName>
    <definedName name="StatusReportWeek" localSheetId="46">#REF!</definedName>
    <definedName name="StatusReportWeek" localSheetId="37">#REF!</definedName>
    <definedName name="StatusReportWeek" localSheetId="40">#REF!</definedName>
    <definedName name="StatusReportWeek" localSheetId="54">#REF!</definedName>
    <definedName name="StatusReportWeek" localSheetId="55">#REF!</definedName>
    <definedName name="StatusReportWeek" localSheetId="52">#REF!</definedName>
    <definedName name="StatusReportWeek" localSheetId="51">#REF!</definedName>
    <definedName name="StatusReportWeek" localSheetId="53">#REF!</definedName>
    <definedName name="StatusReportWeek">#REF!</definedName>
    <definedName name="StatusValues" localSheetId="50">#REF!</definedName>
    <definedName name="StatusValues" localSheetId="47">#REF!</definedName>
    <definedName name="StatusValues" localSheetId="44">#REF!</definedName>
    <definedName name="StatusValues" localSheetId="45">#REF!</definedName>
    <definedName name="StatusValues" localSheetId="46">#REF!</definedName>
    <definedName name="StatusValues" localSheetId="37">#REF!</definedName>
    <definedName name="StatusValues" localSheetId="40">#REF!</definedName>
    <definedName name="StatusValues" localSheetId="54">#REF!</definedName>
    <definedName name="StatusValues" localSheetId="55">#REF!</definedName>
    <definedName name="StatusValues" localSheetId="52">#REF!</definedName>
    <definedName name="StatusValues" localSheetId="51">#REF!</definedName>
    <definedName name="StatusValues" localSheetId="53">#REF!</definedName>
    <definedName name="StatusValues">#REF!</definedName>
    <definedName name="STFQTAB" localSheetId="50">#REF!</definedName>
    <definedName name="STFQTAB" localSheetId="47">#REF!</definedName>
    <definedName name="STFQTAB" localSheetId="44">#REF!</definedName>
    <definedName name="STFQTAB" localSheetId="45">#REF!</definedName>
    <definedName name="STFQTAB" localSheetId="46">#REF!</definedName>
    <definedName name="STFQTAB" localSheetId="37">#REF!</definedName>
    <definedName name="STFQTAB" localSheetId="40">#REF!</definedName>
    <definedName name="STFQTAB" localSheetId="54">#REF!</definedName>
    <definedName name="STFQTAB" localSheetId="55">#REF!</definedName>
    <definedName name="STFQTAB" localSheetId="52">#REF!</definedName>
    <definedName name="STFQTAB" localSheetId="51">#REF!</definedName>
    <definedName name="STFQTAB" localSheetId="53">#REF!</definedName>
    <definedName name="STFQTAB">#REF!</definedName>
    <definedName name="STOP" localSheetId="50">#REF!</definedName>
    <definedName name="STOP" localSheetId="47">#REF!</definedName>
    <definedName name="STOP" localSheetId="44">#REF!</definedName>
    <definedName name="STOP" localSheetId="45">#REF!</definedName>
    <definedName name="STOP" localSheetId="46">#REF!</definedName>
    <definedName name="STOP" localSheetId="37">#REF!</definedName>
    <definedName name="STOP" localSheetId="40">#REF!</definedName>
    <definedName name="STOP" localSheetId="54">#REF!</definedName>
    <definedName name="STOP" localSheetId="55">#REF!</definedName>
    <definedName name="STOP" localSheetId="52">#REF!</definedName>
    <definedName name="STOP" localSheetId="51">#REF!</definedName>
    <definedName name="STOP" localSheetId="53">#REF!</definedName>
    <definedName name="STOP">#REF!</definedName>
    <definedName name="stories" localSheetId="50">#REF!</definedName>
    <definedName name="stories" localSheetId="47">#REF!</definedName>
    <definedName name="stories" localSheetId="44">#REF!</definedName>
    <definedName name="stories" localSheetId="45">#REF!</definedName>
    <definedName name="stories" localSheetId="46">#REF!</definedName>
    <definedName name="stories" localSheetId="37">#REF!</definedName>
    <definedName name="stories" localSheetId="40">#REF!</definedName>
    <definedName name="stories" localSheetId="54">#REF!</definedName>
    <definedName name="stories" localSheetId="55">#REF!</definedName>
    <definedName name="stories" localSheetId="52">#REF!</definedName>
    <definedName name="stories" localSheetId="51">#REF!</definedName>
    <definedName name="stories" localSheetId="53">#REF!</definedName>
    <definedName name="stories">#REF!</definedName>
    <definedName name="stories_last_row" localSheetId="50">#REF!</definedName>
    <definedName name="stories_last_row" localSheetId="47">#REF!</definedName>
    <definedName name="stories_last_row" localSheetId="44">#REF!</definedName>
    <definedName name="stories_last_row" localSheetId="45">#REF!</definedName>
    <definedName name="stories_last_row" localSheetId="46">#REF!</definedName>
    <definedName name="stories_last_row" localSheetId="37">#REF!</definedName>
    <definedName name="stories_last_row" localSheetId="40">#REF!</definedName>
    <definedName name="stories_last_row" localSheetId="54">#REF!</definedName>
    <definedName name="stories_last_row" localSheetId="55">#REF!</definedName>
    <definedName name="stories_last_row" localSheetId="52">#REF!</definedName>
    <definedName name="stories_last_row" localSheetId="51">#REF!</definedName>
    <definedName name="stories_last_row" localSheetId="53">#REF!</definedName>
    <definedName name="stories_last_row">#REF!</definedName>
    <definedName name="story" localSheetId="50">'[146]Stories - CORE (WBS)'!#REF!</definedName>
    <definedName name="story" localSheetId="47">'[146]Stories - CORE (WBS)'!#REF!</definedName>
    <definedName name="story" localSheetId="44">'[146]Stories - CORE (WBS)'!#REF!</definedName>
    <definedName name="story" localSheetId="45">'[146]Stories - CORE (WBS)'!#REF!</definedName>
    <definedName name="story" localSheetId="46">'[146]Stories - CORE (WBS)'!#REF!</definedName>
    <definedName name="story" localSheetId="37">'[146]Stories - CORE (WBS)'!#REF!</definedName>
    <definedName name="story" localSheetId="40">'[146]Stories - CORE (WBS)'!#REF!</definedName>
    <definedName name="story" localSheetId="54">'[146]Stories - CORE (WBS)'!#REF!</definedName>
    <definedName name="story" localSheetId="55">'[146]Stories - CORE (WBS)'!#REF!</definedName>
    <definedName name="story" localSheetId="52">'[146]Stories - CORE (WBS)'!#REF!</definedName>
    <definedName name="story" localSheetId="51">'[146]Stories - CORE (WBS)'!#REF!</definedName>
    <definedName name="story" localSheetId="53">'[146]Stories - CORE (WBS)'!#REF!</definedName>
    <definedName name="story">'[146]Stories - CORE (WBS)'!#REF!</definedName>
    <definedName name="story_track">[41]Stories!$D$17:$D$460</definedName>
    <definedName name="SUM">[14]BoP!$E$313:$BE$365</definedName>
    <definedName name="sumpercent" localSheetId="34">#REF!</definedName>
    <definedName name="sumpercent" localSheetId="35">#REF!</definedName>
    <definedName name="sumpercent" localSheetId="50">#REF!</definedName>
    <definedName name="sumpercent" localSheetId="15">#REF!</definedName>
    <definedName name="sumpercent" localSheetId="29">#REF!</definedName>
    <definedName name="sumpercent" localSheetId="30">#REF!</definedName>
    <definedName name="sumpercent" localSheetId="47">#REF!</definedName>
    <definedName name="sumpercent" localSheetId="44">#REF!</definedName>
    <definedName name="sumpercent" localSheetId="45">#REF!</definedName>
    <definedName name="sumpercent" localSheetId="46">#REF!</definedName>
    <definedName name="sumpercent" localSheetId="31">#REF!</definedName>
    <definedName name="sumpercent" localSheetId="32">#REF!</definedName>
    <definedName name="sumpercent" localSheetId="33">#REF!</definedName>
    <definedName name="sumpercent" localSheetId="36">#REF!</definedName>
    <definedName name="sumpercent" localSheetId="37">#REF!</definedName>
    <definedName name="sumpercent" localSheetId="38">#REF!</definedName>
    <definedName name="sumpercent" localSheetId="39">#REF!</definedName>
    <definedName name="sumpercent" localSheetId="40">#REF!</definedName>
    <definedName name="sumpercent" localSheetId="54">#REF!</definedName>
    <definedName name="sumpercent" localSheetId="55">#REF!</definedName>
    <definedName name="sumpercent" localSheetId="52">#REF!</definedName>
    <definedName name="sumpercent" localSheetId="23">#REF!</definedName>
    <definedName name="sumpercent" localSheetId="51">#REF!</definedName>
    <definedName name="sumpercent" localSheetId="53">#REF!</definedName>
    <definedName name="sumpercent" localSheetId="20">#REF!</definedName>
    <definedName name="sumpercent">#REF!</definedName>
    <definedName name="SuppA" localSheetId="34">#REF!</definedName>
    <definedName name="SuppA" localSheetId="35">#REF!</definedName>
    <definedName name="SuppA" localSheetId="50">#REF!</definedName>
    <definedName name="SuppA" localSheetId="15">#REF!</definedName>
    <definedName name="SuppA" localSheetId="29">#REF!</definedName>
    <definedName name="SuppA" localSheetId="30">#REF!</definedName>
    <definedName name="SuppA" localSheetId="47">#REF!</definedName>
    <definedName name="SuppA" localSheetId="44">#REF!</definedName>
    <definedName name="SuppA" localSheetId="45">#REF!</definedName>
    <definedName name="SuppA" localSheetId="46">#REF!</definedName>
    <definedName name="SuppA" localSheetId="31">#REF!</definedName>
    <definedName name="SuppA" localSheetId="32">#REF!</definedName>
    <definedName name="SuppA" localSheetId="33">#REF!</definedName>
    <definedName name="SuppA" localSheetId="36">#REF!</definedName>
    <definedName name="SuppA" localSheetId="37">#REF!</definedName>
    <definedName name="SuppA" localSheetId="38">#REF!</definedName>
    <definedName name="SuppA" localSheetId="39">#REF!</definedName>
    <definedName name="SuppA" localSheetId="40">#REF!</definedName>
    <definedName name="SuppA" localSheetId="54">#REF!</definedName>
    <definedName name="SuppA" localSheetId="55">#REF!</definedName>
    <definedName name="SuppA" localSheetId="52">#REF!</definedName>
    <definedName name="SuppA" localSheetId="23">#REF!</definedName>
    <definedName name="SuppA" localSheetId="51">#REF!</definedName>
    <definedName name="SuppA" localSheetId="12">#REF!</definedName>
    <definedName name="SuppA" localSheetId="53">#REF!</definedName>
    <definedName name="SuppA" localSheetId="49">#REF!</definedName>
    <definedName name="SuppA" localSheetId="20">#REF!</definedName>
    <definedName name="SuppA">#REF!</definedName>
    <definedName name="SuppB" localSheetId="34">#REF!</definedName>
    <definedName name="SuppB" localSheetId="35">#REF!</definedName>
    <definedName name="SuppB" localSheetId="50">#REF!</definedName>
    <definedName name="SuppB" localSheetId="15">#REF!</definedName>
    <definedName name="SuppB" localSheetId="29">#REF!</definedName>
    <definedName name="SuppB" localSheetId="30">#REF!</definedName>
    <definedName name="SuppB" localSheetId="47">#REF!</definedName>
    <definedName name="SuppB" localSheetId="44">#REF!</definedName>
    <definedName name="SuppB" localSheetId="45">#REF!</definedName>
    <definedName name="SuppB" localSheetId="46">#REF!</definedName>
    <definedName name="SuppB" localSheetId="31">#REF!</definedName>
    <definedName name="SuppB" localSheetId="32">#REF!</definedName>
    <definedName name="SuppB" localSheetId="33">#REF!</definedName>
    <definedName name="SuppB" localSheetId="36">#REF!</definedName>
    <definedName name="SuppB" localSheetId="37">#REF!</definedName>
    <definedName name="SuppB" localSheetId="38">#REF!</definedName>
    <definedName name="SuppB" localSheetId="39">#REF!</definedName>
    <definedName name="SuppB" localSheetId="40">#REF!</definedName>
    <definedName name="SuppB" localSheetId="54">#REF!</definedName>
    <definedName name="SuppB" localSheetId="55">#REF!</definedName>
    <definedName name="SuppB" localSheetId="52">#REF!</definedName>
    <definedName name="SuppB" localSheetId="23">#REF!</definedName>
    <definedName name="SuppB" localSheetId="51">#REF!</definedName>
    <definedName name="SuppB" localSheetId="12">#REF!</definedName>
    <definedName name="SuppB" localSheetId="53">#REF!</definedName>
    <definedName name="SuppB" localSheetId="49">#REF!</definedName>
    <definedName name="SuppB" localSheetId="20">#REF!</definedName>
    <definedName name="SuppB">#REF!</definedName>
    <definedName name="SuppD" localSheetId="34">#REF!</definedName>
    <definedName name="SuppD" localSheetId="35">#REF!</definedName>
    <definedName name="SuppD" localSheetId="50">#REF!</definedName>
    <definedName name="SuppD" localSheetId="15">#REF!</definedName>
    <definedName name="SuppD" localSheetId="29">#REF!</definedName>
    <definedName name="SuppD" localSheetId="30">#REF!</definedName>
    <definedName name="SuppD" localSheetId="47">#REF!</definedName>
    <definedName name="SuppD" localSheetId="44">#REF!</definedName>
    <definedName name="SuppD" localSheetId="45">#REF!</definedName>
    <definedName name="SuppD" localSheetId="46">#REF!</definedName>
    <definedName name="SuppD" localSheetId="31">#REF!</definedName>
    <definedName name="SuppD" localSheetId="32">#REF!</definedName>
    <definedName name="SuppD" localSheetId="33">#REF!</definedName>
    <definedName name="SuppD" localSheetId="36">#REF!</definedName>
    <definedName name="SuppD" localSheetId="37">#REF!</definedName>
    <definedName name="SuppD" localSheetId="38">#REF!</definedName>
    <definedName name="SuppD" localSheetId="39">#REF!</definedName>
    <definedName name="SuppD" localSheetId="40">#REF!</definedName>
    <definedName name="SuppD" localSheetId="54">#REF!</definedName>
    <definedName name="SuppD" localSheetId="55">#REF!</definedName>
    <definedName name="SuppD" localSheetId="52">#REF!</definedName>
    <definedName name="SuppD" localSheetId="23">#REF!</definedName>
    <definedName name="SuppD" localSheetId="51">#REF!</definedName>
    <definedName name="SuppD" localSheetId="12">#REF!</definedName>
    <definedName name="SuppD" localSheetId="53">#REF!</definedName>
    <definedName name="SuppD" localSheetId="49">#REF!</definedName>
    <definedName name="SuppD" localSheetId="20">#REF!</definedName>
    <definedName name="SuppD">#REF!</definedName>
    <definedName name="SUPUES" localSheetId="34">#REF!</definedName>
    <definedName name="SUPUES" localSheetId="35">#REF!</definedName>
    <definedName name="SUPUES" localSheetId="50">#REF!</definedName>
    <definedName name="SUPUES" localSheetId="15">#REF!</definedName>
    <definedName name="SUPUES" localSheetId="29">#REF!</definedName>
    <definedName name="SUPUES" localSheetId="30">#REF!</definedName>
    <definedName name="SUPUES" localSheetId="47">#REF!</definedName>
    <definedName name="SUPUES" localSheetId="44">#REF!</definedName>
    <definedName name="SUPUES" localSheetId="45">#REF!</definedName>
    <definedName name="SUPUES" localSheetId="46">#REF!</definedName>
    <definedName name="SUPUES" localSheetId="31">#REF!</definedName>
    <definedName name="SUPUES" localSheetId="32">#REF!</definedName>
    <definedName name="SUPUES" localSheetId="33">#REF!</definedName>
    <definedName name="SUPUES" localSheetId="36">#REF!</definedName>
    <definedName name="SUPUES" localSheetId="37">#REF!</definedName>
    <definedName name="SUPUES" localSheetId="38">#REF!</definedName>
    <definedName name="SUPUES" localSheetId="39">#REF!</definedName>
    <definedName name="SUPUES" localSheetId="40">#REF!</definedName>
    <definedName name="SUPUES" localSheetId="54">#REF!</definedName>
    <definedName name="SUPUES" localSheetId="55">#REF!</definedName>
    <definedName name="SUPUES" localSheetId="52">#REF!</definedName>
    <definedName name="SUPUES" localSheetId="23">#REF!</definedName>
    <definedName name="SUPUES" localSheetId="51">#REF!</definedName>
    <definedName name="SUPUES" localSheetId="53">#REF!</definedName>
    <definedName name="SUPUES" localSheetId="20">#REF!</definedName>
    <definedName name="SUPUES">#REF!</definedName>
    <definedName name="supuestos" localSheetId="34">#REF!</definedName>
    <definedName name="supuestos" localSheetId="35">#REF!</definedName>
    <definedName name="supuestos" localSheetId="50">#REF!</definedName>
    <definedName name="supuestos" localSheetId="15">#REF!</definedName>
    <definedName name="supuestos" localSheetId="29">#REF!</definedName>
    <definedName name="supuestos" localSheetId="30">#REF!</definedName>
    <definedName name="supuestos" localSheetId="47">#REF!</definedName>
    <definedName name="supuestos" localSheetId="44">#REF!</definedName>
    <definedName name="supuestos" localSheetId="45">#REF!</definedName>
    <definedName name="supuestos" localSheetId="46">#REF!</definedName>
    <definedName name="supuestos" localSheetId="31">#REF!</definedName>
    <definedName name="supuestos" localSheetId="32">#REF!</definedName>
    <definedName name="supuestos" localSheetId="33">#REF!</definedName>
    <definedName name="supuestos" localSheetId="36">#REF!</definedName>
    <definedName name="supuestos" localSheetId="37">#REF!</definedName>
    <definedName name="supuestos" localSheetId="38">#REF!</definedName>
    <definedName name="supuestos" localSheetId="39">#REF!</definedName>
    <definedName name="supuestos" localSheetId="40">#REF!</definedName>
    <definedName name="supuestos" localSheetId="54">#REF!</definedName>
    <definedName name="supuestos" localSheetId="55">#REF!</definedName>
    <definedName name="supuestos" localSheetId="52">#REF!</definedName>
    <definedName name="supuestos" localSheetId="23">#REF!</definedName>
    <definedName name="supuestos" localSheetId="51">#REF!</definedName>
    <definedName name="supuestos" localSheetId="53">#REF!</definedName>
    <definedName name="supuestos" localSheetId="20">#REF!</definedName>
    <definedName name="supuestos">#REF!</definedName>
    <definedName name="swe" localSheetId="58" hidden="1">{"Tab1",#N/A,FALSE,"P";"Tab2",#N/A,FALSE,"P"}</definedName>
    <definedName name="swe" localSheetId="16" hidden="1">{"Tab1",#N/A,FALSE,"P";"Tab2",#N/A,FALSE,"P"}</definedName>
    <definedName name="swe" localSheetId="61" hidden="1">{"Tab1",#N/A,FALSE,"P";"Tab2",#N/A,FALSE,"P"}</definedName>
    <definedName name="swe" localSheetId="62" hidden="1">{"Tab1",#N/A,FALSE,"P";"Tab2",#N/A,FALSE,"P"}</definedName>
    <definedName name="swe" localSheetId="50" hidden="1">{"Tab1",#N/A,FALSE,"P";"Tab2",#N/A,FALSE,"P"}</definedName>
    <definedName name="swe" localSheetId="63" hidden="1">{"Tab1",#N/A,FALSE,"P";"Tab2",#N/A,FALSE,"P"}</definedName>
    <definedName name="swe" localSheetId="15" hidden="1">{"Tab1",#N/A,FALSE,"P";"Tab2",#N/A,FALSE,"P"}</definedName>
    <definedName name="swe" localSheetId="1" hidden="1">{"Tab1",#N/A,FALSE,"P";"Tab2",#N/A,FALSE,"P"}</definedName>
    <definedName name="swe" localSheetId="43" hidden="1">{"Tab1",#N/A,FALSE,"P";"Tab2",#N/A,FALSE,"P"}</definedName>
    <definedName name="swe" localSheetId="29" hidden="1">{"Tab1",#N/A,FALSE,"P";"Tab2",#N/A,FALSE,"P"}</definedName>
    <definedName name="swe" localSheetId="30" hidden="1">{"Tab1",#N/A,FALSE,"P";"Tab2",#N/A,FALSE,"P"}</definedName>
    <definedName name="swe" localSheetId="44" hidden="1">{"Tab1",#N/A,FALSE,"P";"Tab2",#N/A,FALSE,"P"}</definedName>
    <definedName name="swe" localSheetId="59" hidden="1">{"Tab1",#N/A,FALSE,"P";"Tab2",#N/A,FALSE,"P"}</definedName>
    <definedName name="swe" localSheetId="13" hidden="1">{"Tab1",#N/A,FALSE,"P";"Tab2",#N/A,FALSE,"P"}</definedName>
    <definedName name="swe" localSheetId="0" hidden="1">{"Tab1",#N/A,FALSE,"P";"Tab2",#N/A,FALSE,"P"}</definedName>
    <definedName name="swe" localSheetId="57" hidden="1">{"Tab1",#N/A,FALSE,"P";"Tab2",#N/A,FALSE,"P"}</definedName>
    <definedName name="swe" localSheetId="56" hidden="1">{"Tab1",#N/A,FALSE,"P";"Tab2",#N/A,FALSE,"P"}</definedName>
    <definedName name="swe" localSheetId="54" hidden="1">{"Tab1",#N/A,FALSE,"P";"Tab2",#N/A,FALSE,"P"}</definedName>
    <definedName name="swe" localSheetId="52" hidden="1">{"Tab1",#N/A,FALSE,"P";"Tab2",#N/A,FALSE,"P"}</definedName>
    <definedName name="swe" localSheetId="23" hidden="1">{"Tab1",#N/A,FALSE,"P";"Tab2",#N/A,FALSE,"P"}</definedName>
    <definedName name="swe" localSheetId="51" hidden="1">{"Tab1",#N/A,FALSE,"P";"Tab2",#N/A,FALSE,"P"}</definedName>
    <definedName name="swe" localSheetId="53" hidden="1">{"Tab1",#N/A,FALSE,"P";"Tab2",#N/A,FALSE,"P"}</definedName>
    <definedName name="swe" localSheetId="60" hidden="1">{"Tab1",#N/A,FALSE,"P";"Tab2",#N/A,FALSE,"P"}</definedName>
    <definedName name="swe" hidden="1">{"Tab1",#N/A,FALSE,"P";"Tab2",#N/A,FALSE,"P"}</definedName>
    <definedName name="sxc" localSheetId="58" hidden="1">{"Riqfin97",#N/A,FALSE,"Tran";"Riqfinpro",#N/A,FALSE,"Tran"}</definedName>
    <definedName name="sxc" localSheetId="16" hidden="1">{"Riqfin97",#N/A,FALSE,"Tran";"Riqfinpro",#N/A,FALSE,"Tran"}</definedName>
    <definedName name="sxc" localSheetId="61" hidden="1">{"Riqfin97",#N/A,FALSE,"Tran";"Riqfinpro",#N/A,FALSE,"Tran"}</definedName>
    <definedName name="sxc" localSheetId="62" hidden="1">{"Riqfin97",#N/A,FALSE,"Tran";"Riqfinpro",#N/A,FALSE,"Tran"}</definedName>
    <definedName name="sxc" localSheetId="50" hidden="1">{"Riqfin97",#N/A,FALSE,"Tran";"Riqfinpro",#N/A,FALSE,"Tran"}</definedName>
    <definedName name="sxc" localSheetId="63" hidden="1">{"Riqfin97",#N/A,FALSE,"Tran";"Riqfinpro",#N/A,FALSE,"Tran"}</definedName>
    <definedName name="sxc" localSheetId="15" hidden="1">{"Riqfin97",#N/A,FALSE,"Tran";"Riqfinpro",#N/A,FALSE,"Tran"}</definedName>
    <definedName name="sxc" localSheetId="1" hidden="1">{"Riqfin97",#N/A,FALSE,"Tran";"Riqfinpro",#N/A,FALSE,"Tran"}</definedName>
    <definedName name="sxc" localSheetId="43" hidden="1">{"Riqfin97",#N/A,FALSE,"Tran";"Riqfinpro",#N/A,FALSE,"Tran"}</definedName>
    <definedName name="sxc" localSheetId="29" hidden="1">{"Riqfin97",#N/A,FALSE,"Tran";"Riqfinpro",#N/A,FALSE,"Tran"}</definedName>
    <definedName name="sxc" localSheetId="30" hidden="1">{"Riqfin97",#N/A,FALSE,"Tran";"Riqfinpro",#N/A,FALSE,"Tran"}</definedName>
    <definedName name="sxc" localSheetId="44" hidden="1">{"Riqfin97",#N/A,FALSE,"Tran";"Riqfinpro",#N/A,FALSE,"Tran"}</definedName>
    <definedName name="sxc" localSheetId="59" hidden="1">{"Riqfin97",#N/A,FALSE,"Tran";"Riqfinpro",#N/A,FALSE,"Tran"}</definedName>
    <definedName name="sxc" localSheetId="13" hidden="1">{"Riqfin97",#N/A,FALSE,"Tran";"Riqfinpro",#N/A,FALSE,"Tran"}</definedName>
    <definedName name="sxc" localSheetId="0" hidden="1">{"Riqfin97",#N/A,FALSE,"Tran";"Riqfinpro",#N/A,FALSE,"Tran"}</definedName>
    <definedName name="sxc" localSheetId="57" hidden="1">{"Riqfin97",#N/A,FALSE,"Tran";"Riqfinpro",#N/A,FALSE,"Tran"}</definedName>
    <definedName name="sxc" localSheetId="56" hidden="1">{"Riqfin97",#N/A,FALSE,"Tran";"Riqfinpro",#N/A,FALSE,"Tran"}</definedName>
    <definedName name="sxc" localSheetId="54" hidden="1">{"Riqfin97",#N/A,FALSE,"Tran";"Riqfinpro",#N/A,FALSE,"Tran"}</definedName>
    <definedName name="sxc" localSheetId="52" hidden="1">{"Riqfin97",#N/A,FALSE,"Tran";"Riqfinpro",#N/A,FALSE,"Tran"}</definedName>
    <definedName name="sxc" localSheetId="23" hidden="1">{"Riqfin97",#N/A,FALSE,"Tran";"Riqfinpro",#N/A,FALSE,"Tran"}</definedName>
    <definedName name="sxc" localSheetId="51" hidden="1">{"Riqfin97",#N/A,FALSE,"Tran";"Riqfinpro",#N/A,FALSE,"Tran"}</definedName>
    <definedName name="sxc" localSheetId="53" hidden="1">{"Riqfin97",#N/A,FALSE,"Tran";"Riqfinpro",#N/A,FALSE,"Tran"}</definedName>
    <definedName name="sxc" localSheetId="60" hidden="1">{"Riqfin97",#N/A,FALSE,"Tran";"Riqfinpro",#N/A,FALSE,"Tran"}</definedName>
    <definedName name="sxc" hidden="1">{"Riqfin97",#N/A,FALSE,"Tran";"Riqfinpro",#N/A,FALSE,"Tran"}</definedName>
    <definedName name="sxe" localSheetId="58" hidden="1">{"Riqfin97",#N/A,FALSE,"Tran";"Riqfinpro",#N/A,FALSE,"Tran"}</definedName>
    <definedName name="sxe" localSheetId="16" hidden="1">{"Riqfin97",#N/A,FALSE,"Tran";"Riqfinpro",#N/A,FALSE,"Tran"}</definedName>
    <definedName name="sxe" localSheetId="61" hidden="1">{"Riqfin97",#N/A,FALSE,"Tran";"Riqfinpro",#N/A,FALSE,"Tran"}</definedName>
    <definedName name="sxe" localSheetId="62" hidden="1">{"Riqfin97",#N/A,FALSE,"Tran";"Riqfinpro",#N/A,FALSE,"Tran"}</definedName>
    <definedName name="sxe" localSheetId="50" hidden="1">{"Riqfin97",#N/A,FALSE,"Tran";"Riqfinpro",#N/A,FALSE,"Tran"}</definedName>
    <definedName name="sxe" localSheetId="63" hidden="1">{"Riqfin97",#N/A,FALSE,"Tran";"Riqfinpro",#N/A,FALSE,"Tran"}</definedName>
    <definedName name="sxe" localSheetId="15" hidden="1">{"Riqfin97",#N/A,FALSE,"Tran";"Riqfinpro",#N/A,FALSE,"Tran"}</definedName>
    <definedName name="sxe" localSheetId="1" hidden="1">{"Riqfin97",#N/A,FALSE,"Tran";"Riqfinpro",#N/A,FALSE,"Tran"}</definedName>
    <definedName name="sxe" localSheetId="43" hidden="1">{"Riqfin97",#N/A,FALSE,"Tran";"Riqfinpro",#N/A,FALSE,"Tran"}</definedName>
    <definedName name="sxe" localSheetId="29" hidden="1">{"Riqfin97",#N/A,FALSE,"Tran";"Riqfinpro",#N/A,FALSE,"Tran"}</definedName>
    <definedName name="sxe" localSheetId="30" hidden="1">{"Riqfin97",#N/A,FALSE,"Tran";"Riqfinpro",#N/A,FALSE,"Tran"}</definedName>
    <definedName name="sxe" localSheetId="44" hidden="1">{"Riqfin97",#N/A,FALSE,"Tran";"Riqfinpro",#N/A,FALSE,"Tran"}</definedName>
    <definedName name="sxe" localSheetId="59" hidden="1">{"Riqfin97",#N/A,FALSE,"Tran";"Riqfinpro",#N/A,FALSE,"Tran"}</definedName>
    <definedName name="sxe" localSheetId="13" hidden="1">{"Riqfin97",#N/A,FALSE,"Tran";"Riqfinpro",#N/A,FALSE,"Tran"}</definedName>
    <definedName name="sxe" localSheetId="0" hidden="1">{"Riqfin97",#N/A,FALSE,"Tran";"Riqfinpro",#N/A,FALSE,"Tran"}</definedName>
    <definedName name="sxe" localSheetId="57" hidden="1">{"Riqfin97",#N/A,FALSE,"Tran";"Riqfinpro",#N/A,FALSE,"Tran"}</definedName>
    <definedName name="sxe" localSheetId="56" hidden="1">{"Riqfin97",#N/A,FALSE,"Tran";"Riqfinpro",#N/A,FALSE,"Tran"}</definedName>
    <definedName name="sxe" localSheetId="54" hidden="1">{"Riqfin97",#N/A,FALSE,"Tran";"Riqfinpro",#N/A,FALSE,"Tran"}</definedName>
    <definedName name="sxe" localSheetId="52" hidden="1">{"Riqfin97",#N/A,FALSE,"Tran";"Riqfinpro",#N/A,FALSE,"Tran"}</definedName>
    <definedName name="sxe" localSheetId="23" hidden="1">{"Riqfin97",#N/A,FALSE,"Tran";"Riqfinpro",#N/A,FALSE,"Tran"}</definedName>
    <definedName name="sxe" localSheetId="51" hidden="1">{"Riqfin97",#N/A,FALSE,"Tran";"Riqfinpro",#N/A,FALSE,"Tran"}</definedName>
    <definedName name="sxe" localSheetId="53" hidden="1">{"Riqfin97",#N/A,FALSE,"Tran";"Riqfinpro",#N/A,FALSE,"Tran"}</definedName>
    <definedName name="sxe" localSheetId="60" hidden="1">{"Riqfin97",#N/A,FALSE,"Tran";"Riqfinpro",#N/A,FALSE,"Tran"}</definedName>
    <definedName name="sxe" hidden="1">{"Riqfin97",#N/A,FALSE,"Tran";"Riqfinpro",#N/A,FALSE,"Tran"}</definedName>
    <definedName name="t" localSheetId="50">#N/A</definedName>
    <definedName name="t" localSheetId="44">#N/A</definedName>
    <definedName name="t" localSheetId="54">#N/A</definedName>
    <definedName name="t" localSheetId="52">#N/A</definedName>
    <definedName name="t" localSheetId="51">#N/A</definedName>
    <definedName name="t" localSheetId="53">#N/A</definedName>
    <definedName name="t">[54]!t</definedName>
    <definedName name="T_FICHA" localSheetId="50">#REF!</definedName>
    <definedName name="T_FICHA" localSheetId="47">#REF!</definedName>
    <definedName name="T_FICHA" localSheetId="44">#REF!</definedName>
    <definedName name="T_FICHA" localSheetId="45">#REF!</definedName>
    <definedName name="T_FICHA" localSheetId="46">#REF!</definedName>
    <definedName name="T_FICHA" localSheetId="37">#REF!</definedName>
    <definedName name="T_FICHA" localSheetId="40">#REF!</definedName>
    <definedName name="T_FICHA" localSheetId="54">#REF!</definedName>
    <definedName name="T_FICHA" localSheetId="55">#REF!</definedName>
    <definedName name="T_FICHA" localSheetId="52">#REF!</definedName>
    <definedName name="T_FICHA" localSheetId="51">#REF!</definedName>
    <definedName name="T_FICHA" localSheetId="53">#REF!</definedName>
    <definedName name="T_FICHA">#REF!</definedName>
    <definedName name="T1REV" localSheetId="50">#REF!</definedName>
    <definedName name="T1REV" localSheetId="47">#REF!</definedName>
    <definedName name="T1REV" localSheetId="44">#REF!</definedName>
    <definedName name="T1REV" localSheetId="45">#REF!</definedName>
    <definedName name="T1REV" localSheetId="46">#REF!</definedName>
    <definedName name="T1REV" localSheetId="37">#REF!</definedName>
    <definedName name="T1REV" localSheetId="40">#REF!</definedName>
    <definedName name="T1REV" localSheetId="54">#REF!</definedName>
    <definedName name="T1REV" localSheetId="55">#REF!</definedName>
    <definedName name="T1REV" localSheetId="52">#REF!</definedName>
    <definedName name="T1REV" localSheetId="51">#REF!</definedName>
    <definedName name="T1REV" localSheetId="53">#REF!</definedName>
    <definedName name="T1REV">#REF!</definedName>
    <definedName name="T2EXP" localSheetId="50">#REF!</definedName>
    <definedName name="T2EXP" localSheetId="47">#REF!</definedName>
    <definedName name="T2EXP" localSheetId="44">#REF!</definedName>
    <definedName name="T2EXP" localSheetId="45">#REF!</definedName>
    <definedName name="T2EXP" localSheetId="46">#REF!</definedName>
    <definedName name="T2EXP" localSheetId="37">#REF!</definedName>
    <definedName name="T2EXP" localSheetId="40">#REF!</definedName>
    <definedName name="T2EXP" localSheetId="54">#REF!</definedName>
    <definedName name="T2EXP" localSheetId="55">#REF!</definedName>
    <definedName name="T2EXP" localSheetId="52">#REF!</definedName>
    <definedName name="T2EXP" localSheetId="51">#REF!</definedName>
    <definedName name="T2EXP" localSheetId="53">#REF!</definedName>
    <definedName name="T2EXP">#REF!</definedName>
    <definedName name="T2SHPROG" localSheetId="50">#REF!</definedName>
    <definedName name="T2SHPROG" localSheetId="47">#REF!</definedName>
    <definedName name="T2SHPROG" localSheetId="44">#REF!</definedName>
    <definedName name="T2SHPROG" localSheetId="45">#REF!</definedName>
    <definedName name="T2SHPROG" localSheetId="46">#REF!</definedName>
    <definedName name="T2SHPROG" localSheetId="37">#REF!</definedName>
    <definedName name="T2SHPROG" localSheetId="40">#REF!</definedName>
    <definedName name="T2SHPROG" localSheetId="54">#REF!</definedName>
    <definedName name="T2SHPROG" localSheetId="55">#REF!</definedName>
    <definedName name="T2SHPROG" localSheetId="52">#REF!</definedName>
    <definedName name="T2SHPROG" localSheetId="51">#REF!</definedName>
    <definedName name="T2SHPROG" localSheetId="53">#REF!</definedName>
    <definedName name="T2SHPROG">#REF!</definedName>
    <definedName name="T3CGOV" localSheetId="50">#REF!</definedName>
    <definedName name="T3CGOV" localSheetId="47">#REF!</definedName>
    <definedName name="T3CGOV" localSheetId="44">#REF!</definedName>
    <definedName name="T3CGOV" localSheetId="45">#REF!</definedName>
    <definedName name="T3CGOV" localSheetId="46">#REF!</definedName>
    <definedName name="T3CGOV" localSheetId="37">#REF!</definedName>
    <definedName name="T3CGOV" localSheetId="40">#REF!</definedName>
    <definedName name="T3CGOV" localSheetId="54">#REF!</definedName>
    <definedName name="T3CGOV" localSheetId="55">#REF!</definedName>
    <definedName name="T3CGOV" localSheetId="52">#REF!</definedName>
    <definedName name="T3CGOV" localSheetId="51">#REF!</definedName>
    <definedName name="T3CGOV" localSheetId="53">#REF!</definedName>
    <definedName name="T3CGOV">#REF!</definedName>
    <definedName name="T4SHPROG" localSheetId="50">#REF!</definedName>
    <definedName name="T4SHPROG" localSheetId="47">#REF!</definedName>
    <definedName name="T4SHPROG" localSheetId="44">#REF!</definedName>
    <definedName name="T4SHPROG" localSheetId="45">#REF!</definedName>
    <definedName name="T4SHPROG" localSheetId="46">#REF!</definedName>
    <definedName name="T4SHPROG" localSheetId="37">#REF!</definedName>
    <definedName name="T4SHPROG" localSheetId="40">#REF!</definedName>
    <definedName name="T4SHPROG" localSheetId="54">#REF!</definedName>
    <definedName name="T4SHPROG" localSheetId="55">#REF!</definedName>
    <definedName name="T4SHPROG" localSheetId="52">#REF!</definedName>
    <definedName name="T4SHPROG" localSheetId="51">#REF!</definedName>
    <definedName name="T4SHPROG" localSheetId="53">#REF!</definedName>
    <definedName name="T4SHPROG">#REF!</definedName>
    <definedName name="T4SSS" localSheetId="50">#REF!</definedName>
    <definedName name="T4SSS" localSheetId="47">#REF!</definedName>
    <definedName name="T4SSS" localSheetId="44">#REF!</definedName>
    <definedName name="T4SSS" localSheetId="45">#REF!</definedName>
    <definedName name="T4SSS" localSheetId="46">#REF!</definedName>
    <definedName name="T4SSS" localSheetId="37">#REF!</definedName>
    <definedName name="T4SSS" localSheetId="40">#REF!</definedName>
    <definedName name="T4SSS" localSheetId="54">#REF!</definedName>
    <definedName name="T4SSS" localSheetId="55">#REF!</definedName>
    <definedName name="T4SSS" localSheetId="52">#REF!</definedName>
    <definedName name="T4SSS" localSheetId="51">#REF!</definedName>
    <definedName name="T4SSS" localSheetId="53">#REF!</definedName>
    <definedName name="T4SSS">#REF!</definedName>
    <definedName name="T5PE" localSheetId="50">#REF!</definedName>
    <definedName name="T5PE" localSheetId="47">#REF!</definedName>
    <definedName name="T5PE" localSheetId="44">#REF!</definedName>
    <definedName name="T5PE" localSheetId="45">#REF!</definedName>
    <definedName name="T5PE" localSheetId="46">#REF!</definedName>
    <definedName name="T5PE" localSheetId="37">#REF!</definedName>
    <definedName name="T5PE" localSheetId="40">#REF!</definedName>
    <definedName name="T5PE" localSheetId="54">#REF!</definedName>
    <definedName name="T5PE" localSheetId="55">#REF!</definedName>
    <definedName name="T5PE" localSheetId="52">#REF!</definedName>
    <definedName name="T5PE" localSheetId="51">#REF!</definedName>
    <definedName name="T5PE" localSheetId="53">#REF!</definedName>
    <definedName name="T5PE">#REF!</definedName>
    <definedName name="T6CPSO" localSheetId="50">#REF!</definedName>
    <definedName name="T6CPSO" localSheetId="47">#REF!</definedName>
    <definedName name="T6CPSO" localSheetId="44">#REF!</definedName>
    <definedName name="T6CPSO" localSheetId="45">#REF!</definedName>
    <definedName name="T6CPSO" localSheetId="46">#REF!</definedName>
    <definedName name="T6CPSO" localSheetId="37">#REF!</definedName>
    <definedName name="T6CPSO" localSheetId="40">#REF!</definedName>
    <definedName name="T6CPSO" localSheetId="54">#REF!</definedName>
    <definedName name="T6CPSO" localSheetId="55">#REF!</definedName>
    <definedName name="T6CPSO" localSheetId="52">#REF!</definedName>
    <definedName name="T6CPSO" localSheetId="51">#REF!</definedName>
    <definedName name="T6CPSO" localSheetId="53">#REF!</definedName>
    <definedName name="T6CPSO">#REF!</definedName>
    <definedName name="T7PSIP" localSheetId="50">#REF!</definedName>
    <definedName name="T7PSIP" localSheetId="47">#REF!</definedName>
    <definedName name="T7PSIP" localSheetId="44">#REF!</definedName>
    <definedName name="T7PSIP" localSheetId="45">#REF!</definedName>
    <definedName name="T7PSIP" localSheetId="46">#REF!</definedName>
    <definedName name="T7PSIP" localSheetId="37">#REF!</definedName>
    <definedName name="T7PSIP" localSheetId="40">#REF!</definedName>
    <definedName name="T7PSIP" localSheetId="54">#REF!</definedName>
    <definedName name="T7PSIP" localSheetId="55">#REF!</definedName>
    <definedName name="T7PSIP" localSheetId="52">#REF!</definedName>
    <definedName name="T7PSIP" localSheetId="51">#REF!</definedName>
    <definedName name="T7PSIP" localSheetId="53">#REF!</definedName>
    <definedName name="T7PSIP">#REF!</definedName>
    <definedName name="T8DDebt" localSheetId="50">#REF!</definedName>
    <definedName name="T8DDebt" localSheetId="47">#REF!</definedName>
    <definedName name="T8DDebt" localSheetId="44">#REF!</definedName>
    <definedName name="T8DDebt" localSheetId="45">#REF!</definedName>
    <definedName name="T8DDebt" localSheetId="46">#REF!</definedName>
    <definedName name="T8DDebt" localSheetId="37">#REF!</definedName>
    <definedName name="T8DDebt" localSheetId="40">#REF!</definedName>
    <definedName name="T8DDebt" localSheetId="54">#REF!</definedName>
    <definedName name="T8DDebt" localSheetId="55">#REF!</definedName>
    <definedName name="T8DDebt" localSheetId="52">#REF!</definedName>
    <definedName name="T8DDebt" localSheetId="51">#REF!</definedName>
    <definedName name="T8DDebt" localSheetId="53">#REF!</definedName>
    <definedName name="T8DDebt">#REF!</definedName>
    <definedName name="TA10SSMC" localSheetId="50">#REF!</definedName>
    <definedName name="TA10SSMC" localSheetId="47">#REF!</definedName>
    <definedName name="TA10SSMC" localSheetId="44">#REF!</definedName>
    <definedName name="TA10SSMC" localSheetId="45">#REF!</definedName>
    <definedName name="TA10SSMC" localSheetId="46">#REF!</definedName>
    <definedName name="TA10SSMC" localSheetId="37">#REF!</definedName>
    <definedName name="TA10SSMC" localSheetId="40">#REF!</definedName>
    <definedName name="TA10SSMC" localSheetId="54">#REF!</definedName>
    <definedName name="TA10SSMC" localSheetId="55">#REF!</definedName>
    <definedName name="TA10SSMC" localSheetId="52">#REF!</definedName>
    <definedName name="TA10SSMC" localSheetId="51">#REF!</definedName>
    <definedName name="TA10SSMC" localSheetId="53">#REF!</definedName>
    <definedName name="TA10SSMC">#REF!</definedName>
    <definedName name="TA11CMC" localSheetId="50">#REF!</definedName>
    <definedName name="TA11CMC" localSheetId="47">#REF!</definedName>
    <definedName name="TA11CMC" localSheetId="44">#REF!</definedName>
    <definedName name="TA11CMC" localSheetId="45">#REF!</definedName>
    <definedName name="TA11CMC" localSheetId="46">#REF!</definedName>
    <definedName name="TA11CMC" localSheetId="37">#REF!</definedName>
    <definedName name="TA11CMC" localSheetId="40">#REF!</definedName>
    <definedName name="TA11CMC" localSheetId="54">#REF!</definedName>
    <definedName name="TA11CMC" localSheetId="55">#REF!</definedName>
    <definedName name="TA11CMC" localSheetId="52">#REF!</definedName>
    <definedName name="TA11CMC" localSheetId="51">#REF!</definedName>
    <definedName name="TA11CMC" localSheetId="53">#REF!</definedName>
    <definedName name="TA11CMC">#REF!</definedName>
    <definedName name="TA12FBDC" localSheetId="50">#REF!</definedName>
    <definedName name="TA12FBDC" localSheetId="47">#REF!</definedName>
    <definedName name="TA12FBDC" localSheetId="44">#REF!</definedName>
    <definedName name="TA12FBDC" localSheetId="45">#REF!</definedName>
    <definedName name="TA12FBDC" localSheetId="46">#REF!</definedName>
    <definedName name="TA12FBDC" localSheetId="37">#REF!</definedName>
    <definedName name="TA12FBDC" localSheetId="40">#REF!</definedName>
    <definedName name="TA12FBDC" localSheetId="54">#REF!</definedName>
    <definedName name="TA12FBDC" localSheetId="55">#REF!</definedName>
    <definedName name="TA12FBDC" localSheetId="52">#REF!</definedName>
    <definedName name="TA12FBDC" localSheetId="51">#REF!</definedName>
    <definedName name="TA12FBDC" localSheetId="53">#REF!</definedName>
    <definedName name="TA12FBDC">#REF!</definedName>
    <definedName name="TA13SKPA" localSheetId="50">#REF!</definedName>
    <definedName name="TA13SKPA" localSheetId="47">#REF!</definedName>
    <definedName name="TA13SKPA" localSheetId="44">#REF!</definedName>
    <definedName name="TA13SKPA" localSheetId="45">#REF!</definedName>
    <definedName name="TA13SKPA" localSheetId="46">#REF!</definedName>
    <definedName name="TA13SKPA" localSheetId="37">#REF!</definedName>
    <definedName name="TA13SKPA" localSheetId="40">#REF!</definedName>
    <definedName name="TA13SKPA" localSheetId="54">#REF!</definedName>
    <definedName name="TA13SKPA" localSheetId="55">#REF!</definedName>
    <definedName name="TA13SKPA" localSheetId="52">#REF!</definedName>
    <definedName name="TA13SKPA" localSheetId="51">#REF!</definedName>
    <definedName name="TA13SKPA" localSheetId="53">#REF!</definedName>
    <definedName name="TA13SKPA">#REF!</definedName>
    <definedName name="TA14SKNDB" localSheetId="50">#REF!</definedName>
    <definedName name="TA14SKNDB" localSheetId="47">#REF!</definedName>
    <definedName name="TA14SKNDB" localSheetId="44">#REF!</definedName>
    <definedName name="TA14SKNDB" localSheetId="45">#REF!</definedName>
    <definedName name="TA14SKNDB" localSheetId="46">#REF!</definedName>
    <definedName name="TA14SKNDB" localSheetId="37">#REF!</definedName>
    <definedName name="TA14SKNDB" localSheetId="40">#REF!</definedName>
    <definedName name="TA14SKNDB" localSheetId="54">#REF!</definedName>
    <definedName name="TA14SKNDB" localSheetId="55">#REF!</definedName>
    <definedName name="TA14SKNDB" localSheetId="52">#REF!</definedName>
    <definedName name="TA14SKNDB" localSheetId="51">#REF!</definedName>
    <definedName name="TA14SKNDB" localSheetId="53">#REF!</definedName>
    <definedName name="TA14SKNDB">#REF!</definedName>
    <definedName name="TA3SKREV" localSheetId="50">#REF!</definedName>
    <definedName name="TA3SKREV" localSheetId="47">#REF!</definedName>
    <definedName name="TA3SKREV" localSheetId="44">#REF!</definedName>
    <definedName name="TA3SKREV" localSheetId="45">#REF!</definedName>
    <definedName name="TA3SKREV" localSheetId="46">#REF!</definedName>
    <definedName name="TA3SKREV" localSheetId="37">#REF!</definedName>
    <definedName name="TA3SKREV" localSheetId="40">#REF!</definedName>
    <definedName name="TA3SKREV" localSheetId="54">#REF!</definedName>
    <definedName name="TA3SKREV" localSheetId="55">#REF!</definedName>
    <definedName name="TA3SKREV" localSheetId="52">#REF!</definedName>
    <definedName name="TA3SKREV" localSheetId="51">#REF!</definedName>
    <definedName name="TA3SKREV" localSheetId="53">#REF!</definedName>
    <definedName name="TA3SKREV">#REF!</definedName>
    <definedName name="TA4NREV" localSheetId="50">#REF!</definedName>
    <definedName name="TA4NREV" localSheetId="47">#REF!</definedName>
    <definedName name="TA4NREV" localSheetId="44">#REF!</definedName>
    <definedName name="TA4NREV" localSheetId="45">#REF!</definedName>
    <definedName name="TA4NREV" localSheetId="46">#REF!</definedName>
    <definedName name="TA4NREV" localSheetId="37">#REF!</definedName>
    <definedName name="TA4NREV" localSheetId="40">#REF!</definedName>
    <definedName name="TA4NREV" localSheetId="54">#REF!</definedName>
    <definedName name="TA4NREV" localSheetId="55">#REF!</definedName>
    <definedName name="TA4NREV" localSheetId="52">#REF!</definedName>
    <definedName name="TA4NREV" localSheetId="51">#REF!</definedName>
    <definedName name="TA4NREV" localSheetId="53">#REF!</definedName>
    <definedName name="TA4NREV">#REF!</definedName>
    <definedName name="TA5SKEXP" localSheetId="50">#REF!</definedName>
    <definedName name="TA5SKEXP" localSheetId="47">#REF!</definedName>
    <definedName name="TA5SKEXP" localSheetId="44">#REF!</definedName>
    <definedName name="TA5SKEXP" localSheetId="45">#REF!</definedName>
    <definedName name="TA5SKEXP" localSheetId="46">#REF!</definedName>
    <definedName name="TA5SKEXP" localSheetId="37">#REF!</definedName>
    <definedName name="TA5SKEXP" localSheetId="40">#REF!</definedName>
    <definedName name="TA5SKEXP" localSheetId="54">#REF!</definedName>
    <definedName name="TA5SKEXP" localSheetId="55">#REF!</definedName>
    <definedName name="TA5SKEXP" localSheetId="52">#REF!</definedName>
    <definedName name="TA5SKEXP" localSheetId="51">#REF!</definedName>
    <definedName name="TA5SKEXP" localSheetId="53">#REF!</definedName>
    <definedName name="TA5SKEXP">#REF!</definedName>
    <definedName name="TA6NEXP" localSheetId="50">#REF!</definedName>
    <definedName name="TA6NEXP" localSheetId="47">#REF!</definedName>
    <definedName name="TA6NEXP" localSheetId="44">#REF!</definedName>
    <definedName name="TA6NEXP" localSheetId="45">#REF!</definedName>
    <definedName name="TA6NEXP" localSheetId="46">#REF!</definedName>
    <definedName name="TA6NEXP" localSheetId="37">#REF!</definedName>
    <definedName name="TA6NEXP" localSheetId="40">#REF!</definedName>
    <definedName name="TA6NEXP" localSheetId="54">#REF!</definedName>
    <definedName name="TA6NEXP" localSheetId="55">#REF!</definedName>
    <definedName name="TA6NEXP" localSheetId="52">#REF!</definedName>
    <definedName name="TA6NEXP" localSheetId="51">#REF!</definedName>
    <definedName name="TA6NEXP" localSheetId="53">#REF!</definedName>
    <definedName name="TA6NEXP">#REF!</definedName>
    <definedName name="TA7EEH" localSheetId="50">#REF!</definedName>
    <definedName name="TA7EEH" localSheetId="47">#REF!</definedName>
    <definedName name="TA7EEH" localSheetId="44">#REF!</definedName>
    <definedName name="TA7EEH" localSheetId="45">#REF!</definedName>
    <definedName name="TA7EEH" localSheetId="46">#REF!</definedName>
    <definedName name="TA7EEH" localSheetId="37">#REF!</definedName>
    <definedName name="TA7EEH" localSheetId="40">#REF!</definedName>
    <definedName name="TA7EEH" localSheetId="54">#REF!</definedName>
    <definedName name="TA7EEH" localSheetId="55">#REF!</definedName>
    <definedName name="TA7EEH" localSheetId="52">#REF!</definedName>
    <definedName name="TA7EEH" localSheetId="51">#REF!</definedName>
    <definedName name="TA7EEH" localSheetId="53">#REF!</definedName>
    <definedName name="TA7EEH">#REF!</definedName>
    <definedName name="TA8KGOV" localSheetId="50">#REF!</definedName>
    <definedName name="TA8KGOV" localSheetId="47">#REF!</definedName>
    <definedName name="TA8KGOV" localSheetId="44">#REF!</definedName>
    <definedName name="TA8KGOV" localSheetId="45">#REF!</definedName>
    <definedName name="TA8KGOV" localSheetId="46">#REF!</definedName>
    <definedName name="TA8KGOV" localSheetId="37">#REF!</definedName>
    <definedName name="TA8KGOV" localSheetId="40">#REF!</definedName>
    <definedName name="TA8KGOV" localSheetId="54">#REF!</definedName>
    <definedName name="TA8KGOV" localSheetId="55">#REF!</definedName>
    <definedName name="TA8KGOV" localSheetId="52">#REF!</definedName>
    <definedName name="TA8KGOV" localSheetId="51">#REF!</definedName>
    <definedName name="TA8KGOV" localSheetId="53">#REF!</definedName>
    <definedName name="TA8KGOV">#REF!</definedName>
    <definedName name="TA9NGOV" localSheetId="50">#REF!</definedName>
    <definedName name="TA9NGOV" localSheetId="47">#REF!</definedName>
    <definedName name="TA9NGOV" localSheetId="44">#REF!</definedName>
    <definedName name="TA9NGOV" localSheetId="45">#REF!</definedName>
    <definedName name="TA9NGOV" localSheetId="46">#REF!</definedName>
    <definedName name="TA9NGOV" localSheetId="37">#REF!</definedName>
    <definedName name="TA9NGOV" localSheetId="40">#REF!</definedName>
    <definedName name="TA9NGOV" localSheetId="54">#REF!</definedName>
    <definedName name="TA9NGOV" localSheetId="55">#REF!</definedName>
    <definedName name="TA9NGOV" localSheetId="52">#REF!</definedName>
    <definedName name="TA9NGOV" localSheetId="51">#REF!</definedName>
    <definedName name="TA9NGOV" localSheetId="53">#REF!</definedName>
    <definedName name="TA9NGOV">#REF!</definedName>
    <definedName name="tab1.2" localSheetId="58">#REF!</definedName>
    <definedName name="tab1.2" localSheetId="34">#REF!</definedName>
    <definedName name="tab1.2" localSheetId="35">#REF!</definedName>
    <definedName name="tab1.2" localSheetId="50">#REF!</definedName>
    <definedName name="tab1.2" localSheetId="15">#REF!</definedName>
    <definedName name="tab1.2" localSheetId="29">#REF!</definedName>
    <definedName name="tab1.2" localSheetId="30">#REF!</definedName>
    <definedName name="tab1.2" localSheetId="47">#REF!</definedName>
    <definedName name="tab1.2" localSheetId="44">#REF!</definedName>
    <definedName name="tab1.2" localSheetId="45">#REF!</definedName>
    <definedName name="tab1.2" localSheetId="46">#REF!</definedName>
    <definedName name="tab1.2" localSheetId="31">#REF!</definedName>
    <definedName name="tab1.2" localSheetId="32">#REF!</definedName>
    <definedName name="tab1.2" localSheetId="33">#REF!</definedName>
    <definedName name="tab1.2" localSheetId="59">#REF!</definedName>
    <definedName name="tab1.2" localSheetId="36">#REF!</definedName>
    <definedName name="tab1.2" localSheetId="37">#REF!</definedName>
    <definedName name="tab1.2" localSheetId="38">#REF!</definedName>
    <definedName name="tab1.2" localSheetId="39">#REF!</definedName>
    <definedName name="tab1.2" localSheetId="40">#REF!</definedName>
    <definedName name="tab1.2" localSheetId="54">#REF!</definedName>
    <definedName name="tab1.2" localSheetId="55">#REF!</definedName>
    <definedName name="tab1.2" localSheetId="52">#REF!</definedName>
    <definedName name="tab1.2" localSheetId="23">#REF!</definedName>
    <definedName name="tab1.2" localSheetId="51">#REF!</definedName>
    <definedName name="tab1.2" localSheetId="12">#REF!</definedName>
    <definedName name="tab1.2" localSheetId="53">#REF!</definedName>
    <definedName name="tab1.2" localSheetId="49">#REF!</definedName>
    <definedName name="tab1.2" localSheetId="60">#REF!</definedName>
    <definedName name="tab1.2" localSheetId="20">#REF!</definedName>
    <definedName name="tab1.2">#REF!</definedName>
    <definedName name="Tab10bBdata" localSheetId="50">'[149]SR-Basic indicators'!#REF!</definedName>
    <definedName name="Tab10bBdata" localSheetId="47">'[149]SR-Basic indicators'!#REF!</definedName>
    <definedName name="Tab10bBdata" localSheetId="44">'[149]SR-Basic indicators'!#REF!</definedName>
    <definedName name="Tab10bBdata" localSheetId="45">'[149]SR-Basic indicators'!#REF!</definedName>
    <definedName name="Tab10bBdata" localSheetId="46">'[149]SR-Basic indicators'!#REF!</definedName>
    <definedName name="Tab10bBdata" localSheetId="37">'[149]SR-Basic indicators'!#REF!</definedName>
    <definedName name="Tab10bBdata" localSheetId="40">'[149]SR-Basic indicators'!#REF!</definedName>
    <definedName name="Tab10bBdata" localSheetId="54">'[149]SR-Basic indicators'!#REF!</definedName>
    <definedName name="Tab10bBdata" localSheetId="55">'[149]SR-Basic indicators'!#REF!</definedName>
    <definedName name="Tab10bBdata" localSheetId="52">'[149]SR-Basic indicators'!#REF!</definedName>
    <definedName name="Tab10bBdata" localSheetId="51">'[149]SR-Basic indicators'!#REF!</definedName>
    <definedName name="Tab10bBdata" localSheetId="53">'[149]SR-Basic indicators'!#REF!</definedName>
    <definedName name="Tab10bBdata">'[149]SR-Basic indicators'!#REF!</definedName>
    <definedName name="tab1a" localSheetId="34">#REF!</definedName>
    <definedName name="tab1a" localSheetId="35">#REF!</definedName>
    <definedName name="tab1a" localSheetId="50">#REF!</definedName>
    <definedName name="tab1a" localSheetId="15">#REF!</definedName>
    <definedName name="tab1a" localSheetId="29">#REF!</definedName>
    <definedName name="tab1a" localSheetId="30">#REF!</definedName>
    <definedName name="tab1a" localSheetId="47">#REF!</definedName>
    <definedName name="tab1a" localSheetId="44">#REF!</definedName>
    <definedName name="tab1a" localSheetId="45">#REF!</definedName>
    <definedName name="tab1a" localSheetId="46">#REF!</definedName>
    <definedName name="tab1a" localSheetId="31">#REF!</definedName>
    <definedName name="tab1a" localSheetId="32">#REF!</definedName>
    <definedName name="tab1a" localSheetId="33">#REF!</definedName>
    <definedName name="tab1a" localSheetId="36">#REF!</definedName>
    <definedName name="tab1a" localSheetId="37">#REF!</definedName>
    <definedName name="tab1a" localSheetId="38">#REF!</definedName>
    <definedName name="tab1a" localSheetId="39">#REF!</definedName>
    <definedName name="tab1a" localSheetId="40">#REF!</definedName>
    <definedName name="tab1a" localSheetId="54">#REF!</definedName>
    <definedName name="tab1a" localSheetId="55">#REF!</definedName>
    <definedName name="tab1a" localSheetId="52">#REF!</definedName>
    <definedName name="tab1a" localSheetId="23">#REF!</definedName>
    <definedName name="tab1a" localSheetId="51">#REF!</definedName>
    <definedName name="tab1a" localSheetId="53">#REF!</definedName>
    <definedName name="tab1a" localSheetId="20">#REF!</definedName>
    <definedName name="tab1a">#REF!</definedName>
    <definedName name="tab1b">'[152]S&amp;I DANE'!$A$1:$I$42</definedName>
    <definedName name="TAB1CK" localSheetId="34">#REF!</definedName>
    <definedName name="TAB1CK" localSheetId="35">#REF!</definedName>
    <definedName name="TAB1CK" localSheetId="50">#REF!</definedName>
    <definedName name="TAB1CK" localSheetId="15">#REF!</definedName>
    <definedName name="TAB1CK" localSheetId="29">#REF!</definedName>
    <definedName name="TAB1CK" localSheetId="30">#REF!</definedName>
    <definedName name="TAB1CK" localSheetId="47">#REF!</definedName>
    <definedName name="TAB1CK" localSheetId="44">#REF!</definedName>
    <definedName name="TAB1CK" localSheetId="45">#REF!</definedName>
    <definedName name="TAB1CK" localSheetId="46">#REF!</definedName>
    <definedName name="TAB1CK" localSheetId="31">#REF!</definedName>
    <definedName name="TAB1CK" localSheetId="32">#REF!</definedName>
    <definedName name="TAB1CK" localSheetId="33">#REF!</definedName>
    <definedName name="TAB1CK" localSheetId="36">#REF!</definedName>
    <definedName name="TAB1CK" localSheetId="37">#REF!</definedName>
    <definedName name="TAB1CK" localSheetId="38">#REF!</definedName>
    <definedName name="TAB1CK" localSheetId="39">#REF!</definedName>
    <definedName name="TAB1CK" localSheetId="40">#REF!</definedName>
    <definedName name="TAB1CK" localSheetId="54">#REF!</definedName>
    <definedName name="TAB1CK" localSheetId="55">#REF!</definedName>
    <definedName name="TAB1CK" localSheetId="52">#REF!</definedName>
    <definedName name="TAB1CK" localSheetId="23">#REF!</definedName>
    <definedName name="TAB1CK" localSheetId="51">#REF!</definedName>
    <definedName name="TAB1CK" localSheetId="53">#REF!</definedName>
    <definedName name="TAB1CK" localSheetId="20">#REF!</definedName>
    <definedName name="TAB1CK">#REF!</definedName>
    <definedName name="Tab1Exports" localSheetId="50">#REF!</definedName>
    <definedName name="Tab1Exports" localSheetId="47">#REF!</definedName>
    <definedName name="Tab1Exports" localSheetId="44">#REF!</definedName>
    <definedName name="Tab1Exports" localSheetId="45">#REF!</definedName>
    <definedName name="Tab1Exports" localSheetId="46">#REF!</definedName>
    <definedName name="Tab1Exports" localSheetId="37">#REF!</definedName>
    <definedName name="Tab1Exports" localSheetId="40">#REF!</definedName>
    <definedName name="Tab1Exports" localSheetId="54">#REF!</definedName>
    <definedName name="Tab1Exports" localSheetId="55">#REF!</definedName>
    <definedName name="Tab1Exports" localSheetId="52">#REF!</definedName>
    <definedName name="Tab1Exports" localSheetId="51">#REF!</definedName>
    <definedName name="Tab1Exports" localSheetId="53">#REF!</definedName>
    <definedName name="Tab1Exports">#REF!</definedName>
    <definedName name="Tab25a" localSheetId="34">#REF!</definedName>
    <definedName name="Tab25a" localSheetId="35">#REF!</definedName>
    <definedName name="Tab25a" localSheetId="50">#REF!</definedName>
    <definedName name="Tab25a" localSheetId="15">#REF!</definedName>
    <definedName name="Tab25a" localSheetId="29">#REF!</definedName>
    <definedName name="Tab25a" localSheetId="30">#REF!</definedName>
    <definedName name="Tab25a" localSheetId="47">#REF!</definedName>
    <definedName name="Tab25a" localSheetId="44">#REF!</definedName>
    <definedName name="Tab25a" localSheetId="45">#REF!</definedName>
    <definedName name="Tab25a" localSheetId="46">#REF!</definedName>
    <definedName name="Tab25a" localSheetId="31">#REF!</definedName>
    <definedName name="Tab25a" localSheetId="32">#REF!</definedName>
    <definedName name="Tab25a" localSheetId="33">#REF!</definedName>
    <definedName name="Tab25a" localSheetId="36">#REF!</definedName>
    <definedName name="Tab25a" localSheetId="37">#REF!</definedName>
    <definedName name="Tab25a" localSheetId="38">#REF!</definedName>
    <definedName name="Tab25a" localSheetId="39">#REF!</definedName>
    <definedName name="Tab25a" localSheetId="40">#REF!</definedName>
    <definedName name="Tab25a" localSheetId="54">#REF!</definedName>
    <definedName name="Tab25a" localSheetId="55">#REF!</definedName>
    <definedName name="Tab25a" localSheetId="52">#REF!</definedName>
    <definedName name="Tab25a" localSheetId="23">#REF!</definedName>
    <definedName name="Tab25a" localSheetId="51">#REF!</definedName>
    <definedName name="Tab25a" localSheetId="53">#REF!</definedName>
    <definedName name="Tab25a" localSheetId="20">#REF!</definedName>
    <definedName name="Tab25a">#REF!</definedName>
    <definedName name="Tab25b" localSheetId="34">#REF!</definedName>
    <definedName name="Tab25b" localSheetId="35">#REF!</definedName>
    <definedName name="Tab25b" localSheetId="50">#REF!</definedName>
    <definedName name="Tab25b" localSheetId="15">#REF!</definedName>
    <definedName name="Tab25b" localSheetId="29">#REF!</definedName>
    <definedName name="Tab25b" localSheetId="30">#REF!</definedName>
    <definedName name="Tab25b" localSheetId="47">#REF!</definedName>
    <definedName name="Tab25b" localSheetId="44">#REF!</definedName>
    <definedName name="Tab25b" localSheetId="45">#REF!</definedName>
    <definedName name="Tab25b" localSheetId="46">#REF!</definedName>
    <definedName name="Tab25b" localSheetId="31">#REF!</definedName>
    <definedName name="Tab25b" localSheetId="32">#REF!</definedName>
    <definedName name="Tab25b" localSheetId="33">#REF!</definedName>
    <definedName name="Tab25b" localSheetId="36">#REF!</definedName>
    <definedName name="Tab25b" localSheetId="37">#REF!</definedName>
    <definedName name="Tab25b" localSheetId="38">#REF!</definedName>
    <definedName name="Tab25b" localSheetId="39">#REF!</definedName>
    <definedName name="Tab25b" localSheetId="40">#REF!</definedName>
    <definedName name="Tab25b" localSheetId="54">#REF!</definedName>
    <definedName name="Tab25b" localSheetId="55">#REF!</definedName>
    <definedName name="Tab25b" localSheetId="52">#REF!</definedName>
    <definedName name="Tab25b" localSheetId="23">#REF!</definedName>
    <definedName name="Tab25b" localSheetId="51">#REF!</definedName>
    <definedName name="Tab25b" localSheetId="53">#REF!</definedName>
    <definedName name="Tab25b" localSheetId="20">#REF!</definedName>
    <definedName name="Tab25b">#REF!</definedName>
    <definedName name="TAB2A" localSheetId="34">#REF!</definedName>
    <definedName name="TAB2A" localSheetId="35">#REF!</definedName>
    <definedName name="TAB2A" localSheetId="50">#REF!</definedName>
    <definedName name="TAB2A" localSheetId="15">#REF!</definedName>
    <definedName name="TAB2A" localSheetId="29">#REF!</definedName>
    <definedName name="TAB2A" localSheetId="30">#REF!</definedName>
    <definedName name="TAB2A" localSheetId="47">#REF!</definedName>
    <definedName name="TAB2A" localSheetId="44">#REF!</definedName>
    <definedName name="TAB2A" localSheetId="45">#REF!</definedName>
    <definedName name="TAB2A" localSheetId="46">#REF!</definedName>
    <definedName name="TAB2A" localSheetId="31">#REF!</definedName>
    <definedName name="TAB2A" localSheetId="32">#REF!</definedName>
    <definedName name="TAB2A" localSheetId="33">#REF!</definedName>
    <definedName name="TAB2A" localSheetId="36">#REF!</definedName>
    <definedName name="TAB2A" localSheetId="37">#REF!</definedName>
    <definedName name="TAB2A" localSheetId="38">#REF!</definedName>
    <definedName name="TAB2A" localSheetId="39">#REF!</definedName>
    <definedName name="TAB2A" localSheetId="40">#REF!</definedName>
    <definedName name="TAB2A" localSheetId="54">#REF!</definedName>
    <definedName name="TAB2A" localSheetId="55">#REF!</definedName>
    <definedName name="TAB2A" localSheetId="52">#REF!</definedName>
    <definedName name="TAB2A" localSheetId="23">#REF!</definedName>
    <definedName name="TAB2A" localSheetId="51">#REF!</definedName>
    <definedName name="TAB2A" localSheetId="53">#REF!</definedName>
    <definedName name="TAB2A" localSheetId="20">#REF!</definedName>
    <definedName name="TAB2A">#REF!</definedName>
    <definedName name="Tab2Imports" localSheetId="50">#REF!</definedName>
    <definedName name="Tab2Imports" localSheetId="47">#REF!</definedName>
    <definedName name="Tab2Imports" localSheetId="44">#REF!</definedName>
    <definedName name="Tab2Imports" localSheetId="45">#REF!</definedName>
    <definedName name="Tab2Imports" localSheetId="46">#REF!</definedName>
    <definedName name="Tab2Imports" localSheetId="37">#REF!</definedName>
    <definedName name="Tab2Imports" localSheetId="40">#REF!</definedName>
    <definedName name="Tab2Imports" localSheetId="54">#REF!</definedName>
    <definedName name="Tab2Imports" localSheetId="55">#REF!</definedName>
    <definedName name="Tab2Imports" localSheetId="52">#REF!</definedName>
    <definedName name="Tab2Imports" localSheetId="51">#REF!</definedName>
    <definedName name="Tab2Imports" localSheetId="53">#REF!</definedName>
    <definedName name="Tab2Imports">#REF!</definedName>
    <definedName name="Tab3BoP" localSheetId="50">#REF!</definedName>
    <definedName name="Tab3BoP" localSheetId="47">#REF!</definedName>
    <definedName name="Tab3BoP" localSheetId="44">#REF!</definedName>
    <definedName name="Tab3BoP" localSheetId="45">#REF!</definedName>
    <definedName name="Tab3BoP" localSheetId="46">#REF!</definedName>
    <definedName name="Tab3BoP" localSheetId="37">#REF!</definedName>
    <definedName name="Tab3BoP" localSheetId="40">#REF!</definedName>
    <definedName name="Tab3BoP" localSheetId="54">#REF!</definedName>
    <definedName name="Tab3BoP" localSheetId="55">#REF!</definedName>
    <definedName name="Tab3BoP" localSheetId="52">#REF!</definedName>
    <definedName name="Tab3BoP" localSheetId="51">#REF!</definedName>
    <definedName name="Tab3BoP" localSheetId="53">#REF!</definedName>
    <definedName name="Tab3BoP">#REF!</definedName>
    <definedName name="TAB5A" localSheetId="34">#REF!</definedName>
    <definedName name="TAB5A" localSheetId="35">#REF!</definedName>
    <definedName name="TAB5A" localSheetId="50">#REF!</definedName>
    <definedName name="TAB5A" localSheetId="15">#REF!</definedName>
    <definedName name="TAB5A" localSheetId="29">#REF!</definedName>
    <definedName name="TAB5A" localSheetId="30">#REF!</definedName>
    <definedName name="TAB5A" localSheetId="47">#REF!</definedName>
    <definedName name="TAB5A" localSheetId="44">#REF!</definedName>
    <definedName name="TAB5A" localSheetId="45">#REF!</definedName>
    <definedName name="TAB5A" localSheetId="46">#REF!</definedName>
    <definedName name="TAB5A" localSheetId="31">#REF!</definedName>
    <definedName name="TAB5A" localSheetId="32">#REF!</definedName>
    <definedName name="TAB5A" localSheetId="33">#REF!</definedName>
    <definedName name="TAB5A" localSheetId="36">#REF!</definedName>
    <definedName name="TAB5A" localSheetId="37">#REF!</definedName>
    <definedName name="TAB5A" localSheetId="38">#REF!</definedName>
    <definedName name="TAB5A" localSheetId="39">#REF!</definedName>
    <definedName name="TAB5A" localSheetId="40">#REF!</definedName>
    <definedName name="TAB5A" localSheetId="54">#REF!</definedName>
    <definedName name="TAB5A" localSheetId="55">#REF!</definedName>
    <definedName name="TAB5A" localSheetId="52">#REF!</definedName>
    <definedName name="TAB5A" localSheetId="23">#REF!</definedName>
    <definedName name="TAB5A" localSheetId="51">#REF!</definedName>
    <definedName name="TAB5A" localSheetId="53">#REF!</definedName>
    <definedName name="TAB5A" localSheetId="20">#REF!</definedName>
    <definedName name="TAB5A">#REF!</definedName>
    <definedName name="TAB6A" localSheetId="34">'[30]Annual Tables'!#REF!</definedName>
    <definedName name="TAB6A" localSheetId="35">'[30]Annual Tables'!#REF!</definedName>
    <definedName name="TAB6A" localSheetId="50">'[30]Annual Tables'!#REF!</definedName>
    <definedName name="TAB6A" localSheetId="15">'[30]Annual Tables'!#REF!</definedName>
    <definedName name="TAB6A" localSheetId="29">'[30]Annual Tables'!#REF!</definedName>
    <definedName name="TAB6A" localSheetId="30">'[30]Annual Tables'!#REF!</definedName>
    <definedName name="TAB6A" localSheetId="47">'[30]Annual Tables'!#REF!</definedName>
    <definedName name="TAB6A" localSheetId="44">'[30]Annual Tables'!#REF!</definedName>
    <definedName name="TAB6A" localSheetId="45">'[30]Annual Tables'!#REF!</definedName>
    <definedName name="TAB6A" localSheetId="46">'[30]Annual Tables'!#REF!</definedName>
    <definedName name="TAB6A" localSheetId="31">'[30]Annual Tables'!#REF!</definedName>
    <definedName name="TAB6A" localSheetId="32">'[30]Annual Tables'!#REF!</definedName>
    <definedName name="TAB6A" localSheetId="33">'[30]Annual Tables'!#REF!</definedName>
    <definedName name="TAB6A" localSheetId="36">'[30]Annual Tables'!#REF!</definedName>
    <definedName name="TAB6A" localSheetId="37">'[30]Annual Tables'!#REF!</definedName>
    <definedName name="TAB6A" localSheetId="38">'[30]Annual Tables'!#REF!</definedName>
    <definedName name="TAB6A" localSheetId="39">'[30]Annual Tables'!#REF!</definedName>
    <definedName name="TAB6A" localSheetId="40">'[30]Annual Tables'!#REF!</definedName>
    <definedName name="TAB6A" localSheetId="54">'[30]Annual Tables'!#REF!</definedName>
    <definedName name="TAB6A" localSheetId="55">'[30]Annual Tables'!#REF!</definedName>
    <definedName name="TAB6A" localSheetId="52">'[30]Annual Tables'!#REF!</definedName>
    <definedName name="TAB6A" localSheetId="23">'[30]Annual Tables'!#REF!</definedName>
    <definedName name="TAB6A" localSheetId="51">'[30]Annual Tables'!#REF!</definedName>
    <definedName name="TAB6A" localSheetId="53">'[30]Annual Tables'!#REF!</definedName>
    <definedName name="TAB6A" localSheetId="20">'[30]Annual Tables'!#REF!</definedName>
    <definedName name="TAB6A">'[30]Annual Tables'!#REF!</definedName>
    <definedName name="TAB6B" localSheetId="34">'[30]Annual Tables'!#REF!</definedName>
    <definedName name="TAB6B" localSheetId="35">'[30]Annual Tables'!#REF!</definedName>
    <definedName name="TAB6B" localSheetId="50">'[30]Annual Tables'!#REF!</definedName>
    <definedName name="TAB6B" localSheetId="15">'[30]Annual Tables'!#REF!</definedName>
    <definedName name="TAB6B" localSheetId="29">'[30]Annual Tables'!#REF!</definedName>
    <definedName name="TAB6B" localSheetId="30">'[30]Annual Tables'!#REF!</definedName>
    <definedName name="TAB6B" localSheetId="47">'[30]Annual Tables'!#REF!</definedName>
    <definedName name="TAB6B" localSheetId="44">'[30]Annual Tables'!#REF!</definedName>
    <definedName name="TAB6B" localSheetId="45">'[30]Annual Tables'!#REF!</definedName>
    <definedName name="TAB6B" localSheetId="46">'[30]Annual Tables'!#REF!</definedName>
    <definedName name="TAB6B" localSheetId="31">'[30]Annual Tables'!#REF!</definedName>
    <definedName name="TAB6B" localSheetId="32">'[30]Annual Tables'!#REF!</definedName>
    <definedName name="TAB6B" localSheetId="33">'[30]Annual Tables'!#REF!</definedName>
    <definedName name="TAB6B" localSheetId="36">'[30]Annual Tables'!#REF!</definedName>
    <definedName name="TAB6B" localSheetId="37">'[30]Annual Tables'!#REF!</definedName>
    <definedName name="TAB6B" localSheetId="38">'[30]Annual Tables'!#REF!</definedName>
    <definedName name="TAB6B" localSheetId="39">'[30]Annual Tables'!#REF!</definedName>
    <definedName name="TAB6B" localSheetId="40">'[30]Annual Tables'!#REF!</definedName>
    <definedName name="TAB6B" localSheetId="54">'[30]Annual Tables'!#REF!</definedName>
    <definedName name="TAB6B" localSheetId="55">'[30]Annual Tables'!#REF!</definedName>
    <definedName name="TAB6B" localSheetId="52">'[30]Annual Tables'!#REF!</definedName>
    <definedName name="TAB6B" localSheetId="23">'[30]Annual Tables'!#REF!</definedName>
    <definedName name="TAB6B" localSheetId="51">'[30]Annual Tables'!#REF!</definedName>
    <definedName name="TAB6B" localSheetId="53">'[30]Annual Tables'!#REF!</definedName>
    <definedName name="TAB6B" localSheetId="20">'[30]Annual Tables'!#REF!</definedName>
    <definedName name="TAB6B">'[30]Annual Tables'!#REF!</definedName>
    <definedName name="TAB6C" localSheetId="34">#REF!</definedName>
    <definedName name="TAB6C" localSheetId="35">#REF!</definedName>
    <definedName name="TAB6C" localSheetId="50">#REF!</definedName>
    <definedName name="TAB6C" localSheetId="15">#REF!</definedName>
    <definedName name="TAB6C" localSheetId="29">#REF!</definedName>
    <definedName name="TAB6C" localSheetId="30">#REF!</definedName>
    <definedName name="TAB6C" localSheetId="47">#REF!</definedName>
    <definedName name="TAB6C" localSheetId="44">#REF!</definedName>
    <definedName name="TAB6C" localSheetId="45">#REF!</definedName>
    <definedName name="TAB6C" localSheetId="46">#REF!</definedName>
    <definedName name="TAB6C" localSheetId="31">#REF!</definedName>
    <definedName name="TAB6C" localSheetId="32">#REF!</definedName>
    <definedName name="TAB6C" localSheetId="33">#REF!</definedName>
    <definedName name="TAB6C" localSheetId="36">#REF!</definedName>
    <definedName name="TAB6C" localSheetId="37">#REF!</definedName>
    <definedName name="TAB6C" localSheetId="38">#REF!</definedName>
    <definedName name="TAB6C" localSheetId="39">#REF!</definedName>
    <definedName name="TAB6C" localSheetId="40">#REF!</definedName>
    <definedName name="TAB6C" localSheetId="54">#REF!</definedName>
    <definedName name="TAB6C" localSheetId="55">#REF!</definedName>
    <definedName name="TAB6C" localSheetId="52">#REF!</definedName>
    <definedName name="TAB6C" localSheetId="23">#REF!</definedName>
    <definedName name="TAB6C" localSheetId="51">#REF!</definedName>
    <definedName name="TAB6C" localSheetId="53">#REF!</definedName>
    <definedName name="TAB6C" localSheetId="20">#REF!</definedName>
    <definedName name="TAB6C">#REF!</definedName>
    <definedName name="TAB7A" localSheetId="34">#REF!</definedName>
    <definedName name="TAB7A" localSheetId="35">#REF!</definedName>
    <definedName name="TAB7A" localSheetId="50">#REF!</definedName>
    <definedName name="TAB7A" localSheetId="15">#REF!</definedName>
    <definedName name="TAB7A" localSheetId="29">#REF!</definedName>
    <definedName name="TAB7A" localSheetId="30">#REF!</definedName>
    <definedName name="TAB7A" localSheetId="47">#REF!</definedName>
    <definedName name="TAB7A" localSheetId="44">#REF!</definedName>
    <definedName name="TAB7A" localSheetId="45">#REF!</definedName>
    <definedName name="TAB7A" localSheetId="46">#REF!</definedName>
    <definedName name="TAB7A" localSheetId="31">#REF!</definedName>
    <definedName name="TAB7A" localSheetId="32">#REF!</definedName>
    <definedName name="TAB7A" localSheetId="33">#REF!</definedName>
    <definedName name="TAB7A" localSheetId="36">#REF!</definedName>
    <definedName name="TAB7A" localSheetId="37">#REF!</definedName>
    <definedName name="TAB7A" localSheetId="38">#REF!</definedName>
    <definedName name="TAB7A" localSheetId="39">#REF!</definedName>
    <definedName name="TAB7A" localSheetId="40">#REF!</definedName>
    <definedName name="TAB7A" localSheetId="54">#REF!</definedName>
    <definedName name="TAB7A" localSheetId="55">#REF!</definedName>
    <definedName name="TAB7A" localSheetId="52">#REF!</definedName>
    <definedName name="TAB7A" localSheetId="23">#REF!</definedName>
    <definedName name="TAB7A" localSheetId="51">#REF!</definedName>
    <definedName name="TAB7A" localSheetId="53">#REF!</definedName>
    <definedName name="TAB7A" localSheetId="20">#REF!</definedName>
    <definedName name="TAB7A">#REF!</definedName>
    <definedName name="Tab8Employment" localSheetId="50">[149]Labor!#REF!</definedName>
    <definedName name="Tab8Employment" localSheetId="47">[149]Labor!#REF!</definedName>
    <definedName name="Tab8Employment" localSheetId="44">[149]Labor!#REF!</definedName>
    <definedName name="Tab8Employment" localSheetId="45">[149]Labor!#REF!</definedName>
    <definedName name="Tab8Employment" localSheetId="46">[149]Labor!#REF!</definedName>
    <definedName name="Tab8Employment" localSheetId="37">[149]Labor!#REF!</definedName>
    <definedName name="Tab8Employment" localSheetId="40">[149]Labor!#REF!</definedName>
    <definedName name="Tab8Employment" localSheetId="54">[149]Labor!#REF!</definedName>
    <definedName name="Tab8Employment" localSheetId="55">[149]Labor!#REF!</definedName>
    <definedName name="Tab8Employment" localSheetId="52">[149]Labor!#REF!</definedName>
    <definedName name="Tab8Employment" localSheetId="51">[149]Labor!#REF!</definedName>
    <definedName name="Tab8Employment" localSheetId="53">[149]Labor!#REF!</definedName>
    <definedName name="Tab8Employment">[149]Labor!#REF!</definedName>
    <definedName name="Table" localSheetId="50">#REF!</definedName>
    <definedName name="Table" localSheetId="47">#REF!</definedName>
    <definedName name="Table" localSheetId="44">#REF!</definedName>
    <definedName name="Table" localSheetId="45">#REF!</definedName>
    <definedName name="Table" localSheetId="46">#REF!</definedName>
    <definedName name="Table" localSheetId="37">#REF!</definedName>
    <definedName name="Table" localSheetId="40">#REF!</definedName>
    <definedName name="Table" localSheetId="54">#REF!</definedName>
    <definedName name="Table" localSheetId="55">#REF!</definedName>
    <definedName name="Table" localSheetId="52">#REF!</definedName>
    <definedName name="Table" localSheetId="51">#REF!</definedName>
    <definedName name="Table" localSheetId="53">#REF!</definedName>
    <definedName name="Table">#REF!</definedName>
    <definedName name="Table__47" localSheetId="50">[153]RED47!$A$1:$I$53</definedName>
    <definedName name="Table__47" localSheetId="44">[153]RED47!$A$1:$I$53</definedName>
    <definedName name="Table__47" localSheetId="54">[153]RED47!$A$1:$I$53</definedName>
    <definedName name="Table__47" localSheetId="52">[153]RED47!$A$1:$I$53</definedName>
    <definedName name="Table__47" localSheetId="51">[153]RED47!$A$1:$I$53</definedName>
    <definedName name="Table__47" localSheetId="53">[153]RED47!$A$1:$I$53</definedName>
    <definedName name="Table__47">[154]RED47!$A$1:$I$53</definedName>
    <definedName name="Table_2._Country_X___Public_Sector_Financing_1" localSheetId="34">#REF!</definedName>
    <definedName name="Table_2._Country_X___Public_Sector_Financing_1" localSheetId="35">#REF!</definedName>
    <definedName name="Table_2._Country_X___Public_Sector_Financing_1" localSheetId="50">#REF!</definedName>
    <definedName name="Table_2._Country_X___Public_Sector_Financing_1" localSheetId="15">#REF!</definedName>
    <definedName name="Table_2._Country_X___Public_Sector_Financing_1" localSheetId="29">#REF!</definedName>
    <definedName name="Table_2._Country_X___Public_Sector_Financing_1" localSheetId="30">#REF!</definedName>
    <definedName name="Table_2._Country_X___Public_Sector_Financing_1" localSheetId="47">#REF!</definedName>
    <definedName name="Table_2._Country_X___Public_Sector_Financing_1" localSheetId="44">#REF!</definedName>
    <definedName name="Table_2._Country_X___Public_Sector_Financing_1" localSheetId="45">#REF!</definedName>
    <definedName name="Table_2._Country_X___Public_Sector_Financing_1" localSheetId="46">#REF!</definedName>
    <definedName name="Table_2._Country_X___Public_Sector_Financing_1" localSheetId="31">#REF!</definedName>
    <definedName name="Table_2._Country_X___Public_Sector_Financing_1" localSheetId="32">#REF!</definedName>
    <definedName name="Table_2._Country_X___Public_Sector_Financing_1" localSheetId="33">#REF!</definedName>
    <definedName name="Table_2._Country_X___Public_Sector_Financing_1" localSheetId="36">#REF!</definedName>
    <definedName name="Table_2._Country_X___Public_Sector_Financing_1" localSheetId="37">#REF!</definedName>
    <definedName name="Table_2._Country_X___Public_Sector_Financing_1" localSheetId="38">#REF!</definedName>
    <definedName name="Table_2._Country_X___Public_Sector_Financing_1" localSheetId="39">#REF!</definedName>
    <definedName name="Table_2._Country_X___Public_Sector_Financing_1" localSheetId="40">#REF!</definedName>
    <definedName name="Table_2._Country_X___Public_Sector_Financing_1" localSheetId="54">#REF!</definedName>
    <definedName name="Table_2._Country_X___Public_Sector_Financing_1" localSheetId="55">#REF!</definedName>
    <definedName name="Table_2._Country_X___Public_Sector_Financing_1" localSheetId="52">#REF!</definedName>
    <definedName name="Table_2._Country_X___Public_Sector_Financing_1" localSheetId="23">#REF!</definedName>
    <definedName name="Table_2._Country_X___Public_Sector_Financing_1" localSheetId="51">#REF!</definedName>
    <definedName name="Table_2._Country_X___Public_Sector_Financing_1" localSheetId="53">#REF!</definedName>
    <definedName name="Table_2._Country_X___Public_Sector_Financing_1" localSheetId="20">#REF!</definedName>
    <definedName name="Table_2._Country_X___Public_Sector_Financing_1">#REF!</definedName>
    <definedName name="Table_4SR" localSheetId="34">#REF!</definedName>
    <definedName name="Table_4SR" localSheetId="35">#REF!</definedName>
    <definedName name="Table_4SR" localSheetId="50">#REF!</definedName>
    <definedName name="Table_4SR" localSheetId="15">#REF!</definedName>
    <definedName name="Table_4SR" localSheetId="29">#REF!</definedName>
    <definedName name="Table_4SR" localSheetId="30">#REF!</definedName>
    <definedName name="Table_4SR" localSheetId="47">#REF!</definedName>
    <definedName name="Table_4SR" localSheetId="44">#REF!</definedName>
    <definedName name="Table_4SR" localSheetId="45">#REF!</definedName>
    <definedName name="Table_4SR" localSheetId="46">#REF!</definedName>
    <definedName name="Table_4SR" localSheetId="31">#REF!</definedName>
    <definedName name="Table_4SR" localSheetId="32">#REF!</definedName>
    <definedName name="Table_4SR" localSheetId="33">#REF!</definedName>
    <definedName name="Table_4SR" localSheetId="36">#REF!</definedName>
    <definedName name="Table_4SR" localSheetId="37">#REF!</definedName>
    <definedName name="Table_4SR" localSheetId="38">#REF!</definedName>
    <definedName name="Table_4SR" localSheetId="39">#REF!</definedName>
    <definedName name="Table_4SR" localSheetId="40">#REF!</definedName>
    <definedName name="Table_4SR" localSheetId="54">#REF!</definedName>
    <definedName name="Table_4SR" localSheetId="55">#REF!</definedName>
    <definedName name="Table_4SR" localSheetId="52">#REF!</definedName>
    <definedName name="Table_4SR" localSheetId="23">#REF!</definedName>
    <definedName name="Table_4SR" localSheetId="51">#REF!</definedName>
    <definedName name="Table_4SR" localSheetId="53">#REF!</definedName>
    <definedName name="Table_4SR" localSheetId="20">#REF!</definedName>
    <definedName name="Table_4SR">#REF!</definedName>
    <definedName name="Table_Coverage">"1960-1995"</definedName>
    <definedName name="Table_debt">[155]Table!$A$3:$AB$73</definedName>
    <definedName name="Table_Span">1995-1960+1</definedName>
    <definedName name="Table_Template" localSheetId="50">#REF!</definedName>
    <definedName name="Table_Template" localSheetId="47">#REF!</definedName>
    <definedName name="Table_Template" localSheetId="44">#REF!</definedName>
    <definedName name="Table_Template" localSheetId="45">#REF!</definedName>
    <definedName name="Table_Template" localSheetId="46">#REF!</definedName>
    <definedName name="Table_Template" localSheetId="37">#REF!</definedName>
    <definedName name="Table_Template" localSheetId="40">#REF!</definedName>
    <definedName name="Table_Template" localSheetId="54">#REF!</definedName>
    <definedName name="Table_Template" localSheetId="55">#REF!</definedName>
    <definedName name="Table_Template" localSheetId="52">#REF!</definedName>
    <definedName name="Table_Template" localSheetId="51">#REF!</definedName>
    <definedName name="Table_Template" localSheetId="53">#REF!</definedName>
    <definedName name="Table_Template">#REF!</definedName>
    <definedName name="Table1" localSheetId="50">#REF!</definedName>
    <definedName name="Table1" localSheetId="47">#REF!</definedName>
    <definedName name="Table1" localSheetId="44">#REF!</definedName>
    <definedName name="Table1" localSheetId="45">#REF!</definedName>
    <definedName name="Table1" localSheetId="46">#REF!</definedName>
    <definedName name="Table1" localSheetId="37">#REF!</definedName>
    <definedName name="Table1" localSheetId="40">#REF!</definedName>
    <definedName name="Table1" localSheetId="54">#REF!</definedName>
    <definedName name="Table1" localSheetId="55">#REF!</definedName>
    <definedName name="Table1" localSheetId="52">#REF!</definedName>
    <definedName name="Table1" localSheetId="51">#REF!</definedName>
    <definedName name="Table1" localSheetId="53">#REF!</definedName>
    <definedName name="Table1">#REF!</definedName>
    <definedName name="table10" localSheetId="34">#REF!</definedName>
    <definedName name="table10" localSheetId="35">#REF!</definedName>
    <definedName name="table10" localSheetId="50">#REF!</definedName>
    <definedName name="table10" localSheetId="15">#REF!</definedName>
    <definedName name="table10" localSheetId="29">#REF!</definedName>
    <definedName name="table10" localSheetId="30">#REF!</definedName>
    <definedName name="table10" localSheetId="47">#REF!</definedName>
    <definedName name="table10" localSheetId="44">#REF!</definedName>
    <definedName name="table10" localSheetId="45">#REF!</definedName>
    <definedName name="table10" localSheetId="46">#REF!</definedName>
    <definedName name="table10" localSheetId="31">#REF!</definedName>
    <definedName name="table10" localSheetId="32">#REF!</definedName>
    <definedName name="table10" localSheetId="33">#REF!</definedName>
    <definedName name="table10" localSheetId="36">#REF!</definedName>
    <definedName name="table10" localSheetId="37">#REF!</definedName>
    <definedName name="table10" localSheetId="38">#REF!</definedName>
    <definedName name="table10" localSheetId="39">#REF!</definedName>
    <definedName name="table10" localSheetId="40">#REF!</definedName>
    <definedName name="table10" localSheetId="54">#REF!</definedName>
    <definedName name="table10" localSheetId="55">#REF!</definedName>
    <definedName name="table10" localSheetId="52">#REF!</definedName>
    <definedName name="table10" localSheetId="23">#REF!</definedName>
    <definedName name="table10" localSheetId="51">#REF!</definedName>
    <definedName name="table10" localSheetId="53">#REF!</definedName>
    <definedName name="table10" localSheetId="20">#REF!</definedName>
    <definedName name="table10">#REF!</definedName>
    <definedName name="table11?" localSheetId="34">#REF!</definedName>
    <definedName name="table11?" localSheetId="35">#REF!</definedName>
    <definedName name="table11?" localSheetId="50">#REF!</definedName>
    <definedName name="table11?" localSheetId="15">#REF!</definedName>
    <definedName name="table11?" localSheetId="29">#REF!</definedName>
    <definedName name="table11?" localSheetId="30">#REF!</definedName>
    <definedName name="table11?" localSheetId="47">#REF!</definedName>
    <definedName name="table11?" localSheetId="44">#REF!</definedName>
    <definedName name="table11?" localSheetId="45">#REF!</definedName>
    <definedName name="table11?" localSheetId="46">#REF!</definedName>
    <definedName name="table11?" localSheetId="31">#REF!</definedName>
    <definedName name="table11?" localSheetId="32">#REF!</definedName>
    <definedName name="table11?" localSheetId="33">#REF!</definedName>
    <definedName name="table11?" localSheetId="36">#REF!</definedName>
    <definedName name="table11?" localSheetId="37">#REF!</definedName>
    <definedName name="table11?" localSheetId="38">#REF!</definedName>
    <definedName name="table11?" localSheetId="39">#REF!</definedName>
    <definedName name="table11?" localSheetId="40">#REF!</definedName>
    <definedName name="table11?" localSheetId="54">#REF!</definedName>
    <definedName name="table11?" localSheetId="55">#REF!</definedName>
    <definedName name="table11?" localSheetId="52">#REF!</definedName>
    <definedName name="table11?" localSheetId="23">#REF!</definedName>
    <definedName name="table11?" localSheetId="51">#REF!</definedName>
    <definedName name="table11?" localSheetId="53">#REF!</definedName>
    <definedName name="table11?" localSheetId="20">#REF!</definedName>
    <definedName name="table11?">#REF!</definedName>
    <definedName name="table12" localSheetId="34">#REF!</definedName>
    <definedName name="table12" localSheetId="35">#REF!</definedName>
    <definedName name="table12" localSheetId="50">#REF!</definedName>
    <definedName name="table12" localSheetId="15">#REF!</definedName>
    <definedName name="table12" localSheetId="29">#REF!</definedName>
    <definedName name="table12" localSheetId="30">#REF!</definedName>
    <definedName name="table12" localSheetId="47">#REF!</definedName>
    <definedName name="table12" localSheetId="44">#REF!</definedName>
    <definedName name="table12" localSheetId="45">#REF!</definedName>
    <definedName name="table12" localSheetId="46">#REF!</definedName>
    <definedName name="table12" localSheetId="31">#REF!</definedName>
    <definedName name="table12" localSheetId="32">#REF!</definedName>
    <definedName name="table12" localSheetId="33">#REF!</definedName>
    <definedName name="table12" localSheetId="36">#REF!</definedName>
    <definedName name="table12" localSheetId="37">#REF!</definedName>
    <definedName name="table12" localSheetId="38">#REF!</definedName>
    <definedName name="table12" localSheetId="39">#REF!</definedName>
    <definedName name="table12" localSheetId="40">#REF!</definedName>
    <definedName name="table12" localSheetId="54">#REF!</definedName>
    <definedName name="table12" localSheetId="55">#REF!</definedName>
    <definedName name="table12" localSheetId="52">#REF!</definedName>
    <definedName name="table12" localSheetId="23">#REF!</definedName>
    <definedName name="table12" localSheetId="51">#REF!</definedName>
    <definedName name="table12" localSheetId="53">#REF!</definedName>
    <definedName name="table12" localSheetId="20">#REF!</definedName>
    <definedName name="table12">#REF!</definedName>
    <definedName name="table13" localSheetId="34">#REF!</definedName>
    <definedName name="table13" localSheetId="35">#REF!</definedName>
    <definedName name="table13" localSheetId="50">#REF!</definedName>
    <definedName name="table13" localSheetId="15">#REF!</definedName>
    <definedName name="table13" localSheetId="29">#REF!</definedName>
    <definedName name="table13" localSheetId="30">#REF!</definedName>
    <definedName name="table13" localSheetId="47">#REF!</definedName>
    <definedName name="table13" localSheetId="44">#REF!</definedName>
    <definedName name="table13" localSheetId="45">#REF!</definedName>
    <definedName name="table13" localSheetId="46">#REF!</definedName>
    <definedName name="table13" localSheetId="31">#REF!</definedName>
    <definedName name="table13" localSheetId="32">#REF!</definedName>
    <definedName name="table13" localSheetId="33">#REF!</definedName>
    <definedName name="table13" localSheetId="36">#REF!</definedName>
    <definedName name="table13" localSheetId="37">#REF!</definedName>
    <definedName name="table13" localSheetId="38">#REF!</definedName>
    <definedName name="table13" localSheetId="39">#REF!</definedName>
    <definedName name="table13" localSheetId="40">#REF!</definedName>
    <definedName name="table13" localSheetId="54">#REF!</definedName>
    <definedName name="table13" localSheetId="55">#REF!</definedName>
    <definedName name="table13" localSheetId="52">#REF!</definedName>
    <definedName name="table13" localSheetId="23">#REF!</definedName>
    <definedName name="table13" localSheetId="51">#REF!</definedName>
    <definedName name="table13" localSheetId="53">#REF!</definedName>
    <definedName name="table13" localSheetId="20">#REF!</definedName>
    <definedName name="table13">#REF!</definedName>
    <definedName name="TABLE15" localSheetId="34">'[156]3.Maturity buckets'!#REF!</definedName>
    <definedName name="TABLE15" localSheetId="35">'[156]3.Maturity buckets'!#REF!</definedName>
    <definedName name="TABLE15" localSheetId="50">'[157]3.Maturity buckets'!#REF!</definedName>
    <definedName name="TABLE15" localSheetId="15">'[156]3.Maturity buckets'!#REF!</definedName>
    <definedName name="TABLE15" localSheetId="29">'[156]3.Maturity buckets'!#REF!</definedName>
    <definedName name="TABLE15" localSheetId="30">'[156]3.Maturity buckets'!#REF!</definedName>
    <definedName name="TABLE15" localSheetId="47">'[156]3.Maturity buckets'!#REF!</definedName>
    <definedName name="TABLE15" localSheetId="44">'[157]3.Maturity buckets'!#REF!</definedName>
    <definedName name="TABLE15" localSheetId="45">'[156]3.Maturity buckets'!#REF!</definedName>
    <definedName name="TABLE15" localSheetId="46">'[156]3.Maturity buckets'!#REF!</definedName>
    <definedName name="TABLE15" localSheetId="31">'[156]3.Maturity buckets'!#REF!</definedName>
    <definedName name="TABLE15" localSheetId="32">'[156]3.Maturity buckets'!#REF!</definedName>
    <definedName name="TABLE15" localSheetId="33">'[156]3.Maturity buckets'!#REF!</definedName>
    <definedName name="TABLE15" localSheetId="36">'[156]3.Maturity buckets'!#REF!</definedName>
    <definedName name="TABLE15" localSheetId="37">'[156]3.Maturity buckets'!#REF!</definedName>
    <definedName name="TABLE15" localSheetId="38">'[156]3.Maturity buckets'!#REF!</definedName>
    <definedName name="TABLE15" localSheetId="39">'[156]3.Maturity buckets'!#REF!</definedName>
    <definedName name="TABLE15" localSheetId="40">'[156]3.Maturity buckets'!#REF!</definedName>
    <definedName name="TABLE15" localSheetId="54">'[158]3.Maturity buckets'!#REF!</definedName>
    <definedName name="TABLE15" localSheetId="55">'[156]3.Maturity buckets'!#REF!</definedName>
    <definedName name="TABLE15" localSheetId="52">'[157]3.Maturity buckets'!#REF!</definedName>
    <definedName name="TABLE15" localSheetId="23">'[156]3.Maturity buckets'!#REF!</definedName>
    <definedName name="TABLE15" localSheetId="51">'[157]3.Maturity buckets'!#REF!</definedName>
    <definedName name="TABLE15" localSheetId="12">'[156]3.Maturity buckets'!#REF!</definedName>
    <definedName name="TABLE15" localSheetId="53">'[157]3.Maturity buckets'!#REF!</definedName>
    <definedName name="TABLE15" localSheetId="49">'[157]3.Maturity buckets'!#REF!</definedName>
    <definedName name="TABLE15" localSheetId="20">'[156]3.Maturity buckets'!#REF!</definedName>
    <definedName name="TABLE15">'[156]3.Maturity buckets'!#REF!</definedName>
    <definedName name="table16" localSheetId="34">#REF!</definedName>
    <definedName name="table16" localSheetId="35">#REF!</definedName>
    <definedName name="table16" localSheetId="50">#REF!</definedName>
    <definedName name="table16" localSheetId="15">#REF!</definedName>
    <definedName name="table16" localSheetId="29">#REF!</definedName>
    <definedName name="table16" localSheetId="30">#REF!</definedName>
    <definedName name="table16" localSheetId="47">#REF!</definedName>
    <definedName name="table16" localSheetId="44">#REF!</definedName>
    <definedName name="table16" localSheetId="45">#REF!</definedName>
    <definedName name="table16" localSheetId="46">#REF!</definedName>
    <definedName name="table16" localSheetId="31">#REF!</definedName>
    <definedName name="table16" localSheetId="32">#REF!</definedName>
    <definedName name="table16" localSheetId="33">#REF!</definedName>
    <definedName name="table16" localSheetId="36">#REF!</definedName>
    <definedName name="table16" localSheetId="37">#REF!</definedName>
    <definedName name="table16" localSheetId="38">#REF!</definedName>
    <definedName name="table16" localSheetId="39">#REF!</definedName>
    <definedName name="table16" localSheetId="40">#REF!</definedName>
    <definedName name="table16" localSheetId="54">#REF!</definedName>
    <definedName name="table16" localSheetId="55">#REF!</definedName>
    <definedName name="table16" localSheetId="52">#REF!</definedName>
    <definedName name="table16" localSheetId="23">#REF!</definedName>
    <definedName name="table16" localSheetId="51">#REF!</definedName>
    <definedName name="table16" localSheetId="53">#REF!</definedName>
    <definedName name="table16" localSheetId="20">#REF!</definedName>
    <definedName name="table16">#REF!</definedName>
    <definedName name="table17" localSheetId="34">#REF!</definedName>
    <definedName name="table17" localSheetId="35">#REF!</definedName>
    <definedName name="table17" localSheetId="50">#REF!</definedName>
    <definedName name="table17" localSheetId="15">#REF!</definedName>
    <definedName name="table17" localSheetId="29">#REF!</definedName>
    <definedName name="table17" localSheetId="30">#REF!</definedName>
    <definedName name="table17" localSheetId="47">#REF!</definedName>
    <definedName name="table17" localSheetId="44">#REF!</definedName>
    <definedName name="table17" localSheetId="45">#REF!</definedName>
    <definedName name="table17" localSheetId="46">#REF!</definedName>
    <definedName name="table17" localSheetId="31">#REF!</definedName>
    <definedName name="table17" localSheetId="32">#REF!</definedName>
    <definedName name="table17" localSheetId="33">#REF!</definedName>
    <definedName name="table17" localSheetId="36">#REF!</definedName>
    <definedName name="table17" localSheetId="37">#REF!</definedName>
    <definedName name="table17" localSheetId="38">#REF!</definedName>
    <definedName name="table17" localSheetId="39">#REF!</definedName>
    <definedName name="table17" localSheetId="40">#REF!</definedName>
    <definedName name="table17" localSheetId="54">#REF!</definedName>
    <definedName name="table17" localSheetId="55">#REF!</definedName>
    <definedName name="table17" localSheetId="52">#REF!</definedName>
    <definedName name="table17" localSheetId="23">#REF!</definedName>
    <definedName name="table17" localSheetId="51">#REF!</definedName>
    <definedName name="table17" localSheetId="53">#REF!</definedName>
    <definedName name="table17" localSheetId="20">#REF!</definedName>
    <definedName name="table17">#REF!</definedName>
    <definedName name="table18" localSheetId="34">#REF!</definedName>
    <definedName name="table18" localSheetId="35">#REF!</definedName>
    <definedName name="table18" localSheetId="50">#REF!</definedName>
    <definedName name="table18" localSheetId="15">#REF!</definedName>
    <definedName name="table18" localSheetId="29">#REF!</definedName>
    <definedName name="table18" localSheetId="30">#REF!</definedName>
    <definedName name="table18" localSheetId="47">#REF!</definedName>
    <definedName name="table18" localSheetId="44">#REF!</definedName>
    <definedName name="table18" localSheetId="45">#REF!</definedName>
    <definedName name="table18" localSheetId="46">#REF!</definedName>
    <definedName name="table18" localSheetId="31">#REF!</definedName>
    <definedName name="table18" localSheetId="32">#REF!</definedName>
    <definedName name="table18" localSheetId="33">#REF!</definedName>
    <definedName name="table18" localSheetId="36">#REF!</definedName>
    <definedName name="table18" localSheetId="37">#REF!</definedName>
    <definedName name="table18" localSheetId="38">#REF!</definedName>
    <definedName name="table18" localSheetId="39">#REF!</definedName>
    <definedName name="table18" localSheetId="40">#REF!</definedName>
    <definedName name="table18" localSheetId="54">#REF!</definedName>
    <definedName name="table18" localSheetId="55">#REF!</definedName>
    <definedName name="table18" localSheetId="52">#REF!</definedName>
    <definedName name="table18" localSheetId="23">#REF!</definedName>
    <definedName name="table18" localSheetId="51">#REF!</definedName>
    <definedName name="table18" localSheetId="53">#REF!</definedName>
    <definedName name="table18" localSheetId="20">#REF!</definedName>
    <definedName name="table18">#REF!</definedName>
    <definedName name="table19" localSheetId="34">#REF!</definedName>
    <definedName name="table19" localSheetId="35">#REF!</definedName>
    <definedName name="table19" localSheetId="50">#REF!</definedName>
    <definedName name="table19" localSheetId="15">#REF!</definedName>
    <definedName name="table19" localSheetId="29">#REF!</definedName>
    <definedName name="table19" localSheetId="30">#REF!</definedName>
    <definedName name="table19" localSheetId="47">#REF!</definedName>
    <definedName name="table19" localSheetId="44">#REF!</definedName>
    <definedName name="table19" localSheetId="45">#REF!</definedName>
    <definedName name="table19" localSheetId="46">#REF!</definedName>
    <definedName name="table19" localSheetId="31">#REF!</definedName>
    <definedName name="table19" localSheetId="32">#REF!</definedName>
    <definedName name="table19" localSheetId="33">#REF!</definedName>
    <definedName name="table19" localSheetId="36">#REF!</definedName>
    <definedName name="table19" localSheetId="37">#REF!</definedName>
    <definedName name="table19" localSheetId="38">#REF!</definedName>
    <definedName name="table19" localSheetId="39">#REF!</definedName>
    <definedName name="table19" localSheetId="40">#REF!</definedName>
    <definedName name="table19" localSheetId="54">#REF!</definedName>
    <definedName name="table19" localSheetId="55">#REF!</definedName>
    <definedName name="table19" localSheetId="52">#REF!</definedName>
    <definedName name="table19" localSheetId="23">#REF!</definedName>
    <definedName name="table19" localSheetId="51">#REF!</definedName>
    <definedName name="table19" localSheetId="53">#REF!</definedName>
    <definedName name="table19" localSheetId="20">#REF!</definedName>
    <definedName name="table19">#REF!</definedName>
    <definedName name="table2" localSheetId="34">#REF!</definedName>
    <definedName name="table2" localSheetId="35">#REF!</definedName>
    <definedName name="Table2" localSheetId="50">#REF!</definedName>
    <definedName name="table2" localSheetId="15">#REF!</definedName>
    <definedName name="table2" localSheetId="29">#REF!</definedName>
    <definedName name="table2" localSheetId="30">#REF!</definedName>
    <definedName name="table2" localSheetId="47">#REF!</definedName>
    <definedName name="Table2" localSheetId="44">#REF!</definedName>
    <definedName name="table2" localSheetId="45">#REF!</definedName>
    <definedName name="table2" localSheetId="46">#REF!</definedName>
    <definedName name="table2" localSheetId="31">#REF!</definedName>
    <definedName name="table2" localSheetId="32">#REF!</definedName>
    <definedName name="table2" localSheetId="33">#REF!</definedName>
    <definedName name="table2" localSheetId="36">#REF!</definedName>
    <definedName name="table2" localSheetId="37">#REF!</definedName>
    <definedName name="table2" localSheetId="38">#REF!</definedName>
    <definedName name="table2" localSheetId="39">#REF!</definedName>
    <definedName name="table2" localSheetId="40">#REF!</definedName>
    <definedName name="Table2" localSheetId="54">#REF!</definedName>
    <definedName name="table2" localSheetId="55">#REF!</definedName>
    <definedName name="Table2" localSheetId="52">#REF!</definedName>
    <definedName name="table2" localSheetId="23">#REF!</definedName>
    <definedName name="Table2" localSheetId="51">#REF!</definedName>
    <definedName name="table2" localSheetId="53">#REF!</definedName>
    <definedName name="table2" localSheetId="20">#REF!</definedName>
    <definedName name="table2">#REF!</definedName>
    <definedName name="table20" localSheetId="34">#REF!</definedName>
    <definedName name="table20" localSheetId="35">#REF!</definedName>
    <definedName name="table20" localSheetId="50">#REF!</definedName>
    <definedName name="table20" localSheetId="15">#REF!</definedName>
    <definedName name="table20" localSheetId="29">#REF!</definedName>
    <definedName name="table20" localSheetId="30">#REF!</definedName>
    <definedName name="table20" localSheetId="47">#REF!</definedName>
    <definedName name="table20" localSheetId="44">#REF!</definedName>
    <definedName name="table20" localSheetId="45">#REF!</definedName>
    <definedName name="table20" localSheetId="46">#REF!</definedName>
    <definedName name="table20" localSheetId="31">#REF!</definedName>
    <definedName name="table20" localSheetId="32">#REF!</definedName>
    <definedName name="table20" localSheetId="33">#REF!</definedName>
    <definedName name="table20" localSheetId="36">#REF!</definedName>
    <definedName name="table20" localSheetId="37">#REF!</definedName>
    <definedName name="table20" localSheetId="38">#REF!</definedName>
    <definedName name="table20" localSheetId="39">#REF!</definedName>
    <definedName name="table20" localSheetId="40">#REF!</definedName>
    <definedName name="table20" localSheetId="54">#REF!</definedName>
    <definedName name="table20" localSheetId="55">#REF!</definedName>
    <definedName name="table20" localSheetId="52">#REF!</definedName>
    <definedName name="table20" localSheetId="23">#REF!</definedName>
    <definedName name="table20" localSheetId="51">#REF!</definedName>
    <definedName name="table20" localSheetId="53">#REF!</definedName>
    <definedName name="table20" localSheetId="20">#REF!</definedName>
    <definedName name="table20">#REF!</definedName>
    <definedName name="table21" localSheetId="34">#REF!</definedName>
    <definedName name="table21" localSheetId="35">#REF!</definedName>
    <definedName name="table21" localSheetId="50">#REF!</definedName>
    <definedName name="table21" localSheetId="15">#REF!</definedName>
    <definedName name="table21" localSheetId="29">#REF!</definedName>
    <definedName name="table21" localSheetId="30">#REF!</definedName>
    <definedName name="table21" localSheetId="47">#REF!</definedName>
    <definedName name="table21" localSheetId="44">#REF!</definedName>
    <definedName name="table21" localSheetId="45">#REF!</definedName>
    <definedName name="table21" localSheetId="46">#REF!</definedName>
    <definedName name="table21" localSheetId="31">#REF!</definedName>
    <definedName name="table21" localSheetId="32">#REF!</definedName>
    <definedName name="table21" localSheetId="33">#REF!</definedName>
    <definedName name="table21" localSheetId="36">#REF!</definedName>
    <definedName name="table21" localSheetId="37">#REF!</definedName>
    <definedName name="table21" localSheetId="38">#REF!</definedName>
    <definedName name="table21" localSheetId="39">#REF!</definedName>
    <definedName name="table21" localSheetId="40">#REF!</definedName>
    <definedName name="table21" localSheetId="54">#REF!</definedName>
    <definedName name="table21" localSheetId="55">#REF!</definedName>
    <definedName name="table21" localSheetId="52">#REF!</definedName>
    <definedName name="table21" localSheetId="23">#REF!</definedName>
    <definedName name="table21" localSheetId="51">#REF!</definedName>
    <definedName name="table21" localSheetId="53">#REF!</definedName>
    <definedName name="table21" localSheetId="20">#REF!</definedName>
    <definedName name="table21">#REF!</definedName>
    <definedName name="table22a" localSheetId="34">#REF!</definedName>
    <definedName name="table22a" localSheetId="35">#REF!</definedName>
    <definedName name="table22a" localSheetId="50">#REF!</definedName>
    <definedName name="table22a" localSheetId="15">#REF!</definedName>
    <definedName name="table22a" localSheetId="29">#REF!</definedName>
    <definedName name="table22a" localSheetId="30">#REF!</definedName>
    <definedName name="table22a" localSheetId="47">#REF!</definedName>
    <definedName name="table22a" localSheetId="44">#REF!</definedName>
    <definedName name="table22a" localSheetId="45">#REF!</definedName>
    <definedName name="table22a" localSheetId="46">#REF!</definedName>
    <definedName name="table22a" localSheetId="31">#REF!</definedName>
    <definedName name="table22a" localSheetId="32">#REF!</definedName>
    <definedName name="table22a" localSheetId="33">#REF!</definedName>
    <definedName name="table22a" localSheetId="36">#REF!</definedName>
    <definedName name="table22a" localSheetId="37">#REF!</definedName>
    <definedName name="table22a" localSheetId="38">#REF!</definedName>
    <definedName name="table22a" localSheetId="39">#REF!</definedName>
    <definedName name="table22a" localSheetId="40">#REF!</definedName>
    <definedName name="table22a" localSheetId="54">#REF!</definedName>
    <definedName name="table22a" localSheetId="55">#REF!</definedName>
    <definedName name="table22a" localSheetId="52">#REF!</definedName>
    <definedName name="table22a" localSheetId="23">#REF!</definedName>
    <definedName name="table22a" localSheetId="51">#REF!</definedName>
    <definedName name="table22a" localSheetId="53">#REF!</definedName>
    <definedName name="table22a" localSheetId="20">#REF!</definedName>
    <definedName name="table22a">#REF!</definedName>
    <definedName name="table22b" localSheetId="34">#REF!</definedName>
    <definedName name="table22b" localSheetId="35">#REF!</definedName>
    <definedName name="table22b" localSheetId="50">#REF!</definedName>
    <definedName name="table22b" localSheetId="15">#REF!</definedName>
    <definedName name="table22b" localSheetId="29">#REF!</definedName>
    <definedName name="table22b" localSheetId="30">#REF!</definedName>
    <definedName name="table22b" localSheetId="47">#REF!</definedName>
    <definedName name="table22b" localSheetId="44">#REF!</definedName>
    <definedName name="table22b" localSheetId="45">#REF!</definedName>
    <definedName name="table22b" localSheetId="46">#REF!</definedName>
    <definedName name="table22b" localSheetId="31">#REF!</definedName>
    <definedName name="table22b" localSheetId="32">#REF!</definedName>
    <definedName name="table22b" localSheetId="33">#REF!</definedName>
    <definedName name="table22b" localSheetId="36">#REF!</definedName>
    <definedName name="table22b" localSheetId="37">#REF!</definedName>
    <definedName name="table22b" localSheetId="38">#REF!</definedName>
    <definedName name="table22b" localSheetId="39">#REF!</definedName>
    <definedName name="table22b" localSheetId="40">#REF!</definedName>
    <definedName name="table22b" localSheetId="54">#REF!</definedName>
    <definedName name="table22b" localSheetId="55">#REF!</definedName>
    <definedName name="table22b" localSheetId="52">#REF!</definedName>
    <definedName name="table22b" localSheetId="23">#REF!</definedName>
    <definedName name="table22b" localSheetId="51">#REF!</definedName>
    <definedName name="table22b" localSheetId="53">#REF!</definedName>
    <definedName name="table22b" localSheetId="20">#REF!</definedName>
    <definedName name="table22b">#REF!</definedName>
    <definedName name="table25" localSheetId="34">#REF!</definedName>
    <definedName name="table25" localSheetId="35">#REF!</definedName>
    <definedName name="table25" localSheetId="50">#REF!</definedName>
    <definedName name="table25" localSheetId="15">#REF!</definedName>
    <definedName name="table25" localSheetId="29">#REF!</definedName>
    <definedName name="table25" localSheetId="30">#REF!</definedName>
    <definedName name="table25" localSheetId="47">#REF!</definedName>
    <definedName name="table25" localSheetId="44">#REF!</definedName>
    <definedName name="table25" localSheetId="45">#REF!</definedName>
    <definedName name="table25" localSheetId="46">#REF!</definedName>
    <definedName name="table25" localSheetId="31">#REF!</definedName>
    <definedName name="table25" localSheetId="32">#REF!</definedName>
    <definedName name="table25" localSheetId="33">#REF!</definedName>
    <definedName name="table25" localSheetId="36">#REF!</definedName>
    <definedName name="table25" localSheetId="37">#REF!</definedName>
    <definedName name="table25" localSheetId="38">#REF!</definedName>
    <definedName name="table25" localSheetId="39">#REF!</definedName>
    <definedName name="table25" localSheetId="40">#REF!</definedName>
    <definedName name="table25" localSheetId="54">#REF!</definedName>
    <definedName name="table25" localSheetId="55">#REF!</definedName>
    <definedName name="table25" localSheetId="52">#REF!</definedName>
    <definedName name="table25" localSheetId="23">#REF!</definedName>
    <definedName name="table25" localSheetId="51">#REF!</definedName>
    <definedName name="table25" localSheetId="53">#REF!</definedName>
    <definedName name="table25" localSheetId="20">#REF!</definedName>
    <definedName name="table25">#REF!</definedName>
    <definedName name="table26" localSheetId="34">#REF!</definedName>
    <definedName name="table26" localSheetId="35">#REF!</definedName>
    <definedName name="table26" localSheetId="50">#REF!</definedName>
    <definedName name="table26" localSheetId="15">#REF!</definedName>
    <definedName name="table26" localSheetId="29">#REF!</definedName>
    <definedName name="table26" localSheetId="30">#REF!</definedName>
    <definedName name="table26" localSheetId="47">#REF!</definedName>
    <definedName name="table26" localSheetId="44">#REF!</definedName>
    <definedName name="table26" localSheetId="45">#REF!</definedName>
    <definedName name="table26" localSheetId="46">#REF!</definedName>
    <definedName name="table26" localSheetId="31">#REF!</definedName>
    <definedName name="table26" localSheetId="32">#REF!</definedName>
    <definedName name="table26" localSheetId="33">#REF!</definedName>
    <definedName name="table26" localSheetId="36">#REF!</definedName>
    <definedName name="table26" localSheetId="37">#REF!</definedName>
    <definedName name="table26" localSheetId="38">#REF!</definedName>
    <definedName name="table26" localSheetId="39">#REF!</definedName>
    <definedName name="table26" localSheetId="40">#REF!</definedName>
    <definedName name="table26" localSheetId="54">#REF!</definedName>
    <definedName name="table26" localSheetId="55">#REF!</definedName>
    <definedName name="table26" localSheetId="52">#REF!</definedName>
    <definedName name="table26" localSheetId="23">#REF!</definedName>
    <definedName name="table26" localSheetId="51">#REF!</definedName>
    <definedName name="table26" localSheetId="53">#REF!</definedName>
    <definedName name="table26" localSheetId="20">#REF!</definedName>
    <definedName name="table26">#REF!</definedName>
    <definedName name="table3" localSheetId="34">#REF!</definedName>
    <definedName name="table3" localSheetId="35">#REF!</definedName>
    <definedName name="table3" localSheetId="50">#REF!</definedName>
    <definedName name="table3" localSheetId="15">#REF!</definedName>
    <definedName name="table3" localSheetId="29">#REF!</definedName>
    <definedName name="table3" localSheetId="30">#REF!</definedName>
    <definedName name="table3" localSheetId="47">#REF!</definedName>
    <definedName name="table3" localSheetId="44">#REF!</definedName>
    <definedName name="table3" localSheetId="45">#REF!</definedName>
    <definedName name="table3" localSheetId="46">#REF!</definedName>
    <definedName name="table3" localSheetId="31">#REF!</definedName>
    <definedName name="table3" localSheetId="32">#REF!</definedName>
    <definedName name="table3" localSheetId="33">#REF!</definedName>
    <definedName name="table3" localSheetId="36">#REF!</definedName>
    <definedName name="table3" localSheetId="37">#REF!</definedName>
    <definedName name="table3" localSheetId="38">#REF!</definedName>
    <definedName name="table3" localSheetId="39">#REF!</definedName>
    <definedName name="table3" localSheetId="40">#REF!</definedName>
    <definedName name="table3" localSheetId="54">#REF!</definedName>
    <definedName name="table3" localSheetId="55">#REF!</definedName>
    <definedName name="table3" localSheetId="52">#REF!</definedName>
    <definedName name="table3" localSheetId="23">#REF!</definedName>
    <definedName name="table3" localSheetId="51">#REF!</definedName>
    <definedName name="table3" localSheetId="53">#REF!</definedName>
    <definedName name="table3" localSheetId="20">#REF!</definedName>
    <definedName name="table3">#REF!</definedName>
    <definedName name="Table5" localSheetId="34">[159]Stfrprtables!#REF!</definedName>
    <definedName name="Table5" localSheetId="35">[159]Stfrprtables!#REF!</definedName>
    <definedName name="Table5" localSheetId="50">[159]Stfrprtables!#REF!</definedName>
    <definedName name="Table5" localSheetId="15">[159]Stfrprtables!#REF!</definedName>
    <definedName name="Table5" localSheetId="29">[159]Stfrprtables!#REF!</definedName>
    <definedName name="Table5" localSheetId="30">[159]Stfrprtables!#REF!</definedName>
    <definedName name="Table5" localSheetId="47">[159]Stfrprtables!#REF!</definedName>
    <definedName name="Table5" localSheetId="44">[159]Stfrprtables!#REF!</definedName>
    <definedName name="Table5" localSheetId="45">[159]Stfrprtables!#REF!</definedName>
    <definedName name="Table5" localSheetId="46">[159]Stfrprtables!#REF!</definedName>
    <definedName name="Table5" localSheetId="31">[159]Stfrprtables!#REF!</definedName>
    <definedName name="Table5" localSheetId="32">[159]Stfrprtables!#REF!</definedName>
    <definedName name="Table5" localSheetId="33">[159]Stfrprtables!#REF!</definedName>
    <definedName name="Table5" localSheetId="36">[159]Stfrprtables!#REF!</definedName>
    <definedName name="Table5" localSheetId="37">[159]Stfrprtables!#REF!</definedName>
    <definedName name="Table5" localSheetId="38">[159]Stfrprtables!#REF!</definedName>
    <definedName name="Table5" localSheetId="39">[159]Stfrprtables!#REF!</definedName>
    <definedName name="Table5" localSheetId="40">[159]Stfrprtables!#REF!</definedName>
    <definedName name="Table5" localSheetId="54">[159]Stfrprtables!#REF!</definedName>
    <definedName name="Table5" localSheetId="55">[159]Stfrprtables!#REF!</definedName>
    <definedName name="Table5" localSheetId="52">[159]Stfrprtables!#REF!</definedName>
    <definedName name="Table5" localSheetId="23">[159]Stfrprtables!#REF!</definedName>
    <definedName name="Table5" localSheetId="51">[159]Stfrprtables!#REF!</definedName>
    <definedName name="Table5" localSheetId="53">[159]Stfrprtables!#REF!</definedName>
    <definedName name="Table5" localSheetId="20">[159]Stfrprtables!#REF!</definedName>
    <definedName name="Table5">[159]Stfrprtables!#REF!</definedName>
    <definedName name="Table8" localSheetId="34">#REF!</definedName>
    <definedName name="Table8" localSheetId="35">#REF!</definedName>
    <definedName name="Table8" localSheetId="50">#REF!</definedName>
    <definedName name="Table8" localSheetId="15">#REF!</definedName>
    <definedName name="Table8" localSheetId="29">#REF!</definedName>
    <definedName name="Table8" localSheetId="30">#REF!</definedName>
    <definedName name="Table8" localSheetId="47">#REF!</definedName>
    <definedName name="Table8" localSheetId="44">#REF!</definedName>
    <definedName name="Table8" localSheetId="45">#REF!</definedName>
    <definedName name="Table8" localSheetId="46">#REF!</definedName>
    <definedName name="Table8" localSheetId="31">#REF!</definedName>
    <definedName name="Table8" localSheetId="32">#REF!</definedName>
    <definedName name="Table8" localSheetId="33">#REF!</definedName>
    <definedName name="Table8" localSheetId="36">#REF!</definedName>
    <definedName name="Table8" localSheetId="37">#REF!</definedName>
    <definedName name="Table8" localSheetId="38">#REF!</definedName>
    <definedName name="Table8" localSheetId="39">#REF!</definedName>
    <definedName name="Table8" localSheetId="40">#REF!</definedName>
    <definedName name="Table8" localSheetId="54">#REF!</definedName>
    <definedName name="Table8" localSheetId="55">#REF!</definedName>
    <definedName name="Table8" localSheetId="52">#REF!</definedName>
    <definedName name="Table8" localSheetId="23">#REF!</definedName>
    <definedName name="Table8" localSheetId="51">#REF!</definedName>
    <definedName name="Table8" localSheetId="53">#REF!</definedName>
    <definedName name="Table8" localSheetId="20">#REF!</definedName>
    <definedName name="Table8">#REF!</definedName>
    <definedName name="table9" localSheetId="34">#REF!</definedName>
    <definedName name="table9" localSheetId="35">#REF!</definedName>
    <definedName name="table9" localSheetId="50">#REF!</definedName>
    <definedName name="table9" localSheetId="15">#REF!</definedName>
    <definedName name="table9" localSheetId="29">#REF!</definedName>
    <definedName name="table9" localSheetId="30">#REF!</definedName>
    <definedName name="table9" localSheetId="47">#REF!</definedName>
    <definedName name="table9" localSheetId="44">#REF!</definedName>
    <definedName name="table9" localSheetId="45">#REF!</definedName>
    <definedName name="table9" localSheetId="46">#REF!</definedName>
    <definedName name="table9" localSheetId="31">#REF!</definedName>
    <definedName name="table9" localSheetId="32">#REF!</definedName>
    <definedName name="table9" localSheetId="33">#REF!</definedName>
    <definedName name="table9" localSheetId="36">#REF!</definedName>
    <definedName name="table9" localSheetId="37">#REF!</definedName>
    <definedName name="table9" localSheetId="38">#REF!</definedName>
    <definedName name="table9" localSheetId="39">#REF!</definedName>
    <definedName name="table9" localSheetId="40">#REF!</definedName>
    <definedName name="table9" localSheetId="54">#REF!</definedName>
    <definedName name="table9" localSheetId="55">#REF!</definedName>
    <definedName name="table9" localSheetId="52">#REF!</definedName>
    <definedName name="table9" localSheetId="23">#REF!</definedName>
    <definedName name="table9" localSheetId="51">#REF!</definedName>
    <definedName name="table9" localSheetId="53">#REF!</definedName>
    <definedName name="table9" localSheetId="20">#REF!</definedName>
    <definedName name="table9">#REF!</definedName>
    <definedName name="TableA" localSheetId="50">#REF!</definedName>
    <definedName name="TableA" localSheetId="47">#REF!</definedName>
    <definedName name="TableA" localSheetId="44">#REF!</definedName>
    <definedName name="TableA" localSheetId="45">#REF!</definedName>
    <definedName name="TableA" localSheetId="46">#REF!</definedName>
    <definedName name="TableA" localSheetId="37">#REF!</definedName>
    <definedName name="TableA" localSheetId="40">#REF!</definedName>
    <definedName name="TableA" localSheetId="54">#REF!</definedName>
    <definedName name="TableA" localSheetId="55">#REF!</definedName>
    <definedName name="TableA" localSheetId="52">#REF!</definedName>
    <definedName name="TableA" localSheetId="51">#REF!</definedName>
    <definedName name="TableA" localSheetId="53">#REF!</definedName>
    <definedName name="TableA">#REF!</definedName>
    <definedName name="TableB1" localSheetId="50">#REF!</definedName>
    <definedName name="TableB1" localSheetId="47">#REF!</definedName>
    <definedName name="TableB1" localSheetId="44">#REF!</definedName>
    <definedName name="TableB1" localSheetId="45">#REF!</definedName>
    <definedName name="TableB1" localSheetId="46">#REF!</definedName>
    <definedName name="TableB1" localSheetId="37">#REF!</definedName>
    <definedName name="TableB1" localSheetId="40">#REF!</definedName>
    <definedName name="TableB1" localSheetId="54">#REF!</definedName>
    <definedName name="TableB1" localSheetId="55">#REF!</definedName>
    <definedName name="TableB1" localSheetId="52">#REF!</definedName>
    <definedName name="TableB1" localSheetId="51">#REF!</definedName>
    <definedName name="TableB1" localSheetId="53">#REF!</definedName>
    <definedName name="TableB1">#REF!</definedName>
    <definedName name="TableB2" localSheetId="50">#REF!</definedName>
    <definedName name="TableB2" localSheetId="47">#REF!</definedName>
    <definedName name="TableB2" localSheetId="44">#REF!</definedName>
    <definedName name="TableB2" localSheetId="45">#REF!</definedName>
    <definedName name="TableB2" localSheetId="46">#REF!</definedName>
    <definedName name="TableB2" localSheetId="37">#REF!</definedName>
    <definedName name="TableB2" localSheetId="40">#REF!</definedName>
    <definedName name="TableB2" localSheetId="54">#REF!</definedName>
    <definedName name="TableB2" localSheetId="55">#REF!</definedName>
    <definedName name="TableB2" localSheetId="52">#REF!</definedName>
    <definedName name="TableB2" localSheetId="51">#REF!</definedName>
    <definedName name="TableB2" localSheetId="53">#REF!</definedName>
    <definedName name="TableB2">#REF!</definedName>
    <definedName name="TableB3" localSheetId="50">#REF!</definedName>
    <definedName name="TableB3" localSheetId="47">#REF!</definedName>
    <definedName name="TableB3" localSheetId="44">#REF!</definedName>
    <definedName name="TableB3" localSheetId="45">#REF!</definedName>
    <definedName name="TableB3" localSheetId="46">#REF!</definedName>
    <definedName name="TableB3" localSheetId="37">#REF!</definedName>
    <definedName name="TableB3" localSheetId="40">#REF!</definedName>
    <definedName name="TableB3" localSheetId="54">#REF!</definedName>
    <definedName name="TableB3" localSheetId="55">#REF!</definedName>
    <definedName name="TableB3" localSheetId="52">#REF!</definedName>
    <definedName name="TableB3" localSheetId="51">#REF!</definedName>
    <definedName name="TableB3" localSheetId="53">#REF!</definedName>
    <definedName name="TableB3">#REF!</definedName>
    <definedName name="TableC1" localSheetId="50">#REF!</definedName>
    <definedName name="TableC1" localSheetId="47">#REF!</definedName>
    <definedName name="TableC1" localSheetId="44">#REF!</definedName>
    <definedName name="TableC1" localSheetId="45">#REF!</definedName>
    <definedName name="TableC1" localSheetId="46">#REF!</definedName>
    <definedName name="TableC1" localSheetId="37">#REF!</definedName>
    <definedName name="TableC1" localSheetId="40">#REF!</definedName>
    <definedName name="TableC1" localSheetId="54">#REF!</definedName>
    <definedName name="TableC1" localSheetId="55">#REF!</definedName>
    <definedName name="TableC1" localSheetId="52">#REF!</definedName>
    <definedName name="TableC1" localSheetId="51">#REF!</definedName>
    <definedName name="TableC1" localSheetId="53">#REF!</definedName>
    <definedName name="TableC1">#REF!</definedName>
    <definedName name="TableC2" localSheetId="50">#REF!</definedName>
    <definedName name="TableC2" localSheetId="47">#REF!</definedName>
    <definedName name="TableC2" localSheetId="44">#REF!</definedName>
    <definedName name="TableC2" localSheetId="45">#REF!</definedName>
    <definedName name="TableC2" localSheetId="46">#REF!</definedName>
    <definedName name="TableC2" localSheetId="37">#REF!</definedName>
    <definedName name="TableC2" localSheetId="40">#REF!</definedName>
    <definedName name="TableC2" localSheetId="54">#REF!</definedName>
    <definedName name="TableC2" localSheetId="55">#REF!</definedName>
    <definedName name="TableC2" localSheetId="52">#REF!</definedName>
    <definedName name="TableC2" localSheetId="51">#REF!</definedName>
    <definedName name="TableC2" localSheetId="53">#REF!</definedName>
    <definedName name="TableC2">#REF!</definedName>
    <definedName name="TableC3" localSheetId="50">#REF!</definedName>
    <definedName name="TableC3" localSheetId="47">#REF!</definedName>
    <definedName name="TableC3" localSheetId="44">#REF!</definedName>
    <definedName name="TableC3" localSheetId="45">#REF!</definedName>
    <definedName name="TableC3" localSheetId="46">#REF!</definedName>
    <definedName name="TableC3" localSheetId="37">#REF!</definedName>
    <definedName name="TableC3" localSheetId="40">#REF!</definedName>
    <definedName name="TableC3" localSheetId="54">#REF!</definedName>
    <definedName name="TableC3" localSheetId="55">#REF!</definedName>
    <definedName name="TableC3" localSheetId="52">#REF!</definedName>
    <definedName name="TableC3" localSheetId="51">#REF!</definedName>
    <definedName name="TableC3" localSheetId="53">#REF!</definedName>
    <definedName name="TableC3">#REF!</definedName>
    <definedName name="tabreal" localSheetId="34">#REF!</definedName>
    <definedName name="tabreal" localSheetId="35">#REF!</definedName>
    <definedName name="tabreal" localSheetId="50">#REF!</definedName>
    <definedName name="tabreal" localSheetId="15">#REF!</definedName>
    <definedName name="tabreal" localSheetId="29">#REF!</definedName>
    <definedName name="tabreal" localSheetId="30">#REF!</definedName>
    <definedName name="tabreal" localSheetId="47">#REF!</definedName>
    <definedName name="tabreal" localSheetId="44">#REF!</definedName>
    <definedName name="tabreal" localSheetId="45">#REF!</definedName>
    <definedName name="tabreal" localSheetId="46">#REF!</definedName>
    <definedName name="tabreal" localSheetId="31">#REF!</definedName>
    <definedName name="tabreal" localSheetId="32">#REF!</definedName>
    <definedName name="tabreal" localSheetId="33">#REF!</definedName>
    <definedName name="tabreal" localSheetId="36">#REF!</definedName>
    <definedName name="tabreal" localSheetId="37">#REF!</definedName>
    <definedName name="tabreal" localSheetId="38">#REF!</definedName>
    <definedName name="tabreal" localSheetId="39">#REF!</definedName>
    <definedName name="tabreal" localSheetId="40">#REF!</definedName>
    <definedName name="tabreal" localSheetId="54">#REF!</definedName>
    <definedName name="tabreal" localSheetId="55">#REF!</definedName>
    <definedName name="tabreal" localSheetId="52">#REF!</definedName>
    <definedName name="tabreal" localSheetId="23">#REF!</definedName>
    <definedName name="tabreal" localSheetId="51">#REF!</definedName>
    <definedName name="tabreal" localSheetId="53">#REF!</definedName>
    <definedName name="tabreal" localSheetId="20">#REF!</definedName>
    <definedName name="tabreal">#REF!</definedName>
    <definedName name="TAME" localSheetId="34">#REF!</definedName>
    <definedName name="TAME" localSheetId="35">#REF!</definedName>
    <definedName name="TAME" localSheetId="50">#REF!</definedName>
    <definedName name="TAME" localSheetId="15">#REF!</definedName>
    <definedName name="TAME" localSheetId="29">#REF!</definedName>
    <definedName name="TAME" localSheetId="30">#REF!</definedName>
    <definedName name="TAME" localSheetId="47">#REF!</definedName>
    <definedName name="TAME" localSheetId="44">#REF!</definedName>
    <definedName name="TAME" localSheetId="45">#REF!</definedName>
    <definedName name="TAME" localSheetId="46">#REF!</definedName>
    <definedName name="TAME" localSheetId="31">#REF!</definedName>
    <definedName name="TAME" localSheetId="32">#REF!</definedName>
    <definedName name="TAME" localSheetId="33">#REF!</definedName>
    <definedName name="TAME" localSheetId="36">#REF!</definedName>
    <definedName name="TAME" localSheetId="37">#REF!</definedName>
    <definedName name="TAME" localSheetId="38">#REF!</definedName>
    <definedName name="TAME" localSheetId="39">#REF!</definedName>
    <definedName name="TAME" localSheetId="40">#REF!</definedName>
    <definedName name="TAME" localSheetId="54">#REF!</definedName>
    <definedName name="TAME" localSheetId="55">#REF!</definedName>
    <definedName name="TAME" localSheetId="52">#REF!</definedName>
    <definedName name="TAME" localSheetId="23">#REF!</definedName>
    <definedName name="TAME" localSheetId="51">#REF!</definedName>
    <definedName name="TAME" localSheetId="53">#REF!</definedName>
    <definedName name="TAME" localSheetId="20">#REF!</definedName>
    <definedName name="TAME">#REF!</definedName>
    <definedName name="tarea1" localSheetId="34">#REF!</definedName>
    <definedName name="tarea1" localSheetId="35">#REF!</definedName>
    <definedName name="tarea1" localSheetId="50">#REF!</definedName>
    <definedName name="tarea1" localSheetId="15">#REF!</definedName>
    <definedName name="tarea1" localSheetId="29">#REF!</definedName>
    <definedName name="tarea1" localSheetId="30">#REF!</definedName>
    <definedName name="tarea1" localSheetId="47">#REF!</definedName>
    <definedName name="tarea1" localSheetId="44">#REF!</definedName>
    <definedName name="tarea1" localSheetId="45">#REF!</definedName>
    <definedName name="tarea1" localSheetId="46">#REF!</definedName>
    <definedName name="tarea1" localSheetId="31">#REF!</definedName>
    <definedName name="tarea1" localSheetId="32">#REF!</definedName>
    <definedName name="tarea1" localSheetId="33">#REF!</definedName>
    <definedName name="tarea1" localSheetId="36">#REF!</definedName>
    <definedName name="tarea1" localSheetId="37">#REF!</definedName>
    <definedName name="tarea1" localSheetId="38">#REF!</definedName>
    <definedName name="tarea1" localSheetId="39">#REF!</definedName>
    <definedName name="tarea1" localSheetId="40">#REF!</definedName>
    <definedName name="tarea1" localSheetId="54">#REF!</definedName>
    <definedName name="tarea1" localSheetId="55">#REF!</definedName>
    <definedName name="tarea1" localSheetId="52">#REF!</definedName>
    <definedName name="tarea1" localSheetId="23">#REF!</definedName>
    <definedName name="tarea1" localSheetId="51">#REF!</definedName>
    <definedName name="tarea1" localSheetId="53">#REF!</definedName>
    <definedName name="tarea1" localSheetId="20">#REF!</definedName>
    <definedName name="tarea1">#REF!</definedName>
    <definedName name="tarea2" localSheetId="34">#REF!</definedName>
    <definedName name="tarea2" localSheetId="35">#REF!</definedName>
    <definedName name="tarea2" localSheetId="50">#REF!</definedName>
    <definedName name="tarea2" localSheetId="15">#REF!</definedName>
    <definedName name="tarea2" localSheetId="29">#REF!</definedName>
    <definedName name="tarea2" localSheetId="30">#REF!</definedName>
    <definedName name="tarea2" localSheetId="47">#REF!</definedName>
    <definedName name="tarea2" localSheetId="44">#REF!</definedName>
    <definedName name="tarea2" localSheetId="45">#REF!</definedName>
    <definedName name="tarea2" localSheetId="46">#REF!</definedName>
    <definedName name="tarea2" localSheetId="31">#REF!</definedName>
    <definedName name="tarea2" localSheetId="32">#REF!</definedName>
    <definedName name="tarea2" localSheetId="33">#REF!</definedName>
    <definedName name="tarea2" localSheetId="36">#REF!</definedName>
    <definedName name="tarea2" localSheetId="37">#REF!</definedName>
    <definedName name="tarea2" localSheetId="38">#REF!</definedName>
    <definedName name="tarea2" localSheetId="39">#REF!</definedName>
    <definedName name="tarea2" localSheetId="40">#REF!</definedName>
    <definedName name="tarea2" localSheetId="54">#REF!</definedName>
    <definedName name="tarea2" localSheetId="55">#REF!</definedName>
    <definedName name="tarea2" localSheetId="52">#REF!</definedName>
    <definedName name="tarea2" localSheetId="23">#REF!</definedName>
    <definedName name="tarea2" localSheetId="51">#REF!</definedName>
    <definedName name="tarea2" localSheetId="53">#REF!</definedName>
    <definedName name="tarea2" localSheetId="20">#REF!</definedName>
    <definedName name="tarea2">#REF!</definedName>
    <definedName name="TASAS_DE_INTERES_PROMEDIO">[135]PROMEDIO!$A$97:$G$121,[135]PROMEDIO!$A$248:$G$272</definedName>
    <definedName name="Tbl_GFN">[155]Table_GEF!$B$2:$T$53</definedName>
    <definedName name="tbl_Scenarios">[160]Scenarios!$A:$E</definedName>
    <definedName name="tblChecks" localSheetId="50">[88]ErrCheck!$A$3:$E$5</definedName>
    <definedName name="tblChecks" localSheetId="44">[88]ErrCheck!$A$3:$E$5</definedName>
    <definedName name="tblChecks" localSheetId="54">[88]ErrCheck!$A$3:$E$5</definedName>
    <definedName name="tblChecks" localSheetId="52">[88]ErrCheck!$A$3:$E$5</definedName>
    <definedName name="tblChecks" localSheetId="51">[88]ErrCheck!$A$3:$E$5</definedName>
    <definedName name="tblChecks" localSheetId="53">[88]ErrCheck!$A$3:$E$5</definedName>
    <definedName name="tblChecks">[89]ErrCheck!$A$3:$E$5</definedName>
    <definedName name="tblLinks" localSheetId="50">[88]Links!$A$4:$F$33</definedName>
    <definedName name="tblLinks" localSheetId="44">[88]Links!$A$4:$F$33</definedName>
    <definedName name="tblLinks" localSheetId="54">[88]Links!$A$4:$F$33</definedName>
    <definedName name="tblLinks" localSheetId="52">[88]Links!$A$4:$F$33</definedName>
    <definedName name="tblLinks" localSheetId="51">[88]Links!$A$4:$F$33</definedName>
    <definedName name="tblLinks" localSheetId="53">[88]Links!$A$4:$F$33</definedName>
    <definedName name="tblLinks">[89]Links!$A$4:$F$33</definedName>
    <definedName name="tbn" localSheetId="34">#REF!</definedName>
    <definedName name="tbn" localSheetId="35">#REF!</definedName>
    <definedName name="tbn" localSheetId="50">#REF!</definedName>
    <definedName name="tbn" localSheetId="15">#REF!</definedName>
    <definedName name="tbn" localSheetId="29">#REF!</definedName>
    <definedName name="tbn" localSheetId="30">#REF!</definedName>
    <definedName name="tbn" localSheetId="47">#REF!</definedName>
    <definedName name="tbn" localSheetId="44">#REF!</definedName>
    <definedName name="tbn" localSheetId="45">#REF!</definedName>
    <definedName name="tbn" localSheetId="46">#REF!</definedName>
    <definedName name="tbn" localSheetId="31">#REF!</definedName>
    <definedName name="tbn" localSheetId="32">#REF!</definedName>
    <definedName name="tbn" localSheetId="33">#REF!</definedName>
    <definedName name="tbn" localSheetId="36">#REF!</definedName>
    <definedName name="tbn" localSheetId="37">#REF!</definedName>
    <definedName name="tbn" localSheetId="38">#REF!</definedName>
    <definedName name="tbn" localSheetId="39">#REF!</definedName>
    <definedName name="tbn" localSheetId="40">#REF!</definedName>
    <definedName name="tbn" localSheetId="54">#REF!</definedName>
    <definedName name="tbn" localSheetId="55">#REF!</definedName>
    <definedName name="tbn" localSheetId="52">#REF!</definedName>
    <definedName name="tbn" localSheetId="23">#REF!</definedName>
    <definedName name="tbn" localSheetId="51">#REF!</definedName>
    <definedName name="tbn" localSheetId="53">#REF!</definedName>
    <definedName name="tbn" localSheetId="20">#REF!</definedName>
    <definedName name="tbn">#REF!</definedName>
    <definedName name="TC" localSheetId="34">#REF!</definedName>
    <definedName name="TC" localSheetId="35">#REF!</definedName>
    <definedName name="TC" localSheetId="50">#REF!</definedName>
    <definedName name="TC" localSheetId="15">#REF!</definedName>
    <definedName name="TC" localSheetId="29">#REF!</definedName>
    <definedName name="TC" localSheetId="30">#REF!</definedName>
    <definedName name="TC" localSheetId="47">#REF!</definedName>
    <definedName name="TC" localSheetId="44">#REF!</definedName>
    <definedName name="TC" localSheetId="45">#REF!</definedName>
    <definedName name="TC" localSheetId="46">#REF!</definedName>
    <definedName name="TC" localSheetId="31">#REF!</definedName>
    <definedName name="TC" localSheetId="32">#REF!</definedName>
    <definedName name="TC" localSheetId="33">#REF!</definedName>
    <definedName name="TC" localSheetId="36">#REF!</definedName>
    <definedName name="TC" localSheetId="37">#REF!</definedName>
    <definedName name="TC" localSheetId="38">#REF!</definedName>
    <definedName name="TC" localSheetId="39">#REF!</definedName>
    <definedName name="TC" localSheetId="40">#REF!</definedName>
    <definedName name="TC" localSheetId="54">#REF!</definedName>
    <definedName name="TC" localSheetId="55">#REF!</definedName>
    <definedName name="TC" localSheetId="52">#REF!</definedName>
    <definedName name="TC" localSheetId="23">#REF!</definedName>
    <definedName name="TC" localSheetId="51">#REF!</definedName>
    <definedName name="TC" localSheetId="53">#REF!</definedName>
    <definedName name="TC" localSheetId="20">#REF!</definedName>
    <definedName name="TC">#REF!</definedName>
    <definedName name="TC00">'[34]PROYECCIONES-PM 2000mod (2)'!$F$66</definedName>
    <definedName name="TCCGOV" localSheetId="50">#REF!</definedName>
    <definedName name="TCCGOV" localSheetId="47">#REF!</definedName>
    <definedName name="TCCGOV" localSheetId="44">#REF!</definedName>
    <definedName name="TCCGOV" localSheetId="45">#REF!</definedName>
    <definedName name="TCCGOV" localSheetId="46">#REF!</definedName>
    <definedName name="TCCGOV" localSheetId="37">#REF!</definedName>
    <definedName name="TCCGOV" localSheetId="40">#REF!</definedName>
    <definedName name="TCCGOV" localSheetId="54">#REF!</definedName>
    <definedName name="TCCGOV" localSheetId="55">#REF!</definedName>
    <definedName name="TCCGOV" localSheetId="52">#REF!</definedName>
    <definedName name="TCCGOV" localSheetId="51">#REF!</definedName>
    <definedName name="TCCGOV" localSheetId="53">#REF!</definedName>
    <definedName name="TCCGOV">#REF!</definedName>
    <definedName name="TCCPE" localSheetId="50">#REF!</definedName>
    <definedName name="TCCPE" localSheetId="47">#REF!</definedName>
    <definedName name="TCCPE" localSheetId="44">#REF!</definedName>
    <definedName name="TCCPE" localSheetId="45">#REF!</definedName>
    <definedName name="TCCPE" localSheetId="46">#REF!</definedName>
    <definedName name="TCCPE" localSheetId="37">#REF!</definedName>
    <definedName name="TCCPE" localSheetId="40">#REF!</definedName>
    <definedName name="TCCPE" localSheetId="54">#REF!</definedName>
    <definedName name="TCCPE" localSheetId="55">#REF!</definedName>
    <definedName name="TCCPE" localSheetId="52">#REF!</definedName>
    <definedName name="TCCPE" localSheetId="51">#REF!</definedName>
    <definedName name="TCCPE" localSheetId="53">#REF!</definedName>
    <definedName name="TCCPE">#REF!</definedName>
    <definedName name="TCCPSO" localSheetId="50">#REF!</definedName>
    <definedName name="TCCPSO" localSheetId="47">#REF!</definedName>
    <definedName name="TCCPSO" localSheetId="44">#REF!</definedName>
    <definedName name="TCCPSO" localSheetId="45">#REF!</definedName>
    <definedName name="TCCPSO" localSheetId="46">#REF!</definedName>
    <definedName name="TCCPSO" localSheetId="37">#REF!</definedName>
    <definedName name="TCCPSO" localSheetId="40">#REF!</definedName>
    <definedName name="TCCPSO" localSheetId="54">#REF!</definedName>
    <definedName name="TCCPSO" localSheetId="55">#REF!</definedName>
    <definedName name="TCCPSO" localSheetId="52">#REF!</definedName>
    <definedName name="TCCPSO" localSheetId="51">#REF!</definedName>
    <definedName name="TCCPSO" localSheetId="53">#REF!</definedName>
    <definedName name="TCCPSO">#REF!</definedName>
    <definedName name="TCFEN" localSheetId="34">#REF!</definedName>
    <definedName name="TCFEN" localSheetId="35">#REF!</definedName>
    <definedName name="TCFEN" localSheetId="50">#REF!</definedName>
    <definedName name="TCFEN" localSheetId="15">#REF!</definedName>
    <definedName name="TCFEN" localSheetId="29">#REF!</definedName>
    <definedName name="TCFEN" localSheetId="30">#REF!</definedName>
    <definedName name="TCFEN" localSheetId="47">#REF!</definedName>
    <definedName name="TCFEN" localSheetId="44">#REF!</definedName>
    <definedName name="TCFEN" localSheetId="45">#REF!</definedName>
    <definedName name="TCFEN" localSheetId="46">#REF!</definedName>
    <definedName name="TCFEN" localSheetId="31">#REF!</definedName>
    <definedName name="TCFEN" localSheetId="32">#REF!</definedName>
    <definedName name="TCFEN" localSheetId="33">#REF!</definedName>
    <definedName name="TCFEN" localSheetId="36">#REF!</definedName>
    <definedName name="TCFEN" localSheetId="37">#REF!</definedName>
    <definedName name="TCFEN" localSheetId="38">#REF!</definedName>
    <definedName name="TCFEN" localSheetId="39">#REF!</definedName>
    <definedName name="TCFEN" localSheetId="40">#REF!</definedName>
    <definedName name="TCFEN" localSheetId="54">#REF!</definedName>
    <definedName name="TCFEN" localSheetId="55">#REF!</definedName>
    <definedName name="TCFEN" localSheetId="52">#REF!</definedName>
    <definedName name="TCFEN" localSheetId="23">#REF!</definedName>
    <definedName name="TCFEN" localSheetId="51">#REF!</definedName>
    <definedName name="TCFEN" localSheetId="53">#REF!</definedName>
    <definedName name="TCFEN" localSheetId="20">#REF!</definedName>
    <definedName name="TCFEN">#REF!</definedName>
    <definedName name="tchoy" localSheetId="34">#REF!</definedName>
    <definedName name="tchoy" localSheetId="35">#REF!</definedName>
    <definedName name="tchoy" localSheetId="50">#REF!</definedName>
    <definedName name="tchoy" localSheetId="15">#REF!</definedName>
    <definedName name="tchoy" localSheetId="29">#REF!</definedName>
    <definedName name="tchoy" localSheetId="30">#REF!</definedName>
    <definedName name="tchoy" localSheetId="47">#REF!</definedName>
    <definedName name="tchoy" localSheetId="44">#REF!</definedName>
    <definedName name="tchoy" localSheetId="45">#REF!</definedName>
    <definedName name="tchoy" localSheetId="46">#REF!</definedName>
    <definedName name="tchoy" localSheetId="31">#REF!</definedName>
    <definedName name="tchoy" localSheetId="32">#REF!</definedName>
    <definedName name="tchoy" localSheetId="33">#REF!</definedName>
    <definedName name="tchoy" localSheetId="36">#REF!</definedName>
    <definedName name="tchoy" localSheetId="37">#REF!</definedName>
    <definedName name="tchoy" localSheetId="38">#REF!</definedName>
    <definedName name="tchoy" localSheetId="39">#REF!</definedName>
    <definedName name="tchoy" localSheetId="40">#REF!</definedName>
    <definedName name="tchoy" localSheetId="54">#REF!</definedName>
    <definedName name="tchoy" localSheetId="55">#REF!</definedName>
    <definedName name="tchoy" localSheetId="52">#REF!</definedName>
    <definedName name="tchoy" localSheetId="23">#REF!</definedName>
    <definedName name="tchoy" localSheetId="51">#REF!</definedName>
    <definedName name="tchoy" localSheetId="53">#REF!</definedName>
    <definedName name="tchoy" localSheetId="20">#REF!</definedName>
    <definedName name="tchoy">#REF!</definedName>
    <definedName name="TCN">[65]SREAL!A$158</definedName>
    <definedName name="TCOPS" localSheetId="50">#REF!</definedName>
    <definedName name="TCOPS" localSheetId="47">#REF!</definedName>
    <definedName name="TCOPS" localSheetId="44">#REF!</definedName>
    <definedName name="TCOPS" localSheetId="45">#REF!</definedName>
    <definedName name="TCOPS" localSheetId="46">#REF!</definedName>
    <definedName name="TCOPS" localSheetId="37">#REF!</definedName>
    <definedName name="TCOPS" localSheetId="40">#REF!</definedName>
    <definedName name="TCOPS" localSheetId="54">#REF!</definedName>
    <definedName name="TCOPS" localSheetId="55">#REF!</definedName>
    <definedName name="TCOPS" localSheetId="52">#REF!</definedName>
    <definedName name="TCOPS" localSheetId="51">#REF!</definedName>
    <definedName name="TCOPS" localSheetId="53">#REF!</definedName>
    <definedName name="TCOPS">#REF!</definedName>
    <definedName name="td" localSheetId="50">#REF!</definedName>
    <definedName name="td" localSheetId="47">#REF!</definedName>
    <definedName name="td" localSheetId="44">#REF!</definedName>
    <definedName name="td" localSheetId="45">#REF!</definedName>
    <definedName name="td" localSheetId="46">#REF!</definedName>
    <definedName name="td" localSheetId="37">#REF!</definedName>
    <definedName name="td" localSheetId="40">#REF!</definedName>
    <definedName name="td" localSheetId="54">#REF!</definedName>
    <definedName name="td" localSheetId="55">#REF!</definedName>
    <definedName name="td" localSheetId="52">#REF!</definedName>
    <definedName name="td" localSheetId="51">#REF!</definedName>
    <definedName name="td" localSheetId="53">#REF!</definedName>
    <definedName name="td">#REF!</definedName>
    <definedName name="TDIC" localSheetId="34">#REF!</definedName>
    <definedName name="TDIC" localSheetId="35">#REF!</definedName>
    <definedName name="TDIC" localSheetId="50">#REF!</definedName>
    <definedName name="TDIC" localSheetId="15">#REF!</definedName>
    <definedName name="TDIC" localSheetId="29">#REF!</definedName>
    <definedName name="TDIC" localSheetId="30">#REF!</definedName>
    <definedName name="TDIC" localSheetId="47">#REF!</definedName>
    <definedName name="TDIC" localSheetId="44">#REF!</definedName>
    <definedName name="TDIC" localSheetId="45">#REF!</definedName>
    <definedName name="TDIC" localSheetId="46">#REF!</definedName>
    <definedName name="TDIC" localSheetId="31">#REF!</definedName>
    <definedName name="TDIC" localSheetId="32">#REF!</definedName>
    <definedName name="TDIC" localSheetId="33">#REF!</definedName>
    <definedName name="TDIC" localSheetId="36">#REF!</definedName>
    <definedName name="TDIC" localSheetId="37">#REF!</definedName>
    <definedName name="TDIC" localSheetId="38">#REF!</definedName>
    <definedName name="TDIC" localSheetId="39">#REF!</definedName>
    <definedName name="TDIC" localSheetId="40">#REF!</definedName>
    <definedName name="TDIC" localSheetId="54">#REF!</definedName>
    <definedName name="TDIC" localSheetId="55">#REF!</definedName>
    <definedName name="TDIC" localSheetId="52">#REF!</definedName>
    <definedName name="TDIC" localSheetId="23">#REF!</definedName>
    <definedName name="TDIC" localSheetId="51">#REF!</definedName>
    <definedName name="TDIC" localSheetId="53">#REF!</definedName>
    <definedName name="TDIC" localSheetId="20">#REF!</definedName>
    <definedName name="TDIC">#REF!</definedName>
    <definedName name="tdic96" localSheetId="34">#REF!</definedName>
    <definedName name="tdic96" localSheetId="35">#REF!</definedName>
    <definedName name="tdic96" localSheetId="50">#REF!</definedName>
    <definedName name="tdic96" localSheetId="15">#REF!</definedName>
    <definedName name="tdic96" localSheetId="29">#REF!</definedName>
    <definedName name="tdic96" localSheetId="30">#REF!</definedName>
    <definedName name="tdic96" localSheetId="47">#REF!</definedName>
    <definedName name="tdic96" localSheetId="44">#REF!</definedName>
    <definedName name="tdic96" localSheetId="45">#REF!</definedName>
    <definedName name="tdic96" localSheetId="46">#REF!</definedName>
    <definedName name="tdic96" localSheetId="31">#REF!</definedName>
    <definedName name="tdic96" localSheetId="32">#REF!</definedName>
    <definedName name="tdic96" localSheetId="33">#REF!</definedName>
    <definedName name="tdic96" localSheetId="36">#REF!</definedName>
    <definedName name="tdic96" localSheetId="37">#REF!</definedName>
    <definedName name="tdic96" localSheetId="38">#REF!</definedName>
    <definedName name="tdic96" localSheetId="39">#REF!</definedName>
    <definedName name="tdic96" localSheetId="40">#REF!</definedName>
    <definedName name="tdic96" localSheetId="54">#REF!</definedName>
    <definedName name="tdic96" localSheetId="55">#REF!</definedName>
    <definedName name="tdic96" localSheetId="52">#REF!</definedName>
    <definedName name="tdic96" localSheetId="23">#REF!</definedName>
    <definedName name="tdic96" localSheetId="51">#REF!</definedName>
    <definedName name="tdic96" localSheetId="53">#REF!</definedName>
    <definedName name="tdic96" localSheetId="20">#REF!</definedName>
    <definedName name="tdic96">#REF!</definedName>
    <definedName name="team">[102]Data!$H$1:$H$3</definedName>
    <definedName name="Team_Initials">'[161]Contact List'!$C$6:$C$26</definedName>
    <definedName name="Team_Names">'[161]Contact List'!$B$6:$B$26</definedName>
    <definedName name="TeamStructureNames" localSheetId="50">#REF!</definedName>
    <definedName name="TeamStructureNames" localSheetId="47">#REF!</definedName>
    <definedName name="TeamStructureNames" localSheetId="44">#REF!</definedName>
    <definedName name="TeamStructureNames" localSheetId="45">#REF!</definedName>
    <definedName name="TeamStructureNames" localSheetId="46">#REF!</definedName>
    <definedName name="TeamStructureNames" localSheetId="37">#REF!</definedName>
    <definedName name="TeamStructureNames" localSheetId="40">#REF!</definedName>
    <definedName name="TeamStructureNames" localSheetId="54">#REF!</definedName>
    <definedName name="TeamStructureNames" localSheetId="55">#REF!</definedName>
    <definedName name="TeamStructureNames" localSheetId="52">#REF!</definedName>
    <definedName name="TeamStructureNames" localSheetId="51">#REF!</definedName>
    <definedName name="TeamStructureNames" localSheetId="53">#REF!</definedName>
    <definedName name="TeamStructureNames">#REF!</definedName>
    <definedName name="Template_Table" localSheetId="50">#REF!</definedName>
    <definedName name="Template_Table" localSheetId="47">#REF!</definedName>
    <definedName name="Template_Table" localSheetId="44">#REF!</definedName>
    <definedName name="Template_Table" localSheetId="45">#REF!</definedName>
    <definedName name="Template_Table" localSheetId="46">#REF!</definedName>
    <definedName name="Template_Table" localSheetId="37">#REF!</definedName>
    <definedName name="Template_Table" localSheetId="40">#REF!</definedName>
    <definedName name="Template_Table" localSheetId="54">#REF!</definedName>
    <definedName name="Template_Table" localSheetId="55">#REF!</definedName>
    <definedName name="Template_Table" localSheetId="52">#REF!</definedName>
    <definedName name="Template_Table" localSheetId="51">#REF!</definedName>
    <definedName name="Template_Table" localSheetId="53">#REF!</definedName>
    <definedName name="Template_Table">#REF!</definedName>
    <definedName name="Test" localSheetId="58" hidden="1">{#N/A,#N/A,TRUE,"Client Assumptions Print";#N/A,#N/A,TRUE,"Project Assumptions";#N/A,#N/A,TRUE,"Pricing Summary";#N/A,#N/A,TRUE,"Pricing"}</definedName>
    <definedName name="Test" localSheetId="16" hidden="1">{#N/A,#N/A,TRUE,"Client Assumptions Print";#N/A,#N/A,TRUE,"Project Assumptions";#N/A,#N/A,TRUE,"Pricing Summary";#N/A,#N/A,TRUE,"Pricing"}</definedName>
    <definedName name="Test" localSheetId="50" hidden="1">{#N/A,#N/A,TRUE,"Client Assumptions Print";#N/A,#N/A,TRUE,"Project Assumptions";#N/A,#N/A,TRUE,"Pricing Summary";#N/A,#N/A,TRUE,"Pricing"}</definedName>
    <definedName name="Test" localSheetId="44" hidden="1">{#N/A,#N/A,TRUE,"Client Assumptions Print";#N/A,#N/A,TRUE,"Project Assumptions";#N/A,#N/A,TRUE,"Pricing Summary";#N/A,#N/A,TRUE,"Pricing"}</definedName>
    <definedName name="Test" localSheetId="59" hidden="1">{#N/A,#N/A,TRUE,"Client Assumptions Print";#N/A,#N/A,TRUE,"Project Assumptions";#N/A,#N/A,TRUE,"Pricing Summary";#N/A,#N/A,TRUE,"Pricing"}</definedName>
    <definedName name="Test" localSheetId="57" hidden="1">{#N/A,#N/A,TRUE,"Client Assumptions Print";#N/A,#N/A,TRUE,"Project Assumptions";#N/A,#N/A,TRUE,"Pricing Summary";#N/A,#N/A,TRUE,"Pricing"}</definedName>
    <definedName name="Test" localSheetId="56" hidden="1">{#N/A,#N/A,TRUE,"Client Assumptions Print";#N/A,#N/A,TRUE,"Project Assumptions";#N/A,#N/A,TRUE,"Pricing Summary";#N/A,#N/A,TRUE,"Pricing"}</definedName>
    <definedName name="Test" localSheetId="54" hidden="1">{#N/A,#N/A,TRUE,"Client Assumptions Print";#N/A,#N/A,TRUE,"Project Assumptions";#N/A,#N/A,TRUE,"Pricing Summary";#N/A,#N/A,TRUE,"Pricing"}</definedName>
    <definedName name="Test" localSheetId="52" hidden="1">{#N/A,#N/A,TRUE,"Client Assumptions Print";#N/A,#N/A,TRUE,"Project Assumptions";#N/A,#N/A,TRUE,"Pricing Summary";#N/A,#N/A,TRUE,"Pricing"}</definedName>
    <definedName name="Test" localSheetId="51" hidden="1">{#N/A,#N/A,TRUE,"Client Assumptions Print";#N/A,#N/A,TRUE,"Project Assumptions";#N/A,#N/A,TRUE,"Pricing Summary";#N/A,#N/A,TRUE,"Pricing"}</definedName>
    <definedName name="Test" localSheetId="60" hidden="1">{#N/A,#N/A,TRUE,"Client Assumptions Print";#N/A,#N/A,TRUE,"Project Assumptions";#N/A,#N/A,TRUE,"Pricing Summary";#N/A,#N/A,TRUE,"Pricing"}</definedName>
    <definedName name="Test" hidden="1">{#N/A,#N/A,TRUE,"Client Assumptions Print";#N/A,#N/A,TRUE,"Project Assumptions";#N/A,#N/A,TRUE,"Pricing Summary";#N/A,#N/A,TRUE,"Pricing"}</definedName>
    <definedName name="test_range" localSheetId="50">[68]Temp!#REF!</definedName>
    <definedName name="test_range" localSheetId="47">[68]Temp!#REF!</definedName>
    <definedName name="test_range" localSheetId="44">[68]Temp!#REF!</definedName>
    <definedName name="test_range" localSheetId="45">[68]Temp!#REF!</definedName>
    <definedName name="test_range" localSheetId="46">[68]Temp!#REF!</definedName>
    <definedName name="test_range" localSheetId="37">[68]Temp!#REF!</definedName>
    <definedName name="test_range" localSheetId="40">[68]Temp!#REF!</definedName>
    <definedName name="test_range" localSheetId="54">[68]Temp!#REF!</definedName>
    <definedName name="test_range" localSheetId="55">[68]Temp!#REF!</definedName>
    <definedName name="test_range" localSheetId="52">[68]Temp!#REF!</definedName>
    <definedName name="test_range" localSheetId="51">[68]Temp!#REF!</definedName>
    <definedName name="test_range" localSheetId="53">[68]Temp!#REF!</definedName>
    <definedName name="test_range">[68]Temp!#REF!</definedName>
    <definedName name="test_range_1" localSheetId="50">[68]Temp!#REF!</definedName>
    <definedName name="test_range_1" localSheetId="47">[68]Temp!#REF!</definedName>
    <definedName name="test_range_1" localSheetId="44">[68]Temp!#REF!</definedName>
    <definedName name="test_range_1" localSheetId="45">[68]Temp!#REF!</definedName>
    <definedName name="test_range_1" localSheetId="46">[68]Temp!#REF!</definedName>
    <definedName name="test_range_1" localSheetId="37">[68]Temp!#REF!</definedName>
    <definedName name="test_range_1" localSheetId="40">[68]Temp!#REF!</definedName>
    <definedName name="test_range_1" localSheetId="54">[68]Temp!#REF!</definedName>
    <definedName name="test_range_1" localSheetId="55">[68]Temp!#REF!</definedName>
    <definedName name="test_range_1" localSheetId="52">[68]Temp!#REF!</definedName>
    <definedName name="test_range_1" localSheetId="51">[68]Temp!#REF!</definedName>
    <definedName name="test_range_1" localSheetId="53">[68]Temp!#REF!</definedName>
    <definedName name="test_range_1">[68]Temp!#REF!</definedName>
    <definedName name="Third" localSheetId="50">#REF!</definedName>
    <definedName name="Third" localSheetId="47">#REF!</definedName>
    <definedName name="Third" localSheetId="44">#REF!</definedName>
    <definedName name="Third" localSheetId="45">#REF!</definedName>
    <definedName name="Third" localSheetId="46">#REF!</definedName>
    <definedName name="Third" localSheetId="37">#REF!</definedName>
    <definedName name="Third" localSheetId="40">#REF!</definedName>
    <definedName name="Third" localSheetId="54">#REF!</definedName>
    <definedName name="Third" localSheetId="55">#REF!</definedName>
    <definedName name="Third" localSheetId="52">#REF!</definedName>
    <definedName name="Third" localSheetId="51">#REF!</definedName>
    <definedName name="Third" localSheetId="53">#REF!</definedName>
    <definedName name="Third">#REF!</definedName>
    <definedName name="TIME" localSheetId="34">[36]Sum1!#REF!</definedName>
    <definedName name="TIME" localSheetId="35">[36]Sum1!#REF!</definedName>
    <definedName name="TIME" localSheetId="50">[36]Sum1!#REF!</definedName>
    <definedName name="TIME" localSheetId="15">[36]Sum1!#REF!</definedName>
    <definedName name="TIME" localSheetId="29">[36]Sum1!#REF!</definedName>
    <definedName name="TIME" localSheetId="30">[36]Sum1!#REF!</definedName>
    <definedName name="TIME" localSheetId="47">[36]Sum1!#REF!</definedName>
    <definedName name="TIME" localSheetId="44">[36]Sum1!#REF!</definedName>
    <definedName name="TIME" localSheetId="45">[36]Sum1!#REF!</definedName>
    <definedName name="TIME" localSheetId="46">[36]Sum1!#REF!</definedName>
    <definedName name="TIME" localSheetId="31">[36]Sum1!#REF!</definedName>
    <definedName name="TIME" localSheetId="32">[36]Sum1!#REF!</definedName>
    <definedName name="TIME" localSheetId="33">[36]Sum1!#REF!</definedName>
    <definedName name="TIME" localSheetId="36">[36]Sum1!#REF!</definedName>
    <definedName name="TIME" localSheetId="37">[36]Sum1!#REF!</definedName>
    <definedName name="TIME" localSheetId="38">[36]Sum1!#REF!</definedName>
    <definedName name="TIME" localSheetId="39">[36]Sum1!#REF!</definedName>
    <definedName name="TIME" localSheetId="40">[36]Sum1!#REF!</definedName>
    <definedName name="TIME" localSheetId="54">[36]Sum1!#REF!</definedName>
    <definedName name="TIME" localSheetId="55">[36]Sum1!#REF!</definedName>
    <definedName name="TIME" localSheetId="52">[36]Sum1!#REF!</definedName>
    <definedName name="TIME" localSheetId="23">[36]Sum1!#REF!</definedName>
    <definedName name="TIME" localSheetId="51">[36]Sum1!#REF!</definedName>
    <definedName name="TIME" localSheetId="53">[36]Sum1!#REF!</definedName>
    <definedName name="TIME" localSheetId="20">[36]Sum1!#REF!</definedName>
    <definedName name="TIME">[36]Sum1!#REF!</definedName>
    <definedName name="TIPS" localSheetId="50">#REF!</definedName>
    <definedName name="TIPS" localSheetId="47">#REF!</definedName>
    <definedName name="TIPS" localSheetId="44">#REF!</definedName>
    <definedName name="TIPS" localSheetId="45">#REF!</definedName>
    <definedName name="TIPS" localSheetId="46">#REF!</definedName>
    <definedName name="TIPS" localSheetId="37">#REF!</definedName>
    <definedName name="TIPS" localSheetId="40">#REF!</definedName>
    <definedName name="TIPS" localSheetId="54">#REF!</definedName>
    <definedName name="TIPS" localSheetId="55">#REF!</definedName>
    <definedName name="TIPS" localSheetId="52">#REF!</definedName>
    <definedName name="TIPS" localSheetId="51">#REF!</definedName>
    <definedName name="TIPS" localSheetId="53">#REF!</definedName>
    <definedName name="TIPS">#REF!</definedName>
    <definedName name="title_enum_nogen">[162]Titles!$E$9:$E$59</definedName>
    <definedName name="TITLES" localSheetId="50">#REF!</definedName>
    <definedName name="TITLES" localSheetId="47">#REF!</definedName>
    <definedName name="TITLES" localSheetId="44">#REF!</definedName>
    <definedName name="TITLES" localSheetId="45">#REF!</definedName>
    <definedName name="TITLES" localSheetId="46">#REF!</definedName>
    <definedName name="TITLES" localSheetId="37">#REF!</definedName>
    <definedName name="TITLES" localSheetId="40">#REF!</definedName>
    <definedName name="TITLES" localSheetId="54">#REF!</definedName>
    <definedName name="TITLES" localSheetId="55">#REF!</definedName>
    <definedName name="TITLES" localSheetId="52">#REF!</definedName>
    <definedName name="TITLES" localSheetId="51">#REF!</definedName>
    <definedName name="TITLES" localSheetId="53">#REF!</definedName>
    <definedName name="TITLES">#REF!</definedName>
    <definedName name="títulos" localSheetId="34">#REF!</definedName>
    <definedName name="títulos" localSheetId="35">#REF!</definedName>
    <definedName name="títulos" localSheetId="50">#REF!</definedName>
    <definedName name="títulos" localSheetId="15">#REF!</definedName>
    <definedName name="títulos" localSheetId="29">#REF!</definedName>
    <definedName name="títulos" localSheetId="30">#REF!</definedName>
    <definedName name="títulos" localSheetId="47">#REF!</definedName>
    <definedName name="títulos" localSheetId="44">#REF!</definedName>
    <definedName name="títulos" localSheetId="45">#REF!</definedName>
    <definedName name="títulos" localSheetId="46">#REF!</definedName>
    <definedName name="títulos" localSheetId="31">#REF!</definedName>
    <definedName name="títulos" localSheetId="32">#REF!</definedName>
    <definedName name="títulos" localSheetId="33">#REF!</definedName>
    <definedName name="títulos" localSheetId="36">#REF!</definedName>
    <definedName name="títulos" localSheetId="37">#REF!</definedName>
    <definedName name="títulos" localSheetId="38">#REF!</definedName>
    <definedName name="títulos" localSheetId="39">#REF!</definedName>
    <definedName name="títulos" localSheetId="40">#REF!</definedName>
    <definedName name="títulos" localSheetId="54">#REF!</definedName>
    <definedName name="títulos" localSheetId="55">#REF!</definedName>
    <definedName name="títulos" localSheetId="52">#REF!</definedName>
    <definedName name="títulos" localSheetId="23">#REF!</definedName>
    <definedName name="títulos" localSheetId="51">#REF!</definedName>
    <definedName name="títulos" localSheetId="53">#REF!</definedName>
    <definedName name="títulos" localSheetId="20">#REF!</definedName>
    <definedName name="títulos">#REF!</definedName>
    <definedName name="titulos_" localSheetId="34">#REF!</definedName>
    <definedName name="titulos_" localSheetId="35">#REF!</definedName>
    <definedName name="titulos_" localSheetId="50">#REF!</definedName>
    <definedName name="titulos_" localSheetId="15">#REF!</definedName>
    <definedName name="titulos_" localSheetId="29">#REF!</definedName>
    <definedName name="titulos_" localSheetId="30">#REF!</definedName>
    <definedName name="titulos_" localSheetId="47">#REF!</definedName>
    <definedName name="titulos_" localSheetId="44">#REF!</definedName>
    <definedName name="titulos_" localSheetId="45">#REF!</definedName>
    <definedName name="titulos_" localSheetId="46">#REF!</definedName>
    <definedName name="titulos_" localSheetId="31">#REF!</definedName>
    <definedName name="titulos_" localSheetId="32">#REF!</definedName>
    <definedName name="titulos_" localSheetId="33">#REF!</definedName>
    <definedName name="titulos_" localSheetId="36">#REF!</definedName>
    <definedName name="titulos_" localSheetId="37">#REF!</definedName>
    <definedName name="titulos_" localSheetId="38">#REF!</definedName>
    <definedName name="titulos_" localSheetId="39">#REF!</definedName>
    <definedName name="titulos_" localSheetId="40">#REF!</definedName>
    <definedName name="titulos_" localSheetId="54">#REF!</definedName>
    <definedName name="titulos_" localSheetId="55">#REF!</definedName>
    <definedName name="titulos_" localSheetId="52">#REF!</definedName>
    <definedName name="titulos_" localSheetId="23">#REF!</definedName>
    <definedName name="titulos_" localSheetId="51">#REF!</definedName>
    <definedName name="titulos_" localSheetId="53">#REF!</definedName>
    <definedName name="titulos_" localSheetId="20">#REF!</definedName>
    <definedName name="titulos_">#REF!</definedName>
    <definedName name="tj" localSheetId="58" hidden="1">{"Riqfin97",#N/A,FALSE,"Tran";"Riqfinpro",#N/A,FALSE,"Tran"}</definedName>
    <definedName name="tj" localSheetId="16" hidden="1">{"Riqfin97",#N/A,FALSE,"Tran";"Riqfinpro",#N/A,FALSE,"Tran"}</definedName>
    <definedName name="tj" localSheetId="61" hidden="1">{"Riqfin97",#N/A,FALSE,"Tran";"Riqfinpro",#N/A,FALSE,"Tran"}</definedName>
    <definedName name="tj" localSheetId="62" hidden="1">{"Riqfin97",#N/A,FALSE,"Tran";"Riqfinpro",#N/A,FALSE,"Tran"}</definedName>
    <definedName name="tj" localSheetId="50" hidden="1">{"Riqfin97",#N/A,FALSE,"Tran";"Riqfinpro",#N/A,FALSE,"Tran"}</definedName>
    <definedName name="tj" localSheetId="63" hidden="1">{"Riqfin97",#N/A,FALSE,"Tran";"Riqfinpro",#N/A,FALSE,"Tran"}</definedName>
    <definedName name="tj" localSheetId="15" hidden="1">{"Riqfin97",#N/A,FALSE,"Tran";"Riqfinpro",#N/A,FALSE,"Tran"}</definedName>
    <definedName name="tj" localSheetId="1" hidden="1">{"Riqfin97",#N/A,FALSE,"Tran";"Riqfinpro",#N/A,FALSE,"Tran"}</definedName>
    <definedName name="tj" localSheetId="43" hidden="1">{"Riqfin97",#N/A,FALSE,"Tran";"Riqfinpro",#N/A,FALSE,"Tran"}</definedName>
    <definedName name="tj" localSheetId="29" hidden="1">{"Riqfin97",#N/A,FALSE,"Tran";"Riqfinpro",#N/A,FALSE,"Tran"}</definedName>
    <definedName name="tj" localSheetId="30" hidden="1">{"Riqfin97",#N/A,FALSE,"Tran";"Riqfinpro",#N/A,FALSE,"Tran"}</definedName>
    <definedName name="tj" localSheetId="44" hidden="1">{"Riqfin97",#N/A,FALSE,"Tran";"Riqfinpro",#N/A,FALSE,"Tran"}</definedName>
    <definedName name="tj" localSheetId="59" hidden="1">{"Riqfin97",#N/A,FALSE,"Tran";"Riqfinpro",#N/A,FALSE,"Tran"}</definedName>
    <definedName name="tj" localSheetId="13" hidden="1">{"Riqfin97",#N/A,FALSE,"Tran";"Riqfinpro",#N/A,FALSE,"Tran"}</definedName>
    <definedName name="tj" localSheetId="0" hidden="1">{"Riqfin97",#N/A,FALSE,"Tran";"Riqfinpro",#N/A,FALSE,"Tran"}</definedName>
    <definedName name="tj" localSheetId="57" hidden="1">{"Riqfin97",#N/A,FALSE,"Tran";"Riqfinpro",#N/A,FALSE,"Tran"}</definedName>
    <definedName name="tj" localSheetId="56" hidden="1">{"Riqfin97",#N/A,FALSE,"Tran";"Riqfinpro",#N/A,FALSE,"Tran"}</definedName>
    <definedName name="tj" localSheetId="54" hidden="1">{"Riqfin97",#N/A,FALSE,"Tran";"Riqfinpro",#N/A,FALSE,"Tran"}</definedName>
    <definedName name="tj" localSheetId="52" hidden="1">{"Riqfin97",#N/A,FALSE,"Tran";"Riqfinpro",#N/A,FALSE,"Tran"}</definedName>
    <definedName name="tj" localSheetId="23" hidden="1">{"Riqfin97",#N/A,FALSE,"Tran";"Riqfinpro",#N/A,FALSE,"Tran"}</definedName>
    <definedName name="tj" localSheetId="51" hidden="1">{"Riqfin97",#N/A,FALSE,"Tran";"Riqfinpro",#N/A,FALSE,"Tran"}</definedName>
    <definedName name="tj" localSheetId="53" hidden="1">{"Riqfin97",#N/A,FALSE,"Tran";"Riqfinpro",#N/A,FALSE,"Tran"}</definedName>
    <definedName name="tj" localSheetId="60" hidden="1">{"Riqfin97",#N/A,FALSE,"Tran";"Riqfinpro",#N/A,FALSE,"Tran"}</definedName>
    <definedName name="tj" hidden="1">{"Riqfin97",#N/A,FALSE,"Tran";"Riqfinpro",#N/A,FALSE,"Tran"}</definedName>
    <definedName name="tjun" localSheetId="34">#REF!</definedName>
    <definedName name="tjun" localSheetId="35">#REF!</definedName>
    <definedName name="tjun" localSheetId="50">#REF!</definedName>
    <definedName name="tjun" localSheetId="15">#REF!</definedName>
    <definedName name="tjun" localSheetId="29">#REF!</definedName>
    <definedName name="tjun" localSheetId="30">#REF!</definedName>
    <definedName name="tjun" localSheetId="47">#REF!</definedName>
    <definedName name="tjun" localSheetId="44">#REF!</definedName>
    <definedName name="tjun" localSheetId="45">#REF!</definedName>
    <definedName name="tjun" localSheetId="46">#REF!</definedName>
    <definedName name="tjun" localSheetId="31">#REF!</definedName>
    <definedName name="tjun" localSheetId="32">#REF!</definedName>
    <definedName name="tjun" localSheetId="33">#REF!</definedName>
    <definedName name="tjun" localSheetId="36">#REF!</definedName>
    <definedName name="tjun" localSheetId="37">#REF!</definedName>
    <definedName name="tjun" localSheetId="38">#REF!</definedName>
    <definedName name="tjun" localSheetId="39">#REF!</definedName>
    <definedName name="tjun" localSheetId="40">#REF!</definedName>
    <definedName name="tjun" localSheetId="54">#REF!</definedName>
    <definedName name="tjun" localSheetId="55">#REF!</definedName>
    <definedName name="tjun" localSheetId="52">#REF!</definedName>
    <definedName name="tjun" localSheetId="23">#REF!</definedName>
    <definedName name="tjun" localSheetId="51">#REF!</definedName>
    <definedName name="tjun" localSheetId="53">#REF!</definedName>
    <definedName name="tjun" localSheetId="20">#REF!</definedName>
    <definedName name="tjun">#REF!</definedName>
    <definedName name="TM" localSheetId="50">#REF!</definedName>
    <definedName name="TM" localSheetId="47">#REF!</definedName>
    <definedName name="TM" localSheetId="44">#REF!</definedName>
    <definedName name="TM" localSheetId="45">#REF!</definedName>
    <definedName name="TM" localSheetId="46">#REF!</definedName>
    <definedName name="TM" localSheetId="37">#REF!</definedName>
    <definedName name="TM" localSheetId="40">#REF!</definedName>
    <definedName name="TM" localSheetId="54">#REF!</definedName>
    <definedName name="TM" localSheetId="55">#REF!</definedName>
    <definedName name="TM" localSheetId="52">#REF!</definedName>
    <definedName name="TM" localSheetId="51">#REF!</definedName>
    <definedName name="TM" localSheetId="53">#REF!</definedName>
    <definedName name="TM">#REF!</definedName>
    <definedName name="TM_D" localSheetId="50">#REF!</definedName>
    <definedName name="TM_D" localSheetId="47">#REF!</definedName>
    <definedName name="TM_D" localSheetId="44">#REF!</definedName>
    <definedName name="TM_D" localSheetId="45">#REF!</definedName>
    <definedName name="TM_D" localSheetId="46">#REF!</definedName>
    <definedName name="TM_D" localSheetId="37">#REF!</definedName>
    <definedName name="TM_D" localSheetId="40">#REF!</definedName>
    <definedName name="TM_D" localSheetId="54">#REF!</definedName>
    <definedName name="TM_D" localSheetId="55">#REF!</definedName>
    <definedName name="TM_D" localSheetId="52">#REF!</definedName>
    <definedName name="TM_D" localSheetId="51">#REF!</definedName>
    <definedName name="TM_D" localSheetId="53">#REF!</definedName>
    <definedName name="TM_D">#REF!</definedName>
    <definedName name="TM_DPCH" localSheetId="50">#REF!</definedName>
    <definedName name="TM_DPCH" localSheetId="47">#REF!</definedName>
    <definedName name="TM_DPCH" localSheetId="44">#REF!</definedName>
    <definedName name="TM_DPCH" localSheetId="45">#REF!</definedName>
    <definedName name="TM_DPCH" localSheetId="46">#REF!</definedName>
    <definedName name="TM_DPCH" localSheetId="37">#REF!</definedName>
    <definedName name="TM_DPCH" localSheetId="40">#REF!</definedName>
    <definedName name="TM_DPCH" localSheetId="54">#REF!</definedName>
    <definedName name="TM_DPCH" localSheetId="55">#REF!</definedName>
    <definedName name="TM_DPCH" localSheetId="52">#REF!</definedName>
    <definedName name="TM_DPCH" localSheetId="51">#REF!</definedName>
    <definedName name="TM_DPCH" localSheetId="53">#REF!</definedName>
    <definedName name="TM_DPCH">#REF!</definedName>
    <definedName name="TM_R" localSheetId="50">#REF!</definedName>
    <definedName name="TM_R" localSheetId="47">#REF!</definedName>
    <definedName name="TM_R" localSheetId="44">#REF!</definedName>
    <definedName name="TM_R" localSheetId="45">#REF!</definedName>
    <definedName name="TM_R" localSheetId="46">#REF!</definedName>
    <definedName name="TM_R" localSheetId="37">#REF!</definedName>
    <definedName name="TM_R" localSheetId="40">#REF!</definedName>
    <definedName name="TM_R" localSheetId="54">#REF!</definedName>
    <definedName name="TM_R" localSheetId="55">#REF!</definedName>
    <definedName name="TM_R" localSheetId="52">#REF!</definedName>
    <definedName name="TM_R" localSheetId="51">#REF!</definedName>
    <definedName name="TM_R" localSheetId="53">#REF!</definedName>
    <definedName name="TM_R">#REF!</definedName>
    <definedName name="TM_RPCH" localSheetId="50">#REF!</definedName>
    <definedName name="TM_RPCH" localSheetId="47">#REF!</definedName>
    <definedName name="TM_RPCH" localSheetId="44">#REF!</definedName>
    <definedName name="TM_RPCH" localSheetId="45">#REF!</definedName>
    <definedName name="TM_RPCH" localSheetId="46">#REF!</definedName>
    <definedName name="TM_RPCH" localSheetId="37">#REF!</definedName>
    <definedName name="TM_RPCH" localSheetId="40">#REF!</definedName>
    <definedName name="TM_RPCH" localSheetId="54">#REF!</definedName>
    <definedName name="TM_RPCH" localSheetId="55">#REF!</definedName>
    <definedName name="TM_RPCH" localSheetId="52">#REF!</definedName>
    <definedName name="TM_RPCH" localSheetId="51">#REF!</definedName>
    <definedName name="TM_RPCH" localSheetId="53">#REF!</definedName>
    <definedName name="TM_RPCH">#REF!</definedName>
    <definedName name="TMAR" localSheetId="34">#REF!</definedName>
    <definedName name="TMAR" localSheetId="35">#REF!</definedName>
    <definedName name="TMAR" localSheetId="50">#REF!</definedName>
    <definedName name="TMAR" localSheetId="15">#REF!</definedName>
    <definedName name="TMAR" localSheetId="29">#REF!</definedName>
    <definedName name="TMAR" localSheetId="30">#REF!</definedName>
    <definedName name="TMAR" localSheetId="47">#REF!</definedName>
    <definedName name="TMAR" localSheetId="44">#REF!</definedName>
    <definedName name="TMAR" localSheetId="45">#REF!</definedName>
    <definedName name="TMAR" localSheetId="46">#REF!</definedName>
    <definedName name="TMAR" localSheetId="31">#REF!</definedName>
    <definedName name="TMAR" localSheetId="32">#REF!</definedName>
    <definedName name="TMAR" localSheetId="33">#REF!</definedName>
    <definedName name="TMAR" localSheetId="36">#REF!</definedName>
    <definedName name="TMAR" localSheetId="37">#REF!</definedName>
    <definedName name="TMAR" localSheetId="38">#REF!</definedName>
    <definedName name="TMAR" localSheetId="39">#REF!</definedName>
    <definedName name="TMAR" localSheetId="40">#REF!</definedName>
    <definedName name="TMAR" localSheetId="54">#REF!</definedName>
    <definedName name="TMAR" localSheetId="55">#REF!</definedName>
    <definedName name="TMAR" localSheetId="52">#REF!</definedName>
    <definedName name="TMAR" localSheetId="23">#REF!</definedName>
    <definedName name="TMAR" localSheetId="51">#REF!</definedName>
    <definedName name="TMAR" localSheetId="53">#REF!</definedName>
    <definedName name="TMAR" localSheetId="20">#REF!</definedName>
    <definedName name="TMAR">#REF!</definedName>
    <definedName name="TMG" localSheetId="50">#REF!</definedName>
    <definedName name="TMG" localSheetId="47">#REF!</definedName>
    <definedName name="TMG" localSheetId="44">#REF!</definedName>
    <definedName name="TMG" localSheetId="45">#REF!</definedName>
    <definedName name="TMG" localSheetId="46">#REF!</definedName>
    <definedName name="TMG" localSheetId="37">#REF!</definedName>
    <definedName name="TMG" localSheetId="40">#REF!</definedName>
    <definedName name="TMG" localSheetId="54">#REF!</definedName>
    <definedName name="TMG" localSheetId="55">#REF!</definedName>
    <definedName name="TMG" localSheetId="52">#REF!</definedName>
    <definedName name="TMG" localSheetId="51">#REF!</definedName>
    <definedName name="TMG" localSheetId="53">#REF!</definedName>
    <definedName name="TMG">#REF!</definedName>
    <definedName name="TMG_D" localSheetId="50">[56]Q5!$E$23:$AH$23</definedName>
    <definedName name="TMG_D" localSheetId="44">[56]Q5!$E$23:$AH$23</definedName>
    <definedName name="TMG_D" localSheetId="54">[56]Q5!$E$23:$AH$23</definedName>
    <definedName name="TMG_D" localSheetId="52">[56]Q5!$E$23:$AH$23</definedName>
    <definedName name="TMG_D" localSheetId="51">[56]Q5!$E$23:$AH$23</definedName>
    <definedName name="TMG_D" localSheetId="53">[56]Q5!$E$23:$AH$23</definedName>
    <definedName name="TMG_D">[53]Q5!$E$23:$AH$23</definedName>
    <definedName name="TMG_DPCH" localSheetId="50">#REF!</definedName>
    <definedName name="TMG_DPCH" localSheetId="47">#REF!</definedName>
    <definedName name="TMG_DPCH" localSheetId="44">#REF!</definedName>
    <definedName name="TMG_DPCH" localSheetId="45">#REF!</definedName>
    <definedName name="TMG_DPCH" localSheetId="46">#REF!</definedName>
    <definedName name="TMG_DPCH" localSheetId="37">#REF!</definedName>
    <definedName name="TMG_DPCH" localSheetId="40">#REF!</definedName>
    <definedName name="TMG_DPCH" localSheetId="54">#REF!</definedName>
    <definedName name="TMG_DPCH" localSheetId="55">#REF!</definedName>
    <definedName name="TMG_DPCH" localSheetId="52">#REF!</definedName>
    <definedName name="TMG_DPCH" localSheetId="51">#REF!</definedName>
    <definedName name="TMG_DPCH" localSheetId="53">#REF!</definedName>
    <definedName name="TMG_DPCH">#REF!</definedName>
    <definedName name="TMG_R" localSheetId="50">#REF!</definedName>
    <definedName name="TMG_R" localSheetId="47">#REF!</definedName>
    <definedName name="TMG_R" localSheetId="44">#REF!</definedName>
    <definedName name="TMG_R" localSheetId="45">#REF!</definedName>
    <definedName name="TMG_R" localSheetId="46">#REF!</definedName>
    <definedName name="TMG_R" localSheetId="37">#REF!</definedName>
    <definedName name="TMG_R" localSheetId="40">#REF!</definedName>
    <definedName name="TMG_R" localSheetId="54">#REF!</definedName>
    <definedName name="TMG_R" localSheetId="55">#REF!</definedName>
    <definedName name="TMG_R" localSheetId="52">#REF!</definedName>
    <definedName name="TMG_R" localSheetId="51">#REF!</definedName>
    <definedName name="TMG_R" localSheetId="53">#REF!</definedName>
    <definedName name="TMG_R">#REF!</definedName>
    <definedName name="TMG_RPCH" localSheetId="50">#REF!</definedName>
    <definedName name="TMG_RPCH" localSheetId="47">#REF!</definedName>
    <definedName name="TMG_RPCH" localSheetId="44">#REF!</definedName>
    <definedName name="TMG_RPCH" localSheetId="45">#REF!</definedName>
    <definedName name="TMG_RPCH" localSheetId="46">#REF!</definedName>
    <definedName name="TMG_RPCH" localSheetId="37">#REF!</definedName>
    <definedName name="TMG_RPCH" localSheetId="40">#REF!</definedName>
    <definedName name="TMG_RPCH" localSheetId="54">#REF!</definedName>
    <definedName name="TMG_RPCH" localSheetId="55">#REF!</definedName>
    <definedName name="TMG_RPCH" localSheetId="52">#REF!</definedName>
    <definedName name="TMG_RPCH" localSheetId="51">#REF!</definedName>
    <definedName name="TMG_RPCH" localSheetId="53">#REF!</definedName>
    <definedName name="TMG_RPCH">#REF!</definedName>
    <definedName name="TMGO">#N/A</definedName>
    <definedName name="TMGO_D" localSheetId="50">#REF!</definedName>
    <definedName name="TMGO_D" localSheetId="47">#REF!</definedName>
    <definedName name="TMGO_D" localSheetId="44">#REF!</definedName>
    <definedName name="TMGO_D" localSheetId="45">#REF!</definedName>
    <definedName name="TMGO_D" localSheetId="46">#REF!</definedName>
    <definedName name="TMGO_D" localSheetId="37">#REF!</definedName>
    <definedName name="TMGO_D" localSheetId="40">#REF!</definedName>
    <definedName name="TMGO_D" localSheetId="54">#REF!</definedName>
    <definedName name="TMGO_D" localSheetId="55">#REF!</definedName>
    <definedName name="TMGO_D" localSheetId="52">#REF!</definedName>
    <definedName name="TMGO_D" localSheetId="51">#REF!</definedName>
    <definedName name="TMGO_D" localSheetId="53">#REF!</definedName>
    <definedName name="TMGO_D">#REF!</definedName>
    <definedName name="TMGO_DPCH" localSheetId="50">#REF!</definedName>
    <definedName name="TMGO_DPCH" localSheetId="47">#REF!</definedName>
    <definedName name="TMGO_DPCH" localSheetId="44">#REF!</definedName>
    <definedName name="TMGO_DPCH" localSheetId="45">#REF!</definedName>
    <definedName name="TMGO_DPCH" localSheetId="46">#REF!</definedName>
    <definedName name="TMGO_DPCH" localSheetId="37">#REF!</definedName>
    <definedName name="TMGO_DPCH" localSheetId="40">#REF!</definedName>
    <definedName name="TMGO_DPCH" localSheetId="54">#REF!</definedName>
    <definedName name="TMGO_DPCH" localSheetId="55">#REF!</definedName>
    <definedName name="TMGO_DPCH" localSheetId="52">#REF!</definedName>
    <definedName name="TMGO_DPCH" localSheetId="51">#REF!</definedName>
    <definedName name="TMGO_DPCH" localSheetId="53">#REF!</definedName>
    <definedName name="TMGO_DPCH">#REF!</definedName>
    <definedName name="TMGO_R" localSheetId="50">#REF!</definedName>
    <definedName name="TMGO_R" localSheetId="47">#REF!</definedName>
    <definedName name="TMGO_R" localSheetId="44">#REF!</definedName>
    <definedName name="TMGO_R" localSheetId="45">#REF!</definedName>
    <definedName name="TMGO_R" localSheetId="46">#REF!</definedName>
    <definedName name="TMGO_R" localSheetId="37">#REF!</definedName>
    <definedName name="TMGO_R" localSheetId="40">#REF!</definedName>
    <definedName name="TMGO_R" localSheetId="54">#REF!</definedName>
    <definedName name="TMGO_R" localSheetId="55">#REF!</definedName>
    <definedName name="TMGO_R" localSheetId="52">#REF!</definedName>
    <definedName name="TMGO_R" localSheetId="51">#REF!</definedName>
    <definedName name="TMGO_R" localSheetId="53">#REF!</definedName>
    <definedName name="TMGO_R">#REF!</definedName>
    <definedName name="TMGO_RPCH" localSheetId="50">#REF!</definedName>
    <definedName name="TMGO_RPCH" localSheetId="47">#REF!</definedName>
    <definedName name="TMGO_RPCH" localSheetId="44">#REF!</definedName>
    <definedName name="TMGO_RPCH" localSheetId="45">#REF!</definedName>
    <definedName name="TMGO_RPCH" localSheetId="46">#REF!</definedName>
    <definedName name="TMGO_RPCH" localSheetId="37">#REF!</definedName>
    <definedName name="TMGO_RPCH" localSheetId="40">#REF!</definedName>
    <definedName name="TMGO_RPCH" localSheetId="54">#REF!</definedName>
    <definedName name="TMGO_RPCH" localSheetId="55">#REF!</definedName>
    <definedName name="TMGO_RPCH" localSheetId="52">#REF!</definedName>
    <definedName name="TMGO_RPCH" localSheetId="51">#REF!</definedName>
    <definedName name="TMGO_RPCH" localSheetId="53">#REF!</definedName>
    <definedName name="TMGO_RPCH">#REF!</definedName>
    <definedName name="TMGXO" localSheetId="50">#REF!</definedName>
    <definedName name="TMGXO" localSheetId="47">#REF!</definedName>
    <definedName name="TMGXO" localSheetId="44">#REF!</definedName>
    <definedName name="TMGXO" localSheetId="45">#REF!</definedName>
    <definedName name="TMGXO" localSheetId="46">#REF!</definedName>
    <definedName name="TMGXO" localSheetId="37">#REF!</definedName>
    <definedName name="TMGXO" localSheetId="40">#REF!</definedName>
    <definedName name="TMGXO" localSheetId="54">#REF!</definedName>
    <definedName name="TMGXO" localSheetId="55">#REF!</definedName>
    <definedName name="TMGXO" localSheetId="52">#REF!</definedName>
    <definedName name="TMGXO" localSheetId="51">#REF!</definedName>
    <definedName name="TMGXO" localSheetId="53">#REF!</definedName>
    <definedName name="TMGXO">#REF!</definedName>
    <definedName name="TMGXO_D" localSheetId="50">#REF!</definedName>
    <definedName name="TMGXO_D" localSheetId="47">#REF!</definedName>
    <definedName name="TMGXO_D" localSheetId="44">#REF!</definedName>
    <definedName name="TMGXO_D" localSheetId="45">#REF!</definedName>
    <definedName name="TMGXO_D" localSheetId="46">#REF!</definedName>
    <definedName name="TMGXO_D" localSheetId="37">#REF!</definedName>
    <definedName name="TMGXO_D" localSheetId="40">#REF!</definedName>
    <definedName name="TMGXO_D" localSheetId="54">#REF!</definedName>
    <definedName name="TMGXO_D" localSheetId="55">#REF!</definedName>
    <definedName name="TMGXO_D" localSheetId="52">#REF!</definedName>
    <definedName name="TMGXO_D" localSheetId="51">#REF!</definedName>
    <definedName name="TMGXO_D" localSheetId="53">#REF!</definedName>
    <definedName name="TMGXO_D">#REF!</definedName>
    <definedName name="TMGXO_DPCH" localSheetId="50">#REF!</definedName>
    <definedName name="TMGXO_DPCH" localSheetId="47">#REF!</definedName>
    <definedName name="TMGXO_DPCH" localSheetId="44">#REF!</definedName>
    <definedName name="TMGXO_DPCH" localSheetId="45">#REF!</definedName>
    <definedName name="TMGXO_DPCH" localSheetId="46">#REF!</definedName>
    <definedName name="TMGXO_DPCH" localSheetId="37">#REF!</definedName>
    <definedName name="TMGXO_DPCH" localSheetId="40">#REF!</definedName>
    <definedName name="TMGXO_DPCH" localSheetId="54">#REF!</definedName>
    <definedName name="TMGXO_DPCH" localSheetId="55">#REF!</definedName>
    <definedName name="TMGXO_DPCH" localSheetId="52">#REF!</definedName>
    <definedName name="TMGXO_DPCH" localSheetId="51">#REF!</definedName>
    <definedName name="TMGXO_DPCH" localSheetId="53">#REF!</definedName>
    <definedName name="TMGXO_DPCH">#REF!</definedName>
    <definedName name="TMGXO_R" localSheetId="50">#REF!</definedName>
    <definedName name="TMGXO_R" localSheetId="47">#REF!</definedName>
    <definedName name="TMGXO_R" localSheetId="44">#REF!</definedName>
    <definedName name="TMGXO_R" localSheetId="45">#REF!</definedName>
    <definedName name="TMGXO_R" localSheetId="46">#REF!</definedName>
    <definedName name="TMGXO_R" localSheetId="37">#REF!</definedName>
    <definedName name="TMGXO_R" localSheetId="40">#REF!</definedName>
    <definedName name="TMGXO_R" localSheetId="54">#REF!</definedName>
    <definedName name="TMGXO_R" localSheetId="55">#REF!</definedName>
    <definedName name="TMGXO_R" localSheetId="52">#REF!</definedName>
    <definedName name="TMGXO_R" localSheetId="51">#REF!</definedName>
    <definedName name="TMGXO_R" localSheetId="53">#REF!</definedName>
    <definedName name="TMGXO_R">#REF!</definedName>
    <definedName name="TMGXO_RPCH" localSheetId="50">#REF!</definedName>
    <definedName name="TMGXO_RPCH" localSheetId="47">#REF!</definedName>
    <definedName name="TMGXO_RPCH" localSheetId="44">#REF!</definedName>
    <definedName name="TMGXO_RPCH" localSheetId="45">#REF!</definedName>
    <definedName name="TMGXO_RPCH" localSheetId="46">#REF!</definedName>
    <definedName name="TMGXO_RPCH" localSheetId="37">#REF!</definedName>
    <definedName name="TMGXO_RPCH" localSheetId="40">#REF!</definedName>
    <definedName name="TMGXO_RPCH" localSheetId="54">#REF!</definedName>
    <definedName name="TMGXO_RPCH" localSheetId="55">#REF!</definedName>
    <definedName name="TMGXO_RPCH" localSheetId="52">#REF!</definedName>
    <definedName name="TMGXO_RPCH" localSheetId="51">#REF!</definedName>
    <definedName name="TMGXO_RPCH" localSheetId="53">#REF!</definedName>
    <definedName name="TMGXO_RPCH">#REF!</definedName>
    <definedName name="tmp_network_days">'[163]Temp-Resource'!$C$1</definedName>
    <definedName name="TMS" localSheetId="50">#REF!</definedName>
    <definedName name="TMS" localSheetId="47">#REF!</definedName>
    <definedName name="TMS" localSheetId="44">#REF!</definedName>
    <definedName name="TMS" localSheetId="45">#REF!</definedName>
    <definedName name="TMS" localSheetId="46">#REF!</definedName>
    <definedName name="TMS" localSheetId="37">#REF!</definedName>
    <definedName name="TMS" localSheetId="40">#REF!</definedName>
    <definedName name="TMS" localSheetId="54">#REF!</definedName>
    <definedName name="TMS" localSheetId="55">#REF!</definedName>
    <definedName name="TMS" localSheetId="52">#REF!</definedName>
    <definedName name="TMS" localSheetId="51">#REF!</definedName>
    <definedName name="TMS" localSheetId="53">#REF!</definedName>
    <definedName name="TMS">#REF!</definedName>
    <definedName name="tnov" localSheetId="34">#REF!</definedName>
    <definedName name="tnov" localSheetId="35">#REF!</definedName>
    <definedName name="tnov" localSheetId="50">#REF!</definedName>
    <definedName name="tnov" localSheetId="15">#REF!</definedName>
    <definedName name="tnov" localSheetId="29">#REF!</definedName>
    <definedName name="tnov" localSheetId="30">#REF!</definedName>
    <definedName name="tnov" localSheetId="47">#REF!</definedName>
    <definedName name="tnov" localSheetId="44">#REF!</definedName>
    <definedName name="tnov" localSheetId="45">#REF!</definedName>
    <definedName name="tnov" localSheetId="46">#REF!</definedName>
    <definedName name="tnov" localSheetId="31">#REF!</definedName>
    <definedName name="tnov" localSheetId="32">#REF!</definedName>
    <definedName name="tnov" localSheetId="33">#REF!</definedName>
    <definedName name="tnov" localSheetId="36">#REF!</definedName>
    <definedName name="tnov" localSheetId="37">#REF!</definedName>
    <definedName name="tnov" localSheetId="38">#REF!</definedName>
    <definedName name="tnov" localSheetId="39">#REF!</definedName>
    <definedName name="tnov" localSheetId="40">#REF!</definedName>
    <definedName name="tnov" localSheetId="54">#REF!</definedName>
    <definedName name="tnov" localSheetId="55">#REF!</definedName>
    <definedName name="tnov" localSheetId="52">#REF!</definedName>
    <definedName name="tnov" localSheetId="23">#REF!</definedName>
    <definedName name="tnov" localSheetId="51">#REF!</definedName>
    <definedName name="tnov" localSheetId="53">#REF!</definedName>
    <definedName name="tnov" localSheetId="20">#REF!</definedName>
    <definedName name="tnov">#REF!</definedName>
    <definedName name="TOC" localSheetId="50">#REF!</definedName>
    <definedName name="TOC" localSheetId="47">#REF!</definedName>
    <definedName name="TOC" localSheetId="44">#REF!</definedName>
    <definedName name="TOC" localSheetId="45">#REF!</definedName>
    <definedName name="TOC" localSheetId="46">#REF!</definedName>
    <definedName name="TOC" localSheetId="37">#REF!</definedName>
    <definedName name="TOC" localSheetId="40">#REF!</definedName>
    <definedName name="TOC" localSheetId="54">#REF!</definedName>
    <definedName name="TOC" localSheetId="55">#REF!</definedName>
    <definedName name="TOC" localSheetId="52">#REF!</definedName>
    <definedName name="TOC" localSheetId="51">#REF!</definedName>
    <definedName name="TOC" localSheetId="53">#REF!</definedName>
    <definedName name="TOC">#REF!</definedName>
    <definedName name="toct" localSheetId="34">#REF!</definedName>
    <definedName name="toct" localSheetId="35">#REF!</definedName>
    <definedName name="toct" localSheetId="50">#REF!</definedName>
    <definedName name="toct" localSheetId="15">#REF!</definedName>
    <definedName name="toct" localSheetId="29">#REF!</definedName>
    <definedName name="toct" localSheetId="30">#REF!</definedName>
    <definedName name="toct" localSheetId="47">#REF!</definedName>
    <definedName name="toct" localSheetId="44">#REF!</definedName>
    <definedName name="toct" localSheetId="45">#REF!</definedName>
    <definedName name="toct" localSheetId="46">#REF!</definedName>
    <definedName name="toct" localSheetId="31">#REF!</definedName>
    <definedName name="toct" localSheetId="32">#REF!</definedName>
    <definedName name="toct" localSheetId="33">#REF!</definedName>
    <definedName name="toct" localSheetId="36">#REF!</definedName>
    <definedName name="toct" localSheetId="37">#REF!</definedName>
    <definedName name="toct" localSheetId="38">#REF!</definedName>
    <definedName name="toct" localSheetId="39">#REF!</definedName>
    <definedName name="toct" localSheetId="40">#REF!</definedName>
    <definedName name="toct" localSheetId="54">#REF!</definedName>
    <definedName name="toct" localSheetId="55">#REF!</definedName>
    <definedName name="toct" localSheetId="52">#REF!</definedName>
    <definedName name="toct" localSheetId="23">#REF!</definedName>
    <definedName name="toct" localSheetId="51">#REF!</definedName>
    <definedName name="toct" localSheetId="53">#REF!</definedName>
    <definedName name="toct" localSheetId="20">#REF!</definedName>
    <definedName name="toct">#REF!</definedName>
    <definedName name="TopClients" localSheetId="50">#REF!,#REF!,#REF!,#REF!</definedName>
    <definedName name="TopClients" localSheetId="47">#REF!,#REF!,#REF!,#REF!</definedName>
    <definedName name="TopClients" localSheetId="44">#REF!,#REF!,#REF!,#REF!</definedName>
    <definedName name="TopClients" localSheetId="45">#REF!,#REF!,#REF!,#REF!</definedName>
    <definedName name="TopClients" localSheetId="46">#REF!,#REF!,#REF!,#REF!</definedName>
    <definedName name="TopClients" localSheetId="37">#REF!,#REF!,#REF!,#REF!</definedName>
    <definedName name="TopClients" localSheetId="40">#REF!,#REF!,#REF!,#REF!</definedName>
    <definedName name="TopClients" localSheetId="54">#REF!,#REF!,#REF!,#REF!</definedName>
    <definedName name="TopClients" localSheetId="55">#REF!,#REF!,#REF!,#REF!</definedName>
    <definedName name="TopClients" localSheetId="52">#REF!,#REF!,#REF!,#REF!</definedName>
    <definedName name="TopClients" localSheetId="51">#REF!,#REF!,#REF!,#REF!</definedName>
    <definedName name="TopClients" localSheetId="53">#REF!,#REF!,#REF!,#REF!</definedName>
    <definedName name="TopClients">#REF!,#REF!,#REF!,#REF!</definedName>
    <definedName name="total_buloe_nogen" localSheetId="50">[40]Roles!#REF!</definedName>
    <definedName name="total_buloe_nogen" localSheetId="47">[40]Roles!#REF!</definedName>
    <definedName name="total_buloe_nogen" localSheetId="44">[40]Roles!#REF!</definedName>
    <definedName name="total_buloe_nogen" localSheetId="45">[40]Roles!#REF!</definedName>
    <definedName name="total_buloe_nogen" localSheetId="46">[40]Roles!#REF!</definedName>
    <definedName name="total_buloe_nogen" localSheetId="37">[40]Roles!#REF!</definedName>
    <definedName name="total_buloe_nogen" localSheetId="40">[40]Roles!#REF!</definedName>
    <definedName name="total_buloe_nogen" localSheetId="54">[40]Roles!#REF!</definedName>
    <definedName name="total_buloe_nogen" localSheetId="55">[40]Roles!#REF!</definedName>
    <definedName name="total_buloe_nogen" localSheetId="52">[40]Roles!#REF!</definedName>
    <definedName name="total_buloe_nogen" localSheetId="51">[40]Roles!#REF!</definedName>
    <definedName name="total_buloe_nogen" localSheetId="53">[40]Roles!#REF!</definedName>
    <definedName name="total_buloe_nogen">[40]Roles!#REF!</definedName>
    <definedName name="total_buloe_nogen_1" localSheetId="50">[42]Roles!#REF!</definedName>
    <definedName name="total_buloe_nogen_1" localSheetId="47">[42]Roles!#REF!</definedName>
    <definedName name="total_buloe_nogen_1" localSheetId="44">[42]Roles!#REF!</definedName>
    <definedName name="total_buloe_nogen_1" localSheetId="45">[42]Roles!#REF!</definedName>
    <definedName name="total_buloe_nogen_1" localSheetId="46">[42]Roles!#REF!</definedName>
    <definedName name="total_buloe_nogen_1" localSheetId="37">[42]Roles!#REF!</definedName>
    <definedName name="total_buloe_nogen_1" localSheetId="40">[42]Roles!#REF!</definedName>
    <definedName name="total_buloe_nogen_1" localSheetId="54">[42]Roles!#REF!</definedName>
    <definedName name="total_buloe_nogen_1" localSheetId="55">[42]Roles!#REF!</definedName>
    <definedName name="total_buloe_nogen_1" localSheetId="52">[42]Roles!#REF!</definedName>
    <definedName name="total_buloe_nogen_1" localSheetId="51">[42]Roles!#REF!</definedName>
    <definedName name="total_buloe_nogen_1" localSheetId="53">[42]Roles!#REF!</definedName>
    <definedName name="total_buloe_nogen_1">[42]Roles!#REF!</definedName>
    <definedName name="total_gen_exp" localSheetId="50">[40]Roles!#REF!</definedName>
    <definedName name="total_gen_exp" localSheetId="47">[40]Roles!#REF!</definedName>
    <definedName name="total_gen_exp" localSheetId="44">[40]Roles!#REF!</definedName>
    <definedName name="total_gen_exp" localSheetId="45">[40]Roles!#REF!</definedName>
    <definedName name="total_gen_exp" localSheetId="46">[40]Roles!#REF!</definedName>
    <definedName name="total_gen_exp" localSheetId="37">[40]Roles!#REF!</definedName>
    <definedName name="total_gen_exp" localSheetId="40">[40]Roles!#REF!</definedName>
    <definedName name="total_gen_exp" localSheetId="54">[40]Roles!#REF!</definedName>
    <definedName name="total_gen_exp" localSheetId="55">[40]Roles!#REF!</definedName>
    <definedName name="total_gen_exp" localSheetId="52">[40]Roles!#REF!</definedName>
    <definedName name="total_gen_exp" localSheetId="51">[40]Roles!#REF!</definedName>
    <definedName name="total_gen_exp" localSheetId="53">[40]Roles!#REF!</definedName>
    <definedName name="total_gen_exp">[40]Roles!#REF!</definedName>
    <definedName name="total_gen_exp_1" localSheetId="50">[42]Roles!#REF!</definedName>
    <definedName name="total_gen_exp_1" localSheetId="47">[42]Roles!#REF!</definedName>
    <definedName name="total_gen_exp_1" localSheetId="44">[42]Roles!#REF!</definedName>
    <definedName name="total_gen_exp_1" localSheetId="45">[42]Roles!#REF!</definedName>
    <definedName name="total_gen_exp_1" localSheetId="46">[42]Roles!#REF!</definedName>
    <definedName name="total_gen_exp_1" localSheetId="37">[42]Roles!#REF!</definedName>
    <definedName name="total_gen_exp_1" localSheetId="40">[42]Roles!#REF!</definedName>
    <definedName name="total_gen_exp_1" localSheetId="54">[42]Roles!#REF!</definedName>
    <definedName name="total_gen_exp_1" localSheetId="55">[42]Roles!#REF!</definedName>
    <definedName name="total_gen_exp_1" localSheetId="52">[42]Roles!#REF!</definedName>
    <definedName name="total_gen_exp_1" localSheetId="51">[42]Roles!#REF!</definedName>
    <definedName name="total_gen_exp_1" localSheetId="53">[42]Roles!#REF!</definedName>
    <definedName name="total_gen_exp_1">[42]Roles!#REF!</definedName>
    <definedName name="Total_loans" localSheetId="58">#REF!</definedName>
    <definedName name="Total_loans" localSheetId="34">#REF!</definedName>
    <definedName name="Total_loans" localSheetId="35">#REF!</definedName>
    <definedName name="Total_loans" localSheetId="50">#REF!</definedName>
    <definedName name="Total_loans" localSheetId="15">#REF!</definedName>
    <definedName name="Total_loans" localSheetId="27">#REF!</definedName>
    <definedName name="Total_loans" localSheetId="24">#REF!</definedName>
    <definedName name="Total_loans" localSheetId="26">#REF!</definedName>
    <definedName name="Total_loans" localSheetId="29">#REF!</definedName>
    <definedName name="Total_loans" localSheetId="42">#REF!</definedName>
    <definedName name="Total_loans" localSheetId="30">#REF!</definedName>
    <definedName name="Total_loans" localSheetId="47">#REF!</definedName>
    <definedName name="Total_loans" localSheetId="44">#REF!</definedName>
    <definedName name="Total_loans" localSheetId="45">#REF!</definedName>
    <definedName name="Total_loans" localSheetId="46">#REF!</definedName>
    <definedName name="Total_loans" localSheetId="31">#REF!</definedName>
    <definedName name="Total_loans" localSheetId="32">#REF!</definedName>
    <definedName name="Total_loans" localSheetId="33">#REF!</definedName>
    <definedName name="Total_loans" localSheetId="59">#REF!</definedName>
    <definedName name="Total_loans" localSheetId="36">#REF!</definedName>
    <definedName name="Total_loans" localSheetId="37">#REF!</definedName>
    <definedName name="Total_loans" localSheetId="38">#REF!</definedName>
    <definedName name="Total_loans" localSheetId="39">#REF!</definedName>
    <definedName name="Total_loans" localSheetId="40">#REF!</definedName>
    <definedName name="Total_loans" localSheetId="25">#REF!</definedName>
    <definedName name="Total_loans" localSheetId="54">#REF!</definedName>
    <definedName name="Total_loans" localSheetId="55">#REF!</definedName>
    <definedName name="Total_loans" localSheetId="52">#REF!</definedName>
    <definedName name="Total_loans" localSheetId="23">#REF!</definedName>
    <definedName name="Total_loans" localSheetId="51">#REF!</definedName>
    <definedName name="Total_loans" localSheetId="12">#REF!</definedName>
    <definedName name="Total_loans" localSheetId="53">#REF!</definedName>
    <definedName name="Total_loans" localSheetId="60">#REF!</definedName>
    <definedName name="Total_loans" localSheetId="20">#REF!</definedName>
    <definedName name="Total_loans">#REF!</definedName>
    <definedName name="total_loe_exp">[41]Data!$B$7</definedName>
    <definedName name="Total_Man_Days" localSheetId="50">#REF!</definedName>
    <definedName name="Total_Man_Days" localSheetId="47">#REF!</definedName>
    <definedName name="Total_Man_Days" localSheetId="44">#REF!</definedName>
    <definedName name="Total_Man_Days" localSheetId="45">#REF!</definedName>
    <definedName name="Total_Man_Days" localSheetId="46">#REF!</definedName>
    <definedName name="Total_Man_Days" localSheetId="37">#REF!</definedName>
    <definedName name="Total_Man_Days" localSheetId="40">#REF!</definedName>
    <definedName name="Total_Man_Days" localSheetId="54">#REF!</definedName>
    <definedName name="Total_Man_Days" localSheetId="55">#REF!</definedName>
    <definedName name="Total_Man_Days" localSheetId="52">#REF!</definedName>
    <definedName name="Total_Man_Days" localSheetId="51">#REF!</definedName>
    <definedName name="Total_Man_Days" localSheetId="53">#REF!</definedName>
    <definedName name="Total_Man_Days">#REF!</definedName>
    <definedName name="total_overhead_loe">'[41]Staffing Plan'!$AK$26</definedName>
    <definedName name="total_person_days">'[41]Staffing Plan'!$AK$66</definedName>
    <definedName name="total_rg_loe_exp" localSheetId="50">[40]Roles!#REF!</definedName>
    <definedName name="total_rg_loe_exp" localSheetId="47">[40]Roles!#REF!</definedName>
    <definedName name="total_rg_loe_exp" localSheetId="44">[40]Roles!#REF!</definedName>
    <definedName name="total_rg_loe_exp" localSheetId="45">[40]Roles!#REF!</definedName>
    <definedName name="total_rg_loe_exp" localSheetId="46">[40]Roles!#REF!</definedName>
    <definedName name="total_rg_loe_exp" localSheetId="37">[40]Roles!#REF!</definedName>
    <definedName name="total_rg_loe_exp" localSheetId="40">[40]Roles!#REF!</definedName>
    <definedName name="total_rg_loe_exp" localSheetId="54">[40]Roles!#REF!</definedName>
    <definedName name="total_rg_loe_exp" localSheetId="55">[40]Roles!#REF!</definedName>
    <definedName name="total_rg_loe_exp" localSheetId="52">[40]Roles!#REF!</definedName>
    <definedName name="total_rg_loe_exp" localSheetId="51">[40]Roles!#REF!</definedName>
    <definedName name="total_rg_loe_exp" localSheetId="53">[40]Roles!#REF!</definedName>
    <definedName name="total_rg_loe_exp">[40]Roles!#REF!</definedName>
    <definedName name="total_rg_loe_exp_1" localSheetId="50">[42]Roles!#REF!</definedName>
    <definedName name="total_rg_loe_exp_1" localSheetId="47">[42]Roles!#REF!</definedName>
    <definedName name="total_rg_loe_exp_1" localSheetId="44">[42]Roles!#REF!</definedName>
    <definedName name="total_rg_loe_exp_1" localSheetId="45">[42]Roles!#REF!</definedName>
    <definedName name="total_rg_loe_exp_1" localSheetId="46">[42]Roles!#REF!</definedName>
    <definedName name="total_rg_loe_exp_1" localSheetId="37">[42]Roles!#REF!</definedName>
    <definedName name="total_rg_loe_exp_1" localSheetId="40">[42]Roles!#REF!</definedName>
    <definedName name="total_rg_loe_exp_1" localSheetId="54">[42]Roles!#REF!</definedName>
    <definedName name="total_rg_loe_exp_1" localSheetId="55">[42]Roles!#REF!</definedName>
    <definedName name="total_rg_loe_exp_1" localSheetId="52">[42]Roles!#REF!</definedName>
    <definedName name="total_rg_loe_exp_1" localSheetId="51">[42]Roles!#REF!</definedName>
    <definedName name="total_rg_loe_exp_1" localSheetId="53">[42]Roles!#REF!</definedName>
    <definedName name="total_rg_loe_exp_1">[42]Roles!#REF!</definedName>
    <definedName name="total_team_days" localSheetId="50">#REF!</definedName>
    <definedName name="total_team_days" localSheetId="47">#REF!</definedName>
    <definedName name="total_team_days" localSheetId="44">#REF!</definedName>
    <definedName name="total_team_days" localSheetId="45">#REF!</definedName>
    <definedName name="total_team_days" localSheetId="46">#REF!</definedName>
    <definedName name="total_team_days" localSheetId="37">#REF!</definedName>
    <definedName name="total_team_days" localSheetId="40">#REF!</definedName>
    <definedName name="total_team_days" localSheetId="54">#REF!</definedName>
    <definedName name="total_team_days" localSheetId="55">#REF!</definedName>
    <definedName name="total_team_days" localSheetId="52">#REF!</definedName>
    <definedName name="total_team_days" localSheetId="51">#REF!</definedName>
    <definedName name="total_team_days" localSheetId="53">#REF!</definedName>
    <definedName name="total_team_days">#REF!</definedName>
    <definedName name="total_team_exp" localSheetId="50">[40]Roles!#REF!</definedName>
    <definedName name="total_team_exp" localSheetId="47">[40]Roles!#REF!</definedName>
    <definedName name="total_team_exp" localSheetId="44">[40]Roles!#REF!</definedName>
    <definedName name="total_team_exp" localSheetId="45">[40]Roles!#REF!</definedName>
    <definedName name="total_team_exp" localSheetId="46">[40]Roles!#REF!</definedName>
    <definedName name="total_team_exp" localSheetId="37">[40]Roles!#REF!</definedName>
    <definedName name="total_team_exp" localSheetId="40">[40]Roles!#REF!</definedName>
    <definedName name="total_team_exp" localSheetId="54">[40]Roles!#REF!</definedName>
    <definedName name="total_team_exp" localSheetId="55">[40]Roles!#REF!</definedName>
    <definedName name="total_team_exp" localSheetId="52">[40]Roles!#REF!</definedName>
    <definedName name="total_team_exp" localSheetId="51">[40]Roles!#REF!</definedName>
    <definedName name="total_team_exp" localSheetId="53">[40]Roles!#REF!</definedName>
    <definedName name="total_team_exp">[40]Roles!#REF!</definedName>
    <definedName name="total_team_exp_1" localSheetId="50">[42]Roles!#REF!</definedName>
    <definedName name="total_team_exp_1" localSheetId="47">[42]Roles!#REF!</definedName>
    <definedName name="total_team_exp_1" localSheetId="44">[42]Roles!#REF!</definedName>
    <definedName name="total_team_exp_1" localSheetId="45">[42]Roles!#REF!</definedName>
    <definedName name="total_team_exp_1" localSheetId="46">[42]Roles!#REF!</definedName>
    <definedName name="total_team_exp_1" localSheetId="37">[42]Roles!#REF!</definedName>
    <definedName name="total_team_exp_1" localSheetId="40">[42]Roles!#REF!</definedName>
    <definedName name="total_team_exp_1" localSheetId="54">[42]Roles!#REF!</definedName>
    <definedName name="total_team_exp_1" localSheetId="55">[42]Roles!#REF!</definedName>
    <definedName name="total_team_exp_1" localSheetId="52">[42]Roles!#REF!</definedName>
    <definedName name="total_team_exp_1" localSheetId="51">[42]Roles!#REF!</definedName>
    <definedName name="total_team_exp_1" localSheetId="53">[42]Roles!#REF!</definedName>
    <definedName name="total_team_exp_1">[42]Roles!#REF!</definedName>
    <definedName name="tourism" localSheetId="50">#REF!</definedName>
    <definedName name="tourism" localSheetId="47">#REF!</definedName>
    <definedName name="tourism" localSheetId="44">#REF!</definedName>
    <definedName name="tourism" localSheetId="45">#REF!</definedName>
    <definedName name="tourism" localSheetId="46">#REF!</definedName>
    <definedName name="tourism" localSheetId="37">#REF!</definedName>
    <definedName name="tourism" localSheetId="40">#REF!</definedName>
    <definedName name="tourism" localSheetId="54">#REF!</definedName>
    <definedName name="tourism" localSheetId="55">#REF!</definedName>
    <definedName name="tourism" localSheetId="52">#REF!</definedName>
    <definedName name="tourism" localSheetId="51">#REF!</definedName>
    <definedName name="tourism" localSheetId="53">#REF!</definedName>
    <definedName name="tourism">#REF!</definedName>
    <definedName name="TOWEO" localSheetId="34">#REF!</definedName>
    <definedName name="TOWEO" localSheetId="35">#REF!</definedName>
    <definedName name="TOWEO" localSheetId="50">#REF!</definedName>
    <definedName name="TOWEO" localSheetId="15">#REF!</definedName>
    <definedName name="TOWEO" localSheetId="29">#REF!</definedName>
    <definedName name="TOWEO" localSheetId="30">#REF!</definedName>
    <definedName name="TOWEO" localSheetId="47">#REF!</definedName>
    <definedName name="TOWEO" localSheetId="44">#REF!</definedName>
    <definedName name="TOWEO" localSheetId="45">#REF!</definedName>
    <definedName name="TOWEO" localSheetId="46">#REF!</definedName>
    <definedName name="TOWEO" localSheetId="31">#REF!</definedName>
    <definedName name="TOWEO" localSheetId="32">#REF!</definedName>
    <definedName name="TOWEO" localSheetId="33">#REF!</definedName>
    <definedName name="TOWEO" localSheetId="36">#REF!</definedName>
    <definedName name="TOWEO" localSheetId="37">#REF!</definedName>
    <definedName name="TOWEO" localSheetId="38">#REF!</definedName>
    <definedName name="TOWEO" localSheetId="39">#REF!</definedName>
    <definedName name="TOWEO" localSheetId="40">#REF!</definedName>
    <definedName name="TOWEO" localSheetId="54">#REF!</definedName>
    <definedName name="TOWEO" localSheetId="55">#REF!</definedName>
    <definedName name="TOWEO" localSheetId="52">#REF!</definedName>
    <definedName name="TOWEO" localSheetId="23">#REF!</definedName>
    <definedName name="TOWEO" localSheetId="51">#REF!</definedName>
    <definedName name="TOWEO" localSheetId="53">#REF!</definedName>
    <definedName name="TOWEO" localSheetId="20">#REF!</definedName>
    <definedName name="TOWEO">#REF!</definedName>
    <definedName name="track_list">'[41]Project Overview'!$B$17:$B$32</definedName>
    <definedName name="track_list2">'[164]Project Overview'!$B$17:$B$31</definedName>
    <definedName name="TrackNames" localSheetId="50">#REF!</definedName>
    <definedName name="TrackNames" localSheetId="47">#REF!</definedName>
    <definedName name="TrackNames" localSheetId="44">#REF!</definedName>
    <definedName name="TrackNames" localSheetId="45">#REF!</definedName>
    <definedName name="TrackNames" localSheetId="46">#REF!</definedName>
    <definedName name="TrackNames" localSheetId="37">#REF!</definedName>
    <definedName name="TrackNames" localSheetId="40">#REF!</definedName>
    <definedName name="TrackNames" localSheetId="54">#REF!</definedName>
    <definedName name="TrackNames" localSheetId="55">#REF!</definedName>
    <definedName name="TrackNames" localSheetId="52">#REF!</definedName>
    <definedName name="TrackNames" localSheetId="51">#REF!</definedName>
    <definedName name="TrackNames" localSheetId="53">#REF!</definedName>
    <definedName name="TrackNames">#REF!</definedName>
    <definedName name="tracks">'[165]Project Overview'!$C$12:$C$21</definedName>
    <definedName name="Trade" localSheetId="50">#REF!</definedName>
    <definedName name="Trade" localSheetId="47">#REF!</definedName>
    <definedName name="Trade" localSheetId="44">#REF!</definedName>
    <definedName name="Trade" localSheetId="45">#REF!</definedName>
    <definedName name="Trade" localSheetId="46">#REF!</definedName>
    <definedName name="Trade" localSheetId="37">#REF!</definedName>
    <definedName name="Trade" localSheetId="40">#REF!</definedName>
    <definedName name="Trade" localSheetId="54">#REF!</definedName>
    <definedName name="Trade" localSheetId="55">#REF!</definedName>
    <definedName name="Trade" localSheetId="52">#REF!</definedName>
    <definedName name="Trade" localSheetId="51">#REF!</definedName>
    <definedName name="Trade" localSheetId="53">#REF!</definedName>
    <definedName name="Trade">#REF!</definedName>
    <definedName name="TRADE3" localSheetId="34">[28]Trade!#REF!</definedName>
    <definedName name="TRADE3" localSheetId="35">[28]Trade!#REF!</definedName>
    <definedName name="TRADE3" localSheetId="50">[29]Trade!#REF!</definedName>
    <definedName name="TRADE3" localSheetId="15">[28]Trade!#REF!</definedName>
    <definedName name="TRADE3" localSheetId="29">[28]Trade!#REF!</definedName>
    <definedName name="TRADE3" localSheetId="30">[28]Trade!#REF!</definedName>
    <definedName name="TRADE3" localSheetId="47">[28]Trade!#REF!</definedName>
    <definedName name="TRADE3" localSheetId="44">[29]Trade!#REF!</definedName>
    <definedName name="TRADE3" localSheetId="45">[28]Trade!#REF!</definedName>
    <definedName name="TRADE3" localSheetId="46">[28]Trade!#REF!</definedName>
    <definedName name="TRADE3" localSheetId="31">[28]Trade!#REF!</definedName>
    <definedName name="TRADE3" localSheetId="32">[28]Trade!#REF!</definedName>
    <definedName name="TRADE3" localSheetId="33">[28]Trade!#REF!</definedName>
    <definedName name="TRADE3" localSheetId="36">[28]Trade!#REF!</definedName>
    <definedName name="TRADE3" localSheetId="37">[28]Trade!#REF!</definedName>
    <definedName name="TRADE3" localSheetId="38">[28]Trade!#REF!</definedName>
    <definedName name="TRADE3" localSheetId="39">[28]Trade!#REF!</definedName>
    <definedName name="TRADE3" localSheetId="40">[28]Trade!#REF!</definedName>
    <definedName name="TRADE3" localSheetId="54">[29]Trade!#REF!</definedName>
    <definedName name="TRADE3" localSheetId="55">[28]Trade!#REF!</definedName>
    <definedName name="TRADE3" localSheetId="52">[29]Trade!#REF!</definedName>
    <definedName name="TRADE3" localSheetId="23">[28]Trade!#REF!</definedName>
    <definedName name="TRADE3" localSheetId="51">[29]Trade!#REF!</definedName>
    <definedName name="TRADE3" localSheetId="53">[29]Trade!#REF!</definedName>
    <definedName name="TRADE3" localSheetId="20">[28]Trade!#REF!</definedName>
    <definedName name="TRADE3">[28]Trade!#REF!</definedName>
    <definedName name="Train" localSheetId="50">#REF!</definedName>
    <definedName name="Train" localSheetId="47">#REF!</definedName>
    <definedName name="Train" localSheetId="44">#REF!</definedName>
    <definedName name="Train" localSheetId="45">#REF!</definedName>
    <definedName name="Train" localSheetId="46">#REF!</definedName>
    <definedName name="Train" localSheetId="37">#REF!</definedName>
    <definedName name="Train" localSheetId="40">#REF!</definedName>
    <definedName name="Train" localSheetId="54">#REF!</definedName>
    <definedName name="Train" localSheetId="55">#REF!</definedName>
    <definedName name="Train" localSheetId="52">#REF!</definedName>
    <definedName name="Train" localSheetId="51">#REF!</definedName>
    <definedName name="Train" localSheetId="53">#REF!</definedName>
    <definedName name="Train">#REF!</definedName>
    <definedName name="trans" localSheetId="34">#REF!</definedName>
    <definedName name="trans" localSheetId="35">#REF!</definedName>
    <definedName name="trans" localSheetId="50">#REF!</definedName>
    <definedName name="trans" localSheetId="15">#REF!</definedName>
    <definedName name="trans" localSheetId="29">#REF!</definedName>
    <definedName name="trans" localSheetId="30">#REF!</definedName>
    <definedName name="trans" localSheetId="47">#REF!</definedName>
    <definedName name="trans" localSheetId="44">#REF!</definedName>
    <definedName name="trans" localSheetId="45">#REF!</definedName>
    <definedName name="trans" localSheetId="46">#REF!</definedName>
    <definedName name="trans" localSheetId="31">#REF!</definedName>
    <definedName name="trans" localSheetId="32">#REF!</definedName>
    <definedName name="trans" localSheetId="33">#REF!</definedName>
    <definedName name="trans" localSheetId="36">#REF!</definedName>
    <definedName name="trans" localSheetId="37">#REF!</definedName>
    <definedName name="trans" localSheetId="38">#REF!</definedName>
    <definedName name="trans" localSheetId="39">#REF!</definedName>
    <definedName name="trans" localSheetId="40">#REF!</definedName>
    <definedName name="trans" localSheetId="54">#REF!</definedName>
    <definedName name="trans" localSheetId="55">#REF!</definedName>
    <definedName name="trans" localSheetId="52">#REF!</definedName>
    <definedName name="trans" localSheetId="23">#REF!</definedName>
    <definedName name="trans" localSheetId="51">#REF!</definedName>
    <definedName name="trans" localSheetId="53">#REF!</definedName>
    <definedName name="trans" localSheetId="20">#REF!</definedName>
    <definedName name="trans">#REF!</definedName>
    <definedName name="Transfer_check" localSheetId="34">#REF!</definedName>
    <definedName name="Transfer_check" localSheetId="35">#REF!</definedName>
    <definedName name="Transfer_check" localSheetId="50">#REF!</definedName>
    <definedName name="Transfer_check" localSheetId="15">#REF!</definedName>
    <definedName name="Transfer_check" localSheetId="29">#REF!</definedName>
    <definedName name="Transfer_check" localSheetId="30">#REF!</definedName>
    <definedName name="Transfer_check" localSheetId="47">#REF!</definedName>
    <definedName name="Transfer_check" localSheetId="44">#REF!</definedName>
    <definedName name="Transfer_check" localSheetId="45">#REF!</definedName>
    <definedName name="Transfer_check" localSheetId="46">#REF!</definedName>
    <definedName name="Transfer_check" localSheetId="31">#REF!</definedName>
    <definedName name="Transfer_check" localSheetId="32">#REF!</definedName>
    <definedName name="Transfer_check" localSheetId="33">#REF!</definedName>
    <definedName name="Transfer_check" localSheetId="36">#REF!</definedName>
    <definedName name="Transfer_check" localSheetId="37">#REF!</definedName>
    <definedName name="Transfer_check" localSheetId="38">#REF!</definedName>
    <definedName name="Transfer_check" localSheetId="39">#REF!</definedName>
    <definedName name="Transfer_check" localSheetId="40">#REF!</definedName>
    <definedName name="Transfer_check" localSheetId="54">#REF!</definedName>
    <definedName name="Transfer_check" localSheetId="55">#REF!</definedName>
    <definedName name="Transfer_check" localSheetId="52">#REF!</definedName>
    <definedName name="Transfer_check" localSheetId="23">#REF!</definedName>
    <definedName name="Transfer_check" localSheetId="51">#REF!</definedName>
    <definedName name="Transfer_check" localSheetId="53">#REF!</definedName>
    <definedName name="Transfer_check" localSheetId="20">#REF!</definedName>
    <definedName name="Transfer_check">#REF!</definedName>
    <definedName name="TRANSNAVE" localSheetId="34">#REF!</definedName>
    <definedName name="TRANSNAVE" localSheetId="35">#REF!</definedName>
    <definedName name="TRANSNAVE" localSheetId="50">#REF!</definedName>
    <definedName name="TRANSNAVE" localSheetId="15">#REF!</definedName>
    <definedName name="TRANSNAVE" localSheetId="29">#REF!</definedName>
    <definedName name="TRANSNAVE" localSheetId="30">#REF!</definedName>
    <definedName name="TRANSNAVE" localSheetId="47">#REF!</definedName>
    <definedName name="TRANSNAVE" localSheetId="44">#REF!</definedName>
    <definedName name="TRANSNAVE" localSheetId="45">#REF!</definedName>
    <definedName name="TRANSNAVE" localSheetId="46">#REF!</definedName>
    <definedName name="TRANSNAVE" localSheetId="31">#REF!</definedName>
    <definedName name="TRANSNAVE" localSheetId="32">#REF!</definedName>
    <definedName name="TRANSNAVE" localSheetId="33">#REF!</definedName>
    <definedName name="TRANSNAVE" localSheetId="36">#REF!</definedName>
    <definedName name="TRANSNAVE" localSheetId="37">#REF!</definedName>
    <definedName name="TRANSNAVE" localSheetId="38">#REF!</definedName>
    <definedName name="TRANSNAVE" localSheetId="39">#REF!</definedName>
    <definedName name="TRANSNAVE" localSheetId="40">#REF!</definedName>
    <definedName name="TRANSNAVE" localSheetId="54">#REF!</definedName>
    <definedName name="TRANSNAVE" localSheetId="55">#REF!</definedName>
    <definedName name="TRANSNAVE" localSheetId="52">#REF!</definedName>
    <definedName name="TRANSNAVE" localSheetId="23">#REF!</definedName>
    <definedName name="TRANSNAVE" localSheetId="51">#REF!</definedName>
    <definedName name="TRANSNAVE" localSheetId="53">#REF!</definedName>
    <definedName name="TRANSNAVE" localSheetId="20">#REF!</definedName>
    <definedName name="TRANSNAVE">#REF!</definedName>
    <definedName name="TRAS">#N/A</definedName>
    <definedName name="Treasury" localSheetId="50">#REF!</definedName>
    <definedName name="Treasury" localSheetId="47">#REF!</definedName>
    <definedName name="Treasury" localSheetId="44">#REF!</definedName>
    <definedName name="Treasury" localSheetId="45">#REF!</definedName>
    <definedName name="Treasury" localSheetId="46">#REF!</definedName>
    <definedName name="Treasury" localSheetId="37">#REF!</definedName>
    <definedName name="Treasury" localSheetId="40">#REF!</definedName>
    <definedName name="Treasury" localSheetId="54">#REF!</definedName>
    <definedName name="Treasury" localSheetId="55">#REF!</definedName>
    <definedName name="Treasury" localSheetId="52">#REF!</definedName>
    <definedName name="Treasury" localSheetId="51">#REF!</definedName>
    <definedName name="Treasury" localSheetId="53">#REF!</definedName>
    <definedName name="Treasury">#REF!</definedName>
    <definedName name="try" localSheetId="58" hidden="1">{"Minpmon",#N/A,FALSE,"Monthinput"}</definedName>
    <definedName name="try" localSheetId="16" hidden="1">{"Minpmon",#N/A,FALSE,"Monthinput"}</definedName>
    <definedName name="try" localSheetId="61" hidden="1">{"Minpmon",#N/A,FALSE,"Monthinput"}</definedName>
    <definedName name="try" localSheetId="62" hidden="1">{"Minpmon",#N/A,FALSE,"Monthinput"}</definedName>
    <definedName name="try" localSheetId="63" hidden="1">{"Minpmon",#N/A,FALSE,"Monthinput"}</definedName>
    <definedName name="try" localSheetId="15" hidden="1">{"Minpmon",#N/A,FALSE,"Monthinput"}</definedName>
    <definedName name="try" localSheetId="43" hidden="1">{"Minpmon",#N/A,FALSE,"Monthinput"}</definedName>
    <definedName name="try" localSheetId="29" hidden="1">{"Minpmon",#N/A,FALSE,"Monthinput"}</definedName>
    <definedName name="try" localSheetId="30" hidden="1">{"Minpmon",#N/A,FALSE,"Monthinput"}</definedName>
    <definedName name="try" localSheetId="59" hidden="1">{"Minpmon",#N/A,FALSE,"Monthinput"}</definedName>
    <definedName name="try" localSheetId="57" hidden="1">{"Minpmon",#N/A,FALSE,"Monthinput"}</definedName>
    <definedName name="try" localSheetId="56" hidden="1">{"Minpmon",#N/A,FALSE,"Monthinput"}</definedName>
    <definedName name="try" localSheetId="60" hidden="1">{"Minpmon",#N/A,FALSE,"Monthinput"}</definedName>
    <definedName name="try" hidden="1">{"Minpmon",#N/A,FALSE,"Monthinput"}</definedName>
    <definedName name="TS" localSheetId="34">#REF!</definedName>
    <definedName name="TS" localSheetId="35">#REF!</definedName>
    <definedName name="TS" localSheetId="50">#REF!</definedName>
    <definedName name="TS" localSheetId="15">#REF!</definedName>
    <definedName name="TS" localSheetId="29">#REF!</definedName>
    <definedName name="TS" localSheetId="30">#REF!</definedName>
    <definedName name="TS" localSheetId="47">#REF!</definedName>
    <definedName name="TS" localSheetId="44">#REF!</definedName>
    <definedName name="TS" localSheetId="45">#REF!</definedName>
    <definedName name="TS" localSheetId="46">#REF!</definedName>
    <definedName name="TS" localSheetId="31">#REF!</definedName>
    <definedName name="TS" localSheetId="32">#REF!</definedName>
    <definedName name="TS" localSheetId="33">#REF!</definedName>
    <definedName name="TS" localSheetId="36">#REF!</definedName>
    <definedName name="TS" localSheetId="37">#REF!</definedName>
    <definedName name="TS" localSheetId="38">#REF!</definedName>
    <definedName name="TS" localSheetId="39">#REF!</definedName>
    <definedName name="TS" localSheetId="40">#REF!</definedName>
    <definedName name="TS" localSheetId="54">#REF!</definedName>
    <definedName name="TS" localSheetId="55">#REF!</definedName>
    <definedName name="TS" localSheetId="52">#REF!</definedName>
    <definedName name="TS" localSheetId="23">#REF!</definedName>
    <definedName name="TS" localSheetId="51">#REF!</definedName>
    <definedName name="TS" localSheetId="53">#REF!</definedName>
    <definedName name="TS" localSheetId="20">#REF!</definedName>
    <definedName name="TS">#REF!</definedName>
    <definedName name="TSET" localSheetId="34">#REF!</definedName>
    <definedName name="TSET" localSheetId="35">#REF!</definedName>
    <definedName name="TSET" localSheetId="50">#REF!</definedName>
    <definedName name="TSET" localSheetId="15">#REF!</definedName>
    <definedName name="TSET" localSheetId="29">#REF!</definedName>
    <definedName name="TSET" localSheetId="30">#REF!</definedName>
    <definedName name="TSET" localSheetId="47">#REF!</definedName>
    <definedName name="TSET" localSheetId="44">#REF!</definedName>
    <definedName name="TSET" localSheetId="45">#REF!</definedName>
    <definedName name="TSET" localSheetId="46">#REF!</definedName>
    <definedName name="TSET" localSheetId="31">#REF!</definedName>
    <definedName name="TSET" localSheetId="32">#REF!</definedName>
    <definedName name="TSET" localSheetId="33">#REF!</definedName>
    <definedName name="TSET" localSheetId="36">#REF!</definedName>
    <definedName name="TSET" localSheetId="37">#REF!</definedName>
    <definedName name="TSET" localSheetId="38">#REF!</definedName>
    <definedName name="TSET" localSheetId="39">#REF!</definedName>
    <definedName name="TSET" localSheetId="40">#REF!</definedName>
    <definedName name="TSET" localSheetId="54">#REF!</definedName>
    <definedName name="TSET" localSheetId="55">#REF!</definedName>
    <definedName name="TSET" localSheetId="52">#REF!</definedName>
    <definedName name="TSET" localSheetId="23">#REF!</definedName>
    <definedName name="TSET" localSheetId="51">#REF!</definedName>
    <definedName name="TSET" localSheetId="53">#REF!</definedName>
    <definedName name="TSET" localSheetId="20">#REF!</definedName>
    <definedName name="TSET">#REF!</definedName>
    <definedName name="TSHPROG" localSheetId="50">#REF!</definedName>
    <definedName name="TSHPROG" localSheetId="47">#REF!</definedName>
    <definedName name="TSHPROG" localSheetId="44">#REF!</definedName>
    <definedName name="TSHPROG" localSheetId="45">#REF!</definedName>
    <definedName name="TSHPROG" localSheetId="46">#REF!</definedName>
    <definedName name="TSHPROG" localSheetId="37">#REF!</definedName>
    <definedName name="TSHPROG" localSheetId="40">#REF!</definedName>
    <definedName name="TSHPROG" localSheetId="54">#REF!</definedName>
    <definedName name="TSHPROG" localSheetId="55">#REF!</definedName>
    <definedName name="TSHPROG" localSheetId="52">#REF!</definedName>
    <definedName name="TSHPROG" localSheetId="51">#REF!</definedName>
    <definedName name="TSHPROG" localSheetId="53">#REF!</definedName>
    <definedName name="TSHPROG">#REF!</definedName>
    <definedName name="tt" localSheetId="58" hidden="1">{"Tab1",#N/A,FALSE,"P";"Tab2",#N/A,FALSE,"P"}</definedName>
    <definedName name="tt" localSheetId="16" hidden="1">{"Tab1",#N/A,FALSE,"P";"Tab2",#N/A,FALSE,"P"}</definedName>
    <definedName name="tt" localSheetId="61" hidden="1">{"Tab1",#N/A,FALSE,"P";"Tab2",#N/A,FALSE,"P"}</definedName>
    <definedName name="tt" localSheetId="62" hidden="1">{"Tab1",#N/A,FALSE,"P";"Tab2",#N/A,FALSE,"P"}</definedName>
    <definedName name="tt" localSheetId="50" hidden="1">{"Tab1",#N/A,FALSE,"P";"Tab2",#N/A,FALSE,"P"}</definedName>
    <definedName name="tt" localSheetId="63" hidden="1">{"Tab1",#N/A,FALSE,"P";"Tab2",#N/A,FALSE,"P"}</definedName>
    <definedName name="tt" localSheetId="15" hidden="1">{"Tab1",#N/A,FALSE,"P";"Tab2",#N/A,FALSE,"P"}</definedName>
    <definedName name="tt" localSheetId="1" hidden="1">{"Tab1",#N/A,FALSE,"P";"Tab2",#N/A,FALSE,"P"}</definedName>
    <definedName name="tt" localSheetId="43" hidden="1">{"Tab1",#N/A,FALSE,"P";"Tab2",#N/A,FALSE,"P"}</definedName>
    <definedName name="tt" localSheetId="29" hidden="1">{"Tab1",#N/A,FALSE,"P";"Tab2",#N/A,FALSE,"P"}</definedName>
    <definedName name="tt" localSheetId="30" hidden="1">{"Tab1",#N/A,FALSE,"P";"Tab2",#N/A,FALSE,"P"}</definedName>
    <definedName name="tt" localSheetId="44" hidden="1">{"Tab1",#N/A,FALSE,"P";"Tab2",#N/A,FALSE,"P"}</definedName>
    <definedName name="tt" localSheetId="59" hidden="1">{"Tab1",#N/A,FALSE,"P";"Tab2",#N/A,FALSE,"P"}</definedName>
    <definedName name="tt" localSheetId="13" hidden="1">{"Tab1",#N/A,FALSE,"P";"Tab2",#N/A,FALSE,"P"}</definedName>
    <definedName name="tt" localSheetId="0" hidden="1">{"Tab1",#N/A,FALSE,"P";"Tab2",#N/A,FALSE,"P"}</definedName>
    <definedName name="tt" localSheetId="57" hidden="1">{"Tab1",#N/A,FALSE,"P";"Tab2",#N/A,FALSE,"P"}</definedName>
    <definedName name="tt" localSheetId="56" hidden="1">{"Tab1",#N/A,FALSE,"P";"Tab2",#N/A,FALSE,"P"}</definedName>
    <definedName name="tt" localSheetId="54" hidden="1">{"Tab1",#N/A,FALSE,"P";"Tab2",#N/A,FALSE,"P"}</definedName>
    <definedName name="tt" localSheetId="52" hidden="1">{"Tab1",#N/A,FALSE,"P";"Tab2",#N/A,FALSE,"P"}</definedName>
    <definedName name="tt" localSheetId="23" hidden="1">{"Tab1",#N/A,FALSE,"P";"Tab2",#N/A,FALSE,"P"}</definedName>
    <definedName name="tt" localSheetId="51" hidden="1">{"Tab1",#N/A,FALSE,"P";"Tab2",#N/A,FALSE,"P"}</definedName>
    <definedName name="tt" localSheetId="53" hidden="1">{"Tab1",#N/A,FALSE,"P";"Tab2",#N/A,FALSE,"P"}</definedName>
    <definedName name="tt" localSheetId="60" hidden="1">{"Tab1",#N/A,FALSE,"P";"Tab2",#N/A,FALSE,"P"}</definedName>
    <definedName name="tt" hidden="1">{"Tab1",#N/A,FALSE,"P";"Tab2",#N/A,FALSE,"P"}</definedName>
    <definedName name="ttt" localSheetId="58" hidden="1">{"Minpmon",#N/A,FALSE,"Monthinput"}</definedName>
    <definedName name="ttt" localSheetId="16" hidden="1">{"Minpmon",#N/A,FALSE,"Monthinput"}</definedName>
    <definedName name="ttt" localSheetId="61" hidden="1">{"Minpmon",#N/A,FALSE,"Monthinput"}</definedName>
    <definedName name="ttt" localSheetId="62" hidden="1">{"Minpmon",#N/A,FALSE,"Monthinput"}</definedName>
    <definedName name="ttt" localSheetId="50" hidden="1">{"Minpmon",#N/A,FALSE,"Monthinput"}</definedName>
    <definedName name="ttt" localSheetId="63" hidden="1">{"Minpmon",#N/A,FALSE,"Monthinput"}</definedName>
    <definedName name="ttt" localSheetId="15" hidden="1">{"Minpmon",#N/A,FALSE,"Monthinput"}</definedName>
    <definedName name="ttt" localSheetId="1" hidden="1">{"Minpmon",#N/A,FALSE,"Monthinput"}</definedName>
    <definedName name="ttt" localSheetId="43" hidden="1">{"Minpmon",#N/A,FALSE,"Monthinput"}</definedName>
    <definedName name="ttt" localSheetId="29" hidden="1">{"Minpmon",#N/A,FALSE,"Monthinput"}</definedName>
    <definedName name="ttt" localSheetId="30" hidden="1">{"Minpmon",#N/A,FALSE,"Monthinput"}</definedName>
    <definedName name="ttt" localSheetId="44" hidden="1">{"Minpmon",#N/A,FALSE,"Monthinput"}</definedName>
    <definedName name="ttt" localSheetId="59" hidden="1">{"Minpmon",#N/A,FALSE,"Monthinput"}</definedName>
    <definedName name="ttt" localSheetId="13" hidden="1">{"Minpmon",#N/A,FALSE,"Monthinput"}</definedName>
    <definedName name="ttt" localSheetId="0" hidden="1">{"Minpmon",#N/A,FALSE,"Monthinput"}</definedName>
    <definedName name="ttt" localSheetId="57" hidden="1">{"Minpmon",#N/A,FALSE,"Monthinput"}</definedName>
    <definedName name="ttt" localSheetId="56" hidden="1">{"Minpmon",#N/A,FALSE,"Monthinput"}</definedName>
    <definedName name="ttt" localSheetId="54" hidden="1">{"Minpmon",#N/A,FALSE,"Monthinput"}</definedName>
    <definedName name="ttt" localSheetId="52" hidden="1">{"Minpmon",#N/A,FALSE,"Monthinput"}</definedName>
    <definedName name="ttt" localSheetId="23" hidden="1">{"Minpmon",#N/A,FALSE,"Monthinput"}</definedName>
    <definedName name="ttt" localSheetId="51" hidden="1">{"Minpmon",#N/A,FALSE,"Monthinput"}</definedName>
    <definedName name="ttt" localSheetId="53" hidden="1">{"Minpmon",#N/A,FALSE,"Monthinput"}</definedName>
    <definedName name="ttt" localSheetId="60" hidden="1">{"Minpmon",#N/A,FALSE,"Monthinput"}</definedName>
    <definedName name="ttt" hidden="1">{"Minpmon",#N/A,FALSE,"Monthinput"}</definedName>
    <definedName name="tttt" localSheetId="58" hidden="1">{"Tab1",#N/A,FALSE,"P";"Tab2",#N/A,FALSE,"P"}</definedName>
    <definedName name="tttt" localSheetId="16" hidden="1">{"Tab1",#N/A,FALSE,"P";"Tab2",#N/A,FALSE,"P"}</definedName>
    <definedName name="tttt" localSheetId="61" hidden="1">{"Tab1",#N/A,FALSE,"P";"Tab2",#N/A,FALSE,"P"}</definedName>
    <definedName name="tttt" localSheetId="62" hidden="1">{"Tab1",#N/A,FALSE,"P";"Tab2",#N/A,FALSE,"P"}</definedName>
    <definedName name="tttt" localSheetId="50" hidden="1">{"Tab1",#N/A,FALSE,"P";"Tab2",#N/A,FALSE,"P"}</definedName>
    <definedName name="tttt" localSheetId="63" hidden="1">{"Tab1",#N/A,FALSE,"P";"Tab2",#N/A,FALSE,"P"}</definedName>
    <definedName name="tttt" localSheetId="15" hidden="1">{"Tab1",#N/A,FALSE,"P";"Tab2",#N/A,FALSE,"P"}</definedName>
    <definedName name="tttt" localSheetId="1" hidden="1">{"Tab1",#N/A,FALSE,"P";"Tab2",#N/A,FALSE,"P"}</definedName>
    <definedName name="tttt" localSheetId="43" hidden="1">{"Tab1",#N/A,FALSE,"P";"Tab2",#N/A,FALSE,"P"}</definedName>
    <definedName name="tttt" localSheetId="29" hidden="1">{"Tab1",#N/A,FALSE,"P";"Tab2",#N/A,FALSE,"P"}</definedName>
    <definedName name="tttt" localSheetId="30" hidden="1">{"Tab1",#N/A,FALSE,"P";"Tab2",#N/A,FALSE,"P"}</definedName>
    <definedName name="tttt" localSheetId="44" hidden="1">{"Tab1",#N/A,FALSE,"P";"Tab2",#N/A,FALSE,"P"}</definedName>
    <definedName name="tttt" localSheetId="59" hidden="1">{"Tab1",#N/A,FALSE,"P";"Tab2",#N/A,FALSE,"P"}</definedName>
    <definedName name="tttt" localSheetId="13" hidden="1">{"Tab1",#N/A,FALSE,"P";"Tab2",#N/A,FALSE,"P"}</definedName>
    <definedName name="tttt" localSheetId="0" hidden="1">{"Tab1",#N/A,FALSE,"P";"Tab2",#N/A,FALSE,"P"}</definedName>
    <definedName name="tttt" localSheetId="57" hidden="1">{"Tab1",#N/A,FALSE,"P";"Tab2",#N/A,FALSE,"P"}</definedName>
    <definedName name="tttt" localSheetId="56" hidden="1">{"Tab1",#N/A,FALSE,"P";"Tab2",#N/A,FALSE,"P"}</definedName>
    <definedName name="tttt" localSheetId="54" hidden="1">{"Tab1",#N/A,FALSE,"P";"Tab2",#N/A,FALSE,"P"}</definedName>
    <definedName name="tttt" localSheetId="52" hidden="1">{"Tab1",#N/A,FALSE,"P";"Tab2",#N/A,FALSE,"P"}</definedName>
    <definedName name="tttt" localSheetId="23" hidden="1">{"Tab1",#N/A,FALSE,"P";"Tab2",#N/A,FALSE,"P"}</definedName>
    <definedName name="tttt" localSheetId="51" hidden="1">{"Tab1",#N/A,FALSE,"P";"Tab2",#N/A,FALSE,"P"}</definedName>
    <definedName name="tttt" localSheetId="53" hidden="1">{"Tab1",#N/A,FALSE,"P";"Tab2",#N/A,FALSE,"P"}</definedName>
    <definedName name="tttt" localSheetId="60" hidden="1">{"Tab1",#N/A,FALSE,"P";"Tab2",#N/A,FALSE,"P"}</definedName>
    <definedName name="tttt" hidden="1">{"Tab1",#N/A,FALSE,"P";"Tab2",#N/A,FALSE,"P"}</definedName>
    <definedName name="ttttt" localSheetId="34" hidden="1">[166]M!#REF!</definedName>
    <definedName name="ttttt" localSheetId="35" hidden="1">[166]M!#REF!</definedName>
    <definedName name="ttttt" localSheetId="50" hidden="1">[166]M!#REF!</definedName>
    <definedName name="ttttt" localSheetId="15" hidden="1">[166]M!#REF!</definedName>
    <definedName name="ttttt" localSheetId="29" hidden="1">[166]M!#REF!</definedName>
    <definedName name="ttttt" localSheetId="30" hidden="1">[166]M!#REF!</definedName>
    <definedName name="ttttt" localSheetId="47" hidden="1">[166]M!#REF!</definedName>
    <definedName name="ttttt" localSheetId="44" hidden="1">[166]M!#REF!</definedName>
    <definedName name="ttttt" localSheetId="45" hidden="1">[166]M!#REF!</definedName>
    <definedName name="ttttt" localSheetId="46" hidden="1">[166]M!#REF!</definedName>
    <definedName name="ttttt" localSheetId="31" hidden="1">[166]M!#REF!</definedName>
    <definedName name="ttttt" localSheetId="32" hidden="1">[166]M!#REF!</definedName>
    <definedName name="ttttt" localSheetId="33" hidden="1">[166]M!#REF!</definedName>
    <definedName name="ttttt" localSheetId="36" hidden="1">[166]M!#REF!</definedName>
    <definedName name="ttttt" localSheetId="37" hidden="1">[166]M!#REF!</definedName>
    <definedName name="ttttt" localSheetId="38" hidden="1">[166]M!#REF!</definedName>
    <definedName name="ttttt" localSheetId="39" hidden="1">[166]M!#REF!</definedName>
    <definedName name="ttttt" localSheetId="40" hidden="1">[166]M!#REF!</definedName>
    <definedName name="ttttt" localSheetId="54" hidden="1">[166]M!#REF!</definedName>
    <definedName name="ttttt" localSheetId="55" hidden="1">[166]M!#REF!</definedName>
    <definedName name="ttttt" localSheetId="52" hidden="1">[166]M!#REF!</definedName>
    <definedName name="ttttt" localSheetId="23" hidden="1">[166]M!#REF!</definedName>
    <definedName name="ttttt" localSheetId="51" hidden="1">[166]M!#REF!</definedName>
    <definedName name="ttttt" localSheetId="53" hidden="1">[166]M!#REF!</definedName>
    <definedName name="ttttt" localSheetId="20" hidden="1">[166]M!#REF!</definedName>
    <definedName name="ttttt" hidden="1">[166]M!#REF!</definedName>
    <definedName name="ttyy" localSheetId="58" hidden="1">{"Tab1",#N/A,FALSE,"P";"Tab2",#N/A,FALSE,"P"}</definedName>
    <definedName name="ttyy" localSheetId="16" hidden="1">{"Tab1",#N/A,FALSE,"P";"Tab2",#N/A,FALSE,"P"}</definedName>
    <definedName name="ttyy" localSheetId="61" hidden="1">{"Tab1",#N/A,FALSE,"P";"Tab2",#N/A,FALSE,"P"}</definedName>
    <definedName name="ttyy" localSheetId="62" hidden="1">{"Tab1",#N/A,FALSE,"P";"Tab2",#N/A,FALSE,"P"}</definedName>
    <definedName name="ttyy" localSheetId="63" hidden="1">{"Tab1",#N/A,FALSE,"P";"Tab2",#N/A,FALSE,"P"}</definedName>
    <definedName name="ttyy" localSheetId="15" hidden="1">{"Tab1",#N/A,FALSE,"P";"Tab2",#N/A,FALSE,"P"}</definedName>
    <definedName name="ttyy" localSheetId="43" hidden="1">{"Tab1",#N/A,FALSE,"P";"Tab2",#N/A,FALSE,"P"}</definedName>
    <definedName name="ttyy" localSheetId="29" hidden="1">{"Tab1",#N/A,FALSE,"P";"Tab2",#N/A,FALSE,"P"}</definedName>
    <definedName name="ttyy" localSheetId="30" hidden="1">{"Tab1",#N/A,FALSE,"P";"Tab2",#N/A,FALSE,"P"}</definedName>
    <definedName name="ttyy" localSheetId="59" hidden="1">{"Tab1",#N/A,FALSE,"P";"Tab2",#N/A,FALSE,"P"}</definedName>
    <definedName name="ttyy" localSheetId="57" hidden="1">{"Tab1",#N/A,FALSE,"P";"Tab2",#N/A,FALSE,"P"}</definedName>
    <definedName name="ttyy" localSheetId="56" hidden="1">{"Tab1",#N/A,FALSE,"P";"Tab2",#N/A,FALSE,"P"}</definedName>
    <definedName name="ttyy" localSheetId="60" hidden="1">{"Tab1",#N/A,FALSE,"P";"Tab2",#N/A,FALSE,"P"}</definedName>
    <definedName name="ttyy" hidden="1">{"Tab1",#N/A,FALSE,"P";"Tab2",#N/A,FALSE,"P"}</definedName>
    <definedName name="tvrate">'[52]Burn Rates'!$G$18</definedName>
    <definedName name="TX" localSheetId="50">#REF!</definedName>
    <definedName name="TX" localSheetId="47">#REF!</definedName>
    <definedName name="TX" localSheetId="44">#REF!</definedName>
    <definedName name="TX" localSheetId="45">#REF!</definedName>
    <definedName name="TX" localSheetId="46">#REF!</definedName>
    <definedName name="TX" localSheetId="37">#REF!</definedName>
    <definedName name="TX" localSheetId="40">#REF!</definedName>
    <definedName name="TX" localSheetId="54">#REF!</definedName>
    <definedName name="TX" localSheetId="55">#REF!</definedName>
    <definedName name="TX" localSheetId="52">#REF!</definedName>
    <definedName name="TX" localSheetId="51">#REF!</definedName>
    <definedName name="TX" localSheetId="53">#REF!</definedName>
    <definedName name="TX">#REF!</definedName>
    <definedName name="TX_D" localSheetId="50">#REF!</definedName>
    <definedName name="TX_D" localSheetId="47">#REF!</definedName>
    <definedName name="TX_D" localSheetId="44">#REF!</definedName>
    <definedName name="TX_D" localSheetId="45">#REF!</definedName>
    <definedName name="TX_D" localSheetId="46">#REF!</definedName>
    <definedName name="TX_D" localSheetId="37">#REF!</definedName>
    <definedName name="TX_D" localSheetId="40">#REF!</definedName>
    <definedName name="TX_D" localSheetId="54">#REF!</definedName>
    <definedName name="TX_D" localSheetId="55">#REF!</definedName>
    <definedName name="TX_D" localSheetId="52">#REF!</definedName>
    <definedName name="TX_D" localSheetId="51">#REF!</definedName>
    <definedName name="TX_D" localSheetId="53">#REF!</definedName>
    <definedName name="TX_D">#REF!</definedName>
    <definedName name="TX_DPCH" localSheetId="50">#REF!</definedName>
    <definedName name="TX_DPCH" localSheetId="47">#REF!</definedName>
    <definedName name="TX_DPCH" localSheetId="44">#REF!</definedName>
    <definedName name="TX_DPCH" localSheetId="45">#REF!</definedName>
    <definedName name="TX_DPCH" localSheetId="46">#REF!</definedName>
    <definedName name="TX_DPCH" localSheetId="37">#REF!</definedName>
    <definedName name="TX_DPCH" localSheetId="40">#REF!</definedName>
    <definedName name="TX_DPCH" localSheetId="54">#REF!</definedName>
    <definedName name="TX_DPCH" localSheetId="55">#REF!</definedName>
    <definedName name="TX_DPCH" localSheetId="52">#REF!</definedName>
    <definedName name="TX_DPCH" localSheetId="51">#REF!</definedName>
    <definedName name="TX_DPCH" localSheetId="53">#REF!</definedName>
    <definedName name="TX_DPCH">#REF!</definedName>
    <definedName name="TX_R" localSheetId="50">#REF!</definedName>
    <definedName name="TX_R" localSheetId="47">#REF!</definedName>
    <definedName name="TX_R" localSheetId="44">#REF!</definedName>
    <definedName name="TX_R" localSheetId="45">#REF!</definedName>
    <definedName name="TX_R" localSheetId="46">#REF!</definedName>
    <definedName name="TX_R" localSheetId="37">#REF!</definedName>
    <definedName name="TX_R" localSheetId="40">#REF!</definedName>
    <definedName name="TX_R" localSheetId="54">#REF!</definedName>
    <definedName name="TX_R" localSheetId="55">#REF!</definedName>
    <definedName name="TX_R" localSheetId="52">#REF!</definedName>
    <definedName name="TX_R" localSheetId="51">#REF!</definedName>
    <definedName name="TX_R" localSheetId="53">#REF!</definedName>
    <definedName name="TX_R">#REF!</definedName>
    <definedName name="TX_RPCH" localSheetId="50">#REF!</definedName>
    <definedName name="TX_RPCH" localSheetId="47">#REF!</definedName>
    <definedName name="TX_RPCH" localSheetId="44">#REF!</definedName>
    <definedName name="TX_RPCH" localSheetId="45">#REF!</definedName>
    <definedName name="TX_RPCH" localSheetId="46">#REF!</definedName>
    <definedName name="TX_RPCH" localSheetId="37">#REF!</definedName>
    <definedName name="TX_RPCH" localSheetId="40">#REF!</definedName>
    <definedName name="TX_RPCH" localSheetId="54">#REF!</definedName>
    <definedName name="TX_RPCH" localSheetId="55">#REF!</definedName>
    <definedName name="TX_RPCH" localSheetId="52">#REF!</definedName>
    <definedName name="TX_RPCH" localSheetId="51">#REF!</definedName>
    <definedName name="TX_RPCH" localSheetId="53">#REF!</definedName>
    <definedName name="TX_RPCH">#REF!</definedName>
    <definedName name="TXG" localSheetId="50">#REF!</definedName>
    <definedName name="TXG" localSheetId="47">#REF!</definedName>
    <definedName name="TXG" localSheetId="44">#REF!</definedName>
    <definedName name="TXG" localSheetId="45">#REF!</definedName>
    <definedName name="TXG" localSheetId="46">#REF!</definedName>
    <definedName name="TXG" localSheetId="37">#REF!</definedName>
    <definedName name="TXG" localSheetId="40">#REF!</definedName>
    <definedName name="TXG" localSheetId="54">#REF!</definedName>
    <definedName name="TXG" localSheetId="55">#REF!</definedName>
    <definedName name="TXG" localSheetId="52">#REF!</definedName>
    <definedName name="TXG" localSheetId="51">#REF!</definedName>
    <definedName name="TXG" localSheetId="53">#REF!</definedName>
    <definedName name="TXG">#REF!</definedName>
    <definedName name="TXG_D">#N/A</definedName>
    <definedName name="TXG_DPCH" localSheetId="50">#REF!</definedName>
    <definedName name="TXG_DPCH" localSheetId="47">#REF!</definedName>
    <definedName name="TXG_DPCH" localSheetId="44">#REF!</definedName>
    <definedName name="TXG_DPCH" localSheetId="45">#REF!</definedName>
    <definedName name="TXG_DPCH" localSheetId="46">#REF!</definedName>
    <definedName name="TXG_DPCH" localSheetId="37">#REF!</definedName>
    <definedName name="TXG_DPCH" localSheetId="40">#REF!</definedName>
    <definedName name="TXG_DPCH" localSheetId="54">#REF!</definedName>
    <definedName name="TXG_DPCH" localSheetId="55">#REF!</definedName>
    <definedName name="TXG_DPCH" localSheetId="52">#REF!</definedName>
    <definedName name="TXG_DPCH" localSheetId="51">#REF!</definedName>
    <definedName name="TXG_DPCH" localSheetId="53">#REF!</definedName>
    <definedName name="TXG_DPCH">#REF!</definedName>
    <definedName name="TXG_R" localSheetId="50">#REF!</definedName>
    <definedName name="TXG_R" localSheetId="47">#REF!</definedName>
    <definedName name="TXG_R" localSheetId="44">#REF!</definedName>
    <definedName name="TXG_R" localSheetId="45">#REF!</definedName>
    <definedName name="TXG_R" localSheetId="46">#REF!</definedName>
    <definedName name="TXG_R" localSheetId="37">#REF!</definedName>
    <definedName name="TXG_R" localSheetId="40">#REF!</definedName>
    <definedName name="TXG_R" localSheetId="54">#REF!</definedName>
    <definedName name="TXG_R" localSheetId="55">#REF!</definedName>
    <definedName name="TXG_R" localSheetId="52">#REF!</definedName>
    <definedName name="TXG_R" localSheetId="51">#REF!</definedName>
    <definedName name="TXG_R" localSheetId="53">#REF!</definedName>
    <definedName name="TXG_R">#REF!</definedName>
    <definedName name="TXG_RPCH" localSheetId="50">#REF!</definedName>
    <definedName name="TXG_RPCH" localSheetId="47">#REF!</definedName>
    <definedName name="TXG_RPCH" localSheetId="44">#REF!</definedName>
    <definedName name="TXG_RPCH" localSheetId="45">#REF!</definedName>
    <definedName name="TXG_RPCH" localSheetId="46">#REF!</definedName>
    <definedName name="TXG_RPCH" localSheetId="37">#REF!</definedName>
    <definedName name="TXG_RPCH" localSheetId="40">#REF!</definedName>
    <definedName name="TXG_RPCH" localSheetId="54">#REF!</definedName>
    <definedName name="TXG_RPCH" localSheetId="55">#REF!</definedName>
    <definedName name="TXG_RPCH" localSheetId="52">#REF!</definedName>
    <definedName name="TXG_RPCH" localSheetId="51">#REF!</definedName>
    <definedName name="TXG_RPCH" localSheetId="53">#REF!</definedName>
    <definedName name="TXG_RPCH">#REF!</definedName>
    <definedName name="TXGO">#N/A</definedName>
    <definedName name="TXGO_D" localSheetId="50">#REF!</definedName>
    <definedName name="TXGO_D" localSheetId="47">#REF!</definedName>
    <definedName name="TXGO_D" localSheetId="44">#REF!</definedName>
    <definedName name="TXGO_D" localSheetId="45">#REF!</definedName>
    <definedName name="TXGO_D" localSheetId="46">#REF!</definedName>
    <definedName name="TXGO_D" localSheetId="37">#REF!</definedName>
    <definedName name="TXGO_D" localSheetId="40">#REF!</definedName>
    <definedName name="TXGO_D" localSheetId="54">#REF!</definedName>
    <definedName name="TXGO_D" localSheetId="55">#REF!</definedName>
    <definedName name="TXGO_D" localSheetId="52">#REF!</definedName>
    <definedName name="TXGO_D" localSheetId="51">#REF!</definedName>
    <definedName name="TXGO_D" localSheetId="53">#REF!</definedName>
    <definedName name="TXGO_D">#REF!</definedName>
    <definedName name="TXGO_DPCH" localSheetId="50">#REF!</definedName>
    <definedName name="TXGO_DPCH" localSheetId="47">#REF!</definedName>
    <definedName name="TXGO_DPCH" localSheetId="44">#REF!</definedName>
    <definedName name="TXGO_DPCH" localSheetId="45">#REF!</definedName>
    <definedName name="TXGO_DPCH" localSheetId="46">#REF!</definedName>
    <definedName name="TXGO_DPCH" localSheetId="37">#REF!</definedName>
    <definedName name="TXGO_DPCH" localSheetId="40">#REF!</definedName>
    <definedName name="TXGO_DPCH" localSheetId="54">#REF!</definedName>
    <definedName name="TXGO_DPCH" localSheetId="55">#REF!</definedName>
    <definedName name="TXGO_DPCH" localSheetId="52">#REF!</definedName>
    <definedName name="TXGO_DPCH" localSheetId="51">#REF!</definedName>
    <definedName name="TXGO_DPCH" localSheetId="53">#REF!</definedName>
    <definedName name="TXGO_DPCH">#REF!</definedName>
    <definedName name="TXGO_R" localSheetId="50">#REF!</definedName>
    <definedName name="TXGO_R" localSheetId="47">#REF!</definedName>
    <definedName name="TXGO_R" localSheetId="44">#REF!</definedName>
    <definedName name="TXGO_R" localSheetId="45">#REF!</definedName>
    <definedName name="TXGO_R" localSheetId="46">#REF!</definedName>
    <definedName name="TXGO_R" localSheetId="37">#REF!</definedName>
    <definedName name="TXGO_R" localSheetId="40">#REF!</definedName>
    <definedName name="TXGO_R" localSheetId="54">#REF!</definedName>
    <definedName name="TXGO_R" localSheetId="55">#REF!</definedName>
    <definedName name="TXGO_R" localSheetId="52">#REF!</definedName>
    <definedName name="TXGO_R" localSheetId="51">#REF!</definedName>
    <definedName name="TXGO_R" localSheetId="53">#REF!</definedName>
    <definedName name="TXGO_R">#REF!</definedName>
    <definedName name="TXGO_RPCH" localSheetId="50">#REF!</definedName>
    <definedName name="TXGO_RPCH" localSheetId="47">#REF!</definedName>
    <definedName name="TXGO_RPCH" localSheetId="44">#REF!</definedName>
    <definedName name="TXGO_RPCH" localSheetId="45">#REF!</definedName>
    <definedName name="TXGO_RPCH" localSheetId="46">#REF!</definedName>
    <definedName name="TXGO_RPCH" localSheetId="37">#REF!</definedName>
    <definedName name="TXGO_RPCH" localSheetId="40">#REF!</definedName>
    <definedName name="TXGO_RPCH" localSheetId="54">#REF!</definedName>
    <definedName name="TXGO_RPCH" localSheetId="55">#REF!</definedName>
    <definedName name="TXGO_RPCH" localSheetId="52">#REF!</definedName>
    <definedName name="TXGO_RPCH" localSheetId="51">#REF!</definedName>
    <definedName name="TXGO_RPCH" localSheetId="53">#REF!</definedName>
    <definedName name="TXGO_RPCH">#REF!</definedName>
    <definedName name="TXGXO" localSheetId="50">#REF!</definedName>
    <definedName name="TXGXO" localSheetId="47">#REF!</definedName>
    <definedName name="TXGXO" localSheetId="44">#REF!</definedName>
    <definedName name="TXGXO" localSheetId="45">#REF!</definedName>
    <definedName name="TXGXO" localSheetId="46">#REF!</definedName>
    <definedName name="TXGXO" localSheetId="37">#REF!</definedName>
    <definedName name="TXGXO" localSheetId="40">#REF!</definedName>
    <definedName name="TXGXO" localSheetId="54">#REF!</definedName>
    <definedName name="TXGXO" localSheetId="55">#REF!</definedName>
    <definedName name="TXGXO" localSheetId="52">#REF!</definedName>
    <definedName name="TXGXO" localSheetId="51">#REF!</definedName>
    <definedName name="TXGXO" localSheetId="53">#REF!</definedName>
    <definedName name="TXGXO">#REF!</definedName>
    <definedName name="TXGXO_D" localSheetId="50">#REF!</definedName>
    <definedName name="TXGXO_D" localSheetId="47">#REF!</definedName>
    <definedName name="TXGXO_D" localSheetId="44">#REF!</definedName>
    <definedName name="TXGXO_D" localSheetId="45">#REF!</definedName>
    <definedName name="TXGXO_D" localSheetId="46">#REF!</definedName>
    <definedName name="TXGXO_D" localSheetId="37">#REF!</definedName>
    <definedName name="TXGXO_D" localSheetId="40">#REF!</definedName>
    <definedName name="TXGXO_D" localSheetId="54">#REF!</definedName>
    <definedName name="TXGXO_D" localSheetId="55">#REF!</definedName>
    <definedName name="TXGXO_D" localSheetId="52">#REF!</definedName>
    <definedName name="TXGXO_D" localSheetId="51">#REF!</definedName>
    <definedName name="TXGXO_D" localSheetId="53">#REF!</definedName>
    <definedName name="TXGXO_D">#REF!</definedName>
    <definedName name="TXGXO_DPCH" localSheetId="50">#REF!</definedName>
    <definedName name="TXGXO_DPCH" localSheetId="47">#REF!</definedName>
    <definedName name="TXGXO_DPCH" localSheetId="44">#REF!</definedName>
    <definedName name="TXGXO_DPCH" localSheetId="45">#REF!</definedName>
    <definedName name="TXGXO_DPCH" localSheetId="46">#REF!</definedName>
    <definedName name="TXGXO_DPCH" localSheetId="37">#REF!</definedName>
    <definedName name="TXGXO_DPCH" localSheetId="40">#REF!</definedName>
    <definedName name="TXGXO_DPCH" localSheetId="54">#REF!</definedName>
    <definedName name="TXGXO_DPCH" localSheetId="55">#REF!</definedName>
    <definedName name="TXGXO_DPCH" localSheetId="52">#REF!</definedName>
    <definedName name="TXGXO_DPCH" localSheetId="51">#REF!</definedName>
    <definedName name="TXGXO_DPCH" localSheetId="53">#REF!</definedName>
    <definedName name="TXGXO_DPCH">#REF!</definedName>
    <definedName name="TXGXO_R" localSheetId="50">#REF!</definedName>
    <definedName name="TXGXO_R" localSheetId="47">#REF!</definedName>
    <definedName name="TXGXO_R" localSheetId="44">#REF!</definedName>
    <definedName name="TXGXO_R" localSheetId="45">#REF!</definedName>
    <definedName name="TXGXO_R" localSheetId="46">#REF!</definedName>
    <definedName name="TXGXO_R" localSheetId="37">#REF!</definedName>
    <definedName name="TXGXO_R" localSheetId="40">#REF!</definedName>
    <definedName name="TXGXO_R" localSheetId="54">#REF!</definedName>
    <definedName name="TXGXO_R" localSheetId="55">#REF!</definedName>
    <definedName name="TXGXO_R" localSheetId="52">#REF!</definedName>
    <definedName name="TXGXO_R" localSheetId="51">#REF!</definedName>
    <definedName name="TXGXO_R" localSheetId="53">#REF!</definedName>
    <definedName name="TXGXO_R">#REF!</definedName>
    <definedName name="TXGXO_RPCH" localSheetId="50">#REF!</definedName>
    <definedName name="TXGXO_RPCH" localSheetId="47">#REF!</definedName>
    <definedName name="TXGXO_RPCH" localSheetId="44">#REF!</definedName>
    <definedName name="TXGXO_RPCH" localSheetId="45">#REF!</definedName>
    <definedName name="TXGXO_RPCH" localSheetId="46">#REF!</definedName>
    <definedName name="TXGXO_RPCH" localSheetId="37">#REF!</definedName>
    <definedName name="TXGXO_RPCH" localSheetId="40">#REF!</definedName>
    <definedName name="TXGXO_RPCH" localSheetId="54">#REF!</definedName>
    <definedName name="TXGXO_RPCH" localSheetId="55">#REF!</definedName>
    <definedName name="TXGXO_RPCH" localSheetId="52">#REF!</definedName>
    <definedName name="TXGXO_RPCH" localSheetId="51">#REF!</definedName>
    <definedName name="TXGXO_RPCH" localSheetId="53">#REF!</definedName>
    <definedName name="TXGXO_RPCH">#REF!</definedName>
    <definedName name="TXS" localSheetId="50">#REF!</definedName>
    <definedName name="TXS" localSheetId="47">#REF!</definedName>
    <definedName name="TXS" localSheetId="44">#REF!</definedName>
    <definedName name="TXS" localSheetId="45">#REF!</definedName>
    <definedName name="TXS" localSheetId="46">#REF!</definedName>
    <definedName name="TXS" localSheetId="37">#REF!</definedName>
    <definedName name="TXS" localSheetId="40">#REF!</definedName>
    <definedName name="TXS" localSheetId="54">#REF!</definedName>
    <definedName name="TXS" localSheetId="55">#REF!</definedName>
    <definedName name="TXS" localSheetId="52">#REF!</definedName>
    <definedName name="TXS" localSheetId="51">#REF!</definedName>
    <definedName name="TXS" localSheetId="53">#REF!</definedName>
    <definedName name="TXS">#REF!</definedName>
    <definedName name="Type" localSheetId="50">#REF!</definedName>
    <definedName name="Type" localSheetId="47">#REF!</definedName>
    <definedName name="Type" localSheetId="44">#REF!</definedName>
    <definedName name="Type" localSheetId="45">#REF!</definedName>
    <definedName name="Type" localSheetId="46">#REF!</definedName>
    <definedName name="Type" localSheetId="37">#REF!</definedName>
    <definedName name="Type" localSheetId="40">#REF!</definedName>
    <definedName name="Type" localSheetId="54">#REF!</definedName>
    <definedName name="Type" localSheetId="55">#REF!</definedName>
    <definedName name="Type" localSheetId="52">#REF!</definedName>
    <definedName name="Type" localSheetId="51">#REF!</definedName>
    <definedName name="Type" localSheetId="53">#REF!</definedName>
    <definedName name="Type">#REF!</definedName>
    <definedName name="Type_Range" localSheetId="50">#REF!</definedName>
    <definedName name="Type_Range" localSheetId="47">#REF!</definedName>
    <definedName name="Type_Range" localSheetId="44">#REF!</definedName>
    <definedName name="Type_Range" localSheetId="45">#REF!</definedName>
    <definedName name="Type_Range" localSheetId="46">#REF!</definedName>
    <definedName name="Type_Range" localSheetId="37">#REF!</definedName>
    <definedName name="Type_Range" localSheetId="40">#REF!</definedName>
    <definedName name="Type_Range" localSheetId="54">#REF!</definedName>
    <definedName name="Type_Range" localSheetId="55">#REF!</definedName>
    <definedName name="Type_Range" localSheetId="52">#REF!</definedName>
    <definedName name="Type_Range" localSheetId="51">#REF!</definedName>
    <definedName name="Type_Range" localSheetId="53">#REF!</definedName>
    <definedName name="Type_Range">#REF!</definedName>
    <definedName name="unemp_96Q3" localSheetId="50">#REF!</definedName>
    <definedName name="unemp_96Q3" localSheetId="47">#REF!</definedName>
    <definedName name="unemp_96Q3" localSheetId="44">#REF!</definedName>
    <definedName name="unemp_96Q3" localSheetId="45">#REF!</definedName>
    <definedName name="unemp_96Q3" localSheetId="46">#REF!</definedName>
    <definedName name="unemp_96Q3" localSheetId="37">#REF!</definedName>
    <definedName name="unemp_96Q3" localSheetId="40">#REF!</definedName>
    <definedName name="unemp_96Q3" localSheetId="54">#REF!</definedName>
    <definedName name="unemp_96Q3" localSheetId="55">#REF!</definedName>
    <definedName name="unemp_96Q3" localSheetId="52">#REF!</definedName>
    <definedName name="unemp_96Q3" localSheetId="51">#REF!</definedName>
    <definedName name="unemp_96Q3" localSheetId="53">#REF!</definedName>
    <definedName name="unemp_96Q3">#REF!</definedName>
    <definedName name="unemp_96Q4" localSheetId="50">#REF!</definedName>
    <definedName name="unemp_96Q4" localSheetId="47">#REF!</definedName>
    <definedName name="unemp_96Q4" localSheetId="44">#REF!</definedName>
    <definedName name="unemp_96Q4" localSheetId="45">#REF!</definedName>
    <definedName name="unemp_96Q4" localSheetId="46">#REF!</definedName>
    <definedName name="unemp_96Q4" localSheetId="37">#REF!</definedName>
    <definedName name="unemp_96Q4" localSheetId="40">#REF!</definedName>
    <definedName name="unemp_96Q4" localSheetId="54">#REF!</definedName>
    <definedName name="unemp_96Q4" localSheetId="55">#REF!</definedName>
    <definedName name="unemp_96Q4" localSheetId="52">#REF!</definedName>
    <definedName name="unemp_96Q4" localSheetId="51">#REF!</definedName>
    <definedName name="unemp_96Q4" localSheetId="53">#REF!</definedName>
    <definedName name="unemp_96Q4">#REF!</definedName>
    <definedName name="unemp_97Q1" localSheetId="50">#REF!</definedName>
    <definedName name="unemp_97Q1" localSheetId="47">#REF!</definedName>
    <definedName name="unemp_97Q1" localSheetId="44">#REF!</definedName>
    <definedName name="unemp_97Q1" localSheetId="45">#REF!</definedName>
    <definedName name="unemp_97Q1" localSheetId="46">#REF!</definedName>
    <definedName name="unemp_97Q1" localSheetId="37">#REF!</definedName>
    <definedName name="unemp_97Q1" localSheetId="40">#REF!</definedName>
    <definedName name="unemp_97Q1" localSheetId="54">#REF!</definedName>
    <definedName name="unemp_97Q1" localSheetId="55">#REF!</definedName>
    <definedName name="unemp_97Q1" localSheetId="52">#REF!</definedName>
    <definedName name="unemp_97Q1" localSheetId="51">#REF!</definedName>
    <definedName name="unemp_97Q1" localSheetId="53">#REF!</definedName>
    <definedName name="unemp_97Q1">#REF!</definedName>
    <definedName name="unemp_97Q2" localSheetId="50">#REF!</definedName>
    <definedName name="unemp_97Q2" localSheetId="47">#REF!</definedName>
    <definedName name="unemp_97Q2" localSheetId="44">#REF!</definedName>
    <definedName name="unemp_97Q2" localSheetId="45">#REF!</definedName>
    <definedName name="unemp_97Q2" localSheetId="46">#REF!</definedName>
    <definedName name="unemp_97Q2" localSheetId="37">#REF!</definedName>
    <definedName name="unemp_97Q2" localSheetId="40">#REF!</definedName>
    <definedName name="unemp_97Q2" localSheetId="54">#REF!</definedName>
    <definedName name="unemp_97Q2" localSheetId="55">#REF!</definedName>
    <definedName name="unemp_97Q2" localSheetId="52">#REF!</definedName>
    <definedName name="unemp_97Q2" localSheetId="51">#REF!</definedName>
    <definedName name="unemp_97Q2" localSheetId="53">#REF!</definedName>
    <definedName name="unemp_97Q2">#REF!</definedName>
    <definedName name="unemp_nat" localSheetId="50">#REF!</definedName>
    <definedName name="unemp_nat" localSheetId="47">#REF!</definedName>
    <definedName name="unemp_nat" localSheetId="44">#REF!</definedName>
    <definedName name="unemp_nat" localSheetId="45">#REF!</definedName>
    <definedName name="unemp_nat" localSheetId="46">#REF!</definedName>
    <definedName name="unemp_nat" localSheetId="37">#REF!</definedName>
    <definedName name="unemp_nat" localSheetId="40">#REF!</definedName>
    <definedName name="unemp_nat" localSheetId="54">#REF!</definedName>
    <definedName name="unemp_nat" localSheetId="55">#REF!</definedName>
    <definedName name="unemp_nat" localSheetId="52">#REF!</definedName>
    <definedName name="unemp_nat" localSheetId="51">#REF!</definedName>
    <definedName name="unemp_nat" localSheetId="53">#REF!</definedName>
    <definedName name="unemp_nat">#REF!</definedName>
    <definedName name="unemp_urbrural" localSheetId="50">#REF!</definedName>
    <definedName name="unemp_urbrural" localSheetId="47">#REF!</definedName>
    <definedName name="unemp_urbrural" localSheetId="44">#REF!</definedName>
    <definedName name="unemp_urbrural" localSheetId="45">#REF!</definedName>
    <definedName name="unemp_urbrural" localSheetId="46">#REF!</definedName>
    <definedName name="unemp_urbrural" localSheetId="37">#REF!</definedName>
    <definedName name="unemp_urbrural" localSheetId="40">#REF!</definedName>
    <definedName name="unemp_urbrural" localSheetId="54">#REF!</definedName>
    <definedName name="unemp_urbrural" localSheetId="55">#REF!</definedName>
    <definedName name="unemp_urbrural" localSheetId="52">#REF!</definedName>
    <definedName name="unemp_urbrural" localSheetId="51">#REF!</definedName>
    <definedName name="unemp_urbrural" localSheetId="53">#REF!</definedName>
    <definedName name="unemp_urbrural">#REF!</definedName>
    <definedName name="UnitList">'[167]Report Form'!$A$24:$A$37</definedName>
    <definedName name="Universities" localSheetId="34">#REF!</definedName>
    <definedName name="Universities" localSheetId="35">#REF!</definedName>
    <definedName name="Universities" localSheetId="50">#REF!</definedName>
    <definedName name="Universities" localSheetId="15">#REF!</definedName>
    <definedName name="Universities" localSheetId="29">#REF!</definedName>
    <definedName name="Universities" localSheetId="30">#REF!</definedName>
    <definedName name="Universities" localSheetId="47">#REF!</definedName>
    <definedName name="Universities" localSheetId="44">#REF!</definedName>
    <definedName name="Universities" localSheetId="45">#REF!</definedName>
    <definedName name="Universities" localSheetId="46">#REF!</definedName>
    <definedName name="Universities" localSheetId="31">#REF!</definedName>
    <definedName name="Universities" localSheetId="32">#REF!</definedName>
    <definedName name="Universities" localSheetId="33">#REF!</definedName>
    <definedName name="Universities" localSheetId="36">#REF!</definedName>
    <definedName name="Universities" localSheetId="37">#REF!</definedName>
    <definedName name="Universities" localSheetId="38">#REF!</definedName>
    <definedName name="Universities" localSheetId="39">#REF!</definedName>
    <definedName name="Universities" localSheetId="40">#REF!</definedName>
    <definedName name="Universities" localSheetId="54">#REF!</definedName>
    <definedName name="Universities" localSheetId="55">#REF!</definedName>
    <definedName name="Universities" localSheetId="52">#REF!</definedName>
    <definedName name="Universities" localSheetId="23">#REF!</definedName>
    <definedName name="Universities" localSheetId="51">#REF!</definedName>
    <definedName name="Universities" localSheetId="53">#REF!</definedName>
    <definedName name="Universities" localSheetId="20">#REF!</definedName>
    <definedName name="Universities">#REF!</definedName>
    <definedName name="update_rates_FPFT" localSheetId="50">#REF!</definedName>
    <definedName name="update_rates_FPFT" localSheetId="47">#REF!</definedName>
    <definedName name="update_rates_FPFT" localSheetId="44">#REF!</definedName>
    <definedName name="update_rates_FPFT" localSheetId="45">#REF!</definedName>
    <definedName name="update_rates_FPFT" localSheetId="46">#REF!</definedName>
    <definedName name="update_rates_FPFT" localSheetId="37">#REF!</definedName>
    <definedName name="update_rates_FPFT" localSheetId="40">#REF!</definedName>
    <definedName name="update_rates_FPFT" localSheetId="54">#REF!</definedName>
    <definedName name="update_rates_FPFT" localSheetId="55">#REF!</definedName>
    <definedName name="update_rates_FPFT" localSheetId="52">#REF!</definedName>
    <definedName name="update_rates_FPFT" localSheetId="51">#REF!</definedName>
    <definedName name="update_rates_FPFT" localSheetId="53">#REF!</definedName>
    <definedName name="update_rates_FPFT">#REF!</definedName>
    <definedName name="Urgency" localSheetId="50">#REF!</definedName>
    <definedName name="Urgency" localSheetId="47">#REF!</definedName>
    <definedName name="Urgency" localSheetId="44">#REF!</definedName>
    <definedName name="Urgency" localSheetId="45">#REF!</definedName>
    <definedName name="Urgency" localSheetId="46">#REF!</definedName>
    <definedName name="Urgency" localSheetId="37">#REF!</definedName>
    <definedName name="Urgency" localSheetId="40">#REF!</definedName>
    <definedName name="Urgency" localSheetId="54">#REF!</definedName>
    <definedName name="Urgency" localSheetId="55">#REF!</definedName>
    <definedName name="Urgency" localSheetId="52">#REF!</definedName>
    <definedName name="Urgency" localSheetId="51">#REF!</definedName>
    <definedName name="Urgency" localSheetId="53">#REF!</definedName>
    <definedName name="Urgency">#REF!</definedName>
    <definedName name="Urgency2">'[101]Data Sources'!$B$2:$B$5</definedName>
    <definedName name="Uruguay" localSheetId="34">#REF!</definedName>
    <definedName name="Uruguay" localSheetId="35">#REF!</definedName>
    <definedName name="Uruguay" localSheetId="50">#REF!</definedName>
    <definedName name="Uruguay" localSheetId="15">#REF!</definedName>
    <definedName name="Uruguay" localSheetId="29">#REF!</definedName>
    <definedName name="Uruguay" localSheetId="30">#REF!</definedName>
    <definedName name="Uruguay" localSheetId="47">#REF!</definedName>
    <definedName name="Uruguay" localSheetId="44">#REF!</definedName>
    <definedName name="Uruguay" localSheetId="45">#REF!</definedName>
    <definedName name="Uruguay" localSheetId="46">#REF!</definedName>
    <definedName name="Uruguay" localSheetId="31">#REF!</definedName>
    <definedName name="Uruguay" localSheetId="32">#REF!</definedName>
    <definedName name="Uruguay" localSheetId="33">#REF!</definedName>
    <definedName name="Uruguay" localSheetId="36">#REF!</definedName>
    <definedName name="Uruguay" localSheetId="37">#REF!</definedName>
    <definedName name="Uruguay" localSheetId="38">#REF!</definedName>
    <definedName name="Uruguay" localSheetId="39">#REF!</definedName>
    <definedName name="Uruguay" localSheetId="40">#REF!</definedName>
    <definedName name="Uruguay" localSheetId="54">#REF!</definedName>
    <definedName name="Uruguay" localSheetId="55">#REF!</definedName>
    <definedName name="Uruguay" localSheetId="52">#REF!</definedName>
    <definedName name="Uruguay" localSheetId="23">#REF!</definedName>
    <definedName name="Uruguay" localSheetId="51">#REF!</definedName>
    <definedName name="Uruguay" localSheetId="53">#REF!</definedName>
    <definedName name="Uruguay" localSheetId="20">#REF!</definedName>
    <definedName name="Uruguay">#REF!</definedName>
    <definedName name="USDSR" localSheetId="50">#REF!</definedName>
    <definedName name="USDSR" localSheetId="47">#REF!</definedName>
    <definedName name="USDSR" localSheetId="44">#REF!</definedName>
    <definedName name="USDSR" localSheetId="45">#REF!</definedName>
    <definedName name="USDSR" localSheetId="46">#REF!</definedName>
    <definedName name="USDSR" localSheetId="37">#REF!</definedName>
    <definedName name="USDSR" localSheetId="40">#REF!</definedName>
    <definedName name="USDSR" localSheetId="54">#REF!</definedName>
    <definedName name="USDSR" localSheetId="55">#REF!</definedName>
    <definedName name="USDSR" localSheetId="52">#REF!</definedName>
    <definedName name="USDSR" localSheetId="51">#REF!</definedName>
    <definedName name="USDSR" localSheetId="53">#REF!</definedName>
    <definedName name="USDSR">#REF!</definedName>
    <definedName name="USER_TEST_PERCENTAGE" localSheetId="50">#REF!</definedName>
    <definedName name="USER_TEST_PERCENTAGE" localSheetId="47">#REF!</definedName>
    <definedName name="USER_TEST_PERCENTAGE" localSheetId="44">#REF!</definedName>
    <definedName name="USER_TEST_PERCENTAGE" localSheetId="45">#REF!</definedName>
    <definedName name="USER_TEST_PERCENTAGE" localSheetId="46">#REF!</definedName>
    <definedName name="USER_TEST_PERCENTAGE" localSheetId="37">#REF!</definedName>
    <definedName name="USER_TEST_PERCENTAGE" localSheetId="40">#REF!</definedName>
    <definedName name="USER_TEST_PERCENTAGE" localSheetId="54">#REF!</definedName>
    <definedName name="USER_TEST_PERCENTAGE" localSheetId="55">#REF!</definedName>
    <definedName name="USER_TEST_PERCENTAGE" localSheetId="52">#REF!</definedName>
    <definedName name="USER_TEST_PERCENTAGE" localSheetId="51">#REF!</definedName>
    <definedName name="USER_TEST_PERCENTAGE" localSheetId="53">#REF!</definedName>
    <definedName name="USER_TEST_PERCENTAGE">#REF!</definedName>
    <definedName name="UserList">[128]Admin!$H$8:$H$60</definedName>
    <definedName name="UserProfile" localSheetId="50">#REF!</definedName>
    <definedName name="UserProfile" localSheetId="47">#REF!</definedName>
    <definedName name="UserProfile" localSheetId="44">#REF!</definedName>
    <definedName name="UserProfile" localSheetId="45">#REF!</definedName>
    <definedName name="UserProfile" localSheetId="46">#REF!</definedName>
    <definedName name="UserProfile" localSheetId="37">#REF!</definedName>
    <definedName name="UserProfile" localSheetId="40">#REF!</definedName>
    <definedName name="UserProfile" localSheetId="54">#REF!</definedName>
    <definedName name="UserProfile" localSheetId="55">#REF!</definedName>
    <definedName name="UserProfile" localSheetId="52">#REF!</definedName>
    <definedName name="UserProfile" localSheetId="51">#REF!</definedName>
    <definedName name="UserProfile" localSheetId="53">#REF!</definedName>
    <definedName name="UserProfile">#REF!</definedName>
    <definedName name="users" localSheetId="50">#REF!</definedName>
    <definedName name="users" localSheetId="47">#REF!</definedName>
    <definedName name="users" localSheetId="44">#REF!</definedName>
    <definedName name="users" localSheetId="45">#REF!</definedName>
    <definedName name="users" localSheetId="46">#REF!</definedName>
    <definedName name="users" localSheetId="37">#REF!</definedName>
    <definedName name="users" localSheetId="40">#REF!</definedName>
    <definedName name="users" localSheetId="54">#REF!</definedName>
    <definedName name="users" localSheetId="55">#REF!</definedName>
    <definedName name="users" localSheetId="52">#REF!</definedName>
    <definedName name="users" localSheetId="51">#REF!</definedName>
    <definedName name="users" localSheetId="53">#REF!</definedName>
    <definedName name="users">#REF!</definedName>
    <definedName name="Utility" localSheetId="34">#REF!</definedName>
    <definedName name="Utility" localSheetId="35">#REF!</definedName>
    <definedName name="Utility" localSheetId="50">#REF!</definedName>
    <definedName name="Utility" localSheetId="15">#REF!</definedName>
    <definedName name="Utility" localSheetId="29">#REF!</definedName>
    <definedName name="Utility" localSheetId="30">#REF!</definedName>
    <definedName name="Utility" localSheetId="47">#REF!</definedName>
    <definedName name="Utility" localSheetId="44">#REF!</definedName>
    <definedName name="Utility" localSheetId="45">#REF!</definedName>
    <definedName name="Utility" localSheetId="46">#REF!</definedName>
    <definedName name="Utility" localSheetId="31">#REF!</definedName>
    <definedName name="Utility" localSheetId="32">#REF!</definedName>
    <definedName name="Utility" localSheetId="33">#REF!</definedName>
    <definedName name="Utility" localSheetId="36">#REF!</definedName>
    <definedName name="Utility" localSheetId="37">#REF!</definedName>
    <definedName name="Utility" localSheetId="38">#REF!</definedName>
    <definedName name="Utility" localSheetId="39">#REF!</definedName>
    <definedName name="Utility" localSheetId="40">#REF!</definedName>
    <definedName name="Utility" localSheetId="54">#REF!</definedName>
    <definedName name="Utility" localSheetId="55">#REF!</definedName>
    <definedName name="Utility" localSheetId="52">#REF!</definedName>
    <definedName name="Utility" localSheetId="23">#REF!</definedName>
    <definedName name="Utility" localSheetId="51">#REF!</definedName>
    <definedName name="Utility" localSheetId="53">#REF!</definedName>
    <definedName name="Utility" localSheetId="20">#REF!</definedName>
    <definedName name="Utility">#REF!</definedName>
    <definedName name="uu" localSheetId="58" hidden="1">{"Riqfin97",#N/A,FALSE,"Tran";"Riqfinpro",#N/A,FALSE,"Tran"}</definedName>
    <definedName name="uu" localSheetId="16" hidden="1">{"Riqfin97",#N/A,FALSE,"Tran";"Riqfinpro",#N/A,FALSE,"Tran"}</definedName>
    <definedName name="uu" localSheetId="61" hidden="1">{"Riqfin97",#N/A,FALSE,"Tran";"Riqfinpro",#N/A,FALSE,"Tran"}</definedName>
    <definedName name="uu" localSheetId="62" hidden="1">{"Riqfin97",#N/A,FALSE,"Tran";"Riqfinpro",#N/A,FALSE,"Tran"}</definedName>
    <definedName name="uu" localSheetId="50" hidden="1">{"Riqfin97",#N/A,FALSE,"Tran";"Riqfinpro",#N/A,FALSE,"Tran"}</definedName>
    <definedName name="uu" localSheetId="63" hidden="1">{"Riqfin97",#N/A,FALSE,"Tran";"Riqfinpro",#N/A,FALSE,"Tran"}</definedName>
    <definedName name="uu" localSheetId="15" hidden="1">{"Riqfin97",#N/A,FALSE,"Tran";"Riqfinpro",#N/A,FALSE,"Tran"}</definedName>
    <definedName name="uu" localSheetId="1" hidden="1">{"Riqfin97",#N/A,FALSE,"Tran";"Riqfinpro",#N/A,FALSE,"Tran"}</definedName>
    <definedName name="uu" localSheetId="43" hidden="1">{"Riqfin97",#N/A,FALSE,"Tran";"Riqfinpro",#N/A,FALSE,"Tran"}</definedName>
    <definedName name="uu" localSheetId="29" hidden="1">{"Riqfin97",#N/A,FALSE,"Tran";"Riqfinpro",#N/A,FALSE,"Tran"}</definedName>
    <definedName name="uu" localSheetId="30" hidden="1">{"Riqfin97",#N/A,FALSE,"Tran";"Riqfinpro",#N/A,FALSE,"Tran"}</definedName>
    <definedName name="uu" localSheetId="44" hidden="1">{"Riqfin97",#N/A,FALSE,"Tran";"Riqfinpro",#N/A,FALSE,"Tran"}</definedName>
    <definedName name="uu" localSheetId="59" hidden="1">{"Riqfin97",#N/A,FALSE,"Tran";"Riqfinpro",#N/A,FALSE,"Tran"}</definedName>
    <definedName name="uu" localSheetId="13" hidden="1">{"Riqfin97",#N/A,FALSE,"Tran";"Riqfinpro",#N/A,FALSE,"Tran"}</definedName>
    <definedName name="uu" localSheetId="0" hidden="1">{"Riqfin97",#N/A,FALSE,"Tran";"Riqfinpro",#N/A,FALSE,"Tran"}</definedName>
    <definedName name="uu" localSheetId="57" hidden="1">{"Riqfin97",#N/A,FALSE,"Tran";"Riqfinpro",#N/A,FALSE,"Tran"}</definedName>
    <definedName name="uu" localSheetId="56" hidden="1">{"Riqfin97",#N/A,FALSE,"Tran";"Riqfinpro",#N/A,FALSE,"Tran"}</definedName>
    <definedName name="uu" localSheetId="54" hidden="1">{"Riqfin97",#N/A,FALSE,"Tran";"Riqfinpro",#N/A,FALSE,"Tran"}</definedName>
    <definedName name="uu" localSheetId="52" hidden="1">{"Riqfin97",#N/A,FALSE,"Tran";"Riqfinpro",#N/A,FALSE,"Tran"}</definedName>
    <definedName name="uu" localSheetId="23" hidden="1">{"Riqfin97",#N/A,FALSE,"Tran";"Riqfinpro",#N/A,FALSE,"Tran"}</definedName>
    <definedName name="uu" localSheetId="51" hidden="1">{"Riqfin97",#N/A,FALSE,"Tran";"Riqfinpro",#N/A,FALSE,"Tran"}</definedName>
    <definedName name="uu" localSheetId="53" hidden="1">{"Riqfin97",#N/A,FALSE,"Tran";"Riqfinpro",#N/A,FALSE,"Tran"}</definedName>
    <definedName name="uu" localSheetId="60" hidden="1">{"Riqfin97",#N/A,FALSE,"Tran";"Riqfinpro",#N/A,FALSE,"Tran"}</definedName>
    <definedName name="uu" hidden="1">{"Riqfin97",#N/A,FALSE,"Tran";"Riqfinpro",#N/A,FALSE,"Tran"}</definedName>
    <definedName name="uuu" localSheetId="58" hidden="1">{"Riqfin97",#N/A,FALSE,"Tran";"Riqfinpro",#N/A,FALSE,"Tran"}</definedName>
    <definedName name="uuu" localSheetId="16" hidden="1">{"Riqfin97",#N/A,FALSE,"Tran";"Riqfinpro",#N/A,FALSE,"Tran"}</definedName>
    <definedName name="uuu" localSheetId="61" hidden="1">{"Riqfin97",#N/A,FALSE,"Tran";"Riqfinpro",#N/A,FALSE,"Tran"}</definedName>
    <definedName name="uuu" localSheetId="62" hidden="1">{"Riqfin97",#N/A,FALSE,"Tran";"Riqfinpro",#N/A,FALSE,"Tran"}</definedName>
    <definedName name="uuu" localSheetId="50" hidden="1">{"Riqfin97",#N/A,FALSE,"Tran";"Riqfinpro",#N/A,FALSE,"Tran"}</definedName>
    <definedName name="uuu" localSheetId="63" hidden="1">{"Riqfin97",#N/A,FALSE,"Tran";"Riqfinpro",#N/A,FALSE,"Tran"}</definedName>
    <definedName name="uuu" localSheetId="15" hidden="1">{"Riqfin97",#N/A,FALSE,"Tran";"Riqfinpro",#N/A,FALSE,"Tran"}</definedName>
    <definedName name="uuu" localSheetId="1" hidden="1">{"Riqfin97",#N/A,FALSE,"Tran";"Riqfinpro",#N/A,FALSE,"Tran"}</definedName>
    <definedName name="uuu" localSheetId="43" hidden="1">{"Riqfin97",#N/A,FALSE,"Tran";"Riqfinpro",#N/A,FALSE,"Tran"}</definedName>
    <definedName name="uuu" localSheetId="29" hidden="1">{"Riqfin97",#N/A,FALSE,"Tran";"Riqfinpro",#N/A,FALSE,"Tran"}</definedName>
    <definedName name="uuu" localSheetId="30" hidden="1">{"Riqfin97",#N/A,FALSE,"Tran";"Riqfinpro",#N/A,FALSE,"Tran"}</definedName>
    <definedName name="uuu" localSheetId="44" hidden="1">{"Riqfin97",#N/A,FALSE,"Tran";"Riqfinpro",#N/A,FALSE,"Tran"}</definedName>
    <definedName name="uuu" localSheetId="59" hidden="1">{"Riqfin97",#N/A,FALSE,"Tran";"Riqfinpro",#N/A,FALSE,"Tran"}</definedName>
    <definedName name="uuu" localSheetId="13" hidden="1">{"Riqfin97",#N/A,FALSE,"Tran";"Riqfinpro",#N/A,FALSE,"Tran"}</definedName>
    <definedName name="uuu" localSheetId="0" hidden="1">{"Riqfin97",#N/A,FALSE,"Tran";"Riqfinpro",#N/A,FALSE,"Tran"}</definedName>
    <definedName name="uuu" localSheetId="57" hidden="1">{"Riqfin97",#N/A,FALSE,"Tran";"Riqfinpro",#N/A,FALSE,"Tran"}</definedName>
    <definedName name="uuu" localSheetId="56" hidden="1">{"Riqfin97",#N/A,FALSE,"Tran";"Riqfinpro",#N/A,FALSE,"Tran"}</definedName>
    <definedName name="uuu" localSheetId="54" hidden="1">{"Riqfin97",#N/A,FALSE,"Tran";"Riqfinpro",#N/A,FALSE,"Tran"}</definedName>
    <definedName name="uuu" localSheetId="52" hidden="1">{"Riqfin97",#N/A,FALSE,"Tran";"Riqfinpro",#N/A,FALSE,"Tran"}</definedName>
    <definedName name="uuu" localSheetId="23" hidden="1">{"Riqfin97",#N/A,FALSE,"Tran";"Riqfinpro",#N/A,FALSE,"Tran"}</definedName>
    <definedName name="uuu" localSheetId="51" hidden="1">{"Riqfin97",#N/A,FALSE,"Tran";"Riqfinpro",#N/A,FALSE,"Tran"}</definedName>
    <definedName name="uuu" localSheetId="53" hidden="1">{"Riqfin97",#N/A,FALSE,"Tran";"Riqfinpro",#N/A,FALSE,"Tran"}</definedName>
    <definedName name="uuu" localSheetId="60" hidden="1">{"Riqfin97",#N/A,FALSE,"Tran";"Riqfinpro",#N/A,FALSE,"Tran"}</definedName>
    <definedName name="uuu" hidden="1">{"Riqfin97",#N/A,FALSE,"Tran";"Riqfinpro",#N/A,FALSE,"Tran"}</definedName>
    <definedName name="uuuuuu" localSheetId="58" hidden="1">{"Riqfin97",#N/A,FALSE,"Tran";"Riqfinpro",#N/A,FALSE,"Tran"}</definedName>
    <definedName name="uuuuuu" localSheetId="16" hidden="1">{"Riqfin97",#N/A,FALSE,"Tran";"Riqfinpro",#N/A,FALSE,"Tran"}</definedName>
    <definedName name="uuuuuu" localSheetId="61" hidden="1">{"Riqfin97",#N/A,FALSE,"Tran";"Riqfinpro",#N/A,FALSE,"Tran"}</definedName>
    <definedName name="uuuuuu" localSheetId="62" hidden="1">{"Riqfin97",#N/A,FALSE,"Tran";"Riqfinpro",#N/A,FALSE,"Tran"}</definedName>
    <definedName name="uuuuuu" localSheetId="50" hidden="1">{"Riqfin97",#N/A,FALSE,"Tran";"Riqfinpro",#N/A,FALSE,"Tran"}</definedName>
    <definedName name="uuuuuu" localSheetId="63" hidden="1">{"Riqfin97",#N/A,FALSE,"Tran";"Riqfinpro",#N/A,FALSE,"Tran"}</definedName>
    <definedName name="uuuuuu" localSheetId="15" hidden="1">{"Riqfin97",#N/A,FALSE,"Tran";"Riqfinpro",#N/A,FALSE,"Tran"}</definedName>
    <definedName name="uuuuuu" localSheetId="1" hidden="1">{"Riqfin97",#N/A,FALSE,"Tran";"Riqfinpro",#N/A,FALSE,"Tran"}</definedName>
    <definedName name="uuuuuu" localSheetId="43" hidden="1">{"Riqfin97",#N/A,FALSE,"Tran";"Riqfinpro",#N/A,FALSE,"Tran"}</definedName>
    <definedName name="uuuuuu" localSheetId="29" hidden="1">{"Riqfin97",#N/A,FALSE,"Tran";"Riqfinpro",#N/A,FALSE,"Tran"}</definedName>
    <definedName name="uuuuuu" localSheetId="30" hidden="1">{"Riqfin97",#N/A,FALSE,"Tran";"Riqfinpro",#N/A,FALSE,"Tran"}</definedName>
    <definedName name="uuuuuu" localSheetId="44" hidden="1">{"Riqfin97",#N/A,FALSE,"Tran";"Riqfinpro",#N/A,FALSE,"Tran"}</definedName>
    <definedName name="uuuuuu" localSheetId="59" hidden="1">{"Riqfin97",#N/A,FALSE,"Tran";"Riqfinpro",#N/A,FALSE,"Tran"}</definedName>
    <definedName name="uuuuuu" localSheetId="13" hidden="1">{"Riqfin97",#N/A,FALSE,"Tran";"Riqfinpro",#N/A,FALSE,"Tran"}</definedName>
    <definedName name="uuuuuu" localSheetId="0" hidden="1">{"Riqfin97",#N/A,FALSE,"Tran";"Riqfinpro",#N/A,FALSE,"Tran"}</definedName>
    <definedName name="uuuuuu" localSheetId="57" hidden="1">{"Riqfin97",#N/A,FALSE,"Tran";"Riqfinpro",#N/A,FALSE,"Tran"}</definedName>
    <definedName name="uuuuuu" localSheetId="56" hidden="1">{"Riqfin97",#N/A,FALSE,"Tran";"Riqfinpro",#N/A,FALSE,"Tran"}</definedName>
    <definedName name="uuuuuu" localSheetId="54" hidden="1">{"Riqfin97",#N/A,FALSE,"Tran";"Riqfinpro",#N/A,FALSE,"Tran"}</definedName>
    <definedName name="uuuuuu" localSheetId="52" hidden="1">{"Riqfin97",#N/A,FALSE,"Tran";"Riqfinpro",#N/A,FALSE,"Tran"}</definedName>
    <definedName name="uuuuuu" localSheetId="23" hidden="1">{"Riqfin97",#N/A,FALSE,"Tran";"Riqfinpro",#N/A,FALSE,"Tran"}</definedName>
    <definedName name="uuuuuu" localSheetId="51" hidden="1">{"Riqfin97",#N/A,FALSE,"Tran";"Riqfinpro",#N/A,FALSE,"Tran"}</definedName>
    <definedName name="uuuuuu" localSheetId="53" hidden="1">{"Riqfin97",#N/A,FALSE,"Tran";"Riqfinpro",#N/A,FALSE,"Tran"}</definedName>
    <definedName name="uuuuuu" localSheetId="60" hidden="1">{"Riqfin97",#N/A,FALSE,"Tran";"Riqfinpro",#N/A,FALSE,"Tran"}</definedName>
    <definedName name="uuuuuu" hidden="1">{"Riqfin97",#N/A,FALSE,"Tran";"Riqfinpro",#N/A,FALSE,"Tran"}</definedName>
    <definedName name="VACATION_PERCENTAGE" localSheetId="50">#REF!</definedName>
    <definedName name="VACATION_PERCENTAGE" localSheetId="47">#REF!</definedName>
    <definedName name="VACATION_PERCENTAGE" localSheetId="44">#REF!</definedName>
    <definedName name="VACATION_PERCENTAGE" localSheetId="45">#REF!</definedName>
    <definedName name="VACATION_PERCENTAGE" localSheetId="46">#REF!</definedName>
    <definedName name="VACATION_PERCENTAGE" localSheetId="37">#REF!</definedName>
    <definedName name="VACATION_PERCENTAGE" localSheetId="40">#REF!</definedName>
    <definedName name="VACATION_PERCENTAGE" localSheetId="54">#REF!</definedName>
    <definedName name="VACATION_PERCENTAGE" localSheetId="55">#REF!</definedName>
    <definedName name="VACATION_PERCENTAGE" localSheetId="52">#REF!</definedName>
    <definedName name="VACATION_PERCENTAGE" localSheetId="51">#REF!</definedName>
    <definedName name="VACATION_PERCENTAGE" localSheetId="53">#REF!</definedName>
    <definedName name="VACATION_PERCENTAGE">#REF!</definedName>
    <definedName name="VacationsTab" localSheetId="50">#REF!</definedName>
    <definedName name="VacationsTab" localSheetId="47">#REF!</definedName>
    <definedName name="VacationsTab" localSheetId="44">#REF!</definedName>
    <definedName name="VacationsTab" localSheetId="45">#REF!</definedName>
    <definedName name="VacationsTab" localSheetId="46">#REF!</definedName>
    <definedName name="VacationsTab" localSheetId="37">#REF!</definedName>
    <definedName name="VacationsTab" localSheetId="40">#REF!</definedName>
    <definedName name="VacationsTab" localSheetId="54">#REF!</definedName>
    <definedName name="VacationsTab" localSheetId="55">#REF!</definedName>
    <definedName name="VacationsTab" localSheetId="52">#REF!</definedName>
    <definedName name="VacationsTab" localSheetId="51">#REF!</definedName>
    <definedName name="VacationsTab" localSheetId="53">#REF!</definedName>
    <definedName name="VacationsTab">#REF!</definedName>
    <definedName name="VALIDATE_EXCHANGE">[87]Config!$B$18</definedName>
    <definedName name="VALIDATE_EXCHANGE_RESULT">[87]Config!$C$18</definedName>
    <definedName name="VALIDATE_PEOPLESOFT">[87]Config!$B$15</definedName>
    <definedName name="VALIDATE_PEOPLESOFT_RESULT">[87]Config!$C$15</definedName>
    <definedName name="VALIDATE_PROJECTS">[87]Config!$B$14</definedName>
    <definedName name="VALIDATE_PROJECTS_RESULT">[87]Config!$C$14</definedName>
    <definedName name="VALIDATE_PYRAMID">[87]Config!$B$16</definedName>
    <definedName name="VALIDATE_PYRAMID_RESULT">[87]Config!$C$16</definedName>
    <definedName name="VALIDATE_RESULTSPACE">[87]Config!$B$17</definedName>
    <definedName name="VALIDATE_RESULTSPACE_RESULT">[87]Config!$C$17</definedName>
    <definedName name="VALIDATE_TEAMSTRUCTURE">[87]Config!$B$13</definedName>
    <definedName name="VALIDATE_TEAMSTRUCTURE_RESULT">[87]Config!$C$13</definedName>
    <definedName name="Value" localSheetId="50">#REF!</definedName>
    <definedName name="Value" localSheetId="47">#REF!</definedName>
    <definedName name="Value" localSheetId="44">#REF!</definedName>
    <definedName name="Value" localSheetId="45">#REF!</definedName>
    <definedName name="Value" localSheetId="46">#REF!</definedName>
    <definedName name="Value" localSheetId="37">#REF!</definedName>
    <definedName name="Value" localSheetId="40">#REF!</definedName>
    <definedName name="Value" localSheetId="54">#REF!</definedName>
    <definedName name="Value" localSheetId="55">#REF!</definedName>
    <definedName name="Value" localSheetId="52">#REF!</definedName>
    <definedName name="Value" localSheetId="51">#REF!</definedName>
    <definedName name="Value" localSheetId="53">#REF!</definedName>
    <definedName name="Value">#REF!</definedName>
    <definedName name="valuevx">42.314159</definedName>
    <definedName name="venci" localSheetId="34">#REF!</definedName>
    <definedName name="venci" localSheetId="35">#REF!</definedName>
    <definedName name="venci" localSheetId="50">#REF!</definedName>
    <definedName name="venci" localSheetId="15">#REF!</definedName>
    <definedName name="venci" localSheetId="29">#REF!</definedName>
    <definedName name="venci" localSheetId="30">#REF!</definedName>
    <definedName name="venci" localSheetId="47">#REF!</definedName>
    <definedName name="venci" localSheetId="44">#REF!</definedName>
    <definedName name="venci" localSheetId="45">#REF!</definedName>
    <definedName name="venci" localSheetId="46">#REF!</definedName>
    <definedName name="venci" localSheetId="31">#REF!</definedName>
    <definedName name="venci" localSheetId="32">#REF!</definedName>
    <definedName name="venci" localSheetId="33">#REF!</definedName>
    <definedName name="venci" localSheetId="36">#REF!</definedName>
    <definedName name="venci" localSheetId="37">#REF!</definedName>
    <definedName name="venci" localSheetId="38">#REF!</definedName>
    <definedName name="venci" localSheetId="39">#REF!</definedName>
    <definedName name="venci" localSheetId="40">#REF!</definedName>
    <definedName name="venci" localSheetId="54">#REF!</definedName>
    <definedName name="venci" localSheetId="55">#REF!</definedName>
    <definedName name="venci" localSheetId="52">#REF!</definedName>
    <definedName name="venci" localSheetId="23">#REF!</definedName>
    <definedName name="venci" localSheetId="51">#REF!</definedName>
    <definedName name="venci" localSheetId="53">#REF!</definedName>
    <definedName name="venci" localSheetId="20">#REF!</definedName>
    <definedName name="venci">#REF!</definedName>
    <definedName name="venci2000" localSheetId="34">#REF!</definedName>
    <definedName name="venci2000" localSheetId="35">#REF!</definedName>
    <definedName name="venci2000" localSheetId="50">#REF!</definedName>
    <definedName name="venci2000" localSheetId="15">#REF!</definedName>
    <definedName name="venci2000" localSheetId="29">#REF!</definedName>
    <definedName name="venci2000" localSheetId="30">#REF!</definedName>
    <definedName name="venci2000" localSheetId="47">#REF!</definedName>
    <definedName name="venci2000" localSheetId="44">#REF!</definedName>
    <definedName name="venci2000" localSheetId="45">#REF!</definedName>
    <definedName name="venci2000" localSheetId="46">#REF!</definedName>
    <definedName name="venci2000" localSheetId="31">#REF!</definedName>
    <definedName name="venci2000" localSheetId="32">#REF!</definedName>
    <definedName name="venci2000" localSheetId="33">#REF!</definedName>
    <definedName name="venci2000" localSheetId="36">#REF!</definedName>
    <definedName name="venci2000" localSheetId="37">#REF!</definedName>
    <definedName name="venci2000" localSheetId="38">#REF!</definedName>
    <definedName name="venci2000" localSheetId="39">#REF!</definedName>
    <definedName name="venci2000" localSheetId="40">#REF!</definedName>
    <definedName name="venci2000" localSheetId="54">#REF!</definedName>
    <definedName name="venci2000" localSheetId="55">#REF!</definedName>
    <definedName name="venci2000" localSheetId="52">#REF!</definedName>
    <definedName name="venci2000" localSheetId="23">#REF!</definedName>
    <definedName name="venci2000" localSheetId="51">#REF!</definedName>
    <definedName name="venci2000" localSheetId="53">#REF!</definedName>
    <definedName name="venci2000" localSheetId="20">#REF!</definedName>
    <definedName name="venci2000">#REF!</definedName>
    <definedName name="venci2001" localSheetId="34">#REF!</definedName>
    <definedName name="venci2001" localSheetId="35">#REF!</definedName>
    <definedName name="venci2001" localSheetId="50">#REF!</definedName>
    <definedName name="venci2001" localSheetId="15">#REF!</definedName>
    <definedName name="venci2001" localSheetId="29">#REF!</definedName>
    <definedName name="venci2001" localSheetId="30">#REF!</definedName>
    <definedName name="venci2001" localSheetId="47">#REF!</definedName>
    <definedName name="venci2001" localSheetId="44">#REF!</definedName>
    <definedName name="venci2001" localSheetId="45">#REF!</definedName>
    <definedName name="venci2001" localSheetId="46">#REF!</definedName>
    <definedName name="venci2001" localSheetId="31">#REF!</definedName>
    <definedName name="venci2001" localSheetId="32">#REF!</definedName>
    <definedName name="venci2001" localSheetId="33">#REF!</definedName>
    <definedName name="venci2001" localSheetId="36">#REF!</definedName>
    <definedName name="venci2001" localSheetId="37">#REF!</definedName>
    <definedName name="venci2001" localSheetId="38">#REF!</definedName>
    <definedName name="venci2001" localSheetId="39">#REF!</definedName>
    <definedName name="venci2001" localSheetId="40">#REF!</definedName>
    <definedName name="venci2001" localSheetId="54">#REF!</definedName>
    <definedName name="venci2001" localSheetId="55">#REF!</definedName>
    <definedName name="venci2001" localSheetId="52">#REF!</definedName>
    <definedName name="venci2001" localSheetId="23">#REF!</definedName>
    <definedName name="venci2001" localSheetId="51">#REF!</definedName>
    <definedName name="venci2001" localSheetId="53">#REF!</definedName>
    <definedName name="venci2001" localSheetId="20">#REF!</definedName>
    <definedName name="venci2001">#REF!</definedName>
    <definedName name="venci2002" localSheetId="34">#REF!</definedName>
    <definedName name="venci2002" localSheetId="35">#REF!</definedName>
    <definedName name="venci2002" localSheetId="50">#REF!</definedName>
    <definedName name="venci2002" localSheetId="15">#REF!</definedName>
    <definedName name="venci2002" localSheetId="29">#REF!</definedName>
    <definedName name="venci2002" localSheetId="30">#REF!</definedName>
    <definedName name="venci2002" localSheetId="47">#REF!</definedName>
    <definedName name="venci2002" localSheetId="44">#REF!</definedName>
    <definedName name="venci2002" localSheetId="45">#REF!</definedName>
    <definedName name="venci2002" localSheetId="46">#REF!</definedName>
    <definedName name="venci2002" localSheetId="31">#REF!</definedName>
    <definedName name="venci2002" localSheetId="32">#REF!</definedName>
    <definedName name="venci2002" localSheetId="33">#REF!</definedName>
    <definedName name="venci2002" localSheetId="36">#REF!</definedName>
    <definedName name="venci2002" localSheetId="37">#REF!</definedName>
    <definedName name="venci2002" localSheetId="38">#REF!</definedName>
    <definedName name="venci2002" localSheetId="39">#REF!</definedName>
    <definedName name="venci2002" localSheetId="40">#REF!</definedName>
    <definedName name="venci2002" localSheetId="54">#REF!</definedName>
    <definedName name="venci2002" localSheetId="55">#REF!</definedName>
    <definedName name="venci2002" localSheetId="52">#REF!</definedName>
    <definedName name="venci2002" localSheetId="23">#REF!</definedName>
    <definedName name="venci2002" localSheetId="51">#REF!</definedName>
    <definedName name="venci2002" localSheetId="53">#REF!</definedName>
    <definedName name="venci2002" localSheetId="20">#REF!</definedName>
    <definedName name="venci2002">#REF!</definedName>
    <definedName name="venci2003" localSheetId="34">#REF!</definedName>
    <definedName name="venci2003" localSheetId="35">#REF!</definedName>
    <definedName name="venci2003" localSheetId="50">#REF!</definedName>
    <definedName name="venci2003" localSheetId="15">#REF!</definedName>
    <definedName name="venci2003" localSheetId="29">#REF!</definedName>
    <definedName name="venci2003" localSheetId="30">#REF!</definedName>
    <definedName name="venci2003" localSheetId="47">#REF!</definedName>
    <definedName name="venci2003" localSheetId="44">#REF!</definedName>
    <definedName name="venci2003" localSheetId="45">#REF!</definedName>
    <definedName name="venci2003" localSheetId="46">#REF!</definedName>
    <definedName name="venci2003" localSheetId="31">#REF!</definedName>
    <definedName name="venci2003" localSheetId="32">#REF!</definedName>
    <definedName name="venci2003" localSheetId="33">#REF!</definedName>
    <definedName name="venci2003" localSheetId="36">#REF!</definedName>
    <definedName name="venci2003" localSheetId="37">#REF!</definedName>
    <definedName name="venci2003" localSheetId="38">#REF!</definedName>
    <definedName name="venci2003" localSheetId="39">#REF!</definedName>
    <definedName name="venci2003" localSheetId="40">#REF!</definedName>
    <definedName name="venci2003" localSheetId="54">#REF!</definedName>
    <definedName name="venci2003" localSheetId="55">#REF!</definedName>
    <definedName name="venci2003" localSheetId="52">#REF!</definedName>
    <definedName name="venci2003" localSheetId="23">#REF!</definedName>
    <definedName name="venci2003" localSheetId="51">#REF!</definedName>
    <definedName name="venci2003" localSheetId="53">#REF!</definedName>
    <definedName name="venci2003" localSheetId="20">#REF!</definedName>
    <definedName name="venci2003">#REF!</definedName>
    <definedName name="venci98" localSheetId="34">[27]Programa!#REF!</definedName>
    <definedName name="venci98" localSheetId="35">[27]Programa!#REF!</definedName>
    <definedName name="venci98" localSheetId="50">[27]Programa!#REF!</definedName>
    <definedName name="venci98" localSheetId="15">[27]Programa!#REF!</definedName>
    <definedName name="venci98" localSheetId="29">[27]Programa!#REF!</definedName>
    <definedName name="venci98" localSheetId="30">[27]Programa!#REF!</definedName>
    <definedName name="venci98" localSheetId="47">[27]Programa!#REF!</definedName>
    <definedName name="venci98" localSheetId="44">[27]Programa!#REF!</definedName>
    <definedName name="venci98" localSheetId="45">[27]Programa!#REF!</definedName>
    <definedName name="venci98" localSheetId="46">[27]Programa!#REF!</definedName>
    <definedName name="venci98" localSheetId="31">[27]Programa!#REF!</definedName>
    <definedName name="venci98" localSheetId="32">[27]Programa!#REF!</definedName>
    <definedName name="venci98" localSheetId="33">[27]Programa!#REF!</definedName>
    <definedName name="venci98" localSheetId="36">[27]Programa!#REF!</definedName>
    <definedName name="venci98" localSheetId="37">[27]Programa!#REF!</definedName>
    <definedName name="venci98" localSheetId="38">[27]Programa!#REF!</definedName>
    <definedName name="venci98" localSheetId="39">[27]Programa!#REF!</definedName>
    <definedName name="venci98" localSheetId="40">[27]Programa!#REF!</definedName>
    <definedName name="venci98" localSheetId="54">[27]Programa!#REF!</definedName>
    <definedName name="venci98" localSheetId="55">[27]Programa!#REF!</definedName>
    <definedName name="venci98" localSheetId="52">[27]Programa!#REF!</definedName>
    <definedName name="venci98" localSheetId="23">[27]Programa!#REF!</definedName>
    <definedName name="venci98" localSheetId="51">[27]Programa!#REF!</definedName>
    <definedName name="venci98" localSheetId="53">[27]Programa!#REF!</definedName>
    <definedName name="venci98" localSheetId="20">[27]Programa!#REF!</definedName>
    <definedName name="venci98">[27]Programa!#REF!</definedName>
    <definedName name="venci98j" localSheetId="34">[27]Programa!#REF!</definedName>
    <definedName name="venci98j" localSheetId="35">[27]Programa!#REF!</definedName>
    <definedName name="venci98j" localSheetId="50">[27]Programa!#REF!</definedName>
    <definedName name="venci98j" localSheetId="15">[27]Programa!#REF!</definedName>
    <definedName name="venci98j" localSheetId="29">[27]Programa!#REF!</definedName>
    <definedName name="venci98j" localSheetId="30">[27]Programa!#REF!</definedName>
    <definedName name="venci98j" localSheetId="47">[27]Programa!#REF!</definedName>
    <definedName name="venci98j" localSheetId="44">[27]Programa!#REF!</definedName>
    <definedName name="venci98j" localSheetId="45">[27]Programa!#REF!</definedName>
    <definedName name="venci98j" localSheetId="46">[27]Programa!#REF!</definedName>
    <definedName name="venci98j" localSheetId="31">[27]Programa!#REF!</definedName>
    <definedName name="venci98j" localSheetId="32">[27]Programa!#REF!</definedName>
    <definedName name="venci98j" localSheetId="33">[27]Programa!#REF!</definedName>
    <definedName name="venci98j" localSheetId="36">[27]Programa!#REF!</definedName>
    <definedName name="venci98j" localSheetId="37">[27]Programa!#REF!</definedName>
    <definedName name="venci98j" localSheetId="38">[27]Programa!#REF!</definedName>
    <definedName name="venci98j" localSheetId="39">[27]Programa!#REF!</definedName>
    <definedName name="venci98j" localSheetId="40">[27]Programa!#REF!</definedName>
    <definedName name="venci98j" localSheetId="54">[27]Programa!#REF!</definedName>
    <definedName name="venci98j" localSheetId="55">[27]Programa!#REF!</definedName>
    <definedName name="venci98j" localSheetId="52">[27]Programa!#REF!</definedName>
    <definedName name="venci98j" localSheetId="23">[27]Programa!#REF!</definedName>
    <definedName name="venci98j" localSheetId="51">[27]Programa!#REF!</definedName>
    <definedName name="venci98j" localSheetId="53">[27]Programa!#REF!</definedName>
    <definedName name="venci98j" localSheetId="20">[27]Programa!#REF!</definedName>
    <definedName name="venci98j">[27]Programa!#REF!</definedName>
    <definedName name="venci98s" localSheetId="34">#REF!</definedName>
    <definedName name="venci98s" localSheetId="35">#REF!</definedName>
    <definedName name="venci98s" localSheetId="50">#REF!</definedName>
    <definedName name="venci98s" localSheetId="15">#REF!</definedName>
    <definedName name="venci98s" localSheetId="29">#REF!</definedName>
    <definedName name="venci98s" localSheetId="30">#REF!</definedName>
    <definedName name="venci98s" localSheetId="47">#REF!</definedName>
    <definedName name="venci98s" localSheetId="44">#REF!</definedName>
    <definedName name="venci98s" localSheetId="45">#REF!</definedName>
    <definedName name="venci98s" localSheetId="46">#REF!</definedName>
    <definedName name="venci98s" localSheetId="31">#REF!</definedName>
    <definedName name="venci98s" localSheetId="32">#REF!</definedName>
    <definedName name="venci98s" localSheetId="33">#REF!</definedName>
    <definedName name="venci98s" localSheetId="36">#REF!</definedName>
    <definedName name="venci98s" localSheetId="37">#REF!</definedName>
    <definedName name="venci98s" localSheetId="38">#REF!</definedName>
    <definedName name="venci98s" localSheetId="39">#REF!</definedName>
    <definedName name="venci98s" localSheetId="40">#REF!</definedName>
    <definedName name="venci98s" localSheetId="54">#REF!</definedName>
    <definedName name="venci98s" localSheetId="55">#REF!</definedName>
    <definedName name="venci98s" localSheetId="52">#REF!</definedName>
    <definedName name="venci98s" localSheetId="23">#REF!</definedName>
    <definedName name="venci98s" localSheetId="51">#REF!</definedName>
    <definedName name="venci98s" localSheetId="53">#REF!</definedName>
    <definedName name="venci98s" localSheetId="20">#REF!</definedName>
    <definedName name="venci98s">#REF!</definedName>
    <definedName name="venci99" localSheetId="34">#REF!</definedName>
    <definedName name="venci99" localSheetId="35">#REF!</definedName>
    <definedName name="venci99" localSheetId="50">#REF!</definedName>
    <definedName name="venci99" localSheetId="15">#REF!</definedName>
    <definedName name="venci99" localSheetId="29">#REF!</definedName>
    <definedName name="venci99" localSheetId="30">#REF!</definedName>
    <definedName name="venci99" localSheetId="47">#REF!</definedName>
    <definedName name="venci99" localSheetId="44">#REF!</definedName>
    <definedName name="venci99" localSheetId="45">#REF!</definedName>
    <definedName name="venci99" localSheetId="46">#REF!</definedName>
    <definedName name="venci99" localSheetId="31">#REF!</definedName>
    <definedName name="venci99" localSheetId="32">#REF!</definedName>
    <definedName name="venci99" localSheetId="33">#REF!</definedName>
    <definedName name="venci99" localSheetId="36">#REF!</definedName>
    <definedName name="venci99" localSheetId="37">#REF!</definedName>
    <definedName name="venci99" localSheetId="38">#REF!</definedName>
    <definedName name="venci99" localSheetId="39">#REF!</definedName>
    <definedName name="venci99" localSheetId="40">#REF!</definedName>
    <definedName name="venci99" localSheetId="54">#REF!</definedName>
    <definedName name="venci99" localSheetId="55">#REF!</definedName>
    <definedName name="venci99" localSheetId="52">#REF!</definedName>
    <definedName name="venci99" localSheetId="23">#REF!</definedName>
    <definedName name="venci99" localSheetId="51">#REF!</definedName>
    <definedName name="venci99" localSheetId="53">#REF!</definedName>
    <definedName name="venci99" localSheetId="20">#REF!</definedName>
    <definedName name="venci99">#REF!</definedName>
    <definedName name="Venezuela" localSheetId="34">#REF!</definedName>
    <definedName name="Venezuela" localSheetId="35">#REF!</definedName>
    <definedName name="Venezuela" localSheetId="50">#REF!</definedName>
    <definedName name="Venezuela" localSheetId="15">#REF!</definedName>
    <definedName name="Venezuela" localSheetId="29">#REF!</definedName>
    <definedName name="Venezuela" localSheetId="30">#REF!</definedName>
    <definedName name="Venezuela" localSheetId="47">#REF!</definedName>
    <definedName name="Venezuela" localSheetId="44">#REF!</definedName>
    <definedName name="Venezuela" localSheetId="45">#REF!</definedName>
    <definedName name="Venezuela" localSheetId="46">#REF!</definedName>
    <definedName name="Venezuela" localSheetId="31">#REF!</definedName>
    <definedName name="Venezuela" localSheetId="32">#REF!</definedName>
    <definedName name="Venezuela" localSheetId="33">#REF!</definedName>
    <definedName name="Venezuela" localSheetId="36">#REF!</definedName>
    <definedName name="Venezuela" localSheetId="37">#REF!</definedName>
    <definedName name="Venezuela" localSheetId="38">#REF!</definedName>
    <definedName name="Venezuela" localSheetId="39">#REF!</definedName>
    <definedName name="Venezuela" localSheetId="40">#REF!</definedName>
    <definedName name="Venezuela" localSheetId="54">#REF!</definedName>
    <definedName name="Venezuela" localSheetId="55">#REF!</definedName>
    <definedName name="Venezuela" localSheetId="52">#REF!</definedName>
    <definedName name="Venezuela" localSheetId="23">#REF!</definedName>
    <definedName name="Venezuela" localSheetId="51">#REF!</definedName>
    <definedName name="Venezuela" localSheetId="53">#REF!</definedName>
    <definedName name="Venezuela" localSheetId="20">#REF!</definedName>
    <definedName name="Venezuela">#REF!</definedName>
    <definedName name="version_" localSheetId="34">#REF!</definedName>
    <definedName name="version_" localSheetId="35">#REF!</definedName>
    <definedName name="version_" localSheetId="50">#REF!</definedName>
    <definedName name="version_" localSheetId="15">#REF!</definedName>
    <definedName name="version_" localSheetId="29">#REF!</definedName>
    <definedName name="version_" localSheetId="30">#REF!</definedName>
    <definedName name="version_" localSheetId="47">#REF!</definedName>
    <definedName name="version_" localSheetId="44">#REF!</definedName>
    <definedName name="version_" localSheetId="45">#REF!</definedName>
    <definedName name="version_" localSheetId="46">#REF!</definedName>
    <definedName name="version_" localSheetId="31">#REF!</definedName>
    <definedName name="version_" localSheetId="32">#REF!</definedName>
    <definedName name="version_" localSheetId="33">#REF!</definedName>
    <definedName name="version_" localSheetId="36">#REF!</definedName>
    <definedName name="version_" localSheetId="37">#REF!</definedName>
    <definedName name="version_" localSheetId="38">#REF!</definedName>
    <definedName name="version_" localSheetId="39">#REF!</definedName>
    <definedName name="version_" localSheetId="40">#REF!</definedName>
    <definedName name="version_" localSheetId="54">#REF!</definedName>
    <definedName name="version_" localSheetId="55">#REF!</definedName>
    <definedName name="version_" localSheetId="52">#REF!</definedName>
    <definedName name="version_" localSheetId="23">#REF!</definedName>
    <definedName name="version_" localSheetId="51">#REF!</definedName>
    <definedName name="version_" localSheetId="53">#REF!</definedName>
    <definedName name="version_" localSheetId="20">#REF!</definedName>
    <definedName name="version_">#REF!</definedName>
    <definedName name="Vigencia" localSheetId="34">#REF!</definedName>
    <definedName name="Vigencia" localSheetId="35">#REF!</definedName>
    <definedName name="Vigencia" localSheetId="50">#REF!</definedName>
    <definedName name="Vigencia" localSheetId="15">#REF!</definedName>
    <definedName name="Vigencia" localSheetId="29">#REF!</definedName>
    <definedName name="Vigencia" localSheetId="30">#REF!</definedName>
    <definedName name="Vigencia" localSheetId="47">#REF!</definedName>
    <definedName name="Vigencia" localSheetId="44">#REF!</definedName>
    <definedName name="Vigencia" localSheetId="45">#REF!</definedName>
    <definedName name="Vigencia" localSheetId="46">#REF!</definedName>
    <definedName name="Vigencia" localSheetId="31">#REF!</definedName>
    <definedName name="Vigencia" localSheetId="32">#REF!</definedName>
    <definedName name="Vigencia" localSheetId="33">#REF!</definedName>
    <definedName name="Vigencia" localSheetId="36">#REF!</definedName>
    <definedName name="Vigencia" localSheetId="37">#REF!</definedName>
    <definedName name="Vigencia" localSheetId="38">#REF!</definedName>
    <definedName name="Vigencia" localSheetId="39">#REF!</definedName>
    <definedName name="Vigencia" localSheetId="40">#REF!</definedName>
    <definedName name="Vigencia" localSheetId="54">#REF!</definedName>
    <definedName name="Vigencia" localSheetId="55">#REF!</definedName>
    <definedName name="Vigencia" localSheetId="52">#REF!</definedName>
    <definedName name="Vigencia" localSheetId="23">#REF!</definedName>
    <definedName name="Vigencia" localSheetId="51">#REF!</definedName>
    <definedName name="Vigencia" localSheetId="53">#REF!</definedName>
    <definedName name="Vigencia" localSheetId="20">#REF!</definedName>
    <definedName name="Vigencia">#REF!</definedName>
    <definedName name="vigencia1" localSheetId="34">#REF!</definedName>
    <definedName name="vigencia1" localSheetId="35">#REF!</definedName>
    <definedName name="vigencia1" localSheetId="50">#REF!</definedName>
    <definedName name="vigencia1" localSheetId="15">#REF!</definedName>
    <definedName name="vigencia1" localSheetId="29">#REF!</definedName>
    <definedName name="vigencia1" localSheetId="30">#REF!</definedName>
    <definedName name="vigencia1" localSheetId="47">#REF!</definedName>
    <definedName name="vigencia1" localSheetId="44">#REF!</definedName>
    <definedName name="vigencia1" localSheetId="45">#REF!</definedName>
    <definedName name="vigencia1" localSheetId="46">#REF!</definedName>
    <definedName name="vigencia1" localSheetId="31">#REF!</definedName>
    <definedName name="vigencia1" localSheetId="32">#REF!</definedName>
    <definedName name="vigencia1" localSheetId="33">#REF!</definedName>
    <definedName name="vigencia1" localSheetId="36">#REF!</definedName>
    <definedName name="vigencia1" localSheetId="37">#REF!</definedName>
    <definedName name="vigencia1" localSheetId="38">#REF!</definedName>
    <definedName name="vigencia1" localSheetId="39">#REF!</definedName>
    <definedName name="vigencia1" localSheetId="40">#REF!</definedName>
    <definedName name="vigencia1" localSheetId="54">#REF!</definedName>
    <definedName name="vigencia1" localSheetId="55">#REF!</definedName>
    <definedName name="vigencia1" localSheetId="52">#REF!</definedName>
    <definedName name="vigencia1" localSheetId="23">#REF!</definedName>
    <definedName name="vigencia1" localSheetId="51">#REF!</definedName>
    <definedName name="vigencia1" localSheetId="53">#REF!</definedName>
    <definedName name="vigencia1" localSheetId="20">#REF!</definedName>
    <definedName name="vigencia1">#REF!</definedName>
    <definedName name="VTITLES" localSheetId="50">#REF!</definedName>
    <definedName name="VTITLES" localSheetId="47">#REF!</definedName>
    <definedName name="VTITLES" localSheetId="44">#REF!</definedName>
    <definedName name="VTITLES" localSheetId="45">#REF!</definedName>
    <definedName name="VTITLES" localSheetId="46">#REF!</definedName>
    <definedName name="VTITLES" localSheetId="37">#REF!</definedName>
    <definedName name="VTITLES" localSheetId="40">#REF!</definedName>
    <definedName name="VTITLES" localSheetId="54">#REF!</definedName>
    <definedName name="VTITLES" localSheetId="55">#REF!</definedName>
    <definedName name="VTITLES" localSheetId="52">#REF!</definedName>
    <definedName name="VTITLES" localSheetId="51">#REF!</definedName>
    <definedName name="VTITLES" localSheetId="53">#REF!</definedName>
    <definedName name="VTITLES">#REF!</definedName>
    <definedName name="vv" localSheetId="58" hidden="1">{"Tab1",#N/A,FALSE,"P";"Tab2",#N/A,FALSE,"P"}</definedName>
    <definedName name="vv" localSheetId="16" hidden="1">{"Tab1",#N/A,FALSE,"P";"Tab2",#N/A,FALSE,"P"}</definedName>
    <definedName name="vv" localSheetId="61" hidden="1">{"Tab1",#N/A,FALSE,"P";"Tab2",#N/A,FALSE,"P"}</definedName>
    <definedName name="vv" localSheetId="62" hidden="1">{"Tab1",#N/A,FALSE,"P";"Tab2",#N/A,FALSE,"P"}</definedName>
    <definedName name="vv" localSheetId="50" hidden="1">{"Tab1",#N/A,FALSE,"P";"Tab2",#N/A,FALSE,"P"}</definedName>
    <definedName name="vv" localSheetId="63" hidden="1">{"Tab1",#N/A,FALSE,"P";"Tab2",#N/A,FALSE,"P"}</definedName>
    <definedName name="vv" localSheetId="15" hidden="1">{"Tab1",#N/A,FALSE,"P";"Tab2",#N/A,FALSE,"P"}</definedName>
    <definedName name="vv" localSheetId="1" hidden="1">{"Tab1",#N/A,FALSE,"P";"Tab2",#N/A,FALSE,"P"}</definedName>
    <definedName name="vv" localSheetId="43" hidden="1">{"Tab1",#N/A,FALSE,"P";"Tab2",#N/A,FALSE,"P"}</definedName>
    <definedName name="vv" localSheetId="29" hidden="1">{"Tab1",#N/A,FALSE,"P";"Tab2",#N/A,FALSE,"P"}</definedName>
    <definedName name="vv" localSheetId="30" hidden="1">{"Tab1",#N/A,FALSE,"P";"Tab2",#N/A,FALSE,"P"}</definedName>
    <definedName name="vv" localSheetId="44" hidden="1">{"Tab1",#N/A,FALSE,"P";"Tab2",#N/A,FALSE,"P"}</definedName>
    <definedName name="vv" localSheetId="59" hidden="1">{"Tab1",#N/A,FALSE,"P";"Tab2",#N/A,FALSE,"P"}</definedName>
    <definedName name="vv" localSheetId="13" hidden="1">{"Tab1",#N/A,FALSE,"P";"Tab2",#N/A,FALSE,"P"}</definedName>
    <definedName name="vv" localSheetId="0" hidden="1">{"Tab1",#N/A,FALSE,"P";"Tab2",#N/A,FALSE,"P"}</definedName>
    <definedName name="vv" localSheetId="57" hidden="1">{"Tab1",#N/A,FALSE,"P";"Tab2",#N/A,FALSE,"P"}</definedName>
    <definedName name="vv" localSheetId="56" hidden="1">{"Tab1",#N/A,FALSE,"P";"Tab2",#N/A,FALSE,"P"}</definedName>
    <definedName name="vv" localSheetId="54" hidden="1">{"Tab1",#N/A,FALSE,"P";"Tab2",#N/A,FALSE,"P"}</definedName>
    <definedName name="vv" localSheetId="52" hidden="1">{"Tab1",#N/A,FALSE,"P";"Tab2",#N/A,FALSE,"P"}</definedName>
    <definedName name="vv" localSheetId="23" hidden="1">{"Tab1",#N/A,FALSE,"P";"Tab2",#N/A,FALSE,"P"}</definedName>
    <definedName name="vv" localSheetId="51" hidden="1">{"Tab1",#N/A,FALSE,"P";"Tab2",#N/A,FALSE,"P"}</definedName>
    <definedName name="vv" localSheetId="53" hidden="1">{"Tab1",#N/A,FALSE,"P";"Tab2",#N/A,FALSE,"P"}</definedName>
    <definedName name="vv" localSheetId="60" hidden="1">{"Tab1",#N/A,FALSE,"P";"Tab2",#N/A,FALSE,"P"}</definedName>
    <definedName name="vv" hidden="1">{"Tab1",#N/A,FALSE,"P";"Tab2",#N/A,FALSE,"P"}</definedName>
    <definedName name="vvv" localSheetId="58" hidden="1">{"Tab1",#N/A,FALSE,"P";"Tab2",#N/A,FALSE,"P"}</definedName>
    <definedName name="vvv" localSheetId="16" hidden="1">{"Tab1",#N/A,FALSE,"P";"Tab2",#N/A,FALSE,"P"}</definedName>
    <definedName name="vvv" localSheetId="61" hidden="1">{"Tab1",#N/A,FALSE,"P";"Tab2",#N/A,FALSE,"P"}</definedName>
    <definedName name="vvv" localSheetId="62" hidden="1">{"Tab1",#N/A,FALSE,"P";"Tab2",#N/A,FALSE,"P"}</definedName>
    <definedName name="vvv" localSheetId="50" hidden="1">{"Tab1",#N/A,FALSE,"P";"Tab2",#N/A,FALSE,"P"}</definedName>
    <definedName name="vvv" localSheetId="63" hidden="1">{"Tab1",#N/A,FALSE,"P";"Tab2",#N/A,FALSE,"P"}</definedName>
    <definedName name="vvv" localSheetId="15" hidden="1">{"Tab1",#N/A,FALSE,"P";"Tab2",#N/A,FALSE,"P"}</definedName>
    <definedName name="vvv" localSheetId="1" hidden="1">{"Tab1",#N/A,FALSE,"P";"Tab2",#N/A,FALSE,"P"}</definedName>
    <definedName name="vvv" localSheetId="43" hidden="1">{"Tab1",#N/A,FALSE,"P";"Tab2",#N/A,FALSE,"P"}</definedName>
    <definedName name="vvv" localSheetId="29" hidden="1">{"Tab1",#N/A,FALSE,"P";"Tab2",#N/A,FALSE,"P"}</definedName>
    <definedName name="vvv" localSheetId="30" hidden="1">{"Tab1",#N/A,FALSE,"P";"Tab2",#N/A,FALSE,"P"}</definedName>
    <definedName name="vvv" localSheetId="44" hidden="1">{"Tab1",#N/A,FALSE,"P";"Tab2",#N/A,FALSE,"P"}</definedName>
    <definedName name="vvv" localSheetId="59" hidden="1">{"Tab1",#N/A,FALSE,"P";"Tab2",#N/A,FALSE,"P"}</definedName>
    <definedName name="vvv" localSheetId="13" hidden="1">{"Tab1",#N/A,FALSE,"P";"Tab2",#N/A,FALSE,"P"}</definedName>
    <definedName name="vvv" localSheetId="0" hidden="1">{"Tab1",#N/A,FALSE,"P";"Tab2",#N/A,FALSE,"P"}</definedName>
    <definedName name="vvv" localSheetId="57" hidden="1">{"Tab1",#N/A,FALSE,"P";"Tab2",#N/A,FALSE,"P"}</definedName>
    <definedName name="vvv" localSheetId="56" hidden="1">{"Tab1",#N/A,FALSE,"P";"Tab2",#N/A,FALSE,"P"}</definedName>
    <definedName name="vvv" localSheetId="54" hidden="1">{"Tab1",#N/A,FALSE,"P";"Tab2",#N/A,FALSE,"P"}</definedName>
    <definedName name="vvv" localSheetId="52" hidden="1">{"Tab1",#N/A,FALSE,"P";"Tab2",#N/A,FALSE,"P"}</definedName>
    <definedName name="vvv" localSheetId="23" hidden="1">{"Tab1",#N/A,FALSE,"P";"Tab2",#N/A,FALSE,"P"}</definedName>
    <definedName name="vvv" localSheetId="51" hidden="1">{"Tab1",#N/A,FALSE,"P";"Tab2",#N/A,FALSE,"P"}</definedName>
    <definedName name="vvv" localSheetId="53" hidden="1">{"Tab1",#N/A,FALSE,"P";"Tab2",#N/A,FALSE,"P"}</definedName>
    <definedName name="vvv" localSheetId="60" hidden="1">{"Tab1",#N/A,FALSE,"P";"Tab2",#N/A,FALSE,"P"}</definedName>
    <definedName name="vvv" hidden="1">{"Tab1",#N/A,FALSE,"P";"Tab2",#N/A,FALSE,"P"}</definedName>
    <definedName name="vvvv" localSheetId="58" hidden="1">{"Minpmon",#N/A,FALSE,"Monthinput"}</definedName>
    <definedName name="vvvv" localSheetId="16" hidden="1">{"Minpmon",#N/A,FALSE,"Monthinput"}</definedName>
    <definedName name="vvvv" localSheetId="61" hidden="1">{"Minpmon",#N/A,FALSE,"Monthinput"}</definedName>
    <definedName name="vvvv" localSheetId="62" hidden="1">{"Minpmon",#N/A,FALSE,"Monthinput"}</definedName>
    <definedName name="vvvv" localSheetId="50" hidden="1">{"Minpmon",#N/A,FALSE,"Monthinput"}</definedName>
    <definedName name="vvvv" localSheetId="63" hidden="1">{"Minpmon",#N/A,FALSE,"Monthinput"}</definedName>
    <definedName name="vvvv" localSheetId="15" hidden="1">{"Minpmon",#N/A,FALSE,"Monthinput"}</definedName>
    <definedName name="vvvv" localSheetId="1" hidden="1">{"Minpmon",#N/A,FALSE,"Monthinput"}</definedName>
    <definedName name="vvvv" localSheetId="43" hidden="1">{"Minpmon",#N/A,FALSE,"Monthinput"}</definedName>
    <definedName name="vvvv" localSheetId="29" hidden="1">{"Minpmon",#N/A,FALSE,"Monthinput"}</definedName>
    <definedName name="vvvv" localSheetId="30" hidden="1">{"Minpmon",#N/A,FALSE,"Monthinput"}</definedName>
    <definedName name="vvvv" localSheetId="44" hidden="1">{"Minpmon",#N/A,FALSE,"Monthinput"}</definedName>
    <definedName name="vvvv" localSheetId="59" hidden="1">{"Minpmon",#N/A,FALSE,"Monthinput"}</definedName>
    <definedName name="vvvv" localSheetId="13" hidden="1">{"Minpmon",#N/A,FALSE,"Monthinput"}</definedName>
    <definedName name="vvvv" localSheetId="0" hidden="1">{"Minpmon",#N/A,FALSE,"Monthinput"}</definedName>
    <definedName name="vvvv" localSheetId="57" hidden="1">{"Minpmon",#N/A,FALSE,"Monthinput"}</definedName>
    <definedName name="vvvv" localSheetId="56" hidden="1">{"Minpmon",#N/A,FALSE,"Monthinput"}</definedName>
    <definedName name="vvvv" localSheetId="54" hidden="1">{"Minpmon",#N/A,FALSE,"Monthinput"}</definedName>
    <definedName name="vvvv" localSheetId="52" hidden="1">{"Minpmon",#N/A,FALSE,"Monthinput"}</definedName>
    <definedName name="vvvv" localSheetId="23" hidden="1">{"Minpmon",#N/A,FALSE,"Monthinput"}</definedName>
    <definedName name="vvvv" localSheetId="51" hidden="1">{"Minpmon",#N/A,FALSE,"Monthinput"}</definedName>
    <definedName name="vvvv" localSheetId="53" hidden="1">{"Minpmon",#N/A,FALSE,"Monthinput"}</definedName>
    <definedName name="vvvv" localSheetId="60" hidden="1">{"Minpmon",#N/A,FALSE,"Monthinput"}</definedName>
    <definedName name="vvvv" hidden="1">{"Minpmon",#N/A,FALSE,"Monthinput"}</definedName>
    <definedName name="w" localSheetId="58" hidden="1">{"Minpmon",#N/A,FALSE,"Monthinput"}</definedName>
    <definedName name="w" localSheetId="16" hidden="1">{"Minpmon",#N/A,FALSE,"Monthinput"}</definedName>
    <definedName name="w" localSheetId="61" hidden="1">{"Minpmon",#N/A,FALSE,"Monthinput"}</definedName>
    <definedName name="w" localSheetId="62" hidden="1">{"Minpmon",#N/A,FALSE,"Monthinput"}</definedName>
    <definedName name="w" localSheetId="50" hidden="1">{"Minpmon",#N/A,FALSE,"Monthinput"}</definedName>
    <definedName name="w" localSheetId="63" hidden="1">{"Minpmon",#N/A,FALSE,"Monthinput"}</definedName>
    <definedName name="w" localSheetId="15" hidden="1">{"Minpmon",#N/A,FALSE,"Monthinput"}</definedName>
    <definedName name="w" localSheetId="1" hidden="1">{"Minpmon",#N/A,FALSE,"Monthinput"}</definedName>
    <definedName name="w" localSheetId="43" hidden="1">{"Minpmon",#N/A,FALSE,"Monthinput"}</definedName>
    <definedName name="w" localSheetId="29" hidden="1">{"Minpmon",#N/A,FALSE,"Monthinput"}</definedName>
    <definedName name="w" localSheetId="30" hidden="1">{"Minpmon",#N/A,FALSE,"Monthinput"}</definedName>
    <definedName name="w" localSheetId="44" hidden="1">{"Minpmon",#N/A,FALSE,"Monthinput"}</definedName>
    <definedName name="w" localSheetId="59" hidden="1">{"Minpmon",#N/A,FALSE,"Monthinput"}</definedName>
    <definedName name="w" localSheetId="13" hidden="1">{"Minpmon",#N/A,FALSE,"Monthinput"}</definedName>
    <definedName name="w" localSheetId="0" hidden="1">{"Minpmon",#N/A,FALSE,"Monthinput"}</definedName>
    <definedName name="w" localSheetId="57" hidden="1">{"Minpmon",#N/A,FALSE,"Monthinput"}</definedName>
    <definedName name="w" localSheetId="56" hidden="1">{"Minpmon",#N/A,FALSE,"Monthinput"}</definedName>
    <definedName name="w" localSheetId="54" hidden="1">{"Minpmon",#N/A,FALSE,"Monthinput"}</definedName>
    <definedName name="w" localSheetId="52" hidden="1">{"Minpmon",#N/A,FALSE,"Monthinput"}</definedName>
    <definedName name="w" localSheetId="23" hidden="1">{"Minpmon",#N/A,FALSE,"Monthinput"}</definedName>
    <definedName name="w" localSheetId="51" hidden="1">{"Minpmon",#N/A,FALSE,"Monthinput"}</definedName>
    <definedName name="w" localSheetId="53" hidden="1">{"Minpmon",#N/A,FALSE,"Monthinput"}</definedName>
    <definedName name="w" localSheetId="60" hidden="1">{"Minpmon",#N/A,FALSE,"Monthinput"}</definedName>
    <definedName name="w" hidden="1">{"Minpmon",#N/A,FALSE,"Monthinput"}</definedName>
    <definedName name="wage_govt_sector" localSheetId="50">#REF!</definedName>
    <definedName name="wage_govt_sector" localSheetId="47">#REF!</definedName>
    <definedName name="wage_govt_sector" localSheetId="44">#REF!</definedName>
    <definedName name="wage_govt_sector" localSheetId="45">#REF!</definedName>
    <definedName name="wage_govt_sector" localSheetId="46">#REF!</definedName>
    <definedName name="wage_govt_sector" localSheetId="37">#REF!</definedName>
    <definedName name="wage_govt_sector" localSheetId="40">#REF!</definedName>
    <definedName name="wage_govt_sector" localSheetId="54">#REF!</definedName>
    <definedName name="wage_govt_sector" localSheetId="55">#REF!</definedName>
    <definedName name="wage_govt_sector" localSheetId="52">#REF!</definedName>
    <definedName name="wage_govt_sector" localSheetId="51">#REF!</definedName>
    <definedName name="wage_govt_sector" localSheetId="53">#REF!</definedName>
    <definedName name="wage_govt_sector">#REF!</definedName>
    <definedName name="WAPR" localSheetId="50">#REF!</definedName>
    <definedName name="WAPR" localSheetId="47">#REF!</definedName>
    <definedName name="WAPR" localSheetId="44">#REF!</definedName>
    <definedName name="WAPR" localSheetId="45">#REF!</definedName>
    <definedName name="WAPR" localSheetId="46">#REF!</definedName>
    <definedName name="WAPR" localSheetId="37">#REF!</definedName>
    <definedName name="WAPR" localSheetId="40">#REF!</definedName>
    <definedName name="WAPR" localSheetId="54">#REF!</definedName>
    <definedName name="WAPR" localSheetId="55">#REF!</definedName>
    <definedName name="WAPR" localSheetId="52">#REF!</definedName>
    <definedName name="WAPR" localSheetId="51">#REF!</definedName>
    <definedName name="WAPR" localSheetId="53">#REF!</definedName>
    <definedName name="WAPR">#REF!</definedName>
    <definedName name="warning_database" localSheetId="50">[40]Roles!#REF!</definedName>
    <definedName name="warning_database" localSheetId="47">[40]Roles!#REF!</definedName>
    <definedName name="warning_database" localSheetId="44">[40]Roles!#REF!</definedName>
    <definedName name="warning_database" localSheetId="45">[40]Roles!#REF!</definedName>
    <definedName name="warning_database" localSheetId="46">[40]Roles!#REF!</definedName>
    <definedName name="warning_database" localSheetId="37">[40]Roles!#REF!</definedName>
    <definedName name="warning_database" localSheetId="40">[40]Roles!#REF!</definedName>
    <definedName name="warning_database" localSheetId="54">[40]Roles!#REF!</definedName>
    <definedName name="warning_database" localSheetId="55">[40]Roles!#REF!</definedName>
    <definedName name="warning_database" localSheetId="52">[40]Roles!#REF!</definedName>
    <definedName name="warning_database" localSheetId="51">[40]Roles!#REF!</definedName>
    <definedName name="warning_database" localSheetId="53">[40]Roles!#REF!</definedName>
    <definedName name="warning_database">[40]Roles!#REF!</definedName>
    <definedName name="warning_database_1" localSheetId="50">[42]Roles!#REF!</definedName>
    <definedName name="warning_database_1" localSheetId="47">[42]Roles!#REF!</definedName>
    <definedName name="warning_database_1" localSheetId="44">[42]Roles!#REF!</definedName>
    <definedName name="warning_database_1" localSheetId="45">[42]Roles!#REF!</definedName>
    <definedName name="warning_database_1" localSheetId="46">[42]Roles!#REF!</definedName>
    <definedName name="warning_database_1" localSheetId="37">[42]Roles!#REF!</definedName>
    <definedName name="warning_database_1" localSheetId="40">[42]Roles!#REF!</definedName>
    <definedName name="warning_database_1" localSheetId="54">[42]Roles!#REF!</definedName>
    <definedName name="warning_database_1" localSheetId="55">[42]Roles!#REF!</definedName>
    <definedName name="warning_database_1" localSheetId="52">[42]Roles!#REF!</definedName>
    <definedName name="warning_database_1" localSheetId="51">[42]Roles!#REF!</definedName>
    <definedName name="warning_database_1" localSheetId="53">[42]Roles!#REF!</definedName>
    <definedName name="warning_database_1">[42]Roles!#REF!</definedName>
    <definedName name="WarningsActuals" localSheetId="50">#REF!</definedName>
    <definedName name="WarningsActuals" localSheetId="47">#REF!</definedName>
    <definedName name="WarningsActuals" localSheetId="44">#REF!</definedName>
    <definedName name="WarningsActuals" localSheetId="45">#REF!</definedName>
    <definedName name="WarningsActuals" localSheetId="46">#REF!</definedName>
    <definedName name="WarningsActuals" localSheetId="37">#REF!</definedName>
    <definedName name="WarningsActuals" localSheetId="40">#REF!</definedName>
    <definedName name="WarningsActuals" localSheetId="54">#REF!</definedName>
    <definedName name="WarningsActuals" localSheetId="55">#REF!</definedName>
    <definedName name="WarningsActuals" localSheetId="52">#REF!</definedName>
    <definedName name="WarningsActuals" localSheetId="51">#REF!</definedName>
    <definedName name="WarningsActuals" localSheetId="53">#REF!</definedName>
    <definedName name="WarningsActuals">#REF!</definedName>
    <definedName name="WarningsForecasting" localSheetId="50">#REF!</definedName>
    <definedName name="WarningsForecasting" localSheetId="47">#REF!</definedName>
    <definedName name="WarningsForecasting" localSheetId="44">#REF!</definedName>
    <definedName name="WarningsForecasting" localSheetId="45">#REF!</definedName>
    <definedName name="WarningsForecasting" localSheetId="46">#REF!</definedName>
    <definedName name="WarningsForecasting" localSheetId="37">#REF!</definedName>
    <definedName name="WarningsForecasting" localSheetId="40">#REF!</definedName>
    <definedName name="WarningsForecasting" localSheetId="54">#REF!</definedName>
    <definedName name="WarningsForecasting" localSheetId="55">#REF!</definedName>
    <definedName name="WarningsForecasting" localSheetId="52">#REF!</definedName>
    <definedName name="WarningsForecasting" localSheetId="51">#REF!</definedName>
    <definedName name="WarningsForecasting" localSheetId="53">#REF!</definedName>
    <definedName name="WarningsForecasting">#REF!</definedName>
    <definedName name="WB_Info" localSheetId="50">#REF!</definedName>
    <definedName name="WB_Info" localSheetId="47">#REF!</definedName>
    <definedName name="WB_Info" localSheetId="44">#REF!</definedName>
    <definedName name="WB_Info" localSheetId="45">#REF!</definedName>
    <definedName name="WB_Info" localSheetId="46">#REF!</definedName>
    <definedName name="WB_Info" localSheetId="37">#REF!</definedName>
    <definedName name="WB_Info" localSheetId="40">#REF!</definedName>
    <definedName name="WB_Info" localSheetId="54">#REF!</definedName>
    <definedName name="WB_Info" localSheetId="55">#REF!</definedName>
    <definedName name="WB_Info" localSheetId="52">#REF!</definedName>
    <definedName name="WB_Info" localSheetId="51">#REF!</definedName>
    <definedName name="WB_Info" localSheetId="53">#REF!</definedName>
    <definedName name="WB_Info">#REF!</definedName>
    <definedName name="WBS" localSheetId="50">#REF!</definedName>
    <definedName name="WBS" localSheetId="47">#REF!</definedName>
    <definedName name="WBS" localSheetId="44">#REF!</definedName>
    <definedName name="WBS" localSheetId="45">#REF!</definedName>
    <definedName name="WBS" localSheetId="46">#REF!</definedName>
    <definedName name="WBS" localSheetId="37">#REF!</definedName>
    <definedName name="WBS" localSheetId="40">#REF!</definedName>
    <definedName name="WBS" localSheetId="54">#REF!</definedName>
    <definedName name="WBS" localSheetId="55">#REF!</definedName>
    <definedName name="WBS" localSheetId="52">#REF!</definedName>
    <definedName name="WBS" localSheetId="51">#REF!</definedName>
    <definedName name="WBS" localSheetId="53">#REF!</definedName>
    <definedName name="WBS">#REF!</definedName>
    <definedName name="wbs_loe_exp">[41]Stories!$S$11</definedName>
    <definedName name="wbs_loe_high" localSheetId="50">#REF!</definedName>
    <definedName name="wbs_loe_high" localSheetId="47">#REF!</definedName>
    <definedName name="wbs_loe_high" localSheetId="44">#REF!</definedName>
    <definedName name="wbs_loe_high" localSheetId="45">#REF!</definedName>
    <definedName name="wbs_loe_high" localSheetId="46">#REF!</definedName>
    <definedName name="wbs_loe_high" localSheetId="37">#REF!</definedName>
    <definedName name="wbs_loe_high" localSheetId="40">#REF!</definedName>
    <definedName name="wbs_loe_high" localSheetId="54">#REF!</definedName>
    <definedName name="wbs_loe_high" localSheetId="55">#REF!</definedName>
    <definedName name="wbs_loe_high" localSheetId="52">#REF!</definedName>
    <definedName name="wbs_loe_high" localSheetId="51">#REF!</definedName>
    <definedName name="wbs_loe_high" localSheetId="53">#REF!</definedName>
    <definedName name="wbs_loe_high">#REF!</definedName>
    <definedName name="wbs_loe_low" localSheetId="50">#REF!</definedName>
    <definedName name="wbs_loe_low" localSheetId="47">#REF!</definedName>
    <definedName name="wbs_loe_low" localSheetId="44">#REF!</definedName>
    <definedName name="wbs_loe_low" localSheetId="45">#REF!</definedName>
    <definedName name="wbs_loe_low" localSheetId="46">#REF!</definedName>
    <definedName name="wbs_loe_low" localSheetId="37">#REF!</definedName>
    <definedName name="wbs_loe_low" localSheetId="40">#REF!</definedName>
    <definedName name="wbs_loe_low" localSheetId="54">#REF!</definedName>
    <definedName name="wbs_loe_low" localSheetId="55">#REF!</definedName>
    <definedName name="wbs_loe_low" localSheetId="52">#REF!</definedName>
    <definedName name="wbs_loe_low" localSheetId="51">#REF!</definedName>
    <definedName name="wbs_loe_low" localSheetId="53">#REF!</definedName>
    <definedName name="wbs_loe_low">#REF!</definedName>
    <definedName name="wbs_loe_mlkly" localSheetId="50">#REF!</definedName>
    <definedName name="wbs_loe_mlkly" localSheetId="47">#REF!</definedName>
    <definedName name="wbs_loe_mlkly" localSheetId="44">#REF!</definedName>
    <definedName name="wbs_loe_mlkly" localSheetId="45">#REF!</definedName>
    <definedName name="wbs_loe_mlkly" localSheetId="46">#REF!</definedName>
    <definedName name="wbs_loe_mlkly" localSheetId="37">#REF!</definedName>
    <definedName name="wbs_loe_mlkly" localSheetId="40">#REF!</definedName>
    <definedName name="wbs_loe_mlkly" localSheetId="54">#REF!</definedName>
    <definedName name="wbs_loe_mlkly" localSheetId="55">#REF!</definedName>
    <definedName name="wbs_loe_mlkly" localSheetId="52">#REF!</definedName>
    <definedName name="wbs_loe_mlkly" localSheetId="51">#REF!</definedName>
    <definedName name="wbs_loe_mlkly" localSheetId="53">#REF!</definedName>
    <definedName name="wbs_loe_mlkly">#REF!</definedName>
    <definedName name="wda" localSheetId="50">[40]Help!#REF!</definedName>
    <definedName name="wda" localSheetId="47">[40]Help!#REF!</definedName>
    <definedName name="wda" localSheetId="44">[40]Help!#REF!</definedName>
    <definedName name="wda" localSheetId="45">[40]Help!#REF!</definedName>
    <definedName name="wda" localSheetId="46">[40]Help!#REF!</definedName>
    <definedName name="wda" localSheetId="37">[40]Help!#REF!</definedName>
    <definedName name="wda" localSheetId="40">[40]Help!#REF!</definedName>
    <definedName name="wda" localSheetId="54">[40]Help!#REF!</definedName>
    <definedName name="wda" localSheetId="55">[40]Help!#REF!</definedName>
    <definedName name="wda" localSheetId="52">[40]Help!#REF!</definedName>
    <definedName name="wda" localSheetId="51">[40]Help!#REF!</definedName>
    <definedName name="wda" localSheetId="53">[40]Help!#REF!</definedName>
    <definedName name="wda">[40]Help!#REF!</definedName>
    <definedName name="WDINTK" localSheetId="50">#REF!</definedName>
    <definedName name="WDINTK" localSheetId="47">#REF!</definedName>
    <definedName name="WDINTK" localSheetId="44">#REF!</definedName>
    <definedName name="WDINTK" localSheetId="45">#REF!</definedName>
    <definedName name="WDINTK" localSheetId="46">#REF!</definedName>
    <definedName name="WDINTK" localSheetId="37">#REF!</definedName>
    <definedName name="WDINTK" localSheetId="40">#REF!</definedName>
    <definedName name="WDINTK" localSheetId="54">#REF!</definedName>
    <definedName name="WDINTK" localSheetId="55">#REF!</definedName>
    <definedName name="WDINTK" localSheetId="52">#REF!</definedName>
    <definedName name="WDINTK" localSheetId="51">#REF!</definedName>
    <definedName name="WDINTK" localSheetId="53">#REF!</definedName>
    <definedName name="WDINTK">#REF!</definedName>
    <definedName name="WeeklySnapshotSaveTime" localSheetId="50">#REF!</definedName>
    <definedName name="WeeklySnapshotSaveTime" localSheetId="47">#REF!</definedName>
    <definedName name="WeeklySnapshotSaveTime" localSheetId="44">#REF!</definedName>
    <definedName name="WeeklySnapshotSaveTime" localSheetId="45">#REF!</definedName>
    <definedName name="WeeklySnapshotSaveTime" localSheetId="46">#REF!</definedName>
    <definedName name="WeeklySnapshotSaveTime" localSheetId="37">#REF!</definedName>
    <definedName name="WeeklySnapshotSaveTime" localSheetId="40">#REF!</definedName>
    <definedName name="WeeklySnapshotSaveTime" localSheetId="54">#REF!</definedName>
    <definedName name="WeeklySnapshotSaveTime" localSheetId="55">#REF!</definedName>
    <definedName name="WeeklySnapshotSaveTime" localSheetId="52">#REF!</definedName>
    <definedName name="WeeklySnapshotSaveTime" localSheetId="51">#REF!</definedName>
    <definedName name="WeeklySnapshotSaveTime" localSheetId="53">#REF!</definedName>
    <definedName name="WeeklySnapshotSaveTime">#REF!</definedName>
    <definedName name="WeeklySnapshotWeek" localSheetId="50">#REF!</definedName>
    <definedName name="WeeklySnapshotWeek" localSheetId="47">#REF!</definedName>
    <definedName name="WeeklySnapshotWeek" localSheetId="44">#REF!</definedName>
    <definedName name="WeeklySnapshotWeek" localSheetId="45">#REF!</definedName>
    <definedName name="WeeklySnapshotWeek" localSheetId="46">#REF!</definedName>
    <definedName name="WeeklySnapshotWeek" localSheetId="37">#REF!</definedName>
    <definedName name="WeeklySnapshotWeek" localSheetId="40">#REF!</definedName>
    <definedName name="WeeklySnapshotWeek" localSheetId="54">#REF!</definedName>
    <definedName name="WeeklySnapshotWeek" localSheetId="55">#REF!</definedName>
    <definedName name="WeeklySnapshotWeek" localSheetId="52">#REF!</definedName>
    <definedName name="WeeklySnapshotWeek" localSheetId="51">#REF!</definedName>
    <definedName name="WeeklySnapshotWeek" localSheetId="53">#REF!</definedName>
    <definedName name="WeeklySnapshotWeek">#REF!</definedName>
    <definedName name="WeekOffset" localSheetId="50">'[168]I2 MLP'!#REF!</definedName>
    <definedName name="WeekOffset" localSheetId="47">'[168]I2 MLP'!#REF!</definedName>
    <definedName name="WeekOffset" localSheetId="44">'[168]I2 MLP'!#REF!</definedName>
    <definedName name="WeekOffset" localSheetId="45">'[168]I2 MLP'!#REF!</definedName>
    <definedName name="WeekOffset" localSheetId="46">'[168]I2 MLP'!#REF!</definedName>
    <definedName name="WeekOffset" localSheetId="37">'[168]I2 MLP'!#REF!</definedName>
    <definedName name="WeekOffset" localSheetId="40">'[168]I2 MLP'!#REF!</definedName>
    <definedName name="WeekOffset" localSheetId="54">'[168]I2 MLP'!#REF!</definedName>
    <definedName name="WeekOffset" localSheetId="55">'[168]I2 MLP'!#REF!</definedName>
    <definedName name="WeekOffset" localSheetId="52">'[168]I2 MLP'!#REF!</definedName>
    <definedName name="WeekOffset" localSheetId="51">'[168]I2 MLP'!#REF!</definedName>
    <definedName name="WeekOffset" localSheetId="53">'[168]I2 MLP'!#REF!</definedName>
    <definedName name="WeekOffset">'[168]I2 MLP'!#REF!</definedName>
    <definedName name="WeekOffset_1" localSheetId="50">'[169]Rel 1 HLP'!#REF!</definedName>
    <definedName name="WeekOffset_1" localSheetId="47">'[169]Rel 1 HLP'!#REF!</definedName>
    <definedName name="WeekOffset_1" localSheetId="44">'[169]Rel 1 HLP'!#REF!</definedName>
    <definedName name="WeekOffset_1" localSheetId="45">'[169]Rel 1 HLP'!#REF!</definedName>
    <definedName name="WeekOffset_1" localSheetId="46">'[169]Rel 1 HLP'!#REF!</definedName>
    <definedName name="WeekOffset_1" localSheetId="37">'[169]Rel 1 HLP'!#REF!</definedName>
    <definedName name="WeekOffset_1" localSheetId="40">'[169]Rel 1 HLP'!#REF!</definedName>
    <definedName name="WeekOffset_1" localSheetId="54">'[169]Rel 1 HLP'!#REF!</definedName>
    <definedName name="WeekOffset_1" localSheetId="55">'[169]Rel 1 HLP'!#REF!</definedName>
    <definedName name="WeekOffset_1" localSheetId="52">'[169]Rel 1 HLP'!#REF!</definedName>
    <definedName name="WeekOffset_1" localSheetId="51">'[169]Rel 1 HLP'!#REF!</definedName>
    <definedName name="WeekOffset_1" localSheetId="53">'[169]Rel 1 HLP'!#REF!</definedName>
    <definedName name="WeekOffset_1">'[169]Rel 1 HLP'!#REF!</definedName>
    <definedName name="WeekOffset_2" localSheetId="50">'[169]Rel 1 HLP'!#REF!</definedName>
    <definedName name="WeekOffset_2" localSheetId="47">'[169]Rel 1 HLP'!#REF!</definedName>
    <definedName name="WeekOffset_2" localSheetId="44">'[169]Rel 1 HLP'!#REF!</definedName>
    <definedName name="WeekOffset_2" localSheetId="45">'[169]Rel 1 HLP'!#REF!</definedName>
    <definedName name="WeekOffset_2" localSheetId="46">'[169]Rel 1 HLP'!#REF!</definedName>
    <definedName name="WeekOffset_2" localSheetId="37">'[169]Rel 1 HLP'!#REF!</definedName>
    <definedName name="WeekOffset_2" localSheetId="40">'[169]Rel 1 HLP'!#REF!</definedName>
    <definedName name="WeekOffset_2" localSheetId="54">'[169]Rel 1 HLP'!#REF!</definedName>
    <definedName name="WeekOffset_2" localSheetId="55">'[169]Rel 1 HLP'!#REF!</definedName>
    <definedName name="WeekOffset_2" localSheetId="52">'[169]Rel 1 HLP'!#REF!</definedName>
    <definedName name="WeekOffset_2" localSheetId="51">'[169]Rel 1 HLP'!#REF!</definedName>
    <definedName name="WeekOffset_2" localSheetId="53">'[169]Rel 1 HLP'!#REF!</definedName>
    <definedName name="WeekOffset_2">'[169]Rel 1 HLP'!#REF!</definedName>
    <definedName name="WEO" localSheetId="50">#REF!</definedName>
    <definedName name="WEO" localSheetId="47">#REF!</definedName>
    <definedName name="WEO" localSheetId="44">#REF!</definedName>
    <definedName name="WEO" localSheetId="45">#REF!</definedName>
    <definedName name="WEO" localSheetId="46">#REF!</definedName>
    <definedName name="WEO" localSheetId="37">#REF!</definedName>
    <definedName name="WEO" localSheetId="40">#REF!</definedName>
    <definedName name="WEO" localSheetId="54">#REF!</definedName>
    <definedName name="WEO" localSheetId="55">#REF!</definedName>
    <definedName name="WEO" localSheetId="52">#REF!</definedName>
    <definedName name="WEO" localSheetId="51">#REF!</definedName>
    <definedName name="WEO" localSheetId="53">#REF!</definedName>
    <definedName name="WEO">#REF!</definedName>
    <definedName name="wer" localSheetId="58" hidden="1">{"Riqfin97",#N/A,FALSE,"Tran";"Riqfinpro",#N/A,FALSE,"Tran"}</definedName>
    <definedName name="wer" localSheetId="16" hidden="1">{"Riqfin97",#N/A,FALSE,"Tran";"Riqfinpro",#N/A,FALSE,"Tran"}</definedName>
    <definedName name="wer" localSheetId="61" hidden="1">{"Riqfin97",#N/A,FALSE,"Tran";"Riqfinpro",#N/A,FALSE,"Tran"}</definedName>
    <definedName name="wer" localSheetId="62" hidden="1">{"Riqfin97",#N/A,FALSE,"Tran";"Riqfinpro",#N/A,FALSE,"Tran"}</definedName>
    <definedName name="wer" localSheetId="50" hidden="1">{"Riqfin97",#N/A,FALSE,"Tran";"Riqfinpro",#N/A,FALSE,"Tran"}</definedName>
    <definedName name="wer" localSheetId="63" hidden="1">{"Riqfin97",#N/A,FALSE,"Tran";"Riqfinpro",#N/A,FALSE,"Tran"}</definedName>
    <definedName name="wer" localSheetId="15" hidden="1">{"Riqfin97",#N/A,FALSE,"Tran";"Riqfinpro",#N/A,FALSE,"Tran"}</definedName>
    <definedName name="wer" localSheetId="1" hidden="1">{"Riqfin97",#N/A,FALSE,"Tran";"Riqfinpro",#N/A,FALSE,"Tran"}</definedName>
    <definedName name="wer" localSheetId="43" hidden="1">{"Riqfin97",#N/A,FALSE,"Tran";"Riqfinpro",#N/A,FALSE,"Tran"}</definedName>
    <definedName name="wer" localSheetId="29" hidden="1">{"Riqfin97",#N/A,FALSE,"Tran";"Riqfinpro",#N/A,FALSE,"Tran"}</definedName>
    <definedName name="wer" localSheetId="30" hidden="1">{"Riqfin97",#N/A,FALSE,"Tran";"Riqfinpro",#N/A,FALSE,"Tran"}</definedName>
    <definedName name="wer" localSheetId="44" hidden="1">{"Riqfin97",#N/A,FALSE,"Tran";"Riqfinpro",#N/A,FALSE,"Tran"}</definedName>
    <definedName name="wer" localSheetId="59" hidden="1">{"Riqfin97",#N/A,FALSE,"Tran";"Riqfinpro",#N/A,FALSE,"Tran"}</definedName>
    <definedName name="wer" localSheetId="13" hidden="1">{"Riqfin97",#N/A,FALSE,"Tran";"Riqfinpro",#N/A,FALSE,"Tran"}</definedName>
    <definedName name="wer" localSheetId="0" hidden="1">{"Riqfin97",#N/A,FALSE,"Tran";"Riqfinpro",#N/A,FALSE,"Tran"}</definedName>
    <definedName name="wer" localSheetId="57" hidden="1">{"Riqfin97",#N/A,FALSE,"Tran";"Riqfinpro",#N/A,FALSE,"Tran"}</definedName>
    <definedName name="wer" localSheetId="56" hidden="1">{"Riqfin97",#N/A,FALSE,"Tran";"Riqfinpro",#N/A,FALSE,"Tran"}</definedName>
    <definedName name="wer" localSheetId="54" hidden="1">{"Riqfin97",#N/A,FALSE,"Tran";"Riqfinpro",#N/A,FALSE,"Tran"}</definedName>
    <definedName name="wer" localSheetId="52" hidden="1">{"Riqfin97",#N/A,FALSE,"Tran";"Riqfinpro",#N/A,FALSE,"Tran"}</definedName>
    <definedName name="wer" localSheetId="23" hidden="1">{"Riqfin97",#N/A,FALSE,"Tran";"Riqfinpro",#N/A,FALSE,"Tran"}</definedName>
    <definedName name="wer" localSheetId="51" hidden="1">{"Riqfin97",#N/A,FALSE,"Tran";"Riqfinpro",#N/A,FALSE,"Tran"}</definedName>
    <definedName name="wer" localSheetId="53" hidden="1">{"Riqfin97",#N/A,FALSE,"Tran";"Riqfinpro",#N/A,FALSE,"Tran"}</definedName>
    <definedName name="wer" localSheetId="60" hidden="1">{"Riqfin97",#N/A,FALSE,"Tran";"Riqfinpro",#N/A,FALSE,"Tran"}</definedName>
    <definedName name="wer" hidden="1">{"Riqfin97",#N/A,FALSE,"Tran";"Riqfinpro",#N/A,FALSE,"Tran"}</definedName>
    <definedName name="WinCal2" localSheetId="50">#REF!</definedName>
    <definedName name="WinCal2" localSheetId="47">#REF!</definedName>
    <definedName name="WinCal2" localSheetId="44">#REF!</definedName>
    <definedName name="WinCal2" localSheetId="45">#REF!</definedName>
    <definedName name="WinCal2" localSheetId="46">#REF!</definedName>
    <definedName name="WinCal2" localSheetId="37">#REF!</definedName>
    <definedName name="WinCal2" localSheetId="40">#REF!</definedName>
    <definedName name="WinCal2" localSheetId="54">#REF!</definedName>
    <definedName name="WinCal2" localSheetId="55">#REF!</definedName>
    <definedName name="WinCal2" localSheetId="52">#REF!</definedName>
    <definedName name="WinCal2" localSheetId="51">#REF!</definedName>
    <definedName name="WinCal2" localSheetId="53">#REF!</definedName>
    <definedName name="WinCal2">#REF!</definedName>
    <definedName name="WinCalendar_Calendar_2" localSheetId="50">#REF!</definedName>
    <definedName name="WinCalendar_Calendar_2" localSheetId="47">#REF!</definedName>
    <definedName name="WinCalendar_Calendar_2" localSheetId="44">#REF!</definedName>
    <definedName name="WinCalendar_Calendar_2" localSheetId="45">#REF!</definedName>
    <definedName name="WinCalendar_Calendar_2" localSheetId="46">#REF!</definedName>
    <definedName name="WinCalendar_Calendar_2" localSheetId="37">#REF!</definedName>
    <definedName name="WinCalendar_Calendar_2" localSheetId="40">#REF!</definedName>
    <definedName name="WinCalendar_Calendar_2" localSheetId="54">#REF!</definedName>
    <definedName name="WinCalendar_Calendar_2" localSheetId="55">#REF!</definedName>
    <definedName name="WinCalendar_Calendar_2" localSheetId="52">#REF!</definedName>
    <definedName name="WinCalendar_Calendar_2" localSheetId="51">#REF!</definedName>
    <definedName name="WinCalendar_Calendar_2" localSheetId="53">#REF!</definedName>
    <definedName name="WinCalendar_Calendar_2">#REF!</definedName>
    <definedName name="WKINTK" localSheetId="50">#REF!</definedName>
    <definedName name="WKINTK" localSheetId="47">#REF!</definedName>
    <definedName name="WKINTK" localSheetId="44">#REF!</definedName>
    <definedName name="WKINTK" localSheetId="45">#REF!</definedName>
    <definedName name="WKINTK" localSheetId="46">#REF!</definedName>
    <definedName name="WKINTK" localSheetId="37">#REF!</definedName>
    <definedName name="WKINTK" localSheetId="40">#REF!</definedName>
    <definedName name="WKINTK" localSheetId="54">#REF!</definedName>
    <definedName name="WKINTK" localSheetId="55">#REF!</definedName>
    <definedName name="WKINTK" localSheetId="52">#REF!</definedName>
    <definedName name="WKINTK" localSheetId="51">#REF!</definedName>
    <definedName name="WKINTK" localSheetId="53">#REF!</definedName>
    <definedName name="WKINTK">#REF!</definedName>
    <definedName name="WorkType" localSheetId="50">#REF!</definedName>
    <definedName name="WorkType" localSheetId="47">#REF!</definedName>
    <definedName name="WorkType" localSheetId="44">#REF!</definedName>
    <definedName name="WorkType" localSheetId="45">#REF!</definedName>
    <definedName name="WorkType" localSheetId="46">#REF!</definedName>
    <definedName name="WorkType" localSheetId="37">#REF!</definedName>
    <definedName name="WorkType" localSheetId="40">#REF!</definedName>
    <definedName name="WorkType" localSheetId="54">#REF!</definedName>
    <definedName name="WorkType" localSheetId="55">#REF!</definedName>
    <definedName name="WorkType" localSheetId="52">#REF!</definedName>
    <definedName name="WorkType" localSheetId="51">#REF!</definedName>
    <definedName name="WorkType" localSheetId="53">#REF!</definedName>
    <definedName name="WorkType">#REF!</definedName>
    <definedName name="WPCP33_D" localSheetId="50">#REF!</definedName>
    <definedName name="WPCP33_D" localSheetId="47">#REF!</definedName>
    <definedName name="WPCP33_D" localSheetId="44">#REF!</definedName>
    <definedName name="WPCP33_D" localSheetId="45">#REF!</definedName>
    <definedName name="WPCP33_D" localSheetId="46">#REF!</definedName>
    <definedName name="WPCP33_D" localSheetId="37">#REF!</definedName>
    <definedName name="WPCP33_D" localSheetId="40">#REF!</definedName>
    <definedName name="WPCP33_D" localSheetId="54">#REF!</definedName>
    <definedName name="WPCP33_D" localSheetId="55">#REF!</definedName>
    <definedName name="WPCP33_D" localSheetId="52">#REF!</definedName>
    <definedName name="WPCP33_D" localSheetId="51">#REF!</definedName>
    <definedName name="WPCP33_D" localSheetId="53">#REF!</definedName>
    <definedName name="WPCP33_D">#REF!</definedName>
    <definedName name="WPCP33pch" localSheetId="50">#REF!</definedName>
    <definedName name="WPCP33pch" localSheetId="47">#REF!</definedName>
    <definedName name="WPCP33pch" localSheetId="44">#REF!</definedName>
    <definedName name="WPCP33pch" localSheetId="45">#REF!</definedName>
    <definedName name="WPCP33pch" localSheetId="46">#REF!</definedName>
    <definedName name="WPCP33pch" localSheetId="37">#REF!</definedName>
    <definedName name="WPCP33pch" localSheetId="40">#REF!</definedName>
    <definedName name="WPCP33pch" localSheetId="54">#REF!</definedName>
    <definedName name="WPCP33pch" localSheetId="55">#REF!</definedName>
    <definedName name="WPCP33pch" localSheetId="52">#REF!</definedName>
    <definedName name="WPCP33pch" localSheetId="51">#REF!</definedName>
    <definedName name="WPCP33pch" localSheetId="53">#REF!</definedName>
    <definedName name="WPCP33pch">#REF!</definedName>
    <definedName name="wq">'[39]Estimation Metrics'!$C$41:$D$52</definedName>
    <definedName name="wrn.97REDBOP." localSheetId="58" hidden="1">{"TRADE_COMP",#N/A,FALSE,"TAB23APP";"BOP",#N/A,FALSE,"TAB6";"DOT",#N/A,FALSE,"TAB24APP";"EXTDEBT",#N/A,FALSE,"TAB25APP"}</definedName>
    <definedName name="wrn.97REDBOP." localSheetId="16" hidden="1">{"TRADE_COMP",#N/A,FALSE,"TAB23APP";"BOP",#N/A,FALSE,"TAB6";"DOT",#N/A,FALSE,"TAB24APP";"EXTDEBT",#N/A,FALSE,"TAB25APP"}</definedName>
    <definedName name="wrn.97REDBOP." localSheetId="50" hidden="1">{"TRADE_COMP",#N/A,FALSE,"TAB23APP";"BOP",#N/A,FALSE,"TAB6";"DOT",#N/A,FALSE,"TAB24APP";"EXTDEBT",#N/A,FALSE,"TAB25APP"}</definedName>
    <definedName name="wrn.97REDBOP." localSheetId="44" hidden="1">{"TRADE_COMP",#N/A,FALSE,"TAB23APP";"BOP",#N/A,FALSE,"TAB6";"DOT",#N/A,FALSE,"TAB24APP";"EXTDEBT",#N/A,FALSE,"TAB25APP"}</definedName>
    <definedName name="wrn.97REDBOP." localSheetId="59" hidden="1">{"TRADE_COMP",#N/A,FALSE,"TAB23APP";"BOP",#N/A,FALSE,"TAB6";"DOT",#N/A,FALSE,"TAB24APP";"EXTDEBT",#N/A,FALSE,"TAB25APP"}</definedName>
    <definedName name="wrn.97REDBOP." localSheetId="57" hidden="1">{"TRADE_COMP",#N/A,FALSE,"TAB23APP";"BOP",#N/A,FALSE,"TAB6";"DOT",#N/A,FALSE,"TAB24APP";"EXTDEBT",#N/A,FALSE,"TAB25APP"}</definedName>
    <definedName name="wrn.97REDBOP." localSheetId="56" hidden="1">{"TRADE_COMP",#N/A,FALSE,"TAB23APP";"BOP",#N/A,FALSE,"TAB6";"DOT",#N/A,FALSE,"TAB24APP";"EXTDEBT",#N/A,FALSE,"TAB25APP"}</definedName>
    <definedName name="wrn.97REDBOP." localSheetId="54" hidden="1">{"TRADE_COMP",#N/A,FALSE,"TAB23APP";"BOP",#N/A,FALSE,"TAB6";"DOT",#N/A,FALSE,"TAB24APP";"EXTDEBT",#N/A,FALSE,"TAB25APP"}</definedName>
    <definedName name="wrn.97REDBOP." localSheetId="52" hidden="1">{"TRADE_COMP",#N/A,FALSE,"TAB23APP";"BOP",#N/A,FALSE,"TAB6";"DOT",#N/A,FALSE,"TAB24APP";"EXTDEBT",#N/A,FALSE,"TAB25APP"}</definedName>
    <definedName name="wrn.97REDBOP." localSheetId="51" hidden="1">{"TRADE_COMP",#N/A,FALSE,"TAB23APP";"BOP",#N/A,FALSE,"TAB6";"DOT",#N/A,FALSE,"TAB24APP";"EXTDEBT",#N/A,FALSE,"TAB25APP"}</definedName>
    <definedName name="wrn.97REDBOP." localSheetId="60" hidden="1">{"TRADE_COMP",#N/A,FALSE,"TAB23APP";"BOP",#N/A,FALSE,"TAB6";"DOT",#N/A,FALSE,"TAB24APP";"EXTDEBT",#N/A,FALSE,"TAB25APP"}</definedName>
    <definedName name="wrn.97REDBOP." hidden="1">{"TRADE_COMP",#N/A,FALSE,"TAB23APP";"BOP",#N/A,FALSE,"TAB6";"DOT",#N/A,FALSE,"TAB24APP";"EXTDEBT",#N/A,FALSE,"TAB25APP"}</definedName>
    <definedName name="wrn.98RED." localSheetId="58"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16"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61"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62"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50"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63"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15"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1"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43"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29"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30"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44"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59"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13"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0"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57"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56"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54"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52"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23"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51"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53"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60"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ARMRED97." localSheetId="58"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16"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50"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44"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59"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57"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56"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54"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52"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51"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60"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BANKS." localSheetId="58" hidden="1">{#N/A,#N/A,FALSE,"BANKS"}</definedName>
    <definedName name="wrn.BANKS." localSheetId="16" hidden="1">{#N/A,#N/A,FALSE,"BANKS"}</definedName>
    <definedName name="wrn.BANKS." localSheetId="50" hidden="1">{#N/A,#N/A,FALSE,"BANKS"}</definedName>
    <definedName name="wrn.BANKS." localSheetId="44" hidden="1">{#N/A,#N/A,FALSE,"BANKS"}</definedName>
    <definedName name="wrn.BANKS." localSheetId="59" hidden="1">{#N/A,#N/A,FALSE,"BANKS"}</definedName>
    <definedName name="wrn.BANKS." localSheetId="57" hidden="1">{#N/A,#N/A,FALSE,"BANKS"}</definedName>
    <definedName name="wrn.BANKS." localSheetId="56" hidden="1">{#N/A,#N/A,FALSE,"BANKS"}</definedName>
    <definedName name="wrn.BANKS." localSheetId="54" hidden="1">{#N/A,#N/A,FALSE,"BANKS"}</definedName>
    <definedName name="wrn.BANKS." localSheetId="52" hidden="1">{#N/A,#N/A,FALSE,"BANKS"}</definedName>
    <definedName name="wrn.BANKS." localSheetId="51" hidden="1">{#N/A,#N/A,FALSE,"BANKS"}</definedName>
    <definedName name="wrn.BANKS." localSheetId="60" hidden="1">{#N/A,#N/A,FALSE,"BANKS"}</definedName>
    <definedName name="wrn.BANKS." hidden="1">{#N/A,#N/A,FALSE,"BANKS"}</definedName>
    <definedName name="wrn.BOP." localSheetId="58" hidden="1">{#N/A,#N/A,FALSE,"BOP"}</definedName>
    <definedName name="wrn.BOP." localSheetId="16" hidden="1">{#N/A,#N/A,FALSE,"BOP"}</definedName>
    <definedName name="wrn.BOP." localSheetId="50" hidden="1">{#N/A,#N/A,FALSE,"BOP"}</definedName>
    <definedName name="wrn.BOP." localSheetId="44" hidden="1">{#N/A,#N/A,FALSE,"BOP"}</definedName>
    <definedName name="wrn.BOP." localSheetId="59" hidden="1">{#N/A,#N/A,FALSE,"BOP"}</definedName>
    <definedName name="wrn.BOP." localSheetId="57" hidden="1">{#N/A,#N/A,FALSE,"BOP"}</definedName>
    <definedName name="wrn.BOP." localSheetId="56" hidden="1">{#N/A,#N/A,FALSE,"BOP"}</definedName>
    <definedName name="wrn.BOP." localSheetId="54" hidden="1">{#N/A,#N/A,FALSE,"BOP"}</definedName>
    <definedName name="wrn.BOP." localSheetId="52" hidden="1">{#N/A,#N/A,FALSE,"BOP"}</definedName>
    <definedName name="wrn.BOP." localSheetId="51" hidden="1">{#N/A,#N/A,FALSE,"BOP"}</definedName>
    <definedName name="wrn.BOP." localSheetId="60" hidden="1">{#N/A,#N/A,FALSE,"BOP"}</definedName>
    <definedName name="wrn.BOP." hidden="1">{#N/A,#N/A,FALSE,"BOP"}</definedName>
    <definedName name="wrn.BOP_MIDTERM." localSheetId="58" hidden="1">{"BOP_TAB",#N/A,FALSE,"N";"MIDTERM_TAB",#N/A,FALSE,"O"}</definedName>
    <definedName name="wrn.BOP_MIDTERM." localSheetId="16" hidden="1">{"BOP_TAB",#N/A,FALSE,"N";"MIDTERM_TAB",#N/A,FALSE,"O"}</definedName>
    <definedName name="wrn.BOP_MIDTERM." localSheetId="50" hidden="1">{"BOP_TAB",#N/A,FALSE,"N";"MIDTERM_TAB",#N/A,FALSE,"O"}</definedName>
    <definedName name="wrn.BOP_MIDTERM." localSheetId="44" hidden="1">{"BOP_TAB",#N/A,FALSE,"N";"MIDTERM_TAB",#N/A,FALSE,"O"}</definedName>
    <definedName name="wrn.BOP_MIDTERM." localSheetId="59" hidden="1">{"BOP_TAB",#N/A,FALSE,"N";"MIDTERM_TAB",#N/A,FALSE,"O"}</definedName>
    <definedName name="wrn.BOP_MIDTERM." localSheetId="57" hidden="1">{"BOP_TAB",#N/A,FALSE,"N";"MIDTERM_TAB",#N/A,FALSE,"O"}</definedName>
    <definedName name="wrn.BOP_MIDTERM." localSheetId="56" hidden="1">{"BOP_TAB",#N/A,FALSE,"N";"MIDTERM_TAB",#N/A,FALSE,"O"}</definedName>
    <definedName name="wrn.BOP_MIDTERM." localSheetId="54" hidden="1">{"BOP_TAB",#N/A,FALSE,"N";"MIDTERM_TAB",#N/A,FALSE,"O"}</definedName>
    <definedName name="wrn.BOP_MIDTERM." localSheetId="52" hidden="1">{"BOP_TAB",#N/A,FALSE,"N";"MIDTERM_TAB",#N/A,FALSE,"O"}</definedName>
    <definedName name="wrn.BOP_MIDTERM." localSheetId="51" hidden="1">{"BOP_TAB",#N/A,FALSE,"N";"MIDTERM_TAB",#N/A,FALSE,"O"}</definedName>
    <definedName name="wrn.BOP_MIDTERM." localSheetId="60" hidden="1">{"BOP_TAB",#N/A,FALSE,"N";"MIDTERM_TAB",#N/A,FALSE,"O"}</definedName>
    <definedName name="wrn.BOP_MIDTERM." hidden="1">{"BOP_TAB",#N/A,FALSE,"N";"MIDTERM_TAB",#N/A,FALSE,"O"}</definedName>
    <definedName name="wrn.CREDIT." localSheetId="58" hidden="1">{#N/A,#N/A,FALSE,"CREDIT"}</definedName>
    <definedName name="wrn.CREDIT." localSheetId="16" hidden="1">{#N/A,#N/A,FALSE,"CREDIT"}</definedName>
    <definedName name="wrn.CREDIT." localSheetId="50" hidden="1">{#N/A,#N/A,FALSE,"CREDIT"}</definedName>
    <definedName name="wrn.CREDIT." localSheetId="44" hidden="1">{#N/A,#N/A,FALSE,"CREDIT"}</definedName>
    <definedName name="wrn.CREDIT." localSheetId="59" hidden="1">{#N/A,#N/A,FALSE,"CREDIT"}</definedName>
    <definedName name="wrn.CREDIT." localSheetId="57" hidden="1">{#N/A,#N/A,FALSE,"CREDIT"}</definedName>
    <definedName name="wrn.CREDIT." localSheetId="56" hidden="1">{#N/A,#N/A,FALSE,"CREDIT"}</definedName>
    <definedName name="wrn.CREDIT." localSheetId="54" hidden="1">{#N/A,#N/A,FALSE,"CREDIT"}</definedName>
    <definedName name="wrn.CREDIT." localSheetId="52" hidden="1">{#N/A,#N/A,FALSE,"CREDIT"}</definedName>
    <definedName name="wrn.CREDIT." localSheetId="51" hidden="1">{#N/A,#N/A,FALSE,"CREDIT"}</definedName>
    <definedName name="wrn.CREDIT." localSheetId="60" hidden="1">{#N/A,#N/A,FALSE,"CREDIT"}</definedName>
    <definedName name="wrn.CREDIT." hidden="1">{#N/A,#N/A,FALSE,"CREDIT"}</definedName>
    <definedName name="wrn.DEBTSVC." localSheetId="58" hidden="1">{#N/A,#N/A,FALSE,"DEBTSVC"}</definedName>
    <definedName name="wrn.DEBTSVC." localSheetId="16" hidden="1">{#N/A,#N/A,FALSE,"DEBTSVC"}</definedName>
    <definedName name="wrn.DEBTSVC." localSheetId="50" hidden="1">{#N/A,#N/A,FALSE,"DEBTSVC"}</definedName>
    <definedName name="wrn.DEBTSVC." localSheetId="44" hidden="1">{#N/A,#N/A,FALSE,"DEBTSVC"}</definedName>
    <definedName name="wrn.DEBTSVC." localSheetId="59" hidden="1">{#N/A,#N/A,FALSE,"DEBTSVC"}</definedName>
    <definedName name="wrn.DEBTSVC." localSheetId="57" hidden="1">{#N/A,#N/A,FALSE,"DEBTSVC"}</definedName>
    <definedName name="wrn.DEBTSVC." localSheetId="56" hidden="1">{#N/A,#N/A,FALSE,"DEBTSVC"}</definedName>
    <definedName name="wrn.DEBTSVC." localSheetId="54" hidden="1">{#N/A,#N/A,FALSE,"DEBTSVC"}</definedName>
    <definedName name="wrn.DEBTSVC." localSheetId="52" hidden="1">{#N/A,#N/A,FALSE,"DEBTSVC"}</definedName>
    <definedName name="wrn.DEBTSVC." localSheetId="51" hidden="1">{#N/A,#N/A,FALSE,"DEBTSVC"}</definedName>
    <definedName name="wrn.DEBTSVC." localSheetId="60" hidden="1">{#N/A,#N/A,FALSE,"DEBTSVC"}</definedName>
    <definedName name="wrn.DEBTSVC." hidden="1">{#N/A,#N/A,FALSE,"DEBTSVC"}</definedName>
    <definedName name="wrn.DEPO." localSheetId="58" hidden="1">{#N/A,#N/A,FALSE,"DEPO"}</definedName>
    <definedName name="wrn.DEPO." localSheetId="16" hidden="1">{#N/A,#N/A,FALSE,"DEPO"}</definedName>
    <definedName name="wrn.DEPO." localSheetId="50" hidden="1">{#N/A,#N/A,FALSE,"DEPO"}</definedName>
    <definedName name="wrn.DEPO." localSheetId="44" hidden="1">{#N/A,#N/A,FALSE,"DEPO"}</definedName>
    <definedName name="wrn.DEPO." localSheetId="59" hidden="1">{#N/A,#N/A,FALSE,"DEPO"}</definedName>
    <definedName name="wrn.DEPO." localSheetId="57" hidden="1">{#N/A,#N/A,FALSE,"DEPO"}</definedName>
    <definedName name="wrn.DEPO." localSheetId="56" hidden="1">{#N/A,#N/A,FALSE,"DEPO"}</definedName>
    <definedName name="wrn.DEPO." localSheetId="54" hidden="1">{#N/A,#N/A,FALSE,"DEPO"}</definedName>
    <definedName name="wrn.DEPO." localSheetId="52" hidden="1">{#N/A,#N/A,FALSE,"DEPO"}</definedName>
    <definedName name="wrn.DEPO." localSheetId="51" hidden="1">{#N/A,#N/A,FALSE,"DEPO"}</definedName>
    <definedName name="wrn.DEPO." localSheetId="60" hidden="1">{#N/A,#N/A,FALSE,"DEPO"}</definedName>
    <definedName name="wrn.DEPO." hidden="1">{#N/A,#N/A,FALSE,"DEPO"}</definedName>
    <definedName name="wrn.EXCISE." localSheetId="58" hidden="1">{#N/A,#N/A,FALSE,"EXCISE"}</definedName>
    <definedName name="wrn.EXCISE." localSheetId="16" hidden="1">{#N/A,#N/A,FALSE,"EXCISE"}</definedName>
    <definedName name="wrn.EXCISE." localSheetId="50" hidden="1">{#N/A,#N/A,FALSE,"EXCISE"}</definedName>
    <definedName name="wrn.EXCISE." localSheetId="44" hidden="1">{#N/A,#N/A,FALSE,"EXCISE"}</definedName>
    <definedName name="wrn.EXCISE." localSheetId="59" hidden="1">{#N/A,#N/A,FALSE,"EXCISE"}</definedName>
    <definedName name="wrn.EXCISE." localSheetId="57" hidden="1">{#N/A,#N/A,FALSE,"EXCISE"}</definedName>
    <definedName name="wrn.EXCISE." localSheetId="56" hidden="1">{#N/A,#N/A,FALSE,"EXCISE"}</definedName>
    <definedName name="wrn.EXCISE." localSheetId="54" hidden="1">{#N/A,#N/A,FALSE,"EXCISE"}</definedName>
    <definedName name="wrn.EXCISE." localSheetId="52" hidden="1">{#N/A,#N/A,FALSE,"EXCISE"}</definedName>
    <definedName name="wrn.EXCISE." localSheetId="51" hidden="1">{#N/A,#N/A,FALSE,"EXCISE"}</definedName>
    <definedName name="wrn.EXCISE." localSheetId="60" hidden="1">{#N/A,#N/A,FALSE,"EXCISE"}</definedName>
    <definedName name="wrn.EXCISE." hidden="1">{#N/A,#N/A,FALSE,"EXCISE"}</definedName>
    <definedName name="wrn.EXRATE." localSheetId="58" hidden="1">{#N/A,#N/A,FALSE,"EXRATE"}</definedName>
    <definedName name="wrn.EXRATE." localSheetId="16" hidden="1">{#N/A,#N/A,FALSE,"EXRATE"}</definedName>
    <definedName name="wrn.EXRATE." localSheetId="50" hidden="1">{#N/A,#N/A,FALSE,"EXRATE"}</definedName>
    <definedName name="wrn.EXRATE." localSheetId="44" hidden="1">{#N/A,#N/A,FALSE,"EXRATE"}</definedName>
    <definedName name="wrn.EXRATE." localSheetId="59" hidden="1">{#N/A,#N/A,FALSE,"EXRATE"}</definedName>
    <definedName name="wrn.EXRATE." localSheetId="57" hidden="1">{#N/A,#N/A,FALSE,"EXRATE"}</definedName>
    <definedName name="wrn.EXRATE." localSheetId="56" hidden="1">{#N/A,#N/A,FALSE,"EXRATE"}</definedName>
    <definedName name="wrn.EXRATE." localSheetId="54" hidden="1">{#N/A,#N/A,FALSE,"EXRATE"}</definedName>
    <definedName name="wrn.EXRATE." localSheetId="52" hidden="1">{#N/A,#N/A,FALSE,"EXRATE"}</definedName>
    <definedName name="wrn.EXRATE." localSheetId="51" hidden="1">{#N/A,#N/A,FALSE,"EXRATE"}</definedName>
    <definedName name="wrn.EXRATE." localSheetId="60" hidden="1">{#N/A,#N/A,FALSE,"EXRATE"}</definedName>
    <definedName name="wrn.EXRATE." hidden="1">{#N/A,#N/A,FALSE,"EXRATE"}</definedName>
    <definedName name="wrn.EXTDEBT." localSheetId="58" hidden="1">{#N/A,#N/A,FALSE,"EXTDEBT"}</definedName>
    <definedName name="wrn.EXTDEBT." localSheetId="16" hidden="1">{#N/A,#N/A,FALSE,"EXTDEBT"}</definedName>
    <definedName name="wrn.EXTDEBT." localSheetId="50" hidden="1">{#N/A,#N/A,FALSE,"EXTDEBT"}</definedName>
    <definedName name="wrn.EXTDEBT." localSheetId="44" hidden="1">{#N/A,#N/A,FALSE,"EXTDEBT"}</definedName>
    <definedName name="wrn.EXTDEBT." localSheetId="59" hidden="1">{#N/A,#N/A,FALSE,"EXTDEBT"}</definedName>
    <definedName name="wrn.EXTDEBT." localSheetId="57" hidden="1">{#N/A,#N/A,FALSE,"EXTDEBT"}</definedName>
    <definedName name="wrn.EXTDEBT." localSheetId="56" hidden="1">{#N/A,#N/A,FALSE,"EXTDEBT"}</definedName>
    <definedName name="wrn.EXTDEBT." localSheetId="54" hidden="1">{#N/A,#N/A,FALSE,"EXTDEBT"}</definedName>
    <definedName name="wrn.EXTDEBT." localSheetId="52" hidden="1">{#N/A,#N/A,FALSE,"EXTDEBT"}</definedName>
    <definedName name="wrn.EXTDEBT." localSheetId="51" hidden="1">{#N/A,#N/A,FALSE,"EXTDEBT"}</definedName>
    <definedName name="wrn.EXTDEBT." localSheetId="60" hidden="1">{#N/A,#N/A,FALSE,"EXTDEBT"}</definedName>
    <definedName name="wrn.EXTDEBT." hidden="1">{#N/A,#N/A,FALSE,"EXTDEBT"}</definedName>
    <definedName name="wrn.EXTRABUDGT." localSheetId="58" hidden="1">{#N/A,#N/A,FALSE,"EXTRABUDGT"}</definedName>
    <definedName name="wrn.EXTRABUDGT." localSheetId="16" hidden="1">{#N/A,#N/A,FALSE,"EXTRABUDGT"}</definedName>
    <definedName name="wrn.EXTRABUDGT." localSheetId="50" hidden="1">{#N/A,#N/A,FALSE,"EXTRABUDGT"}</definedName>
    <definedName name="wrn.EXTRABUDGT." localSheetId="44" hidden="1">{#N/A,#N/A,FALSE,"EXTRABUDGT"}</definedName>
    <definedName name="wrn.EXTRABUDGT." localSheetId="59" hidden="1">{#N/A,#N/A,FALSE,"EXTRABUDGT"}</definedName>
    <definedName name="wrn.EXTRABUDGT." localSheetId="57" hidden="1">{#N/A,#N/A,FALSE,"EXTRABUDGT"}</definedName>
    <definedName name="wrn.EXTRABUDGT." localSheetId="56" hidden="1">{#N/A,#N/A,FALSE,"EXTRABUDGT"}</definedName>
    <definedName name="wrn.EXTRABUDGT." localSheetId="54" hidden="1">{#N/A,#N/A,FALSE,"EXTRABUDGT"}</definedName>
    <definedName name="wrn.EXTRABUDGT." localSheetId="52" hidden="1">{#N/A,#N/A,FALSE,"EXTRABUDGT"}</definedName>
    <definedName name="wrn.EXTRABUDGT." localSheetId="51" hidden="1">{#N/A,#N/A,FALSE,"EXTRABUDGT"}</definedName>
    <definedName name="wrn.EXTRABUDGT." localSheetId="60" hidden="1">{#N/A,#N/A,FALSE,"EXTRABUDGT"}</definedName>
    <definedName name="wrn.EXTRABUDGT." hidden="1">{#N/A,#N/A,FALSE,"EXTRABUDGT"}</definedName>
    <definedName name="wrn.EXTRABUDGT2." localSheetId="58" hidden="1">{#N/A,#N/A,FALSE,"EXTRABUDGT2"}</definedName>
    <definedName name="wrn.EXTRABUDGT2." localSheetId="16" hidden="1">{#N/A,#N/A,FALSE,"EXTRABUDGT2"}</definedName>
    <definedName name="wrn.EXTRABUDGT2." localSheetId="50" hidden="1">{#N/A,#N/A,FALSE,"EXTRABUDGT2"}</definedName>
    <definedName name="wrn.EXTRABUDGT2." localSheetId="44" hidden="1">{#N/A,#N/A,FALSE,"EXTRABUDGT2"}</definedName>
    <definedName name="wrn.EXTRABUDGT2." localSheetId="59" hidden="1">{#N/A,#N/A,FALSE,"EXTRABUDGT2"}</definedName>
    <definedName name="wrn.EXTRABUDGT2." localSheetId="57" hidden="1">{#N/A,#N/A,FALSE,"EXTRABUDGT2"}</definedName>
    <definedName name="wrn.EXTRABUDGT2." localSheetId="56" hidden="1">{#N/A,#N/A,FALSE,"EXTRABUDGT2"}</definedName>
    <definedName name="wrn.EXTRABUDGT2." localSheetId="54" hidden="1">{#N/A,#N/A,FALSE,"EXTRABUDGT2"}</definedName>
    <definedName name="wrn.EXTRABUDGT2." localSheetId="52" hidden="1">{#N/A,#N/A,FALSE,"EXTRABUDGT2"}</definedName>
    <definedName name="wrn.EXTRABUDGT2." localSheetId="51" hidden="1">{#N/A,#N/A,FALSE,"EXTRABUDGT2"}</definedName>
    <definedName name="wrn.EXTRABUDGT2." localSheetId="60" hidden="1">{#N/A,#N/A,FALSE,"EXTRABUDGT2"}</definedName>
    <definedName name="wrn.EXTRABUDGT2." hidden="1">{#N/A,#N/A,FALSE,"EXTRABUDGT2"}</definedName>
    <definedName name="wrn.FISCRED97." localSheetId="58"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16"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50"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44"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59"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57"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56"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54"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52"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51"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60" hidden="1">{"CONSOLIDATED",#N/A,FALSE,"TAB2";"CONSOL_GDP",#N/A,FALSE,"TAB3";"STATE_OP",#N/A,FALSE,"TAB13APP";"STATE_GDP",#N/A,FALSE,"TAB14APP";"TAXREV",#N/A,FALSE,"TAB15APP";"CURREXP",#N/A,FALSE,"TAB16APP";"PEF",#N/A,FALSE,"TAB17APP";"PEF_GDP",#N/A,FALSE,"TAB18APP";"PENSION_AVG",#N/A,FALSE,"TAB19APP";"BENEFIT_UNEMP",#N/A,FALSE,"TAB20APP"}</definedName>
    <definedName name="wrn.FISCRED97." hidden="1">{"CONSOLIDATED",#N/A,FALSE,"TAB2";"CONSOL_GDP",#N/A,FALSE,"TAB3";"STATE_OP",#N/A,FALSE,"TAB13APP";"STATE_GDP",#N/A,FALSE,"TAB14APP";"TAXREV",#N/A,FALSE,"TAB15APP";"CURREXP",#N/A,FALSE,"TAB16APP";"PEF",#N/A,FALSE,"TAB17APP";"PEF_GDP",#N/A,FALSE,"TAB18APP";"PENSION_AVG",#N/A,FALSE,"TAB19APP";"BENEFIT_UNEMP",#N/A,FALSE,"TAB20APP"}</definedName>
    <definedName name="wrn.GDP." localSheetId="58" hidden="1">{#N/A,#N/A,FALSE,"GDP_ORIGIN";#N/A,#N/A,FALSE,"EMP_POP"}</definedName>
    <definedName name="wrn.GDP." localSheetId="16" hidden="1">{#N/A,#N/A,FALSE,"GDP_ORIGIN";#N/A,#N/A,FALSE,"EMP_POP"}</definedName>
    <definedName name="wrn.GDP." localSheetId="50" hidden="1">{#N/A,#N/A,FALSE,"GDP_ORIGIN";#N/A,#N/A,FALSE,"EMP_POP"}</definedName>
    <definedName name="wrn.GDP." localSheetId="44" hidden="1">{#N/A,#N/A,FALSE,"GDP_ORIGIN";#N/A,#N/A,FALSE,"EMP_POP"}</definedName>
    <definedName name="wrn.GDP." localSheetId="59" hidden="1">{#N/A,#N/A,FALSE,"GDP_ORIGIN";#N/A,#N/A,FALSE,"EMP_POP"}</definedName>
    <definedName name="wrn.GDP." localSheetId="57" hidden="1">{#N/A,#N/A,FALSE,"GDP_ORIGIN";#N/A,#N/A,FALSE,"EMP_POP"}</definedName>
    <definedName name="wrn.GDP." localSheetId="56" hidden="1">{#N/A,#N/A,FALSE,"GDP_ORIGIN";#N/A,#N/A,FALSE,"EMP_POP"}</definedName>
    <definedName name="wrn.GDP." localSheetId="54" hidden="1">{#N/A,#N/A,FALSE,"GDP_ORIGIN";#N/A,#N/A,FALSE,"EMP_POP"}</definedName>
    <definedName name="wrn.GDP." localSheetId="52" hidden="1">{#N/A,#N/A,FALSE,"GDP_ORIGIN";#N/A,#N/A,FALSE,"EMP_POP"}</definedName>
    <definedName name="wrn.GDP." localSheetId="51" hidden="1">{#N/A,#N/A,FALSE,"GDP_ORIGIN";#N/A,#N/A,FALSE,"EMP_POP"}</definedName>
    <definedName name="wrn.GDP." localSheetId="60" hidden="1">{#N/A,#N/A,FALSE,"GDP_ORIGIN";#N/A,#N/A,FALSE,"EMP_POP"}</definedName>
    <definedName name="wrn.GDP." hidden="1">{#N/A,#N/A,FALSE,"GDP_ORIGIN";#N/A,#N/A,FALSE,"EMP_POP"}</definedName>
    <definedName name="wrn.GGOVT." localSheetId="58" hidden="1">{#N/A,#N/A,FALSE,"GGOVT"}</definedName>
    <definedName name="wrn.GGOVT." localSheetId="16" hidden="1">{#N/A,#N/A,FALSE,"GGOVT"}</definedName>
    <definedName name="wrn.GGOVT." localSheetId="50" hidden="1">{#N/A,#N/A,FALSE,"GGOVT"}</definedName>
    <definedName name="wrn.GGOVT." localSheetId="44" hidden="1">{#N/A,#N/A,FALSE,"GGOVT"}</definedName>
    <definedName name="wrn.GGOVT." localSheetId="59" hidden="1">{#N/A,#N/A,FALSE,"GGOVT"}</definedName>
    <definedName name="wrn.GGOVT." localSheetId="57" hidden="1">{#N/A,#N/A,FALSE,"GGOVT"}</definedName>
    <definedName name="wrn.GGOVT." localSheetId="56" hidden="1">{#N/A,#N/A,FALSE,"GGOVT"}</definedName>
    <definedName name="wrn.GGOVT." localSheetId="54" hidden="1">{#N/A,#N/A,FALSE,"GGOVT"}</definedName>
    <definedName name="wrn.GGOVT." localSheetId="52" hidden="1">{#N/A,#N/A,FALSE,"GGOVT"}</definedName>
    <definedName name="wrn.GGOVT." localSheetId="51" hidden="1">{#N/A,#N/A,FALSE,"GGOVT"}</definedName>
    <definedName name="wrn.GGOVT." localSheetId="60" hidden="1">{#N/A,#N/A,FALSE,"GGOVT"}</definedName>
    <definedName name="wrn.GGOVT." hidden="1">{#N/A,#N/A,FALSE,"GGOVT"}</definedName>
    <definedName name="wrn.GGOVT2." localSheetId="58" hidden="1">{#N/A,#N/A,FALSE,"GGOVT2"}</definedName>
    <definedName name="wrn.GGOVT2." localSheetId="16" hidden="1">{#N/A,#N/A,FALSE,"GGOVT2"}</definedName>
    <definedName name="wrn.GGOVT2." localSheetId="50" hidden="1">{#N/A,#N/A,FALSE,"GGOVT2"}</definedName>
    <definedName name="wrn.GGOVT2." localSheetId="44" hidden="1">{#N/A,#N/A,FALSE,"GGOVT2"}</definedName>
    <definedName name="wrn.GGOVT2." localSheetId="59" hidden="1">{#N/A,#N/A,FALSE,"GGOVT2"}</definedName>
    <definedName name="wrn.GGOVT2." localSheetId="57" hidden="1">{#N/A,#N/A,FALSE,"GGOVT2"}</definedName>
    <definedName name="wrn.GGOVT2." localSheetId="56" hidden="1">{#N/A,#N/A,FALSE,"GGOVT2"}</definedName>
    <definedName name="wrn.GGOVT2." localSheetId="54" hidden="1">{#N/A,#N/A,FALSE,"GGOVT2"}</definedName>
    <definedName name="wrn.GGOVT2." localSheetId="52" hidden="1">{#N/A,#N/A,FALSE,"GGOVT2"}</definedName>
    <definedName name="wrn.GGOVT2." localSheetId="51" hidden="1">{#N/A,#N/A,FALSE,"GGOVT2"}</definedName>
    <definedName name="wrn.GGOVT2." localSheetId="60" hidden="1">{#N/A,#N/A,FALSE,"GGOVT2"}</definedName>
    <definedName name="wrn.GGOVT2." hidden="1">{#N/A,#N/A,FALSE,"GGOVT2"}</definedName>
    <definedName name="wrn.GGOVTPC." localSheetId="58" hidden="1">{#N/A,#N/A,FALSE,"GGOVT%"}</definedName>
    <definedName name="wrn.GGOVTPC." localSheetId="16" hidden="1">{#N/A,#N/A,FALSE,"GGOVT%"}</definedName>
    <definedName name="wrn.GGOVTPC." localSheetId="50" hidden="1">{#N/A,#N/A,FALSE,"GGOVT%"}</definedName>
    <definedName name="wrn.GGOVTPC." localSheetId="44" hidden="1">{#N/A,#N/A,FALSE,"GGOVT%"}</definedName>
    <definedName name="wrn.GGOVTPC." localSheetId="59" hidden="1">{#N/A,#N/A,FALSE,"GGOVT%"}</definedName>
    <definedName name="wrn.GGOVTPC." localSheetId="57" hidden="1">{#N/A,#N/A,FALSE,"GGOVT%"}</definedName>
    <definedName name="wrn.GGOVTPC." localSheetId="56" hidden="1">{#N/A,#N/A,FALSE,"GGOVT%"}</definedName>
    <definedName name="wrn.GGOVTPC." localSheetId="54" hidden="1">{#N/A,#N/A,FALSE,"GGOVT%"}</definedName>
    <definedName name="wrn.GGOVTPC." localSheetId="52" hidden="1">{#N/A,#N/A,FALSE,"GGOVT%"}</definedName>
    <definedName name="wrn.GGOVTPC." localSheetId="51" hidden="1">{#N/A,#N/A,FALSE,"GGOVT%"}</definedName>
    <definedName name="wrn.GGOVTPC." localSheetId="60" hidden="1">{#N/A,#N/A,FALSE,"GGOVT%"}</definedName>
    <definedName name="wrn.GGOVTPC." hidden="1">{#N/A,#N/A,FALSE,"GGOVT%"}</definedName>
    <definedName name="wrn.INCOMETX." localSheetId="58" hidden="1">{#N/A,#N/A,FALSE,"INCOMETX"}</definedName>
    <definedName name="wrn.INCOMETX." localSheetId="16" hidden="1">{#N/A,#N/A,FALSE,"INCOMETX"}</definedName>
    <definedName name="wrn.INCOMETX." localSheetId="50" hidden="1">{#N/A,#N/A,FALSE,"INCOMETX"}</definedName>
    <definedName name="wrn.INCOMETX." localSheetId="44" hidden="1">{#N/A,#N/A,FALSE,"INCOMETX"}</definedName>
    <definedName name="wrn.INCOMETX." localSheetId="59" hidden="1">{#N/A,#N/A,FALSE,"INCOMETX"}</definedName>
    <definedName name="wrn.INCOMETX." localSheetId="57" hidden="1">{#N/A,#N/A,FALSE,"INCOMETX"}</definedName>
    <definedName name="wrn.INCOMETX." localSheetId="56" hidden="1">{#N/A,#N/A,FALSE,"INCOMETX"}</definedName>
    <definedName name="wrn.INCOMETX." localSheetId="54" hidden="1">{#N/A,#N/A,FALSE,"INCOMETX"}</definedName>
    <definedName name="wrn.INCOMETX." localSheetId="52" hidden="1">{#N/A,#N/A,FALSE,"INCOMETX"}</definedName>
    <definedName name="wrn.INCOMETX." localSheetId="51" hidden="1">{#N/A,#N/A,FALSE,"INCOMETX"}</definedName>
    <definedName name="wrn.INCOMETX." localSheetId="60" hidden="1">{#N/A,#N/A,FALSE,"INCOMETX"}</definedName>
    <definedName name="wrn.INCOMETX." hidden="1">{#N/A,#N/A,FALSE,"INCOMETX"}</definedName>
    <definedName name="wrn.Input._.and._.output._.tables." localSheetId="58" hidden="1">{#N/A,#N/A,FALSE,"SimInp1";#N/A,#N/A,FALSE,"SimInp2";#N/A,#N/A,FALSE,"SimOut1";#N/A,#N/A,FALSE,"SimOut2";#N/A,#N/A,FALSE,"SimOut3";#N/A,#N/A,FALSE,"SimOut4";#N/A,#N/A,FALSE,"SimOut5"}</definedName>
    <definedName name="wrn.Input._.and._.output._.tables." localSheetId="16" hidden="1">{#N/A,#N/A,FALSE,"SimInp1";#N/A,#N/A,FALSE,"SimInp2";#N/A,#N/A,FALSE,"SimOut1";#N/A,#N/A,FALSE,"SimOut2";#N/A,#N/A,FALSE,"SimOut3";#N/A,#N/A,FALSE,"SimOut4";#N/A,#N/A,FALSE,"SimOut5"}</definedName>
    <definedName name="wrn.Input._.and._.output._.tables." localSheetId="50" hidden="1">{#N/A,#N/A,FALSE,"SimInp1";#N/A,#N/A,FALSE,"SimInp2";#N/A,#N/A,FALSE,"SimOut1";#N/A,#N/A,FALSE,"SimOut2";#N/A,#N/A,FALSE,"SimOut3";#N/A,#N/A,FALSE,"SimOut4";#N/A,#N/A,FALSE,"SimOut5"}</definedName>
    <definedName name="wrn.Input._.and._.output._.tables." localSheetId="44" hidden="1">{#N/A,#N/A,FALSE,"SimInp1";#N/A,#N/A,FALSE,"SimInp2";#N/A,#N/A,FALSE,"SimOut1";#N/A,#N/A,FALSE,"SimOut2";#N/A,#N/A,FALSE,"SimOut3";#N/A,#N/A,FALSE,"SimOut4";#N/A,#N/A,FALSE,"SimOut5"}</definedName>
    <definedName name="wrn.Input._.and._.output._.tables." localSheetId="59" hidden="1">{#N/A,#N/A,FALSE,"SimInp1";#N/A,#N/A,FALSE,"SimInp2";#N/A,#N/A,FALSE,"SimOut1";#N/A,#N/A,FALSE,"SimOut2";#N/A,#N/A,FALSE,"SimOut3";#N/A,#N/A,FALSE,"SimOut4";#N/A,#N/A,FALSE,"SimOut5"}</definedName>
    <definedName name="wrn.Input._.and._.output._.tables." localSheetId="57" hidden="1">{#N/A,#N/A,FALSE,"SimInp1";#N/A,#N/A,FALSE,"SimInp2";#N/A,#N/A,FALSE,"SimOut1";#N/A,#N/A,FALSE,"SimOut2";#N/A,#N/A,FALSE,"SimOut3";#N/A,#N/A,FALSE,"SimOut4";#N/A,#N/A,FALSE,"SimOut5"}</definedName>
    <definedName name="wrn.Input._.and._.output._.tables." localSheetId="56" hidden="1">{#N/A,#N/A,FALSE,"SimInp1";#N/A,#N/A,FALSE,"SimInp2";#N/A,#N/A,FALSE,"SimOut1";#N/A,#N/A,FALSE,"SimOut2";#N/A,#N/A,FALSE,"SimOut3";#N/A,#N/A,FALSE,"SimOut4";#N/A,#N/A,FALSE,"SimOut5"}</definedName>
    <definedName name="wrn.Input._.and._.output._.tables." localSheetId="54" hidden="1">{#N/A,#N/A,FALSE,"SimInp1";#N/A,#N/A,FALSE,"SimInp2";#N/A,#N/A,FALSE,"SimOut1";#N/A,#N/A,FALSE,"SimOut2";#N/A,#N/A,FALSE,"SimOut3";#N/A,#N/A,FALSE,"SimOut4";#N/A,#N/A,FALSE,"SimOut5"}</definedName>
    <definedName name="wrn.Input._.and._.output._.tables." localSheetId="52" hidden="1">{#N/A,#N/A,FALSE,"SimInp1";#N/A,#N/A,FALSE,"SimInp2";#N/A,#N/A,FALSE,"SimOut1";#N/A,#N/A,FALSE,"SimOut2";#N/A,#N/A,FALSE,"SimOut3";#N/A,#N/A,FALSE,"SimOut4";#N/A,#N/A,FALSE,"SimOut5"}</definedName>
    <definedName name="wrn.Input._.and._.output._.tables." localSheetId="51" hidden="1">{#N/A,#N/A,FALSE,"SimInp1";#N/A,#N/A,FALSE,"SimInp2";#N/A,#N/A,FALSE,"SimOut1";#N/A,#N/A,FALSE,"SimOut2";#N/A,#N/A,FALSE,"SimOut3";#N/A,#N/A,FALSE,"SimOut4";#N/A,#N/A,FALSE,"SimOut5"}</definedName>
    <definedName name="wrn.Input._.and._.output._.tables." localSheetId="60" hidden="1">{#N/A,#N/A,FALSE,"SimInp1";#N/A,#N/A,FALSE,"SimInp2";#N/A,#N/A,FALSE,"SimOut1";#N/A,#N/A,FALSE,"SimOut2";#N/A,#N/A,FALSE,"SimOut3";#N/A,#N/A,FALSE,"SimOut4";#N/A,#N/A,FALSE,"SimOut5"}</definedName>
    <definedName name="wrn.Input._.and._.output._.tables." hidden="1">{#N/A,#N/A,FALSE,"SimInp1";#N/A,#N/A,FALSE,"SimInp2";#N/A,#N/A,FALSE,"SimOut1";#N/A,#N/A,FALSE,"SimOut2";#N/A,#N/A,FALSE,"SimOut3";#N/A,#N/A,FALSE,"SimOut4";#N/A,#N/A,FALSE,"SimOut5"}</definedName>
    <definedName name="wrn.INTERST." localSheetId="58" hidden="1">{#N/A,#N/A,FALSE,"INTERST"}</definedName>
    <definedName name="wrn.INTERST." localSheetId="16" hidden="1">{#N/A,#N/A,FALSE,"INTERST"}</definedName>
    <definedName name="wrn.INTERST." localSheetId="50" hidden="1">{#N/A,#N/A,FALSE,"INTERST"}</definedName>
    <definedName name="wrn.INTERST." localSheetId="44" hidden="1">{#N/A,#N/A,FALSE,"INTERST"}</definedName>
    <definedName name="wrn.INTERST." localSheetId="59" hidden="1">{#N/A,#N/A,FALSE,"INTERST"}</definedName>
    <definedName name="wrn.INTERST." localSheetId="57" hidden="1">{#N/A,#N/A,FALSE,"INTERST"}</definedName>
    <definedName name="wrn.INTERST." localSheetId="56" hidden="1">{#N/A,#N/A,FALSE,"INTERST"}</definedName>
    <definedName name="wrn.INTERST." localSheetId="54" hidden="1">{#N/A,#N/A,FALSE,"INTERST"}</definedName>
    <definedName name="wrn.INTERST." localSheetId="52" hidden="1">{#N/A,#N/A,FALSE,"INTERST"}</definedName>
    <definedName name="wrn.INTERST." localSheetId="51" hidden="1">{#N/A,#N/A,FALSE,"INTERST"}</definedName>
    <definedName name="wrn.INTERST." localSheetId="60" hidden="1">{#N/A,#N/A,FALSE,"INTERST"}</definedName>
    <definedName name="wrn.INTERST." hidden="1">{#N/A,#N/A,FALSE,"INTERST"}</definedName>
    <definedName name="wrn.MDABOP." localSheetId="58" hidden="1">{"BOP_TAB",#N/A,FALSE,"N";"MIDTERM_TAB",#N/A,FALSE,"O";"FUND_CRED",#N/A,FALSE,"P";"DEBT_TAB1",#N/A,FALSE,"Q";"DEBT_TAB2",#N/A,FALSE,"Q";"FORFIN_TAB1",#N/A,FALSE,"R";"FORFIN_TAB2",#N/A,FALSE,"R";"BOP_ANALY",#N/A,FALSE,"U"}</definedName>
    <definedName name="wrn.MDABOP." localSheetId="16" hidden="1">{"BOP_TAB",#N/A,FALSE,"N";"MIDTERM_TAB",#N/A,FALSE,"O";"FUND_CRED",#N/A,FALSE,"P";"DEBT_TAB1",#N/A,FALSE,"Q";"DEBT_TAB2",#N/A,FALSE,"Q";"FORFIN_TAB1",#N/A,FALSE,"R";"FORFIN_TAB2",#N/A,FALSE,"R";"BOP_ANALY",#N/A,FALSE,"U"}</definedName>
    <definedName name="wrn.MDABOP." localSheetId="50" hidden="1">{"BOP_TAB",#N/A,FALSE,"N";"MIDTERM_TAB",#N/A,FALSE,"O";"FUND_CRED",#N/A,FALSE,"P";"DEBT_TAB1",#N/A,FALSE,"Q";"DEBT_TAB2",#N/A,FALSE,"Q";"FORFIN_TAB1",#N/A,FALSE,"R";"FORFIN_TAB2",#N/A,FALSE,"R";"BOP_ANALY",#N/A,FALSE,"U"}</definedName>
    <definedName name="wrn.MDABOP." localSheetId="44" hidden="1">{"BOP_TAB",#N/A,FALSE,"N";"MIDTERM_TAB",#N/A,FALSE,"O";"FUND_CRED",#N/A,FALSE,"P";"DEBT_TAB1",#N/A,FALSE,"Q";"DEBT_TAB2",#N/A,FALSE,"Q";"FORFIN_TAB1",#N/A,FALSE,"R";"FORFIN_TAB2",#N/A,FALSE,"R";"BOP_ANALY",#N/A,FALSE,"U"}</definedName>
    <definedName name="wrn.MDABOP." localSheetId="59" hidden="1">{"BOP_TAB",#N/A,FALSE,"N";"MIDTERM_TAB",#N/A,FALSE,"O";"FUND_CRED",#N/A,FALSE,"P";"DEBT_TAB1",#N/A,FALSE,"Q";"DEBT_TAB2",#N/A,FALSE,"Q";"FORFIN_TAB1",#N/A,FALSE,"R";"FORFIN_TAB2",#N/A,FALSE,"R";"BOP_ANALY",#N/A,FALSE,"U"}</definedName>
    <definedName name="wrn.MDABOP." localSheetId="57" hidden="1">{"BOP_TAB",#N/A,FALSE,"N";"MIDTERM_TAB",#N/A,FALSE,"O";"FUND_CRED",#N/A,FALSE,"P";"DEBT_TAB1",#N/A,FALSE,"Q";"DEBT_TAB2",#N/A,FALSE,"Q";"FORFIN_TAB1",#N/A,FALSE,"R";"FORFIN_TAB2",#N/A,FALSE,"R";"BOP_ANALY",#N/A,FALSE,"U"}</definedName>
    <definedName name="wrn.MDABOP." localSheetId="56" hidden="1">{"BOP_TAB",#N/A,FALSE,"N";"MIDTERM_TAB",#N/A,FALSE,"O";"FUND_CRED",#N/A,FALSE,"P";"DEBT_TAB1",#N/A,FALSE,"Q";"DEBT_TAB2",#N/A,FALSE,"Q";"FORFIN_TAB1",#N/A,FALSE,"R";"FORFIN_TAB2",#N/A,FALSE,"R";"BOP_ANALY",#N/A,FALSE,"U"}</definedName>
    <definedName name="wrn.MDABOP." localSheetId="54" hidden="1">{"BOP_TAB",#N/A,FALSE,"N";"MIDTERM_TAB",#N/A,FALSE,"O";"FUND_CRED",#N/A,FALSE,"P";"DEBT_TAB1",#N/A,FALSE,"Q";"DEBT_TAB2",#N/A,FALSE,"Q";"FORFIN_TAB1",#N/A,FALSE,"R";"FORFIN_TAB2",#N/A,FALSE,"R";"BOP_ANALY",#N/A,FALSE,"U"}</definedName>
    <definedName name="wrn.MDABOP." localSheetId="52" hidden="1">{"BOP_TAB",#N/A,FALSE,"N";"MIDTERM_TAB",#N/A,FALSE,"O";"FUND_CRED",#N/A,FALSE,"P";"DEBT_TAB1",#N/A,FALSE,"Q";"DEBT_TAB2",#N/A,FALSE,"Q";"FORFIN_TAB1",#N/A,FALSE,"R";"FORFIN_TAB2",#N/A,FALSE,"R";"BOP_ANALY",#N/A,FALSE,"U"}</definedName>
    <definedName name="wrn.MDABOP." localSheetId="51" hidden="1">{"BOP_TAB",#N/A,FALSE,"N";"MIDTERM_TAB",#N/A,FALSE,"O";"FUND_CRED",#N/A,FALSE,"P";"DEBT_TAB1",#N/A,FALSE,"Q";"DEBT_TAB2",#N/A,FALSE,"Q";"FORFIN_TAB1",#N/A,FALSE,"R";"FORFIN_TAB2",#N/A,FALSE,"R";"BOP_ANALY",#N/A,FALSE,"U"}</definedName>
    <definedName name="wrn.MDABOP." localSheetId="60" hidden="1">{"BOP_TAB",#N/A,FALSE,"N";"MIDTERM_TAB",#N/A,FALSE,"O";"FUND_CRED",#N/A,FALSE,"P";"DEBT_TAB1",#N/A,FALSE,"Q";"DEBT_TAB2",#N/A,FALSE,"Q";"FORFIN_TAB1",#N/A,FALSE,"R";"FORFIN_TAB2",#N/A,FALSE,"R";"BOP_ANALY",#N/A,FALSE,"U"}</definedName>
    <definedName name="wrn.MDABOP." hidden="1">{"BOP_TAB",#N/A,FALSE,"N";"MIDTERM_TAB",#N/A,FALSE,"O";"FUND_CRED",#N/A,FALSE,"P";"DEBT_TAB1",#N/A,FALSE,"Q";"DEBT_TAB2",#N/A,FALSE,"Q";"FORFIN_TAB1",#N/A,FALSE,"R";"FORFIN_TAB2",#N/A,FALSE,"R";"BOP_ANALY",#N/A,FALSE,"U"}</definedName>
    <definedName name="wrn.MONA." localSheetId="58" hidden="1">{"MONA",#N/A,FALSE,"S"}</definedName>
    <definedName name="wrn.MONA." localSheetId="16" hidden="1">{"MONA",#N/A,FALSE,"S"}</definedName>
    <definedName name="wrn.MONA." localSheetId="50" hidden="1">{"MONA",#N/A,FALSE,"S"}</definedName>
    <definedName name="wrn.MONA." localSheetId="44" hidden="1">{"MONA",#N/A,FALSE,"S"}</definedName>
    <definedName name="wrn.MONA." localSheetId="59" hidden="1">{"MONA",#N/A,FALSE,"S"}</definedName>
    <definedName name="wrn.MONA." localSheetId="57" hidden="1">{"MONA",#N/A,FALSE,"S"}</definedName>
    <definedName name="wrn.MONA." localSheetId="56" hidden="1">{"MONA",#N/A,FALSE,"S"}</definedName>
    <definedName name="wrn.MONA." localSheetId="54" hidden="1">{"MONA",#N/A,FALSE,"S"}</definedName>
    <definedName name="wrn.MONA." localSheetId="52" hidden="1">{"MONA",#N/A,FALSE,"S"}</definedName>
    <definedName name="wrn.MONA." localSheetId="51" hidden="1">{"MONA",#N/A,FALSE,"S"}</definedName>
    <definedName name="wrn.MONA." localSheetId="60" hidden="1">{"MONA",#N/A,FALSE,"S"}</definedName>
    <definedName name="wrn.MONA." hidden="1">{"MONA",#N/A,FALSE,"S"}</definedName>
    <definedName name="wrn.Monthsheet." localSheetId="58" hidden="1">{"Minpmon",#N/A,FALSE,"Monthinput"}</definedName>
    <definedName name="wrn.Monthsheet." localSheetId="16" hidden="1">{"Minpmon",#N/A,FALSE,"Monthinput"}</definedName>
    <definedName name="wrn.Monthsheet." localSheetId="61" hidden="1">{"Minpmon",#N/A,FALSE,"Monthinput"}</definedName>
    <definedName name="wrn.Monthsheet." localSheetId="62" hidden="1">{"Minpmon",#N/A,FALSE,"Monthinput"}</definedName>
    <definedName name="wrn.Monthsheet." localSheetId="50" hidden="1">{"Minpmon",#N/A,FALSE,"Monthinput"}</definedName>
    <definedName name="wrn.Monthsheet." localSheetId="63" hidden="1">{"Minpmon",#N/A,FALSE,"Monthinput"}</definedName>
    <definedName name="wrn.Monthsheet." localSheetId="15" hidden="1">{"Minpmon",#N/A,FALSE,"Monthinput"}</definedName>
    <definedName name="wrn.Monthsheet." localSheetId="1" hidden="1">{"Minpmon",#N/A,FALSE,"Monthinput"}</definedName>
    <definedName name="wrn.Monthsheet." localSheetId="43" hidden="1">{"Minpmon",#N/A,FALSE,"Monthinput"}</definedName>
    <definedName name="wrn.Monthsheet." localSheetId="29" hidden="1">{"Minpmon",#N/A,FALSE,"Monthinput"}</definedName>
    <definedName name="wrn.Monthsheet." localSheetId="30" hidden="1">{"Minpmon",#N/A,FALSE,"Monthinput"}</definedName>
    <definedName name="wrn.Monthsheet." localSheetId="44" hidden="1">{"Minpmon",#N/A,FALSE,"Monthinput"}</definedName>
    <definedName name="wrn.Monthsheet." localSheetId="59" hidden="1">{"Minpmon",#N/A,FALSE,"Monthinput"}</definedName>
    <definedName name="wrn.Monthsheet." localSheetId="13" hidden="1">{"Minpmon",#N/A,FALSE,"Monthinput"}</definedName>
    <definedName name="wrn.Monthsheet." localSheetId="0" hidden="1">{"Minpmon",#N/A,FALSE,"Monthinput"}</definedName>
    <definedName name="wrn.Monthsheet." localSheetId="57" hidden="1">{"Minpmon",#N/A,FALSE,"Monthinput"}</definedName>
    <definedName name="wrn.Monthsheet." localSheetId="56" hidden="1">{"Minpmon",#N/A,FALSE,"Monthinput"}</definedName>
    <definedName name="wrn.Monthsheet." localSheetId="54" hidden="1">{"Minpmon",#N/A,FALSE,"Monthinput"}</definedName>
    <definedName name="wrn.Monthsheet." localSheetId="52" hidden="1">{"Minpmon",#N/A,FALSE,"Monthinput"}</definedName>
    <definedName name="wrn.Monthsheet." localSheetId="23" hidden="1">{"Minpmon",#N/A,FALSE,"Monthinput"}</definedName>
    <definedName name="wrn.Monthsheet." localSheetId="51" hidden="1">{"Minpmon",#N/A,FALSE,"Monthinput"}</definedName>
    <definedName name="wrn.Monthsheet." localSheetId="53" hidden="1">{"Minpmon",#N/A,FALSE,"Monthinput"}</definedName>
    <definedName name="wrn.Monthsheet." localSheetId="60" hidden="1">{"Minpmon",#N/A,FALSE,"Monthinput"}</definedName>
    <definedName name="wrn.Monthsheet." hidden="1">{"Minpmon",#N/A,FALSE,"Monthinput"}</definedName>
    <definedName name="wrn.MS." localSheetId="58" hidden="1">{#N/A,#N/A,FALSE,"MS"}</definedName>
    <definedName name="wrn.MS." localSheetId="16" hidden="1">{#N/A,#N/A,FALSE,"MS"}</definedName>
    <definedName name="wrn.MS." localSheetId="50" hidden="1">{#N/A,#N/A,FALSE,"MS"}</definedName>
    <definedName name="wrn.MS." localSheetId="44" hidden="1">{#N/A,#N/A,FALSE,"MS"}</definedName>
    <definedName name="wrn.MS." localSheetId="59" hidden="1">{#N/A,#N/A,FALSE,"MS"}</definedName>
    <definedName name="wrn.MS." localSheetId="57" hidden="1">{#N/A,#N/A,FALSE,"MS"}</definedName>
    <definedName name="wrn.MS." localSheetId="56" hidden="1">{#N/A,#N/A,FALSE,"MS"}</definedName>
    <definedName name="wrn.MS." localSheetId="54" hidden="1">{#N/A,#N/A,FALSE,"MS"}</definedName>
    <definedName name="wrn.MS." localSheetId="52" hidden="1">{#N/A,#N/A,FALSE,"MS"}</definedName>
    <definedName name="wrn.MS." localSheetId="51" hidden="1">{#N/A,#N/A,FALSE,"MS"}</definedName>
    <definedName name="wrn.MS." localSheetId="60" hidden="1">{#N/A,#N/A,FALSE,"MS"}</definedName>
    <definedName name="wrn.MS." hidden="1">{#N/A,#N/A,FALSE,"MS"}</definedName>
    <definedName name="wrn.NBG." localSheetId="58" hidden="1">{#N/A,#N/A,FALSE,"NBG"}</definedName>
    <definedName name="wrn.NBG." localSheetId="16" hidden="1">{#N/A,#N/A,FALSE,"NBG"}</definedName>
    <definedName name="wrn.NBG." localSheetId="50" hidden="1">{#N/A,#N/A,FALSE,"NBG"}</definedName>
    <definedName name="wrn.NBG." localSheetId="44" hidden="1">{#N/A,#N/A,FALSE,"NBG"}</definedName>
    <definedName name="wrn.NBG." localSheetId="59" hidden="1">{#N/A,#N/A,FALSE,"NBG"}</definedName>
    <definedName name="wrn.NBG." localSheetId="57" hidden="1">{#N/A,#N/A,FALSE,"NBG"}</definedName>
    <definedName name="wrn.NBG." localSheetId="56" hidden="1">{#N/A,#N/A,FALSE,"NBG"}</definedName>
    <definedName name="wrn.NBG." localSheetId="54" hidden="1">{#N/A,#N/A,FALSE,"NBG"}</definedName>
    <definedName name="wrn.NBG." localSheetId="52" hidden="1">{#N/A,#N/A,FALSE,"NBG"}</definedName>
    <definedName name="wrn.NBG." localSheetId="51" hidden="1">{#N/A,#N/A,FALSE,"NBG"}</definedName>
    <definedName name="wrn.NBG." localSheetId="60" hidden="1">{#N/A,#N/A,FALSE,"NBG"}</definedName>
    <definedName name="wrn.NBG." hidden="1">{#N/A,#N/A,FALSE,"NBG"}</definedName>
    <definedName name="wrn.Output._.tables." localSheetId="58" hidden="1">{#N/A,#N/A,FALSE,"I";#N/A,#N/A,FALSE,"J";#N/A,#N/A,FALSE,"K";#N/A,#N/A,FALSE,"L";#N/A,#N/A,FALSE,"M";#N/A,#N/A,FALSE,"N";#N/A,#N/A,FALSE,"O"}</definedName>
    <definedName name="wrn.Output._.tables." localSheetId="16" hidden="1">{#N/A,#N/A,FALSE,"I";#N/A,#N/A,FALSE,"J";#N/A,#N/A,FALSE,"K";#N/A,#N/A,FALSE,"L";#N/A,#N/A,FALSE,"M";#N/A,#N/A,FALSE,"N";#N/A,#N/A,FALSE,"O"}</definedName>
    <definedName name="wrn.Output._.tables." localSheetId="50" hidden="1">{#N/A,#N/A,FALSE,"I";#N/A,#N/A,FALSE,"J";#N/A,#N/A,FALSE,"K";#N/A,#N/A,FALSE,"L";#N/A,#N/A,FALSE,"M";#N/A,#N/A,FALSE,"N";#N/A,#N/A,FALSE,"O"}</definedName>
    <definedName name="wrn.Output._.tables." localSheetId="44" hidden="1">{#N/A,#N/A,FALSE,"I";#N/A,#N/A,FALSE,"J";#N/A,#N/A,FALSE,"K";#N/A,#N/A,FALSE,"L";#N/A,#N/A,FALSE,"M";#N/A,#N/A,FALSE,"N";#N/A,#N/A,FALSE,"O"}</definedName>
    <definedName name="wrn.Output._.tables." localSheetId="59" hidden="1">{#N/A,#N/A,FALSE,"I";#N/A,#N/A,FALSE,"J";#N/A,#N/A,FALSE,"K";#N/A,#N/A,FALSE,"L";#N/A,#N/A,FALSE,"M";#N/A,#N/A,FALSE,"N";#N/A,#N/A,FALSE,"O"}</definedName>
    <definedName name="wrn.Output._.tables." localSheetId="57" hidden="1">{#N/A,#N/A,FALSE,"I";#N/A,#N/A,FALSE,"J";#N/A,#N/A,FALSE,"K";#N/A,#N/A,FALSE,"L";#N/A,#N/A,FALSE,"M";#N/A,#N/A,FALSE,"N";#N/A,#N/A,FALSE,"O"}</definedName>
    <definedName name="wrn.Output._.tables." localSheetId="56" hidden="1">{#N/A,#N/A,FALSE,"I";#N/A,#N/A,FALSE,"J";#N/A,#N/A,FALSE,"K";#N/A,#N/A,FALSE,"L";#N/A,#N/A,FALSE,"M";#N/A,#N/A,FALSE,"N";#N/A,#N/A,FALSE,"O"}</definedName>
    <definedName name="wrn.Output._.tables." localSheetId="54" hidden="1">{#N/A,#N/A,FALSE,"I";#N/A,#N/A,FALSE,"J";#N/A,#N/A,FALSE,"K";#N/A,#N/A,FALSE,"L";#N/A,#N/A,FALSE,"M";#N/A,#N/A,FALSE,"N";#N/A,#N/A,FALSE,"O"}</definedName>
    <definedName name="wrn.Output._.tables." localSheetId="52" hidden="1">{#N/A,#N/A,FALSE,"I";#N/A,#N/A,FALSE,"J";#N/A,#N/A,FALSE,"K";#N/A,#N/A,FALSE,"L";#N/A,#N/A,FALSE,"M";#N/A,#N/A,FALSE,"N";#N/A,#N/A,FALSE,"O"}</definedName>
    <definedName name="wrn.Output._.tables." localSheetId="51" hidden="1">{#N/A,#N/A,FALSE,"I";#N/A,#N/A,FALSE,"J";#N/A,#N/A,FALSE,"K";#N/A,#N/A,FALSE,"L";#N/A,#N/A,FALSE,"M";#N/A,#N/A,FALSE,"N";#N/A,#N/A,FALSE,"O"}</definedName>
    <definedName name="wrn.Output._.tables." localSheetId="60" hidden="1">{#N/A,#N/A,FALSE,"I";#N/A,#N/A,FALSE,"J";#N/A,#N/A,FALSE,"K";#N/A,#N/A,FALSE,"L";#N/A,#N/A,FALSE,"M";#N/A,#N/A,FALSE,"N";#N/A,#N/A,FALSE,"O"}</definedName>
    <definedName name="wrn.Output._.tables." hidden="1">{#N/A,#N/A,FALSE,"I";#N/A,#N/A,FALSE,"J";#N/A,#N/A,FALSE,"K";#N/A,#N/A,FALSE,"L";#N/A,#N/A,FALSE,"M";#N/A,#N/A,FALSE,"N";#N/A,#N/A,FALSE,"O"}</definedName>
    <definedName name="wrn.PCPI." localSheetId="58" hidden="1">{#N/A,#N/A,FALSE,"PCPI"}</definedName>
    <definedName name="wrn.PCPI." localSheetId="16" hidden="1">{#N/A,#N/A,FALSE,"PCPI"}</definedName>
    <definedName name="wrn.PCPI." localSheetId="50" hidden="1">{#N/A,#N/A,FALSE,"PCPI"}</definedName>
    <definedName name="wrn.PCPI." localSheetId="44" hidden="1">{#N/A,#N/A,FALSE,"PCPI"}</definedName>
    <definedName name="wrn.PCPI." localSheetId="59" hidden="1">{#N/A,#N/A,FALSE,"PCPI"}</definedName>
    <definedName name="wrn.PCPI." localSheetId="57" hidden="1">{#N/A,#N/A,FALSE,"PCPI"}</definedName>
    <definedName name="wrn.PCPI." localSheetId="56" hidden="1">{#N/A,#N/A,FALSE,"PCPI"}</definedName>
    <definedName name="wrn.PCPI." localSheetId="54" hidden="1">{#N/A,#N/A,FALSE,"PCPI"}</definedName>
    <definedName name="wrn.PCPI." localSheetId="52" hidden="1">{#N/A,#N/A,FALSE,"PCPI"}</definedName>
    <definedName name="wrn.PCPI." localSheetId="51" hidden="1">{#N/A,#N/A,FALSE,"PCPI"}</definedName>
    <definedName name="wrn.PCPI." localSheetId="60" hidden="1">{#N/A,#N/A,FALSE,"PCPI"}</definedName>
    <definedName name="wrn.PCPI." hidden="1">{#N/A,#N/A,FALSE,"PCPI"}</definedName>
    <definedName name="wrn.PENSION." localSheetId="58" hidden="1">{#N/A,#N/A,FALSE,"PENSION"}</definedName>
    <definedName name="wrn.PENSION." localSheetId="16" hidden="1">{#N/A,#N/A,FALSE,"PENSION"}</definedName>
    <definedName name="wrn.PENSION." localSheetId="50" hidden="1">{#N/A,#N/A,FALSE,"PENSION"}</definedName>
    <definedName name="wrn.PENSION." localSheetId="44" hidden="1">{#N/A,#N/A,FALSE,"PENSION"}</definedName>
    <definedName name="wrn.PENSION." localSheetId="59" hidden="1">{#N/A,#N/A,FALSE,"PENSION"}</definedName>
    <definedName name="wrn.PENSION." localSheetId="57" hidden="1">{#N/A,#N/A,FALSE,"PENSION"}</definedName>
    <definedName name="wrn.PENSION." localSheetId="56" hidden="1">{#N/A,#N/A,FALSE,"PENSION"}</definedName>
    <definedName name="wrn.PENSION." localSheetId="54" hidden="1">{#N/A,#N/A,FALSE,"PENSION"}</definedName>
    <definedName name="wrn.PENSION." localSheetId="52" hidden="1">{#N/A,#N/A,FALSE,"PENSION"}</definedName>
    <definedName name="wrn.PENSION." localSheetId="51" hidden="1">{#N/A,#N/A,FALSE,"PENSION"}</definedName>
    <definedName name="wrn.PENSION." localSheetId="60" hidden="1">{#N/A,#N/A,FALSE,"PENSION"}</definedName>
    <definedName name="wrn.PENSION." hidden="1">{#N/A,#N/A,FALSE,"PENSION"}</definedName>
    <definedName name="wrn.Pricing._.Summary." localSheetId="58" hidden="1">{#N/A,#N/A,TRUE,"Client Assumptions Print";#N/A,#N/A,TRUE,"Project Assumptions";#N/A,#N/A,TRUE,"Pricing Summary";#N/A,#N/A,TRUE,"Pricing"}</definedName>
    <definedName name="wrn.Pricing._.Summary." localSheetId="16" hidden="1">{#N/A,#N/A,TRUE,"Client Assumptions Print";#N/A,#N/A,TRUE,"Project Assumptions";#N/A,#N/A,TRUE,"Pricing Summary";#N/A,#N/A,TRUE,"Pricing"}</definedName>
    <definedName name="wrn.Pricing._.Summary." localSheetId="50" hidden="1">{#N/A,#N/A,TRUE,"Client Assumptions Print";#N/A,#N/A,TRUE,"Project Assumptions";#N/A,#N/A,TRUE,"Pricing Summary";#N/A,#N/A,TRUE,"Pricing"}</definedName>
    <definedName name="wrn.Pricing._.Summary." localSheetId="44" hidden="1">{#N/A,#N/A,TRUE,"Client Assumptions Print";#N/A,#N/A,TRUE,"Project Assumptions";#N/A,#N/A,TRUE,"Pricing Summary";#N/A,#N/A,TRUE,"Pricing"}</definedName>
    <definedName name="wrn.Pricing._.Summary." localSheetId="59" hidden="1">{#N/A,#N/A,TRUE,"Client Assumptions Print";#N/A,#N/A,TRUE,"Project Assumptions";#N/A,#N/A,TRUE,"Pricing Summary";#N/A,#N/A,TRUE,"Pricing"}</definedName>
    <definedName name="wrn.Pricing._.Summary." localSheetId="57" hidden="1">{#N/A,#N/A,TRUE,"Client Assumptions Print";#N/A,#N/A,TRUE,"Project Assumptions";#N/A,#N/A,TRUE,"Pricing Summary";#N/A,#N/A,TRUE,"Pricing"}</definedName>
    <definedName name="wrn.Pricing._.Summary." localSheetId="56" hidden="1">{#N/A,#N/A,TRUE,"Client Assumptions Print";#N/A,#N/A,TRUE,"Project Assumptions";#N/A,#N/A,TRUE,"Pricing Summary";#N/A,#N/A,TRUE,"Pricing"}</definedName>
    <definedName name="wrn.Pricing._.Summary." localSheetId="54" hidden="1">{#N/A,#N/A,TRUE,"Client Assumptions Print";#N/A,#N/A,TRUE,"Project Assumptions";#N/A,#N/A,TRUE,"Pricing Summary";#N/A,#N/A,TRUE,"Pricing"}</definedName>
    <definedName name="wrn.Pricing._.Summary." localSheetId="52" hidden="1">{#N/A,#N/A,TRUE,"Client Assumptions Print";#N/A,#N/A,TRUE,"Project Assumptions";#N/A,#N/A,TRUE,"Pricing Summary";#N/A,#N/A,TRUE,"Pricing"}</definedName>
    <definedName name="wrn.Pricing._.Summary." localSheetId="51" hidden="1">{#N/A,#N/A,TRUE,"Client Assumptions Print";#N/A,#N/A,TRUE,"Project Assumptions";#N/A,#N/A,TRUE,"Pricing Summary";#N/A,#N/A,TRUE,"Pricing"}</definedName>
    <definedName name="wrn.Pricing._.Summary." localSheetId="60" hidden="1">{#N/A,#N/A,TRUE,"Client Assumptions Print";#N/A,#N/A,TRUE,"Project Assumptions";#N/A,#N/A,TRUE,"Pricing Summary";#N/A,#N/A,TRUE,"Pricing"}</definedName>
    <definedName name="wrn.Pricing._.Summary." hidden="1">{#N/A,#N/A,TRUE,"Client Assumptions Print";#N/A,#N/A,TRUE,"Project Assumptions";#N/A,#N/A,TRUE,"Pricing Summary";#N/A,#N/A,TRUE,"Pricing"}</definedName>
    <definedName name="wrn.Pricing._.Summary.bak" localSheetId="58" hidden="1">{#N/A,#N/A,TRUE,"Client Assumptions Print";#N/A,#N/A,TRUE,"Project Assumptions";#N/A,#N/A,TRUE,"Pricing Summary";#N/A,#N/A,TRUE,"Pricing"}</definedName>
    <definedName name="wrn.Pricing._.Summary.bak" localSheetId="16" hidden="1">{#N/A,#N/A,TRUE,"Client Assumptions Print";#N/A,#N/A,TRUE,"Project Assumptions";#N/A,#N/A,TRUE,"Pricing Summary";#N/A,#N/A,TRUE,"Pricing"}</definedName>
    <definedName name="wrn.Pricing._.Summary.bak" localSheetId="50" hidden="1">{#N/A,#N/A,TRUE,"Client Assumptions Print";#N/A,#N/A,TRUE,"Project Assumptions";#N/A,#N/A,TRUE,"Pricing Summary";#N/A,#N/A,TRUE,"Pricing"}</definedName>
    <definedName name="wrn.Pricing._.Summary.bak" localSheetId="44" hidden="1">{#N/A,#N/A,TRUE,"Client Assumptions Print";#N/A,#N/A,TRUE,"Project Assumptions";#N/A,#N/A,TRUE,"Pricing Summary";#N/A,#N/A,TRUE,"Pricing"}</definedName>
    <definedName name="wrn.Pricing._.Summary.bak" localSheetId="59" hidden="1">{#N/A,#N/A,TRUE,"Client Assumptions Print";#N/A,#N/A,TRUE,"Project Assumptions";#N/A,#N/A,TRUE,"Pricing Summary";#N/A,#N/A,TRUE,"Pricing"}</definedName>
    <definedName name="wrn.Pricing._.Summary.bak" localSheetId="57" hidden="1">{#N/A,#N/A,TRUE,"Client Assumptions Print";#N/A,#N/A,TRUE,"Project Assumptions";#N/A,#N/A,TRUE,"Pricing Summary";#N/A,#N/A,TRUE,"Pricing"}</definedName>
    <definedName name="wrn.Pricing._.Summary.bak" localSheetId="56" hidden="1">{#N/A,#N/A,TRUE,"Client Assumptions Print";#N/A,#N/A,TRUE,"Project Assumptions";#N/A,#N/A,TRUE,"Pricing Summary";#N/A,#N/A,TRUE,"Pricing"}</definedName>
    <definedName name="wrn.Pricing._.Summary.bak" localSheetId="54" hidden="1">{#N/A,#N/A,TRUE,"Client Assumptions Print";#N/A,#N/A,TRUE,"Project Assumptions";#N/A,#N/A,TRUE,"Pricing Summary";#N/A,#N/A,TRUE,"Pricing"}</definedName>
    <definedName name="wrn.Pricing._.Summary.bak" localSheetId="52" hidden="1">{#N/A,#N/A,TRUE,"Client Assumptions Print";#N/A,#N/A,TRUE,"Project Assumptions";#N/A,#N/A,TRUE,"Pricing Summary";#N/A,#N/A,TRUE,"Pricing"}</definedName>
    <definedName name="wrn.Pricing._.Summary.bak" localSheetId="51" hidden="1">{#N/A,#N/A,TRUE,"Client Assumptions Print";#N/A,#N/A,TRUE,"Project Assumptions";#N/A,#N/A,TRUE,"Pricing Summary";#N/A,#N/A,TRUE,"Pricing"}</definedName>
    <definedName name="wrn.Pricing._.Summary.bak" localSheetId="60" hidden="1">{#N/A,#N/A,TRUE,"Client Assumptions Print";#N/A,#N/A,TRUE,"Project Assumptions";#N/A,#N/A,TRUE,"Pricing Summary";#N/A,#N/A,TRUE,"Pricing"}</definedName>
    <definedName name="wrn.Pricing._.Summary.bak" hidden="1">{#N/A,#N/A,TRUE,"Client Assumptions Print";#N/A,#N/A,TRUE,"Project Assumptions";#N/A,#N/A,TRUE,"Pricing Summary";#N/A,#N/A,TRUE,"Pricing"}</definedName>
    <definedName name="wrn.Program." localSheetId="58" hidden="1">{"Tab1",#N/A,FALSE,"P";"Tab2",#N/A,FALSE,"P"}</definedName>
    <definedName name="wrn.Program." localSheetId="16" hidden="1">{"Tab1",#N/A,FALSE,"P";"Tab2",#N/A,FALSE,"P"}</definedName>
    <definedName name="wrn.Program." localSheetId="61" hidden="1">{"Tab1",#N/A,FALSE,"P";"Tab2",#N/A,FALSE,"P"}</definedName>
    <definedName name="wrn.Program." localSheetId="62" hidden="1">{"Tab1",#N/A,FALSE,"P";"Tab2",#N/A,FALSE,"P"}</definedName>
    <definedName name="wrn.Program." localSheetId="50" hidden="1">{"Tab1",#N/A,FALSE,"P";"Tab2",#N/A,FALSE,"P"}</definedName>
    <definedName name="wrn.Program." localSheetId="63" hidden="1">{"Tab1",#N/A,FALSE,"P";"Tab2",#N/A,FALSE,"P"}</definedName>
    <definedName name="wrn.Program." localSheetId="15" hidden="1">{"Tab1",#N/A,FALSE,"P";"Tab2",#N/A,FALSE,"P"}</definedName>
    <definedName name="wrn.Program." localSheetId="1" hidden="1">{"Tab1",#N/A,FALSE,"P";"Tab2",#N/A,FALSE,"P"}</definedName>
    <definedName name="wrn.Program." localSheetId="43" hidden="1">{"Tab1",#N/A,FALSE,"P";"Tab2",#N/A,FALSE,"P"}</definedName>
    <definedName name="wrn.Program." localSheetId="29" hidden="1">{"Tab1",#N/A,FALSE,"P";"Tab2",#N/A,FALSE,"P"}</definedName>
    <definedName name="wrn.Program." localSheetId="30" hidden="1">{"Tab1",#N/A,FALSE,"P";"Tab2",#N/A,FALSE,"P"}</definedName>
    <definedName name="wrn.Program." localSheetId="44" hidden="1">{"Tab1",#N/A,FALSE,"P";"Tab2",#N/A,FALSE,"P"}</definedName>
    <definedName name="wrn.Program." localSheetId="59" hidden="1">{"Tab1",#N/A,FALSE,"P";"Tab2",#N/A,FALSE,"P"}</definedName>
    <definedName name="wrn.Program." localSheetId="13" hidden="1">{"Tab1",#N/A,FALSE,"P";"Tab2",#N/A,FALSE,"P"}</definedName>
    <definedName name="wrn.Program." localSheetId="0" hidden="1">{"Tab1",#N/A,FALSE,"P";"Tab2",#N/A,FALSE,"P"}</definedName>
    <definedName name="wrn.Program." localSheetId="57" hidden="1">{"Tab1",#N/A,FALSE,"P";"Tab2",#N/A,FALSE,"P"}</definedName>
    <definedName name="wrn.Program." localSheetId="56" hidden="1">{"Tab1",#N/A,FALSE,"P";"Tab2",#N/A,FALSE,"P"}</definedName>
    <definedName name="wrn.Program." localSheetId="54" hidden="1">{"Tab1",#N/A,FALSE,"P";"Tab2",#N/A,FALSE,"P"}</definedName>
    <definedName name="wrn.Program." localSheetId="52" hidden="1">{"Tab1",#N/A,FALSE,"P";"Tab2",#N/A,FALSE,"P"}</definedName>
    <definedName name="wrn.Program." localSheetId="23" hidden="1">{"Tab1",#N/A,FALSE,"P";"Tab2",#N/A,FALSE,"P"}</definedName>
    <definedName name="wrn.Program." localSheetId="51" hidden="1">{"Tab1",#N/A,FALSE,"P";"Tab2",#N/A,FALSE,"P"}</definedName>
    <definedName name="wrn.Program." localSheetId="53" hidden="1">{"Tab1",#N/A,FALSE,"P";"Tab2",#N/A,FALSE,"P"}</definedName>
    <definedName name="wrn.Program." localSheetId="60" hidden="1">{"Tab1",#N/A,FALSE,"P";"Tab2",#N/A,FALSE,"P"}</definedName>
    <definedName name="wrn.Program." hidden="1">{"Tab1",#N/A,FALSE,"P";"Tab2",#N/A,FALSE,"P"}</definedName>
    <definedName name="wrn.PRUDENT." localSheetId="58" hidden="1">{#N/A,#N/A,FALSE,"PRUDENT"}</definedName>
    <definedName name="wrn.PRUDENT." localSheetId="16" hidden="1">{#N/A,#N/A,FALSE,"PRUDENT"}</definedName>
    <definedName name="wrn.PRUDENT." localSheetId="50" hidden="1">{#N/A,#N/A,FALSE,"PRUDENT"}</definedName>
    <definedName name="wrn.PRUDENT." localSheetId="44" hidden="1">{#N/A,#N/A,FALSE,"PRUDENT"}</definedName>
    <definedName name="wrn.PRUDENT." localSheetId="59" hidden="1">{#N/A,#N/A,FALSE,"PRUDENT"}</definedName>
    <definedName name="wrn.PRUDENT." localSheetId="57" hidden="1">{#N/A,#N/A,FALSE,"PRUDENT"}</definedName>
    <definedName name="wrn.PRUDENT." localSheetId="56" hidden="1">{#N/A,#N/A,FALSE,"PRUDENT"}</definedName>
    <definedName name="wrn.PRUDENT." localSheetId="54" hidden="1">{#N/A,#N/A,FALSE,"PRUDENT"}</definedName>
    <definedName name="wrn.PRUDENT." localSheetId="52" hidden="1">{#N/A,#N/A,FALSE,"PRUDENT"}</definedName>
    <definedName name="wrn.PRUDENT." localSheetId="51" hidden="1">{#N/A,#N/A,FALSE,"PRUDENT"}</definedName>
    <definedName name="wrn.PRUDENT." localSheetId="60" hidden="1">{#N/A,#N/A,FALSE,"PRUDENT"}</definedName>
    <definedName name="wrn.PRUDENT." hidden="1">{#N/A,#N/A,FALSE,"PRUDENT"}</definedName>
    <definedName name="wrn.PUBLEXP." localSheetId="58" hidden="1">{#N/A,#N/A,FALSE,"PUBLEXP"}</definedName>
    <definedName name="wrn.PUBLEXP." localSheetId="16" hidden="1">{#N/A,#N/A,FALSE,"PUBLEXP"}</definedName>
    <definedName name="wrn.PUBLEXP." localSheetId="50" hidden="1">{#N/A,#N/A,FALSE,"PUBLEXP"}</definedName>
    <definedName name="wrn.PUBLEXP." localSheetId="44" hidden="1">{#N/A,#N/A,FALSE,"PUBLEXP"}</definedName>
    <definedName name="wrn.PUBLEXP." localSheetId="59" hidden="1">{#N/A,#N/A,FALSE,"PUBLEXP"}</definedName>
    <definedName name="wrn.PUBLEXP." localSheetId="57" hidden="1">{#N/A,#N/A,FALSE,"PUBLEXP"}</definedName>
    <definedName name="wrn.PUBLEXP." localSheetId="56" hidden="1">{#N/A,#N/A,FALSE,"PUBLEXP"}</definedName>
    <definedName name="wrn.PUBLEXP." localSheetId="54" hidden="1">{#N/A,#N/A,FALSE,"PUBLEXP"}</definedName>
    <definedName name="wrn.PUBLEXP." localSheetId="52" hidden="1">{#N/A,#N/A,FALSE,"PUBLEXP"}</definedName>
    <definedName name="wrn.PUBLEXP." localSheetId="51" hidden="1">{#N/A,#N/A,FALSE,"PUBLEXP"}</definedName>
    <definedName name="wrn.PUBLEXP." localSheetId="60" hidden="1">{#N/A,#N/A,FALSE,"PUBLEXP"}</definedName>
    <definedName name="wrn.PUBLEXP." hidden="1">{#N/A,#N/A,FALSE,"PUBLEXP"}</definedName>
    <definedName name="wrn.RED97MON." localSheetId="58" hidden="1">{"CBA",#N/A,FALSE,"TAB4";"MS",#N/A,FALSE,"TAB5";"BANKLOANS",#N/A,FALSE,"TAB21APP ";"INTEREST",#N/A,FALSE,"TAB22APP"}</definedName>
    <definedName name="wrn.RED97MON." localSheetId="16" hidden="1">{"CBA",#N/A,FALSE,"TAB4";"MS",#N/A,FALSE,"TAB5";"BANKLOANS",#N/A,FALSE,"TAB21APP ";"INTEREST",#N/A,FALSE,"TAB22APP"}</definedName>
    <definedName name="wrn.RED97MON." localSheetId="50" hidden="1">{"CBA",#N/A,FALSE,"TAB4";"MS",#N/A,FALSE,"TAB5";"BANKLOANS",#N/A,FALSE,"TAB21APP ";"INTEREST",#N/A,FALSE,"TAB22APP"}</definedName>
    <definedName name="wrn.RED97MON." localSheetId="44" hidden="1">{"CBA",#N/A,FALSE,"TAB4";"MS",#N/A,FALSE,"TAB5";"BANKLOANS",#N/A,FALSE,"TAB21APP ";"INTEREST",#N/A,FALSE,"TAB22APP"}</definedName>
    <definedName name="wrn.RED97MON." localSheetId="59" hidden="1">{"CBA",#N/A,FALSE,"TAB4";"MS",#N/A,FALSE,"TAB5";"BANKLOANS",#N/A,FALSE,"TAB21APP ";"INTEREST",#N/A,FALSE,"TAB22APP"}</definedName>
    <definedName name="wrn.RED97MON." localSheetId="57" hidden="1">{"CBA",#N/A,FALSE,"TAB4";"MS",#N/A,FALSE,"TAB5";"BANKLOANS",#N/A,FALSE,"TAB21APP ";"INTEREST",#N/A,FALSE,"TAB22APP"}</definedName>
    <definedName name="wrn.RED97MON." localSheetId="56" hidden="1">{"CBA",#N/A,FALSE,"TAB4";"MS",#N/A,FALSE,"TAB5";"BANKLOANS",#N/A,FALSE,"TAB21APP ";"INTEREST",#N/A,FALSE,"TAB22APP"}</definedName>
    <definedName name="wrn.RED97MON." localSheetId="54" hidden="1">{"CBA",#N/A,FALSE,"TAB4";"MS",#N/A,FALSE,"TAB5";"BANKLOANS",#N/A,FALSE,"TAB21APP ";"INTEREST",#N/A,FALSE,"TAB22APP"}</definedName>
    <definedName name="wrn.RED97MON." localSheetId="52" hidden="1">{"CBA",#N/A,FALSE,"TAB4";"MS",#N/A,FALSE,"TAB5";"BANKLOANS",#N/A,FALSE,"TAB21APP ";"INTEREST",#N/A,FALSE,"TAB22APP"}</definedName>
    <definedName name="wrn.RED97MON." localSheetId="51" hidden="1">{"CBA",#N/A,FALSE,"TAB4";"MS",#N/A,FALSE,"TAB5";"BANKLOANS",#N/A,FALSE,"TAB21APP ";"INTEREST",#N/A,FALSE,"TAB22APP"}</definedName>
    <definedName name="wrn.RED97MON." localSheetId="60" hidden="1">{"CBA",#N/A,FALSE,"TAB4";"MS",#N/A,FALSE,"TAB5";"BANKLOANS",#N/A,FALSE,"TAB21APP ";"INTEREST",#N/A,FALSE,"TAB22APP"}</definedName>
    <definedName name="wrn.RED97MON." hidden="1">{"CBA",#N/A,FALSE,"TAB4";"MS",#N/A,FALSE,"TAB5";"BANKLOANS",#N/A,FALSE,"TAB21APP ";"INTEREST",#N/A,FALSE,"TAB22APP"}</definedName>
    <definedName name="wrn.REDTABS." localSheetId="5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6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VSHARE." localSheetId="58" hidden="1">{#N/A,#N/A,FALSE,"REVSHARE"}</definedName>
    <definedName name="wrn.REVSHARE." localSheetId="16" hidden="1">{#N/A,#N/A,FALSE,"REVSHARE"}</definedName>
    <definedName name="wrn.REVSHARE." localSheetId="50" hidden="1">{#N/A,#N/A,FALSE,"REVSHARE"}</definedName>
    <definedName name="wrn.REVSHARE." localSheetId="44" hidden="1">{#N/A,#N/A,FALSE,"REVSHARE"}</definedName>
    <definedName name="wrn.REVSHARE." localSheetId="59" hidden="1">{#N/A,#N/A,FALSE,"REVSHARE"}</definedName>
    <definedName name="wrn.REVSHARE." localSheetId="57" hidden="1">{#N/A,#N/A,FALSE,"REVSHARE"}</definedName>
    <definedName name="wrn.REVSHARE." localSheetId="56" hidden="1">{#N/A,#N/A,FALSE,"REVSHARE"}</definedName>
    <definedName name="wrn.REVSHARE." localSheetId="54" hidden="1">{#N/A,#N/A,FALSE,"REVSHARE"}</definedName>
    <definedName name="wrn.REVSHARE." localSheetId="52" hidden="1">{#N/A,#N/A,FALSE,"REVSHARE"}</definedName>
    <definedName name="wrn.REVSHARE." localSheetId="51" hidden="1">{#N/A,#N/A,FALSE,"REVSHARE"}</definedName>
    <definedName name="wrn.REVSHARE." localSheetId="60" hidden="1">{#N/A,#N/A,FALSE,"REVSHARE"}</definedName>
    <definedName name="wrn.REVSHARE." hidden="1">{#N/A,#N/A,FALSE,"REVSHARE"}</definedName>
    <definedName name="wrn.Riqfin." localSheetId="58" hidden="1">{"Riqfin97",#N/A,FALSE,"Tran";"Riqfinpro",#N/A,FALSE,"Tran"}</definedName>
    <definedName name="wrn.Riqfin." localSheetId="16" hidden="1">{"Riqfin97",#N/A,FALSE,"Tran";"Riqfinpro",#N/A,FALSE,"Tran"}</definedName>
    <definedName name="wrn.Riqfin." localSheetId="61" hidden="1">{"Riqfin97",#N/A,FALSE,"Tran";"Riqfinpro",#N/A,FALSE,"Tran"}</definedName>
    <definedName name="wrn.Riqfin." localSheetId="62" hidden="1">{"Riqfin97",#N/A,FALSE,"Tran";"Riqfinpro",#N/A,FALSE,"Tran"}</definedName>
    <definedName name="wrn.Riqfin." localSheetId="50" hidden="1">{"Riqfin97",#N/A,FALSE,"Tran";"Riqfinpro",#N/A,FALSE,"Tran"}</definedName>
    <definedName name="wrn.Riqfin." localSheetId="63" hidden="1">{"Riqfin97",#N/A,FALSE,"Tran";"Riqfinpro",#N/A,FALSE,"Tran"}</definedName>
    <definedName name="wrn.Riqfin." localSheetId="15" hidden="1">{"Riqfin97",#N/A,FALSE,"Tran";"Riqfinpro",#N/A,FALSE,"Tran"}</definedName>
    <definedName name="wrn.Riqfin." localSheetId="1" hidden="1">{"Riqfin97",#N/A,FALSE,"Tran";"Riqfinpro",#N/A,FALSE,"Tran"}</definedName>
    <definedName name="wrn.Riqfin." localSheetId="43" hidden="1">{"Riqfin97",#N/A,FALSE,"Tran";"Riqfinpro",#N/A,FALSE,"Tran"}</definedName>
    <definedName name="wrn.Riqfin." localSheetId="29" hidden="1">{"Riqfin97",#N/A,FALSE,"Tran";"Riqfinpro",#N/A,FALSE,"Tran"}</definedName>
    <definedName name="wrn.Riqfin." localSheetId="30" hidden="1">{"Riqfin97",#N/A,FALSE,"Tran";"Riqfinpro",#N/A,FALSE,"Tran"}</definedName>
    <definedName name="wrn.Riqfin." localSheetId="44" hidden="1">{"Riqfin97",#N/A,FALSE,"Tran";"Riqfinpro",#N/A,FALSE,"Tran"}</definedName>
    <definedName name="wrn.Riqfin." localSheetId="59" hidden="1">{"Riqfin97",#N/A,FALSE,"Tran";"Riqfinpro",#N/A,FALSE,"Tran"}</definedName>
    <definedName name="wrn.Riqfin." localSheetId="13" hidden="1">{"Riqfin97",#N/A,FALSE,"Tran";"Riqfinpro",#N/A,FALSE,"Tran"}</definedName>
    <definedName name="wrn.Riqfin." localSheetId="0" hidden="1">{"Riqfin97",#N/A,FALSE,"Tran";"Riqfinpro",#N/A,FALSE,"Tran"}</definedName>
    <definedName name="wrn.Riqfin." localSheetId="57" hidden="1">{"Riqfin97",#N/A,FALSE,"Tran";"Riqfinpro",#N/A,FALSE,"Tran"}</definedName>
    <definedName name="wrn.Riqfin." localSheetId="56" hidden="1">{"Riqfin97",#N/A,FALSE,"Tran";"Riqfinpro",#N/A,FALSE,"Tran"}</definedName>
    <definedName name="wrn.Riqfin." localSheetId="54" hidden="1">{"Riqfin97",#N/A,FALSE,"Tran";"Riqfinpro",#N/A,FALSE,"Tran"}</definedName>
    <definedName name="wrn.Riqfin." localSheetId="52" hidden="1">{"Riqfin97",#N/A,FALSE,"Tran";"Riqfinpro",#N/A,FALSE,"Tran"}</definedName>
    <definedName name="wrn.Riqfin." localSheetId="23" hidden="1">{"Riqfin97",#N/A,FALSE,"Tran";"Riqfinpro",#N/A,FALSE,"Tran"}</definedName>
    <definedName name="wrn.Riqfin." localSheetId="51" hidden="1">{"Riqfin97",#N/A,FALSE,"Tran";"Riqfinpro",#N/A,FALSE,"Tran"}</definedName>
    <definedName name="wrn.Riqfin." localSheetId="53" hidden="1">{"Riqfin97",#N/A,FALSE,"Tran";"Riqfinpro",#N/A,FALSE,"Tran"}</definedName>
    <definedName name="wrn.Riqfin." localSheetId="60" hidden="1">{"Riqfin97",#N/A,FALSE,"Tran";"Riqfinpro",#N/A,FALSE,"Tran"}</definedName>
    <definedName name="wrn.Riqfin." hidden="1">{"Riqfin97",#N/A,FALSE,"Tran";"Riqfinpro",#N/A,FALSE,"Tran"}</definedName>
    <definedName name="wrn.staffreport." localSheetId="58" hidden="1">{#N/A,#N/A,FALSE,"slvsrtb1";#N/A,#N/A,FALSE,"slvsrtb2";#N/A,#N/A,FALSE,"slvsrtb3";#N/A,#N/A,FALSE,"slvsrtb4";#N/A,#N/A,FALSE,"slvsrtb5";#N/A,#N/A,FALSE,"slvsrtb6";#N/A,#N/A,FALSE,"slvsrtb7";#N/A,#N/A,FALSE,"slvsrtb8";#N/A,#N/A,FALSE,"slvsrtb9";#N/A,#N/A,FALSE,"slvsrtb10";#N/A,#N/A,FALSE,"slvsrtb12"}</definedName>
    <definedName name="wrn.staffreport." localSheetId="16" hidden="1">{#N/A,#N/A,FALSE,"slvsrtb1";#N/A,#N/A,FALSE,"slvsrtb2";#N/A,#N/A,FALSE,"slvsrtb3";#N/A,#N/A,FALSE,"slvsrtb4";#N/A,#N/A,FALSE,"slvsrtb5";#N/A,#N/A,FALSE,"slvsrtb6";#N/A,#N/A,FALSE,"slvsrtb7";#N/A,#N/A,FALSE,"slvsrtb8";#N/A,#N/A,FALSE,"slvsrtb9";#N/A,#N/A,FALSE,"slvsrtb10";#N/A,#N/A,FALSE,"slvsrtb12"}</definedName>
    <definedName name="wrn.staffreport." localSheetId="61" hidden="1">{#N/A,#N/A,FALSE,"slvsrtb1";#N/A,#N/A,FALSE,"slvsrtb2";#N/A,#N/A,FALSE,"slvsrtb3";#N/A,#N/A,FALSE,"slvsrtb4";#N/A,#N/A,FALSE,"slvsrtb5";#N/A,#N/A,FALSE,"slvsrtb6";#N/A,#N/A,FALSE,"slvsrtb7";#N/A,#N/A,FALSE,"slvsrtb8";#N/A,#N/A,FALSE,"slvsrtb9";#N/A,#N/A,FALSE,"slvsrtb10";#N/A,#N/A,FALSE,"slvsrtb12"}</definedName>
    <definedName name="wrn.staffreport." localSheetId="62" hidden="1">{#N/A,#N/A,FALSE,"slvsrtb1";#N/A,#N/A,FALSE,"slvsrtb2";#N/A,#N/A,FALSE,"slvsrtb3";#N/A,#N/A,FALSE,"slvsrtb4";#N/A,#N/A,FALSE,"slvsrtb5";#N/A,#N/A,FALSE,"slvsrtb6";#N/A,#N/A,FALSE,"slvsrtb7";#N/A,#N/A,FALSE,"slvsrtb8";#N/A,#N/A,FALSE,"slvsrtb9";#N/A,#N/A,FALSE,"slvsrtb10";#N/A,#N/A,FALSE,"slvsrtb12"}</definedName>
    <definedName name="wrn.staffreport." localSheetId="50" hidden="1">{#N/A,#N/A,FALSE,"slvsrtb1";#N/A,#N/A,FALSE,"slvsrtb2";#N/A,#N/A,FALSE,"slvsrtb3";#N/A,#N/A,FALSE,"slvsrtb4";#N/A,#N/A,FALSE,"slvsrtb5";#N/A,#N/A,FALSE,"slvsrtb6";#N/A,#N/A,FALSE,"slvsrtb7";#N/A,#N/A,FALSE,"slvsrtb8";#N/A,#N/A,FALSE,"slvsrtb9";#N/A,#N/A,FALSE,"slvsrtb10";#N/A,#N/A,FALSE,"slvsrtb12"}</definedName>
    <definedName name="wrn.staffreport." localSheetId="63" hidden="1">{#N/A,#N/A,FALSE,"slvsrtb1";#N/A,#N/A,FALSE,"slvsrtb2";#N/A,#N/A,FALSE,"slvsrtb3";#N/A,#N/A,FALSE,"slvsrtb4";#N/A,#N/A,FALSE,"slvsrtb5";#N/A,#N/A,FALSE,"slvsrtb6";#N/A,#N/A,FALSE,"slvsrtb7";#N/A,#N/A,FALSE,"slvsrtb8";#N/A,#N/A,FALSE,"slvsrtb9";#N/A,#N/A,FALSE,"slvsrtb10";#N/A,#N/A,FALSE,"slvsrtb12"}</definedName>
    <definedName name="wrn.staffreport." localSheetId="15" hidden="1">{#N/A,#N/A,FALSE,"slvsrtb1";#N/A,#N/A,FALSE,"slvsrtb2";#N/A,#N/A,FALSE,"slvsrtb3";#N/A,#N/A,FALSE,"slvsrtb4";#N/A,#N/A,FALSE,"slvsrtb5";#N/A,#N/A,FALSE,"slvsrtb6";#N/A,#N/A,FALSE,"slvsrtb7";#N/A,#N/A,FALSE,"slvsrtb8";#N/A,#N/A,FALSE,"slvsrtb9";#N/A,#N/A,FALSE,"slvsrtb10";#N/A,#N/A,FALSE,"slvsrtb12"}</definedName>
    <definedName name="wrn.staffreport." localSheetId="1" hidden="1">{#N/A,#N/A,FALSE,"slvsrtb1";#N/A,#N/A,FALSE,"slvsrtb2";#N/A,#N/A,FALSE,"slvsrtb3";#N/A,#N/A,FALSE,"slvsrtb4";#N/A,#N/A,FALSE,"slvsrtb5";#N/A,#N/A,FALSE,"slvsrtb6";#N/A,#N/A,FALSE,"slvsrtb7";#N/A,#N/A,FALSE,"slvsrtb8";#N/A,#N/A,FALSE,"slvsrtb9";#N/A,#N/A,FALSE,"slvsrtb10";#N/A,#N/A,FALSE,"slvsrtb12"}</definedName>
    <definedName name="wrn.staffreport." localSheetId="43" hidden="1">{#N/A,#N/A,FALSE,"slvsrtb1";#N/A,#N/A,FALSE,"slvsrtb2";#N/A,#N/A,FALSE,"slvsrtb3";#N/A,#N/A,FALSE,"slvsrtb4";#N/A,#N/A,FALSE,"slvsrtb5";#N/A,#N/A,FALSE,"slvsrtb6";#N/A,#N/A,FALSE,"slvsrtb7";#N/A,#N/A,FALSE,"slvsrtb8";#N/A,#N/A,FALSE,"slvsrtb9";#N/A,#N/A,FALSE,"slvsrtb10";#N/A,#N/A,FALSE,"slvsrtb12"}</definedName>
    <definedName name="wrn.staffreport." localSheetId="29" hidden="1">{#N/A,#N/A,FALSE,"slvsrtb1";#N/A,#N/A,FALSE,"slvsrtb2";#N/A,#N/A,FALSE,"slvsrtb3";#N/A,#N/A,FALSE,"slvsrtb4";#N/A,#N/A,FALSE,"slvsrtb5";#N/A,#N/A,FALSE,"slvsrtb6";#N/A,#N/A,FALSE,"slvsrtb7";#N/A,#N/A,FALSE,"slvsrtb8";#N/A,#N/A,FALSE,"slvsrtb9";#N/A,#N/A,FALSE,"slvsrtb10";#N/A,#N/A,FALSE,"slvsrtb12"}</definedName>
    <definedName name="wrn.staffreport." localSheetId="30" hidden="1">{#N/A,#N/A,FALSE,"slvsrtb1";#N/A,#N/A,FALSE,"slvsrtb2";#N/A,#N/A,FALSE,"slvsrtb3";#N/A,#N/A,FALSE,"slvsrtb4";#N/A,#N/A,FALSE,"slvsrtb5";#N/A,#N/A,FALSE,"slvsrtb6";#N/A,#N/A,FALSE,"slvsrtb7";#N/A,#N/A,FALSE,"slvsrtb8";#N/A,#N/A,FALSE,"slvsrtb9";#N/A,#N/A,FALSE,"slvsrtb10";#N/A,#N/A,FALSE,"slvsrtb12"}</definedName>
    <definedName name="wrn.staffreport." localSheetId="44" hidden="1">{#N/A,#N/A,FALSE,"slvsrtb1";#N/A,#N/A,FALSE,"slvsrtb2";#N/A,#N/A,FALSE,"slvsrtb3";#N/A,#N/A,FALSE,"slvsrtb4";#N/A,#N/A,FALSE,"slvsrtb5";#N/A,#N/A,FALSE,"slvsrtb6";#N/A,#N/A,FALSE,"slvsrtb7";#N/A,#N/A,FALSE,"slvsrtb8";#N/A,#N/A,FALSE,"slvsrtb9";#N/A,#N/A,FALSE,"slvsrtb10";#N/A,#N/A,FALSE,"slvsrtb12"}</definedName>
    <definedName name="wrn.staffreport." localSheetId="59" hidden="1">{#N/A,#N/A,FALSE,"slvsrtb1";#N/A,#N/A,FALSE,"slvsrtb2";#N/A,#N/A,FALSE,"slvsrtb3";#N/A,#N/A,FALSE,"slvsrtb4";#N/A,#N/A,FALSE,"slvsrtb5";#N/A,#N/A,FALSE,"slvsrtb6";#N/A,#N/A,FALSE,"slvsrtb7";#N/A,#N/A,FALSE,"slvsrtb8";#N/A,#N/A,FALSE,"slvsrtb9";#N/A,#N/A,FALSE,"slvsrtb10";#N/A,#N/A,FALSE,"slvsrtb12"}</definedName>
    <definedName name="wrn.staffreport." localSheetId="13" hidden="1">{#N/A,#N/A,FALSE,"slvsrtb1";#N/A,#N/A,FALSE,"slvsrtb2";#N/A,#N/A,FALSE,"slvsrtb3";#N/A,#N/A,FALSE,"slvsrtb4";#N/A,#N/A,FALSE,"slvsrtb5";#N/A,#N/A,FALSE,"slvsrtb6";#N/A,#N/A,FALSE,"slvsrtb7";#N/A,#N/A,FALSE,"slvsrtb8";#N/A,#N/A,FALSE,"slvsrtb9";#N/A,#N/A,FALSE,"slvsrtb10";#N/A,#N/A,FALSE,"slvsrtb12"}</definedName>
    <definedName name="wrn.staffreport." localSheetId="0" hidden="1">{#N/A,#N/A,FALSE,"slvsrtb1";#N/A,#N/A,FALSE,"slvsrtb2";#N/A,#N/A,FALSE,"slvsrtb3";#N/A,#N/A,FALSE,"slvsrtb4";#N/A,#N/A,FALSE,"slvsrtb5";#N/A,#N/A,FALSE,"slvsrtb6";#N/A,#N/A,FALSE,"slvsrtb7";#N/A,#N/A,FALSE,"slvsrtb8";#N/A,#N/A,FALSE,"slvsrtb9";#N/A,#N/A,FALSE,"slvsrtb10";#N/A,#N/A,FALSE,"slvsrtb12"}</definedName>
    <definedName name="wrn.staffreport." localSheetId="57" hidden="1">{#N/A,#N/A,FALSE,"slvsrtb1";#N/A,#N/A,FALSE,"slvsrtb2";#N/A,#N/A,FALSE,"slvsrtb3";#N/A,#N/A,FALSE,"slvsrtb4";#N/A,#N/A,FALSE,"slvsrtb5";#N/A,#N/A,FALSE,"slvsrtb6";#N/A,#N/A,FALSE,"slvsrtb7";#N/A,#N/A,FALSE,"slvsrtb8";#N/A,#N/A,FALSE,"slvsrtb9";#N/A,#N/A,FALSE,"slvsrtb10";#N/A,#N/A,FALSE,"slvsrtb12"}</definedName>
    <definedName name="wrn.staffreport." localSheetId="56" hidden="1">{#N/A,#N/A,FALSE,"slvsrtb1";#N/A,#N/A,FALSE,"slvsrtb2";#N/A,#N/A,FALSE,"slvsrtb3";#N/A,#N/A,FALSE,"slvsrtb4";#N/A,#N/A,FALSE,"slvsrtb5";#N/A,#N/A,FALSE,"slvsrtb6";#N/A,#N/A,FALSE,"slvsrtb7";#N/A,#N/A,FALSE,"slvsrtb8";#N/A,#N/A,FALSE,"slvsrtb9";#N/A,#N/A,FALSE,"slvsrtb10";#N/A,#N/A,FALSE,"slvsrtb12"}</definedName>
    <definedName name="wrn.staffreport." localSheetId="54" hidden="1">{#N/A,#N/A,FALSE,"slvsrtb1";#N/A,#N/A,FALSE,"slvsrtb2";#N/A,#N/A,FALSE,"slvsrtb3";#N/A,#N/A,FALSE,"slvsrtb4";#N/A,#N/A,FALSE,"slvsrtb5";#N/A,#N/A,FALSE,"slvsrtb6";#N/A,#N/A,FALSE,"slvsrtb7";#N/A,#N/A,FALSE,"slvsrtb8";#N/A,#N/A,FALSE,"slvsrtb9";#N/A,#N/A,FALSE,"slvsrtb10";#N/A,#N/A,FALSE,"slvsrtb12"}</definedName>
    <definedName name="wrn.staffreport." localSheetId="52" hidden="1">{#N/A,#N/A,FALSE,"slvsrtb1";#N/A,#N/A,FALSE,"slvsrtb2";#N/A,#N/A,FALSE,"slvsrtb3";#N/A,#N/A,FALSE,"slvsrtb4";#N/A,#N/A,FALSE,"slvsrtb5";#N/A,#N/A,FALSE,"slvsrtb6";#N/A,#N/A,FALSE,"slvsrtb7";#N/A,#N/A,FALSE,"slvsrtb8";#N/A,#N/A,FALSE,"slvsrtb9";#N/A,#N/A,FALSE,"slvsrtb10";#N/A,#N/A,FALSE,"slvsrtb12"}</definedName>
    <definedName name="wrn.staffreport." localSheetId="23" hidden="1">{#N/A,#N/A,FALSE,"slvsrtb1";#N/A,#N/A,FALSE,"slvsrtb2";#N/A,#N/A,FALSE,"slvsrtb3";#N/A,#N/A,FALSE,"slvsrtb4";#N/A,#N/A,FALSE,"slvsrtb5";#N/A,#N/A,FALSE,"slvsrtb6";#N/A,#N/A,FALSE,"slvsrtb7";#N/A,#N/A,FALSE,"slvsrtb8";#N/A,#N/A,FALSE,"slvsrtb9";#N/A,#N/A,FALSE,"slvsrtb10";#N/A,#N/A,FALSE,"slvsrtb12"}</definedName>
    <definedName name="wrn.staffreport." localSheetId="51" hidden="1">{#N/A,#N/A,FALSE,"slvsrtb1";#N/A,#N/A,FALSE,"slvsrtb2";#N/A,#N/A,FALSE,"slvsrtb3";#N/A,#N/A,FALSE,"slvsrtb4";#N/A,#N/A,FALSE,"slvsrtb5";#N/A,#N/A,FALSE,"slvsrtb6";#N/A,#N/A,FALSE,"slvsrtb7";#N/A,#N/A,FALSE,"slvsrtb8";#N/A,#N/A,FALSE,"slvsrtb9";#N/A,#N/A,FALSE,"slvsrtb10";#N/A,#N/A,FALSE,"slvsrtb12"}</definedName>
    <definedName name="wrn.staffreport." localSheetId="53" hidden="1">{#N/A,#N/A,FALSE,"slvsrtb1";#N/A,#N/A,FALSE,"slvsrtb2";#N/A,#N/A,FALSE,"slvsrtb3";#N/A,#N/A,FALSE,"slvsrtb4";#N/A,#N/A,FALSE,"slvsrtb5";#N/A,#N/A,FALSE,"slvsrtb6";#N/A,#N/A,FALSE,"slvsrtb7";#N/A,#N/A,FALSE,"slvsrtb8";#N/A,#N/A,FALSE,"slvsrtb9";#N/A,#N/A,FALSE,"slvsrtb10";#N/A,#N/A,FALSE,"slvsrtb12"}</definedName>
    <definedName name="wrn.staffreport." localSheetId="60" hidden="1">{#N/A,#N/A,FALSE,"slvsrtb1";#N/A,#N/A,FALSE,"slvsrtb2";#N/A,#N/A,FALSE,"slvsrtb3";#N/A,#N/A,FALSE,"slvsrtb4";#N/A,#N/A,FALSE,"slvsrtb5";#N/A,#N/A,FALSE,"slvsrtb6";#N/A,#N/A,FALSE,"slvsrtb7";#N/A,#N/A,FALSE,"slvsrtb8";#N/A,#N/A,FALSE,"slvsrtb9";#N/A,#N/A,FALSE,"slvsrtb10";#N/A,#N/A,FALSE,"slvsrtb12"}</definedName>
    <definedName name="wrn.staffreport." hidden="1">{#N/A,#N/A,FALSE,"slvsrtb1";#N/A,#N/A,FALSE,"slvsrtb2";#N/A,#N/A,FALSE,"slvsrtb3";#N/A,#N/A,FALSE,"slvsrtb4";#N/A,#N/A,FALSE,"slvsrtb5";#N/A,#N/A,FALSE,"slvsrtb6";#N/A,#N/A,FALSE,"slvsrtb7";#N/A,#N/A,FALSE,"slvsrtb8";#N/A,#N/A,FALSE,"slvsrtb9";#N/A,#N/A,FALSE,"slvsrtb10";#N/A,#N/A,FALSE,"slvsrtb12"}</definedName>
    <definedName name="wrn.STATE." localSheetId="58" hidden="1">{#N/A,#N/A,FALSE,"STATE"}</definedName>
    <definedName name="wrn.STATE." localSheetId="16" hidden="1">{#N/A,#N/A,FALSE,"STATE"}</definedName>
    <definedName name="wrn.STATE." localSheetId="50" hidden="1">{#N/A,#N/A,FALSE,"STATE"}</definedName>
    <definedName name="wrn.STATE." localSheetId="44" hidden="1">{#N/A,#N/A,FALSE,"STATE"}</definedName>
    <definedName name="wrn.STATE." localSheetId="59" hidden="1">{#N/A,#N/A,FALSE,"STATE"}</definedName>
    <definedName name="wrn.STATE." localSheetId="57" hidden="1">{#N/A,#N/A,FALSE,"STATE"}</definedName>
    <definedName name="wrn.STATE." localSheetId="56" hidden="1">{#N/A,#N/A,FALSE,"STATE"}</definedName>
    <definedName name="wrn.STATE." localSheetId="54" hidden="1">{#N/A,#N/A,FALSE,"STATE"}</definedName>
    <definedName name="wrn.STATE." localSheetId="52" hidden="1">{#N/A,#N/A,FALSE,"STATE"}</definedName>
    <definedName name="wrn.STATE." localSheetId="51" hidden="1">{#N/A,#N/A,FALSE,"STATE"}</definedName>
    <definedName name="wrn.STATE." localSheetId="60" hidden="1">{#N/A,#N/A,FALSE,"STATE"}</definedName>
    <definedName name="wrn.STATE." hidden="1">{#N/A,#N/A,FALSE,"STATE"}</definedName>
    <definedName name="wrn.TAXARREARS." localSheetId="58" hidden="1">{#N/A,#N/A,FALSE,"TAXARREARS"}</definedName>
    <definedName name="wrn.TAXARREARS." localSheetId="16" hidden="1">{#N/A,#N/A,FALSE,"TAXARREARS"}</definedName>
    <definedName name="wrn.TAXARREARS." localSheetId="50" hidden="1">{#N/A,#N/A,FALSE,"TAXARREARS"}</definedName>
    <definedName name="wrn.TAXARREARS." localSheetId="44" hidden="1">{#N/A,#N/A,FALSE,"TAXARREARS"}</definedName>
    <definedName name="wrn.TAXARREARS." localSheetId="59" hidden="1">{#N/A,#N/A,FALSE,"TAXARREARS"}</definedName>
    <definedName name="wrn.TAXARREARS." localSheetId="57" hidden="1">{#N/A,#N/A,FALSE,"TAXARREARS"}</definedName>
    <definedName name="wrn.TAXARREARS." localSheetId="56" hidden="1">{#N/A,#N/A,FALSE,"TAXARREARS"}</definedName>
    <definedName name="wrn.TAXARREARS." localSheetId="54" hidden="1">{#N/A,#N/A,FALSE,"TAXARREARS"}</definedName>
    <definedName name="wrn.TAXARREARS." localSheetId="52" hidden="1">{#N/A,#N/A,FALSE,"TAXARREARS"}</definedName>
    <definedName name="wrn.TAXARREARS." localSheetId="51" hidden="1">{#N/A,#N/A,FALSE,"TAXARREARS"}</definedName>
    <definedName name="wrn.TAXARREARS." localSheetId="60" hidden="1">{#N/A,#N/A,FALSE,"TAXARREARS"}</definedName>
    <definedName name="wrn.TAXARREARS." hidden="1">{#N/A,#N/A,FALSE,"TAXARREARS"}</definedName>
    <definedName name="wrn.TAXPAYRS." localSheetId="58" hidden="1">{#N/A,#N/A,FALSE,"TAXPAYRS"}</definedName>
    <definedName name="wrn.TAXPAYRS." localSheetId="16" hidden="1">{#N/A,#N/A,FALSE,"TAXPAYRS"}</definedName>
    <definedName name="wrn.TAXPAYRS." localSheetId="50" hidden="1">{#N/A,#N/A,FALSE,"TAXPAYRS"}</definedName>
    <definedName name="wrn.TAXPAYRS." localSheetId="44" hidden="1">{#N/A,#N/A,FALSE,"TAXPAYRS"}</definedName>
    <definedName name="wrn.TAXPAYRS." localSheetId="59" hidden="1">{#N/A,#N/A,FALSE,"TAXPAYRS"}</definedName>
    <definedName name="wrn.TAXPAYRS." localSheetId="57" hidden="1">{#N/A,#N/A,FALSE,"TAXPAYRS"}</definedName>
    <definedName name="wrn.TAXPAYRS." localSheetId="56" hidden="1">{#N/A,#N/A,FALSE,"TAXPAYRS"}</definedName>
    <definedName name="wrn.TAXPAYRS." localSheetId="54" hidden="1">{#N/A,#N/A,FALSE,"TAXPAYRS"}</definedName>
    <definedName name="wrn.TAXPAYRS." localSheetId="52" hidden="1">{#N/A,#N/A,FALSE,"TAXPAYRS"}</definedName>
    <definedName name="wrn.TAXPAYRS." localSheetId="51" hidden="1">{#N/A,#N/A,FALSE,"TAXPAYRS"}</definedName>
    <definedName name="wrn.TAXPAYRS." localSheetId="60" hidden="1">{#N/A,#N/A,FALSE,"TAXPAYRS"}</definedName>
    <definedName name="wrn.TAXPAYRS." hidden="1">{#N/A,#N/A,FALSE,"TAXPAYRS"}</definedName>
    <definedName name="wrn.TRADE." localSheetId="58" hidden="1">{#N/A,#N/A,FALSE,"TRADE"}</definedName>
    <definedName name="wrn.TRADE." localSheetId="16" hidden="1">{#N/A,#N/A,FALSE,"TRADE"}</definedName>
    <definedName name="wrn.TRADE." localSheetId="50" hidden="1">{#N/A,#N/A,FALSE,"TRADE"}</definedName>
    <definedName name="wrn.TRADE." localSheetId="44" hidden="1">{#N/A,#N/A,FALSE,"TRADE"}</definedName>
    <definedName name="wrn.TRADE." localSheetId="59" hidden="1">{#N/A,#N/A,FALSE,"TRADE"}</definedName>
    <definedName name="wrn.TRADE." localSheetId="57" hidden="1">{#N/A,#N/A,FALSE,"TRADE"}</definedName>
    <definedName name="wrn.TRADE." localSheetId="56" hidden="1">{#N/A,#N/A,FALSE,"TRADE"}</definedName>
    <definedName name="wrn.TRADE." localSheetId="54" hidden="1">{#N/A,#N/A,FALSE,"TRADE"}</definedName>
    <definedName name="wrn.TRADE." localSheetId="52" hidden="1">{#N/A,#N/A,FALSE,"TRADE"}</definedName>
    <definedName name="wrn.TRADE." localSheetId="51" hidden="1">{#N/A,#N/A,FALSE,"TRADE"}</definedName>
    <definedName name="wrn.TRADE." localSheetId="60" hidden="1">{#N/A,#N/A,FALSE,"TRADE"}</definedName>
    <definedName name="wrn.TRADE." hidden="1">{#N/A,#N/A,FALSE,"TRADE"}</definedName>
    <definedName name="wrn.TRANSPORT." localSheetId="58" hidden="1">{#N/A,#N/A,FALSE,"TRANPORT"}</definedName>
    <definedName name="wrn.TRANSPORT." localSheetId="16" hidden="1">{#N/A,#N/A,FALSE,"TRANPORT"}</definedName>
    <definedName name="wrn.TRANSPORT." localSheetId="50" hidden="1">{#N/A,#N/A,FALSE,"TRANPORT"}</definedName>
    <definedName name="wrn.TRANSPORT." localSheetId="44" hidden="1">{#N/A,#N/A,FALSE,"TRANPORT"}</definedName>
    <definedName name="wrn.TRANSPORT." localSheetId="59" hidden="1">{#N/A,#N/A,FALSE,"TRANPORT"}</definedName>
    <definedName name="wrn.TRANSPORT." localSheetId="57" hidden="1">{#N/A,#N/A,FALSE,"TRANPORT"}</definedName>
    <definedName name="wrn.TRANSPORT." localSheetId="56" hidden="1">{#N/A,#N/A,FALSE,"TRANPORT"}</definedName>
    <definedName name="wrn.TRANSPORT." localSheetId="54" hidden="1">{#N/A,#N/A,FALSE,"TRANPORT"}</definedName>
    <definedName name="wrn.TRANSPORT." localSheetId="52" hidden="1">{#N/A,#N/A,FALSE,"TRANPORT"}</definedName>
    <definedName name="wrn.TRANSPORT." localSheetId="51" hidden="1">{#N/A,#N/A,FALSE,"TRANPORT"}</definedName>
    <definedName name="wrn.TRANSPORT." localSheetId="60" hidden="1">{#N/A,#N/A,FALSE,"TRANPORT"}</definedName>
    <definedName name="wrn.TRANSPORT." hidden="1">{#N/A,#N/A,FALSE,"TRANPORT"}</definedName>
    <definedName name="wrn.UNEMPL." localSheetId="58" hidden="1">{#N/A,#N/A,FALSE,"EMP_POP";#N/A,#N/A,FALSE,"UNEMPL"}</definedName>
    <definedName name="wrn.UNEMPL." localSheetId="16" hidden="1">{#N/A,#N/A,FALSE,"EMP_POP";#N/A,#N/A,FALSE,"UNEMPL"}</definedName>
    <definedName name="wrn.UNEMPL." localSheetId="50" hidden="1">{#N/A,#N/A,FALSE,"EMP_POP";#N/A,#N/A,FALSE,"UNEMPL"}</definedName>
    <definedName name="wrn.UNEMPL." localSheetId="44" hidden="1">{#N/A,#N/A,FALSE,"EMP_POP";#N/A,#N/A,FALSE,"UNEMPL"}</definedName>
    <definedName name="wrn.UNEMPL." localSheetId="59" hidden="1">{#N/A,#N/A,FALSE,"EMP_POP";#N/A,#N/A,FALSE,"UNEMPL"}</definedName>
    <definedName name="wrn.UNEMPL." localSheetId="57" hidden="1">{#N/A,#N/A,FALSE,"EMP_POP";#N/A,#N/A,FALSE,"UNEMPL"}</definedName>
    <definedName name="wrn.UNEMPL." localSheetId="56" hidden="1">{#N/A,#N/A,FALSE,"EMP_POP";#N/A,#N/A,FALSE,"UNEMPL"}</definedName>
    <definedName name="wrn.UNEMPL." localSheetId="54" hidden="1">{#N/A,#N/A,FALSE,"EMP_POP";#N/A,#N/A,FALSE,"UNEMPL"}</definedName>
    <definedName name="wrn.UNEMPL." localSheetId="52" hidden="1">{#N/A,#N/A,FALSE,"EMP_POP";#N/A,#N/A,FALSE,"UNEMPL"}</definedName>
    <definedName name="wrn.UNEMPL." localSheetId="51" hidden="1">{#N/A,#N/A,FALSE,"EMP_POP";#N/A,#N/A,FALSE,"UNEMPL"}</definedName>
    <definedName name="wrn.UNEMPL." localSheetId="60" hidden="1">{#N/A,#N/A,FALSE,"EMP_POP";#N/A,#N/A,FALSE,"UNEMPL"}</definedName>
    <definedName name="wrn.UNEMPL." hidden="1">{#N/A,#N/A,FALSE,"EMP_POP";#N/A,#N/A,FALSE,"UNEMPL"}</definedName>
    <definedName name="wrn.WAGES." localSheetId="58" hidden="1">{#N/A,#N/A,FALSE,"WAGES"}</definedName>
    <definedName name="wrn.WAGES." localSheetId="16" hidden="1">{#N/A,#N/A,FALSE,"WAGES"}</definedName>
    <definedName name="wrn.WAGES." localSheetId="50" hidden="1">{#N/A,#N/A,FALSE,"WAGES"}</definedName>
    <definedName name="wrn.WAGES." localSheetId="44" hidden="1">{#N/A,#N/A,FALSE,"WAGES"}</definedName>
    <definedName name="wrn.WAGES." localSheetId="59" hidden="1">{#N/A,#N/A,FALSE,"WAGES"}</definedName>
    <definedName name="wrn.WAGES." localSheetId="57" hidden="1">{#N/A,#N/A,FALSE,"WAGES"}</definedName>
    <definedName name="wrn.WAGES." localSheetId="56" hidden="1">{#N/A,#N/A,FALSE,"WAGES"}</definedName>
    <definedName name="wrn.WAGES." localSheetId="54" hidden="1">{#N/A,#N/A,FALSE,"WAGES"}</definedName>
    <definedName name="wrn.WAGES." localSheetId="52" hidden="1">{#N/A,#N/A,FALSE,"WAGES"}</definedName>
    <definedName name="wrn.WAGES." localSheetId="51" hidden="1">{#N/A,#N/A,FALSE,"WAGES"}</definedName>
    <definedName name="wrn.WAGES." localSheetId="60" hidden="1">{#N/A,#N/A,FALSE,"WAGES"}</definedName>
    <definedName name="wrn.WAGES." hidden="1">{#N/A,#N/A,FALSE,"WAGES"}</definedName>
    <definedName name="wrn.WEO." localSheetId="58" hidden="1">{"WEO",#N/A,FALSE,"T"}</definedName>
    <definedName name="wrn.WEO." localSheetId="16" hidden="1">{"WEO",#N/A,FALSE,"T"}</definedName>
    <definedName name="wrn.WEO." localSheetId="50" hidden="1">{"WEO",#N/A,FALSE,"T"}</definedName>
    <definedName name="wrn.WEO." localSheetId="44" hidden="1">{"WEO",#N/A,FALSE,"T"}</definedName>
    <definedName name="wrn.WEO." localSheetId="59" hidden="1">{"WEO",#N/A,FALSE,"T"}</definedName>
    <definedName name="wrn.WEO." localSheetId="57" hidden="1">{"WEO",#N/A,FALSE,"T"}</definedName>
    <definedName name="wrn.WEO." localSheetId="56" hidden="1">{"WEO",#N/A,FALSE,"T"}</definedName>
    <definedName name="wrn.WEO." localSheetId="54" hidden="1">{"WEO",#N/A,FALSE,"T"}</definedName>
    <definedName name="wrn.WEO." localSheetId="52" hidden="1">{"WEO",#N/A,FALSE,"T"}</definedName>
    <definedName name="wrn.WEO." localSheetId="51" hidden="1">{"WEO",#N/A,FALSE,"T"}</definedName>
    <definedName name="wrn.WEO." localSheetId="60" hidden="1">{"WEO",#N/A,FALSE,"T"}</definedName>
    <definedName name="wrn.WEO." hidden="1">{"WEO",#N/A,FALSE,"T"}</definedName>
    <definedName name="ww" localSheetId="34" hidden="1">[166]M!#REF!</definedName>
    <definedName name="ww" localSheetId="35" hidden="1">[166]M!#REF!</definedName>
    <definedName name="ww" localSheetId="50" hidden="1">[166]M!#REF!</definedName>
    <definedName name="ww" localSheetId="15" hidden="1">[166]M!#REF!</definedName>
    <definedName name="ww" localSheetId="29" hidden="1">[166]M!#REF!</definedName>
    <definedName name="ww" localSheetId="30" hidden="1">[166]M!#REF!</definedName>
    <definedName name="ww" localSheetId="47" hidden="1">[166]M!#REF!</definedName>
    <definedName name="ww" localSheetId="44" hidden="1">[166]M!#REF!</definedName>
    <definedName name="ww" localSheetId="45" hidden="1">[166]M!#REF!</definedName>
    <definedName name="ww" localSheetId="46" hidden="1">[166]M!#REF!</definedName>
    <definedName name="ww" localSheetId="31" hidden="1">[166]M!#REF!</definedName>
    <definedName name="ww" localSheetId="32" hidden="1">[166]M!#REF!</definedName>
    <definedName name="ww" localSheetId="33" hidden="1">[166]M!#REF!</definedName>
    <definedName name="ww" localSheetId="36" hidden="1">[166]M!#REF!</definedName>
    <definedName name="ww" localSheetId="37" hidden="1">[166]M!#REF!</definedName>
    <definedName name="ww" localSheetId="38" hidden="1">[166]M!#REF!</definedName>
    <definedName name="ww" localSheetId="39" hidden="1">[166]M!#REF!</definedName>
    <definedName name="ww" localSheetId="40" hidden="1">[166]M!#REF!</definedName>
    <definedName name="ww" localSheetId="54" hidden="1">[166]M!#REF!</definedName>
    <definedName name="ww" localSheetId="55" hidden="1">[166]M!#REF!</definedName>
    <definedName name="ww" localSheetId="52" hidden="1">[166]M!#REF!</definedName>
    <definedName name="ww" localSheetId="23" hidden="1">[166]M!#REF!</definedName>
    <definedName name="ww" localSheetId="51" hidden="1">[166]M!#REF!</definedName>
    <definedName name="ww" localSheetId="53" hidden="1">[166]M!#REF!</definedName>
    <definedName name="ww" localSheetId="20" hidden="1">[166]M!#REF!</definedName>
    <definedName name="ww" hidden="1">[166]M!#REF!</definedName>
    <definedName name="www" localSheetId="58" hidden="1">{"Riqfin97",#N/A,FALSE,"Tran";"Riqfinpro",#N/A,FALSE,"Tran"}</definedName>
    <definedName name="www" localSheetId="16" hidden="1">{"Riqfin97",#N/A,FALSE,"Tran";"Riqfinpro",#N/A,FALSE,"Tran"}</definedName>
    <definedName name="www" localSheetId="61" hidden="1">{"Riqfin97",#N/A,FALSE,"Tran";"Riqfinpro",#N/A,FALSE,"Tran"}</definedName>
    <definedName name="www" localSheetId="62" hidden="1">{"Riqfin97",#N/A,FALSE,"Tran";"Riqfinpro",#N/A,FALSE,"Tran"}</definedName>
    <definedName name="www" localSheetId="50" hidden="1">{"Riqfin97",#N/A,FALSE,"Tran";"Riqfinpro",#N/A,FALSE,"Tran"}</definedName>
    <definedName name="www" localSheetId="63" hidden="1">{"Riqfin97",#N/A,FALSE,"Tran";"Riqfinpro",#N/A,FALSE,"Tran"}</definedName>
    <definedName name="www" localSheetId="15" hidden="1">{"Riqfin97",#N/A,FALSE,"Tran";"Riqfinpro",#N/A,FALSE,"Tran"}</definedName>
    <definedName name="www" localSheetId="1" hidden="1">{"Riqfin97",#N/A,FALSE,"Tran";"Riqfinpro",#N/A,FALSE,"Tran"}</definedName>
    <definedName name="www" localSheetId="43" hidden="1">{"Riqfin97",#N/A,FALSE,"Tran";"Riqfinpro",#N/A,FALSE,"Tran"}</definedName>
    <definedName name="www" localSheetId="29" hidden="1">{"Riqfin97",#N/A,FALSE,"Tran";"Riqfinpro",#N/A,FALSE,"Tran"}</definedName>
    <definedName name="www" localSheetId="30" hidden="1">{"Riqfin97",#N/A,FALSE,"Tran";"Riqfinpro",#N/A,FALSE,"Tran"}</definedName>
    <definedName name="www" localSheetId="44" hidden="1">{"Riqfin97",#N/A,FALSE,"Tran";"Riqfinpro",#N/A,FALSE,"Tran"}</definedName>
    <definedName name="www" localSheetId="59" hidden="1">{"Riqfin97",#N/A,FALSE,"Tran";"Riqfinpro",#N/A,FALSE,"Tran"}</definedName>
    <definedName name="www" localSheetId="13" hidden="1">{"Riqfin97",#N/A,FALSE,"Tran";"Riqfinpro",#N/A,FALSE,"Tran"}</definedName>
    <definedName name="www" localSheetId="0" hidden="1">{"Riqfin97",#N/A,FALSE,"Tran";"Riqfinpro",#N/A,FALSE,"Tran"}</definedName>
    <definedName name="www" localSheetId="57" hidden="1">{"Riqfin97",#N/A,FALSE,"Tran";"Riqfinpro",#N/A,FALSE,"Tran"}</definedName>
    <definedName name="www" localSheetId="56" hidden="1">{"Riqfin97",#N/A,FALSE,"Tran";"Riqfinpro",#N/A,FALSE,"Tran"}</definedName>
    <definedName name="www" localSheetId="54" hidden="1">{"Riqfin97",#N/A,FALSE,"Tran";"Riqfinpro",#N/A,FALSE,"Tran"}</definedName>
    <definedName name="www" localSheetId="52" hidden="1">{"Riqfin97",#N/A,FALSE,"Tran";"Riqfinpro",#N/A,FALSE,"Tran"}</definedName>
    <definedName name="www" localSheetId="23" hidden="1">{"Riqfin97",#N/A,FALSE,"Tran";"Riqfinpro",#N/A,FALSE,"Tran"}</definedName>
    <definedName name="www" localSheetId="51" hidden="1">{"Riqfin97",#N/A,FALSE,"Tran";"Riqfinpro",#N/A,FALSE,"Tran"}</definedName>
    <definedName name="www" localSheetId="53" hidden="1">{"Riqfin97",#N/A,FALSE,"Tran";"Riqfinpro",#N/A,FALSE,"Tran"}</definedName>
    <definedName name="www" localSheetId="60" hidden="1">{"Riqfin97",#N/A,FALSE,"Tran";"Riqfinpro",#N/A,FALSE,"Tran"}</definedName>
    <definedName name="www" hidden="1">{"Riqfin97",#N/A,FALSE,"Tran";"Riqfinpro",#N/A,FALSE,"Tran"}</definedName>
    <definedName name="wwwjjj" localSheetId="58" hidden="1">{#N/A,#N/A,FALSE,"slvsrtb1";#N/A,#N/A,FALSE,"slvsrtb2";#N/A,#N/A,FALSE,"slvsrtb3";#N/A,#N/A,FALSE,"slvsrtb4";#N/A,#N/A,FALSE,"slvsrtb5";#N/A,#N/A,FALSE,"slvsrtb6";#N/A,#N/A,FALSE,"slvsrtb7";#N/A,#N/A,FALSE,"slvsrtb8";#N/A,#N/A,FALSE,"slvsrtb9";#N/A,#N/A,FALSE,"slvsrtb10";#N/A,#N/A,FALSE,"slvsrtb12"}</definedName>
    <definedName name="wwwjjj" localSheetId="16" hidden="1">{#N/A,#N/A,FALSE,"slvsrtb1";#N/A,#N/A,FALSE,"slvsrtb2";#N/A,#N/A,FALSE,"slvsrtb3";#N/A,#N/A,FALSE,"slvsrtb4";#N/A,#N/A,FALSE,"slvsrtb5";#N/A,#N/A,FALSE,"slvsrtb6";#N/A,#N/A,FALSE,"slvsrtb7";#N/A,#N/A,FALSE,"slvsrtb8";#N/A,#N/A,FALSE,"slvsrtb9";#N/A,#N/A,FALSE,"slvsrtb10";#N/A,#N/A,FALSE,"slvsrtb12"}</definedName>
    <definedName name="wwwjjj" localSheetId="61" hidden="1">{#N/A,#N/A,FALSE,"slvsrtb1";#N/A,#N/A,FALSE,"slvsrtb2";#N/A,#N/A,FALSE,"slvsrtb3";#N/A,#N/A,FALSE,"slvsrtb4";#N/A,#N/A,FALSE,"slvsrtb5";#N/A,#N/A,FALSE,"slvsrtb6";#N/A,#N/A,FALSE,"slvsrtb7";#N/A,#N/A,FALSE,"slvsrtb8";#N/A,#N/A,FALSE,"slvsrtb9";#N/A,#N/A,FALSE,"slvsrtb10";#N/A,#N/A,FALSE,"slvsrtb12"}</definedName>
    <definedName name="wwwjjj" localSheetId="62" hidden="1">{#N/A,#N/A,FALSE,"slvsrtb1";#N/A,#N/A,FALSE,"slvsrtb2";#N/A,#N/A,FALSE,"slvsrtb3";#N/A,#N/A,FALSE,"slvsrtb4";#N/A,#N/A,FALSE,"slvsrtb5";#N/A,#N/A,FALSE,"slvsrtb6";#N/A,#N/A,FALSE,"slvsrtb7";#N/A,#N/A,FALSE,"slvsrtb8";#N/A,#N/A,FALSE,"slvsrtb9";#N/A,#N/A,FALSE,"slvsrtb10";#N/A,#N/A,FALSE,"slvsrtb12"}</definedName>
    <definedName name="wwwjjj" localSheetId="50" hidden="1">{#N/A,#N/A,FALSE,"slvsrtb1";#N/A,#N/A,FALSE,"slvsrtb2";#N/A,#N/A,FALSE,"slvsrtb3";#N/A,#N/A,FALSE,"slvsrtb4";#N/A,#N/A,FALSE,"slvsrtb5";#N/A,#N/A,FALSE,"slvsrtb6";#N/A,#N/A,FALSE,"slvsrtb7";#N/A,#N/A,FALSE,"slvsrtb8";#N/A,#N/A,FALSE,"slvsrtb9";#N/A,#N/A,FALSE,"slvsrtb10";#N/A,#N/A,FALSE,"slvsrtb12"}</definedName>
    <definedName name="wwwjjj" localSheetId="63" hidden="1">{#N/A,#N/A,FALSE,"slvsrtb1";#N/A,#N/A,FALSE,"slvsrtb2";#N/A,#N/A,FALSE,"slvsrtb3";#N/A,#N/A,FALSE,"slvsrtb4";#N/A,#N/A,FALSE,"slvsrtb5";#N/A,#N/A,FALSE,"slvsrtb6";#N/A,#N/A,FALSE,"slvsrtb7";#N/A,#N/A,FALSE,"slvsrtb8";#N/A,#N/A,FALSE,"slvsrtb9";#N/A,#N/A,FALSE,"slvsrtb10";#N/A,#N/A,FALSE,"slvsrtb12"}</definedName>
    <definedName name="wwwjjj" localSheetId="15" hidden="1">{#N/A,#N/A,FALSE,"slvsrtb1";#N/A,#N/A,FALSE,"slvsrtb2";#N/A,#N/A,FALSE,"slvsrtb3";#N/A,#N/A,FALSE,"slvsrtb4";#N/A,#N/A,FALSE,"slvsrtb5";#N/A,#N/A,FALSE,"slvsrtb6";#N/A,#N/A,FALSE,"slvsrtb7";#N/A,#N/A,FALSE,"slvsrtb8";#N/A,#N/A,FALSE,"slvsrtb9";#N/A,#N/A,FALSE,"slvsrtb10";#N/A,#N/A,FALSE,"slvsrtb12"}</definedName>
    <definedName name="wwwjjj" localSheetId="1" hidden="1">{#N/A,#N/A,FALSE,"slvsrtb1";#N/A,#N/A,FALSE,"slvsrtb2";#N/A,#N/A,FALSE,"slvsrtb3";#N/A,#N/A,FALSE,"slvsrtb4";#N/A,#N/A,FALSE,"slvsrtb5";#N/A,#N/A,FALSE,"slvsrtb6";#N/A,#N/A,FALSE,"slvsrtb7";#N/A,#N/A,FALSE,"slvsrtb8";#N/A,#N/A,FALSE,"slvsrtb9";#N/A,#N/A,FALSE,"slvsrtb10";#N/A,#N/A,FALSE,"slvsrtb12"}</definedName>
    <definedName name="wwwjjj" localSheetId="43" hidden="1">{#N/A,#N/A,FALSE,"slvsrtb1";#N/A,#N/A,FALSE,"slvsrtb2";#N/A,#N/A,FALSE,"slvsrtb3";#N/A,#N/A,FALSE,"slvsrtb4";#N/A,#N/A,FALSE,"slvsrtb5";#N/A,#N/A,FALSE,"slvsrtb6";#N/A,#N/A,FALSE,"slvsrtb7";#N/A,#N/A,FALSE,"slvsrtb8";#N/A,#N/A,FALSE,"slvsrtb9";#N/A,#N/A,FALSE,"slvsrtb10";#N/A,#N/A,FALSE,"slvsrtb12"}</definedName>
    <definedName name="wwwjjj" localSheetId="29" hidden="1">{#N/A,#N/A,FALSE,"slvsrtb1";#N/A,#N/A,FALSE,"slvsrtb2";#N/A,#N/A,FALSE,"slvsrtb3";#N/A,#N/A,FALSE,"slvsrtb4";#N/A,#N/A,FALSE,"slvsrtb5";#N/A,#N/A,FALSE,"slvsrtb6";#N/A,#N/A,FALSE,"slvsrtb7";#N/A,#N/A,FALSE,"slvsrtb8";#N/A,#N/A,FALSE,"slvsrtb9";#N/A,#N/A,FALSE,"slvsrtb10";#N/A,#N/A,FALSE,"slvsrtb12"}</definedName>
    <definedName name="wwwjjj" localSheetId="30" hidden="1">{#N/A,#N/A,FALSE,"slvsrtb1";#N/A,#N/A,FALSE,"slvsrtb2";#N/A,#N/A,FALSE,"slvsrtb3";#N/A,#N/A,FALSE,"slvsrtb4";#N/A,#N/A,FALSE,"slvsrtb5";#N/A,#N/A,FALSE,"slvsrtb6";#N/A,#N/A,FALSE,"slvsrtb7";#N/A,#N/A,FALSE,"slvsrtb8";#N/A,#N/A,FALSE,"slvsrtb9";#N/A,#N/A,FALSE,"slvsrtb10";#N/A,#N/A,FALSE,"slvsrtb12"}</definedName>
    <definedName name="wwwjjj" localSheetId="44" hidden="1">{#N/A,#N/A,FALSE,"slvsrtb1";#N/A,#N/A,FALSE,"slvsrtb2";#N/A,#N/A,FALSE,"slvsrtb3";#N/A,#N/A,FALSE,"slvsrtb4";#N/A,#N/A,FALSE,"slvsrtb5";#N/A,#N/A,FALSE,"slvsrtb6";#N/A,#N/A,FALSE,"slvsrtb7";#N/A,#N/A,FALSE,"slvsrtb8";#N/A,#N/A,FALSE,"slvsrtb9";#N/A,#N/A,FALSE,"slvsrtb10";#N/A,#N/A,FALSE,"slvsrtb12"}</definedName>
    <definedName name="wwwjjj" localSheetId="59" hidden="1">{#N/A,#N/A,FALSE,"slvsrtb1";#N/A,#N/A,FALSE,"slvsrtb2";#N/A,#N/A,FALSE,"slvsrtb3";#N/A,#N/A,FALSE,"slvsrtb4";#N/A,#N/A,FALSE,"slvsrtb5";#N/A,#N/A,FALSE,"slvsrtb6";#N/A,#N/A,FALSE,"slvsrtb7";#N/A,#N/A,FALSE,"slvsrtb8";#N/A,#N/A,FALSE,"slvsrtb9";#N/A,#N/A,FALSE,"slvsrtb10";#N/A,#N/A,FALSE,"slvsrtb12"}</definedName>
    <definedName name="wwwjjj" localSheetId="13" hidden="1">{#N/A,#N/A,FALSE,"slvsrtb1";#N/A,#N/A,FALSE,"slvsrtb2";#N/A,#N/A,FALSE,"slvsrtb3";#N/A,#N/A,FALSE,"slvsrtb4";#N/A,#N/A,FALSE,"slvsrtb5";#N/A,#N/A,FALSE,"slvsrtb6";#N/A,#N/A,FALSE,"slvsrtb7";#N/A,#N/A,FALSE,"slvsrtb8";#N/A,#N/A,FALSE,"slvsrtb9";#N/A,#N/A,FALSE,"slvsrtb10";#N/A,#N/A,FALSE,"slvsrtb12"}</definedName>
    <definedName name="wwwjjj" localSheetId="0" hidden="1">{#N/A,#N/A,FALSE,"slvsrtb1";#N/A,#N/A,FALSE,"slvsrtb2";#N/A,#N/A,FALSE,"slvsrtb3";#N/A,#N/A,FALSE,"slvsrtb4";#N/A,#N/A,FALSE,"slvsrtb5";#N/A,#N/A,FALSE,"slvsrtb6";#N/A,#N/A,FALSE,"slvsrtb7";#N/A,#N/A,FALSE,"slvsrtb8";#N/A,#N/A,FALSE,"slvsrtb9";#N/A,#N/A,FALSE,"slvsrtb10";#N/A,#N/A,FALSE,"slvsrtb12"}</definedName>
    <definedName name="wwwjjj" localSheetId="57" hidden="1">{#N/A,#N/A,FALSE,"slvsrtb1";#N/A,#N/A,FALSE,"slvsrtb2";#N/A,#N/A,FALSE,"slvsrtb3";#N/A,#N/A,FALSE,"slvsrtb4";#N/A,#N/A,FALSE,"slvsrtb5";#N/A,#N/A,FALSE,"slvsrtb6";#N/A,#N/A,FALSE,"slvsrtb7";#N/A,#N/A,FALSE,"slvsrtb8";#N/A,#N/A,FALSE,"slvsrtb9";#N/A,#N/A,FALSE,"slvsrtb10";#N/A,#N/A,FALSE,"slvsrtb12"}</definedName>
    <definedName name="wwwjjj" localSheetId="56" hidden="1">{#N/A,#N/A,FALSE,"slvsrtb1";#N/A,#N/A,FALSE,"slvsrtb2";#N/A,#N/A,FALSE,"slvsrtb3";#N/A,#N/A,FALSE,"slvsrtb4";#N/A,#N/A,FALSE,"slvsrtb5";#N/A,#N/A,FALSE,"slvsrtb6";#N/A,#N/A,FALSE,"slvsrtb7";#N/A,#N/A,FALSE,"slvsrtb8";#N/A,#N/A,FALSE,"slvsrtb9";#N/A,#N/A,FALSE,"slvsrtb10";#N/A,#N/A,FALSE,"slvsrtb12"}</definedName>
    <definedName name="wwwjjj" localSheetId="54" hidden="1">{#N/A,#N/A,FALSE,"slvsrtb1";#N/A,#N/A,FALSE,"slvsrtb2";#N/A,#N/A,FALSE,"slvsrtb3";#N/A,#N/A,FALSE,"slvsrtb4";#N/A,#N/A,FALSE,"slvsrtb5";#N/A,#N/A,FALSE,"slvsrtb6";#N/A,#N/A,FALSE,"slvsrtb7";#N/A,#N/A,FALSE,"slvsrtb8";#N/A,#N/A,FALSE,"slvsrtb9";#N/A,#N/A,FALSE,"slvsrtb10";#N/A,#N/A,FALSE,"slvsrtb12"}</definedName>
    <definedName name="wwwjjj" localSheetId="52" hidden="1">{#N/A,#N/A,FALSE,"slvsrtb1";#N/A,#N/A,FALSE,"slvsrtb2";#N/A,#N/A,FALSE,"slvsrtb3";#N/A,#N/A,FALSE,"slvsrtb4";#N/A,#N/A,FALSE,"slvsrtb5";#N/A,#N/A,FALSE,"slvsrtb6";#N/A,#N/A,FALSE,"slvsrtb7";#N/A,#N/A,FALSE,"slvsrtb8";#N/A,#N/A,FALSE,"slvsrtb9";#N/A,#N/A,FALSE,"slvsrtb10";#N/A,#N/A,FALSE,"slvsrtb12"}</definedName>
    <definedName name="wwwjjj" localSheetId="23" hidden="1">{#N/A,#N/A,FALSE,"slvsrtb1";#N/A,#N/A,FALSE,"slvsrtb2";#N/A,#N/A,FALSE,"slvsrtb3";#N/A,#N/A,FALSE,"slvsrtb4";#N/A,#N/A,FALSE,"slvsrtb5";#N/A,#N/A,FALSE,"slvsrtb6";#N/A,#N/A,FALSE,"slvsrtb7";#N/A,#N/A,FALSE,"slvsrtb8";#N/A,#N/A,FALSE,"slvsrtb9";#N/A,#N/A,FALSE,"slvsrtb10";#N/A,#N/A,FALSE,"slvsrtb12"}</definedName>
    <definedName name="wwwjjj" localSheetId="51" hidden="1">{#N/A,#N/A,FALSE,"slvsrtb1";#N/A,#N/A,FALSE,"slvsrtb2";#N/A,#N/A,FALSE,"slvsrtb3";#N/A,#N/A,FALSE,"slvsrtb4";#N/A,#N/A,FALSE,"slvsrtb5";#N/A,#N/A,FALSE,"slvsrtb6";#N/A,#N/A,FALSE,"slvsrtb7";#N/A,#N/A,FALSE,"slvsrtb8";#N/A,#N/A,FALSE,"slvsrtb9";#N/A,#N/A,FALSE,"slvsrtb10";#N/A,#N/A,FALSE,"slvsrtb12"}</definedName>
    <definedName name="wwwjjj" localSheetId="53" hidden="1">{#N/A,#N/A,FALSE,"slvsrtb1";#N/A,#N/A,FALSE,"slvsrtb2";#N/A,#N/A,FALSE,"slvsrtb3";#N/A,#N/A,FALSE,"slvsrtb4";#N/A,#N/A,FALSE,"slvsrtb5";#N/A,#N/A,FALSE,"slvsrtb6";#N/A,#N/A,FALSE,"slvsrtb7";#N/A,#N/A,FALSE,"slvsrtb8";#N/A,#N/A,FALSE,"slvsrtb9";#N/A,#N/A,FALSE,"slvsrtb10";#N/A,#N/A,FALSE,"slvsrtb12"}</definedName>
    <definedName name="wwwjjj" localSheetId="60" hidden="1">{#N/A,#N/A,FALSE,"slvsrtb1";#N/A,#N/A,FALSE,"slvsrtb2";#N/A,#N/A,FALSE,"slvsrtb3";#N/A,#N/A,FALSE,"slvsrtb4";#N/A,#N/A,FALSE,"slvsrtb5";#N/A,#N/A,FALSE,"slvsrtb6";#N/A,#N/A,FALSE,"slvsrtb7";#N/A,#N/A,FALSE,"slvsrtb8";#N/A,#N/A,FALSE,"slvsrtb9";#N/A,#N/A,FALSE,"slvsrtb10";#N/A,#N/A,FALSE,"slvsrtb12"}</definedName>
    <definedName name="wwwjjj" hidden="1">{#N/A,#N/A,FALSE,"slvsrtb1";#N/A,#N/A,FALSE,"slvsrtb2";#N/A,#N/A,FALSE,"slvsrtb3";#N/A,#N/A,FALSE,"slvsrtb4";#N/A,#N/A,FALSE,"slvsrtb5";#N/A,#N/A,FALSE,"slvsrtb6";#N/A,#N/A,FALSE,"slvsrtb7";#N/A,#N/A,FALSE,"slvsrtb8";#N/A,#N/A,FALSE,"slvsrtb9";#N/A,#N/A,FALSE,"slvsrtb10";#N/A,#N/A,FALSE,"slvsrtb12"}</definedName>
    <definedName name="wwww" localSheetId="34" hidden="1">[166]M!#REF!</definedName>
    <definedName name="wwww" localSheetId="35" hidden="1">[166]M!#REF!</definedName>
    <definedName name="wwww" localSheetId="50" hidden="1">[166]M!#REF!</definedName>
    <definedName name="wwww" localSheetId="15" hidden="1">[166]M!#REF!</definedName>
    <definedName name="wwww" localSheetId="29" hidden="1">[166]M!#REF!</definedName>
    <definedName name="wwww" localSheetId="30" hidden="1">[166]M!#REF!</definedName>
    <definedName name="wwww" localSheetId="47" hidden="1">[166]M!#REF!</definedName>
    <definedName name="wwww" localSheetId="44" hidden="1">[166]M!#REF!</definedName>
    <definedName name="wwww" localSheetId="45" hidden="1">[166]M!#REF!</definedName>
    <definedName name="wwww" localSheetId="46" hidden="1">[166]M!#REF!</definedName>
    <definedName name="wwww" localSheetId="31" hidden="1">[166]M!#REF!</definedName>
    <definedName name="wwww" localSheetId="32" hidden="1">[166]M!#REF!</definedName>
    <definedName name="wwww" localSheetId="33" hidden="1">[166]M!#REF!</definedName>
    <definedName name="wwww" localSheetId="36" hidden="1">[166]M!#REF!</definedName>
    <definedName name="wwww" localSheetId="37" hidden="1">[166]M!#REF!</definedName>
    <definedName name="wwww" localSheetId="38" hidden="1">[166]M!#REF!</definedName>
    <definedName name="wwww" localSheetId="39" hidden="1">[166]M!#REF!</definedName>
    <definedName name="wwww" localSheetId="40" hidden="1">[166]M!#REF!</definedName>
    <definedName name="wwww" localSheetId="54" hidden="1">[166]M!#REF!</definedName>
    <definedName name="wwww" localSheetId="55" hidden="1">[166]M!#REF!</definedName>
    <definedName name="wwww" localSheetId="52" hidden="1">[166]M!#REF!</definedName>
    <definedName name="wwww" localSheetId="23" hidden="1">[166]M!#REF!</definedName>
    <definedName name="wwww" localSheetId="51" hidden="1">[166]M!#REF!</definedName>
    <definedName name="wwww" localSheetId="53" hidden="1">[166]M!#REF!</definedName>
    <definedName name="wwww" localSheetId="20" hidden="1">[166]M!#REF!</definedName>
    <definedName name="wwww" hidden="1">[166]M!#REF!</definedName>
    <definedName name="wwwww" localSheetId="58" hidden="1">{"Minpmon",#N/A,FALSE,"Monthinput"}</definedName>
    <definedName name="wwwww" localSheetId="16" hidden="1">{"Minpmon",#N/A,FALSE,"Monthinput"}</definedName>
    <definedName name="wwwww" localSheetId="61" hidden="1">{"Minpmon",#N/A,FALSE,"Monthinput"}</definedName>
    <definedName name="wwwww" localSheetId="62" hidden="1">{"Minpmon",#N/A,FALSE,"Monthinput"}</definedName>
    <definedName name="wwwww" localSheetId="50" hidden="1">{"Minpmon",#N/A,FALSE,"Monthinput"}</definedName>
    <definedName name="wwwww" localSheetId="63" hidden="1">{"Minpmon",#N/A,FALSE,"Monthinput"}</definedName>
    <definedName name="wwwww" localSheetId="15" hidden="1">{"Minpmon",#N/A,FALSE,"Monthinput"}</definedName>
    <definedName name="wwwww" localSheetId="1" hidden="1">{"Minpmon",#N/A,FALSE,"Monthinput"}</definedName>
    <definedName name="wwwww" localSheetId="43" hidden="1">{"Minpmon",#N/A,FALSE,"Monthinput"}</definedName>
    <definedName name="wwwww" localSheetId="29" hidden="1">{"Minpmon",#N/A,FALSE,"Monthinput"}</definedName>
    <definedName name="wwwww" localSheetId="30" hidden="1">{"Minpmon",#N/A,FALSE,"Monthinput"}</definedName>
    <definedName name="wwwww" localSheetId="44" hidden="1">{"Minpmon",#N/A,FALSE,"Monthinput"}</definedName>
    <definedName name="wwwww" localSheetId="59" hidden="1">{"Minpmon",#N/A,FALSE,"Monthinput"}</definedName>
    <definedName name="wwwww" localSheetId="13" hidden="1">{"Minpmon",#N/A,FALSE,"Monthinput"}</definedName>
    <definedName name="wwwww" localSheetId="0" hidden="1">{"Minpmon",#N/A,FALSE,"Monthinput"}</definedName>
    <definedName name="wwwww" localSheetId="57" hidden="1">{"Minpmon",#N/A,FALSE,"Monthinput"}</definedName>
    <definedName name="wwwww" localSheetId="56" hidden="1">{"Minpmon",#N/A,FALSE,"Monthinput"}</definedName>
    <definedName name="wwwww" localSheetId="54" hidden="1">{"Minpmon",#N/A,FALSE,"Monthinput"}</definedName>
    <definedName name="wwwww" localSheetId="52" hidden="1">{"Minpmon",#N/A,FALSE,"Monthinput"}</definedName>
    <definedName name="wwwww" localSheetId="23" hidden="1">{"Minpmon",#N/A,FALSE,"Monthinput"}</definedName>
    <definedName name="wwwww" localSheetId="51" hidden="1">{"Minpmon",#N/A,FALSE,"Monthinput"}</definedName>
    <definedName name="wwwww" localSheetId="53" hidden="1">{"Minpmon",#N/A,FALSE,"Monthinput"}</definedName>
    <definedName name="wwwww" localSheetId="60" hidden="1">{"Minpmon",#N/A,FALSE,"Monthinput"}</definedName>
    <definedName name="wwwww" hidden="1">{"Minpmon",#N/A,FALSE,"Monthinput"}</definedName>
    <definedName name="wwwwwww" localSheetId="58" hidden="1">{"Riqfin97",#N/A,FALSE,"Tran";"Riqfinpro",#N/A,FALSE,"Tran"}</definedName>
    <definedName name="wwwwwww" localSheetId="16" hidden="1">{"Riqfin97",#N/A,FALSE,"Tran";"Riqfinpro",#N/A,FALSE,"Tran"}</definedName>
    <definedName name="wwwwwww" localSheetId="61" hidden="1">{"Riqfin97",#N/A,FALSE,"Tran";"Riqfinpro",#N/A,FALSE,"Tran"}</definedName>
    <definedName name="wwwwwww" localSheetId="62" hidden="1">{"Riqfin97",#N/A,FALSE,"Tran";"Riqfinpro",#N/A,FALSE,"Tran"}</definedName>
    <definedName name="wwwwwww" localSheetId="50" hidden="1">{"Riqfin97",#N/A,FALSE,"Tran";"Riqfinpro",#N/A,FALSE,"Tran"}</definedName>
    <definedName name="wwwwwww" localSheetId="63" hidden="1">{"Riqfin97",#N/A,FALSE,"Tran";"Riqfinpro",#N/A,FALSE,"Tran"}</definedName>
    <definedName name="wwwwwww" localSheetId="15" hidden="1">{"Riqfin97",#N/A,FALSE,"Tran";"Riqfinpro",#N/A,FALSE,"Tran"}</definedName>
    <definedName name="wwwwwww" localSheetId="1" hidden="1">{"Riqfin97",#N/A,FALSE,"Tran";"Riqfinpro",#N/A,FALSE,"Tran"}</definedName>
    <definedName name="wwwwwww" localSheetId="43" hidden="1">{"Riqfin97",#N/A,FALSE,"Tran";"Riqfinpro",#N/A,FALSE,"Tran"}</definedName>
    <definedName name="wwwwwww" localSheetId="29" hidden="1">{"Riqfin97",#N/A,FALSE,"Tran";"Riqfinpro",#N/A,FALSE,"Tran"}</definedName>
    <definedName name="wwwwwww" localSheetId="30" hidden="1">{"Riqfin97",#N/A,FALSE,"Tran";"Riqfinpro",#N/A,FALSE,"Tran"}</definedName>
    <definedName name="wwwwwww" localSheetId="44" hidden="1">{"Riqfin97",#N/A,FALSE,"Tran";"Riqfinpro",#N/A,FALSE,"Tran"}</definedName>
    <definedName name="wwwwwww" localSheetId="59" hidden="1">{"Riqfin97",#N/A,FALSE,"Tran";"Riqfinpro",#N/A,FALSE,"Tran"}</definedName>
    <definedName name="wwwwwww" localSheetId="13" hidden="1">{"Riqfin97",#N/A,FALSE,"Tran";"Riqfinpro",#N/A,FALSE,"Tran"}</definedName>
    <definedName name="wwwwwww" localSheetId="0" hidden="1">{"Riqfin97",#N/A,FALSE,"Tran";"Riqfinpro",#N/A,FALSE,"Tran"}</definedName>
    <definedName name="wwwwwww" localSheetId="57" hidden="1">{"Riqfin97",#N/A,FALSE,"Tran";"Riqfinpro",#N/A,FALSE,"Tran"}</definedName>
    <definedName name="wwwwwww" localSheetId="56" hidden="1">{"Riqfin97",#N/A,FALSE,"Tran";"Riqfinpro",#N/A,FALSE,"Tran"}</definedName>
    <definedName name="wwwwwww" localSheetId="54" hidden="1">{"Riqfin97",#N/A,FALSE,"Tran";"Riqfinpro",#N/A,FALSE,"Tran"}</definedName>
    <definedName name="wwwwwww" localSheetId="52" hidden="1">{"Riqfin97",#N/A,FALSE,"Tran";"Riqfinpro",#N/A,FALSE,"Tran"}</definedName>
    <definedName name="wwwwwww" localSheetId="23" hidden="1">{"Riqfin97",#N/A,FALSE,"Tran";"Riqfinpro",#N/A,FALSE,"Tran"}</definedName>
    <definedName name="wwwwwww" localSheetId="51" hidden="1">{"Riqfin97",#N/A,FALSE,"Tran";"Riqfinpro",#N/A,FALSE,"Tran"}</definedName>
    <definedName name="wwwwwww" localSheetId="53" hidden="1">{"Riqfin97",#N/A,FALSE,"Tran";"Riqfinpro",#N/A,FALSE,"Tran"}</definedName>
    <definedName name="wwwwwww" localSheetId="60" hidden="1">{"Riqfin97",#N/A,FALSE,"Tran";"Riqfinpro",#N/A,FALSE,"Tran"}</definedName>
    <definedName name="wwwwwww" hidden="1">{"Riqfin97",#N/A,FALSE,"Tran";"Riqfinpro",#N/A,FALSE,"Tran"}</definedName>
    <definedName name="x" localSheetId="34">#REF!</definedName>
    <definedName name="x" localSheetId="35">#REF!</definedName>
    <definedName name="x" localSheetId="50">#REF!</definedName>
    <definedName name="x" localSheetId="15">#REF!</definedName>
    <definedName name="x" localSheetId="29">#REF!</definedName>
    <definedName name="x" localSheetId="30">#REF!</definedName>
    <definedName name="x" localSheetId="47">#REF!</definedName>
    <definedName name="x" localSheetId="44">#REF!</definedName>
    <definedName name="x" localSheetId="45">#REF!</definedName>
    <definedName name="x" localSheetId="46">#REF!</definedName>
    <definedName name="x" localSheetId="31">#REF!</definedName>
    <definedName name="x" localSheetId="32">#REF!</definedName>
    <definedName name="x" localSheetId="33">#REF!</definedName>
    <definedName name="x" localSheetId="36">#REF!</definedName>
    <definedName name="x" localSheetId="37">#REF!</definedName>
    <definedName name="x" localSheetId="38">#REF!</definedName>
    <definedName name="x" localSheetId="39">#REF!</definedName>
    <definedName name="x" localSheetId="40">#REF!</definedName>
    <definedName name="x" localSheetId="54">#REF!</definedName>
    <definedName name="x" localSheetId="55">#REF!</definedName>
    <definedName name="x" localSheetId="52">#REF!</definedName>
    <definedName name="x" localSheetId="23">#REF!</definedName>
    <definedName name="x" localSheetId="51">#REF!</definedName>
    <definedName name="x" localSheetId="53">#REF!</definedName>
    <definedName name="x" localSheetId="20">#REF!</definedName>
    <definedName name="x">#REF!</definedName>
    <definedName name="xa" localSheetId="34">'[83]PIB EN CORR'!#REF!</definedName>
    <definedName name="xa" localSheetId="35">'[83]PIB EN CORR'!#REF!</definedName>
    <definedName name="xa" localSheetId="50">'[83]PIB EN CORR'!#REF!</definedName>
    <definedName name="xa" localSheetId="15">'[83]PIB EN CORR'!#REF!</definedName>
    <definedName name="xa" localSheetId="29">'[83]PIB EN CORR'!#REF!</definedName>
    <definedName name="xa" localSheetId="30">'[83]PIB EN CORR'!#REF!</definedName>
    <definedName name="xa" localSheetId="47">'[83]PIB EN CORR'!#REF!</definedName>
    <definedName name="xa" localSheetId="44">'[83]PIB EN CORR'!#REF!</definedName>
    <definedName name="xa" localSheetId="45">'[83]PIB EN CORR'!#REF!</definedName>
    <definedName name="xa" localSheetId="46">'[83]PIB EN CORR'!#REF!</definedName>
    <definedName name="xa" localSheetId="31">'[83]PIB EN CORR'!#REF!</definedName>
    <definedName name="xa" localSheetId="32">'[83]PIB EN CORR'!#REF!</definedName>
    <definedName name="xa" localSheetId="33">'[83]PIB EN CORR'!#REF!</definedName>
    <definedName name="xa" localSheetId="36">'[83]PIB EN CORR'!#REF!</definedName>
    <definedName name="xa" localSheetId="37">'[83]PIB EN CORR'!#REF!</definedName>
    <definedName name="xa" localSheetId="38">'[83]PIB EN CORR'!#REF!</definedName>
    <definedName name="xa" localSheetId="39">'[83]PIB EN CORR'!#REF!</definedName>
    <definedName name="xa" localSheetId="40">'[83]PIB EN CORR'!#REF!</definedName>
    <definedName name="xa" localSheetId="54">'[83]PIB EN CORR'!#REF!</definedName>
    <definedName name="xa" localSheetId="55">'[83]PIB EN CORR'!#REF!</definedName>
    <definedName name="xa" localSheetId="52">'[83]PIB EN CORR'!#REF!</definedName>
    <definedName name="xa" localSheetId="23">'[83]PIB EN CORR'!#REF!</definedName>
    <definedName name="xa" localSheetId="51">'[83]PIB EN CORR'!#REF!</definedName>
    <definedName name="xa" localSheetId="53">'[83]PIB EN CORR'!#REF!</definedName>
    <definedName name="xa" localSheetId="20">'[83]PIB EN CORR'!#REF!</definedName>
    <definedName name="xa">'[83]PIB EN CORR'!#REF!</definedName>
    <definedName name="xaa">'[83]PIB EN CORR'!$AV$5:$AV$77</definedName>
    <definedName name="xbb" localSheetId="34">'[83]PIB EN CORR'!#REF!</definedName>
    <definedName name="xbb" localSheetId="35">'[83]PIB EN CORR'!#REF!</definedName>
    <definedName name="xbb" localSheetId="50">'[83]PIB EN CORR'!#REF!</definedName>
    <definedName name="xbb" localSheetId="15">'[83]PIB EN CORR'!#REF!</definedName>
    <definedName name="xbb" localSheetId="29">'[83]PIB EN CORR'!#REF!</definedName>
    <definedName name="xbb" localSheetId="30">'[83]PIB EN CORR'!#REF!</definedName>
    <definedName name="xbb" localSheetId="47">'[83]PIB EN CORR'!#REF!</definedName>
    <definedName name="xbb" localSheetId="44">'[83]PIB EN CORR'!#REF!</definedName>
    <definedName name="xbb" localSheetId="45">'[83]PIB EN CORR'!#REF!</definedName>
    <definedName name="xbb" localSheetId="46">'[83]PIB EN CORR'!#REF!</definedName>
    <definedName name="xbb" localSheetId="31">'[83]PIB EN CORR'!#REF!</definedName>
    <definedName name="xbb" localSheetId="32">'[83]PIB EN CORR'!#REF!</definedName>
    <definedName name="xbb" localSheetId="33">'[83]PIB EN CORR'!#REF!</definedName>
    <definedName name="xbb" localSheetId="36">'[83]PIB EN CORR'!#REF!</definedName>
    <definedName name="xbb" localSheetId="37">'[83]PIB EN CORR'!#REF!</definedName>
    <definedName name="xbb" localSheetId="38">'[83]PIB EN CORR'!#REF!</definedName>
    <definedName name="xbb" localSheetId="39">'[83]PIB EN CORR'!#REF!</definedName>
    <definedName name="xbb" localSheetId="40">'[83]PIB EN CORR'!#REF!</definedName>
    <definedName name="xbb" localSheetId="54">'[83]PIB EN CORR'!#REF!</definedName>
    <definedName name="xbb" localSheetId="55">'[83]PIB EN CORR'!#REF!</definedName>
    <definedName name="xbb" localSheetId="52">'[83]PIB EN CORR'!#REF!</definedName>
    <definedName name="xbb" localSheetId="23">'[83]PIB EN CORR'!#REF!</definedName>
    <definedName name="xbb" localSheetId="51">'[83]PIB EN CORR'!#REF!</definedName>
    <definedName name="xbb" localSheetId="53">'[83]PIB EN CORR'!#REF!</definedName>
    <definedName name="xbb" localSheetId="20">'[83]PIB EN CORR'!#REF!</definedName>
    <definedName name="xbb">'[83]PIB EN CORR'!#REF!</definedName>
    <definedName name="XBS">[65]SREAL!A$41</definedName>
    <definedName name="XGS" localSheetId="50">#REF!</definedName>
    <definedName name="XGS" localSheetId="47">#REF!</definedName>
    <definedName name="XGS" localSheetId="44">#REF!</definedName>
    <definedName name="XGS" localSheetId="45">#REF!</definedName>
    <definedName name="XGS" localSheetId="46">#REF!</definedName>
    <definedName name="XGS" localSheetId="37">#REF!</definedName>
    <definedName name="XGS" localSheetId="40">#REF!</definedName>
    <definedName name="XGS" localSheetId="54">#REF!</definedName>
    <definedName name="XGS" localSheetId="55">#REF!</definedName>
    <definedName name="XGS" localSheetId="52">#REF!</definedName>
    <definedName name="XGS" localSheetId="51">#REF!</definedName>
    <definedName name="XGS" localSheetId="53">#REF!</definedName>
    <definedName name="XGS">#REF!</definedName>
    <definedName name="xx" localSheetId="58" hidden="1">{"Riqfin97",#N/A,FALSE,"Tran";"Riqfinpro",#N/A,FALSE,"Tran"}</definedName>
    <definedName name="xx" localSheetId="16" hidden="1">{"Riqfin97",#N/A,FALSE,"Tran";"Riqfinpro",#N/A,FALSE,"Tran"}</definedName>
    <definedName name="xx" localSheetId="61" hidden="1">{"Riqfin97",#N/A,FALSE,"Tran";"Riqfinpro",#N/A,FALSE,"Tran"}</definedName>
    <definedName name="xx" localSheetId="62" hidden="1">{"Riqfin97",#N/A,FALSE,"Tran";"Riqfinpro",#N/A,FALSE,"Tran"}</definedName>
    <definedName name="xx" localSheetId="50" hidden="1">{"Riqfin97",#N/A,FALSE,"Tran";"Riqfinpro",#N/A,FALSE,"Tran"}</definedName>
    <definedName name="xx" localSheetId="63" hidden="1">{"Riqfin97",#N/A,FALSE,"Tran";"Riqfinpro",#N/A,FALSE,"Tran"}</definedName>
    <definedName name="xx" localSheetId="15" hidden="1">{"Riqfin97",#N/A,FALSE,"Tran";"Riqfinpro",#N/A,FALSE,"Tran"}</definedName>
    <definedName name="xx" localSheetId="1" hidden="1">{"Riqfin97",#N/A,FALSE,"Tran";"Riqfinpro",#N/A,FALSE,"Tran"}</definedName>
    <definedName name="xx" localSheetId="43" hidden="1">{"Riqfin97",#N/A,FALSE,"Tran";"Riqfinpro",#N/A,FALSE,"Tran"}</definedName>
    <definedName name="xx" localSheetId="29" hidden="1">{"Riqfin97",#N/A,FALSE,"Tran";"Riqfinpro",#N/A,FALSE,"Tran"}</definedName>
    <definedName name="xx" localSheetId="30" hidden="1">{"Riqfin97",#N/A,FALSE,"Tran";"Riqfinpro",#N/A,FALSE,"Tran"}</definedName>
    <definedName name="xx" localSheetId="44" hidden="1">{"Riqfin97",#N/A,FALSE,"Tran";"Riqfinpro",#N/A,FALSE,"Tran"}</definedName>
    <definedName name="xx" localSheetId="59" hidden="1">{"Riqfin97",#N/A,FALSE,"Tran";"Riqfinpro",#N/A,FALSE,"Tran"}</definedName>
    <definedName name="xx" localSheetId="13" hidden="1">{"Riqfin97",#N/A,FALSE,"Tran";"Riqfinpro",#N/A,FALSE,"Tran"}</definedName>
    <definedName name="xx" localSheetId="0" hidden="1">{"Riqfin97",#N/A,FALSE,"Tran";"Riqfinpro",#N/A,FALSE,"Tran"}</definedName>
    <definedName name="xx" localSheetId="57" hidden="1">{"Riqfin97",#N/A,FALSE,"Tran";"Riqfinpro",#N/A,FALSE,"Tran"}</definedName>
    <definedName name="xx" localSheetId="56" hidden="1">{"Riqfin97",#N/A,FALSE,"Tran";"Riqfinpro",#N/A,FALSE,"Tran"}</definedName>
    <definedName name="xx" localSheetId="54" hidden="1">{"Riqfin97",#N/A,FALSE,"Tran";"Riqfinpro",#N/A,FALSE,"Tran"}</definedName>
    <definedName name="xx" localSheetId="52" hidden="1">{"Riqfin97",#N/A,FALSE,"Tran";"Riqfinpro",#N/A,FALSE,"Tran"}</definedName>
    <definedName name="xx" localSheetId="23" hidden="1">{"Riqfin97",#N/A,FALSE,"Tran";"Riqfinpro",#N/A,FALSE,"Tran"}</definedName>
    <definedName name="xx" localSheetId="51" hidden="1">{"Riqfin97",#N/A,FALSE,"Tran";"Riqfinpro",#N/A,FALSE,"Tran"}</definedName>
    <definedName name="xx" localSheetId="53" hidden="1">{"Riqfin97",#N/A,FALSE,"Tran";"Riqfinpro",#N/A,FALSE,"Tran"}</definedName>
    <definedName name="xx" localSheetId="60" hidden="1">{"Riqfin97",#N/A,FALSE,"Tran";"Riqfinpro",#N/A,FALSE,"Tran"}</definedName>
    <definedName name="xx" hidden="1">{"Riqfin97",#N/A,FALSE,"Tran";"Riqfinpro",#N/A,FALSE,"Tran"}</definedName>
    <definedName name="xxWRS_1" localSheetId="34">#REF!</definedName>
    <definedName name="xxWRS_1" localSheetId="35">#REF!</definedName>
    <definedName name="xxWRS_1" localSheetId="50">#REF!</definedName>
    <definedName name="xxWRS_1" localSheetId="15">#REF!</definedName>
    <definedName name="xxWRS_1" localSheetId="27">#REF!</definedName>
    <definedName name="xxWRS_1" localSheetId="24">#REF!</definedName>
    <definedName name="xxWRS_1" localSheetId="26">#REF!</definedName>
    <definedName name="xxWRS_1" localSheetId="29">#REF!</definedName>
    <definedName name="xxWRS_1" localSheetId="30">#REF!</definedName>
    <definedName name="xxWRS_1" localSheetId="47">#REF!</definedName>
    <definedName name="xxWRS_1" localSheetId="44">#REF!</definedName>
    <definedName name="xxWRS_1" localSheetId="45">#REF!</definedName>
    <definedName name="xxWRS_1" localSheetId="46">#REF!</definedName>
    <definedName name="xxWRS_1" localSheetId="31">#REF!</definedName>
    <definedName name="xxWRS_1" localSheetId="32">#REF!</definedName>
    <definedName name="xxWRS_1" localSheetId="33">#REF!</definedName>
    <definedName name="xxWRS_1" localSheetId="36">#REF!</definedName>
    <definedName name="xxWRS_1" localSheetId="37">#REF!</definedName>
    <definedName name="xxWRS_1" localSheetId="38">#REF!</definedName>
    <definedName name="xxWRS_1" localSheetId="39">#REF!</definedName>
    <definedName name="xxWRS_1" localSheetId="40">#REF!</definedName>
    <definedName name="xxWRS_1" localSheetId="25">#REF!</definedName>
    <definedName name="xxWRS_1" localSheetId="54">#REF!</definedName>
    <definedName name="xxWRS_1" localSheetId="55">#REF!</definedName>
    <definedName name="xxWRS_1" localSheetId="52">#REF!</definedName>
    <definedName name="xxWRS_1" localSheetId="23">#REF!</definedName>
    <definedName name="xxWRS_1" localSheetId="51">#REF!</definedName>
    <definedName name="xxWRS_1" localSheetId="12">#REF!</definedName>
    <definedName name="xxWRS_1" localSheetId="53">#REF!</definedName>
    <definedName name="xxWRS_1" localSheetId="49">#REF!</definedName>
    <definedName name="xxWRS_1" localSheetId="20">#REF!</definedName>
    <definedName name="xxWRS_1">#REF!</definedName>
    <definedName name="xxWRS_104" localSheetId="34">#REF!</definedName>
    <definedName name="xxWRS_104" localSheetId="35">#REF!</definedName>
    <definedName name="xxWRS_104" localSheetId="50">#REF!</definedName>
    <definedName name="xxWRS_104" localSheetId="15">#REF!</definedName>
    <definedName name="xxWRS_104" localSheetId="29">#REF!</definedName>
    <definedName name="xxWRS_104" localSheetId="30">#REF!</definedName>
    <definedName name="xxWRS_104" localSheetId="47">#REF!</definedName>
    <definedName name="xxWRS_104" localSheetId="44">#REF!</definedName>
    <definedName name="xxWRS_104" localSheetId="45">#REF!</definedName>
    <definedName name="xxWRS_104" localSheetId="46">#REF!</definedName>
    <definedName name="xxWRS_104" localSheetId="31">#REF!</definedName>
    <definedName name="xxWRS_104" localSheetId="32">#REF!</definedName>
    <definedName name="xxWRS_104" localSheetId="33">#REF!</definedName>
    <definedName name="xxWRS_104" localSheetId="36">#REF!</definedName>
    <definedName name="xxWRS_104" localSheetId="37">#REF!</definedName>
    <definedName name="xxWRS_104" localSheetId="38">#REF!</definedName>
    <definedName name="xxWRS_104" localSheetId="39">#REF!</definedName>
    <definedName name="xxWRS_104" localSheetId="40">#REF!</definedName>
    <definedName name="xxWRS_104" localSheetId="54">#REF!</definedName>
    <definedName name="xxWRS_104" localSheetId="55">#REF!</definedName>
    <definedName name="xxWRS_104" localSheetId="52">#REF!</definedName>
    <definedName name="xxWRS_104" localSheetId="23">#REF!</definedName>
    <definedName name="xxWRS_104" localSheetId="51">#REF!</definedName>
    <definedName name="xxWRS_104" localSheetId="53">#REF!</definedName>
    <definedName name="xxWRS_104" localSheetId="20">#REF!</definedName>
    <definedName name="xxWRS_104">#REF!</definedName>
    <definedName name="xxWRS_111" localSheetId="34">#REF!</definedName>
    <definedName name="xxWRS_111" localSheetId="35">#REF!</definedName>
    <definedName name="xxWRS_111" localSheetId="50">#REF!</definedName>
    <definedName name="xxWRS_111" localSheetId="15">#REF!</definedName>
    <definedName name="xxWRS_111" localSheetId="29">#REF!</definedName>
    <definedName name="xxWRS_111" localSheetId="30">#REF!</definedName>
    <definedName name="xxWRS_111" localSheetId="47">#REF!</definedName>
    <definedName name="xxWRS_111" localSheetId="44">#REF!</definedName>
    <definedName name="xxWRS_111" localSheetId="45">#REF!</definedName>
    <definedName name="xxWRS_111" localSheetId="46">#REF!</definedName>
    <definedName name="xxWRS_111" localSheetId="31">#REF!</definedName>
    <definedName name="xxWRS_111" localSheetId="32">#REF!</definedName>
    <definedName name="xxWRS_111" localSheetId="33">#REF!</definedName>
    <definedName name="xxWRS_111" localSheetId="36">#REF!</definedName>
    <definedName name="xxWRS_111" localSheetId="37">#REF!</definedName>
    <definedName name="xxWRS_111" localSheetId="38">#REF!</definedName>
    <definedName name="xxWRS_111" localSheetId="39">#REF!</definedName>
    <definedName name="xxWRS_111" localSheetId="40">#REF!</definedName>
    <definedName name="xxWRS_111" localSheetId="54">#REF!</definedName>
    <definedName name="xxWRS_111" localSheetId="55">#REF!</definedName>
    <definedName name="xxWRS_111" localSheetId="52">#REF!</definedName>
    <definedName name="xxWRS_111" localSheetId="23">#REF!</definedName>
    <definedName name="xxWRS_111" localSheetId="51">#REF!</definedName>
    <definedName name="xxWRS_111" localSheetId="53">#REF!</definedName>
    <definedName name="xxWRS_111" localSheetId="20">#REF!</definedName>
    <definedName name="xxWRS_111">#REF!</definedName>
    <definedName name="xxWRS_113" localSheetId="34">#REF!</definedName>
    <definedName name="xxWRS_113" localSheetId="35">#REF!</definedName>
    <definedName name="xxWRS_113" localSheetId="50">#REF!</definedName>
    <definedName name="xxWRS_113" localSheetId="15">#REF!</definedName>
    <definedName name="xxWRS_113" localSheetId="29">#REF!</definedName>
    <definedName name="xxWRS_113" localSheetId="30">#REF!</definedName>
    <definedName name="xxWRS_113" localSheetId="47">#REF!</definedName>
    <definedName name="xxWRS_113" localSheetId="44">#REF!</definedName>
    <definedName name="xxWRS_113" localSheetId="45">#REF!</definedName>
    <definedName name="xxWRS_113" localSheetId="46">#REF!</definedName>
    <definedName name="xxWRS_113" localSheetId="31">#REF!</definedName>
    <definedName name="xxWRS_113" localSheetId="32">#REF!</definedName>
    <definedName name="xxWRS_113" localSheetId="33">#REF!</definedName>
    <definedName name="xxWRS_113" localSheetId="36">#REF!</definedName>
    <definedName name="xxWRS_113" localSheetId="37">#REF!</definedName>
    <definedName name="xxWRS_113" localSheetId="38">#REF!</definedName>
    <definedName name="xxWRS_113" localSheetId="39">#REF!</definedName>
    <definedName name="xxWRS_113" localSheetId="40">#REF!</definedName>
    <definedName name="xxWRS_113" localSheetId="54">#REF!</definedName>
    <definedName name="xxWRS_113" localSheetId="55">#REF!</definedName>
    <definedName name="xxWRS_113" localSheetId="52">#REF!</definedName>
    <definedName name="xxWRS_113" localSheetId="23">#REF!</definedName>
    <definedName name="xxWRS_113" localSheetId="51">#REF!</definedName>
    <definedName name="xxWRS_113" localSheetId="53">#REF!</definedName>
    <definedName name="xxWRS_113" localSheetId="20">#REF!</definedName>
    <definedName name="xxWRS_113">#REF!</definedName>
    <definedName name="xxWRS_2" localSheetId="50">#REF!</definedName>
    <definedName name="xxWRS_2" localSheetId="47">#REF!</definedName>
    <definedName name="xxWRS_2" localSheetId="44">#REF!</definedName>
    <definedName name="xxWRS_2" localSheetId="45">#REF!</definedName>
    <definedName name="xxWRS_2" localSheetId="46">#REF!</definedName>
    <definedName name="xxWRS_2" localSheetId="37">#REF!</definedName>
    <definedName name="xxWRS_2" localSheetId="40">#REF!</definedName>
    <definedName name="xxWRS_2" localSheetId="54">#REF!</definedName>
    <definedName name="xxWRS_2" localSheetId="55">#REF!</definedName>
    <definedName name="xxWRS_2" localSheetId="52">#REF!</definedName>
    <definedName name="xxWRS_2" localSheetId="51">#REF!</definedName>
    <definedName name="xxWRS_2" localSheetId="53">#REF!</definedName>
    <definedName name="xxWRS_2">#REF!</definedName>
    <definedName name="xxWRS_3" localSheetId="50">#REF!</definedName>
    <definedName name="xxWRS_3" localSheetId="47">#REF!</definedName>
    <definedName name="xxWRS_3" localSheetId="44">#REF!</definedName>
    <definedName name="xxWRS_3" localSheetId="45">#REF!</definedName>
    <definedName name="xxWRS_3" localSheetId="46">#REF!</definedName>
    <definedName name="xxWRS_3" localSheetId="37">#REF!</definedName>
    <definedName name="xxWRS_3" localSheetId="40">#REF!</definedName>
    <definedName name="xxWRS_3" localSheetId="54">#REF!</definedName>
    <definedName name="xxWRS_3" localSheetId="55">#REF!</definedName>
    <definedName name="xxWRS_3" localSheetId="52">#REF!</definedName>
    <definedName name="xxWRS_3" localSheetId="51">#REF!</definedName>
    <definedName name="xxWRS_3" localSheetId="53">#REF!</definedName>
    <definedName name="xxWRS_3">#REF!</definedName>
    <definedName name="xxWRS_4">[78]Q5!$A$1:$A$104</definedName>
    <definedName name="xxWRS_5">[78]Q6!$A$1:$A$160</definedName>
    <definedName name="xxWRS_6">[78]Q7!$A$1:$A$59</definedName>
    <definedName name="xxWRS_7">[78]Q5!$A$1:$A$109</definedName>
    <definedName name="xxWRS_8">[78]Q6!$A$1:$A$162</definedName>
    <definedName name="xxWRS_9">[78]Q7!$A$1:$A$61</definedName>
    <definedName name="xxx" localSheetId="50">#REF!</definedName>
    <definedName name="xxx" localSheetId="47">#REF!</definedName>
    <definedName name="xxx" localSheetId="44">#REF!</definedName>
    <definedName name="xxx" localSheetId="45">#REF!</definedName>
    <definedName name="xxx" localSheetId="46">#REF!</definedName>
    <definedName name="xxx" localSheetId="37">#REF!</definedName>
    <definedName name="xxx" localSheetId="40">#REF!</definedName>
    <definedName name="xxx" localSheetId="54">#REF!</definedName>
    <definedName name="xxx" localSheetId="55">#REF!</definedName>
    <definedName name="xxx" localSheetId="52">#REF!</definedName>
    <definedName name="xxx" localSheetId="51">#REF!</definedName>
    <definedName name="xxx" localSheetId="53">#REF!</definedName>
    <definedName name="xxx">#REF!</definedName>
    <definedName name="xxxx" localSheetId="58" hidden="1">{"Riqfin97",#N/A,FALSE,"Tran";"Riqfinpro",#N/A,FALSE,"Tran"}</definedName>
    <definedName name="xxxx" localSheetId="16" hidden="1">{"Riqfin97",#N/A,FALSE,"Tran";"Riqfinpro",#N/A,FALSE,"Tran"}</definedName>
    <definedName name="xxxx" localSheetId="61" hidden="1">{"Riqfin97",#N/A,FALSE,"Tran";"Riqfinpro",#N/A,FALSE,"Tran"}</definedName>
    <definedName name="xxxx" localSheetId="62" hidden="1">{"Riqfin97",#N/A,FALSE,"Tran";"Riqfinpro",#N/A,FALSE,"Tran"}</definedName>
    <definedName name="xxxx" localSheetId="50" hidden="1">{"Riqfin97",#N/A,FALSE,"Tran";"Riqfinpro",#N/A,FALSE,"Tran"}</definedName>
    <definedName name="xxxx" localSheetId="63" hidden="1">{"Riqfin97",#N/A,FALSE,"Tran";"Riqfinpro",#N/A,FALSE,"Tran"}</definedName>
    <definedName name="xxxx" localSheetId="15" hidden="1">{"Riqfin97",#N/A,FALSE,"Tran";"Riqfinpro",#N/A,FALSE,"Tran"}</definedName>
    <definedName name="xxxx" localSheetId="1" hidden="1">{"Riqfin97",#N/A,FALSE,"Tran";"Riqfinpro",#N/A,FALSE,"Tran"}</definedName>
    <definedName name="xxxx" localSheetId="43" hidden="1">{"Riqfin97",#N/A,FALSE,"Tran";"Riqfinpro",#N/A,FALSE,"Tran"}</definedName>
    <definedName name="xxxx" localSheetId="29" hidden="1">{"Riqfin97",#N/A,FALSE,"Tran";"Riqfinpro",#N/A,FALSE,"Tran"}</definedName>
    <definedName name="xxxx" localSheetId="30" hidden="1">{"Riqfin97",#N/A,FALSE,"Tran";"Riqfinpro",#N/A,FALSE,"Tran"}</definedName>
    <definedName name="xxxx" localSheetId="44" hidden="1">{"Riqfin97",#N/A,FALSE,"Tran";"Riqfinpro",#N/A,FALSE,"Tran"}</definedName>
    <definedName name="xxxx" localSheetId="59" hidden="1">{"Riqfin97",#N/A,FALSE,"Tran";"Riqfinpro",#N/A,FALSE,"Tran"}</definedName>
    <definedName name="xxxx" localSheetId="13" hidden="1">{"Riqfin97",#N/A,FALSE,"Tran";"Riqfinpro",#N/A,FALSE,"Tran"}</definedName>
    <definedName name="xxxx" localSheetId="0" hidden="1">{"Riqfin97",#N/A,FALSE,"Tran";"Riqfinpro",#N/A,FALSE,"Tran"}</definedName>
    <definedName name="xxxx" localSheetId="57" hidden="1">{"Riqfin97",#N/A,FALSE,"Tran";"Riqfinpro",#N/A,FALSE,"Tran"}</definedName>
    <definedName name="xxxx" localSheetId="56" hidden="1">{"Riqfin97",#N/A,FALSE,"Tran";"Riqfinpro",#N/A,FALSE,"Tran"}</definedName>
    <definedName name="xxxx" localSheetId="54" hidden="1">{"Riqfin97",#N/A,FALSE,"Tran";"Riqfinpro",#N/A,FALSE,"Tran"}</definedName>
    <definedName name="xxxx" localSheetId="52" hidden="1">{"Riqfin97",#N/A,FALSE,"Tran";"Riqfinpro",#N/A,FALSE,"Tran"}</definedName>
    <definedName name="xxxx" localSheetId="23" hidden="1">{"Riqfin97",#N/A,FALSE,"Tran";"Riqfinpro",#N/A,FALSE,"Tran"}</definedName>
    <definedName name="xxxx" localSheetId="51" hidden="1">{"Riqfin97",#N/A,FALSE,"Tran";"Riqfinpro",#N/A,FALSE,"Tran"}</definedName>
    <definedName name="xxxx" localSheetId="53" hidden="1">{"Riqfin97",#N/A,FALSE,"Tran";"Riqfinpro",#N/A,FALSE,"Tran"}</definedName>
    <definedName name="xxxx" localSheetId="60" hidden="1">{"Riqfin97",#N/A,FALSE,"Tran";"Riqfinpro",#N/A,FALSE,"Tran"}</definedName>
    <definedName name="xxxx" hidden="1">{"Riqfin97",#N/A,FALSE,"Tran";"Riqfinpro",#N/A,FALSE,"Tran"}</definedName>
    <definedName name="y" localSheetId="50">#REF!</definedName>
    <definedName name="y" localSheetId="44">#REF!</definedName>
    <definedName name="y" localSheetId="54">#REF!</definedName>
    <definedName name="y" localSheetId="52">#REF!</definedName>
    <definedName name="y" localSheetId="51">#REF!</definedName>
    <definedName name="y" localSheetId="53">#REF!</definedName>
    <definedName name="y">[65]SREAL!A$10</definedName>
    <definedName name="ycirr" localSheetId="50">#REF!</definedName>
    <definedName name="ycirr" localSheetId="47">#REF!</definedName>
    <definedName name="ycirr" localSheetId="44">#REF!</definedName>
    <definedName name="ycirr" localSheetId="45">#REF!</definedName>
    <definedName name="ycirr" localSheetId="46">#REF!</definedName>
    <definedName name="ycirr" localSheetId="37">#REF!</definedName>
    <definedName name="ycirr" localSheetId="40">#REF!</definedName>
    <definedName name="ycirr" localSheetId="54">#REF!</definedName>
    <definedName name="ycirr" localSheetId="55">#REF!</definedName>
    <definedName name="ycirr" localSheetId="52">#REF!</definedName>
    <definedName name="ycirr" localSheetId="51">#REF!</definedName>
    <definedName name="ycirr" localSheetId="53">#REF!</definedName>
    <definedName name="ycirr">#REF!</definedName>
    <definedName name="Year" localSheetId="50">#REF!</definedName>
    <definedName name="Year" localSheetId="47">#REF!</definedName>
    <definedName name="Year" localSheetId="44">#REF!</definedName>
    <definedName name="Year" localSheetId="45">#REF!</definedName>
    <definedName name="Year" localSheetId="46">#REF!</definedName>
    <definedName name="Year" localSheetId="37">#REF!</definedName>
    <definedName name="Year" localSheetId="40">#REF!</definedName>
    <definedName name="Year" localSheetId="54">#REF!</definedName>
    <definedName name="Year" localSheetId="55">#REF!</definedName>
    <definedName name="Year" localSheetId="52">#REF!</definedName>
    <definedName name="Year" localSheetId="51">#REF!</definedName>
    <definedName name="Year" localSheetId="53">#REF!</definedName>
    <definedName name="Year">#REF!</definedName>
    <definedName name="Years" localSheetId="50">#REF!</definedName>
    <definedName name="Years" localSheetId="47">#REF!</definedName>
    <definedName name="Years" localSheetId="44">#REF!</definedName>
    <definedName name="Years" localSheetId="45">#REF!</definedName>
    <definedName name="Years" localSheetId="46">#REF!</definedName>
    <definedName name="Years" localSheetId="37">#REF!</definedName>
    <definedName name="Years" localSheetId="40">#REF!</definedName>
    <definedName name="Years" localSheetId="54">#REF!</definedName>
    <definedName name="Years" localSheetId="55">#REF!</definedName>
    <definedName name="Years" localSheetId="52">#REF!</definedName>
    <definedName name="Years" localSheetId="51">#REF!</definedName>
    <definedName name="Years" localSheetId="53">#REF!</definedName>
    <definedName name="Years">#REF!</definedName>
    <definedName name="yenr" localSheetId="50">#REF!</definedName>
    <definedName name="yenr" localSheetId="47">#REF!</definedName>
    <definedName name="yenr" localSheetId="44">#REF!</definedName>
    <definedName name="yenr" localSheetId="45">#REF!</definedName>
    <definedName name="yenr" localSheetId="46">#REF!</definedName>
    <definedName name="yenr" localSheetId="37">#REF!</definedName>
    <definedName name="yenr" localSheetId="40">#REF!</definedName>
    <definedName name="yenr" localSheetId="54">#REF!</definedName>
    <definedName name="yenr" localSheetId="55">#REF!</definedName>
    <definedName name="yenr" localSheetId="52">#REF!</definedName>
    <definedName name="yenr" localSheetId="51">#REF!</definedName>
    <definedName name="yenr" localSheetId="53">#REF!</definedName>
    <definedName name="yenr">#REF!</definedName>
    <definedName name="yes_no_enum">[170]Globals!$C$58:$D$58</definedName>
    <definedName name="YesNo" localSheetId="50">#REF!</definedName>
    <definedName name="YesNo" localSheetId="47">#REF!</definedName>
    <definedName name="YesNo" localSheetId="44">#REF!</definedName>
    <definedName name="YesNo" localSheetId="45">#REF!</definedName>
    <definedName name="YesNo" localSheetId="46">#REF!</definedName>
    <definedName name="YesNo" localSheetId="37">#REF!</definedName>
    <definedName name="YesNo" localSheetId="40">#REF!</definedName>
    <definedName name="YesNo" localSheetId="54">#REF!</definedName>
    <definedName name="YesNo" localSheetId="55">#REF!</definedName>
    <definedName name="YesNo" localSheetId="52">#REF!</definedName>
    <definedName name="YesNo" localSheetId="51">#REF!</definedName>
    <definedName name="YesNo" localSheetId="53">#REF!</definedName>
    <definedName name="YesNo">#REF!</definedName>
    <definedName name="YLabel" localSheetId="50">'[171]Project Risks'!#REF!</definedName>
    <definedName name="YLabel" localSheetId="47">'[171]Project Risks'!#REF!</definedName>
    <definedName name="YLabel" localSheetId="44">'[171]Project Risks'!#REF!</definedName>
    <definedName name="YLabel" localSheetId="45">'[171]Project Risks'!#REF!</definedName>
    <definedName name="YLabel" localSheetId="46">'[171]Project Risks'!#REF!</definedName>
    <definedName name="YLabel" localSheetId="37">'[171]Project Risks'!#REF!</definedName>
    <definedName name="YLabel" localSheetId="40">'[171]Project Risks'!#REF!</definedName>
    <definedName name="YLabel" localSheetId="54">'[171]Project Risks'!#REF!</definedName>
    <definedName name="YLabel" localSheetId="55">'[171]Project Risks'!#REF!</definedName>
    <definedName name="YLabel" localSheetId="52">'[171]Project Risks'!#REF!</definedName>
    <definedName name="YLabel" localSheetId="51">'[171]Project Risks'!#REF!</definedName>
    <definedName name="YLabel" localSheetId="53">'[171]Project Risks'!#REF!</definedName>
    <definedName name="YLabel">'[171]Project Risks'!#REF!</definedName>
    <definedName name="YRB">'[8]Imp:DSA output'!$B$9:$B$464</definedName>
    <definedName name="YRHIDE">'[8]Imp:DSA output'!$C$9:$G$464</definedName>
    <definedName name="YRPOST">'[8]Imp:DSA output'!$M$9:$IH$9</definedName>
    <definedName name="YRPRE">'[8]Imp:DSA output'!$B$9:$F$464</definedName>
    <definedName name="YRTITLES">'[8]Imp:DSA output'!$A$1</definedName>
    <definedName name="YRX">'[8]Imp:DSA output'!$S$9:$IG$464</definedName>
    <definedName name="yu" localSheetId="58" hidden="1">{"Tab1",#N/A,FALSE,"P";"Tab2",#N/A,FALSE,"P"}</definedName>
    <definedName name="yu" localSheetId="16" hidden="1">{"Tab1",#N/A,FALSE,"P";"Tab2",#N/A,FALSE,"P"}</definedName>
    <definedName name="yu" localSheetId="61" hidden="1">{"Tab1",#N/A,FALSE,"P";"Tab2",#N/A,FALSE,"P"}</definedName>
    <definedName name="yu" localSheetId="62" hidden="1">{"Tab1",#N/A,FALSE,"P";"Tab2",#N/A,FALSE,"P"}</definedName>
    <definedName name="yu" localSheetId="50" hidden="1">{"Tab1",#N/A,FALSE,"P";"Tab2",#N/A,FALSE,"P"}</definedName>
    <definedName name="yu" localSheetId="63" hidden="1">{"Tab1",#N/A,FALSE,"P";"Tab2",#N/A,FALSE,"P"}</definedName>
    <definedName name="yu" localSheetId="15" hidden="1">{"Tab1",#N/A,FALSE,"P";"Tab2",#N/A,FALSE,"P"}</definedName>
    <definedName name="yu" localSheetId="1" hidden="1">{"Tab1",#N/A,FALSE,"P";"Tab2",#N/A,FALSE,"P"}</definedName>
    <definedName name="yu" localSheetId="43" hidden="1">{"Tab1",#N/A,FALSE,"P";"Tab2",#N/A,FALSE,"P"}</definedName>
    <definedName name="yu" localSheetId="29" hidden="1">{"Tab1",#N/A,FALSE,"P";"Tab2",#N/A,FALSE,"P"}</definedName>
    <definedName name="yu" localSheetId="30" hidden="1">{"Tab1",#N/A,FALSE,"P";"Tab2",#N/A,FALSE,"P"}</definedName>
    <definedName name="yu" localSheetId="44" hidden="1">{"Tab1",#N/A,FALSE,"P";"Tab2",#N/A,FALSE,"P"}</definedName>
    <definedName name="yu" localSheetId="59" hidden="1">{"Tab1",#N/A,FALSE,"P";"Tab2",#N/A,FALSE,"P"}</definedName>
    <definedName name="yu" localSheetId="13" hidden="1">{"Tab1",#N/A,FALSE,"P";"Tab2",#N/A,FALSE,"P"}</definedName>
    <definedName name="yu" localSheetId="0" hidden="1">{"Tab1",#N/A,FALSE,"P";"Tab2",#N/A,FALSE,"P"}</definedName>
    <definedName name="yu" localSheetId="57" hidden="1">{"Tab1",#N/A,FALSE,"P";"Tab2",#N/A,FALSE,"P"}</definedName>
    <definedName name="yu" localSheetId="56" hidden="1">{"Tab1",#N/A,FALSE,"P";"Tab2",#N/A,FALSE,"P"}</definedName>
    <definedName name="yu" localSheetId="54" hidden="1">{"Tab1",#N/A,FALSE,"P";"Tab2",#N/A,FALSE,"P"}</definedName>
    <definedName name="yu" localSheetId="52" hidden="1">{"Tab1",#N/A,FALSE,"P";"Tab2",#N/A,FALSE,"P"}</definedName>
    <definedName name="yu" localSheetId="23" hidden="1">{"Tab1",#N/A,FALSE,"P";"Tab2",#N/A,FALSE,"P"}</definedName>
    <definedName name="yu" localSheetId="51" hidden="1">{"Tab1",#N/A,FALSE,"P";"Tab2",#N/A,FALSE,"P"}</definedName>
    <definedName name="yu" localSheetId="53" hidden="1">{"Tab1",#N/A,FALSE,"P";"Tab2",#N/A,FALSE,"P"}</definedName>
    <definedName name="yu" localSheetId="60" hidden="1">{"Tab1",#N/A,FALSE,"P";"Tab2",#N/A,FALSE,"P"}</definedName>
    <definedName name="yu" hidden="1">{"Tab1",#N/A,FALSE,"P";"Tab2",#N/A,FALSE,"P"}</definedName>
    <definedName name="yy" localSheetId="58" hidden="1">{"Tab1",#N/A,FALSE,"P";"Tab2",#N/A,FALSE,"P"}</definedName>
    <definedName name="yy" localSheetId="16" hidden="1">{"Tab1",#N/A,FALSE,"P";"Tab2",#N/A,FALSE,"P"}</definedName>
    <definedName name="yy" localSheetId="61" hidden="1">{"Tab1",#N/A,FALSE,"P";"Tab2",#N/A,FALSE,"P"}</definedName>
    <definedName name="yy" localSheetId="62" hidden="1">{"Tab1",#N/A,FALSE,"P";"Tab2",#N/A,FALSE,"P"}</definedName>
    <definedName name="yy" localSheetId="50" hidden="1">{"Tab1",#N/A,FALSE,"P";"Tab2",#N/A,FALSE,"P"}</definedName>
    <definedName name="yy" localSheetId="63" hidden="1">{"Tab1",#N/A,FALSE,"P";"Tab2",#N/A,FALSE,"P"}</definedName>
    <definedName name="yy" localSheetId="15" hidden="1">{"Tab1",#N/A,FALSE,"P";"Tab2",#N/A,FALSE,"P"}</definedName>
    <definedName name="yy" localSheetId="1" hidden="1">{"Tab1",#N/A,FALSE,"P";"Tab2",#N/A,FALSE,"P"}</definedName>
    <definedName name="yy" localSheetId="43" hidden="1">{"Tab1",#N/A,FALSE,"P";"Tab2",#N/A,FALSE,"P"}</definedName>
    <definedName name="yy" localSheetId="29" hidden="1">{"Tab1",#N/A,FALSE,"P";"Tab2",#N/A,FALSE,"P"}</definedName>
    <definedName name="yy" localSheetId="30" hidden="1">{"Tab1",#N/A,FALSE,"P";"Tab2",#N/A,FALSE,"P"}</definedName>
    <definedName name="yy" localSheetId="44" hidden="1">{"Tab1",#N/A,FALSE,"P";"Tab2",#N/A,FALSE,"P"}</definedName>
    <definedName name="yy" localSheetId="59" hidden="1">{"Tab1",#N/A,FALSE,"P";"Tab2",#N/A,FALSE,"P"}</definedName>
    <definedName name="yy" localSheetId="13" hidden="1">{"Tab1",#N/A,FALSE,"P";"Tab2",#N/A,FALSE,"P"}</definedName>
    <definedName name="yy" localSheetId="0" hidden="1">{"Tab1",#N/A,FALSE,"P";"Tab2",#N/A,FALSE,"P"}</definedName>
    <definedName name="yy" localSheetId="57" hidden="1">{"Tab1",#N/A,FALSE,"P";"Tab2",#N/A,FALSE,"P"}</definedName>
    <definedName name="yy" localSheetId="56" hidden="1">{"Tab1",#N/A,FALSE,"P";"Tab2",#N/A,FALSE,"P"}</definedName>
    <definedName name="yy" localSheetId="54" hidden="1">{"Tab1",#N/A,FALSE,"P";"Tab2",#N/A,FALSE,"P"}</definedName>
    <definedName name="yy" localSheetId="52" hidden="1">{"Tab1",#N/A,FALSE,"P";"Tab2",#N/A,FALSE,"P"}</definedName>
    <definedName name="yy" localSheetId="23" hidden="1">{"Tab1",#N/A,FALSE,"P";"Tab2",#N/A,FALSE,"P"}</definedName>
    <definedName name="yy" localSheetId="51" hidden="1">{"Tab1",#N/A,FALSE,"P";"Tab2",#N/A,FALSE,"P"}</definedName>
    <definedName name="yy" localSheetId="53" hidden="1">{"Tab1",#N/A,FALSE,"P";"Tab2",#N/A,FALSE,"P"}</definedName>
    <definedName name="yy" localSheetId="60" hidden="1">{"Tab1",#N/A,FALSE,"P";"Tab2",#N/A,FALSE,"P"}</definedName>
    <definedName name="yy" hidden="1">{"Tab1",#N/A,FALSE,"P";"Tab2",#N/A,FALSE,"P"}</definedName>
    <definedName name="yyy" localSheetId="58" hidden="1">{"Tab1",#N/A,FALSE,"P";"Tab2",#N/A,FALSE,"P"}</definedName>
    <definedName name="yyy" localSheetId="16" hidden="1">{"Tab1",#N/A,FALSE,"P";"Tab2",#N/A,FALSE,"P"}</definedName>
    <definedName name="yyy" localSheetId="61" hidden="1">{"Tab1",#N/A,FALSE,"P";"Tab2",#N/A,FALSE,"P"}</definedName>
    <definedName name="yyy" localSheetId="62" hidden="1">{"Tab1",#N/A,FALSE,"P";"Tab2",#N/A,FALSE,"P"}</definedName>
    <definedName name="yyy" localSheetId="50" hidden="1">{"DEPOSITS",#N/A,FALSE,"COMML_MON";"LOANS",#N/A,FALSE,"COMML_MON"}</definedName>
    <definedName name="yyy" localSheetId="63" hidden="1">{"Tab1",#N/A,FALSE,"P";"Tab2",#N/A,FALSE,"P"}</definedName>
    <definedName name="yyy" localSheetId="15" hidden="1">{"Tab1",#N/A,FALSE,"P";"Tab2",#N/A,FALSE,"P"}</definedName>
    <definedName name="yyy" localSheetId="1" hidden="1">{"Tab1",#N/A,FALSE,"P";"Tab2",#N/A,FALSE,"P"}</definedName>
    <definedName name="yyy" localSheetId="43" hidden="1">{"Tab1",#N/A,FALSE,"P";"Tab2",#N/A,FALSE,"P"}</definedName>
    <definedName name="yyy" localSheetId="29" hidden="1">{"Tab1",#N/A,FALSE,"P";"Tab2",#N/A,FALSE,"P"}</definedName>
    <definedName name="yyy" localSheetId="30" hidden="1">{"Tab1",#N/A,FALSE,"P";"Tab2",#N/A,FALSE,"P"}</definedName>
    <definedName name="yyy" localSheetId="44" hidden="1">{"DEPOSITS",#N/A,FALSE,"COMML_MON";"LOANS",#N/A,FALSE,"COMML_MON"}</definedName>
    <definedName name="yyy" localSheetId="59" hidden="1">{"Tab1",#N/A,FALSE,"P";"Tab2",#N/A,FALSE,"P"}</definedName>
    <definedName name="yyy" localSheetId="13" hidden="1">{"Tab1",#N/A,FALSE,"P";"Tab2",#N/A,FALSE,"P"}</definedName>
    <definedName name="yyy" localSheetId="0" hidden="1">{"Tab1",#N/A,FALSE,"P";"Tab2",#N/A,FALSE,"P"}</definedName>
    <definedName name="yyy" localSheetId="57" hidden="1">{"Tab1",#N/A,FALSE,"P";"Tab2",#N/A,FALSE,"P"}</definedName>
    <definedName name="yyy" localSheetId="56" hidden="1">{"Tab1",#N/A,FALSE,"P";"Tab2",#N/A,FALSE,"P"}</definedName>
    <definedName name="yyy" localSheetId="54" hidden="1">{"DEPOSITS",#N/A,FALSE,"COMML_MON";"LOANS",#N/A,FALSE,"COMML_MON"}</definedName>
    <definedName name="yyy" localSheetId="52" hidden="1">{"DEPOSITS",#N/A,FALSE,"COMML_MON";"LOANS",#N/A,FALSE,"COMML_MON"}</definedName>
    <definedName name="yyy" localSheetId="23" hidden="1">{"Tab1",#N/A,FALSE,"P";"Tab2",#N/A,FALSE,"P"}</definedName>
    <definedName name="yyy" localSheetId="51" hidden="1">{"DEPOSITS",#N/A,FALSE,"COMML_MON";"LOANS",#N/A,FALSE,"COMML_MON"}</definedName>
    <definedName name="yyy" localSheetId="53" hidden="1">{"DEPOSITS",#N/A,FALSE,"COMML_MON";"LOANS",#N/A,FALSE,"COMML_MON"}</definedName>
    <definedName name="yyy" localSheetId="60" hidden="1">{"Tab1",#N/A,FALSE,"P";"Tab2",#N/A,FALSE,"P"}</definedName>
    <definedName name="yyy" hidden="1">{"Tab1",#N/A,FALSE,"P";"Tab2",#N/A,FALSE,"P"}</definedName>
    <definedName name="yyyy" localSheetId="58" hidden="1">{"Tab1",#N/A,FALSE,"P";"Tab2",#N/A,FALSE,"P"}</definedName>
    <definedName name="yyyy" localSheetId="16" hidden="1">{"Tab1",#N/A,FALSE,"P";"Tab2",#N/A,FALSE,"P"}</definedName>
    <definedName name="yyyy" localSheetId="61" hidden="1">{"Tab1",#N/A,FALSE,"P";"Tab2",#N/A,FALSE,"P"}</definedName>
    <definedName name="yyyy" localSheetId="62" hidden="1">{"Tab1",#N/A,FALSE,"P";"Tab2",#N/A,FALSE,"P"}</definedName>
    <definedName name="yyyy" localSheetId="50" hidden="1">{"Tab1",#N/A,FALSE,"P";"Tab2",#N/A,FALSE,"P"}</definedName>
    <definedName name="yyyy" localSheetId="63" hidden="1">{"Tab1",#N/A,FALSE,"P";"Tab2",#N/A,FALSE,"P"}</definedName>
    <definedName name="yyyy" localSheetId="15" hidden="1">{"Tab1",#N/A,FALSE,"P";"Tab2",#N/A,FALSE,"P"}</definedName>
    <definedName name="yyyy" localSheetId="1" hidden="1">{"Tab1",#N/A,FALSE,"P";"Tab2",#N/A,FALSE,"P"}</definedName>
    <definedName name="yyyy" localSheetId="43" hidden="1">{"Tab1",#N/A,FALSE,"P";"Tab2",#N/A,FALSE,"P"}</definedName>
    <definedName name="yyyy" localSheetId="29" hidden="1">{"Tab1",#N/A,FALSE,"P";"Tab2",#N/A,FALSE,"P"}</definedName>
    <definedName name="yyyy" localSheetId="30" hidden="1">{"Tab1",#N/A,FALSE,"P";"Tab2",#N/A,FALSE,"P"}</definedName>
    <definedName name="yyyy" localSheetId="44" hidden="1">{"Tab1",#N/A,FALSE,"P";"Tab2",#N/A,FALSE,"P"}</definedName>
    <definedName name="yyyy" localSheetId="59" hidden="1">{"Tab1",#N/A,FALSE,"P";"Tab2",#N/A,FALSE,"P"}</definedName>
    <definedName name="yyyy" localSheetId="13" hidden="1">{"Tab1",#N/A,FALSE,"P";"Tab2",#N/A,FALSE,"P"}</definedName>
    <definedName name="yyyy" localSheetId="0" hidden="1">{"Tab1",#N/A,FALSE,"P";"Tab2",#N/A,FALSE,"P"}</definedName>
    <definedName name="yyyy" localSheetId="57" hidden="1">{"Tab1",#N/A,FALSE,"P";"Tab2",#N/A,FALSE,"P"}</definedName>
    <definedName name="yyyy" localSheetId="56" hidden="1">{"Tab1",#N/A,FALSE,"P";"Tab2",#N/A,FALSE,"P"}</definedName>
    <definedName name="yyyy" localSheetId="54" hidden="1">{"Tab1",#N/A,FALSE,"P";"Tab2",#N/A,FALSE,"P"}</definedName>
    <definedName name="yyyy" localSheetId="52" hidden="1">{"Tab1",#N/A,FALSE,"P";"Tab2",#N/A,FALSE,"P"}</definedName>
    <definedName name="yyyy" localSheetId="23" hidden="1">{"Tab1",#N/A,FALSE,"P";"Tab2",#N/A,FALSE,"P"}</definedName>
    <definedName name="yyyy" localSheetId="51" hidden="1">{"Tab1",#N/A,FALSE,"P";"Tab2",#N/A,FALSE,"P"}</definedName>
    <definedName name="yyyy" localSheetId="53" hidden="1">{"Tab1",#N/A,FALSE,"P";"Tab2",#N/A,FALSE,"P"}</definedName>
    <definedName name="yyyy" localSheetId="60" hidden="1">{"Tab1",#N/A,FALSE,"P";"Tab2",#N/A,FALSE,"P"}</definedName>
    <definedName name="yyyy" hidden="1">{"Tab1",#N/A,FALSE,"P";"Tab2",#N/A,FALSE,"P"}</definedName>
    <definedName name="yyyyyy" localSheetId="58" hidden="1">{"Minpmon",#N/A,FALSE,"Monthinput"}</definedName>
    <definedName name="yyyyyy" localSheetId="16" hidden="1">{"Minpmon",#N/A,FALSE,"Monthinput"}</definedName>
    <definedName name="yyyyyy" localSheetId="61" hidden="1">{"Minpmon",#N/A,FALSE,"Monthinput"}</definedName>
    <definedName name="yyyyyy" localSheetId="62" hidden="1">{"Minpmon",#N/A,FALSE,"Monthinput"}</definedName>
    <definedName name="yyyyyy" localSheetId="50" hidden="1">{"Minpmon",#N/A,FALSE,"Monthinput"}</definedName>
    <definedName name="yyyyyy" localSheetId="63" hidden="1">{"Minpmon",#N/A,FALSE,"Monthinput"}</definedName>
    <definedName name="yyyyyy" localSheetId="15" hidden="1">{"Minpmon",#N/A,FALSE,"Monthinput"}</definedName>
    <definedName name="yyyyyy" localSheetId="1" hidden="1">{"Minpmon",#N/A,FALSE,"Monthinput"}</definedName>
    <definedName name="yyyyyy" localSheetId="43" hidden="1">{"Minpmon",#N/A,FALSE,"Monthinput"}</definedName>
    <definedName name="yyyyyy" localSheetId="29" hidden="1">{"Minpmon",#N/A,FALSE,"Monthinput"}</definedName>
    <definedName name="yyyyyy" localSheetId="30" hidden="1">{"Minpmon",#N/A,FALSE,"Monthinput"}</definedName>
    <definedName name="yyyyyy" localSheetId="44" hidden="1">{"Minpmon",#N/A,FALSE,"Monthinput"}</definedName>
    <definedName name="yyyyyy" localSheetId="59" hidden="1">{"Minpmon",#N/A,FALSE,"Monthinput"}</definedName>
    <definedName name="yyyyyy" localSheetId="13" hidden="1">{"Minpmon",#N/A,FALSE,"Monthinput"}</definedName>
    <definedName name="yyyyyy" localSheetId="0" hidden="1">{"Minpmon",#N/A,FALSE,"Monthinput"}</definedName>
    <definedName name="yyyyyy" localSheetId="57" hidden="1">{"Minpmon",#N/A,FALSE,"Monthinput"}</definedName>
    <definedName name="yyyyyy" localSheetId="56" hidden="1">{"Minpmon",#N/A,FALSE,"Monthinput"}</definedName>
    <definedName name="yyyyyy" localSheetId="54" hidden="1">{"Minpmon",#N/A,FALSE,"Monthinput"}</definedName>
    <definedName name="yyyyyy" localSheetId="52" hidden="1">{"Minpmon",#N/A,FALSE,"Monthinput"}</definedName>
    <definedName name="yyyyyy" localSheetId="23" hidden="1">{"Minpmon",#N/A,FALSE,"Monthinput"}</definedName>
    <definedName name="yyyyyy" localSheetId="51" hidden="1">{"Minpmon",#N/A,FALSE,"Monthinput"}</definedName>
    <definedName name="yyyyyy" localSheetId="53" hidden="1">{"Minpmon",#N/A,FALSE,"Monthinput"}</definedName>
    <definedName name="yyyyyy" localSheetId="60" hidden="1">{"Minpmon",#N/A,FALSE,"Monthinput"}</definedName>
    <definedName name="yyyyyy" hidden="1">{"Minpmon",#N/A,FALSE,"Monthinput"}</definedName>
    <definedName name="z" localSheetId="34">#REF!</definedName>
    <definedName name="z" localSheetId="35">#REF!</definedName>
    <definedName name="Z" localSheetId="50">[8]Imp!#REF!</definedName>
    <definedName name="z" localSheetId="15">#REF!</definedName>
    <definedName name="z" localSheetId="29">#REF!</definedName>
    <definedName name="z" localSheetId="30">#REF!</definedName>
    <definedName name="z" localSheetId="47">#REF!</definedName>
    <definedName name="Z" localSheetId="44">[8]Imp!#REF!</definedName>
    <definedName name="z" localSheetId="45">#REF!</definedName>
    <definedName name="z" localSheetId="46">#REF!</definedName>
    <definedName name="z" localSheetId="31">#REF!</definedName>
    <definedName name="z" localSheetId="32">#REF!</definedName>
    <definedName name="z" localSheetId="33">#REF!</definedName>
    <definedName name="z" localSheetId="36">#REF!</definedName>
    <definedName name="z" localSheetId="37">#REF!</definedName>
    <definedName name="z" localSheetId="38">#REF!</definedName>
    <definedName name="z" localSheetId="39">#REF!</definedName>
    <definedName name="z" localSheetId="40">#REF!</definedName>
    <definedName name="Z" localSheetId="54">[8]Imp!#REF!</definedName>
    <definedName name="z" localSheetId="55">#REF!</definedName>
    <definedName name="Z" localSheetId="52">[8]Imp!#REF!</definedName>
    <definedName name="z" localSheetId="23">#REF!</definedName>
    <definedName name="Z" localSheetId="51">[8]Imp!#REF!</definedName>
    <definedName name="Z" localSheetId="53">[8]Imp!#REF!</definedName>
    <definedName name="z" localSheetId="20">#REF!</definedName>
    <definedName name="z">#REF!</definedName>
    <definedName name="Z_95224721_0485_11D4_BFD1_00508B5F4DA4_.wvu.Cols" localSheetId="34" hidden="1">#REF!</definedName>
    <definedName name="Z_95224721_0485_11D4_BFD1_00508B5F4DA4_.wvu.Cols" localSheetId="35" hidden="1">#REF!</definedName>
    <definedName name="Z_95224721_0485_11D4_BFD1_00508B5F4DA4_.wvu.Cols" localSheetId="50" hidden="1">#REF!</definedName>
    <definedName name="Z_95224721_0485_11D4_BFD1_00508B5F4DA4_.wvu.Cols" localSheetId="15" hidden="1">#REF!</definedName>
    <definedName name="Z_95224721_0485_11D4_BFD1_00508B5F4DA4_.wvu.Cols" localSheetId="29" hidden="1">#REF!</definedName>
    <definedName name="Z_95224721_0485_11D4_BFD1_00508B5F4DA4_.wvu.Cols" localSheetId="30" hidden="1">#REF!</definedName>
    <definedName name="Z_95224721_0485_11D4_BFD1_00508B5F4DA4_.wvu.Cols" localSheetId="47" hidden="1">#REF!</definedName>
    <definedName name="Z_95224721_0485_11D4_BFD1_00508B5F4DA4_.wvu.Cols" localSheetId="44" hidden="1">#REF!</definedName>
    <definedName name="Z_95224721_0485_11D4_BFD1_00508B5F4DA4_.wvu.Cols" localSheetId="45" hidden="1">#REF!</definedName>
    <definedName name="Z_95224721_0485_11D4_BFD1_00508B5F4DA4_.wvu.Cols" localSheetId="46" hidden="1">#REF!</definedName>
    <definedName name="Z_95224721_0485_11D4_BFD1_00508B5F4DA4_.wvu.Cols" localSheetId="31" hidden="1">#REF!</definedName>
    <definedName name="Z_95224721_0485_11D4_BFD1_00508B5F4DA4_.wvu.Cols" localSheetId="32" hidden="1">#REF!</definedName>
    <definedName name="Z_95224721_0485_11D4_BFD1_00508B5F4DA4_.wvu.Cols" localSheetId="33" hidden="1">#REF!</definedName>
    <definedName name="Z_95224721_0485_11D4_BFD1_00508B5F4DA4_.wvu.Cols" localSheetId="36" hidden="1">#REF!</definedName>
    <definedName name="Z_95224721_0485_11D4_BFD1_00508B5F4DA4_.wvu.Cols" localSheetId="37" hidden="1">#REF!</definedName>
    <definedName name="Z_95224721_0485_11D4_BFD1_00508B5F4DA4_.wvu.Cols" localSheetId="38" hidden="1">#REF!</definedName>
    <definedName name="Z_95224721_0485_11D4_BFD1_00508B5F4DA4_.wvu.Cols" localSheetId="39" hidden="1">#REF!</definedName>
    <definedName name="Z_95224721_0485_11D4_BFD1_00508B5F4DA4_.wvu.Cols" localSheetId="40" hidden="1">#REF!</definedName>
    <definedName name="Z_95224721_0485_11D4_BFD1_00508B5F4DA4_.wvu.Cols" localSheetId="54" hidden="1">#REF!</definedName>
    <definedName name="Z_95224721_0485_11D4_BFD1_00508B5F4DA4_.wvu.Cols" localSheetId="55" hidden="1">#REF!</definedName>
    <definedName name="Z_95224721_0485_11D4_BFD1_00508B5F4DA4_.wvu.Cols" localSheetId="52" hidden="1">#REF!</definedName>
    <definedName name="Z_95224721_0485_11D4_BFD1_00508B5F4DA4_.wvu.Cols" localSheetId="23" hidden="1">#REF!</definedName>
    <definedName name="Z_95224721_0485_11D4_BFD1_00508B5F4DA4_.wvu.Cols" localSheetId="51" hidden="1">#REF!</definedName>
    <definedName name="Z_95224721_0485_11D4_BFD1_00508B5F4DA4_.wvu.Cols" localSheetId="53" hidden="1">#REF!</definedName>
    <definedName name="Z_95224721_0485_11D4_BFD1_00508B5F4DA4_.wvu.Cols" localSheetId="20" hidden="1">#REF!</definedName>
    <definedName name="Z_95224721_0485_11D4_BFD1_00508B5F4DA4_.wvu.Cols" hidden="1">#REF!</definedName>
    <definedName name="zio" localSheetId="58" hidden="1">{"Tab1",#N/A,FALSE,"P";"Tab2",#N/A,FALSE,"P"}</definedName>
    <definedName name="zio" localSheetId="16" hidden="1">{"Tab1",#N/A,FALSE,"P";"Tab2",#N/A,FALSE,"P"}</definedName>
    <definedName name="zio" localSheetId="61" hidden="1">{"Tab1",#N/A,FALSE,"P";"Tab2",#N/A,FALSE,"P"}</definedName>
    <definedName name="zio" localSheetId="62" hidden="1">{"Tab1",#N/A,FALSE,"P";"Tab2",#N/A,FALSE,"P"}</definedName>
    <definedName name="zio" localSheetId="50" hidden="1">{"Tab1",#N/A,FALSE,"P";"Tab2",#N/A,FALSE,"P"}</definedName>
    <definedName name="zio" localSheetId="63" hidden="1">{"Tab1",#N/A,FALSE,"P";"Tab2",#N/A,FALSE,"P"}</definedName>
    <definedName name="zio" localSheetId="15" hidden="1">{"Tab1",#N/A,FALSE,"P";"Tab2",#N/A,FALSE,"P"}</definedName>
    <definedName name="zio" localSheetId="1" hidden="1">{"Tab1",#N/A,FALSE,"P";"Tab2",#N/A,FALSE,"P"}</definedName>
    <definedName name="zio" localSheetId="43" hidden="1">{"Tab1",#N/A,FALSE,"P";"Tab2",#N/A,FALSE,"P"}</definedName>
    <definedName name="zio" localSheetId="29" hidden="1">{"Tab1",#N/A,FALSE,"P";"Tab2",#N/A,FALSE,"P"}</definedName>
    <definedName name="zio" localSheetId="30" hidden="1">{"Tab1",#N/A,FALSE,"P";"Tab2",#N/A,FALSE,"P"}</definedName>
    <definedName name="zio" localSheetId="44" hidden="1">{"Tab1",#N/A,FALSE,"P";"Tab2",#N/A,FALSE,"P"}</definedName>
    <definedName name="zio" localSheetId="59" hidden="1">{"Tab1",#N/A,FALSE,"P";"Tab2",#N/A,FALSE,"P"}</definedName>
    <definedName name="zio" localSheetId="13" hidden="1">{"Tab1",#N/A,FALSE,"P";"Tab2",#N/A,FALSE,"P"}</definedName>
    <definedName name="zio" localSheetId="0" hidden="1">{"Tab1",#N/A,FALSE,"P";"Tab2",#N/A,FALSE,"P"}</definedName>
    <definedName name="zio" localSheetId="57" hidden="1">{"Tab1",#N/A,FALSE,"P";"Tab2",#N/A,FALSE,"P"}</definedName>
    <definedName name="zio" localSheetId="56" hidden="1">{"Tab1",#N/A,FALSE,"P";"Tab2",#N/A,FALSE,"P"}</definedName>
    <definedName name="zio" localSheetId="54" hidden="1">{"Tab1",#N/A,FALSE,"P";"Tab2",#N/A,FALSE,"P"}</definedName>
    <definedName name="zio" localSheetId="52" hidden="1">{"Tab1",#N/A,FALSE,"P";"Tab2",#N/A,FALSE,"P"}</definedName>
    <definedName name="zio" localSheetId="23" hidden="1">{"Tab1",#N/A,FALSE,"P";"Tab2",#N/A,FALSE,"P"}</definedName>
    <definedName name="zio" localSheetId="51" hidden="1">{"Tab1",#N/A,FALSE,"P";"Tab2",#N/A,FALSE,"P"}</definedName>
    <definedName name="zio" localSheetId="53" hidden="1">{"Tab1",#N/A,FALSE,"P";"Tab2",#N/A,FALSE,"P"}</definedName>
    <definedName name="zio" localSheetId="60" hidden="1">{"Tab1",#N/A,FALSE,"P";"Tab2",#N/A,FALSE,"P"}</definedName>
    <definedName name="zio" hidden="1">{"Tab1",#N/A,FALSE,"P";"Tab2",#N/A,FALSE,"P"}</definedName>
    <definedName name="zz" localSheetId="58" hidden="1">{"Tab1",#N/A,FALSE,"P";"Tab2",#N/A,FALSE,"P"}</definedName>
    <definedName name="zz" localSheetId="16" hidden="1">{"Tab1",#N/A,FALSE,"P";"Tab2",#N/A,FALSE,"P"}</definedName>
    <definedName name="zz" localSheetId="61" hidden="1">{"Tab1",#N/A,FALSE,"P";"Tab2",#N/A,FALSE,"P"}</definedName>
    <definedName name="zz" localSheetId="62" hidden="1">{"Tab1",#N/A,FALSE,"P";"Tab2",#N/A,FALSE,"P"}</definedName>
    <definedName name="zz" localSheetId="50" hidden="1">{"Tab1",#N/A,FALSE,"P";"Tab2",#N/A,FALSE,"P"}</definedName>
    <definedName name="zz" localSheetId="63" hidden="1">{"Tab1",#N/A,FALSE,"P";"Tab2",#N/A,FALSE,"P"}</definedName>
    <definedName name="zz" localSheetId="15" hidden="1">{"Tab1",#N/A,FALSE,"P";"Tab2",#N/A,FALSE,"P"}</definedName>
    <definedName name="zz" localSheetId="1" hidden="1">{"Tab1",#N/A,FALSE,"P";"Tab2",#N/A,FALSE,"P"}</definedName>
    <definedName name="zz" localSheetId="43" hidden="1">{"Tab1",#N/A,FALSE,"P";"Tab2",#N/A,FALSE,"P"}</definedName>
    <definedName name="zz" localSheetId="29" hidden="1">{"Tab1",#N/A,FALSE,"P";"Tab2",#N/A,FALSE,"P"}</definedName>
    <definedName name="zz" localSheetId="30" hidden="1">{"Tab1",#N/A,FALSE,"P";"Tab2",#N/A,FALSE,"P"}</definedName>
    <definedName name="zz" localSheetId="44" hidden="1">{"Tab1",#N/A,FALSE,"P";"Tab2",#N/A,FALSE,"P"}</definedName>
    <definedName name="zz" localSheetId="59" hidden="1">{"Tab1",#N/A,FALSE,"P";"Tab2",#N/A,FALSE,"P"}</definedName>
    <definedName name="zz" localSheetId="13" hidden="1">{"Tab1",#N/A,FALSE,"P";"Tab2",#N/A,FALSE,"P"}</definedName>
    <definedName name="zz" localSheetId="0" hidden="1">{"Tab1",#N/A,FALSE,"P";"Tab2",#N/A,FALSE,"P"}</definedName>
    <definedName name="zz" localSheetId="57" hidden="1">{"Tab1",#N/A,FALSE,"P";"Tab2",#N/A,FALSE,"P"}</definedName>
    <definedName name="zz" localSheetId="56" hidden="1">{"Tab1",#N/A,FALSE,"P";"Tab2",#N/A,FALSE,"P"}</definedName>
    <definedName name="zz" localSheetId="54" hidden="1">{"Tab1",#N/A,FALSE,"P";"Tab2",#N/A,FALSE,"P"}</definedName>
    <definedName name="zz" localSheetId="52" hidden="1">{"Tab1",#N/A,FALSE,"P";"Tab2",#N/A,FALSE,"P"}</definedName>
    <definedName name="zz" localSheetId="23" hidden="1">{"Tab1",#N/A,FALSE,"P";"Tab2",#N/A,FALSE,"P"}</definedName>
    <definedName name="zz" localSheetId="51" hidden="1">{"Tab1",#N/A,FALSE,"P";"Tab2",#N/A,FALSE,"P"}</definedName>
    <definedName name="zz" localSheetId="53" hidden="1">{"Tab1",#N/A,FALSE,"P";"Tab2",#N/A,FALSE,"P"}</definedName>
    <definedName name="zz" localSheetId="60" hidden="1">{"Tab1",#N/A,FALSE,"P";"Tab2",#N/A,FALSE,"P"}</definedName>
    <definedName name="zz" hidden="1">{"Tab1",#N/A,FALSE,"P";"Tab2",#N/A,FALSE,"P"}</definedName>
    <definedName name="zzz" localSheetId="58" hidden="1">{"TBILLS_ALL",#N/A,FALSE,"FITB_all"}</definedName>
    <definedName name="zzz" localSheetId="16" hidden="1">{"TBILLS_ALL",#N/A,FALSE,"FITB_all"}</definedName>
    <definedName name="zzz" localSheetId="50" hidden="1">{"TBILLS_ALL",#N/A,FALSE,"FITB_all"}</definedName>
    <definedName name="zzz" localSheetId="44" hidden="1">{"TBILLS_ALL",#N/A,FALSE,"FITB_all"}</definedName>
    <definedName name="zzz" localSheetId="59" hidden="1">{"TBILLS_ALL",#N/A,FALSE,"FITB_all"}</definedName>
    <definedName name="zzz" localSheetId="57" hidden="1">{"TBILLS_ALL",#N/A,FALSE,"FITB_all"}</definedName>
    <definedName name="zzz" localSheetId="56" hidden="1">{"TBILLS_ALL",#N/A,FALSE,"FITB_all"}</definedName>
    <definedName name="zzz" localSheetId="54" hidden="1">{"TBILLS_ALL",#N/A,FALSE,"FITB_all"}</definedName>
    <definedName name="zzz" localSheetId="52" hidden="1">{"TBILLS_ALL",#N/A,FALSE,"FITB_all"}</definedName>
    <definedName name="zzz" localSheetId="51" hidden="1">{"TBILLS_ALL",#N/A,FALSE,"FITB_all"}</definedName>
    <definedName name="zzz" localSheetId="60" hidden="1">{"TBILLS_ALL",#N/A,FALSE,"FITB_all"}</definedName>
    <definedName name="zzz" hidden="1">{"TBILLS_ALL",#N/A,FALSE,"FITB_all"}</definedName>
    <definedName name="zzzz" localSheetId="58" hidden="1">{"Tab1",#N/A,FALSE,"P";"Tab2",#N/A,FALSE,"P"}</definedName>
    <definedName name="zzzz" localSheetId="16" hidden="1">{"Tab1",#N/A,FALSE,"P";"Tab2",#N/A,FALSE,"P"}</definedName>
    <definedName name="zzzz" localSheetId="61" hidden="1">{"Tab1",#N/A,FALSE,"P";"Tab2",#N/A,FALSE,"P"}</definedName>
    <definedName name="zzzz" localSheetId="62" hidden="1">{"Tab1",#N/A,FALSE,"P";"Tab2",#N/A,FALSE,"P"}</definedName>
    <definedName name="zzzz" localSheetId="50" hidden="1">{"Tab1",#N/A,FALSE,"P";"Tab2",#N/A,FALSE,"P"}</definedName>
    <definedName name="zzzz" localSheetId="63" hidden="1">{"Tab1",#N/A,FALSE,"P";"Tab2",#N/A,FALSE,"P"}</definedName>
    <definedName name="zzzz" localSheetId="15" hidden="1">{"Tab1",#N/A,FALSE,"P";"Tab2",#N/A,FALSE,"P"}</definedName>
    <definedName name="zzzz" localSheetId="1" hidden="1">{"Tab1",#N/A,FALSE,"P";"Tab2",#N/A,FALSE,"P"}</definedName>
    <definedName name="zzzz" localSheetId="43" hidden="1">{"Tab1",#N/A,FALSE,"P";"Tab2",#N/A,FALSE,"P"}</definedName>
    <definedName name="zzzz" localSheetId="29" hidden="1">{"Tab1",#N/A,FALSE,"P";"Tab2",#N/A,FALSE,"P"}</definedName>
    <definedName name="zzzz" localSheetId="30" hidden="1">{"Tab1",#N/A,FALSE,"P";"Tab2",#N/A,FALSE,"P"}</definedName>
    <definedName name="zzzz" localSheetId="44" hidden="1">{"Tab1",#N/A,FALSE,"P";"Tab2",#N/A,FALSE,"P"}</definedName>
    <definedName name="zzzz" localSheetId="59" hidden="1">{"Tab1",#N/A,FALSE,"P";"Tab2",#N/A,FALSE,"P"}</definedName>
    <definedName name="zzzz" localSheetId="13" hidden="1">{"Tab1",#N/A,FALSE,"P";"Tab2",#N/A,FALSE,"P"}</definedName>
    <definedName name="zzzz" localSheetId="0" hidden="1">{"Tab1",#N/A,FALSE,"P";"Tab2",#N/A,FALSE,"P"}</definedName>
    <definedName name="zzzz" localSheetId="57" hidden="1">{"Tab1",#N/A,FALSE,"P";"Tab2",#N/A,FALSE,"P"}</definedName>
    <definedName name="zzzz" localSheetId="56" hidden="1">{"Tab1",#N/A,FALSE,"P";"Tab2",#N/A,FALSE,"P"}</definedName>
    <definedName name="zzzz" localSheetId="54" hidden="1">{"Tab1",#N/A,FALSE,"P";"Tab2",#N/A,FALSE,"P"}</definedName>
    <definedName name="zzzz" localSheetId="52" hidden="1">{"Tab1",#N/A,FALSE,"P";"Tab2",#N/A,FALSE,"P"}</definedName>
    <definedName name="zzzz" localSheetId="23" hidden="1">{"Tab1",#N/A,FALSE,"P";"Tab2",#N/A,FALSE,"P"}</definedName>
    <definedName name="zzzz" localSheetId="51" hidden="1">{"Tab1",#N/A,FALSE,"P";"Tab2",#N/A,FALSE,"P"}</definedName>
    <definedName name="zzzz" localSheetId="53" hidden="1">{"Tab1",#N/A,FALSE,"P";"Tab2",#N/A,FALSE,"P"}</definedName>
    <definedName name="zzzz" localSheetId="60" hidden="1">{"Tab1",#N/A,FALSE,"P";"Tab2",#N/A,FALSE,"P"}</definedName>
    <definedName name="zzzz" hidden="1">{"Tab1",#N/A,FALSE,"P";"Tab2",#N/A,FALSE,"P"}</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6" i="256" l="1"/>
  <c r="Y6" i="175"/>
  <c r="N75" i="300"/>
  <c r="E75" i="300" l="1"/>
  <c r="F75" i="300"/>
  <c r="G75" i="300"/>
  <c r="H75" i="300"/>
  <c r="I75" i="300"/>
  <c r="J75" i="300"/>
  <c r="K75" i="300"/>
  <c r="L75" i="300"/>
  <c r="M75" i="300"/>
  <c r="D75" i="300"/>
  <c r="C75" i="300"/>
  <c r="AV40" i="247" l="1"/>
  <c r="G26" i="191" l="1"/>
  <c r="E26" i="191"/>
  <c r="H40" i="191" l="1"/>
  <c r="H39" i="191"/>
  <c r="H36" i="191"/>
  <c r="H35" i="191"/>
  <c r="H34" i="191"/>
  <c r="H33" i="191"/>
  <c r="H32" i="191"/>
  <c r="H31" i="191"/>
  <c r="H30" i="191"/>
  <c r="H29" i="191"/>
  <c r="F27" i="191"/>
  <c r="H28" i="191"/>
  <c r="H27" i="191"/>
  <c r="F40" i="191"/>
  <c r="F39" i="191"/>
  <c r="F36" i="191"/>
  <c r="F35" i="191"/>
  <c r="F34" i="191"/>
  <c r="F33" i="191"/>
  <c r="F32" i="191"/>
  <c r="F31" i="191"/>
  <c r="F30" i="191"/>
  <c r="F29" i="191"/>
  <c r="F28" i="191"/>
  <c r="AR90" i="147" l="1"/>
  <c r="O11" i="335"/>
  <c r="P5" i="335"/>
  <c r="U33" i="297" l="1"/>
  <c r="U27" i="297"/>
  <c r="V7" i="297" s="1"/>
  <c r="V20" i="297" l="1"/>
  <c r="V19" i="297"/>
  <c r="V10" i="297"/>
  <c r="V9" i="297"/>
  <c r="V26" i="297"/>
  <c r="V18" i="297"/>
  <c r="V25" i="297"/>
  <c r="V14" i="297"/>
  <c r="V13" i="297"/>
  <c r="V22" i="297"/>
  <c r="V12" i="297"/>
  <c r="V17" i="297"/>
  <c r="V24" i="297"/>
  <c r="V23" i="297"/>
  <c r="V21" i="297"/>
  <c r="V11" i="297"/>
  <c r="V16" i="297"/>
  <c r="V8" i="297"/>
  <c r="V15" i="297"/>
  <c r="BG8" i="247"/>
  <c r="BH8" i="247"/>
  <c r="BH19" i="247" s="1"/>
  <c r="BI8" i="247"/>
  <c r="BI19" i="247" s="1"/>
  <c r="BF8" i="247"/>
  <c r="AW8" i="247"/>
  <c r="AX8" i="247"/>
  <c r="AY8" i="247"/>
  <c r="AV8" i="247"/>
  <c r="H87" i="325" l="1"/>
  <c r="H95" i="295"/>
  <c r="G95" i="295"/>
  <c r="H93" i="295"/>
  <c r="G93" i="295"/>
  <c r="H92" i="295"/>
  <c r="G92" i="295"/>
  <c r="H91" i="295"/>
  <c r="G91" i="295"/>
  <c r="H89" i="295"/>
  <c r="G89" i="295"/>
  <c r="H88" i="295"/>
  <c r="G88" i="295"/>
  <c r="H85" i="295"/>
  <c r="G85" i="295"/>
  <c r="H83" i="295"/>
  <c r="G83" i="295"/>
  <c r="H82" i="295"/>
  <c r="G82" i="295"/>
  <c r="H79" i="295"/>
  <c r="G79" i="295"/>
  <c r="H77" i="295"/>
  <c r="G77" i="295"/>
  <c r="H75" i="295"/>
  <c r="G75" i="295"/>
  <c r="H74" i="295"/>
  <c r="G74" i="295"/>
  <c r="H71" i="295"/>
  <c r="G71" i="295"/>
  <c r="H70" i="295"/>
  <c r="G70" i="295"/>
  <c r="H69" i="295"/>
  <c r="G69" i="295"/>
  <c r="H67" i="295"/>
  <c r="G67" i="295"/>
  <c r="H64" i="295"/>
  <c r="G64" i="295"/>
  <c r="H63" i="295"/>
  <c r="G63" i="295"/>
  <c r="H61" i="295"/>
  <c r="G61" i="295"/>
  <c r="H59" i="295"/>
  <c r="G59" i="295"/>
  <c r="H58" i="295"/>
  <c r="G58" i="295"/>
  <c r="H56" i="295"/>
  <c r="G56" i="295"/>
  <c r="H51" i="295"/>
  <c r="G51" i="295"/>
  <c r="H50" i="295"/>
  <c r="G50" i="295"/>
  <c r="H49" i="295"/>
  <c r="G49" i="295"/>
  <c r="H48" i="295"/>
  <c r="G48" i="295"/>
  <c r="H47" i="295"/>
  <c r="G47" i="295"/>
  <c r="H46" i="295"/>
  <c r="G46" i="295"/>
  <c r="H43" i="295"/>
  <c r="G43" i="295"/>
  <c r="H42" i="295"/>
  <c r="G42" i="295"/>
  <c r="H40" i="295"/>
  <c r="G40" i="295"/>
  <c r="H37" i="295"/>
  <c r="G37" i="295"/>
  <c r="H36" i="295"/>
  <c r="G36" i="295"/>
  <c r="H35" i="295"/>
  <c r="G35" i="295"/>
  <c r="H34" i="295"/>
  <c r="G34" i="295"/>
  <c r="H27" i="295"/>
  <c r="G27" i="295"/>
  <c r="H24" i="295"/>
  <c r="G24" i="295"/>
  <c r="H23" i="295"/>
  <c r="G23" i="295"/>
  <c r="H22" i="295"/>
  <c r="G22" i="295"/>
  <c r="H21" i="295"/>
  <c r="G21" i="295"/>
  <c r="H20" i="295"/>
  <c r="G20" i="295"/>
  <c r="H19" i="295"/>
  <c r="G19" i="295"/>
  <c r="H18" i="295"/>
  <c r="G18" i="295"/>
  <c r="H17" i="295"/>
  <c r="G17" i="295"/>
  <c r="H16" i="295"/>
  <c r="G16" i="295"/>
  <c r="H15" i="295"/>
  <c r="G15" i="295"/>
  <c r="H14" i="295"/>
  <c r="G14" i="295"/>
  <c r="H13" i="295"/>
  <c r="G13" i="295"/>
  <c r="H12" i="295"/>
  <c r="G12" i="295"/>
  <c r="H11" i="295"/>
  <c r="G11" i="295"/>
  <c r="H10" i="295"/>
  <c r="G10" i="295"/>
  <c r="H9" i="295"/>
  <c r="G9" i="295"/>
  <c r="H8" i="295"/>
  <c r="G8" i="295"/>
  <c r="I8" i="295"/>
  <c r="G14" i="287" l="1"/>
  <c r="C41" i="345" l="1"/>
  <c r="D41" i="345"/>
  <c r="E41" i="345"/>
  <c r="F41" i="345"/>
  <c r="G41" i="345"/>
  <c r="D45" i="345"/>
  <c r="E45" i="345"/>
  <c r="F45" i="345"/>
  <c r="G45" i="345"/>
  <c r="H45" i="345"/>
  <c r="D47" i="345"/>
  <c r="E47" i="345"/>
  <c r="F47" i="345"/>
  <c r="G47" i="345"/>
  <c r="H47" i="345"/>
  <c r="D49" i="345"/>
  <c r="E49" i="345"/>
  <c r="F49" i="345"/>
  <c r="G49" i="345"/>
  <c r="H49" i="345"/>
  <c r="D51" i="345"/>
  <c r="E51" i="345"/>
  <c r="F51" i="345"/>
  <c r="G51" i="345"/>
  <c r="H51" i="345"/>
  <c r="D53" i="345"/>
  <c r="E53" i="345"/>
  <c r="F53" i="345"/>
  <c r="G53" i="345"/>
  <c r="H53" i="345"/>
  <c r="D55" i="345"/>
  <c r="E55" i="345"/>
  <c r="F55" i="345"/>
  <c r="G55" i="345"/>
  <c r="H55" i="345"/>
  <c r="D57" i="345"/>
  <c r="E57" i="345"/>
  <c r="F57" i="345"/>
  <c r="G57" i="345"/>
  <c r="H57" i="345"/>
  <c r="D59" i="345"/>
  <c r="E59" i="345"/>
  <c r="F59" i="345"/>
  <c r="G59" i="345"/>
  <c r="H59" i="345"/>
  <c r="D61" i="345"/>
  <c r="E61" i="345"/>
  <c r="F61" i="345"/>
  <c r="G61" i="345"/>
  <c r="H61" i="345"/>
  <c r="D63" i="345"/>
  <c r="E63" i="345"/>
  <c r="F63" i="345"/>
  <c r="G63" i="345"/>
  <c r="H63" i="345"/>
  <c r="D65" i="345"/>
  <c r="E65" i="345"/>
  <c r="F65" i="345"/>
  <c r="G65" i="345"/>
  <c r="H65" i="345"/>
  <c r="D67" i="345"/>
  <c r="E67" i="345"/>
  <c r="F67" i="345"/>
  <c r="G67" i="345"/>
  <c r="H67" i="345"/>
  <c r="D43" i="345"/>
  <c r="E43" i="345"/>
  <c r="F43" i="345"/>
  <c r="G43" i="345"/>
  <c r="AI8" i="170" l="1"/>
  <c r="AI6" i="170"/>
  <c r="D12" i="335" l="1"/>
  <c r="E12" i="335"/>
  <c r="AE35" i="168" l="1"/>
  <c r="AE33" i="168"/>
  <c r="AE25" i="168"/>
  <c r="L9" i="256"/>
  <c r="K9" i="256"/>
  <c r="J9" i="256"/>
  <c r="I9" i="256"/>
  <c r="H9" i="256"/>
  <c r="G8" i="187" s="1"/>
  <c r="G9" i="256"/>
  <c r="F9" i="256"/>
  <c r="E9" i="256"/>
  <c r="D9" i="256"/>
  <c r="C9" i="256"/>
  <c r="C8" i="256" s="1"/>
  <c r="I45" i="345"/>
  <c r="D38" i="344"/>
  <c r="E38" i="344"/>
  <c r="F38" i="344"/>
  <c r="C33" i="344"/>
  <c r="D33" i="344"/>
  <c r="E33" i="344"/>
  <c r="F33" i="344"/>
  <c r="G33" i="344"/>
  <c r="C39" i="255"/>
  <c r="DU12" i="169"/>
  <c r="E39" i="255"/>
  <c r="F39" i="255"/>
  <c r="G39" i="255"/>
  <c r="H39" i="255"/>
  <c r="I39" i="255"/>
  <c r="J39" i="255"/>
  <c r="K39" i="255"/>
  <c r="L39" i="255"/>
  <c r="M39" i="255"/>
  <c r="N39" i="255"/>
  <c r="O39" i="255"/>
  <c r="P39" i="255"/>
  <c r="Q39" i="255"/>
  <c r="R39" i="255"/>
  <c r="S39" i="255"/>
  <c r="T39" i="255"/>
  <c r="D39" i="255"/>
  <c r="D27" i="255"/>
  <c r="E27" i="255"/>
  <c r="F27" i="255"/>
  <c r="G27" i="255"/>
  <c r="H27" i="255"/>
  <c r="I27" i="255"/>
  <c r="J27" i="255"/>
  <c r="K27" i="255"/>
  <c r="L27" i="255"/>
  <c r="M27" i="255"/>
  <c r="N27" i="255"/>
  <c r="O27" i="255"/>
  <c r="P27" i="255"/>
  <c r="Q27" i="255"/>
  <c r="R27" i="255"/>
  <c r="S27" i="255"/>
  <c r="T27" i="255"/>
  <c r="C27" i="255"/>
  <c r="C9" i="255"/>
  <c r="C8" i="255" s="1"/>
  <c r="S7" i="187"/>
  <c r="L61" i="256"/>
  <c r="K61" i="256"/>
  <c r="J60" i="187" s="1"/>
  <c r="J61" i="256"/>
  <c r="I61" i="256"/>
  <c r="H61" i="256"/>
  <c r="G61" i="256"/>
  <c r="F61" i="256"/>
  <c r="E61" i="256"/>
  <c r="D61" i="256"/>
  <c r="C60" i="187" s="1"/>
  <c r="L57" i="256"/>
  <c r="K57" i="256"/>
  <c r="J57" i="256"/>
  <c r="I57" i="256"/>
  <c r="H57" i="256"/>
  <c r="G57" i="256"/>
  <c r="F57" i="256"/>
  <c r="E57" i="256"/>
  <c r="D57" i="256"/>
  <c r="C56" i="187" s="1"/>
  <c r="C57" i="256"/>
  <c r="L45" i="256"/>
  <c r="K45" i="256"/>
  <c r="J45" i="256"/>
  <c r="I45" i="256"/>
  <c r="H45" i="256"/>
  <c r="G45" i="256"/>
  <c r="F45" i="256"/>
  <c r="E44" i="187" s="1"/>
  <c r="E45" i="256"/>
  <c r="D45" i="256"/>
  <c r="C45" i="256"/>
  <c r="C45" i="255"/>
  <c r="D45" i="255"/>
  <c r="E45" i="255"/>
  <c r="F45" i="255"/>
  <c r="C57" i="255"/>
  <c r="D57" i="255"/>
  <c r="E57" i="255"/>
  <c r="F57" i="255"/>
  <c r="M61" i="256"/>
  <c r="N61" i="256"/>
  <c r="O61" i="256"/>
  <c r="P61" i="256"/>
  <c r="Q61" i="256"/>
  <c r="Q60" i="187" s="1"/>
  <c r="R61" i="256"/>
  <c r="S61" i="256"/>
  <c r="T61" i="256"/>
  <c r="M57" i="256"/>
  <c r="N57" i="256"/>
  <c r="O57" i="256"/>
  <c r="P57" i="256"/>
  <c r="Q57" i="256"/>
  <c r="Q56" i="187" s="1"/>
  <c r="R57" i="256"/>
  <c r="S57" i="256"/>
  <c r="T57" i="256"/>
  <c r="M45" i="256"/>
  <c r="N45" i="256"/>
  <c r="O45" i="256"/>
  <c r="P45" i="256"/>
  <c r="Q45" i="256"/>
  <c r="Q44" i="187" s="1"/>
  <c r="R45" i="256"/>
  <c r="S45" i="256"/>
  <c r="T45" i="256"/>
  <c r="C39" i="256"/>
  <c r="D31" i="256"/>
  <c r="E31" i="256"/>
  <c r="F31" i="256"/>
  <c r="G31" i="256"/>
  <c r="H31" i="256"/>
  <c r="I31" i="256"/>
  <c r="J31" i="256"/>
  <c r="K31" i="256"/>
  <c r="L31" i="256"/>
  <c r="M31" i="256"/>
  <c r="N31" i="256"/>
  <c r="O31" i="256"/>
  <c r="O30" i="187" s="1"/>
  <c r="P31" i="256"/>
  <c r="Q31" i="256"/>
  <c r="R31" i="256"/>
  <c r="S31" i="256"/>
  <c r="T31" i="256"/>
  <c r="C31" i="256"/>
  <c r="E27" i="256"/>
  <c r="F27" i="256"/>
  <c r="G27" i="256"/>
  <c r="H27" i="256"/>
  <c r="I27" i="256"/>
  <c r="J27" i="256"/>
  <c r="K27" i="256"/>
  <c r="L27" i="256"/>
  <c r="M27" i="256"/>
  <c r="N27" i="256"/>
  <c r="N26" i="187" s="1"/>
  <c r="O27" i="256"/>
  <c r="P27" i="256"/>
  <c r="Q27" i="256"/>
  <c r="R27" i="256"/>
  <c r="S27" i="256"/>
  <c r="T27" i="256"/>
  <c r="D27" i="256"/>
  <c r="M9" i="256"/>
  <c r="N9" i="256"/>
  <c r="O9" i="256"/>
  <c r="P9" i="256"/>
  <c r="Q9" i="256"/>
  <c r="R9" i="256"/>
  <c r="S9" i="256"/>
  <c r="T9" i="256"/>
  <c r="D61" i="255"/>
  <c r="E61" i="255"/>
  <c r="F61" i="255"/>
  <c r="G61" i="255"/>
  <c r="H61" i="255"/>
  <c r="I61" i="255"/>
  <c r="J61" i="255"/>
  <c r="K61" i="255"/>
  <c r="L61" i="255"/>
  <c r="M61" i="255"/>
  <c r="N61" i="255"/>
  <c r="O61" i="255"/>
  <c r="P61" i="255"/>
  <c r="Q61" i="255"/>
  <c r="R61" i="255"/>
  <c r="S61" i="255"/>
  <c r="T61" i="255"/>
  <c r="C61" i="255"/>
  <c r="G57" i="255"/>
  <c r="H57" i="255"/>
  <c r="I57" i="255"/>
  <c r="J57" i="255"/>
  <c r="K57" i="255"/>
  <c r="L57" i="255"/>
  <c r="M57" i="255"/>
  <c r="N57" i="255"/>
  <c r="O57" i="255"/>
  <c r="P57" i="255"/>
  <c r="Q57" i="255"/>
  <c r="R57" i="255"/>
  <c r="S57" i="255"/>
  <c r="T57" i="255"/>
  <c r="G45" i="255"/>
  <c r="H45" i="255"/>
  <c r="I45" i="255"/>
  <c r="J45" i="255"/>
  <c r="K45" i="255"/>
  <c r="L45" i="255"/>
  <c r="M45" i="255"/>
  <c r="N45" i="255"/>
  <c r="O45" i="255"/>
  <c r="P45" i="255"/>
  <c r="Q45" i="255"/>
  <c r="R45" i="255"/>
  <c r="S45" i="255"/>
  <c r="T45" i="255"/>
  <c r="D31" i="255"/>
  <c r="E31" i="255"/>
  <c r="F31" i="255"/>
  <c r="G31" i="255"/>
  <c r="H31" i="255"/>
  <c r="I31" i="255"/>
  <c r="J31" i="255"/>
  <c r="K31" i="255"/>
  <c r="L31" i="255"/>
  <c r="M31" i="255"/>
  <c r="N31" i="255"/>
  <c r="O31" i="255"/>
  <c r="P31" i="255"/>
  <c r="Q31" i="255"/>
  <c r="R31" i="255"/>
  <c r="S31" i="255"/>
  <c r="T31" i="255"/>
  <c r="C31" i="255"/>
  <c r="D9" i="255"/>
  <c r="D8" i="255" s="1"/>
  <c r="E9" i="255"/>
  <c r="E8" i="255" s="1"/>
  <c r="F9" i="255"/>
  <c r="F8" i="255" s="1"/>
  <c r="G9" i="255"/>
  <c r="G8" i="255" s="1"/>
  <c r="H9" i="255"/>
  <c r="H8" i="255" s="1"/>
  <c r="I9" i="255"/>
  <c r="I8" i="255" s="1"/>
  <c r="J9" i="255"/>
  <c r="J8" i="255" s="1"/>
  <c r="K9" i="255"/>
  <c r="K8" i="255" s="1"/>
  <c r="L9" i="255"/>
  <c r="L8" i="255" s="1"/>
  <c r="M9" i="255"/>
  <c r="M8" i="255" s="1"/>
  <c r="N9" i="255"/>
  <c r="N8" i="255" s="1"/>
  <c r="O9" i="255"/>
  <c r="O8" i="255" s="1"/>
  <c r="P9" i="255"/>
  <c r="P8" i="255" s="1"/>
  <c r="Q9" i="255"/>
  <c r="Q8" i="255" s="1"/>
  <c r="R9" i="255"/>
  <c r="R8" i="255" s="1"/>
  <c r="S9" i="255"/>
  <c r="S8" i="255" s="1"/>
  <c r="T9" i="255"/>
  <c r="T8" i="255" s="1"/>
  <c r="AH19" i="178"/>
  <c r="AH18" i="178"/>
  <c r="R7" i="187"/>
  <c r="R9" i="187"/>
  <c r="S9" i="187"/>
  <c r="R10" i="187"/>
  <c r="S10" i="187"/>
  <c r="R11" i="187"/>
  <c r="S11" i="187"/>
  <c r="R12" i="187"/>
  <c r="S12" i="187"/>
  <c r="R13" i="187"/>
  <c r="S13" i="187"/>
  <c r="R15" i="187"/>
  <c r="S15" i="187"/>
  <c r="R19" i="187"/>
  <c r="S19" i="187"/>
  <c r="R20" i="187"/>
  <c r="S20" i="187"/>
  <c r="R22" i="187"/>
  <c r="S22" i="187"/>
  <c r="R24" i="187"/>
  <c r="S24" i="187"/>
  <c r="R27" i="187"/>
  <c r="S27" i="187"/>
  <c r="R28" i="187"/>
  <c r="S28" i="187"/>
  <c r="R31" i="187"/>
  <c r="S31" i="187"/>
  <c r="R32" i="187"/>
  <c r="S32" i="187"/>
  <c r="R33" i="187"/>
  <c r="S33" i="187"/>
  <c r="R34" i="187"/>
  <c r="S34" i="187"/>
  <c r="R35" i="187"/>
  <c r="S35" i="187"/>
  <c r="R36" i="187"/>
  <c r="S36" i="187"/>
  <c r="R38" i="187"/>
  <c r="S38" i="187"/>
  <c r="R39" i="187"/>
  <c r="S39" i="187"/>
  <c r="R40" i="187"/>
  <c r="S40" i="187"/>
  <c r="R41" i="187"/>
  <c r="S41" i="187"/>
  <c r="R42" i="187"/>
  <c r="S42" i="187"/>
  <c r="R45" i="187"/>
  <c r="S45" i="187"/>
  <c r="R46" i="187"/>
  <c r="S46" i="187"/>
  <c r="R48" i="187"/>
  <c r="S48" i="187"/>
  <c r="R49" i="187"/>
  <c r="S49" i="187"/>
  <c r="R50" i="187"/>
  <c r="S50" i="187"/>
  <c r="R51" i="187"/>
  <c r="S51" i="187"/>
  <c r="R52" i="187"/>
  <c r="S52" i="187"/>
  <c r="R54" i="187"/>
  <c r="S54" i="187"/>
  <c r="R57" i="187"/>
  <c r="S57" i="187"/>
  <c r="R58" i="187"/>
  <c r="S58" i="187"/>
  <c r="R61" i="187"/>
  <c r="S61" i="187"/>
  <c r="R62" i="187"/>
  <c r="S62" i="187"/>
  <c r="R64" i="187"/>
  <c r="S64" i="187"/>
  <c r="R65" i="187"/>
  <c r="S65" i="187"/>
  <c r="R66" i="187"/>
  <c r="S66" i="187"/>
  <c r="Q71" i="187"/>
  <c r="R71" i="187"/>
  <c r="S71" i="187"/>
  <c r="Q70" i="187"/>
  <c r="R70" i="187"/>
  <c r="S70" i="187"/>
  <c r="R30" i="187"/>
  <c r="AH42" i="178"/>
  <c r="AH45" i="178"/>
  <c r="AH44" i="178"/>
  <c r="AH43" i="178"/>
  <c r="AG66" i="177"/>
  <c r="AG58" i="177" s="1"/>
  <c r="Y23" i="175" s="1"/>
  <c r="AE19" i="168"/>
  <c r="AG23" i="177"/>
  <c r="AG22" i="177" s="1"/>
  <c r="AG35" i="178"/>
  <c r="AI35" i="178" s="1"/>
  <c r="AG34" i="178"/>
  <c r="AO34" i="178" s="1"/>
  <c r="AE20" i="168"/>
  <c r="AF10" i="177"/>
  <c r="X12" i="175" s="1"/>
  <c r="AF9" i="177"/>
  <c r="AH9" i="177" s="1"/>
  <c r="AG45" i="178"/>
  <c r="AG44" i="178"/>
  <c r="AO44" i="178" s="1"/>
  <c r="AG43" i="178"/>
  <c r="AI43" i="178" s="1"/>
  <c r="AG42" i="178"/>
  <c r="V52" i="177"/>
  <c r="V43" i="177" s="1"/>
  <c r="N20" i="175" s="1"/>
  <c r="W52" i="177"/>
  <c r="W43" i="177" s="1"/>
  <c r="O20" i="175" s="1"/>
  <c r="X52" i="177"/>
  <c r="X43" i="177" s="1"/>
  <c r="P20" i="175" s="1"/>
  <c r="Y52" i="177"/>
  <c r="Y43" i="177" s="1"/>
  <c r="Z52" i="177"/>
  <c r="Z43" i="177" s="1"/>
  <c r="R20" i="175" s="1"/>
  <c r="AA52" i="177"/>
  <c r="AA43" i="177" s="1"/>
  <c r="AB52" i="177"/>
  <c r="AB43" i="177" s="1"/>
  <c r="T20" i="175" s="1"/>
  <c r="AC52" i="177"/>
  <c r="AC43" i="177" s="1"/>
  <c r="AD52" i="177"/>
  <c r="AE52" i="177"/>
  <c r="AE43" i="177" s="1"/>
  <c r="W20" i="175" s="1"/>
  <c r="AF52" i="177"/>
  <c r="AG52" i="177"/>
  <c r="AG43" i="177" s="1"/>
  <c r="Y20" i="175" s="1"/>
  <c r="AH54" i="177"/>
  <c r="Y12" i="175"/>
  <c r="Z12" i="175" s="1"/>
  <c r="Y11" i="175"/>
  <c r="O61" i="251"/>
  <c r="O52" i="251"/>
  <c r="O53" i="251"/>
  <c r="O54" i="251"/>
  <c r="O55" i="251"/>
  <c r="O56" i="251"/>
  <c r="O57" i="251"/>
  <c r="O58" i="251"/>
  <c r="O59" i="251"/>
  <c r="O60" i="251"/>
  <c r="O51" i="251"/>
  <c r="I16" i="264"/>
  <c r="I14" i="264"/>
  <c r="I18" i="264"/>
  <c r="I20" i="264"/>
  <c r="I22" i="264"/>
  <c r="I24" i="264"/>
  <c r="I26" i="264"/>
  <c r="I28" i="264"/>
  <c r="I30" i="264"/>
  <c r="I32" i="264"/>
  <c r="I34" i="264"/>
  <c r="I38" i="264"/>
  <c r="I40" i="264"/>
  <c r="I42" i="264"/>
  <c r="I44" i="264"/>
  <c r="I46" i="264"/>
  <c r="I48" i="264"/>
  <c r="I50" i="264"/>
  <c r="I52" i="264"/>
  <c r="I54" i="264"/>
  <c r="I56" i="264"/>
  <c r="I58" i="264"/>
  <c r="I60" i="264"/>
  <c r="I62" i="264"/>
  <c r="I64" i="264"/>
  <c r="AZ38" i="247"/>
  <c r="AY38" i="247"/>
  <c r="AZ18" i="247"/>
  <c r="AZ16" i="247"/>
  <c r="BJ38" i="247"/>
  <c r="AU16" i="247"/>
  <c r="BB16" i="247" s="1"/>
  <c r="AP16" i="247"/>
  <c r="BE16" i="247"/>
  <c r="AK16" i="247"/>
  <c r="BC16" i="247"/>
  <c r="BG15" i="147"/>
  <c r="BG17" i="147"/>
  <c r="BG19" i="147"/>
  <c r="BG21" i="147"/>
  <c r="BG9" i="147"/>
  <c r="AP108" i="147"/>
  <c r="BF90" i="147"/>
  <c r="BF55" i="147"/>
  <c r="BE55" i="147"/>
  <c r="BF41" i="147"/>
  <c r="BE41" i="147"/>
  <c r="BG41" i="147" s="1"/>
  <c r="BE39" i="147"/>
  <c r="BE90" i="147" s="1"/>
  <c r="BF51" i="147"/>
  <c r="BF102" i="147" s="1"/>
  <c r="BF49" i="147"/>
  <c r="BF100" i="147" s="1"/>
  <c r="BF47" i="147"/>
  <c r="BF45" i="147"/>
  <c r="BF96" i="147" s="1"/>
  <c r="BF43" i="147"/>
  <c r="BF94" i="147" s="1"/>
  <c r="BE51" i="147"/>
  <c r="BG51" i="147" s="1"/>
  <c r="BE49" i="147"/>
  <c r="BE100" i="147" s="1"/>
  <c r="BE47" i="147"/>
  <c r="BE98" i="147" s="1"/>
  <c r="BE45" i="147"/>
  <c r="BG45" i="147" s="1"/>
  <c r="BE43" i="147"/>
  <c r="BG43" i="147" s="1"/>
  <c r="N49" i="286"/>
  <c r="N48" i="286"/>
  <c r="C50" i="286"/>
  <c r="D50" i="286"/>
  <c r="E50" i="286"/>
  <c r="F50" i="286"/>
  <c r="G50" i="286"/>
  <c r="H50" i="286"/>
  <c r="I50" i="286"/>
  <c r="J50" i="286"/>
  <c r="K50" i="286"/>
  <c r="L50" i="286"/>
  <c r="M50" i="286"/>
  <c r="D57" i="288"/>
  <c r="G42" i="339"/>
  <c r="H42" i="339"/>
  <c r="G41" i="339"/>
  <c r="H41" i="339"/>
  <c r="G40" i="339"/>
  <c r="H40" i="339"/>
  <c r="G39" i="339"/>
  <c r="H39" i="339"/>
  <c r="G46" i="339"/>
  <c r="H46" i="339"/>
  <c r="G47" i="339"/>
  <c r="H47" i="339"/>
  <c r="G48" i="339"/>
  <c r="H48" i="339"/>
  <c r="BF26" i="147"/>
  <c r="BF106" i="147" s="1"/>
  <c r="BF11" i="147"/>
  <c r="BF23" i="147" s="1"/>
  <c r="BE11" i="147"/>
  <c r="K39" i="339"/>
  <c r="K40" i="339"/>
  <c r="K41" i="339"/>
  <c r="K42" i="339"/>
  <c r="K46" i="339"/>
  <c r="K47" i="339"/>
  <c r="K48" i="339"/>
  <c r="K49" i="339"/>
  <c r="H73" i="191"/>
  <c r="J73" i="191" s="1"/>
  <c r="G73" i="191"/>
  <c r="BJ16" i="247"/>
  <c r="N9" i="343"/>
  <c r="N10" i="343"/>
  <c r="N11" i="343"/>
  <c r="N12" i="343"/>
  <c r="N13" i="343"/>
  <c r="N14" i="343"/>
  <c r="N16" i="343"/>
  <c r="N17" i="343"/>
  <c r="N18" i="343"/>
  <c r="N19" i="343"/>
  <c r="N20" i="343"/>
  <c r="N21" i="343"/>
  <c r="N23" i="343"/>
  <c r="N24" i="343"/>
  <c r="N25" i="343"/>
  <c r="N26" i="343"/>
  <c r="M10" i="343"/>
  <c r="M11" i="343"/>
  <c r="M12" i="343"/>
  <c r="M13" i="343"/>
  <c r="M17" i="343"/>
  <c r="M18" i="343"/>
  <c r="M19" i="343"/>
  <c r="M20" i="343"/>
  <c r="M24" i="343"/>
  <c r="M25" i="343"/>
  <c r="L8" i="339"/>
  <c r="V33" i="297"/>
  <c r="AE26" i="298"/>
  <c r="AF17" i="298" s="1"/>
  <c r="N38" i="286"/>
  <c r="M30" i="286"/>
  <c r="M29" i="286"/>
  <c r="M24" i="286"/>
  <c r="M23" i="286"/>
  <c r="M21" i="286"/>
  <c r="M20" i="286"/>
  <c r="M18" i="286"/>
  <c r="M17" i="286"/>
  <c r="M16" i="286"/>
  <c r="AG59" i="25"/>
  <c r="O34" i="225"/>
  <c r="O32" i="225"/>
  <c r="O30" i="225"/>
  <c r="O28" i="225"/>
  <c r="O26" i="225"/>
  <c r="N36" i="225"/>
  <c r="O15" i="225"/>
  <c r="O13" i="225"/>
  <c r="O11" i="225"/>
  <c r="O9" i="225"/>
  <c r="O7" i="225"/>
  <c r="N17" i="225"/>
  <c r="AD42" i="41"/>
  <c r="AD29" i="41"/>
  <c r="AD16" i="41"/>
  <c r="E122" i="348"/>
  <c r="I25" i="326"/>
  <c r="I9" i="338"/>
  <c r="I12" i="338"/>
  <c r="AH28" i="170"/>
  <c r="Y21" i="175"/>
  <c r="AO16" i="178"/>
  <c r="AO19" i="178"/>
  <c r="AO36" i="178"/>
  <c r="AO37" i="178"/>
  <c r="AI19" i="178"/>
  <c r="AI36" i="178"/>
  <c r="AI37" i="178"/>
  <c r="AH30" i="178"/>
  <c r="Y34" i="175" s="1"/>
  <c r="AH21" i="178"/>
  <c r="Y33" i="175" s="1"/>
  <c r="AH12" i="178"/>
  <c r="AH9" i="178"/>
  <c r="AG48" i="178"/>
  <c r="AO15" i="178"/>
  <c r="AG33" i="178"/>
  <c r="AI31" i="178"/>
  <c r="AO28" i="178"/>
  <c r="AO27" i="178"/>
  <c r="AO26" i="178"/>
  <c r="AO24" i="178"/>
  <c r="AO23" i="178"/>
  <c r="AI22" i="178"/>
  <c r="AO25" i="178"/>
  <c r="AO14" i="178"/>
  <c r="AI13" i="178"/>
  <c r="AO10" i="178"/>
  <c r="AO11" i="178"/>
  <c r="B56" i="177"/>
  <c r="AH21" i="177"/>
  <c r="AH26" i="177"/>
  <c r="AH32" i="177"/>
  <c r="AH36" i="177"/>
  <c r="AH39" i="177"/>
  <c r="AH46" i="177"/>
  <c r="AH53" i="177"/>
  <c r="AH59" i="177"/>
  <c r="AG30" i="177"/>
  <c r="Y19" i="175" s="1"/>
  <c r="AG19" i="177"/>
  <c r="AG16" i="177"/>
  <c r="AF24" i="177"/>
  <c r="AF23" i="177"/>
  <c r="AF20" i="177"/>
  <c r="AF19" i="177" s="1"/>
  <c r="AF18" i="177"/>
  <c r="AH18" i="177" s="1"/>
  <c r="AF17" i="177"/>
  <c r="AH17" i="177" s="1"/>
  <c r="AF70" i="177"/>
  <c r="AH70" i="177" s="1"/>
  <c r="AF69" i="177"/>
  <c r="AF68" i="177"/>
  <c r="AH68" i="177" s="1"/>
  <c r="AF67" i="177"/>
  <c r="AH67" i="177" s="1"/>
  <c r="AF66" i="177"/>
  <c r="AF55" i="177"/>
  <c r="AH55" i="177" s="1"/>
  <c r="AF48" i="177"/>
  <c r="AH48" i="177" s="1"/>
  <c r="AF45" i="177"/>
  <c r="AH45" i="177" s="1"/>
  <c r="AF37" i="177"/>
  <c r="AH37" i="177" s="1"/>
  <c r="AF35" i="177"/>
  <c r="AH35" i="177" s="1"/>
  <c r="AI11" i="178"/>
  <c r="AO31" i="178"/>
  <c r="AO22" i="178"/>
  <c r="AO13" i="178"/>
  <c r="AI28" i="178"/>
  <c r="AI10" i="178"/>
  <c r="AI27" i="178"/>
  <c r="AI26" i="178"/>
  <c r="AI25" i="178"/>
  <c r="AI15" i="178"/>
  <c r="AI24" i="178"/>
  <c r="AI14" i="178"/>
  <c r="AI23" i="178"/>
  <c r="P43" i="345"/>
  <c r="P47" i="345"/>
  <c r="P49" i="345"/>
  <c r="P51" i="345"/>
  <c r="P53" i="345"/>
  <c r="P55" i="345"/>
  <c r="P57" i="345"/>
  <c r="P59" i="345"/>
  <c r="P61" i="345"/>
  <c r="P63" i="345"/>
  <c r="P65" i="345"/>
  <c r="P67" i="345"/>
  <c r="P45" i="345"/>
  <c r="L8" i="343"/>
  <c r="L27" i="343" s="1"/>
  <c r="L39" i="343" s="1"/>
  <c r="L15" i="343"/>
  <c r="L22" i="343"/>
  <c r="M37" i="342"/>
  <c r="N37" i="342"/>
  <c r="M38" i="342"/>
  <c r="N38" i="342"/>
  <c r="M39" i="342"/>
  <c r="N39" i="342"/>
  <c r="M40" i="342"/>
  <c r="N40" i="342"/>
  <c r="M44" i="342"/>
  <c r="N44" i="342"/>
  <c r="M45" i="342"/>
  <c r="N45" i="342"/>
  <c r="M46" i="342"/>
  <c r="N46" i="342"/>
  <c r="M47" i="342"/>
  <c r="N47" i="342"/>
  <c r="M51" i="342"/>
  <c r="N51" i="342"/>
  <c r="M52" i="342"/>
  <c r="N52" i="342"/>
  <c r="L49" i="342"/>
  <c r="L42" i="342"/>
  <c r="L35" i="342"/>
  <c r="L52" i="341"/>
  <c r="L48" i="341"/>
  <c r="L47" i="341"/>
  <c r="L45" i="341"/>
  <c r="L42" i="341"/>
  <c r="L41" i="341"/>
  <c r="L40" i="341"/>
  <c r="L39" i="341"/>
  <c r="M26" i="341"/>
  <c r="M10" i="341"/>
  <c r="N10" i="341"/>
  <c r="M11" i="341"/>
  <c r="N11" i="341"/>
  <c r="M12" i="341"/>
  <c r="N12" i="341"/>
  <c r="M13" i="341"/>
  <c r="N13" i="341"/>
  <c r="M14" i="341"/>
  <c r="N14" i="341"/>
  <c r="L16" i="341"/>
  <c r="K16" i="341"/>
  <c r="M17" i="341"/>
  <c r="N17" i="341"/>
  <c r="M18" i="341"/>
  <c r="N18" i="341"/>
  <c r="M19" i="341"/>
  <c r="N19" i="341"/>
  <c r="M20" i="341"/>
  <c r="N20" i="341"/>
  <c r="M21" i="341"/>
  <c r="N21" i="341"/>
  <c r="L23" i="341"/>
  <c r="K23" i="341"/>
  <c r="M24" i="341"/>
  <c r="N24" i="341"/>
  <c r="M25" i="341"/>
  <c r="N25" i="341"/>
  <c r="N26" i="341"/>
  <c r="L9" i="341"/>
  <c r="K9" i="341"/>
  <c r="L52" i="340"/>
  <c r="L45" i="340"/>
  <c r="L38" i="340"/>
  <c r="L25" i="340"/>
  <c r="L24" i="340"/>
  <c r="L23" i="340"/>
  <c r="L20" i="340"/>
  <c r="L19" i="340"/>
  <c r="L18" i="340"/>
  <c r="L17" i="340"/>
  <c r="L16" i="340"/>
  <c r="K10" i="340"/>
  <c r="L13" i="340"/>
  <c r="L12" i="340"/>
  <c r="L11" i="340"/>
  <c r="L10" i="340"/>
  <c r="K54" i="339"/>
  <c r="K53" i="339"/>
  <c r="J54" i="339"/>
  <c r="J53" i="339"/>
  <c r="L49" i="339"/>
  <c r="L48" i="339"/>
  <c r="L47" i="339"/>
  <c r="L46" i="339"/>
  <c r="J49" i="339"/>
  <c r="J48" i="339"/>
  <c r="J47" i="339"/>
  <c r="J46" i="339"/>
  <c r="J42" i="339"/>
  <c r="J41" i="339"/>
  <c r="J40" i="339"/>
  <c r="J39" i="339"/>
  <c r="L54" i="339"/>
  <c r="L53" i="339"/>
  <c r="L42" i="339"/>
  <c r="L41" i="339"/>
  <c r="L40" i="339"/>
  <c r="L39" i="339"/>
  <c r="M9" i="339"/>
  <c r="N9" i="339"/>
  <c r="M10" i="339"/>
  <c r="N10" i="339"/>
  <c r="M11" i="339"/>
  <c r="N11" i="339"/>
  <c r="M12" i="339"/>
  <c r="N12" i="339"/>
  <c r="M13" i="339"/>
  <c r="N13" i="339"/>
  <c r="M16" i="339"/>
  <c r="N16" i="339"/>
  <c r="M17" i="339"/>
  <c r="N17" i="339"/>
  <c r="M18" i="339"/>
  <c r="N18" i="339"/>
  <c r="M19" i="339"/>
  <c r="N19" i="339"/>
  <c r="M20" i="339"/>
  <c r="N20" i="339"/>
  <c r="M23" i="339"/>
  <c r="N23" i="339"/>
  <c r="M24" i="339"/>
  <c r="N24" i="339"/>
  <c r="M25" i="339"/>
  <c r="N25" i="339"/>
  <c r="DS32" i="169"/>
  <c r="DT32" i="169"/>
  <c r="DU32" i="169"/>
  <c r="DR32" i="169"/>
  <c r="DS26" i="169"/>
  <c r="DT26" i="169"/>
  <c r="DU26" i="169"/>
  <c r="DU34" i="169" s="1"/>
  <c r="DR26" i="169"/>
  <c r="DS18" i="169"/>
  <c r="DT18" i="169"/>
  <c r="DU18" i="169"/>
  <c r="DR18" i="169"/>
  <c r="DS12" i="169"/>
  <c r="DT12" i="169"/>
  <c r="DT36" i="169" s="1"/>
  <c r="AD13" i="168" s="1"/>
  <c r="DR12" i="169"/>
  <c r="DV30" i="169"/>
  <c r="DV29" i="169"/>
  <c r="DV28" i="169"/>
  <c r="DV24" i="169"/>
  <c r="DV23" i="169"/>
  <c r="DV22" i="169"/>
  <c r="DV16" i="169"/>
  <c r="DV15" i="169"/>
  <c r="DV14" i="169"/>
  <c r="DV10" i="169"/>
  <c r="DV9" i="169"/>
  <c r="DV8" i="169"/>
  <c r="BJ37" i="247"/>
  <c r="P9" i="335"/>
  <c r="P8" i="335"/>
  <c r="P7" i="335"/>
  <c r="P6" i="335"/>
  <c r="P10" i="335"/>
  <c r="BF41" i="247"/>
  <c r="BG41" i="247"/>
  <c r="BH41" i="247"/>
  <c r="BI41" i="247"/>
  <c r="BJ30" i="247"/>
  <c r="BJ31" i="247"/>
  <c r="BJ32" i="247"/>
  <c r="BJ33" i="247"/>
  <c r="BJ34" i="247"/>
  <c r="BJ35" i="247"/>
  <c r="BJ36" i="247"/>
  <c r="BJ39" i="247"/>
  <c r="BJ40" i="247"/>
  <c r="BJ29" i="247"/>
  <c r="BJ8" i="247"/>
  <c r="BF19" i="247"/>
  <c r="BG19" i="247"/>
  <c r="AX19" i="247"/>
  <c r="BJ9" i="247"/>
  <c r="BJ10" i="247"/>
  <c r="BJ11" i="247"/>
  <c r="BJ12" i="247"/>
  <c r="BJ13" i="247"/>
  <c r="BJ14" i="247"/>
  <c r="BJ15" i="247"/>
  <c r="BJ17" i="247"/>
  <c r="BJ18" i="247"/>
  <c r="BJ7" i="247"/>
  <c r="H120" i="348"/>
  <c r="E120" i="348"/>
  <c r="H119" i="348"/>
  <c r="E119" i="348"/>
  <c r="H116" i="348"/>
  <c r="E116" i="348"/>
  <c r="H114" i="348"/>
  <c r="E114" i="348"/>
  <c r="H112" i="348"/>
  <c r="E112" i="348"/>
  <c r="H110" i="348"/>
  <c r="E110" i="348"/>
  <c r="H108" i="348"/>
  <c r="E108" i="348"/>
  <c r="H106" i="348"/>
  <c r="E106" i="348"/>
  <c r="H104" i="348"/>
  <c r="E104" i="348"/>
  <c r="H102" i="348"/>
  <c r="E102" i="348"/>
  <c r="H100" i="348"/>
  <c r="E100" i="348"/>
  <c r="H98" i="348"/>
  <c r="E98" i="348"/>
  <c r="H96" i="348"/>
  <c r="E96" i="348"/>
  <c r="H94" i="348"/>
  <c r="E94" i="348"/>
  <c r="H92" i="348"/>
  <c r="E92" i="348"/>
  <c r="H90" i="348"/>
  <c r="E90" i="348"/>
  <c r="H88" i="348"/>
  <c r="E88" i="348"/>
  <c r="H86" i="348"/>
  <c r="E86" i="348"/>
  <c r="H84" i="348"/>
  <c r="E84" i="348"/>
  <c r="H82" i="348"/>
  <c r="E82" i="348"/>
  <c r="H80" i="348"/>
  <c r="E80" i="348"/>
  <c r="H78" i="348"/>
  <c r="E78" i="348"/>
  <c r="H76" i="348"/>
  <c r="E76" i="348"/>
  <c r="H74" i="348"/>
  <c r="E74" i="348"/>
  <c r="H72" i="348"/>
  <c r="E72" i="348"/>
  <c r="H62" i="348"/>
  <c r="E62" i="348"/>
  <c r="H61" i="348"/>
  <c r="E61" i="348"/>
  <c r="H60" i="348"/>
  <c r="E60" i="348"/>
  <c r="H56" i="348"/>
  <c r="E56" i="348"/>
  <c r="H54" i="348"/>
  <c r="E54" i="348"/>
  <c r="H52" i="348"/>
  <c r="E52" i="348"/>
  <c r="H50" i="348"/>
  <c r="E50" i="348"/>
  <c r="H48" i="348"/>
  <c r="E48" i="348"/>
  <c r="H46" i="348"/>
  <c r="E46" i="348"/>
  <c r="H44" i="348"/>
  <c r="E44" i="348"/>
  <c r="H42" i="348"/>
  <c r="E42" i="348"/>
  <c r="H40" i="348"/>
  <c r="E40" i="348"/>
  <c r="H38" i="348"/>
  <c r="E38" i="348"/>
  <c r="H36" i="348"/>
  <c r="E36" i="348"/>
  <c r="H34" i="348"/>
  <c r="E34" i="348"/>
  <c r="H32" i="348"/>
  <c r="E32" i="348"/>
  <c r="H30" i="348"/>
  <c r="E30" i="348"/>
  <c r="H28" i="348"/>
  <c r="E28" i="348"/>
  <c r="H26" i="348"/>
  <c r="E26" i="348"/>
  <c r="H24" i="348"/>
  <c r="E24" i="348"/>
  <c r="H22" i="348"/>
  <c r="E22" i="348"/>
  <c r="H20" i="348"/>
  <c r="E20" i="348"/>
  <c r="H18" i="348"/>
  <c r="E18" i="348"/>
  <c r="H16" i="348"/>
  <c r="E16" i="348"/>
  <c r="H14" i="348"/>
  <c r="E14" i="348"/>
  <c r="H12" i="348"/>
  <c r="E12" i="348"/>
  <c r="L22" i="339"/>
  <c r="L15" i="339"/>
  <c r="J16" i="326"/>
  <c r="J17" i="326"/>
  <c r="J18" i="326"/>
  <c r="J19" i="326"/>
  <c r="J20" i="326"/>
  <c r="J21" i="326"/>
  <c r="J22" i="326"/>
  <c r="J23" i="326"/>
  <c r="J24" i="326"/>
  <c r="J26" i="326"/>
  <c r="J27" i="326"/>
  <c r="J28" i="326"/>
  <c r="J29" i="326"/>
  <c r="J30" i="326"/>
  <c r="J31" i="326"/>
  <c r="J32" i="326"/>
  <c r="J33" i="326"/>
  <c r="J35" i="326"/>
  <c r="J36" i="326"/>
  <c r="J38" i="326"/>
  <c r="J39" i="326"/>
  <c r="J40" i="326"/>
  <c r="J42" i="326"/>
  <c r="J43" i="326"/>
  <c r="J44" i="326"/>
  <c r="J45" i="326"/>
  <c r="J46" i="326"/>
  <c r="J15" i="326"/>
  <c r="J14" i="326"/>
  <c r="J12" i="326"/>
  <c r="J11" i="326"/>
  <c r="J10" i="326"/>
  <c r="J8" i="326"/>
  <c r="J7" i="326"/>
  <c r="J6" i="326"/>
  <c r="I41" i="326"/>
  <c r="I37" i="326"/>
  <c r="I34" i="326"/>
  <c r="I13" i="326"/>
  <c r="P38" i="344"/>
  <c r="P33" i="344"/>
  <c r="C63" i="251"/>
  <c r="O64" i="251"/>
  <c r="AH9" i="184"/>
  <c r="AH11" i="184"/>
  <c r="AH13" i="184"/>
  <c r="AH15" i="184"/>
  <c r="AH17" i="184"/>
  <c r="AH19" i="184"/>
  <c r="AH21" i="184"/>
  <c r="AH23" i="184"/>
  <c r="AH7" i="184"/>
  <c r="AG25" i="184"/>
  <c r="AI29" i="184" s="1"/>
  <c r="AG28" i="25"/>
  <c r="U35" i="140"/>
  <c r="O40" i="251"/>
  <c r="L19" i="251"/>
  <c r="L18" i="251"/>
  <c r="I73" i="191"/>
  <c r="I72" i="191"/>
  <c r="J72" i="191"/>
  <c r="AE38" i="168"/>
  <c r="AE40" i="168"/>
  <c r="AE23" i="168"/>
  <c r="AE17" i="168"/>
  <c r="AI12" i="170"/>
  <c r="AI14" i="170"/>
  <c r="AI16" i="170"/>
  <c r="AI18" i="170"/>
  <c r="AI20" i="170"/>
  <c r="AI22" i="170"/>
  <c r="AI24" i="170"/>
  <c r="AI26" i="170"/>
  <c r="Q9" i="187"/>
  <c r="Q10" i="187"/>
  <c r="Q11" i="187"/>
  <c r="Q12" i="187"/>
  <c r="Q13" i="187"/>
  <c r="Q15" i="187"/>
  <c r="Q19" i="187"/>
  <c r="Q20" i="187"/>
  <c r="Q22" i="187"/>
  <c r="Q24" i="187"/>
  <c r="Q27" i="187"/>
  <c r="Q28" i="187"/>
  <c r="Q31" i="187"/>
  <c r="Q32" i="187"/>
  <c r="Q33" i="187"/>
  <c r="Q34" i="187"/>
  <c r="Q35" i="187"/>
  <c r="Q36" i="187"/>
  <c r="Q38" i="187"/>
  <c r="Q39" i="187"/>
  <c r="Q40" i="187"/>
  <c r="Q41" i="187"/>
  <c r="Q42" i="187"/>
  <c r="Q45" i="187"/>
  <c r="Q46" i="187"/>
  <c r="Q48" i="187"/>
  <c r="Q49" i="187"/>
  <c r="Q50" i="187"/>
  <c r="Q51" i="187"/>
  <c r="Q52" i="187"/>
  <c r="Q54" i="187"/>
  <c r="Q57" i="187"/>
  <c r="Q58" i="187"/>
  <c r="Q61" i="187"/>
  <c r="Q62" i="187"/>
  <c r="Q64" i="187"/>
  <c r="Q65" i="187"/>
  <c r="Q66" i="187"/>
  <c r="H34" i="225"/>
  <c r="H32" i="225"/>
  <c r="H30" i="225"/>
  <c r="H28" i="225"/>
  <c r="H26" i="225"/>
  <c r="G26" i="225"/>
  <c r="G36" i="225" s="1"/>
  <c r="H15" i="225"/>
  <c r="H13" i="225"/>
  <c r="H11" i="225"/>
  <c r="H9" i="225"/>
  <c r="H7" i="225"/>
  <c r="L17" i="251"/>
  <c r="L13" i="251"/>
  <c r="L14" i="251"/>
  <c r="I67" i="191"/>
  <c r="G23" i="340"/>
  <c r="H23" i="340"/>
  <c r="I23" i="340"/>
  <c r="J23" i="340"/>
  <c r="K23" i="340"/>
  <c r="G16" i="340"/>
  <c r="H16" i="340"/>
  <c r="I16" i="340"/>
  <c r="J16" i="340"/>
  <c r="K16" i="340"/>
  <c r="G9" i="340"/>
  <c r="H9" i="340"/>
  <c r="I9" i="340"/>
  <c r="J9" i="340"/>
  <c r="K9" i="340"/>
  <c r="F23" i="340"/>
  <c r="F16" i="340"/>
  <c r="E23" i="340"/>
  <c r="E16" i="340"/>
  <c r="F9" i="340"/>
  <c r="E9" i="340"/>
  <c r="AF17" i="178"/>
  <c r="AE9" i="177"/>
  <c r="AF44" i="178"/>
  <c r="AF45" i="178"/>
  <c r="AN45" i="178" s="1"/>
  <c r="AF43" i="178"/>
  <c r="AF42" i="178"/>
  <c r="AN42" i="178" s="1"/>
  <c r="D7" i="187"/>
  <c r="E7" i="187"/>
  <c r="F7" i="187"/>
  <c r="G7" i="187"/>
  <c r="H7" i="187"/>
  <c r="I7" i="187"/>
  <c r="J7" i="187"/>
  <c r="K7" i="187"/>
  <c r="L7" i="187"/>
  <c r="M7" i="187"/>
  <c r="N7" i="187"/>
  <c r="O7" i="187"/>
  <c r="P7" i="187"/>
  <c r="Q7" i="187"/>
  <c r="F8" i="187"/>
  <c r="K8" i="187"/>
  <c r="C9" i="187"/>
  <c r="D9" i="187"/>
  <c r="E9" i="187"/>
  <c r="F9" i="187"/>
  <c r="G9" i="187"/>
  <c r="H9" i="187"/>
  <c r="I9" i="187"/>
  <c r="J9" i="187"/>
  <c r="K9" i="187"/>
  <c r="L9" i="187"/>
  <c r="M9" i="187"/>
  <c r="N9" i="187"/>
  <c r="O9" i="187"/>
  <c r="P9" i="187"/>
  <c r="C10" i="187"/>
  <c r="D10" i="187"/>
  <c r="E10" i="187"/>
  <c r="F10" i="187"/>
  <c r="G10" i="187"/>
  <c r="H10" i="187"/>
  <c r="I10" i="187"/>
  <c r="J10" i="187"/>
  <c r="K10" i="187"/>
  <c r="L10" i="187"/>
  <c r="M10" i="187"/>
  <c r="N10" i="187"/>
  <c r="O10" i="187"/>
  <c r="P10" i="187"/>
  <c r="C11" i="187"/>
  <c r="D11" i="187"/>
  <c r="E11" i="187"/>
  <c r="F11" i="187"/>
  <c r="G11" i="187"/>
  <c r="H11" i="187"/>
  <c r="I11" i="187"/>
  <c r="J11" i="187"/>
  <c r="K11" i="187"/>
  <c r="L11" i="187"/>
  <c r="M11" i="187"/>
  <c r="N11" i="187"/>
  <c r="O11" i="187"/>
  <c r="P11" i="187"/>
  <c r="C12" i="187"/>
  <c r="D12" i="187"/>
  <c r="E12" i="187"/>
  <c r="F12" i="187"/>
  <c r="G12" i="187"/>
  <c r="H12" i="187"/>
  <c r="I12" i="187"/>
  <c r="J12" i="187"/>
  <c r="K12" i="187"/>
  <c r="L12" i="187"/>
  <c r="M12" i="187"/>
  <c r="N12" i="187"/>
  <c r="O12" i="187"/>
  <c r="P12" i="187"/>
  <c r="C13" i="187"/>
  <c r="D13" i="187"/>
  <c r="E13" i="187"/>
  <c r="F13" i="187"/>
  <c r="G13" i="187"/>
  <c r="H13" i="187"/>
  <c r="I13" i="187"/>
  <c r="J13" i="187"/>
  <c r="K13" i="187"/>
  <c r="L13" i="187"/>
  <c r="M13" i="187"/>
  <c r="N13" i="187"/>
  <c r="O13" i="187"/>
  <c r="P13" i="187"/>
  <c r="C15" i="187"/>
  <c r="D15" i="187"/>
  <c r="E15" i="187"/>
  <c r="F15" i="187"/>
  <c r="G15" i="187"/>
  <c r="H15" i="187"/>
  <c r="I15" i="187"/>
  <c r="J15" i="187"/>
  <c r="K15" i="187"/>
  <c r="L15" i="187"/>
  <c r="M15" i="187"/>
  <c r="N15" i="187"/>
  <c r="O15" i="187"/>
  <c r="P15" i="187"/>
  <c r="C19" i="187"/>
  <c r="D19" i="187"/>
  <c r="E19" i="187"/>
  <c r="F19" i="187"/>
  <c r="G19" i="187"/>
  <c r="H19" i="187"/>
  <c r="I19" i="187"/>
  <c r="J19" i="187"/>
  <c r="K19" i="187"/>
  <c r="L19" i="187"/>
  <c r="M19" i="187"/>
  <c r="N19" i="187"/>
  <c r="O19" i="187"/>
  <c r="P19" i="187"/>
  <c r="C20" i="187"/>
  <c r="D20" i="187"/>
  <c r="E20" i="187"/>
  <c r="F20" i="187"/>
  <c r="G20" i="187"/>
  <c r="H20" i="187"/>
  <c r="I20" i="187"/>
  <c r="J20" i="187"/>
  <c r="K20" i="187"/>
  <c r="L20" i="187"/>
  <c r="M20" i="187"/>
  <c r="N20" i="187"/>
  <c r="O20" i="187"/>
  <c r="P20" i="187"/>
  <c r="C22" i="187"/>
  <c r="D22" i="187"/>
  <c r="E22" i="187"/>
  <c r="F22" i="187"/>
  <c r="G22" i="187"/>
  <c r="H22" i="187"/>
  <c r="I22" i="187"/>
  <c r="J22" i="187"/>
  <c r="K22" i="187"/>
  <c r="L22" i="187"/>
  <c r="M22" i="187"/>
  <c r="N22" i="187"/>
  <c r="O22" i="187"/>
  <c r="P22" i="187"/>
  <c r="C24" i="187"/>
  <c r="D24" i="187"/>
  <c r="E24" i="187"/>
  <c r="F24" i="187"/>
  <c r="G24" i="187"/>
  <c r="H24" i="187"/>
  <c r="I24" i="187"/>
  <c r="J24" i="187"/>
  <c r="K24" i="187"/>
  <c r="L24" i="187"/>
  <c r="M24" i="187"/>
  <c r="N24" i="187"/>
  <c r="O24" i="187"/>
  <c r="P24" i="187"/>
  <c r="M27" i="187"/>
  <c r="N27" i="187"/>
  <c r="O27" i="187"/>
  <c r="P27" i="187"/>
  <c r="M28" i="187"/>
  <c r="N28" i="187"/>
  <c r="O28" i="187"/>
  <c r="P28" i="187"/>
  <c r="P30" i="187"/>
  <c r="C31" i="187"/>
  <c r="D31" i="187"/>
  <c r="E31" i="187"/>
  <c r="F31" i="187"/>
  <c r="G31" i="187"/>
  <c r="H31" i="187"/>
  <c r="I31" i="187"/>
  <c r="J31" i="187"/>
  <c r="K31" i="187"/>
  <c r="L31" i="187"/>
  <c r="M31" i="187"/>
  <c r="N31" i="187"/>
  <c r="O31" i="187"/>
  <c r="P31" i="187"/>
  <c r="C32" i="187"/>
  <c r="D32" i="187"/>
  <c r="E32" i="187"/>
  <c r="F32" i="187"/>
  <c r="G32" i="187"/>
  <c r="H32" i="187"/>
  <c r="I32" i="187"/>
  <c r="J32" i="187"/>
  <c r="K32" i="187"/>
  <c r="L32" i="187"/>
  <c r="M32" i="187"/>
  <c r="N32" i="187"/>
  <c r="O32" i="187"/>
  <c r="P32" i="187"/>
  <c r="C33" i="187"/>
  <c r="D33" i="187"/>
  <c r="E33" i="187"/>
  <c r="F33" i="187"/>
  <c r="G33" i="187"/>
  <c r="H33" i="187"/>
  <c r="I33" i="187"/>
  <c r="J33" i="187"/>
  <c r="K33" i="187"/>
  <c r="L33" i="187"/>
  <c r="M33" i="187"/>
  <c r="N33" i="187"/>
  <c r="O33" i="187"/>
  <c r="P33" i="187"/>
  <c r="C34" i="187"/>
  <c r="D34" i="187"/>
  <c r="E34" i="187"/>
  <c r="F34" i="187"/>
  <c r="G34" i="187"/>
  <c r="H34" i="187"/>
  <c r="I34" i="187"/>
  <c r="J34" i="187"/>
  <c r="K34" i="187"/>
  <c r="L34" i="187"/>
  <c r="M34" i="187"/>
  <c r="N34" i="187"/>
  <c r="O34" i="187"/>
  <c r="P34" i="187"/>
  <c r="C35" i="187"/>
  <c r="D35" i="187"/>
  <c r="E35" i="187"/>
  <c r="F35" i="187"/>
  <c r="G35" i="187"/>
  <c r="H35" i="187"/>
  <c r="I35" i="187"/>
  <c r="J35" i="187"/>
  <c r="K35" i="187"/>
  <c r="L35" i="187"/>
  <c r="M35" i="187"/>
  <c r="N35" i="187"/>
  <c r="O35" i="187"/>
  <c r="P35" i="187"/>
  <c r="C36" i="187"/>
  <c r="D36" i="187"/>
  <c r="E36" i="187"/>
  <c r="F36" i="187"/>
  <c r="G36" i="187"/>
  <c r="H36" i="187"/>
  <c r="I36" i="187"/>
  <c r="J36" i="187"/>
  <c r="K36" i="187"/>
  <c r="L36" i="187"/>
  <c r="M36" i="187"/>
  <c r="N36" i="187"/>
  <c r="O36" i="187"/>
  <c r="P36" i="187"/>
  <c r="B38" i="187"/>
  <c r="C38" i="187"/>
  <c r="D38" i="187"/>
  <c r="E38" i="187"/>
  <c r="F38" i="187"/>
  <c r="G38" i="187"/>
  <c r="H38" i="187"/>
  <c r="I38" i="187"/>
  <c r="J38" i="187"/>
  <c r="K38" i="187"/>
  <c r="L38" i="187"/>
  <c r="M38" i="187"/>
  <c r="N38" i="187"/>
  <c r="O38" i="187"/>
  <c r="P38" i="187"/>
  <c r="C39" i="187"/>
  <c r="D39" i="187"/>
  <c r="E39" i="187"/>
  <c r="F39" i="187"/>
  <c r="G39" i="187"/>
  <c r="H39" i="187"/>
  <c r="I39" i="187"/>
  <c r="J39" i="187"/>
  <c r="K39" i="187"/>
  <c r="L39" i="187"/>
  <c r="M39" i="187"/>
  <c r="N39" i="187"/>
  <c r="O39" i="187"/>
  <c r="P39" i="187"/>
  <c r="C40" i="187"/>
  <c r="D40" i="187"/>
  <c r="E40" i="187"/>
  <c r="F40" i="187"/>
  <c r="G40" i="187"/>
  <c r="H40" i="187"/>
  <c r="I40" i="187"/>
  <c r="J40" i="187"/>
  <c r="K40" i="187"/>
  <c r="L40" i="187"/>
  <c r="M40" i="187"/>
  <c r="N40" i="187"/>
  <c r="O40" i="187"/>
  <c r="P40" i="187"/>
  <c r="C41" i="187"/>
  <c r="D41" i="187"/>
  <c r="E41" i="187"/>
  <c r="F41" i="187"/>
  <c r="G41" i="187"/>
  <c r="H41" i="187"/>
  <c r="I41" i="187"/>
  <c r="J41" i="187"/>
  <c r="K41" i="187"/>
  <c r="L41" i="187"/>
  <c r="M41" i="187"/>
  <c r="N41" i="187"/>
  <c r="O41" i="187"/>
  <c r="P41" i="187"/>
  <c r="C42" i="187"/>
  <c r="D42" i="187"/>
  <c r="E42" i="187"/>
  <c r="F42" i="187"/>
  <c r="G42" i="187"/>
  <c r="H42" i="187"/>
  <c r="I42" i="187"/>
  <c r="J42" i="187"/>
  <c r="K42" i="187"/>
  <c r="L42" i="187"/>
  <c r="M42" i="187"/>
  <c r="N42" i="187"/>
  <c r="O42" i="187"/>
  <c r="P42" i="187"/>
  <c r="B44" i="187"/>
  <c r="C45" i="187"/>
  <c r="D45" i="187"/>
  <c r="E45" i="187"/>
  <c r="F45" i="187"/>
  <c r="G45" i="187"/>
  <c r="H45" i="187"/>
  <c r="I45" i="187"/>
  <c r="J45" i="187"/>
  <c r="K45" i="187"/>
  <c r="L45" i="187"/>
  <c r="M45" i="187"/>
  <c r="N45" i="187"/>
  <c r="O45" i="187"/>
  <c r="P45" i="187"/>
  <c r="C46" i="187"/>
  <c r="D46" i="187"/>
  <c r="E46" i="187"/>
  <c r="F46" i="187"/>
  <c r="G46" i="187"/>
  <c r="H46" i="187"/>
  <c r="I46" i="187"/>
  <c r="J46" i="187"/>
  <c r="K46" i="187"/>
  <c r="L46" i="187"/>
  <c r="M46" i="187"/>
  <c r="N46" i="187"/>
  <c r="O46" i="187"/>
  <c r="P46" i="187"/>
  <c r="C48" i="187"/>
  <c r="D48" i="187"/>
  <c r="E48" i="187"/>
  <c r="F48" i="187"/>
  <c r="G48" i="187"/>
  <c r="H48" i="187"/>
  <c r="I48" i="187"/>
  <c r="J48" i="187"/>
  <c r="K48" i="187"/>
  <c r="L48" i="187"/>
  <c r="M48" i="187"/>
  <c r="N48" i="187"/>
  <c r="O48" i="187"/>
  <c r="P48" i="187"/>
  <c r="C49" i="187"/>
  <c r="D49" i="187"/>
  <c r="E49" i="187"/>
  <c r="F49" i="187"/>
  <c r="G49" i="187"/>
  <c r="H49" i="187"/>
  <c r="I49" i="187"/>
  <c r="J49" i="187"/>
  <c r="K49" i="187"/>
  <c r="L49" i="187"/>
  <c r="M49" i="187"/>
  <c r="N49" i="187"/>
  <c r="O49" i="187"/>
  <c r="P49" i="187"/>
  <c r="C50" i="187"/>
  <c r="D50" i="187"/>
  <c r="E50" i="187"/>
  <c r="F50" i="187"/>
  <c r="G50" i="187"/>
  <c r="H50" i="187"/>
  <c r="I50" i="187"/>
  <c r="J50" i="187"/>
  <c r="K50" i="187"/>
  <c r="L50" i="187"/>
  <c r="M50" i="187"/>
  <c r="N50" i="187"/>
  <c r="O50" i="187"/>
  <c r="P50" i="187"/>
  <c r="C51" i="187"/>
  <c r="D51" i="187"/>
  <c r="E51" i="187"/>
  <c r="F51" i="187"/>
  <c r="G51" i="187"/>
  <c r="H51" i="187"/>
  <c r="I51" i="187"/>
  <c r="J51" i="187"/>
  <c r="K51" i="187"/>
  <c r="L51" i="187"/>
  <c r="M51" i="187"/>
  <c r="N51" i="187"/>
  <c r="O51" i="187"/>
  <c r="P51" i="187"/>
  <c r="C52" i="187"/>
  <c r="D52" i="187"/>
  <c r="E52" i="187"/>
  <c r="F52" i="187"/>
  <c r="G52" i="187"/>
  <c r="H52" i="187"/>
  <c r="I52" i="187"/>
  <c r="J52" i="187"/>
  <c r="K52" i="187"/>
  <c r="L52" i="187"/>
  <c r="M52" i="187"/>
  <c r="N52" i="187"/>
  <c r="O52" i="187"/>
  <c r="P52" i="187"/>
  <c r="C54" i="187"/>
  <c r="D54" i="187"/>
  <c r="E54" i="187"/>
  <c r="F54" i="187"/>
  <c r="G54" i="187"/>
  <c r="H54" i="187"/>
  <c r="I54" i="187"/>
  <c r="J54" i="187"/>
  <c r="K54" i="187"/>
  <c r="L54" i="187"/>
  <c r="M54" i="187"/>
  <c r="N54" i="187"/>
  <c r="O54" i="187"/>
  <c r="P54" i="187"/>
  <c r="C57" i="187"/>
  <c r="D57" i="187"/>
  <c r="E57" i="187"/>
  <c r="F57" i="187"/>
  <c r="G57" i="187"/>
  <c r="H57" i="187"/>
  <c r="I57" i="187"/>
  <c r="J57" i="187"/>
  <c r="K57" i="187"/>
  <c r="L57" i="187"/>
  <c r="M57" i="187"/>
  <c r="N57" i="187"/>
  <c r="O57" i="187"/>
  <c r="P57" i="187"/>
  <c r="C58" i="187"/>
  <c r="D58" i="187"/>
  <c r="E58" i="187"/>
  <c r="F58" i="187"/>
  <c r="G58" i="187"/>
  <c r="H58" i="187"/>
  <c r="I58" i="187"/>
  <c r="J58" i="187"/>
  <c r="K58" i="187"/>
  <c r="L58" i="187"/>
  <c r="M58" i="187"/>
  <c r="N58" i="187"/>
  <c r="O58" i="187"/>
  <c r="P58" i="187"/>
  <c r="C61" i="187"/>
  <c r="D61" i="187"/>
  <c r="E61" i="187"/>
  <c r="F61" i="187"/>
  <c r="G61" i="187"/>
  <c r="H61" i="187"/>
  <c r="I61" i="187"/>
  <c r="J61" i="187"/>
  <c r="K61" i="187"/>
  <c r="L61" i="187"/>
  <c r="M61" i="187"/>
  <c r="N61" i="187"/>
  <c r="O61" i="187"/>
  <c r="P61" i="187"/>
  <c r="C62" i="187"/>
  <c r="D62" i="187"/>
  <c r="E62" i="187"/>
  <c r="F62" i="187"/>
  <c r="G62" i="187"/>
  <c r="H62" i="187"/>
  <c r="I62" i="187"/>
  <c r="J62" i="187"/>
  <c r="K62" i="187"/>
  <c r="L62" i="187"/>
  <c r="M62" i="187"/>
  <c r="N62" i="187"/>
  <c r="O62" i="187"/>
  <c r="P62" i="187"/>
  <c r="C64" i="187"/>
  <c r="D64" i="187"/>
  <c r="E64" i="187"/>
  <c r="F64" i="187"/>
  <c r="G64" i="187"/>
  <c r="H64" i="187"/>
  <c r="I64" i="187"/>
  <c r="J64" i="187"/>
  <c r="K64" i="187"/>
  <c r="L64" i="187"/>
  <c r="M64" i="187"/>
  <c r="N64" i="187"/>
  <c r="O64" i="187"/>
  <c r="P64" i="187"/>
  <c r="C65" i="187"/>
  <c r="D65" i="187"/>
  <c r="E65" i="187"/>
  <c r="F65" i="187"/>
  <c r="G65" i="187"/>
  <c r="H65" i="187"/>
  <c r="I65" i="187"/>
  <c r="J65" i="187"/>
  <c r="K65" i="187"/>
  <c r="L65" i="187"/>
  <c r="M65" i="187"/>
  <c r="N65" i="187"/>
  <c r="O65" i="187"/>
  <c r="P65" i="187"/>
  <c r="C66" i="187"/>
  <c r="D66" i="187"/>
  <c r="E66" i="187"/>
  <c r="F66" i="187"/>
  <c r="G66" i="187"/>
  <c r="H66" i="187"/>
  <c r="I66" i="187"/>
  <c r="J66" i="187"/>
  <c r="K66" i="187"/>
  <c r="L66" i="187"/>
  <c r="M66" i="187"/>
  <c r="N66" i="187"/>
  <c r="O66" i="187"/>
  <c r="P66" i="187"/>
  <c r="C70" i="187"/>
  <c r="D70" i="187"/>
  <c r="E70" i="187"/>
  <c r="F70" i="187"/>
  <c r="G70" i="187"/>
  <c r="H70" i="187"/>
  <c r="I70" i="187"/>
  <c r="J70" i="187"/>
  <c r="K70" i="187"/>
  <c r="L70" i="187"/>
  <c r="M70" i="187"/>
  <c r="N70" i="187"/>
  <c r="O70" i="187"/>
  <c r="P70" i="187"/>
  <c r="C71" i="187"/>
  <c r="D71" i="187"/>
  <c r="E71" i="187"/>
  <c r="F71" i="187"/>
  <c r="G71" i="187"/>
  <c r="H71" i="187"/>
  <c r="I71" i="187"/>
  <c r="J71" i="187"/>
  <c r="K71" i="187"/>
  <c r="L71" i="187"/>
  <c r="M71" i="187"/>
  <c r="N71" i="187"/>
  <c r="O71" i="187"/>
  <c r="P71" i="187"/>
  <c r="B74" i="187"/>
  <c r="B75" i="187"/>
  <c r="AF34" i="177"/>
  <c r="AF47" i="177"/>
  <c r="AF33" i="177"/>
  <c r="AF40" i="177"/>
  <c r="AF28" i="177"/>
  <c r="AH28" i="177" s="1"/>
  <c r="AF65" i="177"/>
  <c r="T35" i="140"/>
  <c r="AF50" i="177"/>
  <c r="AH50" i="177" s="1"/>
  <c r="H12" i="338"/>
  <c r="H9" i="338"/>
  <c r="AC42" i="41"/>
  <c r="AC29" i="41"/>
  <c r="AC16" i="41"/>
  <c r="F24" i="340"/>
  <c r="G24" i="340"/>
  <c r="H24" i="340"/>
  <c r="I24" i="340"/>
  <c r="J24" i="340"/>
  <c r="K24" i="340"/>
  <c r="F25" i="340"/>
  <c r="G25" i="340"/>
  <c r="H25" i="340"/>
  <c r="I25" i="340"/>
  <c r="J25" i="340"/>
  <c r="K25" i="340"/>
  <c r="E25" i="340"/>
  <c r="E24" i="340"/>
  <c r="F17" i="340"/>
  <c r="G17" i="340"/>
  <c r="H17" i="340"/>
  <c r="I17" i="340"/>
  <c r="J17" i="340"/>
  <c r="K17" i="340"/>
  <c r="F18" i="340"/>
  <c r="G18" i="340"/>
  <c r="H18" i="340"/>
  <c r="I18" i="340"/>
  <c r="J18" i="340"/>
  <c r="K18" i="340"/>
  <c r="F19" i="340"/>
  <c r="G19" i="340"/>
  <c r="H19" i="340"/>
  <c r="I19" i="340"/>
  <c r="J19" i="340"/>
  <c r="K19" i="340"/>
  <c r="F20" i="340"/>
  <c r="G20" i="340"/>
  <c r="H20" i="340"/>
  <c r="I20" i="340"/>
  <c r="J20" i="340"/>
  <c r="K20" i="340"/>
  <c r="E20" i="340"/>
  <c r="E19" i="340"/>
  <c r="E18" i="340"/>
  <c r="E17" i="340"/>
  <c r="G10" i="340"/>
  <c r="H10" i="340"/>
  <c r="I10" i="340"/>
  <c r="J10" i="340"/>
  <c r="G11" i="340"/>
  <c r="H11" i="340"/>
  <c r="I11" i="340"/>
  <c r="J11" i="340"/>
  <c r="K11" i="340"/>
  <c r="G12" i="340"/>
  <c r="H12" i="340"/>
  <c r="I12" i="340"/>
  <c r="J12" i="340"/>
  <c r="K12" i="340"/>
  <c r="G13" i="340"/>
  <c r="H13" i="340"/>
  <c r="I13" i="340"/>
  <c r="J13" i="340"/>
  <c r="K13" i="340"/>
  <c r="F10" i="340"/>
  <c r="F11" i="340"/>
  <c r="F12" i="340"/>
  <c r="F13" i="340"/>
  <c r="E13" i="340"/>
  <c r="E12" i="340"/>
  <c r="E11" i="340"/>
  <c r="E10" i="340"/>
  <c r="AF48" i="178"/>
  <c r="AF35" i="178"/>
  <c r="AN35" i="178" s="1"/>
  <c r="AE70" i="177"/>
  <c r="AE69" i="177"/>
  <c r="AE68" i="177"/>
  <c r="AE67" i="177"/>
  <c r="AE66" i="177"/>
  <c r="AE35" i="177"/>
  <c r="AE30" i="177" s="1"/>
  <c r="AE22" i="177"/>
  <c r="AE19" i="177"/>
  <c r="AE16" i="177"/>
  <c r="AE10" i="177"/>
  <c r="W12" i="175" s="1"/>
  <c r="J9" i="326"/>
  <c r="H25" i="326"/>
  <c r="H41" i="326"/>
  <c r="H37" i="326"/>
  <c r="H34" i="326"/>
  <c r="H13" i="326"/>
  <c r="G13" i="326"/>
  <c r="AZ30" i="247"/>
  <c r="AZ31" i="247"/>
  <c r="AZ32" i="247"/>
  <c r="AZ33" i="247"/>
  <c r="AZ34" i="247"/>
  <c r="AZ35" i="247"/>
  <c r="AZ36" i="247"/>
  <c r="AZ37" i="247"/>
  <c r="AZ39" i="247"/>
  <c r="AZ29" i="247"/>
  <c r="AZ13" i="247"/>
  <c r="AZ8" i="247"/>
  <c r="AZ9" i="247"/>
  <c r="AZ10" i="247"/>
  <c r="AZ11" i="247"/>
  <c r="AZ12" i="247"/>
  <c r="AZ14" i="247"/>
  <c r="AZ15" i="247"/>
  <c r="AZ17" i="247"/>
  <c r="AZ7" i="247"/>
  <c r="AY41" i="247"/>
  <c r="AX41" i="247"/>
  <c r="AW41" i="247"/>
  <c r="AW19" i="247"/>
  <c r="AV19" i="247"/>
  <c r="N63" i="251"/>
  <c r="I63" i="251"/>
  <c r="J63" i="251"/>
  <c r="K63" i="251"/>
  <c r="L63" i="251"/>
  <c r="M63" i="251"/>
  <c r="H63" i="251"/>
  <c r="G63" i="251"/>
  <c r="F63" i="251"/>
  <c r="E63" i="251"/>
  <c r="D63" i="251"/>
  <c r="BD106" i="147"/>
  <c r="AS106" i="147"/>
  <c r="AT106" i="147"/>
  <c r="AU106" i="147"/>
  <c r="AV106" i="147"/>
  <c r="AW106" i="147"/>
  <c r="AX106" i="147"/>
  <c r="AY106" i="147"/>
  <c r="AZ106" i="147"/>
  <c r="BA106" i="147"/>
  <c r="BB106" i="147"/>
  <c r="BC106" i="147"/>
  <c r="BD102" i="147"/>
  <c r="BD100" i="147"/>
  <c r="BD98" i="147"/>
  <c r="BD96" i="147"/>
  <c r="AS102" i="147"/>
  <c r="AT102" i="147"/>
  <c r="AU102" i="147"/>
  <c r="AV102" i="147"/>
  <c r="AW102" i="147"/>
  <c r="AX102" i="147"/>
  <c r="AY102" i="147"/>
  <c r="AZ102" i="147"/>
  <c r="BC102" i="147"/>
  <c r="AS100" i="147"/>
  <c r="AT100" i="147"/>
  <c r="AU100" i="147"/>
  <c r="AV100" i="147"/>
  <c r="AW100" i="147"/>
  <c r="AX100" i="147"/>
  <c r="AY100" i="147"/>
  <c r="AZ100" i="147"/>
  <c r="BC100" i="147"/>
  <c r="AS98" i="147"/>
  <c r="AT98" i="147"/>
  <c r="AU98" i="147"/>
  <c r="AV98" i="147"/>
  <c r="AW98" i="147"/>
  <c r="AX98" i="147"/>
  <c r="AY98" i="147"/>
  <c r="AZ98" i="147"/>
  <c r="BC98" i="147"/>
  <c r="AS96" i="147"/>
  <c r="AT96" i="147"/>
  <c r="AU96" i="147"/>
  <c r="AV96" i="147"/>
  <c r="AW96" i="147"/>
  <c r="AX96" i="147"/>
  <c r="AY96" i="147"/>
  <c r="AZ96" i="147"/>
  <c r="BC96" i="147"/>
  <c r="BD94" i="147"/>
  <c r="AS94" i="147"/>
  <c r="AT94" i="147"/>
  <c r="AU94" i="147"/>
  <c r="AV94" i="147"/>
  <c r="AW94" i="147"/>
  <c r="AX94" i="147"/>
  <c r="AY94" i="147"/>
  <c r="AZ94" i="147"/>
  <c r="BC94" i="147"/>
  <c r="BD92" i="147"/>
  <c r="AS92" i="147"/>
  <c r="AT92" i="147"/>
  <c r="AU92" i="147"/>
  <c r="AV92" i="147"/>
  <c r="AW92" i="147"/>
  <c r="AX92" i="147"/>
  <c r="AY92" i="147"/>
  <c r="AZ92" i="147"/>
  <c r="BC92" i="147"/>
  <c r="BD90" i="147"/>
  <c r="AS90" i="147"/>
  <c r="AT90" i="147"/>
  <c r="AU90" i="147"/>
  <c r="AV90" i="147"/>
  <c r="AW90" i="147"/>
  <c r="AX90" i="147"/>
  <c r="AY90" i="147"/>
  <c r="AZ90" i="147"/>
  <c r="BC90" i="147"/>
  <c r="AS52" i="147"/>
  <c r="AT52" i="147"/>
  <c r="AU52" i="147"/>
  <c r="AV52" i="147"/>
  <c r="AW52" i="147"/>
  <c r="AX52" i="147"/>
  <c r="AY52" i="147"/>
  <c r="AZ52" i="147"/>
  <c r="BB52" i="147"/>
  <c r="BC52" i="147"/>
  <c r="BC56" i="147" s="1"/>
  <c r="BD52" i="147"/>
  <c r="BD56" i="147" s="1"/>
  <c r="AS23" i="147"/>
  <c r="AT23" i="147"/>
  <c r="AU23" i="147"/>
  <c r="AV23" i="147"/>
  <c r="AW23" i="147"/>
  <c r="AX23" i="147"/>
  <c r="AY23" i="147"/>
  <c r="AZ23" i="147"/>
  <c r="BC23" i="147"/>
  <c r="BC27" i="147" s="1"/>
  <c r="BD23" i="147"/>
  <c r="BD27" i="147" s="1"/>
  <c r="N40" i="251"/>
  <c r="AC26" i="298"/>
  <c r="AD19" i="298" s="1"/>
  <c r="S33" i="297"/>
  <c r="T31" i="297" s="1"/>
  <c r="S27" i="297"/>
  <c r="T10" i="297" s="1"/>
  <c r="O56" i="288"/>
  <c r="M57" i="288"/>
  <c r="K26" i="288"/>
  <c r="J20" i="288"/>
  <c r="E49" i="287"/>
  <c r="L30" i="286"/>
  <c r="N30" i="286" s="1"/>
  <c r="L29" i="286"/>
  <c r="L24" i="286"/>
  <c r="L22" i="286" s="1"/>
  <c r="L23" i="286"/>
  <c r="L21" i="286"/>
  <c r="L20" i="286"/>
  <c r="L18" i="286"/>
  <c r="L17" i="286"/>
  <c r="L16" i="286"/>
  <c r="N16" i="286" s="1"/>
  <c r="N11" i="335"/>
  <c r="O12" i="335" s="1"/>
  <c r="O67" i="345"/>
  <c r="N67" i="345"/>
  <c r="M67" i="345"/>
  <c r="L67" i="345"/>
  <c r="K67" i="345"/>
  <c r="J67" i="345"/>
  <c r="I67" i="345"/>
  <c r="B67" i="345"/>
  <c r="O65" i="345"/>
  <c r="N65" i="345"/>
  <c r="M65" i="345"/>
  <c r="L65" i="345"/>
  <c r="K65" i="345"/>
  <c r="J65" i="345"/>
  <c r="I65" i="345"/>
  <c r="B65" i="345"/>
  <c r="O63" i="345"/>
  <c r="N63" i="345"/>
  <c r="M63" i="345"/>
  <c r="L63" i="345"/>
  <c r="K63" i="345"/>
  <c r="J63" i="345"/>
  <c r="I63" i="345"/>
  <c r="B63" i="345"/>
  <c r="O61" i="345"/>
  <c r="N61" i="345"/>
  <c r="M61" i="345"/>
  <c r="L61" i="345"/>
  <c r="K61" i="345"/>
  <c r="J61" i="345"/>
  <c r="I61" i="345"/>
  <c r="B61" i="345"/>
  <c r="O59" i="345"/>
  <c r="N59" i="345"/>
  <c r="M59" i="345"/>
  <c r="L59" i="345"/>
  <c r="K59" i="345"/>
  <c r="J59" i="345"/>
  <c r="I59" i="345"/>
  <c r="B59" i="345"/>
  <c r="O57" i="345"/>
  <c r="N57" i="345"/>
  <c r="M57" i="345"/>
  <c r="L57" i="345"/>
  <c r="K57" i="345"/>
  <c r="J57" i="345"/>
  <c r="I57" i="345"/>
  <c r="B57" i="345"/>
  <c r="O55" i="345"/>
  <c r="N55" i="345"/>
  <c r="M55" i="345"/>
  <c r="L55" i="345"/>
  <c r="K55" i="345"/>
  <c r="J55" i="345"/>
  <c r="I55" i="345"/>
  <c r="B55" i="345"/>
  <c r="O53" i="345"/>
  <c r="N53" i="345"/>
  <c r="M53" i="345"/>
  <c r="L53" i="345"/>
  <c r="K53" i="345"/>
  <c r="J53" i="345"/>
  <c r="I53" i="345"/>
  <c r="B53" i="345"/>
  <c r="O51" i="345"/>
  <c r="N51" i="345"/>
  <c r="M51" i="345"/>
  <c r="L51" i="345"/>
  <c r="K51" i="345"/>
  <c r="J51" i="345"/>
  <c r="I51" i="345"/>
  <c r="B51" i="345"/>
  <c r="O49" i="345"/>
  <c r="N49" i="345"/>
  <c r="M49" i="345"/>
  <c r="L49" i="345"/>
  <c r="K49" i="345"/>
  <c r="J49" i="345"/>
  <c r="I49" i="345"/>
  <c r="B49" i="345"/>
  <c r="O47" i="345"/>
  <c r="N47" i="345"/>
  <c r="M47" i="345"/>
  <c r="L47" i="345"/>
  <c r="K47" i="345"/>
  <c r="J47" i="345"/>
  <c r="I47" i="345"/>
  <c r="B47" i="345"/>
  <c r="O45" i="345"/>
  <c r="N45" i="345"/>
  <c r="M45" i="345"/>
  <c r="L45" i="345"/>
  <c r="K45" i="345"/>
  <c r="J45" i="345"/>
  <c r="B45" i="345"/>
  <c r="O43" i="345"/>
  <c r="N43" i="345"/>
  <c r="M43" i="345"/>
  <c r="L43" i="345"/>
  <c r="K43" i="345"/>
  <c r="B43" i="345"/>
  <c r="O38" i="344"/>
  <c r="N38" i="344"/>
  <c r="M38" i="344"/>
  <c r="L38" i="344"/>
  <c r="K38" i="344"/>
  <c r="J38" i="344"/>
  <c r="I38" i="344"/>
  <c r="H38" i="344"/>
  <c r="G38" i="344"/>
  <c r="O33" i="344"/>
  <c r="N33" i="344"/>
  <c r="M33" i="344"/>
  <c r="L33" i="344"/>
  <c r="K33" i="344"/>
  <c r="L36" i="344" s="1"/>
  <c r="J33" i="344"/>
  <c r="J36" i="344" s="1"/>
  <c r="I33" i="344"/>
  <c r="I8" i="345" s="1"/>
  <c r="J43" i="345" s="1"/>
  <c r="H33" i="344"/>
  <c r="C38" i="343"/>
  <c r="C25" i="343"/>
  <c r="C24" i="343"/>
  <c r="K22" i="343"/>
  <c r="J22" i="343"/>
  <c r="N22" i="343" s="1"/>
  <c r="I22" i="343"/>
  <c r="H22" i="343"/>
  <c r="G22" i="343"/>
  <c r="F22" i="343"/>
  <c r="E22" i="343"/>
  <c r="D22" i="343"/>
  <c r="C20" i="343"/>
  <c r="C19" i="343"/>
  <c r="C18" i="343"/>
  <c r="C17" i="343"/>
  <c r="K15" i="343"/>
  <c r="J15" i="343"/>
  <c r="I15" i="343"/>
  <c r="H15" i="343"/>
  <c r="G15" i="343"/>
  <c r="F15" i="343"/>
  <c r="E15" i="343"/>
  <c r="D15" i="343"/>
  <c r="C13" i="343"/>
  <c r="C12" i="343"/>
  <c r="C11" i="343"/>
  <c r="C10" i="343"/>
  <c r="K8" i="343"/>
  <c r="J8" i="343"/>
  <c r="M8" i="343" s="1"/>
  <c r="I8" i="343"/>
  <c r="H8" i="343"/>
  <c r="G8" i="343"/>
  <c r="F8" i="343"/>
  <c r="E8" i="343"/>
  <c r="D8" i="343"/>
  <c r="K49" i="342"/>
  <c r="M49" i="342" s="1"/>
  <c r="J49" i="342"/>
  <c r="I49" i="342"/>
  <c r="H49" i="342"/>
  <c r="G49" i="342"/>
  <c r="F49" i="342"/>
  <c r="E49" i="342"/>
  <c r="D49" i="342"/>
  <c r="C49" i="342"/>
  <c r="K42" i="342"/>
  <c r="J42" i="342"/>
  <c r="I42" i="342"/>
  <c r="H42" i="342"/>
  <c r="G42" i="342"/>
  <c r="F42" i="342"/>
  <c r="E42" i="342"/>
  <c r="E54" i="342" s="1"/>
  <c r="D42" i="342"/>
  <c r="C42" i="342"/>
  <c r="K35" i="342"/>
  <c r="J35" i="342"/>
  <c r="I35" i="342"/>
  <c r="H35" i="342"/>
  <c r="G35" i="342"/>
  <c r="F35" i="342"/>
  <c r="E35" i="342"/>
  <c r="D35" i="342"/>
  <c r="C35" i="342"/>
  <c r="C24" i="342"/>
  <c r="C23" i="342"/>
  <c r="C21" i="342"/>
  <c r="C19" i="342"/>
  <c r="C18" i="342"/>
  <c r="C17" i="342"/>
  <c r="C16" i="342"/>
  <c r="C14" i="342"/>
  <c r="C12" i="342"/>
  <c r="C11" i="342"/>
  <c r="C10" i="342"/>
  <c r="C9" i="342"/>
  <c r="C7" i="342"/>
  <c r="I53" i="341"/>
  <c r="H53" i="341"/>
  <c r="G53" i="341"/>
  <c r="F53" i="341"/>
  <c r="E53" i="341"/>
  <c r="K52" i="341"/>
  <c r="J52" i="341"/>
  <c r="I52" i="341"/>
  <c r="H52" i="341"/>
  <c r="G52" i="341"/>
  <c r="F52" i="341"/>
  <c r="E52" i="341"/>
  <c r="D52" i="341"/>
  <c r="K48" i="341"/>
  <c r="J48" i="341"/>
  <c r="I48" i="341"/>
  <c r="H48" i="341"/>
  <c r="G48" i="341"/>
  <c r="F48" i="341"/>
  <c r="E48" i="341"/>
  <c r="D48" i="341"/>
  <c r="K47" i="341"/>
  <c r="J47" i="341"/>
  <c r="I47" i="341"/>
  <c r="H47" i="341"/>
  <c r="G47" i="341"/>
  <c r="F47" i="341"/>
  <c r="E47" i="341"/>
  <c r="D47" i="341"/>
  <c r="K45" i="341"/>
  <c r="J45" i="341"/>
  <c r="I45" i="341"/>
  <c r="H45" i="341"/>
  <c r="G45" i="341"/>
  <c r="F45" i="341"/>
  <c r="E45" i="341"/>
  <c r="K42" i="341"/>
  <c r="J42" i="341"/>
  <c r="I42" i="341"/>
  <c r="H42" i="341"/>
  <c r="G42" i="341"/>
  <c r="F42" i="341"/>
  <c r="E42" i="341"/>
  <c r="D42" i="341"/>
  <c r="K41" i="341"/>
  <c r="J41" i="341"/>
  <c r="I41" i="341"/>
  <c r="H41" i="341"/>
  <c r="G41" i="341"/>
  <c r="F41" i="341"/>
  <c r="E41" i="341"/>
  <c r="D41" i="341"/>
  <c r="K40" i="341"/>
  <c r="J40" i="341"/>
  <c r="I40" i="341"/>
  <c r="H40" i="341"/>
  <c r="G40" i="341"/>
  <c r="F40" i="341"/>
  <c r="E40" i="341"/>
  <c r="D40" i="341"/>
  <c r="K39" i="341"/>
  <c r="J39" i="341"/>
  <c r="I39" i="341"/>
  <c r="H39" i="341"/>
  <c r="G39" i="341"/>
  <c r="F39" i="341"/>
  <c r="E39" i="341"/>
  <c r="D39" i="341"/>
  <c r="J23" i="341"/>
  <c r="I23" i="341"/>
  <c r="H23" i="341"/>
  <c r="G23" i="341"/>
  <c r="F23" i="341"/>
  <c r="E23" i="341"/>
  <c r="D23" i="341"/>
  <c r="C23" i="341"/>
  <c r="J16" i="341"/>
  <c r="I16" i="341"/>
  <c r="H16" i="341"/>
  <c r="G16" i="341"/>
  <c r="F16" i="341"/>
  <c r="E16" i="341"/>
  <c r="D16" i="341"/>
  <c r="C16" i="341"/>
  <c r="J9" i="341"/>
  <c r="I9" i="341"/>
  <c r="H9" i="341"/>
  <c r="G9" i="341"/>
  <c r="F9" i="341"/>
  <c r="E9" i="341"/>
  <c r="D9" i="341"/>
  <c r="C9" i="341"/>
  <c r="C54" i="340"/>
  <c r="C53" i="340"/>
  <c r="K52" i="340"/>
  <c r="J52" i="340"/>
  <c r="I52" i="340"/>
  <c r="H52" i="340"/>
  <c r="G52" i="340"/>
  <c r="F52" i="340"/>
  <c r="E52" i="340"/>
  <c r="D52" i="340"/>
  <c r="D51" i="340"/>
  <c r="C51" i="340"/>
  <c r="C49" i="340"/>
  <c r="C48" i="340"/>
  <c r="C47" i="340"/>
  <c r="C46" i="340"/>
  <c r="K45" i="340"/>
  <c r="J45" i="340"/>
  <c r="I45" i="340"/>
  <c r="H45" i="340"/>
  <c r="G45" i="340"/>
  <c r="F45" i="340"/>
  <c r="E45" i="340"/>
  <c r="D45" i="340"/>
  <c r="D44" i="340"/>
  <c r="C44" i="340"/>
  <c r="C42" i="340"/>
  <c r="C41" i="340"/>
  <c r="C40" i="340"/>
  <c r="C39" i="340"/>
  <c r="K38" i="340"/>
  <c r="J38" i="340"/>
  <c r="I38" i="340"/>
  <c r="H38" i="340"/>
  <c r="G38" i="340"/>
  <c r="F38" i="340"/>
  <c r="E38" i="340"/>
  <c r="D38" i="340"/>
  <c r="D37" i="340"/>
  <c r="C37" i="340"/>
  <c r="D27" i="340"/>
  <c r="D23" i="340"/>
  <c r="D22" i="340"/>
  <c r="D16" i="340"/>
  <c r="D15" i="340"/>
  <c r="D9" i="340"/>
  <c r="D8" i="340"/>
  <c r="I54" i="339"/>
  <c r="H54" i="339"/>
  <c r="G54" i="339"/>
  <c r="F54" i="339"/>
  <c r="E54" i="339"/>
  <c r="D54" i="339"/>
  <c r="C54" i="339"/>
  <c r="I53" i="339"/>
  <c r="H53" i="339"/>
  <c r="G53" i="339"/>
  <c r="F53" i="339"/>
  <c r="E53" i="339"/>
  <c r="D53" i="339"/>
  <c r="C53" i="339"/>
  <c r="H52" i="339"/>
  <c r="I49" i="339"/>
  <c r="G49" i="339"/>
  <c r="F49" i="339"/>
  <c r="E49" i="339"/>
  <c r="D49" i="339"/>
  <c r="C49" i="339"/>
  <c r="I48" i="339"/>
  <c r="F48" i="339"/>
  <c r="E48" i="339"/>
  <c r="D48" i="339"/>
  <c r="I47" i="339"/>
  <c r="F47" i="339"/>
  <c r="E47" i="339"/>
  <c r="D47" i="339"/>
  <c r="C47" i="339"/>
  <c r="I46" i="339"/>
  <c r="F46" i="339"/>
  <c r="D46" i="339"/>
  <c r="C46" i="339"/>
  <c r="H45" i="339"/>
  <c r="I42" i="339"/>
  <c r="F42" i="339"/>
  <c r="D42" i="339"/>
  <c r="C42" i="339"/>
  <c r="I41" i="339"/>
  <c r="F41" i="339"/>
  <c r="E41" i="339"/>
  <c r="D41" i="339"/>
  <c r="I40" i="339"/>
  <c r="E40" i="339"/>
  <c r="D40" i="339"/>
  <c r="C40" i="339"/>
  <c r="I39" i="339"/>
  <c r="I37" i="339" s="1"/>
  <c r="F39" i="339"/>
  <c r="E39" i="339"/>
  <c r="D39" i="339"/>
  <c r="C39" i="339"/>
  <c r="K22" i="339"/>
  <c r="L22" i="340" s="1"/>
  <c r="J22" i="339"/>
  <c r="I22" i="339"/>
  <c r="J22" i="340" s="1"/>
  <c r="H22" i="339"/>
  <c r="G22" i="339"/>
  <c r="F22" i="339"/>
  <c r="E22" i="339"/>
  <c r="D22" i="339"/>
  <c r="C22" i="339"/>
  <c r="C19" i="339"/>
  <c r="C48" i="339" s="1"/>
  <c r="K15" i="339"/>
  <c r="M15" i="339" s="1"/>
  <c r="J15" i="339"/>
  <c r="I15" i="339"/>
  <c r="H15" i="339"/>
  <c r="G15" i="339"/>
  <c r="F15" i="339"/>
  <c r="E15" i="339"/>
  <c r="F15" i="340" s="1"/>
  <c r="D15" i="339"/>
  <c r="C12" i="339"/>
  <c r="C8" i="339" s="1"/>
  <c r="K8" i="339"/>
  <c r="L8" i="340" s="1"/>
  <c r="J8" i="339"/>
  <c r="I8" i="339"/>
  <c r="H8" i="339"/>
  <c r="G8" i="339"/>
  <c r="F8" i="339"/>
  <c r="G8" i="340" s="1"/>
  <c r="E8" i="339"/>
  <c r="D8" i="339"/>
  <c r="D27" i="339" s="1"/>
  <c r="Z50" i="175"/>
  <c r="AF34" i="178"/>
  <c r="AN34" i="178" s="1"/>
  <c r="AF33" i="178"/>
  <c r="AF28" i="178"/>
  <c r="AN28" i="178" s="1"/>
  <c r="AF27" i="178"/>
  <c r="AN27" i="178" s="1"/>
  <c r="AF26" i="178"/>
  <c r="AF25" i="178"/>
  <c r="AN25" i="178" s="1"/>
  <c r="AF24" i="178"/>
  <c r="AN24" i="178" s="1"/>
  <c r="AF23" i="178"/>
  <c r="AN23" i="178" s="1"/>
  <c r="AF22" i="178"/>
  <c r="AF14" i="178"/>
  <c r="AN14" i="178" s="1"/>
  <c r="AF13" i="178"/>
  <c r="AN13" i="178" s="1"/>
  <c r="AF11" i="178"/>
  <c r="AF10" i="178"/>
  <c r="AN10" i="178" s="1"/>
  <c r="AN16" i="178"/>
  <c r="AN20" i="178"/>
  <c r="AN29" i="178"/>
  <c r="AN36" i="178"/>
  <c r="AN37" i="178"/>
  <c r="AN38" i="178"/>
  <c r="AN40" i="178"/>
  <c r="AN46" i="178"/>
  <c r="AG21" i="178"/>
  <c r="W21" i="175"/>
  <c r="AD26" i="177"/>
  <c r="AD9" i="177"/>
  <c r="M36" i="225"/>
  <c r="M17" i="225"/>
  <c r="AF59" i="25"/>
  <c r="AF28" i="25"/>
  <c r="AH29" i="184"/>
  <c r="AH27" i="184"/>
  <c r="AF25" i="184"/>
  <c r="AG10" i="170"/>
  <c r="DP32" i="169"/>
  <c r="DO32" i="169"/>
  <c r="DN32" i="169"/>
  <c r="DM32" i="169"/>
  <c r="DP18" i="169"/>
  <c r="DO18" i="169"/>
  <c r="DN18" i="169"/>
  <c r="DM18" i="169"/>
  <c r="DP12" i="169"/>
  <c r="DO12" i="169"/>
  <c r="DN12" i="169"/>
  <c r="DM12" i="169"/>
  <c r="DP26" i="169"/>
  <c r="DO26" i="169"/>
  <c r="DN26" i="169"/>
  <c r="DM26" i="169"/>
  <c r="DQ30" i="169"/>
  <c r="DQ29" i="169"/>
  <c r="DQ28" i="169"/>
  <c r="DQ24" i="169"/>
  <c r="DQ23" i="169"/>
  <c r="DQ22" i="169"/>
  <c r="DQ16" i="169"/>
  <c r="DQ15" i="169"/>
  <c r="DQ14" i="169"/>
  <c r="DQ9" i="169"/>
  <c r="DQ10" i="169"/>
  <c r="DQ8" i="169"/>
  <c r="AE48" i="178"/>
  <c r="AR106" i="147"/>
  <c r="AQ106" i="147"/>
  <c r="AP106" i="147"/>
  <c r="AO106" i="147"/>
  <c r="AN106" i="147"/>
  <c r="AM106" i="147"/>
  <c r="AL106" i="147"/>
  <c r="AK106" i="147"/>
  <c r="AJ106" i="147"/>
  <c r="AI106" i="147"/>
  <c r="AH106" i="147"/>
  <c r="AG106" i="147"/>
  <c r="AF106" i="147"/>
  <c r="AE106" i="147"/>
  <c r="AR102" i="147"/>
  <c r="AQ102" i="147"/>
  <c r="AP102" i="147"/>
  <c r="AO102" i="147"/>
  <c r="AN102" i="147"/>
  <c r="AM102" i="147"/>
  <c r="AL102" i="147"/>
  <c r="AK102" i="147"/>
  <c r="AJ102" i="147"/>
  <c r="AI102" i="147"/>
  <c r="AH102" i="147"/>
  <c r="AG102" i="147"/>
  <c r="AF102" i="147"/>
  <c r="AE102" i="147"/>
  <c r="AR100" i="147"/>
  <c r="AQ100" i="147"/>
  <c r="AP100" i="147"/>
  <c r="AO100" i="147"/>
  <c r="AN100" i="147"/>
  <c r="AM100" i="147"/>
  <c r="AL100" i="147"/>
  <c r="AK100" i="147"/>
  <c r="AJ100" i="147"/>
  <c r="AI100" i="147"/>
  <c r="AH100" i="147"/>
  <c r="AG100" i="147"/>
  <c r="AF100" i="147"/>
  <c r="AE100" i="147"/>
  <c r="AR98" i="147"/>
  <c r="AQ98" i="147"/>
  <c r="AP98" i="147"/>
  <c r="AO98" i="147"/>
  <c r="AN98" i="147"/>
  <c r="AM98" i="147"/>
  <c r="AL98" i="147"/>
  <c r="AK98" i="147"/>
  <c r="AJ98" i="147"/>
  <c r="AI98" i="147"/>
  <c r="AH98" i="147"/>
  <c r="AG98" i="147"/>
  <c r="AF98" i="147"/>
  <c r="AE98" i="147"/>
  <c r="AR96" i="147"/>
  <c r="AQ96" i="147"/>
  <c r="AP96" i="147"/>
  <c r="AO96" i="147"/>
  <c r="AN96" i="147"/>
  <c r="AM96" i="147"/>
  <c r="AL96" i="147"/>
  <c r="AK96" i="147"/>
  <c r="AJ96" i="147"/>
  <c r="AI96" i="147"/>
  <c r="AH96" i="147"/>
  <c r="AG96" i="147"/>
  <c r="AF96" i="147"/>
  <c r="AE96" i="147"/>
  <c r="AR94" i="147"/>
  <c r="AQ94" i="147"/>
  <c r="AP94" i="147"/>
  <c r="AO94" i="147"/>
  <c r="AN94" i="147"/>
  <c r="AM94" i="147"/>
  <c r="AL94" i="147"/>
  <c r="AK94" i="147"/>
  <c r="AJ94" i="147"/>
  <c r="AI94" i="147"/>
  <c r="AH94" i="147"/>
  <c r="AG94" i="147"/>
  <c r="AF94" i="147"/>
  <c r="AE94" i="147"/>
  <c r="AR92" i="147"/>
  <c r="AQ92" i="147"/>
  <c r="AP92" i="147"/>
  <c r="AO92" i="147"/>
  <c r="AN92" i="147"/>
  <c r="AM92" i="147"/>
  <c r="AL92" i="147"/>
  <c r="AK92" i="147"/>
  <c r="AJ92" i="147"/>
  <c r="AI92" i="147"/>
  <c r="AH92" i="147"/>
  <c r="AG92" i="147"/>
  <c r="AQ90" i="147"/>
  <c r="AP90" i="147"/>
  <c r="AO90" i="147"/>
  <c r="AN90" i="147"/>
  <c r="AM90" i="147"/>
  <c r="AL90" i="147"/>
  <c r="AK90" i="147"/>
  <c r="AJ90" i="147"/>
  <c r="AI90" i="147"/>
  <c r="AH90" i="147"/>
  <c r="AG90" i="147"/>
  <c r="AF90" i="147"/>
  <c r="AE90" i="147"/>
  <c r="AD106" i="147"/>
  <c r="AD94" i="147"/>
  <c r="AD96" i="147"/>
  <c r="AD98" i="147"/>
  <c r="AD100" i="147"/>
  <c r="AD102" i="147"/>
  <c r="AD90" i="147"/>
  <c r="AC106" i="147"/>
  <c r="AC94" i="147"/>
  <c r="AC96" i="147"/>
  <c r="AC98" i="147"/>
  <c r="AC100" i="147"/>
  <c r="AC102" i="147"/>
  <c r="AC90" i="147"/>
  <c r="AF56" i="147"/>
  <c r="AE56" i="147"/>
  <c r="AF41" i="147"/>
  <c r="AE41" i="147"/>
  <c r="AD41" i="147"/>
  <c r="AC41" i="147"/>
  <c r="AC52" i="147" s="1"/>
  <c r="AC56" i="147" s="1"/>
  <c r="AD11" i="147"/>
  <c r="AD23" i="147" s="1"/>
  <c r="AC11" i="147"/>
  <c r="AF11" i="147"/>
  <c r="AF23" i="147" s="1"/>
  <c r="AF27" i="147" s="1"/>
  <c r="AE11" i="147"/>
  <c r="AE23" i="147" s="1"/>
  <c r="AE27" i="147" s="1"/>
  <c r="B28" i="147"/>
  <c r="S35" i="140"/>
  <c r="AE28" i="178"/>
  <c r="AE34" i="178"/>
  <c r="AE33" i="178"/>
  <c r="AE35" i="178"/>
  <c r="AE27" i="178"/>
  <c r="AE26" i="178"/>
  <c r="AE25" i="178"/>
  <c r="AE24" i="178"/>
  <c r="AE23" i="178"/>
  <c r="AE22" i="178"/>
  <c r="AE11" i="178"/>
  <c r="AE10" i="178"/>
  <c r="AE13" i="178"/>
  <c r="AE14" i="178"/>
  <c r="AE45" i="178"/>
  <c r="AE43" i="178"/>
  <c r="AD55" i="177"/>
  <c r="AD35" i="177"/>
  <c r="AB42" i="41"/>
  <c r="AB29" i="41"/>
  <c r="AB16" i="41"/>
  <c r="D200" i="268"/>
  <c r="E200" i="268"/>
  <c r="D143" i="268"/>
  <c r="E143" i="268"/>
  <c r="G11" i="335"/>
  <c r="H11" i="335"/>
  <c r="I11" i="335"/>
  <c r="J11" i="335"/>
  <c r="K11" i="335"/>
  <c r="L11" i="335"/>
  <c r="M11" i="335"/>
  <c r="F11" i="335"/>
  <c r="AN52" i="147"/>
  <c r="AP53" i="147" s="1"/>
  <c r="AP52" i="147"/>
  <c r="L36" i="225"/>
  <c r="K36" i="225"/>
  <c r="L17" i="225"/>
  <c r="K17" i="225"/>
  <c r="AU13" i="247"/>
  <c r="BB13" i="247" s="1"/>
  <c r="AU30" i="247"/>
  <c r="AU31" i="247"/>
  <c r="AU32" i="247"/>
  <c r="AU33" i="247"/>
  <c r="AU34" i="247"/>
  <c r="AU35" i="247"/>
  <c r="AU36" i="247"/>
  <c r="AU37" i="247"/>
  <c r="AU39" i="247"/>
  <c r="AU40" i="247"/>
  <c r="AU29" i="247"/>
  <c r="AQ41" i="247"/>
  <c r="AB41" i="247"/>
  <c r="AU15" i="247"/>
  <c r="BB15" i="247" s="1"/>
  <c r="AU18" i="247"/>
  <c r="BB18" i="247" s="1"/>
  <c r="AT19" i="247"/>
  <c r="AU8" i="247"/>
  <c r="AU9" i="247"/>
  <c r="BB9" i="247" s="1"/>
  <c r="AU10" i="247"/>
  <c r="BB10" i="247" s="1"/>
  <c r="AU11" i="247"/>
  <c r="BB11" i="247" s="1"/>
  <c r="AU12" i="247"/>
  <c r="BB12" i="247" s="1"/>
  <c r="AU7" i="247"/>
  <c r="BB7" i="247" s="1"/>
  <c r="AM18" i="247"/>
  <c r="AM19" i="247" s="1"/>
  <c r="O66" i="251"/>
  <c r="M39" i="251"/>
  <c r="M38" i="251"/>
  <c r="M37" i="251"/>
  <c r="M36" i="251"/>
  <c r="M35" i="251"/>
  <c r="M34" i="251"/>
  <c r="M33" i="251"/>
  <c r="M32" i="251"/>
  <c r="M31" i="251"/>
  <c r="AQ52" i="147"/>
  <c r="AA26" i="298"/>
  <c r="AB25" i="298" s="1"/>
  <c r="AD28" i="178"/>
  <c r="AD27" i="178"/>
  <c r="AD26" i="178"/>
  <c r="AD25" i="178"/>
  <c r="AD24" i="178"/>
  <c r="AD23" i="178"/>
  <c r="AD22" i="178"/>
  <c r="AD14" i="178"/>
  <c r="AD15" i="178"/>
  <c r="AD11" i="178"/>
  <c r="AD9" i="178" s="1"/>
  <c r="AE44" i="178"/>
  <c r="AE19" i="178"/>
  <c r="AE18" i="178"/>
  <c r="AD19" i="178"/>
  <c r="AD18" i="178"/>
  <c r="AS19" i="247"/>
  <c r="AR19" i="247"/>
  <c r="AQ19" i="247"/>
  <c r="BB17" i="247"/>
  <c r="BB14" i="247"/>
  <c r="AC58" i="177"/>
  <c r="U23" i="175" s="1"/>
  <c r="AC35" i="177"/>
  <c r="AC30" i="177" s="1"/>
  <c r="U19" i="175" s="1"/>
  <c r="AC10" i="177"/>
  <c r="AC9" i="177"/>
  <c r="AD45" i="177"/>
  <c r="AD10" i="177"/>
  <c r="V12" i="175" s="1"/>
  <c r="AD28" i="177"/>
  <c r="V21" i="175" s="1"/>
  <c r="AD58" i="177"/>
  <c r="V23" i="175" s="1"/>
  <c r="AD39" i="177"/>
  <c r="AD36" i="177"/>
  <c r="AD33" i="177"/>
  <c r="AD32" i="177"/>
  <c r="AD20" i="177"/>
  <c r="Q33" i="297"/>
  <c r="R31" i="297" s="1"/>
  <c r="Q27" i="297"/>
  <c r="R13" i="297" s="1"/>
  <c r="K34" i="286"/>
  <c r="K28" i="286"/>
  <c r="K22" i="286"/>
  <c r="K19" i="286" s="1"/>
  <c r="K42" i="286" s="1"/>
  <c r="K15" i="286"/>
  <c r="K40" i="286" s="1"/>
  <c r="AE10" i="170"/>
  <c r="AE28" i="170" s="1"/>
  <c r="AF10" i="170"/>
  <c r="AF28" i="170" s="1"/>
  <c r="DL29" i="169"/>
  <c r="DL30" i="169"/>
  <c r="DL28" i="169"/>
  <c r="DL23" i="169"/>
  <c r="DL24" i="169"/>
  <c r="DL22" i="169"/>
  <c r="DL15" i="169"/>
  <c r="DL16" i="169"/>
  <c r="DL14" i="169"/>
  <c r="DL9" i="169"/>
  <c r="DL10" i="169"/>
  <c r="DL8" i="169"/>
  <c r="DJ26" i="169"/>
  <c r="AE25" i="184"/>
  <c r="AE31" i="184" s="1"/>
  <c r="AE60" i="25"/>
  <c r="AE59" i="25"/>
  <c r="AE29" i="25"/>
  <c r="AE28" i="25"/>
  <c r="DK32" i="169"/>
  <c r="DJ32" i="169"/>
  <c r="DI32" i="169"/>
  <c r="DH32" i="169"/>
  <c r="DK26" i="169"/>
  <c r="DI26" i="169"/>
  <c r="DH26" i="169"/>
  <c r="DK18" i="169"/>
  <c r="DJ18" i="169"/>
  <c r="DI18" i="169"/>
  <c r="DH18" i="169"/>
  <c r="DH20" i="169" s="1"/>
  <c r="DK12" i="169"/>
  <c r="DJ12" i="169"/>
  <c r="DI12" i="169"/>
  <c r="DH12" i="169"/>
  <c r="AD21" i="177"/>
  <c r="AD34" i="177"/>
  <c r="AD46" i="177"/>
  <c r="L16" i="251"/>
  <c r="O68" i="251"/>
  <c r="O69" i="251"/>
  <c r="O70" i="251"/>
  <c r="O71" i="251"/>
  <c r="O67" i="251"/>
  <c r="K22" i="251"/>
  <c r="M22" i="251" s="1"/>
  <c r="K21" i="251"/>
  <c r="M21" i="251" s="1"/>
  <c r="K23" i="251"/>
  <c r="M23" i="251" s="1"/>
  <c r="D7" i="297"/>
  <c r="I7" i="297"/>
  <c r="D8" i="297"/>
  <c r="I8" i="297"/>
  <c r="D9" i="297"/>
  <c r="I9" i="297"/>
  <c r="D10" i="297"/>
  <c r="I10" i="297"/>
  <c r="D11" i="297"/>
  <c r="I11" i="297"/>
  <c r="D12" i="297"/>
  <c r="I12" i="297"/>
  <c r="D13" i="297"/>
  <c r="I13" i="297"/>
  <c r="D14" i="297"/>
  <c r="I14" i="297"/>
  <c r="D16" i="297"/>
  <c r="I16" i="297"/>
  <c r="D17" i="297"/>
  <c r="I18" i="297"/>
  <c r="I19" i="297"/>
  <c r="D21" i="297"/>
  <c r="I21" i="297"/>
  <c r="D22" i="297"/>
  <c r="I22" i="297"/>
  <c r="I23" i="297"/>
  <c r="I24" i="297"/>
  <c r="B26" i="297"/>
  <c r="D26" i="297"/>
  <c r="I26" i="297"/>
  <c r="B27" i="297"/>
  <c r="E27" i="297"/>
  <c r="F21" i="297" s="1"/>
  <c r="G27" i="297"/>
  <c r="H16" i="297" s="1"/>
  <c r="K27" i="297"/>
  <c r="L11" i="297" s="1"/>
  <c r="M27" i="297"/>
  <c r="N24" i="297" s="1"/>
  <c r="O27" i="297"/>
  <c r="P7" i="297" s="1"/>
  <c r="B28" i="297"/>
  <c r="B29" i="297"/>
  <c r="E29" i="297"/>
  <c r="B30" i="297"/>
  <c r="E30" i="297"/>
  <c r="E31" i="297"/>
  <c r="B33" i="297"/>
  <c r="G33" i="297"/>
  <c r="I33" i="297"/>
  <c r="J29" i="297" s="1"/>
  <c r="K33" i="297"/>
  <c r="L29" i="297" s="1"/>
  <c r="M33" i="297"/>
  <c r="N31" i="297" s="1"/>
  <c r="O33" i="297"/>
  <c r="B35" i="297"/>
  <c r="C35" i="297"/>
  <c r="B76" i="188"/>
  <c r="B75" i="188"/>
  <c r="B80" i="256"/>
  <c r="B79" i="256"/>
  <c r="AO23" i="147"/>
  <c r="AP23" i="147"/>
  <c r="AC41" i="247"/>
  <c r="AP30" i="247"/>
  <c r="AP31" i="247"/>
  <c r="AP32" i="247"/>
  <c r="AP33" i="247"/>
  <c r="AP34" i="247"/>
  <c r="AP35" i="247"/>
  <c r="AP36" i="247"/>
  <c r="AP37" i="247"/>
  <c r="AP39" i="247"/>
  <c r="AP40" i="247"/>
  <c r="AP29" i="247"/>
  <c r="AD19" i="247"/>
  <c r="AP8" i="247"/>
  <c r="AP9" i="247"/>
  <c r="AP10" i="247"/>
  <c r="AP11" i="247"/>
  <c r="AP12" i="247"/>
  <c r="AP13" i="247"/>
  <c r="AP14" i="247"/>
  <c r="AP15" i="247"/>
  <c r="AP17" i="247"/>
  <c r="AP7" i="247"/>
  <c r="AN41" i="247"/>
  <c r="AO41" i="247"/>
  <c r="AN19" i="247"/>
  <c r="AO19" i="247"/>
  <c r="AJ19" i="247"/>
  <c r="AI19" i="247"/>
  <c r="AH19" i="247"/>
  <c r="AG19" i="247"/>
  <c r="AK8" i="247"/>
  <c r="AK9" i="247"/>
  <c r="AK10" i="247"/>
  <c r="AK11" i="247"/>
  <c r="AK12" i="247"/>
  <c r="AK13" i="247"/>
  <c r="AK14" i="247"/>
  <c r="AK15" i="247"/>
  <c r="AK17" i="247"/>
  <c r="AK18" i="247"/>
  <c r="AK7" i="247"/>
  <c r="AK30" i="247"/>
  <c r="AK31" i="247"/>
  <c r="AK32" i="247"/>
  <c r="AK33" i="247"/>
  <c r="AK34" i="247"/>
  <c r="AK35" i="247"/>
  <c r="AK36" i="247"/>
  <c r="AK37" i="247"/>
  <c r="AK39" i="247"/>
  <c r="AK40" i="247"/>
  <c r="AK29" i="247"/>
  <c r="AO52" i="147"/>
  <c r="AM52" i="147"/>
  <c r="G70" i="191"/>
  <c r="H70" i="191"/>
  <c r="J71" i="191" s="1"/>
  <c r="AD35" i="178"/>
  <c r="AD34" i="178"/>
  <c r="AD33" i="178"/>
  <c r="AD13" i="178"/>
  <c r="AD12" i="178" s="1"/>
  <c r="R35" i="178"/>
  <c r="S35" i="178"/>
  <c r="T35" i="178"/>
  <c r="U35" i="178"/>
  <c r="V35" i="178"/>
  <c r="W35" i="178"/>
  <c r="X35" i="178"/>
  <c r="Y35" i="178"/>
  <c r="Z35" i="178"/>
  <c r="AA35" i="178"/>
  <c r="AB35" i="178"/>
  <c r="AC35" i="178"/>
  <c r="Q35" i="178"/>
  <c r="AD41" i="178"/>
  <c r="U27" i="175" s="1"/>
  <c r="AD16" i="177"/>
  <c r="AC16" i="177"/>
  <c r="AC19" i="177"/>
  <c r="AC22" i="177"/>
  <c r="U20" i="175"/>
  <c r="U21" i="175"/>
  <c r="R35" i="140"/>
  <c r="Y26" i="298"/>
  <c r="Z12" i="298" s="1"/>
  <c r="F55" i="288"/>
  <c r="H41" i="288"/>
  <c r="H57" i="288" s="1"/>
  <c r="K51" i="288"/>
  <c r="O51" i="288" s="1"/>
  <c r="BA51" i="147"/>
  <c r="BA49" i="147"/>
  <c r="BA47" i="147"/>
  <c r="BA45" i="147"/>
  <c r="BA43" i="147"/>
  <c r="BA41" i="147"/>
  <c r="BA39" i="147"/>
  <c r="D44" i="287"/>
  <c r="D43" i="287" s="1"/>
  <c r="D36" i="287"/>
  <c r="D32" i="287"/>
  <c r="D33" i="287"/>
  <c r="D40" i="287"/>
  <c r="D39" i="287" s="1"/>
  <c r="D41" i="287"/>
  <c r="D42" i="287"/>
  <c r="F15" i="287"/>
  <c r="G15" i="287" s="1"/>
  <c r="F16" i="287"/>
  <c r="E18" i="287"/>
  <c r="F19" i="287"/>
  <c r="G19" i="287" s="1"/>
  <c r="F20" i="287"/>
  <c r="E20" i="287"/>
  <c r="F21" i="287"/>
  <c r="E21" i="287"/>
  <c r="D21" i="287"/>
  <c r="I30" i="286"/>
  <c r="I20" i="286"/>
  <c r="I21" i="286"/>
  <c r="I23" i="286"/>
  <c r="I22" i="286" s="1"/>
  <c r="I24" i="286"/>
  <c r="I29" i="286"/>
  <c r="I35" i="286"/>
  <c r="I38" i="286"/>
  <c r="J15" i="286"/>
  <c r="J40" i="286" s="1"/>
  <c r="I15" i="286"/>
  <c r="J22" i="286"/>
  <c r="J19" i="286" s="1"/>
  <c r="J42" i="286" s="1"/>
  <c r="J28" i="286"/>
  <c r="J34" i="286"/>
  <c r="BA9" i="147"/>
  <c r="BB9" i="147"/>
  <c r="BB90" i="147" s="1"/>
  <c r="AV91" i="147"/>
  <c r="AW91" i="147"/>
  <c r="AX91" i="147"/>
  <c r="AY91" i="147"/>
  <c r="AZ91" i="147"/>
  <c r="BA91" i="147"/>
  <c r="BB91" i="147"/>
  <c r="BA11" i="147"/>
  <c r="BB11" i="147"/>
  <c r="BB92" i="147" s="1"/>
  <c r="AV93" i="147"/>
  <c r="AW93" i="147"/>
  <c r="AX93" i="147"/>
  <c r="AY93" i="147"/>
  <c r="AZ93" i="147"/>
  <c r="BA93" i="147"/>
  <c r="BB93" i="147"/>
  <c r="BA13" i="147"/>
  <c r="BB13" i="147"/>
  <c r="BB94" i="147" s="1"/>
  <c r="AV95" i="147"/>
  <c r="AW95" i="147"/>
  <c r="AX95" i="147"/>
  <c r="AY95" i="147"/>
  <c r="AZ95" i="147"/>
  <c r="BA95" i="147"/>
  <c r="BB95" i="147"/>
  <c r="BA15" i="147"/>
  <c r="BA96" i="147" s="1"/>
  <c r="BB15" i="147"/>
  <c r="BB96" i="147" s="1"/>
  <c r="AV97" i="147"/>
  <c r="AW97" i="147"/>
  <c r="AX97" i="147"/>
  <c r="AY97" i="147"/>
  <c r="AZ97" i="147"/>
  <c r="BA97" i="147"/>
  <c r="BB97" i="147"/>
  <c r="BA17" i="147"/>
  <c r="BB17" i="147"/>
  <c r="BB98" i="147" s="1"/>
  <c r="AV99" i="147"/>
  <c r="AW99" i="147"/>
  <c r="AX99" i="147"/>
  <c r="AY99" i="147"/>
  <c r="AZ99" i="147"/>
  <c r="BA99" i="147"/>
  <c r="BB99" i="147"/>
  <c r="BA19" i="147"/>
  <c r="BA100" i="147" s="1"/>
  <c r="BB19" i="147"/>
  <c r="BB100" i="147" s="1"/>
  <c r="AV101" i="147"/>
  <c r="AW101" i="147"/>
  <c r="AX101" i="147"/>
  <c r="AY101" i="147"/>
  <c r="AZ101" i="147"/>
  <c r="BA101" i="147"/>
  <c r="BB101" i="147"/>
  <c r="BA21" i="147"/>
  <c r="BB21" i="147"/>
  <c r="BB102" i="147" s="1"/>
  <c r="AU91" i="147"/>
  <c r="AU93" i="147"/>
  <c r="AU95" i="147"/>
  <c r="AU97" i="147"/>
  <c r="AU99" i="147"/>
  <c r="AU101" i="147"/>
  <c r="H45" i="191"/>
  <c r="L40" i="251"/>
  <c r="K40" i="251"/>
  <c r="H78" i="191"/>
  <c r="H77" i="191"/>
  <c r="C77" i="191"/>
  <c r="D77" i="191"/>
  <c r="C76" i="191"/>
  <c r="D76" i="191"/>
  <c r="C78" i="191"/>
  <c r="D78" i="191"/>
  <c r="H76" i="191"/>
  <c r="H75" i="191"/>
  <c r="G75" i="191"/>
  <c r="H44" i="191"/>
  <c r="H43" i="191"/>
  <c r="F44" i="191"/>
  <c r="F45" i="191"/>
  <c r="F43" i="191"/>
  <c r="AH41" i="247"/>
  <c r="BB31" i="247"/>
  <c r="BC31" i="247"/>
  <c r="BE31" i="247"/>
  <c r="BB32" i="247"/>
  <c r="BC32" i="247"/>
  <c r="BE32" i="247"/>
  <c r="BB33" i="247"/>
  <c r="BC33" i="247"/>
  <c r="BE33" i="247"/>
  <c r="BB34" i="247"/>
  <c r="BC34" i="247"/>
  <c r="BE34" i="247"/>
  <c r="BB35" i="247"/>
  <c r="BC35" i="247"/>
  <c r="BE35" i="247"/>
  <c r="BB36" i="247"/>
  <c r="BC36" i="247"/>
  <c r="BE36" i="247"/>
  <c r="BB37" i="247"/>
  <c r="BC37" i="247"/>
  <c r="BE37" i="247"/>
  <c r="BB39" i="247"/>
  <c r="BC39" i="247"/>
  <c r="BE39" i="247"/>
  <c r="BB40" i="247"/>
  <c r="BC40" i="247"/>
  <c r="BE40" i="247"/>
  <c r="BE29" i="247"/>
  <c r="BC29" i="247"/>
  <c r="BB29" i="247"/>
  <c r="AM41" i="247"/>
  <c r="BE9" i="247"/>
  <c r="BE10" i="247"/>
  <c r="BE11" i="247"/>
  <c r="BE12" i="247"/>
  <c r="BE13" i="247"/>
  <c r="BE14" i="247"/>
  <c r="BE15" i="247"/>
  <c r="BE17" i="247"/>
  <c r="BE7" i="247"/>
  <c r="BC12" i="247"/>
  <c r="BC13" i="247"/>
  <c r="BC14" i="247"/>
  <c r="BC15" i="247"/>
  <c r="BC17" i="247"/>
  <c r="BC18" i="247"/>
  <c r="BC8" i="247"/>
  <c r="BC9" i="247"/>
  <c r="BC10" i="247"/>
  <c r="BC11" i="247"/>
  <c r="BC7" i="247"/>
  <c r="AL19" i="247"/>
  <c r="X30" i="247"/>
  <c r="X41" i="247" s="1"/>
  <c r="Y30" i="247"/>
  <c r="Y41" i="247" s="1"/>
  <c r="AI41" i="247"/>
  <c r="AJ41" i="247"/>
  <c r="AD41" i="247"/>
  <c r="AE41" i="247"/>
  <c r="W30" i="247"/>
  <c r="W41" i="247" s="1"/>
  <c r="R29" i="41"/>
  <c r="S29" i="41"/>
  <c r="T29" i="41"/>
  <c r="U29" i="41"/>
  <c r="V29" i="41"/>
  <c r="W29" i="41"/>
  <c r="X29" i="41"/>
  <c r="Y29" i="41"/>
  <c r="Z29" i="41"/>
  <c r="AA29" i="41"/>
  <c r="AL23" i="147"/>
  <c r="AM23" i="147"/>
  <c r="AN23" i="147"/>
  <c r="E198" i="268"/>
  <c r="E199" i="268"/>
  <c r="D198" i="268"/>
  <c r="D199" i="268"/>
  <c r="E139" i="268"/>
  <c r="E140" i="268"/>
  <c r="E141" i="268"/>
  <c r="E142" i="268"/>
  <c r="E138" i="268"/>
  <c r="D139" i="268"/>
  <c r="D140" i="268"/>
  <c r="D141" i="268"/>
  <c r="D142" i="268"/>
  <c r="D138" i="268"/>
  <c r="E72" i="268"/>
  <c r="E73" i="268"/>
  <c r="D72" i="268"/>
  <c r="D73" i="268"/>
  <c r="AD50" i="177"/>
  <c r="AM22" i="178"/>
  <c r="AJ32" i="178"/>
  <c r="AK32" i="178"/>
  <c r="AL32" i="178"/>
  <c r="AC32" i="178"/>
  <c r="AC30" i="178" s="1"/>
  <c r="H15" i="286"/>
  <c r="H40" i="286" s="1"/>
  <c r="G15" i="286"/>
  <c r="F15" i="286"/>
  <c r="E15" i="286"/>
  <c r="D15" i="286"/>
  <c r="C15" i="286"/>
  <c r="W26" i="298"/>
  <c r="X13" i="298" s="1"/>
  <c r="U26" i="298"/>
  <c r="V15" i="298" s="1"/>
  <c r="S26" i="298"/>
  <c r="T24" i="298" s="1"/>
  <c r="Q26" i="298"/>
  <c r="R21" i="298" s="1"/>
  <c r="P10" i="298"/>
  <c r="P12" i="298"/>
  <c r="P13" i="298"/>
  <c r="P14" i="298"/>
  <c r="P15" i="298"/>
  <c r="P16" i="298"/>
  <c r="P17" i="298"/>
  <c r="P18" i="298"/>
  <c r="P19" i="298"/>
  <c r="P20" i="298"/>
  <c r="P21" i="298"/>
  <c r="P22" i="298"/>
  <c r="P23" i="298"/>
  <c r="P24" i="298"/>
  <c r="P25" i="298"/>
  <c r="M26" i="298"/>
  <c r="N24" i="298" s="1"/>
  <c r="K26" i="298"/>
  <c r="J26" i="298"/>
  <c r="I26" i="298"/>
  <c r="G18" i="298"/>
  <c r="G23" i="298"/>
  <c r="G25" i="298"/>
  <c r="E18" i="298"/>
  <c r="E20" i="298"/>
  <c r="E23" i="298"/>
  <c r="E25" i="298"/>
  <c r="C18" i="298"/>
  <c r="C23" i="298"/>
  <c r="F11" i="288"/>
  <c r="O11" i="288"/>
  <c r="F14" i="288"/>
  <c r="F15" i="288"/>
  <c r="F16" i="288"/>
  <c r="F18" i="288"/>
  <c r="F20" i="288"/>
  <c r="F22" i="288"/>
  <c r="F29" i="288"/>
  <c r="F30" i="288"/>
  <c r="F33" i="288"/>
  <c r="F34" i="288"/>
  <c r="F35" i="288"/>
  <c r="F36" i="288"/>
  <c r="F37" i="288"/>
  <c r="F38" i="288"/>
  <c r="F45" i="288"/>
  <c r="F49" i="288"/>
  <c r="F51" i="288"/>
  <c r="F56" i="288"/>
  <c r="J14" i="288"/>
  <c r="O14" i="288"/>
  <c r="J15" i="288"/>
  <c r="O15" i="288"/>
  <c r="J16" i="288"/>
  <c r="O16" i="288"/>
  <c r="J18" i="288"/>
  <c r="O18" i="288"/>
  <c r="J22" i="288"/>
  <c r="O22" i="288"/>
  <c r="O24" i="288"/>
  <c r="P24" i="288" s="1"/>
  <c r="J30" i="288"/>
  <c r="O30" i="288"/>
  <c r="J33" i="288"/>
  <c r="O33" i="288"/>
  <c r="J34" i="288"/>
  <c r="O34" i="288"/>
  <c r="J35" i="288"/>
  <c r="O35" i="288"/>
  <c r="J36" i="288"/>
  <c r="O36" i="288"/>
  <c r="J37" i="288"/>
  <c r="O37" i="288"/>
  <c r="J38" i="288"/>
  <c r="P38" i="288" s="1"/>
  <c r="O41" i="288"/>
  <c r="J42" i="288"/>
  <c r="O42" i="288"/>
  <c r="J45" i="288"/>
  <c r="O45" i="288"/>
  <c r="J46" i="288"/>
  <c r="O46" i="288"/>
  <c r="J49" i="288"/>
  <c r="O49" i="288"/>
  <c r="J50" i="288"/>
  <c r="O50" i="288"/>
  <c r="J51" i="288"/>
  <c r="J52" i="288"/>
  <c r="O52" i="288"/>
  <c r="J53" i="288"/>
  <c r="O53" i="288"/>
  <c r="J54" i="288"/>
  <c r="O54" i="288"/>
  <c r="J55" i="288"/>
  <c r="O55" i="288"/>
  <c r="J56" i="288"/>
  <c r="N26" i="288"/>
  <c r="N57" i="288"/>
  <c r="M26" i="288"/>
  <c r="L26" i="288"/>
  <c r="L57" i="288"/>
  <c r="J29" i="288"/>
  <c r="I26" i="288"/>
  <c r="I57" i="288"/>
  <c r="H26" i="288"/>
  <c r="G57" i="288"/>
  <c r="E26" i="288"/>
  <c r="E57" i="288"/>
  <c r="D26" i="288"/>
  <c r="D59" i="288" s="1"/>
  <c r="C26" i="288"/>
  <c r="C57" i="288"/>
  <c r="F12" i="287"/>
  <c r="E12" i="287"/>
  <c r="E11" i="287" s="1"/>
  <c r="F44" i="287"/>
  <c r="F45" i="287"/>
  <c r="F46" i="287"/>
  <c r="F47" i="287"/>
  <c r="F48" i="287"/>
  <c r="E48" i="287"/>
  <c r="G48" i="287" s="1"/>
  <c r="F49" i="287"/>
  <c r="F50" i="287"/>
  <c r="G50" i="287" s="1"/>
  <c r="F51" i="287"/>
  <c r="G51" i="287" s="1"/>
  <c r="E44" i="287"/>
  <c r="E45" i="287"/>
  <c r="E46" i="287"/>
  <c r="E47" i="287"/>
  <c r="F40" i="287"/>
  <c r="F41" i="287"/>
  <c r="F42" i="287"/>
  <c r="E40" i="287"/>
  <c r="E41" i="287"/>
  <c r="E42" i="287"/>
  <c r="F37" i="287"/>
  <c r="F38" i="287"/>
  <c r="E37" i="287"/>
  <c r="E36" i="287" s="1"/>
  <c r="E38" i="287"/>
  <c r="G38" i="287" s="1"/>
  <c r="F30" i="287"/>
  <c r="G30" i="287" s="1"/>
  <c r="F31" i="287"/>
  <c r="G31" i="287" s="1"/>
  <c r="F32" i="287"/>
  <c r="F33" i="287"/>
  <c r="F34" i="287"/>
  <c r="F35" i="287"/>
  <c r="E32" i="287"/>
  <c r="E33" i="287"/>
  <c r="E34" i="287"/>
  <c r="E35" i="287"/>
  <c r="F25" i="287"/>
  <c r="E25" i="287"/>
  <c r="D25" i="287"/>
  <c r="E13" i="287"/>
  <c r="D11" i="287"/>
  <c r="D13" i="287"/>
  <c r="G27" i="287"/>
  <c r="G26" i="287"/>
  <c r="H22" i="286"/>
  <c r="H19" i="286" s="1"/>
  <c r="H34" i="286"/>
  <c r="G20" i="286"/>
  <c r="G21" i="286"/>
  <c r="G23" i="286"/>
  <c r="G24" i="286"/>
  <c r="G29" i="286"/>
  <c r="G30" i="286"/>
  <c r="G35" i="286"/>
  <c r="G34" i="286" s="1"/>
  <c r="F20" i="286"/>
  <c r="F21" i="286"/>
  <c r="F23" i="286"/>
  <c r="F24" i="286"/>
  <c r="F30" i="286"/>
  <c r="F29" i="286"/>
  <c r="F35" i="286"/>
  <c r="F34" i="286" s="1"/>
  <c r="E20" i="286"/>
  <c r="E21" i="286"/>
  <c r="E23" i="286"/>
  <c r="E24" i="286"/>
  <c r="E29" i="286"/>
  <c r="E30" i="286"/>
  <c r="E35" i="286"/>
  <c r="D20" i="286"/>
  <c r="D21" i="286"/>
  <c r="D23" i="286"/>
  <c r="D24" i="286"/>
  <c r="D29" i="286"/>
  <c r="D30" i="286"/>
  <c r="D35" i="286"/>
  <c r="C20" i="286"/>
  <c r="C21" i="286"/>
  <c r="C23" i="286"/>
  <c r="C24" i="286"/>
  <c r="C29" i="286"/>
  <c r="C30" i="286"/>
  <c r="C35" i="286"/>
  <c r="C34" i="286" s="1"/>
  <c r="F38" i="286"/>
  <c r="E38" i="286"/>
  <c r="D38" i="286"/>
  <c r="C38" i="286"/>
  <c r="CO12" i="169"/>
  <c r="CO18" i="169"/>
  <c r="CO26" i="169"/>
  <c r="CO32" i="169"/>
  <c r="CP12" i="169"/>
  <c r="CP18" i="169"/>
  <c r="CP26" i="169"/>
  <c r="CP32" i="169"/>
  <c r="CQ12" i="169"/>
  <c r="CQ18" i="169"/>
  <c r="CQ26" i="169"/>
  <c r="CQ32" i="169"/>
  <c r="CQ34" i="169" s="1"/>
  <c r="W25" i="184"/>
  <c r="W31" i="184" s="1"/>
  <c r="V25" i="184"/>
  <c r="V31" i="184" s="1"/>
  <c r="S60" i="25"/>
  <c r="AB29" i="25"/>
  <c r="AA28" i="25"/>
  <c r="AC28" i="25"/>
  <c r="T60" i="25"/>
  <c r="U60" i="25"/>
  <c r="V60" i="25"/>
  <c r="W60" i="25"/>
  <c r="X60" i="25"/>
  <c r="Y60" i="25"/>
  <c r="Z60" i="25"/>
  <c r="AA60" i="25"/>
  <c r="AB60" i="25"/>
  <c r="AC60" i="25"/>
  <c r="AD60" i="25"/>
  <c r="T29" i="25"/>
  <c r="U29" i="25"/>
  <c r="V29" i="25"/>
  <c r="W29" i="25"/>
  <c r="X29" i="25"/>
  <c r="Y29" i="25"/>
  <c r="Z29" i="25"/>
  <c r="AA29" i="25"/>
  <c r="AC29" i="25"/>
  <c r="AD29" i="25"/>
  <c r="S29" i="25"/>
  <c r="AK41" i="178"/>
  <c r="AC26" i="177"/>
  <c r="V59" i="177"/>
  <c r="V58" i="177" s="1"/>
  <c r="N23" i="175" s="1"/>
  <c r="V15" i="177"/>
  <c r="N18" i="175" s="1"/>
  <c r="V30" i="177"/>
  <c r="N19" i="175" s="1"/>
  <c r="N21" i="175"/>
  <c r="N11" i="175"/>
  <c r="N12" i="175"/>
  <c r="W41" i="178"/>
  <c r="N27" i="175" s="1"/>
  <c r="W8" i="178"/>
  <c r="N31" i="175" s="1"/>
  <c r="N32" i="175"/>
  <c r="W21" i="178"/>
  <c r="N33" i="175" s="1"/>
  <c r="W30" i="178"/>
  <c r="O11" i="175"/>
  <c r="O12" i="175"/>
  <c r="W15" i="177"/>
  <c r="W30" i="177"/>
  <c r="O19" i="175" s="1"/>
  <c r="O21" i="175"/>
  <c r="W58" i="177"/>
  <c r="O23" i="175" s="1"/>
  <c r="X41" i="178"/>
  <c r="O27" i="175" s="1"/>
  <c r="X8" i="178"/>
  <c r="O31" i="175" s="1"/>
  <c r="O32" i="175"/>
  <c r="X21" i="178"/>
  <c r="O33" i="175" s="1"/>
  <c r="X30" i="178"/>
  <c r="P11" i="175"/>
  <c r="P12" i="175"/>
  <c r="X15" i="177"/>
  <c r="P18" i="175" s="1"/>
  <c r="X30" i="177"/>
  <c r="P19" i="175" s="1"/>
  <c r="P21" i="175"/>
  <c r="X58" i="177"/>
  <c r="P23" i="175" s="1"/>
  <c r="Y41" i="178"/>
  <c r="P27" i="175" s="1"/>
  <c r="Y8" i="178"/>
  <c r="P32" i="175"/>
  <c r="Y21" i="178"/>
  <c r="P33" i="175" s="1"/>
  <c r="Y30" i="178"/>
  <c r="P34" i="175" s="1"/>
  <c r="Y28" i="177"/>
  <c r="Q21" i="175" s="1"/>
  <c r="Y15" i="177"/>
  <c r="Y30" i="177"/>
  <c r="Q19" i="175" s="1"/>
  <c r="Q20" i="175"/>
  <c r="Y58" i="177"/>
  <c r="Q23" i="175" s="1"/>
  <c r="Q11" i="175"/>
  <c r="Q12" i="175"/>
  <c r="Z41" i="178"/>
  <c r="Q27" i="175" s="1"/>
  <c r="Z8" i="178"/>
  <c r="Z17" i="178"/>
  <c r="Q32" i="175" s="1"/>
  <c r="Z21" i="178"/>
  <c r="Q33" i="175" s="1"/>
  <c r="Z30" i="178"/>
  <c r="Q34" i="175" s="1"/>
  <c r="Z28" i="177"/>
  <c r="R21" i="175" s="1"/>
  <c r="Z15" i="177"/>
  <c r="R18" i="175" s="1"/>
  <c r="Z30" i="177"/>
  <c r="R19" i="175" s="1"/>
  <c r="Z58" i="177"/>
  <c r="R23" i="175" s="1"/>
  <c r="R11" i="175"/>
  <c r="R12" i="175"/>
  <c r="AA42" i="178"/>
  <c r="AA43" i="178"/>
  <c r="AA44" i="178"/>
  <c r="AA45" i="178"/>
  <c r="AA8" i="178"/>
  <c r="R31" i="175" s="1"/>
  <c r="AA18" i="178"/>
  <c r="AA19" i="178"/>
  <c r="AA21" i="178"/>
  <c r="R33" i="175" s="1"/>
  <c r="AA34" i="178"/>
  <c r="AA32" i="178" s="1"/>
  <c r="AA30" i="178" s="1"/>
  <c r="R34" i="175" s="1"/>
  <c r="S11" i="175"/>
  <c r="S12" i="175"/>
  <c r="AA15" i="177"/>
  <c r="S18" i="175" s="1"/>
  <c r="AA30" i="177"/>
  <c r="S19" i="175" s="1"/>
  <c r="S21" i="175"/>
  <c r="AA58" i="177"/>
  <c r="S23" i="175" s="1"/>
  <c r="AB41" i="178"/>
  <c r="S27" i="175" s="1"/>
  <c r="AB8" i="178"/>
  <c r="S31" i="175" s="1"/>
  <c r="AB17" i="178"/>
  <c r="S32" i="175" s="1"/>
  <c r="AB21" i="178"/>
  <c r="S33" i="175" s="1"/>
  <c r="AB34" i="178"/>
  <c r="AB32" i="178" s="1"/>
  <c r="AB30" i="178" s="1"/>
  <c r="S34" i="175" s="1"/>
  <c r="T11" i="175"/>
  <c r="T12" i="175"/>
  <c r="AB15" i="177"/>
  <c r="T18" i="175" s="1"/>
  <c r="AB30" i="177"/>
  <c r="T19" i="175" s="1"/>
  <c r="T21" i="175"/>
  <c r="AB58" i="177"/>
  <c r="T23" i="175" s="1"/>
  <c r="AC41" i="178"/>
  <c r="T27" i="175" s="1"/>
  <c r="AC8" i="178"/>
  <c r="T31" i="175" s="1"/>
  <c r="AC17" i="178"/>
  <c r="T32" i="175" s="1"/>
  <c r="AC21" i="178"/>
  <c r="M11" i="175"/>
  <c r="M12" i="175"/>
  <c r="U15" i="177"/>
  <c r="M18" i="175" s="1"/>
  <c r="U30" i="177"/>
  <c r="M19" i="175" s="1"/>
  <c r="U43" i="177"/>
  <c r="M20" i="175" s="1"/>
  <c r="M21" i="175"/>
  <c r="U58" i="177"/>
  <c r="M23" i="175" s="1"/>
  <c r="V41" i="178"/>
  <c r="M27" i="175" s="1"/>
  <c r="V8" i="178"/>
  <c r="M32" i="175"/>
  <c r="V21" i="178"/>
  <c r="M33" i="175" s="1"/>
  <c r="V30" i="178"/>
  <c r="M34" i="175" s="1"/>
  <c r="B47" i="188"/>
  <c r="B46" i="188"/>
  <c r="B45" i="188"/>
  <c r="DF18" i="169"/>
  <c r="DF12" i="169"/>
  <c r="DF26" i="169"/>
  <c r="DC26" i="169"/>
  <c r="DD26" i="169"/>
  <c r="DD32" i="169"/>
  <c r="DE26" i="169"/>
  <c r="DC18" i="169"/>
  <c r="DC12" i="169"/>
  <c r="DE18" i="169"/>
  <c r="DD18" i="169"/>
  <c r="DD12" i="169"/>
  <c r="DA26" i="169"/>
  <c r="DA18" i="169"/>
  <c r="CX18" i="169"/>
  <c r="CY18" i="169"/>
  <c r="CZ18" i="169"/>
  <c r="DB8" i="169"/>
  <c r="DB9" i="169"/>
  <c r="DB10" i="169"/>
  <c r="CX12" i="169"/>
  <c r="CX26" i="169"/>
  <c r="CX32" i="169"/>
  <c r="CZ26" i="169"/>
  <c r="CZ12" i="169"/>
  <c r="CY26" i="169"/>
  <c r="CY12" i="169"/>
  <c r="DB30" i="169"/>
  <c r="DA29" i="169"/>
  <c r="DA32" i="169" s="1"/>
  <c r="DA34" i="169" s="1"/>
  <c r="AL41" i="178"/>
  <c r="AM48" i="178"/>
  <c r="AM10" i="178"/>
  <c r="AM11" i="178"/>
  <c r="AM13" i="178"/>
  <c r="AM14" i="178"/>
  <c r="AJ41" i="178"/>
  <c r="AM35" i="178"/>
  <c r="AJ35" i="178"/>
  <c r="AK12" i="178"/>
  <c r="AL12" i="178"/>
  <c r="AK9" i="178"/>
  <c r="AL9" i="178"/>
  <c r="AJ8" i="178"/>
  <c r="AM15" i="178"/>
  <c r="AM18" i="178"/>
  <c r="AM19" i="178"/>
  <c r="AM23" i="178"/>
  <c r="AM24" i="178"/>
  <c r="AM25" i="178"/>
  <c r="AM26" i="178"/>
  <c r="AM27" i="178"/>
  <c r="AM28" i="178"/>
  <c r="AM31" i="178"/>
  <c r="AM33" i="178"/>
  <c r="AM34" i="178"/>
  <c r="AM42" i="178"/>
  <c r="AM43" i="178"/>
  <c r="AM44" i="178"/>
  <c r="AM45" i="178"/>
  <c r="AJ21" i="178"/>
  <c r="AK21" i="178"/>
  <c r="AL21" i="178"/>
  <c r="AM21" i="178" s="1"/>
  <c r="AJ17" i="178"/>
  <c r="AK17" i="178"/>
  <c r="AL17" i="178"/>
  <c r="AA42" i="41"/>
  <c r="AA16" i="41"/>
  <c r="J36" i="225"/>
  <c r="I36" i="225"/>
  <c r="F36" i="225"/>
  <c r="E36" i="225"/>
  <c r="D36" i="225"/>
  <c r="C36" i="225"/>
  <c r="J17" i="225"/>
  <c r="I17" i="225"/>
  <c r="G17" i="225"/>
  <c r="F17" i="225"/>
  <c r="E17" i="225"/>
  <c r="D15" i="225"/>
  <c r="C15" i="225"/>
  <c r="D13" i="225"/>
  <c r="C13" i="225"/>
  <c r="D11" i="225"/>
  <c r="C11" i="225"/>
  <c r="D9" i="225"/>
  <c r="C9" i="225"/>
  <c r="C7" i="225"/>
  <c r="D7" i="225"/>
  <c r="AD59" i="25"/>
  <c r="AC59" i="25"/>
  <c r="AB59" i="25"/>
  <c r="AA59" i="25"/>
  <c r="Z59" i="25"/>
  <c r="Y59" i="25"/>
  <c r="X59" i="25"/>
  <c r="W59" i="25"/>
  <c r="V59" i="25"/>
  <c r="U59" i="25"/>
  <c r="T59" i="25"/>
  <c r="S59" i="25"/>
  <c r="R59" i="25"/>
  <c r="Q59" i="25"/>
  <c r="P59" i="25"/>
  <c r="O59" i="25"/>
  <c r="N59" i="25"/>
  <c r="M59" i="25"/>
  <c r="L59" i="25"/>
  <c r="K59" i="25"/>
  <c r="AD28" i="25"/>
  <c r="AB28" i="25"/>
  <c r="Z28" i="25"/>
  <c r="Y28" i="25"/>
  <c r="X28" i="25"/>
  <c r="W28" i="25"/>
  <c r="V28" i="25"/>
  <c r="U28" i="25"/>
  <c r="T28" i="25"/>
  <c r="S28" i="25"/>
  <c r="R28" i="25"/>
  <c r="Q28" i="25"/>
  <c r="P28" i="25"/>
  <c r="O28" i="25"/>
  <c r="N28" i="25"/>
  <c r="M28" i="25"/>
  <c r="L28" i="25"/>
  <c r="K28" i="25"/>
  <c r="AC25" i="184"/>
  <c r="AC31" i="184" s="1"/>
  <c r="AB25" i="184"/>
  <c r="AB31" i="184" s="1"/>
  <c r="AA25" i="184"/>
  <c r="AA31" i="184" s="1"/>
  <c r="X25" i="184"/>
  <c r="X31" i="184" s="1"/>
  <c r="U25" i="184"/>
  <c r="U31" i="184" s="1"/>
  <c r="T25" i="184"/>
  <c r="T31" i="184" s="1"/>
  <c r="S25" i="184"/>
  <c r="S31" i="184" s="1"/>
  <c r="R25" i="184"/>
  <c r="R31" i="184" s="1"/>
  <c r="Q25" i="184"/>
  <c r="Q31" i="184" s="1"/>
  <c r="P25" i="184"/>
  <c r="P31" i="184" s="1"/>
  <c r="O25" i="184"/>
  <c r="O31" i="184" s="1"/>
  <c r="N25" i="184"/>
  <c r="N31" i="184" s="1"/>
  <c r="M25" i="184"/>
  <c r="M31" i="184" s="1"/>
  <c r="S21" i="184"/>
  <c r="DG14" i="169"/>
  <c r="DG15" i="169"/>
  <c r="DG16" i="169"/>
  <c r="DE32" i="169"/>
  <c r="DF32" i="169"/>
  <c r="Q35" i="140"/>
  <c r="R36" i="140" s="1"/>
  <c r="P35" i="140"/>
  <c r="J53" i="276"/>
  <c r="I53" i="276"/>
  <c r="H53" i="276"/>
  <c r="G53" i="276"/>
  <c r="F53" i="276"/>
  <c r="E53" i="276"/>
  <c r="D53" i="276"/>
  <c r="C53" i="276"/>
  <c r="O46" i="276"/>
  <c r="N46" i="276"/>
  <c r="N53" i="276" s="1"/>
  <c r="M46" i="276"/>
  <c r="L46" i="276"/>
  <c r="K46" i="276"/>
  <c r="K47" i="276" s="1"/>
  <c r="AA44" i="276"/>
  <c r="Z44" i="276"/>
  <c r="Y44" i="276"/>
  <c r="X44" i="276"/>
  <c r="V44" i="276"/>
  <c r="AA42" i="276"/>
  <c r="Z42" i="276"/>
  <c r="Y42" i="276"/>
  <c r="X42" i="276"/>
  <c r="V42" i="276"/>
  <c r="AA40" i="276"/>
  <c r="Z40" i="276"/>
  <c r="Z38" i="276"/>
  <c r="Z32" i="276"/>
  <c r="Z30" i="276"/>
  <c r="Z28" i="276"/>
  <c r="Z26" i="276"/>
  <c r="AA26" i="276"/>
  <c r="Z24" i="276"/>
  <c r="Z22" i="276"/>
  <c r="Z18" i="276"/>
  <c r="AD18" i="276" s="1"/>
  <c r="AA18" i="276"/>
  <c r="Z16" i="276"/>
  <c r="AA16" i="276"/>
  <c r="Z14" i="276"/>
  <c r="AA14" i="276"/>
  <c r="Z12" i="276"/>
  <c r="AA12" i="276"/>
  <c r="Z10" i="276"/>
  <c r="Z8" i="276"/>
  <c r="AA8" i="276"/>
  <c r="Y40" i="276"/>
  <c r="X40" i="276"/>
  <c r="X38" i="276"/>
  <c r="V40" i="276"/>
  <c r="AA38" i="276"/>
  <c r="Y38" i="276"/>
  <c r="V38" i="276"/>
  <c r="V32" i="276"/>
  <c r="V30" i="276"/>
  <c r="V28" i="276"/>
  <c r="V26" i="276"/>
  <c r="V24" i="276"/>
  <c r="V22" i="276"/>
  <c r="V20" i="276"/>
  <c r="V18" i="276"/>
  <c r="V16" i="276"/>
  <c r="V14" i="276"/>
  <c r="V12" i="276"/>
  <c r="V10" i="276"/>
  <c r="V8" i="276"/>
  <c r="U36" i="276"/>
  <c r="U34" i="276" s="1"/>
  <c r="U46" i="276" s="1"/>
  <c r="W36" i="276"/>
  <c r="W34" i="276" s="1"/>
  <c r="W46" i="276" s="1"/>
  <c r="T36" i="276"/>
  <c r="T34" i="276" s="1"/>
  <c r="T46" i="276" s="1"/>
  <c r="S36" i="276"/>
  <c r="S34" i="276" s="1"/>
  <c r="S46" i="276" s="1"/>
  <c r="R36" i="276"/>
  <c r="R34" i="276" s="1"/>
  <c r="R46" i="276" s="1"/>
  <c r="Q36" i="276"/>
  <c r="Q34" i="276" s="1"/>
  <c r="Q46" i="276" s="1"/>
  <c r="P36" i="276"/>
  <c r="P34" i="276" s="1"/>
  <c r="P46" i="276" s="1"/>
  <c r="AA32" i="276"/>
  <c r="X32" i="276"/>
  <c r="AA30" i="276"/>
  <c r="Y30" i="276"/>
  <c r="X30" i="276"/>
  <c r="AA28" i="276"/>
  <c r="Y26" i="276"/>
  <c r="X26" i="276"/>
  <c r="AA24" i="276"/>
  <c r="AB24" i="276" s="1"/>
  <c r="Y24" i="276"/>
  <c r="AA22" i="276"/>
  <c r="AB22" i="276" s="1"/>
  <c r="Y22" i="276"/>
  <c r="X22" i="276"/>
  <c r="AA20" i="276"/>
  <c r="Y20" i="276"/>
  <c r="X20" i="276"/>
  <c r="Y18" i="276"/>
  <c r="X18" i="276"/>
  <c r="Y16" i="276"/>
  <c r="X16" i="276"/>
  <c r="Y14" i="276"/>
  <c r="X14" i="276"/>
  <c r="Y12" i="276"/>
  <c r="AA10" i="276"/>
  <c r="Y10" i="276"/>
  <c r="Y8" i="276"/>
  <c r="V36" i="247"/>
  <c r="AF17" i="247"/>
  <c r="AA14" i="247"/>
  <c r="AA9" i="247"/>
  <c r="AA10" i="247"/>
  <c r="AA11" i="247"/>
  <c r="AA12" i="247"/>
  <c r="AA13" i="247"/>
  <c r="V18" i="247"/>
  <c r="V14" i="247"/>
  <c r="V15" i="247"/>
  <c r="V17" i="247"/>
  <c r="L15" i="251"/>
  <c r="M15" i="251" s="1"/>
  <c r="AF14" i="247"/>
  <c r="AE19" i="247"/>
  <c r="AF9" i="247"/>
  <c r="AF10" i="247"/>
  <c r="AF11" i="247"/>
  <c r="AF12" i="247"/>
  <c r="AF13" i="247"/>
  <c r="AF7" i="247"/>
  <c r="AF29" i="247"/>
  <c r="AF31" i="247"/>
  <c r="AF32" i="247"/>
  <c r="AF33" i="247"/>
  <c r="AF34" i="247"/>
  <c r="AF35" i="247"/>
  <c r="AF36" i="247"/>
  <c r="AF37" i="247"/>
  <c r="AF40" i="247"/>
  <c r="X21" i="168"/>
  <c r="X20" i="168" s="1"/>
  <c r="AK23" i="147"/>
  <c r="W14" i="170"/>
  <c r="CY32" i="169"/>
  <c r="CZ32" i="169"/>
  <c r="Z14" i="41"/>
  <c r="Z11" i="41"/>
  <c r="Z8" i="41"/>
  <c r="Z42" i="41"/>
  <c r="J32" i="175"/>
  <c r="K32" i="175"/>
  <c r="L32" i="175"/>
  <c r="J21" i="175"/>
  <c r="K21" i="175"/>
  <c r="L21" i="175"/>
  <c r="J12" i="175"/>
  <c r="K12" i="175"/>
  <c r="L12" i="175"/>
  <c r="J11" i="175"/>
  <c r="K11" i="175"/>
  <c r="L11" i="175"/>
  <c r="H69" i="191"/>
  <c r="G69" i="191"/>
  <c r="AF18" i="247"/>
  <c r="AD10" i="170"/>
  <c r="AD28" i="170" s="1"/>
  <c r="DB22" i="169"/>
  <c r="DB23" i="169"/>
  <c r="DB24" i="169"/>
  <c r="DB28" i="169"/>
  <c r="DB14" i="169"/>
  <c r="DB15" i="169"/>
  <c r="DB16" i="169"/>
  <c r="CR8" i="169"/>
  <c r="AC48" i="178"/>
  <c r="AB48" i="178"/>
  <c r="Y48" i="178"/>
  <c r="E173" i="268"/>
  <c r="E164" i="268"/>
  <c r="D173" i="268"/>
  <c r="E172" i="268"/>
  <c r="E163" i="268"/>
  <c r="D172" i="268"/>
  <c r="D163" i="268"/>
  <c r="E171" i="268"/>
  <c r="E162" i="268"/>
  <c r="D171" i="268"/>
  <c r="D162" i="268"/>
  <c r="D164" i="268"/>
  <c r="E47" i="268"/>
  <c r="E23" i="268"/>
  <c r="D47" i="268"/>
  <c r="D23" i="268"/>
  <c r="E22" i="268"/>
  <c r="E70" i="268" s="1"/>
  <c r="D22" i="268"/>
  <c r="D70" i="268" s="1"/>
  <c r="E21" i="268"/>
  <c r="E69" i="268" s="1"/>
  <c r="D21" i="268"/>
  <c r="D69" i="268" s="1"/>
  <c r="X27" i="247"/>
  <c r="Y27" i="247"/>
  <c r="Z27" i="247"/>
  <c r="AA27" i="247"/>
  <c r="W27" i="247"/>
  <c r="B31" i="247"/>
  <c r="Y42" i="41"/>
  <c r="Y14" i="41"/>
  <c r="Y11" i="41"/>
  <c r="Y8" i="41"/>
  <c r="AL52" i="147"/>
  <c r="AN53" i="147" s="1"/>
  <c r="F8" i="265"/>
  <c r="I8" i="265"/>
  <c r="F10" i="265"/>
  <c r="I10" i="265"/>
  <c r="F12" i="265"/>
  <c r="I12" i="265"/>
  <c r="F14" i="265"/>
  <c r="I14" i="265"/>
  <c r="F16" i="265"/>
  <c r="I16" i="265"/>
  <c r="F18" i="265"/>
  <c r="I18" i="265"/>
  <c r="F20" i="265"/>
  <c r="I20" i="265"/>
  <c r="F22" i="265"/>
  <c r="I22" i="265"/>
  <c r="F24" i="265"/>
  <c r="I24" i="265"/>
  <c r="F26" i="265"/>
  <c r="I26" i="265"/>
  <c r="F28" i="265"/>
  <c r="I28" i="265"/>
  <c r="F30" i="265"/>
  <c r="I30" i="265"/>
  <c r="F32" i="265"/>
  <c r="I32" i="265"/>
  <c r="F34" i="265"/>
  <c r="I34" i="265"/>
  <c r="F36" i="265"/>
  <c r="I36" i="265"/>
  <c r="D38" i="265"/>
  <c r="G38" i="265"/>
  <c r="F40" i="265"/>
  <c r="I40" i="265"/>
  <c r="F42" i="265"/>
  <c r="I42" i="265"/>
  <c r="F44" i="265"/>
  <c r="I44" i="265"/>
  <c r="F46" i="265"/>
  <c r="I46" i="265"/>
  <c r="F48" i="265"/>
  <c r="I48" i="265"/>
  <c r="F50" i="265"/>
  <c r="I50" i="265"/>
  <c r="F52" i="265"/>
  <c r="I52" i="265"/>
  <c r="F8" i="264"/>
  <c r="I8" i="264"/>
  <c r="F10" i="264"/>
  <c r="I10" i="264"/>
  <c r="F12" i="264"/>
  <c r="I12" i="264"/>
  <c r="F14" i="264"/>
  <c r="F16" i="264"/>
  <c r="F18" i="264"/>
  <c r="F20" i="264"/>
  <c r="F22" i="264"/>
  <c r="F24" i="264"/>
  <c r="F26" i="264"/>
  <c r="F28" i="264"/>
  <c r="F30" i="264"/>
  <c r="F32" i="264"/>
  <c r="D36" i="264"/>
  <c r="F38" i="264"/>
  <c r="F40" i="264"/>
  <c r="F42" i="264"/>
  <c r="F44" i="264"/>
  <c r="F46" i="264"/>
  <c r="F48" i="264"/>
  <c r="F50" i="264"/>
  <c r="F52" i="264"/>
  <c r="P22" i="261"/>
  <c r="Z39" i="247"/>
  <c r="Z30" i="247" s="1"/>
  <c r="Z41" i="247" s="1"/>
  <c r="U30" i="247"/>
  <c r="U41" i="247" s="1"/>
  <c r="T30" i="247"/>
  <c r="T41" i="247" s="1"/>
  <c r="S30" i="247"/>
  <c r="S41" i="247" s="1"/>
  <c r="R30" i="247"/>
  <c r="R41" i="247" s="1"/>
  <c r="V35" i="247"/>
  <c r="V33" i="247"/>
  <c r="V32" i="247"/>
  <c r="V31" i="247"/>
  <c r="Z8" i="247"/>
  <c r="Z19" i="247" s="1"/>
  <c r="Y8" i="247"/>
  <c r="Y19" i="247" s="1"/>
  <c r="X8" i="247"/>
  <c r="X19" i="247" s="1"/>
  <c r="W8" i="247"/>
  <c r="W19" i="247" s="1"/>
  <c r="U8" i="247"/>
  <c r="U19" i="247" s="1"/>
  <c r="T8" i="247"/>
  <c r="T19" i="247" s="1"/>
  <c r="S8" i="247"/>
  <c r="S19" i="247" s="1"/>
  <c r="R8" i="247"/>
  <c r="R19" i="247" s="1"/>
  <c r="AC28" i="170"/>
  <c r="CW32" i="169"/>
  <c r="CW26" i="169"/>
  <c r="CW12" i="169"/>
  <c r="CW18" i="169"/>
  <c r="CV32" i="169"/>
  <c r="CV26" i="169"/>
  <c r="CU32" i="169"/>
  <c r="CU26" i="169"/>
  <c r="CT32" i="169"/>
  <c r="CS32" i="169"/>
  <c r="CS26" i="169"/>
  <c r="CT26" i="169"/>
  <c r="CV18" i="169"/>
  <c r="CV12" i="169"/>
  <c r="CU18" i="169"/>
  <c r="CU12" i="169"/>
  <c r="CT18" i="169"/>
  <c r="CT12" i="169"/>
  <c r="CT20" i="169" s="1"/>
  <c r="CS18" i="169"/>
  <c r="CS12" i="169"/>
  <c r="U41" i="178"/>
  <c r="L27" i="175" s="1"/>
  <c r="T41" i="178"/>
  <c r="K27" i="175" s="1"/>
  <c r="S41" i="178"/>
  <c r="J27" i="175" s="1"/>
  <c r="S8" i="178"/>
  <c r="J31" i="175" s="1"/>
  <c r="S21" i="178"/>
  <c r="S30" i="178"/>
  <c r="J34" i="175" s="1"/>
  <c r="R41" i="178"/>
  <c r="I27" i="175" s="1"/>
  <c r="Q41" i="178"/>
  <c r="H27" i="175" s="1"/>
  <c r="P41" i="178"/>
  <c r="G27" i="175" s="1"/>
  <c r="E41" i="176"/>
  <c r="E9" i="176" s="1"/>
  <c r="O41" i="178"/>
  <c r="F27" i="175" s="1"/>
  <c r="D41" i="176"/>
  <c r="D9" i="176" s="1"/>
  <c r="N41" i="178"/>
  <c r="M41" i="178"/>
  <c r="N32" i="178"/>
  <c r="N30" i="178" s="1"/>
  <c r="M32" i="178"/>
  <c r="M30" i="178" s="1"/>
  <c r="M21" i="178"/>
  <c r="M17" i="178"/>
  <c r="M8" i="178"/>
  <c r="U30" i="178"/>
  <c r="U21" i="178"/>
  <c r="L33" i="175" s="1"/>
  <c r="U8" i="178"/>
  <c r="L31" i="175" s="1"/>
  <c r="T30" i="178"/>
  <c r="R30" i="178"/>
  <c r="Q30" i="178"/>
  <c r="P30" i="178"/>
  <c r="O30" i="178"/>
  <c r="O8" i="178"/>
  <c r="F31" i="175" s="1"/>
  <c r="F32" i="175"/>
  <c r="O21" i="178"/>
  <c r="F33" i="175" s="1"/>
  <c r="N28" i="178"/>
  <c r="N21" i="178" s="1"/>
  <c r="N17" i="178"/>
  <c r="N8" i="178"/>
  <c r="T21" i="178"/>
  <c r="K33" i="175" s="1"/>
  <c r="T8" i="178"/>
  <c r="K31" i="175" s="1"/>
  <c r="R21" i="178"/>
  <c r="I33" i="175" s="1"/>
  <c r="Q21" i="178"/>
  <c r="H33" i="175" s="1"/>
  <c r="P21" i="178"/>
  <c r="G33" i="175" s="1"/>
  <c r="R8" i="178"/>
  <c r="I31" i="175" s="1"/>
  <c r="G41" i="176"/>
  <c r="G9" i="176" s="1"/>
  <c r="I11" i="175"/>
  <c r="Q8" i="178"/>
  <c r="H31" i="175" s="1"/>
  <c r="H32" i="175"/>
  <c r="P8" i="178"/>
  <c r="G31" i="175" s="1"/>
  <c r="V72" i="177"/>
  <c r="T58" i="177"/>
  <c r="L23" i="175" s="1"/>
  <c r="S58" i="177"/>
  <c r="K23" i="175" s="1"/>
  <c r="R58" i="177"/>
  <c r="J23" i="175" s="1"/>
  <c r="Q58" i="177"/>
  <c r="I23" i="175" s="1"/>
  <c r="P58" i="177"/>
  <c r="H23" i="175" s="1"/>
  <c r="O58" i="177"/>
  <c r="G23" i="175" s="1"/>
  <c r="N58" i="177"/>
  <c r="F23" i="175" s="1"/>
  <c r="M58" i="177"/>
  <c r="T43" i="177"/>
  <c r="L20" i="175" s="1"/>
  <c r="T15" i="177"/>
  <c r="T30" i="177"/>
  <c r="L19" i="175" s="1"/>
  <c r="S43" i="177"/>
  <c r="K20" i="175" s="1"/>
  <c r="R43" i="177"/>
  <c r="J20" i="175" s="1"/>
  <c r="Q43" i="177"/>
  <c r="I20" i="175" s="1"/>
  <c r="P43" i="177"/>
  <c r="H20" i="175" s="1"/>
  <c r="O43" i="177"/>
  <c r="G20" i="175" s="1"/>
  <c r="N43" i="177"/>
  <c r="F20" i="175" s="1"/>
  <c r="N15" i="177"/>
  <c r="F18" i="175" s="1"/>
  <c r="N30" i="177"/>
  <c r="M43" i="177"/>
  <c r="S30" i="177"/>
  <c r="R30" i="177"/>
  <c r="J19" i="175" s="1"/>
  <c r="Q30" i="177"/>
  <c r="I19" i="175" s="1"/>
  <c r="P30" i="177"/>
  <c r="O30" i="177"/>
  <c r="G19" i="175" s="1"/>
  <c r="M30" i="177"/>
  <c r="S15" i="177"/>
  <c r="K18" i="175" s="1"/>
  <c r="R15" i="177"/>
  <c r="Q15" i="177"/>
  <c r="P15" i="177"/>
  <c r="H18" i="175" s="1"/>
  <c r="H21" i="175"/>
  <c r="O15" i="177"/>
  <c r="M15" i="177"/>
  <c r="C41" i="176"/>
  <c r="E25" i="175"/>
  <c r="D38" i="175"/>
  <c r="E34" i="175"/>
  <c r="E33" i="175"/>
  <c r="I32" i="175"/>
  <c r="G32" i="175"/>
  <c r="E32" i="175"/>
  <c r="E31" i="175"/>
  <c r="E27" i="175"/>
  <c r="E23" i="175"/>
  <c r="D23" i="175"/>
  <c r="I21" i="175"/>
  <c r="G21" i="175"/>
  <c r="F21" i="175"/>
  <c r="E20" i="175"/>
  <c r="E19" i="175"/>
  <c r="C18" i="176" s="1"/>
  <c r="E18" i="175"/>
  <c r="E16" i="175"/>
  <c r="E14" i="175" s="1"/>
  <c r="D16" i="175"/>
  <c r="D21" i="175" s="1"/>
  <c r="D14" i="175"/>
  <c r="I12" i="175"/>
  <c r="H12" i="175"/>
  <c r="G12" i="175"/>
  <c r="F12" i="175"/>
  <c r="E12" i="175"/>
  <c r="H11" i="175"/>
  <c r="G11" i="175"/>
  <c r="F11" i="175"/>
  <c r="E11" i="175"/>
  <c r="D9" i="175"/>
  <c r="X42" i="41"/>
  <c r="W42" i="41"/>
  <c r="V42" i="41"/>
  <c r="U42" i="41"/>
  <c r="T42" i="41"/>
  <c r="S42" i="41"/>
  <c r="R42" i="41"/>
  <c r="Q42" i="41"/>
  <c r="P42" i="41"/>
  <c r="O42" i="41"/>
  <c r="N42" i="41"/>
  <c r="M42" i="41"/>
  <c r="L42" i="41"/>
  <c r="K42" i="41"/>
  <c r="Q29" i="41"/>
  <c r="P29" i="41"/>
  <c r="O29" i="41"/>
  <c r="N29" i="41"/>
  <c r="M29" i="41"/>
  <c r="L29" i="41"/>
  <c r="K29" i="41"/>
  <c r="X14" i="41"/>
  <c r="X11" i="41"/>
  <c r="X8" i="41"/>
  <c r="W14" i="41"/>
  <c r="V14" i="41"/>
  <c r="U14" i="41"/>
  <c r="U11" i="41"/>
  <c r="U8" i="41"/>
  <c r="T14" i="41"/>
  <c r="S14" i="41"/>
  <c r="R14" i="41"/>
  <c r="Q14" i="41"/>
  <c r="P14" i="41"/>
  <c r="O14" i="41"/>
  <c r="N14" i="41"/>
  <c r="N11" i="41"/>
  <c r="N8" i="41"/>
  <c r="M14" i="41"/>
  <c r="L14" i="41"/>
  <c r="L11" i="41"/>
  <c r="L8" i="41"/>
  <c r="K14" i="41"/>
  <c r="W11" i="41"/>
  <c r="W8" i="41"/>
  <c r="V11" i="41"/>
  <c r="T11" i="41"/>
  <c r="T8" i="41"/>
  <c r="S11" i="41"/>
  <c r="S8" i="41"/>
  <c r="R11" i="41"/>
  <c r="Q11" i="41"/>
  <c r="Q8" i="41"/>
  <c r="P11" i="41"/>
  <c r="P8" i="41"/>
  <c r="O11" i="41"/>
  <c r="M11" i="41"/>
  <c r="K11" i="41"/>
  <c r="V8" i="41"/>
  <c r="R8" i="41"/>
  <c r="O8" i="41"/>
  <c r="M8" i="41"/>
  <c r="K8" i="41"/>
  <c r="O35" i="140"/>
  <c r="N35" i="140"/>
  <c r="H35" i="140"/>
  <c r="C42" i="251"/>
  <c r="I40" i="251"/>
  <c r="J40" i="251"/>
  <c r="H40" i="251"/>
  <c r="F40" i="251"/>
  <c r="D40" i="251"/>
  <c r="E40" i="251"/>
  <c r="G40" i="251"/>
  <c r="E24" i="251"/>
  <c r="L12" i="251"/>
  <c r="L11" i="251"/>
  <c r="M11" i="251" s="1"/>
  <c r="L10" i="251"/>
  <c r="L9" i="251"/>
  <c r="L8" i="251"/>
  <c r="L7" i="251"/>
  <c r="R78" i="251"/>
  <c r="R77" i="251"/>
  <c r="R76" i="251"/>
  <c r="R75" i="251"/>
  <c r="R74" i="251"/>
  <c r="Q73" i="251"/>
  <c r="Q72" i="251"/>
  <c r="B79" i="191"/>
  <c r="J67" i="191"/>
  <c r="G65" i="191"/>
  <c r="F65" i="191"/>
  <c r="H65" i="191" s="1"/>
  <c r="J66" i="191" s="1"/>
  <c r="H64" i="191"/>
  <c r="G64" i="191"/>
  <c r="G63" i="191"/>
  <c r="H63" i="191"/>
  <c r="F63" i="191"/>
  <c r="E63" i="191"/>
  <c r="H62" i="191"/>
  <c r="G62" i="191"/>
  <c r="G61" i="191"/>
  <c r="F62" i="191"/>
  <c r="E62" i="191"/>
  <c r="E61" i="191"/>
  <c r="H61" i="191" s="1"/>
  <c r="H60" i="191"/>
  <c r="H59" i="191"/>
  <c r="G60" i="191"/>
  <c r="G59" i="191"/>
  <c r="H58" i="191"/>
  <c r="G58" i="191"/>
  <c r="G57" i="191"/>
  <c r="H57" i="191"/>
  <c r="G56" i="191"/>
  <c r="H56" i="191"/>
  <c r="H55" i="191"/>
  <c r="G55" i="191"/>
  <c r="H26" i="191"/>
  <c r="F26" i="191"/>
  <c r="H25" i="191"/>
  <c r="F25" i="191"/>
  <c r="H24" i="191"/>
  <c r="F24" i="191"/>
  <c r="H23" i="191"/>
  <c r="F23" i="191"/>
  <c r="H22" i="191"/>
  <c r="F22" i="191"/>
  <c r="M9" i="191"/>
  <c r="L9" i="191"/>
  <c r="K9" i="191"/>
  <c r="J9" i="191"/>
  <c r="I9" i="191"/>
  <c r="H9" i="191"/>
  <c r="G9" i="191"/>
  <c r="M7" i="191"/>
  <c r="M6" i="191"/>
  <c r="L7" i="191"/>
  <c r="L6" i="191"/>
  <c r="K7" i="191"/>
  <c r="J7" i="191"/>
  <c r="I7" i="191"/>
  <c r="H7" i="191"/>
  <c r="G7" i="191"/>
  <c r="K6" i="191"/>
  <c r="J6" i="191"/>
  <c r="I6" i="191"/>
  <c r="H6" i="191"/>
  <c r="G6" i="191"/>
  <c r="B108" i="147"/>
  <c r="AB103" i="147"/>
  <c r="AA103" i="147"/>
  <c r="Z103" i="147"/>
  <c r="Y103" i="147"/>
  <c r="W103" i="147"/>
  <c r="X103" i="147"/>
  <c r="V103" i="147"/>
  <c r="T103" i="147"/>
  <c r="U103" i="147"/>
  <c r="R103" i="147"/>
  <c r="S103" i="147"/>
  <c r="Q103" i="147"/>
  <c r="P103" i="147"/>
  <c r="O103" i="147"/>
  <c r="P67" i="147"/>
  <c r="O67" i="147"/>
  <c r="O68" i="147" s="1"/>
  <c r="AJ52" i="147"/>
  <c r="AI52" i="147"/>
  <c r="AI53" i="147" s="1"/>
  <c r="AH52" i="147"/>
  <c r="AH53" i="147" s="1"/>
  <c r="AG52" i="147"/>
  <c r="AG53" i="147" s="1"/>
  <c r="AB52" i="147"/>
  <c r="AA52" i="147"/>
  <c r="Z52" i="147"/>
  <c r="X52" i="147"/>
  <c r="Y52" i="147"/>
  <c r="W52" i="147"/>
  <c r="U52" i="147"/>
  <c r="Q64" i="147" s="1"/>
  <c r="V52" i="147"/>
  <c r="T52" i="147"/>
  <c r="S52" i="147"/>
  <c r="R52" i="147"/>
  <c r="Q52" i="147"/>
  <c r="P52" i="147"/>
  <c r="O52" i="147"/>
  <c r="N52" i="147"/>
  <c r="M52" i="147"/>
  <c r="L52" i="147"/>
  <c r="K52" i="147"/>
  <c r="J52" i="147"/>
  <c r="I52" i="147"/>
  <c r="AJ23" i="147"/>
  <c r="AL24" i="147" s="1"/>
  <c r="AI23" i="147"/>
  <c r="AH23" i="147"/>
  <c r="AG23" i="147"/>
  <c r="AB23" i="147"/>
  <c r="AD24" i="147" s="1"/>
  <c r="Z23" i="147"/>
  <c r="AA23" i="147"/>
  <c r="Y23" i="147"/>
  <c r="X23" i="147"/>
  <c r="W23" i="147"/>
  <c r="U23" i="147"/>
  <c r="Q66" i="147" s="1"/>
  <c r="V23" i="147"/>
  <c r="T23" i="147"/>
  <c r="S23" i="147"/>
  <c r="R23" i="147"/>
  <c r="Q23" i="147"/>
  <c r="P23" i="147"/>
  <c r="O23" i="147"/>
  <c r="M23" i="147"/>
  <c r="N23" i="147"/>
  <c r="K23" i="147"/>
  <c r="L23" i="147"/>
  <c r="J23" i="147"/>
  <c r="I23" i="147"/>
  <c r="B42" i="247"/>
  <c r="AA35" i="247"/>
  <c r="AA34" i="247"/>
  <c r="AA31" i="247"/>
  <c r="AA32" i="247"/>
  <c r="AA33" i="247"/>
  <c r="AA29" i="247"/>
  <c r="L34" i="247"/>
  <c r="G34" i="247"/>
  <c r="Q33" i="247"/>
  <c r="L33" i="247"/>
  <c r="G33" i="247"/>
  <c r="Q32" i="247"/>
  <c r="L32" i="247"/>
  <c r="G32" i="247"/>
  <c r="G31" i="247"/>
  <c r="G29" i="247"/>
  <c r="Q31" i="247"/>
  <c r="L31" i="247"/>
  <c r="P30" i="247"/>
  <c r="P41" i="247" s="1"/>
  <c r="O30" i="247"/>
  <c r="O41" i="247" s="1"/>
  <c r="N30" i="247"/>
  <c r="N41" i="247" s="1"/>
  <c r="M30" i="247"/>
  <c r="K30" i="247"/>
  <c r="K41" i="247" s="1"/>
  <c r="H30" i="247"/>
  <c r="H41" i="247" s="1"/>
  <c r="I30" i="247"/>
  <c r="I41" i="247" s="1"/>
  <c r="J30" i="247"/>
  <c r="J41" i="247" s="1"/>
  <c r="F30" i="247"/>
  <c r="F41" i="247" s="1"/>
  <c r="E30" i="247"/>
  <c r="E41" i="247" s="1"/>
  <c r="D30" i="247"/>
  <c r="D41" i="247" s="1"/>
  <c r="C30" i="247"/>
  <c r="C41" i="247" s="1"/>
  <c r="V29" i="247"/>
  <c r="Q29" i="247"/>
  <c r="L29" i="247"/>
  <c r="V13" i="247"/>
  <c r="V12" i="247"/>
  <c r="Q12" i="247"/>
  <c r="L12" i="247"/>
  <c r="G12" i="247"/>
  <c r="V11" i="247"/>
  <c r="Q11" i="247"/>
  <c r="L11" i="247"/>
  <c r="L9" i="247"/>
  <c r="L10" i="247"/>
  <c r="G11" i="247"/>
  <c r="V10" i="247"/>
  <c r="Q10" i="247"/>
  <c r="G10" i="247"/>
  <c r="V9" i="247"/>
  <c r="Q9" i="247"/>
  <c r="G9" i="247"/>
  <c r="P8" i="247"/>
  <c r="P19" i="247" s="1"/>
  <c r="O8" i="247"/>
  <c r="O19" i="247" s="1"/>
  <c r="N8" i="247"/>
  <c r="N19" i="247" s="1"/>
  <c r="M8" i="247"/>
  <c r="K8" i="247"/>
  <c r="K19" i="247" s="1"/>
  <c r="J8" i="247"/>
  <c r="J19" i="247" s="1"/>
  <c r="I8" i="247"/>
  <c r="I19" i="247" s="1"/>
  <c r="H8" i="247"/>
  <c r="H19" i="247" s="1"/>
  <c r="F8" i="247"/>
  <c r="F19" i="247" s="1"/>
  <c r="E8" i="247"/>
  <c r="E19" i="247" s="1"/>
  <c r="D8" i="247"/>
  <c r="D19" i="247" s="1"/>
  <c r="C8" i="247"/>
  <c r="C19" i="247" s="1"/>
  <c r="AA7" i="247"/>
  <c r="V7" i="247"/>
  <c r="Q7" i="247"/>
  <c r="L7" i="247"/>
  <c r="G7" i="247"/>
  <c r="S28" i="170"/>
  <c r="Q28" i="170"/>
  <c r="W26" i="170"/>
  <c r="Y24" i="170"/>
  <c r="Y20" i="170" s="1"/>
  <c r="Y10" i="170"/>
  <c r="T24" i="170"/>
  <c r="T22" i="170"/>
  <c r="W20" i="170"/>
  <c r="W18" i="170"/>
  <c r="W16" i="170"/>
  <c r="W12" i="170"/>
  <c r="W6" i="170"/>
  <c r="W8" i="170"/>
  <c r="AA10" i="170"/>
  <c r="AA28" i="170" s="1"/>
  <c r="Z10" i="170"/>
  <c r="Z28" i="170" s="1"/>
  <c r="X10" i="170"/>
  <c r="X28" i="170" s="1"/>
  <c r="V10" i="170"/>
  <c r="V28" i="170" s="1"/>
  <c r="U10" i="170"/>
  <c r="U28" i="170" s="1"/>
  <c r="T10" i="170"/>
  <c r="T8" i="170"/>
  <c r="T6" i="170"/>
  <c r="R10" i="170"/>
  <c r="R28" i="170" s="1"/>
  <c r="P10" i="170"/>
  <c r="P28" i="170" s="1"/>
  <c r="CN32" i="169"/>
  <c r="CN26" i="169"/>
  <c r="CL32" i="169"/>
  <c r="CK32" i="169"/>
  <c r="CK26" i="169"/>
  <c r="CJ32" i="169"/>
  <c r="CI32" i="169"/>
  <c r="CI26" i="169"/>
  <c r="CI12" i="169"/>
  <c r="CI18" i="169"/>
  <c r="CG32" i="169"/>
  <c r="CG26" i="169"/>
  <c r="CG12" i="169"/>
  <c r="CG18" i="169"/>
  <c r="CF32" i="169"/>
  <c r="CE32" i="169"/>
  <c r="CD32" i="169"/>
  <c r="CD26" i="169"/>
  <c r="CC32" i="169"/>
  <c r="CB32" i="169"/>
  <c r="BZ32" i="169"/>
  <c r="BY32" i="169"/>
  <c r="BY26" i="169"/>
  <c r="BX32" i="169"/>
  <c r="BW32" i="169"/>
  <c r="BV32" i="169"/>
  <c r="BU32" i="169"/>
  <c r="BU26" i="169"/>
  <c r="BS32" i="169"/>
  <c r="BR32" i="169"/>
  <c r="BQ32" i="169"/>
  <c r="BP32" i="169"/>
  <c r="BP26" i="169"/>
  <c r="BN32" i="169"/>
  <c r="BM32" i="169"/>
  <c r="BM26" i="169"/>
  <c r="BL32" i="169"/>
  <c r="BL26" i="169"/>
  <c r="BK32" i="169"/>
  <c r="BI32" i="169"/>
  <c r="BH32" i="169"/>
  <c r="BG32" i="169"/>
  <c r="BF32" i="169"/>
  <c r="BF12" i="169"/>
  <c r="BF18" i="169"/>
  <c r="BF26" i="169"/>
  <c r="CR30" i="169"/>
  <c r="CM30" i="169"/>
  <c r="CH30" i="169"/>
  <c r="CA30" i="169"/>
  <c r="CA28" i="169"/>
  <c r="CA29" i="169"/>
  <c r="CA22" i="169"/>
  <c r="CA23" i="169"/>
  <c r="CA24" i="169"/>
  <c r="BT30" i="169"/>
  <c r="BO30" i="169"/>
  <c r="BJ30" i="169"/>
  <c r="BJ28" i="169"/>
  <c r="BJ29" i="169"/>
  <c r="CR29" i="169"/>
  <c r="CM29" i="169"/>
  <c r="CH29" i="169"/>
  <c r="CH28" i="169"/>
  <c r="BT29" i="169"/>
  <c r="BT28" i="169"/>
  <c r="BO29" i="169"/>
  <c r="CR28" i="169"/>
  <c r="CM28" i="169"/>
  <c r="BO28" i="169"/>
  <c r="CL26" i="169"/>
  <c r="CJ26" i="169"/>
  <c r="CJ34" i="169" s="1"/>
  <c r="CJ12" i="169"/>
  <c r="CJ18" i="169"/>
  <c r="CF26" i="169"/>
  <c r="CE26" i="169"/>
  <c r="CC26" i="169"/>
  <c r="CB26" i="169"/>
  <c r="BZ26" i="169"/>
  <c r="BX26" i="169"/>
  <c r="BW26" i="169"/>
  <c r="BW34" i="169" s="1"/>
  <c r="BV26" i="169"/>
  <c r="BV34" i="169" s="1"/>
  <c r="BS26" i="169"/>
  <c r="BR26" i="169"/>
  <c r="BQ26" i="169"/>
  <c r="BN26" i="169"/>
  <c r="BK26" i="169"/>
  <c r="BK34" i="169" s="1"/>
  <c r="BI26" i="169"/>
  <c r="BI34" i="169" s="1"/>
  <c r="BH26" i="169"/>
  <c r="BH34" i="169" s="1"/>
  <c r="BG26" i="169"/>
  <c r="CR24" i="169"/>
  <c r="CM24" i="169"/>
  <c r="CH24" i="169"/>
  <c r="BT24" i="169"/>
  <c r="BO24" i="169"/>
  <c r="BJ24" i="169"/>
  <c r="CR23" i="169"/>
  <c r="CM23" i="169"/>
  <c r="CH23" i="169"/>
  <c r="BT23" i="169"/>
  <c r="BO23" i="169"/>
  <c r="BJ23" i="169"/>
  <c r="CR22" i="169"/>
  <c r="CM22" i="169"/>
  <c r="CH22" i="169"/>
  <c r="BT22" i="169"/>
  <c r="BO22" i="169"/>
  <c r="BJ22" i="169"/>
  <c r="CN18" i="169"/>
  <c r="CL18" i="169"/>
  <c r="CK18" i="169"/>
  <c r="CF18" i="169"/>
  <c r="CE18" i="169"/>
  <c r="CE12" i="169"/>
  <c r="CD18" i="169"/>
  <c r="CD12" i="169"/>
  <c r="CC18" i="169"/>
  <c r="CB18" i="169"/>
  <c r="CB12" i="169"/>
  <c r="BZ18" i="169"/>
  <c r="BZ20" i="169" s="1"/>
  <c r="BZ12" i="169"/>
  <c r="BY18" i="169"/>
  <c r="BX18" i="169"/>
  <c r="BX12" i="169"/>
  <c r="BW18" i="169"/>
  <c r="BW12" i="169"/>
  <c r="BV18" i="169"/>
  <c r="BV12" i="169"/>
  <c r="BU18" i="169"/>
  <c r="BU12" i="169"/>
  <c r="BS18" i="169"/>
  <c r="BR18" i="169"/>
  <c r="BQ18" i="169"/>
  <c r="BQ12" i="169"/>
  <c r="BP18" i="169"/>
  <c r="BP12" i="169"/>
  <c r="BM18" i="169"/>
  <c r="BM12" i="169"/>
  <c r="BI18" i="169"/>
  <c r="BH18" i="169"/>
  <c r="BH12" i="169"/>
  <c r="BG18" i="169"/>
  <c r="BG12" i="169"/>
  <c r="CR16" i="169"/>
  <c r="CM16" i="169"/>
  <c r="CH16" i="169"/>
  <c r="CH14" i="169"/>
  <c r="CH15" i="169"/>
  <c r="CH8" i="169"/>
  <c r="CH9" i="169"/>
  <c r="CH10" i="169"/>
  <c r="CA16" i="169"/>
  <c r="BT16" i="169"/>
  <c r="BN16" i="169"/>
  <c r="BL16" i="169"/>
  <c r="BK16" i="169"/>
  <c r="BJ16" i="169"/>
  <c r="CR15" i="169"/>
  <c r="CM15" i="169"/>
  <c r="CM14" i="169"/>
  <c r="CM8" i="169"/>
  <c r="CM9" i="169"/>
  <c r="CM10" i="169"/>
  <c r="CA15" i="169"/>
  <c r="BT15" i="169"/>
  <c r="BN15" i="169"/>
  <c r="BL15" i="169"/>
  <c r="BK15" i="169"/>
  <c r="BJ15" i="169"/>
  <c r="CR14" i="169"/>
  <c r="CA14" i="169"/>
  <c r="BY8" i="169"/>
  <c r="BY9" i="169"/>
  <c r="CA9" i="169" s="1"/>
  <c r="BY10" i="169"/>
  <c r="CA10" i="169" s="1"/>
  <c r="BT14" i="169"/>
  <c r="BT8" i="169"/>
  <c r="BT9" i="169"/>
  <c r="BT10" i="169"/>
  <c r="BN14" i="169"/>
  <c r="BL14" i="169"/>
  <c r="BK14" i="169"/>
  <c r="BJ14" i="169"/>
  <c r="CN12" i="169"/>
  <c r="CL12" i="169"/>
  <c r="CL20" i="169" s="1"/>
  <c r="CK12" i="169"/>
  <c r="CF12" i="169"/>
  <c r="CC12" i="169"/>
  <c r="BS12" i="169"/>
  <c r="BR12" i="169"/>
  <c r="BI12" i="169"/>
  <c r="CR10" i="169"/>
  <c r="CR9" i="169"/>
  <c r="BN10" i="169"/>
  <c r="BL10" i="169"/>
  <c r="BK10" i="169"/>
  <c r="BJ10" i="169"/>
  <c r="BN9" i="169"/>
  <c r="BL9" i="169"/>
  <c r="BK9" i="169"/>
  <c r="BJ9" i="169"/>
  <c r="BN8" i="169"/>
  <c r="BL8" i="169"/>
  <c r="BK8" i="169"/>
  <c r="BJ8" i="169"/>
  <c r="U23" i="168"/>
  <c r="T23" i="168"/>
  <c r="S23" i="168"/>
  <c r="R23" i="168"/>
  <c r="Q23" i="168"/>
  <c r="P23" i="168"/>
  <c r="U19" i="168"/>
  <c r="T19" i="168"/>
  <c r="S19" i="168"/>
  <c r="R19" i="168"/>
  <c r="Q19" i="168"/>
  <c r="P19" i="168"/>
  <c r="O19" i="168"/>
  <c r="N19" i="168"/>
  <c r="M19" i="168"/>
  <c r="L19" i="168"/>
  <c r="K19" i="168"/>
  <c r="J19" i="168"/>
  <c r="I19" i="168"/>
  <c r="H19" i="168"/>
  <c r="T17" i="168"/>
  <c r="V6" i="168"/>
  <c r="U6" i="168"/>
  <c r="T6" i="168"/>
  <c r="S6" i="168"/>
  <c r="R6" i="168"/>
  <c r="Q6" i="168"/>
  <c r="P6" i="168"/>
  <c r="O6" i="168"/>
  <c r="N6" i="168"/>
  <c r="M6" i="168"/>
  <c r="L6" i="168"/>
  <c r="K6" i="168"/>
  <c r="J6" i="168"/>
  <c r="I6" i="168"/>
  <c r="H6" i="168"/>
  <c r="F41" i="176"/>
  <c r="AB28" i="170"/>
  <c r="G68" i="191"/>
  <c r="H68" i="191"/>
  <c r="J68" i="191" s="1"/>
  <c r="DE12" i="169"/>
  <c r="AC19" i="247"/>
  <c r="AF15" i="247"/>
  <c r="E35" i="140"/>
  <c r="L35" i="140"/>
  <c r="J35" i="140"/>
  <c r="I35" i="140"/>
  <c r="D35" i="140"/>
  <c r="G35" i="140"/>
  <c r="BE30" i="247"/>
  <c r="BB30" i="247"/>
  <c r="AL41" i="247"/>
  <c r="M35" i="140"/>
  <c r="M36" i="140" s="1"/>
  <c r="F35" i="140"/>
  <c r="K35" i="140"/>
  <c r="BE8" i="247"/>
  <c r="BC30" i="247"/>
  <c r="AG41" i="247"/>
  <c r="AF8" i="247"/>
  <c r="AD22" i="177"/>
  <c r="H28" i="286"/>
  <c r="DC32" i="169"/>
  <c r="DA12" i="169"/>
  <c r="AB19" i="247"/>
  <c r="Z25" i="184"/>
  <c r="Z31" i="184" s="1"/>
  <c r="AK52" i="147"/>
  <c r="AD25" i="184"/>
  <c r="AD31" i="184" s="1"/>
  <c r="Y25" i="184"/>
  <c r="Y31" i="184" s="1"/>
  <c r="AQ23" i="147"/>
  <c r="AR52" i="147"/>
  <c r="AR23" i="147"/>
  <c r="AG12" i="178"/>
  <c r="AI12" i="178" s="1"/>
  <c r="P24" i="297"/>
  <c r="G26" i="288"/>
  <c r="N16" i="297"/>
  <c r="D38" i="343"/>
  <c r="AB23" i="298"/>
  <c r="AN11" i="178"/>
  <c r="AB15" i="298"/>
  <c r="N13" i="297"/>
  <c r="C15" i="339"/>
  <c r="AD11" i="298"/>
  <c r="AB11" i="298"/>
  <c r="AB17" i="298"/>
  <c r="N20" i="297"/>
  <c r="AB20" i="298"/>
  <c r="AB16" i="298"/>
  <c r="AB13" i="298"/>
  <c r="R9" i="297"/>
  <c r="N8" i="297"/>
  <c r="AB14" i="298"/>
  <c r="AB24" i="298"/>
  <c r="AB21" i="298"/>
  <c r="R16" i="297"/>
  <c r="N10" i="297"/>
  <c r="AB12" i="298"/>
  <c r="AB19" i="298"/>
  <c r="AB18" i="298"/>
  <c r="AB10" i="298"/>
  <c r="AB22" i="298"/>
  <c r="V16" i="298"/>
  <c r="Z19" i="298"/>
  <c r="Z13" i="298"/>
  <c r="V25" i="298"/>
  <c r="H44" i="341"/>
  <c r="AD18" i="298"/>
  <c r="CX20" i="169"/>
  <c r="X16" i="298"/>
  <c r="H8" i="340"/>
  <c r="X19" i="298"/>
  <c r="T23" i="297"/>
  <c r="AD17" i="298"/>
  <c r="X17" i="298"/>
  <c r="X18" i="298"/>
  <c r="X20" i="298"/>
  <c r="V11" i="175"/>
  <c r="X12" i="298"/>
  <c r="T24" i="297"/>
  <c r="E22" i="340"/>
  <c r="T32" i="297"/>
  <c r="T33" i="297"/>
  <c r="L14" i="297"/>
  <c r="T30" i="297"/>
  <c r="L17" i="297"/>
  <c r="L21" i="297"/>
  <c r="Z10" i="298"/>
  <c r="L24" i="297"/>
  <c r="L26" i="297"/>
  <c r="L12" i="297"/>
  <c r="Z20" i="298"/>
  <c r="L23" i="297"/>
  <c r="L8" i="297"/>
  <c r="T29" i="297"/>
  <c r="G15" i="340"/>
  <c r="Z22" i="298"/>
  <c r="L16" i="297"/>
  <c r="Z14" i="298"/>
  <c r="AE12" i="178"/>
  <c r="J30" i="297"/>
  <c r="M14" i="251"/>
  <c r="P46" i="288"/>
  <c r="P21" i="297"/>
  <c r="R30" i="297"/>
  <c r="R29" i="297"/>
  <c r="P22" i="297"/>
  <c r="P12" i="297"/>
  <c r="P11" i="297"/>
  <c r="P23" i="297"/>
  <c r="O20" i="288"/>
  <c r="N23" i="341"/>
  <c r="P26" i="297"/>
  <c r="H29" i="297"/>
  <c r="P9" i="297"/>
  <c r="P16" i="297"/>
  <c r="P19" i="297"/>
  <c r="P13" i="297"/>
  <c r="P10" i="297"/>
  <c r="AD23" i="298"/>
  <c r="P8" i="297"/>
  <c r="J76" i="191"/>
  <c r="P14" i="297"/>
  <c r="H28" i="341"/>
  <c r="H23" i="342" s="1"/>
  <c r="DT34" i="169"/>
  <c r="L19" i="298"/>
  <c r="L17" i="298"/>
  <c r="AH40" i="177"/>
  <c r="AI10" i="170"/>
  <c r="AG28" i="170"/>
  <c r="AL30" i="178"/>
  <c r="G27" i="343"/>
  <c r="G39" i="343" s="1"/>
  <c r="L25" i="297"/>
  <c r="L13" i="297"/>
  <c r="L18" i="297"/>
  <c r="L20" i="297"/>
  <c r="L22" i="297"/>
  <c r="L19" i="297"/>
  <c r="L7" i="297"/>
  <c r="L10" i="297"/>
  <c r="L9" i="297"/>
  <c r="AN31" i="178"/>
  <c r="AO21" i="178"/>
  <c r="H26" i="297"/>
  <c r="AH33" i="177"/>
  <c r="N49" i="342"/>
  <c r="D196" i="268"/>
  <c r="AH52" i="177"/>
  <c r="AH47" i="177"/>
  <c r="AO42" i="178"/>
  <c r="AI42" i="178"/>
  <c r="AD32" i="178"/>
  <c r="AD30" i="178" s="1"/>
  <c r="U34" i="175" s="1"/>
  <c r="AH65" i="177"/>
  <c r="AO45" i="178"/>
  <c r="AI45" i="178"/>
  <c r="AH19" i="177"/>
  <c r="DR34" i="169"/>
  <c r="L51" i="339"/>
  <c r="AI7" i="184"/>
  <c r="AI23" i="184"/>
  <c r="T34" i="175"/>
  <c r="AF12" i="178"/>
  <c r="AN15" i="178"/>
  <c r="L53" i="276"/>
  <c r="I34" i="286"/>
  <c r="U11" i="175"/>
  <c r="W11" i="175"/>
  <c r="J37" i="326"/>
  <c r="W32" i="175"/>
  <c r="M53" i="276"/>
  <c r="I38" i="341"/>
  <c r="I28" i="341"/>
  <c r="I11" i="342" s="1"/>
  <c r="I44" i="341"/>
  <c r="O36" i="344"/>
  <c r="AF16" i="177"/>
  <c r="F19" i="175"/>
  <c r="AD38" i="276"/>
  <c r="H31" i="297"/>
  <c r="H30" i="297"/>
  <c r="U12" i="175"/>
  <c r="P20" i="297"/>
  <c r="P25" i="297"/>
  <c r="P18" i="297"/>
  <c r="P17" i="297"/>
  <c r="J33" i="175"/>
  <c r="Q31" i="175"/>
  <c r="O41" i="251"/>
  <c r="T12" i="298"/>
  <c r="T21" i="298"/>
  <c r="AG9" i="178"/>
  <c r="AI9" i="178" s="1"/>
  <c r="M35" i="342"/>
  <c r="N35" i="342"/>
  <c r="AI11" i="184"/>
  <c r="AI19" i="184"/>
  <c r="AG31" i="184"/>
  <c r="AN22" i="178"/>
  <c r="W19" i="175"/>
  <c r="AN18" i="178"/>
  <c r="AN19" i="178"/>
  <c r="AG17" i="178"/>
  <c r="X32" i="175" s="1"/>
  <c r="I36" i="264"/>
  <c r="AD22" i="276" l="1"/>
  <c r="J38" i="341"/>
  <c r="K27" i="343"/>
  <c r="L50" i="341"/>
  <c r="K37" i="339"/>
  <c r="H44" i="339"/>
  <c r="DU20" i="169"/>
  <c r="G78" i="191"/>
  <c r="DL12" i="169"/>
  <c r="CS34" i="169"/>
  <c r="S8" i="187"/>
  <c r="M69" i="256"/>
  <c r="M30" i="187"/>
  <c r="E30" i="187"/>
  <c r="O44" i="187"/>
  <c r="O56" i="187"/>
  <c r="G36" i="344"/>
  <c r="AA17" i="178"/>
  <c r="D28" i="286"/>
  <c r="F22" i="286"/>
  <c r="J34" i="326"/>
  <c r="N47" i="276"/>
  <c r="AM41" i="178"/>
  <c r="AD30" i="276"/>
  <c r="M23" i="341"/>
  <c r="N9" i="341"/>
  <c r="F38" i="341"/>
  <c r="G44" i="341"/>
  <c r="CS20" i="169"/>
  <c r="CO34" i="169"/>
  <c r="CO20" i="169"/>
  <c r="DM20" i="169"/>
  <c r="DM34" i="169"/>
  <c r="CW20" i="169"/>
  <c r="G37" i="287"/>
  <c r="AF92" i="147"/>
  <c r="AF103" i="147" s="1"/>
  <c r="BG49" i="147"/>
  <c r="AH24" i="147"/>
  <c r="P11" i="335"/>
  <c r="V23" i="298"/>
  <c r="V17" i="298"/>
  <c r="V24" i="298"/>
  <c r="V21" i="298"/>
  <c r="V12" i="298"/>
  <c r="V14" i="298"/>
  <c r="V13" i="298"/>
  <c r="V18" i="298"/>
  <c r="V22" i="298"/>
  <c r="V19" i="298"/>
  <c r="V20" i="298"/>
  <c r="C22" i="343"/>
  <c r="M24" i="147"/>
  <c r="E27" i="343"/>
  <c r="E39" i="343" s="1"/>
  <c r="M9" i="341"/>
  <c r="DU36" i="169"/>
  <c r="AD9" i="168" s="1"/>
  <c r="L28" i="341"/>
  <c r="L12" i="342" s="1"/>
  <c r="D71" i="268"/>
  <c r="I63" i="191"/>
  <c r="I41" i="251"/>
  <c r="J70" i="191"/>
  <c r="CQ36" i="169"/>
  <c r="X9" i="168" s="1"/>
  <c r="I44" i="339"/>
  <c r="C51" i="339"/>
  <c r="E44" i="341"/>
  <c r="E28" i="341"/>
  <c r="E17" i="342" s="1"/>
  <c r="M42" i="342"/>
  <c r="H37" i="339"/>
  <c r="G41" i="251"/>
  <c r="AJ30" i="178"/>
  <c r="C22" i="286"/>
  <c r="DK34" i="169"/>
  <c r="E51" i="339"/>
  <c r="H38" i="341"/>
  <c r="N36" i="344"/>
  <c r="T53" i="147"/>
  <c r="F41" i="251"/>
  <c r="BX34" i="169"/>
  <c r="F51" i="339"/>
  <c r="I50" i="341"/>
  <c r="CQ20" i="169"/>
  <c r="J27" i="343"/>
  <c r="X11" i="175"/>
  <c r="Z11" i="175" s="1"/>
  <c r="E69" i="256"/>
  <c r="L38" i="341"/>
  <c r="N8" i="343"/>
  <c r="F44" i="341"/>
  <c r="G25" i="287"/>
  <c r="G32" i="287"/>
  <c r="M59" i="288"/>
  <c r="AF21" i="178"/>
  <c r="AN21" i="178" s="1"/>
  <c r="F54" i="342"/>
  <c r="BJ41" i="247"/>
  <c r="F36" i="344"/>
  <c r="L15" i="340"/>
  <c r="N15" i="339"/>
  <c r="N59" i="288"/>
  <c r="C41" i="339"/>
  <c r="C37" i="339" s="1"/>
  <c r="L54" i="342"/>
  <c r="R33" i="297"/>
  <c r="E71" i="268"/>
  <c r="AD32" i="276"/>
  <c r="U32" i="184"/>
  <c r="P11" i="288"/>
  <c r="L41" i="251"/>
  <c r="AG8" i="178"/>
  <c r="BC24" i="147"/>
  <c r="N42" i="342"/>
  <c r="BP36" i="169"/>
  <c r="AB104" i="147"/>
  <c r="J65" i="191"/>
  <c r="J41" i="251"/>
  <c r="CV36" i="169"/>
  <c r="Y9" i="168" s="1"/>
  <c r="CV34" i="169"/>
  <c r="Z16" i="41"/>
  <c r="C28" i="286"/>
  <c r="E22" i="286"/>
  <c r="F19" i="286"/>
  <c r="F42" i="286" s="1"/>
  <c r="DH34" i="169"/>
  <c r="CO36" i="169"/>
  <c r="X15" i="168" s="1"/>
  <c r="K44" i="339"/>
  <c r="C15" i="176"/>
  <c r="AB18" i="276"/>
  <c r="S32" i="184"/>
  <c r="CX34" i="169"/>
  <c r="G28" i="341"/>
  <c r="G17" i="342" s="1"/>
  <c r="AE15" i="177"/>
  <c r="W18" i="175" s="1"/>
  <c r="CX36" i="169"/>
  <c r="Z11" i="168" s="1"/>
  <c r="AB12" i="276"/>
  <c r="P52" i="288"/>
  <c r="P45" i="288"/>
  <c r="G26" i="298"/>
  <c r="H13" i="298" s="1"/>
  <c r="AM24" i="147"/>
  <c r="DV12" i="169"/>
  <c r="K51" i="339"/>
  <c r="M10" i="191"/>
  <c r="AK8" i="178"/>
  <c r="AQ53" i="147"/>
  <c r="H12" i="335"/>
  <c r="C29" i="176"/>
  <c r="T14" i="297"/>
  <c r="H33" i="297"/>
  <c r="M22" i="339"/>
  <c r="AE32" i="184"/>
  <c r="AP18" i="247"/>
  <c r="T12" i="297"/>
  <c r="X14" i="298"/>
  <c r="V10" i="298"/>
  <c r="H17" i="297"/>
  <c r="BC41" i="247"/>
  <c r="BL12" i="169"/>
  <c r="BW20" i="169"/>
  <c r="BL34" i="169"/>
  <c r="CG20" i="169"/>
  <c r="Y28" i="170"/>
  <c r="W104" i="147"/>
  <c r="K16" i="41"/>
  <c r="C11" i="176"/>
  <c r="C17" i="176"/>
  <c r="C26" i="176"/>
  <c r="C24" i="176"/>
  <c r="G46" i="287"/>
  <c r="I40" i="286"/>
  <c r="E33" i="297"/>
  <c r="DP36" i="169"/>
  <c r="AC9" i="168" s="1"/>
  <c r="AE9" i="168" s="1"/>
  <c r="F50" i="341"/>
  <c r="N23" i="286"/>
  <c r="AZ24" i="147"/>
  <c r="J77" i="191"/>
  <c r="BA94" i="147"/>
  <c r="BA90" i="147"/>
  <c r="H59" i="288"/>
  <c r="AK41" i="247"/>
  <c r="AD19" i="177"/>
  <c r="DQ12" i="169"/>
  <c r="DN20" i="169"/>
  <c r="DN34" i="169"/>
  <c r="AF9" i="178"/>
  <c r="AF8" i="178" s="1"/>
  <c r="AG32" i="178"/>
  <c r="AO32" i="178" s="1"/>
  <c r="C30" i="176"/>
  <c r="T16" i="297"/>
  <c r="E18" i="342"/>
  <c r="T21" i="297"/>
  <c r="S39" i="178"/>
  <c r="CW34" i="169"/>
  <c r="AB38" i="276"/>
  <c r="Z36" i="276"/>
  <c r="Z34" i="276" s="1"/>
  <c r="O47" i="276"/>
  <c r="DD36" i="169"/>
  <c r="AA15" i="168" s="1"/>
  <c r="G34" i="287"/>
  <c r="F39" i="287"/>
  <c r="P36" i="344"/>
  <c r="C13" i="176"/>
  <c r="AB32" i="276"/>
  <c r="S35" i="297"/>
  <c r="Z21" i="298"/>
  <c r="Z17" i="298"/>
  <c r="X10" i="298"/>
  <c r="F20" i="176"/>
  <c r="V53" i="147"/>
  <c r="Y104" i="147"/>
  <c r="I58" i="191"/>
  <c r="I64" i="191"/>
  <c r="M10" i="251"/>
  <c r="H41" i="251"/>
  <c r="AB10" i="276"/>
  <c r="S60" i="187"/>
  <c r="M36" i="344"/>
  <c r="M47" i="276"/>
  <c r="AO12" i="178"/>
  <c r="BE18" i="247"/>
  <c r="H10" i="297"/>
  <c r="G47" i="287"/>
  <c r="G76" i="191"/>
  <c r="D29" i="287"/>
  <c r="D52" i="287" s="1"/>
  <c r="DL26" i="169"/>
  <c r="R21" i="297"/>
  <c r="R26" i="297"/>
  <c r="R22" i="297"/>
  <c r="V30" i="247"/>
  <c r="V41" i="247" s="1"/>
  <c r="X36" i="276"/>
  <c r="X34" i="276" s="1"/>
  <c r="AB14" i="276"/>
  <c r="AB26" i="276"/>
  <c r="N16" i="175"/>
  <c r="N14" i="175" s="1"/>
  <c r="N9" i="175" s="1"/>
  <c r="CP20" i="169"/>
  <c r="DM36" i="169"/>
  <c r="AC11" i="168" s="1"/>
  <c r="F8" i="340"/>
  <c r="K22" i="340"/>
  <c r="D51" i="339"/>
  <c r="G38" i="341"/>
  <c r="D54" i="342"/>
  <c r="T22" i="298"/>
  <c r="AN26" i="178"/>
  <c r="X21" i="175"/>
  <c r="Z21" i="175" s="1"/>
  <c r="J78" i="191"/>
  <c r="E15" i="340"/>
  <c r="J41" i="288"/>
  <c r="V14" i="177"/>
  <c r="V12" i="177" s="1"/>
  <c r="V8" i="177" s="1"/>
  <c r="G50" i="341"/>
  <c r="T8" i="297"/>
  <c r="R10" i="297"/>
  <c r="R12" i="297"/>
  <c r="BO9" i="169"/>
  <c r="AA104" i="147"/>
  <c r="Q67" i="147"/>
  <c r="Q68" i="147" s="1"/>
  <c r="T27" i="297"/>
  <c r="T19" i="297"/>
  <c r="R23" i="297"/>
  <c r="R24" i="297"/>
  <c r="R18" i="297"/>
  <c r="R11" i="297"/>
  <c r="R7" i="297"/>
  <c r="BW36" i="169"/>
  <c r="P24" i="147"/>
  <c r="I12" i="335"/>
  <c r="AE9" i="178"/>
  <c r="E27" i="339"/>
  <c r="E53" i="340" s="1"/>
  <c r="D37" i="339"/>
  <c r="J44" i="341"/>
  <c r="F27" i="343"/>
  <c r="F39" i="343" s="1"/>
  <c r="H50" i="341"/>
  <c r="R25" i="297"/>
  <c r="R14" i="297"/>
  <c r="R20" i="297"/>
  <c r="R17" i="297"/>
  <c r="CS36" i="169"/>
  <c r="Y11" i="168" s="1"/>
  <c r="CW36" i="169"/>
  <c r="E37" i="339"/>
  <c r="F9" i="176"/>
  <c r="I10" i="342"/>
  <c r="T25" i="297"/>
  <c r="J31" i="297"/>
  <c r="J33" i="297" s="1"/>
  <c r="T13" i="297"/>
  <c r="T7" i="297"/>
  <c r="DD34" i="169"/>
  <c r="D22" i="286"/>
  <c r="F36" i="287"/>
  <c r="P55" i="288"/>
  <c r="C26" i="298"/>
  <c r="D10" i="298" s="1"/>
  <c r="DK20" i="169"/>
  <c r="AE32" i="178"/>
  <c r="AE30" i="178" s="1"/>
  <c r="V34" i="175" s="1"/>
  <c r="DN36" i="169"/>
  <c r="AC15" i="168" s="1"/>
  <c r="J8" i="340"/>
  <c r="G27" i="339"/>
  <c r="G40" i="340" s="1"/>
  <c r="D44" i="339"/>
  <c r="H51" i="339"/>
  <c r="H56" i="339" s="1"/>
  <c r="C56" i="340"/>
  <c r="H27" i="343"/>
  <c r="D27" i="343"/>
  <c r="D39" i="343" s="1"/>
  <c r="T18" i="298"/>
  <c r="BC53" i="147"/>
  <c r="T11" i="297"/>
  <c r="T9" i="297"/>
  <c r="T26" i="297"/>
  <c r="T18" i="297"/>
  <c r="T19" i="298"/>
  <c r="R8" i="297"/>
  <c r="AK24" i="147"/>
  <c r="U47" i="276"/>
  <c r="DG26" i="169"/>
  <c r="M16" i="175"/>
  <c r="M14" i="175" s="1"/>
  <c r="S29" i="175"/>
  <c r="S25" i="175" s="1"/>
  <c r="CP34" i="169"/>
  <c r="G42" i="287"/>
  <c r="P35" i="288"/>
  <c r="DL32" i="169"/>
  <c r="AE21" i="178"/>
  <c r="V33" i="175" s="1"/>
  <c r="AJ103" i="147"/>
  <c r="AJ107" i="147" s="1"/>
  <c r="AR103" i="147"/>
  <c r="AR107" i="147" s="1"/>
  <c r="AN103" i="147"/>
  <c r="AN107" i="147" s="1"/>
  <c r="AH103" i="147"/>
  <c r="AP103" i="147"/>
  <c r="AP107" i="147" s="1"/>
  <c r="DQ26" i="169"/>
  <c r="DQ18" i="169"/>
  <c r="H27" i="339"/>
  <c r="H41" i="340" s="1"/>
  <c r="E44" i="339"/>
  <c r="E56" i="339" s="1"/>
  <c r="E50" i="341"/>
  <c r="C26" i="342"/>
  <c r="C54" i="342"/>
  <c r="AV24" i="147"/>
  <c r="U36" i="140"/>
  <c r="J13" i="326"/>
  <c r="N22" i="339"/>
  <c r="T25" i="298"/>
  <c r="I59" i="191"/>
  <c r="Q35" i="297"/>
  <c r="T17" i="297"/>
  <c r="T22" i="297"/>
  <c r="T10" i="298"/>
  <c r="R19" i="297"/>
  <c r="E30" i="176"/>
  <c r="J29" i="175"/>
  <c r="J25" i="175" s="1"/>
  <c r="G35" i="287"/>
  <c r="AO53" i="147"/>
  <c r="AE17" i="178"/>
  <c r="V32" i="175" s="1"/>
  <c r="AE92" i="147"/>
  <c r="AE103" i="147" s="1"/>
  <c r="AE107" i="147" s="1"/>
  <c r="AK103" i="147"/>
  <c r="AK107" i="147" s="1"/>
  <c r="H42" i="286"/>
  <c r="H14" i="286"/>
  <c r="H10" i="286" s="1"/>
  <c r="H8" i="286" s="1"/>
  <c r="F29" i="176"/>
  <c r="F46" i="176"/>
  <c r="F19" i="176"/>
  <c r="BP34" i="169"/>
  <c r="L10" i="191"/>
  <c r="M11" i="191" s="1"/>
  <c r="F17" i="176"/>
  <c r="F31" i="176"/>
  <c r="BP20" i="169"/>
  <c r="CI34" i="169"/>
  <c r="O24" i="147"/>
  <c r="W24" i="147"/>
  <c r="Y24" i="147"/>
  <c r="I62" i="191"/>
  <c r="M13" i="251"/>
  <c r="M12" i="251"/>
  <c r="N16" i="41"/>
  <c r="F10" i="176"/>
  <c r="K28" i="343"/>
  <c r="E19" i="286"/>
  <c r="E14" i="286" s="1"/>
  <c r="E49" i="340"/>
  <c r="E48" i="340"/>
  <c r="F28" i="343"/>
  <c r="BG11" i="147"/>
  <c r="BE23" i="147"/>
  <c r="BE27" i="147" s="1"/>
  <c r="AI44" i="178"/>
  <c r="AN44" i="178"/>
  <c r="H10" i="298"/>
  <c r="H19" i="298"/>
  <c r="H15" i="298"/>
  <c r="H22" i="298"/>
  <c r="D18" i="176"/>
  <c r="F16" i="176"/>
  <c r="DV18" i="169"/>
  <c r="DT20" i="169"/>
  <c r="W53" i="147"/>
  <c r="U14" i="177"/>
  <c r="U12" i="177" s="1"/>
  <c r="U8" i="177" s="1"/>
  <c r="G9" i="342"/>
  <c r="K27" i="339"/>
  <c r="K48" i="340" s="1"/>
  <c r="M8" i="339"/>
  <c r="K15" i="340"/>
  <c r="J27" i="339"/>
  <c r="J41" i="340" s="1"/>
  <c r="H39" i="340"/>
  <c r="I27" i="343"/>
  <c r="I39" i="343" s="1"/>
  <c r="F8" i="297"/>
  <c r="J39" i="343"/>
  <c r="I22" i="340"/>
  <c r="E38" i="341"/>
  <c r="G44" i="339"/>
  <c r="I51" i="339"/>
  <c r="D38" i="341"/>
  <c r="D45" i="341"/>
  <c r="J54" i="342"/>
  <c r="AU24" i="147"/>
  <c r="AF30" i="177"/>
  <c r="AH30" i="177" s="1"/>
  <c r="AG103" i="147"/>
  <c r="AG107" i="147" s="1"/>
  <c r="AO103" i="147"/>
  <c r="AO107" i="147" s="1"/>
  <c r="F56" i="187"/>
  <c r="AK53" i="147"/>
  <c r="X24" i="147"/>
  <c r="AJ53" i="147"/>
  <c r="I60" i="191"/>
  <c r="V16" i="41"/>
  <c r="U16" i="41"/>
  <c r="D197" i="268"/>
  <c r="G37" i="339"/>
  <c r="Q36" i="140"/>
  <c r="BJ18" i="169"/>
  <c r="BO15" i="169"/>
  <c r="Y53" i="147"/>
  <c r="AI27" i="184"/>
  <c r="H23" i="297"/>
  <c r="AI28" i="170"/>
  <c r="E8" i="340"/>
  <c r="Z15" i="298"/>
  <c r="Z18" i="298"/>
  <c r="F28" i="341"/>
  <c r="AD14" i="298"/>
  <c r="X25" i="298"/>
  <c r="X23" i="298"/>
  <c r="X21" i="298"/>
  <c r="DB29" i="169"/>
  <c r="AA32" i="184"/>
  <c r="BN12" i="169"/>
  <c r="BK18" i="169"/>
  <c r="Q24" i="147"/>
  <c r="X53" i="147"/>
  <c r="T104" i="147"/>
  <c r="J59" i="191"/>
  <c r="D11" i="176"/>
  <c r="DE34" i="169"/>
  <c r="E27" i="340"/>
  <c r="CB20" i="169"/>
  <c r="Q47" i="276"/>
  <c r="H22" i="297"/>
  <c r="X14" i="177"/>
  <c r="DQ32" i="169"/>
  <c r="Z25" i="298"/>
  <c r="Z23" i="298"/>
  <c r="Z16" i="298"/>
  <c r="K54" i="342"/>
  <c r="O53" i="276"/>
  <c r="X15" i="298"/>
  <c r="N11" i="297"/>
  <c r="CE34" i="169"/>
  <c r="M16" i="41"/>
  <c r="D19" i="176"/>
  <c r="AI33" i="178"/>
  <c r="AH8" i="178"/>
  <c r="AO8" i="178" s="1"/>
  <c r="BJ19" i="247"/>
  <c r="DV26" i="169"/>
  <c r="DA36" i="169"/>
  <c r="Z9" i="168" s="1"/>
  <c r="N24" i="147"/>
  <c r="K10" i="191"/>
  <c r="J64" i="191"/>
  <c r="P36" i="140"/>
  <c r="T16" i="41"/>
  <c r="X16" i="41"/>
  <c r="D20" i="176"/>
  <c r="AI15" i="184"/>
  <c r="AI25" i="184" s="1"/>
  <c r="N16" i="298"/>
  <c r="DK36" i="169"/>
  <c r="AB9" i="168" s="1"/>
  <c r="Z24" i="298"/>
  <c r="X22" i="298"/>
  <c r="X24" i="298"/>
  <c r="F36" i="140"/>
  <c r="CF20" i="169"/>
  <c r="CD34" i="169"/>
  <c r="G51" i="339"/>
  <c r="K38" i="341"/>
  <c r="J50" i="341"/>
  <c r="G54" i="342"/>
  <c r="C8" i="343"/>
  <c r="M15" i="343"/>
  <c r="M19" i="251"/>
  <c r="AH66" i="177"/>
  <c r="Y16" i="41"/>
  <c r="AM9" i="178"/>
  <c r="DD20" i="169"/>
  <c r="G41" i="287"/>
  <c r="P16" i="288"/>
  <c r="F14" i="286"/>
  <c r="AE41" i="178"/>
  <c r="V27" i="175" s="1"/>
  <c r="D44" i="341"/>
  <c r="L19" i="286"/>
  <c r="L42" i="286" s="1"/>
  <c r="G36" i="140"/>
  <c r="BT18" i="169"/>
  <c r="BH36" i="169"/>
  <c r="BZ36" i="169"/>
  <c r="CK36" i="169"/>
  <c r="W13" i="168" s="1"/>
  <c r="P16" i="41"/>
  <c r="CV20" i="169"/>
  <c r="V32" i="184"/>
  <c r="P56" i="288"/>
  <c r="P15" i="288"/>
  <c r="I28" i="286"/>
  <c r="BR20" i="169"/>
  <c r="Q16" i="41"/>
  <c r="W16" i="41"/>
  <c r="F26" i="176"/>
  <c r="D195" i="268"/>
  <c r="Y36" i="276"/>
  <c r="AB16" i="276"/>
  <c r="AM12" i="178"/>
  <c r="DC36" i="169"/>
  <c r="AA11" i="168" s="1"/>
  <c r="BO10" i="169"/>
  <c r="CF36" i="169"/>
  <c r="F11" i="176"/>
  <c r="M22" i="286"/>
  <c r="M19" i="286" s="1"/>
  <c r="DS34" i="169"/>
  <c r="DV34" i="169" s="1"/>
  <c r="L44" i="339"/>
  <c r="C59" i="288"/>
  <c r="G49" i="287"/>
  <c r="AX24" i="147"/>
  <c r="DV32" i="169"/>
  <c r="J44" i="339"/>
  <c r="J51" i="339"/>
  <c r="F22" i="176"/>
  <c r="F30" i="176"/>
  <c r="J57" i="288"/>
  <c r="AP24" i="147"/>
  <c r="M16" i="251"/>
  <c r="D40" i="343"/>
  <c r="C15" i="343"/>
  <c r="AY103" i="147"/>
  <c r="AY107" i="147" s="1"/>
  <c r="AZ103" i="147"/>
  <c r="AZ107" i="147" s="1"/>
  <c r="AE58" i="177"/>
  <c r="W23" i="175" s="1"/>
  <c r="P31" i="175"/>
  <c r="P29" i="175" s="1"/>
  <c r="Y39" i="178"/>
  <c r="Y47" i="178" s="1"/>
  <c r="Q49" i="345"/>
  <c r="Q65" i="345"/>
  <c r="Q57" i="345"/>
  <c r="Q39" i="178"/>
  <c r="Q47" i="178" s="1"/>
  <c r="P22" i="288"/>
  <c r="L12" i="298"/>
  <c r="L22" i="298"/>
  <c r="L25" i="298"/>
  <c r="L13" i="298"/>
  <c r="L23" i="298"/>
  <c r="L15" i="298"/>
  <c r="L14" i="298"/>
  <c r="L10" i="298"/>
  <c r="AV103" i="147"/>
  <c r="AV107" i="147" s="1"/>
  <c r="AX103" i="147"/>
  <c r="I27" i="297"/>
  <c r="J14" i="297" s="1"/>
  <c r="DJ36" i="169"/>
  <c r="AB13" i="168" s="1"/>
  <c r="AD21" i="178"/>
  <c r="U33" i="175" s="1"/>
  <c r="M40" i="251"/>
  <c r="N41" i="251" s="1"/>
  <c r="X33" i="175"/>
  <c r="Z33" i="175" s="1"/>
  <c r="AI21" i="178"/>
  <c r="J15" i="340"/>
  <c r="H22" i="340"/>
  <c r="D28" i="341"/>
  <c r="E55" i="341" s="1"/>
  <c r="D50" i="341"/>
  <c r="I54" i="342"/>
  <c r="J25" i="326"/>
  <c r="L44" i="341"/>
  <c r="K44" i="341"/>
  <c r="S20" i="175"/>
  <c r="AA14" i="177"/>
  <c r="AA12" i="177" s="1"/>
  <c r="AA8" i="177" s="1"/>
  <c r="P60" i="187"/>
  <c r="F44" i="187"/>
  <c r="D56" i="187"/>
  <c r="K60" i="187"/>
  <c r="L60" i="187"/>
  <c r="H8" i="187"/>
  <c r="G53" i="340"/>
  <c r="G39" i="340"/>
  <c r="AU103" i="147"/>
  <c r="AU107" i="147" s="1"/>
  <c r="J56" i="191"/>
  <c r="H36" i="140"/>
  <c r="C16" i="176"/>
  <c r="C10" i="176"/>
  <c r="C22" i="176"/>
  <c r="C46" i="176"/>
  <c r="C33" i="176"/>
  <c r="C9" i="176"/>
  <c r="E26" i="176"/>
  <c r="AD44" i="276"/>
  <c r="DF34" i="169"/>
  <c r="M31" i="175"/>
  <c r="M29" i="175" s="1"/>
  <c r="M36" i="175" s="1"/>
  <c r="V39" i="178"/>
  <c r="T16" i="175"/>
  <c r="AA41" i="178"/>
  <c r="R27" i="175" s="1"/>
  <c r="F40" i="286"/>
  <c r="G28" i="286"/>
  <c r="G45" i="287"/>
  <c r="E59" i="288"/>
  <c r="P49" i="288"/>
  <c r="O26" i="288"/>
  <c r="G77" i="191"/>
  <c r="I77" i="191" s="1"/>
  <c r="G16" i="287"/>
  <c r="G13" i="287" s="1"/>
  <c r="F13" i="287"/>
  <c r="AC15" i="177"/>
  <c r="U18" i="175" s="1"/>
  <c r="U16" i="175" s="1"/>
  <c r="U14" i="175" s="1"/>
  <c r="U9" i="175" s="1"/>
  <c r="L31" i="297"/>
  <c r="K35" i="297"/>
  <c r="BF24" i="147"/>
  <c r="DR36" i="169"/>
  <c r="AD11" i="168" s="1"/>
  <c r="DR20" i="169"/>
  <c r="R16" i="175"/>
  <c r="O18" i="175"/>
  <c r="O16" i="175" s="1"/>
  <c r="O14" i="175" s="1"/>
  <c r="O9" i="175" s="1"/>
  <c r="W14" i="177"/>
  <c r="W12" i="177" s="1"/>
  <c r="W8" i="177" s="1"/>
  <c r="I71" i="191"/>
  <c r="I70" i="191"/>
  <c r="L8" i="187"/>
  <c r="M8" i="187"/>
  <c r="F30" i="187"/>
  <c r="G30" i="187"/>
  <c r="M27" i="343"/>
  <c r="F22" i="297"/>
  <c r="D19" i="286"/>
  <c r="I66" i="191"/>
  <c r="I65" i="191"/>
  <c r="Q55" i="345"/>
  <c r="L24" i="298"/>
  <c r="BR36" i="169"/>
  <c r="BQ20" i="169"/>
  <c r="CM32" i="169"/>
  <c r="I17" i="342"/>
  <c r="AH34" i="177"/>
  <c r="AF19" i="247"/>
  <c r="BJ26" i="169"/>
  <c r="BF20" i="169"/>
  <c r="G30" i="247"/>
  <c r="G41" i="247" s="1"/>
  <c r="R24" i="147"/>
  <c r="AA24" i="147"/>
  <c r="P68" i="147"/>
  <c r="V104" i="147"/>
  <c r="J60" i="191"/>
  <c r="S16" i="41"/>
  <c r="E11" i="176"/>
  <c r="C19" i="176"/>
  <c r="M14" i="177"/>
  <c r="M12" i="177" s="1"/>
  <c r="M8" i="177" s="1"/>
  <c r="E18" i="176"/>
  <c r="K34" i="175"/>
  <c r="T39" i="178"/>
  <c r="T47" i="178" s="1"/>
  <c r="N39" i="178"/>
  <c r="N47" i="178" s="1"/>
  <c r="AA8" i="247"/>
  <c r="AA19" i="247" s="1"/>
  <c r="R47" i="276"/>
  <c r="P32" i="184"/>
  <c r="AB32" i="184"/>
  <c r="D17" i="225"/>
  <c r="AM17" i="178"/>
  <c r="CZ20" i="169"/>
  <c r="DF20" i="169"/>
  <c r="L27" i="339"/>
  <c r="P16" i="339" s="1"/>
  <c r="N8" i="339"/>
  <c r="G10" i="342"/>
  <c r="G19" i="342"/>
  <c r="D36" i="140"/>
  <c r="E36" i="140"/>
  <c r="BH20" i="169"/>
  <c r="BN18" i="169"/>
  <c r="BL18" i="169"/>
  <c r="BI36" i="169"/>
  <c r="CH26" i="169"/>
  <c r="BS34" i="169"/>
  <c r="BO32" i="169"/>
  <c r="CA32" i="169"/>
  <c r="CC34" i="169"/>
  <c r="CG36" i="169"/>
  <c r="CL36" i="169"/>
  <c r="W9" i="168" s="1"/>
  <c r="L30" i="247"/>
  <c r="S53" i="147"/>
  <c r="AC53" i="147"/>
  <c r="X104" i="147"/>
  <c r="J10" i="191"/>
  <c r="J11" i="191" s="1"/>
  <c r="J61" i="191"/>
  <c r="O16" i="41"/>
  <c r="L16" i="41"/>
  <c r="R16" i="41"/>
  <c r="E31" i="176"/>
  <c r="E19" i="176"/>
  <c r="AH24" i="177"/>
  <c r="AF22" i="177"/>
  <c r="AH22" i="177" s="1"/>
  <c r="J38" i="343"/>
  <c r="J49" i="340"/>
  <c r="J54" i="340"/>
  <c r="J47" i="340"/>
  <c r="BB8" i="247"/>
  <c r="AU19" i="247"/>
  <c r="BB19" i="247" s="1"/>
  <c r="F37" i="339"/>
  <c r="C28" i="341"/>
  <c r="AB39" i="178"/>
  <c r="AB47" i="178" s="1"/>
  <c r="E16" i="176"/>
  <c r="E10" i="176"/>
  <c r="E20" i="176"/>
  <c r="E32" i="176"/>
  <c r="I19" i="342"/>
  <c r="AO43" i="178"/>
  <c r="AB14" i="177"/>
  <c r="AB12" i="177" s="1"/>
  <c r="AB8" i="177" s="1"/>
  <c r="F7" i="297"/>
  <c r="L21" i="298"/>
  <c r="BT26" i="169"/>
  <c r="BR34" i="169"/>
  <c r="M9" i="175"/>
  <c r="J40" i="340"/>
  <c r="E9" i="175"/>
  <c r="E40" i="175" s="1"/>
  <c r="E38" i="175" s="1"/>
  <c r="C37" i="176" s="1"/>
  <c r="L18" i="298"/>
  <c r="CD20" i="169"/>
  <c r="I16" i="342"/>
  <c r="AN12" i="178"/>
  <c r="H49" i="340"/>
  <c r="H18" i="342"/>
  <c r="S47" i="178"/>
  <c r="AD10" i="276"/>
  <c r="F16" i="297"/>
  <c r="AL53" i="147"/>
  <c r="AB44" i="276"/>
  <c r="I61" i="191"/>
  <c r="I36" i="344"/>
  <c r="K8" i="340"/>
  <c r="H17" i="225"/>
  <c r="H36" i="225"/>
  <c r="AP19" i="247"/>
  <c r="BE19" i="247"/>
  <c r="P30" i="297"/>
  <c r="O35" i="297"/>
  <c r="P29" i="297"/>
  <c r="F12" i="335"/>
  <c r="G12" i="335"/>
  <c r="DO36" i="169"/>
  <c r="AC13" i="168" s="1"/>
  <c r="AE13" i="168" s="1"/>
  <c r="DO34" i="169"/>
  <c r="K56" i="187"/>
  <c r="L56" i="187"/>
  <c r="DO20" i="169"/>
  <c r="F29" i="287"/>
  <c r="E196" i="268"/>
  <c r="CY20" i="169"/>
  <c r="CY36" i="169"/>
  <c r="Z15" i="168" s="1"/>
  <c r="V8" i="247"/>
  <c r="D21" i="298"/>
  <c r="D20" i="298"/>
  <c r="E46" i="176"/>
  <c r="CA8" i="169"/>
  <c r="CA12" i="169" s="1"/>
  <c r="BY12" i="169"/>
  <c r="BY20" i="169" s="1"/>
  <c r="CK34" i="169"/>
  <c r="I18" i="342"/>
  <c r="D11" i="298"/>
  <c r="G12" i="342"/>
  <c r="DI34" i="169"/>
  <c r="AN17" i="178"/>
  <c r="I23" i="342"/>
  <c r="E28" i="343"/>
  <c r="H48" i="340"/>
  <c r="H17" i="342"/>
  <c r="D12" i="298"/>
  <c r="G46" i="340"/>
  <c r="J46" i="340"/>
  <c r="AD26" i="276"/>
  <c r="J14" i="286"/>
  <c r="J10" i="286" s="1"/>
  <c r="K36" i="344"/>
  <c r="E29" i="176"/>
  <c r="L16" i="298"/>
  <c r="AD27" i="147"/>
  <c r="AF24" i="147"/>
  <c r="F12" i="297"/>
  <c r="F23" i="297"/>
  <c r="F11" i="297"/>
  <c r="F17" i="297"/>
  <c r="F10" i="297"/>
  <c r="F13" i="297"/>
  <c r="F14" i="297"/>
  <c r="F26" i="297"/>
  <c r="AI48" i="178"/>
  <c r="AN48" i="178"/>
  <c r="AO48" i="178"/>
  <c r="F9" i="297"/>
  <c r="AJ24" i="147"/>
  <c r="X31" i="175"/>
  <c r="I24" i="342"/>
  <c r="H9" i="342"/>
  <c r="D23" i="298"/>
  <c r="G24" i="342"/>
  <c r="H34" i="175"/>
  <c r="F33" i="176" s="1"/>
  <c r="J69" i="191"/>
  <c r="C32" i="176"/>
  <c r="L20" i="298"/>
  <c r="AD14" i="276"/>
  <c r="E22" i="176"/>
  <c r="J53" i="340"/>
  <c r="P31" i="297"/>
  <c r="M17" i="251"/>
  <c r="AM103" i="147"/>
  <c r="AO104" i="147" s="1"/>
  <c r="AF31" i="184"/>
  <c r="AG32" i="184" s="1"/>
  <c r="AH25" i="184"/>
  <c r="AF32" i="178"/>
  <c r="AF30" i="178" s="1"/>
  <c r="W34" i="175" s="1"/>
  <c r="F44" i="339"/>
  <c r="D56" i="340"/>
  <c r="P20" i="288"/>
  <c r="CR18" i="169"/>
  <c r="CM12" i="169"/>
  <c r="CJ36" i="169"/>
  <c r="W15" i="168" s="1"/>
  <c r="E197" i="268"/>
  <c r="DB32" i="169"/>
  <c r="T47" i="276"/>
  <c r="AB30" i="276"/>
  <c r="DB26" i="169"/>
  <c r="X32" i="184"/>
  <c r="D40" i="286"/>
  <c r="G22" i="286"/>
  <c r="G19" i="286" s="1"/>
  <c r="G42" i="286" s="1"/>
  <c r="G33" i="287"/>
  <c r="G44" i="287"/>
  <c r="P37" i="288"/>
  <c r="J26" i="288"/>
  <c r="P33" i="288"/>
  <c r="N21" i="286"/>
  <c r="AI34" i="178"/>
  <c r="M28" i="286"/>
  <c r="AF10" i="298"/>
  <c r="S26" i="187"/>
  <c r="O69" i="256"/>
  <c r="O76" i="256" s="1"/>
  <c r="N56" i="187"/>
  <c r="G44" i="187"/>
  <c r="D60" i="187"/>
  <c r="I8" i="187"/>
  <c r="AH16" i="177"/>
  <c r="D56" i="339"/>
  <c r="F32" i="176"/>
  <c r="CY34" i="169"/>
  <c r="AF20" i="298"/>
  <c r="R26" i="187"/>
  <c r="M56" i="187"/>
  <c r="AD15" i="177"/>
  <c r="V18" i="175" s="1"/>
  <c r="Y32" i="184"/>
  <c r="CT36" i="169"/>
  <c r="Y15" i="168" s="1"/>
  <c r="CT34" i="169"/>
  <c r="N24" i="286"/>
  <c r="AF18" i="298"/>
  <c r="Q29" i="175"/>
  <c r="P41" i="288"/>
  <c r="CN20" i="169"/>
  <c r="BZ34" i="169"/>
  <c r="M39" i="178"/>
  <c r="M47" i="178" s="1"/>
  <c r="CU34" i="169"/>
  <c r="AN24" i="147"/>
  <c r="AF13" i="298"/>
  <c r="J69" i="256"/>
  <c r="J44" i="187"/>
  <c r="H54" i="342"/>
  <c r="BD103" i="147"/>
  <c r="AT103" i="147"/>
  <c r="AT107" i="147" s="1"/>
  <c r="AH23" i="177"/>
  <c r="N14" i="298"/>
  <c r="J62" i="191"/>
  <c r="R17" i="298"/>
  <c r="DF36" i="169"/>
  <c r="AA9" i="168" s="1"/>
  <c r="W10" i="170"/>
  <c r="W28" i="170" s="1"/>
  <c r="M19" i="247"/>
  <c r="Q8" i="247"/>
  <c r="Q19" i="247" s="1"/>
  <c r="Q30" i="247"/>
  <c r="Q41" i="247" s="1"/>
  <c r="AB53" i="147"/>
  <c r="Z53" i="147"/>
  <c r="I56" i="191"/>
  <c r="I57" i="191"/>
  <c r="C31" i="176"/>
  <c r="E29" i="175"/>
  <c r="L18" i="175"/>
  <c r="T14" i="177"/>
  <c r="T12" i="177" s="1"/>
  <c r="T8" i="177" s="1"/>
  <c r="G46" i="176"/>
  <c r="G31" i="176"/>
  <c r="G32" i="176"/>
  <c r="G26" i="176"/>
  <c r="G11" i="176"/>
  <c r="BA98" i="147"/>
  <c r="BA23" i="147"/>
  <c r="G18" i="287"/>
  <c r="E22" i="287"/>
  <c r="BA52" i="147"/>
  <c r="BA102" i="147"/>
  <c r="AK19" i="247"/>
  <c r="BC19" i="247"/>
  <c r="AQ24" i="147"/>
  <c r="AO24" i="147"/>
  <c r="DI36" i="169"/>
  <c r="AB15" i="168" s="1"/>
  <c r="DI20" i="169"/>
  <c r="DL18" i="169"/>
  <c r="M12" i="335"/>
  <c r="N12" i="335"/>
  <c r="T36" i="140"/>
  <c r="S36" i="140"/>
  <c r="AD52" i="147"/>
  <c r="AD92" i="147"/>
  <c r="AD103" i="147" s="1"/>
  <c r="AD107" i="147" s="1"/>
  <c r="AB24" i="147"/>
  <c r="Z24" i="147"/>
  <c r="J58" i="191"/>
  <c r="J57" i="191"/>
  <c r="P34" i="288"/>
  <c r="R25" i="298"/>
  <c r="R13" i="298"/>
  <c r="R20" i="298"/>
  <c r="R15" i="298"/>
  <c r="R18" i="298"/>
  <c r="R23" i="298"/>
  <c r="R24" i="298"/>
  <c r="R19" i="298"/>
  <c r="R14" i="298"/>
  <c r="R12" i="298"/>
  <c r="R22" i="298"/>
  <c r="I9" i="342"/>
  <c r="AA53" i="147"/>
  <c r="N20" i="298"/>
  <c r="E21" i="175"/>
  <c r="C20" i="176" s="1"/>
  <c r="DJ34" i="169"/>
  <c r="E41" i="251"/>
  <c r="BD53" i="147"/>
  <c r="AR53" i="147"/>
  <c r="DC34" i="169"/>
  <c r="DG32" i="169"/>
  <c r="D32" i="176"/>
  <c r="AB8" i="276"/>
  <c r="AD8" i="276"/>
  <c r="AB42" i="276"/>
  <c r="AD42" i="276"/>
  <c r="L47" i="276"/>
  <c r="Q32" i="184"/>
  <c r="R32" i="184"/>
  <c r="AC32" i="184"/>
  <c r="AD32" i="184"/>
  <c r="C17" i="225"/>
  <c r="DB18" i="169"/>
  <c r="DC20" i="169"/>
  <c r="DG18" i="169"/>
  <c r="N34" i="175"/>
  <c r="N29" i="175" s="1"/>
  <c r="N25" i="175" s="1"/>
  <c r="W39" i="178"/>
  <c r="W47" i="178" s="1"/>
  <c r="P53" i="288"/>
  <c r="E26" i="298"/>
  <c r="F25" i="298" s="1"/>
  <c r="I68" i="191"/>
  <c r="I69" i="191"/>
  <c r="AD28" i="276"/>
  <c r="AB28" i="276"/>
  <c r="N19" i="298"/>
  <c r="I55" i="341"/>
  <c r="AG24" i="147"/>
  <c r="H53" i="340"/>
  <c r="N12" i="298"/>
  <c r="N15" i="298"/>
  <c r="CZ36" i="169"/>
  <c r="Z13" i="168" s="1"/>
  <c r="Z104" i="147"/>
  <c r="M35" i="297"/>
  <c r="AB26" i="298"/>
  <c r="E195" i="268"/>
  <c r="AD20" i="276"/>
  <c r="AB20" i="276"/>
  <c r="E34" i="286"/>
  <c r="E40" i="286"/>
  <c r="G40" i="287"/>
  <c r="E39" i="287"/>
  <c r="G39" i="287" s="1"/>
  <c r="G40" i="286"/>
  <c r="AN43" i="178"/>
  <c r="AF41" i="178"/>
  <c r="W27" i="175" s="1"/>
  <c r="AI24" i="147"/>
  <c r="N13" i="298"/>
  <c r="S47" i="276"/>
  <c r="N14" i="177"/>
  <c r="N12" i="177" s="1"/>
  <c r="N8" i="177" s="1"/>
  <c r="N30" i="297"/>
  <c r="X46" i="276"/>
  <c r="X47" i="276" s="1"/>
  <c r="AL8" i="178"/>
  <c r="AM8" i="178" s="1"/>
  <c r="R16" i="298"/>
  <c r="U24" i="147"/>
  <c r="S24" i="147"/>
  <c r="H19" i="175"/>
  <c r="P14" i="177"/>
  <c r="P12" i="177" s="1"/>
  <c r="P8" i="177" s="1"/>
  <c r="T33" i="175"/>
  <c r="T29" i="175" s="1"/>
  <c r="T25" i="175" s="1"/>
  <c r="AC39" i="178"/>
  <c r="AC47" i="178" s="1"/>
  <c r="I12" i="342"/>
  <c r="L28" i="343"/>
  <c r="F26" i="288"/>
  <c r="AD16" i="276"/>
  <c r="M41" i="247"/>
  <c r="G30" i="176"/>
  <c r="N29" i="297"/>
  <c r="F34" i="175"/>
  <c r="O39" i="178"/>
  <c r="O47" i="178" s="1"/>
  <c r="D29" i="176"/>
  <c r="D26" i="176"/>
  <c r="D16" i="176"/>
  <c r="D46" i="176"/>
  <c r="D31" i="176"/>
  <c r="D30" i="176"/>
  <c r="D10" i="176"/>
  <c r="CU20" i="169"/>
  <c r="CU36" i="169"/>
  <c r="Y13" i="168" s="1"/>
  <c r="N18" i="298"/>
  <c r="N10" i="298"/>
  <c r="N25" i="298"/>
  <c r="N17" i="298"/>
  <c r="N22" i="298"/>
  <c r="G16" i="176"/>
  <c r="E29" i="287"/>
  <c r="N21" i="298"/>
  <c r="D17" i="176"/>
  <c r="N15" i="343"/>
  <c r="G34" i="175"/>
  <c r="P39" i="178"/>
  <c r="P47" i="178" s="1"/>
  <c r="AR24" i="147"/>
  <c r="BD24" i="147"/>
  <c r="BO8" i="169"/>
  <c r="BK12" i="169"/>
  <c r="BK20" i="169" s="1"/>
  <c r="CC20" i="169"/>
  <c r="CC36" i="169"/>
  <c r="BF34" i="169"/>
  <c r="BF36" i="169"/>
  <c r="G18" i="175"/>
  <c r="O14" i="177"/>
  <c r="O12" i="177" s="1"/>
  <c r="O8" i="177" s="1"/>
  <c r="G28" i="343"/>
  <c r="N23" i="298"/>
  <c r="U53" i="147"/>
  <c r="J63" i="191"/>
  <c r="CP36" i="169"/>
  <c r="X13" i="168" s="1"/>
  <c r="K53" i="276"/>
  <c r="R10" i="298"/>
  <c r="I27" i="339"/>
  <c r="I8" i="340"/>
  <c r="H15" i="340"/>
  <c r="I15" i="340"/>
  <c r="F22" i="340"/>
  <c r="F27" i="339"/>
  <c r="F40" i="340" s="1"/>
  <c r="G22" i="340"/>
  <c r="J28" i="341"/>
  <c r="J24" i="342" s="1"/>
  <c r="K50" i="341"/>
  <c r="H8" i="345"/>
  <c r="H43" i="345" s="1"/>
  <c r="H36" i="344"/>
  <c r="N16" i="341"/>
  <c r="T14" i="298"/>
  <c r="T16" i="298"/>
  <c r="T17" i="298"/>
  <c r="N22" i="286"/>
  <c r="BS36" i="169"/>
  <c r="BO14" i="169"/>
  <c r="BX36" i="169"/>
  <c r="CM26" i="169"/>
  <c r="BU34" i="169"/>
  <c r="CG34" i="169"/>
  <c r="T28" i="170"/>
  <c r="K29" i="175"/>
  <c r="K25" i="175" s="1"/>
  <c r="O60" i="187"/>
  <c r="E56" i="187"/>
  <c r="AH10" i="177"/>
  <c r="AF12" i="298"/>
  <c r="BF92" i="147"/>
  <c r="BE106" i="147"/>
  <c r="N18" i="286"/>
  <c r="P56" i="187"/>
  <c r="C27" i="339"/>
  <c r="BB23" i="147"/>
  <c r="AA30" i="247"/>
  <c r="AA41" i="247" s="1"/>
  <c r="Z39" i="178"/>
  <c r="Z47" i="178" s="1"/>
  <c r="K12" i="335"/>
  <c r="N20" i="286"/>
  <c r="P44" i="187"/>
  <c r="P18" i="288"/>
  <c r="C19" i="286"/>
  <c r="C14" i="286" s="1"/>
  <c r="C10" i="286" s="1"/>
  <c r="AJ39" i="178"/>
  <c r="AJ47" i="178" s="1"/>
  <c r="T13" i="298"/>
  <c r="BE24" i="147"/>
  <c r="L8" i="247"/>
  <c r="P16" i="175"/>
  <c r="P14" i="175" s="1"/>
  <c r="P9" i="175" s="1"/>
  <c r="M26" i="187"/>
  <c r="AY19" i="247"/>
  <c r="AZ19" i="247" s="1"/>
  <c r="V27" i="297"/>
  <c r="AF21" i="298"/>
  <c r="C8" i="187"/>
  <c r="I19" i="286"/>
  <c r="I42" i="286" s="1"/>
  <c r="F43" i="287"/>
  <c r="L30" i="297"/>
  <c r="L33" i="297" s="1"/>
  <c r="K57" i="288"/>
  <c r="K59" i="288" s="1"/>
  <c r="T23" i="298"/>
  <c r="BF27" i="147"/>
  <c r="CR12" i="169"/>
  <c r="CM18" i="169"/>
  <c r="CH12" i="169"/>
  <c r="BG20" i="169"/>
  <c r="BV20" i="169"/>
  <c r="CB36" i="169"/>
  <c r="CR26" i="169"/>
  <c r="CH32" i="169"/>
  <c r="CA26" i="169"/>
  <c r="BY34" i="169"/>
  <c r="L19" i="247"/>
  <c r="D22" i="176"/>
  <c r="O17" i="225"/>
  <c r="C44" i="339"/>
  <c r="C56" i="339" s="1"/>
  <c r="L26" i="187"/>
  <c r="J8" i="187"/>
  <c r="O69" i="255"/>
  <c r="O76" i="255" s="1"/>
  <c r="H44" i="286" s="1"/>
  <c r="H46" i="286" s="1"/>
  <c r="G69" i="255"/>
  <c r="G76" i="255" s="1"/>
  <c r="X12" i="177"/>
  <c r="X8" i="177" s="1"/>
  <c r="I76" i="191"/>
  <c r="M16" i="341"/>
  <c r="T20" i="298"/>
  <c r="G59" i="288"/>
  <c r="AM53" i="147"/>
  <c r="AI103" i="147"/>
  <c r="AQ103" i="147"/>
  <c r="DP20" i="169"/>
  <c r="DP34" i="169"/>
  <c r="N30" i="187"/>
  <c r="AF19" i="298"/>
  <c r="BE92" i="147"/>
  <c r="BG92" i="147" s="1"/>
  <c r="O26" i="187"/>
  <c r="H30" i="187"/>
  <c r="R44" i="187"/>
  <c r="R56" i="187"/>
  <c r="R60" i="187"/>
  <c r="V47" i="178"/>
  <c r="D34" i="286"/>
  <c r="T15" i="298"/>
  <c r="P50" i="288"/>
  <c r="P42" i="288"/>
  <c r="AD17" i="178"/>
  <c r="U32" i="175" s="1"/>
  <c r="BG47" i="147"/>
  <c r="E76" i="256"/>
  <c r="L59" i="288"/>
  <c r="P54" i="288"/>
  <c r="P14" i="288"/>
  <c r="F57" i="288"/>
  <c r="DJ20" i="169"/>
  <c r="AF25" i="298"/>
  <c r="BG39" i="147"/>
  <c r="BM36" i="169"/>
  <c r="CB34" i="169"/>
  <c r="G8" i="247"/>
  <c r="I56" i="339"/>
  <c r="BI20" i="169"/>
  <c r="G20" i="287"/>
  <c r="DH36" i="169"/>
  <c r="AB11" i="168" s="1"/>
  <c r="BC103" i="147"/>
  <c r="AS103" i="147"/>
  <c r="AU104" i="147" s="1"/>
  <c r="M15" i="286"/>
  <c r="G10" i="176"/>
  <c r="V36" i="276"/>
  <c r="V34" i="276" s="1"/>
  <c r="V46" i="276" s="1"/>
  <c r="AD12" i="276"/>
  <c r="AD24" i="276"/>
  <c r="AA36" i="276"/>
  <c r="F28" i="286"/>
  <c r="E43" i="287"/>
  <c r="M18" i="251"/>
  <c r="O63" i="251"/>
  <c r="V19" i="247"/>
  <c r="BB41" i="247"/>
  <c r="Q59" i="345"/>
  <c r="BF108" i="147"/>
  <c r="AG15" i="177"/>
  <c r="BE96" i="147"/>
  <c r="BG96" i="147" s="1"/>
  <c r="BT12" i="169"/>
  <c r="G19" i="247"/>
  <c r="I59" i="288"/>
  <c r="P51" i="288"/>
  <c r="J12" i="335"/>
  <c r="AL103" i="147"/>
  <c r="M22" i="343"/>
  <c r="S44" i="187"/>
  <c r="S56" i="187"/>
  <c r="H56" i="187"/>
  <c r="D36" i="344"/>
  <c r="CK20" i="169"/>
  <c r="BQ34" i="169"/>
  <c r="CF34" i="169"/>
  <c r="AF30" i="247"/>
  <c r="AF41" i="247" s="1"/>
  <c r="BB103" i="147"/>
  <c r="D22" i="287"/>
  <c r="O36" i="225"/>
  <c r="AF23" i="298"/>
  <c r="BG98" i="147"/>
  <c r="K69" i="255"/>
  <c r="K76" i="255" s="1"/>
  <c r="D44" i="286" s="1"/>
  <c r="C40" i="286"/>
  <c r="K41" i="251"/>
  <c r="AW103" i="147"/>
  <c r="AD43" i="177"/>
  <c r="V20" i="175" s="1"/>
  <c r="K14" i="286"/>
  <c r="K10" i="286" s="1"/>
  <c r="K8" i="286" s="1"/>
  <c r="AF24" i="298"/>
  <c r="L23" i="342"/>
  <c r="R32" i="175"/>
  <c r="R29" i="175" s="1"/>
  <c r="AA39" i="178"/>
  <c r="F24" i="342"/>
  <c r="F55" i="341"/>
  <c r="F11" i="342"/>
  <c r="F23" i="342"/>
  <c r="F17" i="342"/>
  <c r="L17" i="342"/>
  <c r="L24" i="342"/>
  <c r="L11" i="342"/>
  <c r="AH107" i="147"/>
  <c r="AO9" i="178"/>
  <c r="AN9" i="178"/>
  <c r="H24" i="342"/>
  <c r="H21" i="342" s="1"/>
  <c r="H12" i="342"/>
  <c r="J76" i="256"/>
  <c r="F16" i="175"/>
  <c r="E12" i="342"/>
  <c r="K39" i="343"/>
  <c r="N27" i="343"/>
  <c r="P9" i="339"/>
  <c r="L46" i="340"/>
  <c r="P20" i="339"/>
  <c r="V24" i="147"/>
  <c r="T24" i="147"/>
  <c r="N18" i="297"/>
  <c r="N19" i="297"/>
  <c r="N12" i="297"/>
  <c r="N17" i="297"/>
  <c r="N25" i="297"/>
  <c r="N22" i="297"/>
  <c r="N9" i="297"/>
  <c r="AV41" i="247"/>
  <c r="AZ41" i="247" s="1"/>
  <c r="AZ40" i="247"/>
  <c r="G22" i="176"/>
  <c r="G29" i="176"/>
  <c r="G18" i="176"/>
  <c r="L34" i="175"/>
  <c r="U39" i="178"/>
  <c r="U47" i="178" s="1"/>
  <c r="Q18" i="175"/>
  <c r="Q16" i="175" s="1"/>
  <c r="Q14" i="175" s="1"/>
  <c r="Q9" i="175" s="1"/>
  <c r="Y14" i="177"/>
  <c r="Y12" i="177" s="1"/>
  <c r="Y8" i="177" s="1"/>
  <c r="AD20" i="298"/>
  <c r="AD24" i="298"/>
  <c r="AD21" i="298"/>
  <c r="AD22" i="298"/>
  <c r="AD16" i="298"/>
  <c r="AY24" i="147"/>
  <c r="AW24" i="147"/>
  <c r="E28" i="286"/>
  <c r="N17" i="286"/>
  <c r="L15" i="286"/>
  <c r="L14" i="286" s="1"/>
  <c r="I47" i="326"/>
  <c r="J41" i="326"/>
  <c r="H46" i="340"/>
  <c r="AD8" i="178"/>
  <c r="L28" i="286"/>
  <c r="AD25" i="298"/>
  <c r="AB40" i="276"/>
  <c r="Y34" i="276"/>
  <c r="Y46" i="276" s="1"/>
  <c r="I18" i="175"/>
  <c r="Q14" i="177"/>
  <c r="Q12" i="177" s="1"/>
  <c r="Q8" i="177" s="1"/>
  <c r="K19" i="175"/>
  <c r="S14" i="177"/>
  <c r="S12" i="177" s="1"/>
  <c r="S8" i="177" s="1"/>
  <c r="G20" i="176"/>
  <c r="BQ36" i="169"/>
  <c r="AD15" i="298"/>
  <c r="L41" i="247"/>
  <c r="J18" i="175"/>
  <c r="J16" i="175" s="1"/>
  <c r="R14" i="177"/>
  <c r="R12" i="177" s="1"/>
  <c r="R8" i="177" s="1"/>
  <c r="I34" i="175"/>
  <c r="R39" i="178"/>
  <c r="R47" i="178" s="1"/>
  <c r="BF52" i="147"/>
  <c r="BF98" i="147"/>
  <c r="CR32" i="169"/>
  <c r="O8" i="187"/>
  <c r="P8" i="187"/>
  <c r="Q69" i="256"/>
  <c r="P26" i="187"/>
  <c r="Q26" i="187"/>
  <c r="Q30" i="187"/>
  <c r="R69" i="256"/>
  <c r="R76" i="256" s="1"/>
  <c r="I30" i="187"/>
  <c r="J30" i="187"/>
  <c r="G60" i="187"/>
  <c r="D8" i="187"/>
  <c r="AD10" i="298"/>
  <c r="AD12" i="298"/>
  <c r="DA20" i="169"/>
  <c r="DB12" i="169"/>
  <c r="L36" i="140"/>
  <c r="K36" i="140"/>
  <c r="I36" i="140"/>
  <c r="J36" i="140"/>
  <c r="CA18" i="169"/>
  <c r="BS20" i="169"/>
  <c r="BX20" i="169"/>
  <c r="BO26" i="169"/>
  <c r="CL34" i="169"/>
  <c r="AK30" i="178"/>
  <c r="AK39" i="178" s="1"/>
  <c r="AK47" i="178" s="1"/>
  <c r="AM32" i="178"/>
  <c r="BE41" i="247"/>
  <c r="AP41" i="247"/>
  <c r="H47" i="340"/>
  <c r="AT104" i="147"/>
  <c r="AJ104" i="147"/>
  <c r="G19" i="176"/>
  <c r="AF15" i="177"/>
  <c r="BM34" i="169"/>
  <c r="R14" i="175"/>
  <c r="L27" i="297"/>
  <c r="L12" i="335"/>
  <c r="AD40" i="276"/>
  <c r="AD13" i="298"/>
  <c r="N23" i="297"/>
  <c r="N7" i="297"/>
  <c r="N14" i="297"/>
  <c r="N26" i="297"/>
  <c r="N27" i="297"/>
  <c r="N21" i="297"/>
  <c r="O34" i="175"/>
  <c r="O29" i="175" s="1"/>
  <c r="X39" i="178"/>
  <c r="X47" i="178" s="1"/>
  <c r="P26" i="298"/>
  <c r="AD30" i="177"/>
  <c r="G36" i="287"/>
  <c r="CZ34" i="169"/>
  <c r="BJ12" i="169"/>
  <c r="L25" i="326"/>
  <c r="P69" i="256"/>
  <c r="AE8" i="178"/>
  <c r="V31" i="175" s="1"/>
  <c r="V29" i="175" s="1"/>
  <c r="AH20" i="177"/>
  <c r="AO33" i="178"/>
  <c r="AN33" i="178"/>
  <c r="AH41" i="178"/>
  <c r="V30" i="297"/>
  <c r="V31" i="297"/>
  <c r="V32" i="297"/>
  <c r="U35" i="297"/>
  <c r="V29" i="297"/>
  <c r="AH17" i="178"/>
  <c r="AI17" i="178" s="1"/>
  <c r="AI18" i="178"/>
  <c r="AO18" i="178"/>
  <c r="N69" i="255"/>
  <c r="N76" i="255" s="1"/>
  <c r="F69" i="255"/>
  <c r="F76" i="255" s="1"/>
  <c r="N8" i="187"/>
  <c r="H69" i="256"/>
  <c r="C44" i="187"/>
  <c r="D44" i="187"/>
  <c r="K44" i="187"/>
  <c r="L44" i="187"/>
  <c r="I56" i="187"/>
  <c r="J56" i="187"/>
  <c r="H60" i="187"/>
  <c r="I60" i="187"/>
  <c r="I78" i="191"/>
  <c r="N36" i="140"/>
  <c r="O36" i="140"/>
  <c r="BE52" i="147"/>
  <c r="BO16" i="169"/>
  <c r="CH18" i="169"/>
  <c r="BM20" i="169"/>
  <c r="BU36" i="169"/>
  <c r="BY36" i="169"/>
  <c r="CE20" i="169"/>
  <c r="BV36" i="169"/>
  <c r="CJ20" i="169"/>
  <c r="BT32" i="169"/>
  <c r="BJ32" i="169"/>
  <c r="BN34" i="169"/>
  <c r="CD36" i="169"/>
  <c r="CI20" i="169"/>
  <c r="CN34" i="169"/>
  <c r="AO35" i="178"/>
  <c r="BE94" i="147"/>
  <c r="BG94" i="147" s="1"/>
  <c r="BE102" i="147"/>
  <c r="BG102" i="147" s="1"/>
  <c r="M69" i="255"/>
  <c r="M76" i="255" s="1"/>
  <c r="E69" i="255"/>
  <c r="E76" i="255" s="1"/>
  <c r="G21" i="287"/>
  <c r="BA53" i="147"/>
  <c r="AU41" i="247"/>
  <c r="BG100" i="147"/>
  <c r="AF26" i="298"/>
  <c r="AF43" i="177"/>
  <c r="S69" i="255"/>
  <c r="S76" i="255" s="1"/>
  <c r="L44" i="286" s="1"/>
  <c r="F11" i="287"/>
  <c r="G12" i="287"/>
  <c r="G11" i="287" s="1"/>
  <c r="P36" i="288"/>
  <c r="P30" i="288"/>
  <c r="DS36" i="169"/>
  <c r="AD15" i="168" s="1"/>
  <c r="AD6" i="168" s="1"/>
  <c r="L37" i="339"/>
  <c r="L56" i="339" s="1"/>
  <c r="J37" i="339"/>
  <c r="J56" i="339" s="1"/>
  <c r="S16" i="175"/>
  <c r="S14" i="175" s="1"/>
  <c r="W32" i="184"/>
  <c r="N29" i="286"/>
  <c r="AF22" i="298"/>
  <c r="N50" i="286"/>
  <c r="AG41" i="178"/>
  <c r="Q69" i="255"/>
  <c r="Q76" i="255" s="1"/>
  <c r="I69" i="255"/>
  <c r="I76" i="255" s="1"/>
  <c r="S69" i="256"/>
  <c r="S76" i="256" s="1"/>
  <c r="R73" i="187" s="1"/>
  <c r="K69" i="256"/>
  <c r="J68" i="187" s="1"/>
  <c r="C69" i="255"/>
  <c r="C76" i="255" s="1"/>
  <c r="P47" i="276"/>
  <c r="T32" i="184"/>
  <c r="P69" i="255"/>
  <c r="P76" i="255" s="1"/>
  <c r="H69" i="255"/>
  <c r="H76" i="255" s="1"/>
  <c r="E36" i="344"/>
  <c r="Q61" i="345"/>
  <c r="Q45" i="345"/>
  <c r="Q43" i="345" s="1"/>
  <c r="Q47" i="345"/>
  <c r="Q51" i="345"/>
  <c r="Q67" i="345"/>
  <c r="Q53" i="345"/>
  <c r="Q63" i="345"/>
  <c r="Q25" i="175"/>
  <c r="J7" i="297"/>
  <c r="L16" i="175"/>
  <c r="J9" i="297"/>
  <c r="J24" i="297"/>
  <c r="J16" i="297"/>
  <c r="P27" i="297"/>
  <c r="T14" i="175"/>
  <c r="H21" i="298"/>
  <c r="H17" i="298"/>
  <c r="AE11" i="168"/>
  <c r="J8" i="286"/>
  <c r="DE20" i="169"/>
  <c r="DG12" i="169"/>
  <c r="DE36" i="169"/>
  <c r="AA13" i="168" s="1"/>
  <c r="H18" i="298"/>
  <c r="H24" i="298"/>
  <c r="H11" i="342"/>
  <c r="H16" i="342"/>
  <c r="Z32" i="184"/>
  <c r="BU20" i="169"/>
  <c r="H39" i="343"/>
  <c r="H28" i="343"/>
  <c r="E35" i="297"/>
  <c r="F29" i="297"/>
  <c r="F30" i="297"/>
  <c r="H10" i="342"/>
  <c r="H19" i="342"/>
  <c r="G41" i="340"/>
  <c r="G38" i="343"/>
  <c r="G40" i="343" s="1"/>
  <c r="G54" i="340"/>
  <c r="G51" i="340" s="1"/>
  <c r="G48" i="340"/>
  <c r="G42" i="340"/>
  <c r="G56" i="339"/>
  <c r="BG34" i="169"/>
  <c r="BG36" i="169"/>
  <c r="K38" i="343"/>
  <c r="CE36" i="169"/>
  <c r="BA92" i="147"/>
  <c r="CN36" i="169"/>
  <c r="X11" i="168" s="1"/>
  <c r="H7" i="297"/>
  <c r="CI36" i="169"/>
  <c r="W11" i="168" s="1"/>
  <c r="O57" i="288"/>
  <c r="O59" i="288" s="1"/>
  <c r="DS20" i="169"/>
  <c r="K28" i="341"/>
  <c r="H21" i="297"/>
  <c r="Z14" i="177"/>
  <c r="Z12" i="177" s="1"/>
  <c r="Z8" i="177" s="1"/>
  <c r="AC23" i="147"/>
  <c r="AC92" i="147"/>
  <c r="AC103" i="147" s="1"/>
  <c r="H13" i="297"/>
  <c r="H8" i="297"/>
  <c r="H11" i="297"/>
  <c r="H14" i="297"/>
  <c r="G35" i="297"/>
  <c r="H9" i="297"/>
  <c r="H12" i="297"/>
  <c r="H18" i="297"/>
  <c r="E8" i="187"/>
  <c r="M40" i="286"/>
  <c r="T69" i="255"/>
  <c r="T76" i="255" s="1"/>
  <c r="L69" i="255"/>
  <c r="L76" i="255" s="1"/>
  <c r="D69" i="255"/>
  <c r="D76" i="255" s="1"/>
  <c r="BG90" i="147"/>
  <c r="R69" i="255"/>
  <c r="R76" i="255" s="1"/>
  <c r="J69" i="255"/>
  <c r="J76" i="255" s="1"/>
  <c r="R8" i="187"/>
  <c r="Q8" i="187"/>
  <c r="S30" i="187"/>
  <c r="T69" i="256"/>
  <c r="K30" i="187"/>
  <c r="L30" i="187"/>
  <c r="L69" i="256"/>
  <c r="L68" i="187" s="1"/>
  <c r="D69" i="256"/>
  <c r="C30" i="187"/>
  <c r="D30" i="187"/>
  <c r="N69" i="256"/>
  <c r="M44" i="187"/>
  <c r="N44" i="187"/>
  <c r="M60" i="187"/>
  <c r="N60" i="187"/>
  <c r="H44" i="187"/>
  <c r="I44" i="187"/>
  <c r="I69" i="256"/>
  <c r="G56" i="187"/>
  <c r="G69" i="256"/>
  <c r="F69" i="256"/>
  <c r="E60" i="187"/>
  <c r="F60" i="187"/>
  <c r="C69" i="256"/>
  <c r="C7" i="187"/>
  <c r="M76" i="256"/>
  <c r="AH69" i="177"/>
  <c r="AF58" i="177"/>
  <c r="AF14" i="298"/>
  <c r="AF15" i="298"/>
  <c r="AF16" i="298"/>
  <c r="AF11" i="298"/>
  <c r="W31" i="175" l="1"/>
  <c r="AN8" i="178"/>
  <c r="J69" i="188"/>
  <c r="E69" i="188"/>
  <c r="F56" i="339"/>
  <c r="H23" i="298"/>
  <c r="E38" i="343"/>
  <c r="E40" i="343" s="1"/>
  <c r="V26" i="298"/>
  <c r="G27" i="340"/>
  <c r="F53" i="340"/>
  <c r="AL39" i="178"/>
  <c r="H14" i="298"/>
  <c r="H20" i="298"/>
  <c r="H40" i="340"/>
  <c r="I43" i="345"/>
  <c r="L19" i="342"/>
  <c r="G23" i="342"/>
  <c r="G11" i="342"/>
  <c r="G18" i="342"/>
  <c r="L9" i="342"/>
  <c r="L18" i="342"/>
  <c r="E23" i="342"/>
  <c r="E24" i="342"/>
  <c r="E10" i="342"/>
  <c r="G16" i="342"/>
  <c r="E11" i="342"/>
  <c r="E9" i="342"/>
  <c r="L10" i="342"/>
  <c r="E19" i="342"/>
  <c r="E16" i="342"/>
  <c r="H55" i="341"/>
  <c r="L16" i="342"/>
  <c r="DB34" i="169"/>
  <c r="DQ20" i="169"/>
  <c r="DG34" i="169"/>
  <c r="F22" i="287"/>
  <c r="F10" i="286"/>
  <c r="F8" i="286" s="1"/>
  <c r="J17" i="297"/>
  <c r="I35" i="297"/>
  <c r="J12" i="297"/>
  <c r="J22" i="297"/>
  <c r="J11" i="297"/>
  <c r="J10" i="297"/>
  <c r="J18" i="297"/>
  <c r="W33" i="175"/>
  <c r="AD36" i="276"/>
  <c r="AB6" i="168"/>
  <c r="M54" i="342"/>
  <c r="BA103" i="147"/>
  <c r="BA107" i="147" s="1"/>
  <c r="E72" i="188"/>
  <c r="AG30" i="178"/>
  <c r="AI30" i="178" s="1"/>
  <c r="CM20" i="169"/>
  <c r="Q36" i="175"/>
  <c r="AI104" i="147"/>
  <c r="E57" i="188"/>
  <c r="BN20" i="169"/>
  <c r="Z26" i="298"/>
  <c r="DQ36" i="169"/>
  <c r="BL20" i="169"/>
  <c r="K56" i="339"/>
  <c r="AG104" i="147"/>
  <c r="E8" i="188"/>
  <c r="E12" i="188"/>
  <c r="E42" i="188"/>
  <c r="AA34" i="276"/>
  <c r="AA46" i="276" s="1"/>
  <c r="AC28" i="276" s="1"/>
  <c r="CM34" i="169"/>
  <c r="AN104" i="147"/>
  <c r="E47" i="188"/>
  <c r="E67" i="188"/>
  <c r="M25" i="175"/>
  <c r="M40" i="175" s="1"/>
  <c r="E42" i="286"/>
  <c r="F52" i="287"/>
  <c r="E65" i="188"/>
  <c r="E10" i="188"/>
  <c r="E10" i="286"/>
  <c r="E8" i="286" s="1"/>
  <c r="BL36" i="169"/>
  <c r="AP104" i="147"/>
  <c r="I28" i="343"/>
  <c r="DG20" i="169"/>
  <c r="AE14" i="177"/>
  <c r="AE12" i="177" s="1"/>
  <c r="AE8" i="177" s="1"/>
  <c r="E51" i="188"/>
  <c r="E71" i="188"/>
  <c r="BT20" i="169"/>
  <c r="R68" i="187"/>
  <c r="E58" i="188"/>
  <c r="Q68" i="187"/>
  <c r="H12" i="298"/>
  <c r="H16" i="298"/>
  <c r="H25" i="298"/>
  <c r="R27" i="297"/>
  <c r="S41" i="176"/>
  <c r="S11" i="176" s="1"/>
  <c r="J40" i="343"/>
  <c r="J48" i="343" s="1"/>
  <c r="Z46" i="276"/>
  <c r="DV20" i="169"/>
  <c r="K53" i="340"/>
  <c r="AF39" i="178"/>
  <c r="K41" i="340"/>
  <c r="J19" i="297"/>
  <c r="N54" i="342"/>
  <c r="D13" i="298"/>
  <c r="W29" i="175"/>
  <c r="W25" i="175" s="1"/>
  <c r="K49" i="340"/>
  <c r="K46" i="340"/>
  <c r="BO12" i="169"/>
  <c r="DL36" i="169"/>
  <c r="D22" i="298"/>
  <c r="I44" i="286"/>
  <c r="W6" i="168"/>
  <c r="AI32" i="178"/>
  <c r="AB36" i="276"/>
  <c r="X6" i="168"/>
  <c r="F54" i="340"/>
  <c r="F51" i="340" s="1"/>
  <c r="K39" i="340"/>
  <c r="H27" i="340"/>
  <c r="X19" i="175"/>
  <c r="Z19" i="175" s="1"/>
  <c r="D24" i="298"/>
  <c r="K27" i="340"/>
  <c r="K40" i="340"/>
  <c r="Y31" i="175"/>
  <c r="Z31" i="175" s="1"/>
  <c r="AN32" i="178"/>
  <c r="N28" i="286"/>
  <c r="DL34" i="169"/>
  <c r="E74" i="188"/>
  <c r="E14" i="188"/>
  <c r="E49" i="188"/>
  <c r="E13" i="188"/>
  <c r="J23" i="342"/>
  <c r="J21" i="342" s="1"/>
  <c r="P33" i="297"/>
  <c r="G49" i="340"/>
  <c r="H38" i="343"/>
  <c r="H40" i="343" s="1"/>
  <c r="D14" i="298"/>
  <c r="DV36" i="169"/>
  <c r="E41" i="340"/>
  <c r="AC18" i="276"/>
  <c r="E52" i="188"/>
  <c r="E41" i="188"/>
  <c r="E23" i="188"/>
  <c r="E9" i="188"/>
  <c r="F59" i="288"/>
  <c r="AR104" i="147"/>
  <c r="G47" i="340"/>
  <c r="D16" i="298"/>
  <c r="E40" i="340"/>
  <c r="E53" i="188"/>
  <c r="E63" i="188"/>
  <c r="E16" i="188"/>
  <c r="G29" i="287"/>
  <c r="I14" i="342"/>
  <c r="H42" i="340"/>
  <c r="H37" i="340" s="1"/>
  <c r="E42" i="340"/>
  <c r="R41" i="176"/>
  <c r="R15" i="176" s="1"/>
  <c r="J41" i="176"/>
  <c r="J11" i="176" s="1"/>
  <c r="E33" i="188"/>
  <c r="E45" i="188"/>
  <c r="E31" i="188"/>
  <c r="H29" i="175"/>
  <c r="BN36" i="169"/>
  <c r="H54" i="340"/>
  <c r="H51" i="340" s="1"/>
  <c r="X26" i="298"/>
  <c r="E39" i="340"/>
  <c r="E47" i="340"/>
  <c r="E54" i="340"/>
  <c r="E51" i="340" s="1"/>
  <c r="E46" i="340"/>
  <c r="D19" i="298"/>
  <c r="D25" i="298"/>
  <c r="D15" i="298"/>
  <c r="D18" i="298"/>
  <c r="D17" i="298"/>
  <c r="N19" i="286"/>
  <c r="M42" i="286"/>
  <c r="N42" i="286" s="1"/>
  <c r="M14" i="286"/>
  <c r="V41" i="176"/>
  <c r="AC42" i="276"/>
  <c r="J42" i="340"/>
  <c r="J39" i="340"/>
  <c r="R25" i="175"/>
  <c r="AA6" i="168"/>
  <c r="J26" i="297"/>
  <c r="J48" i="340"/>
  <c r="J44" i="340" s="1"/>
  <c r="D55" i="341"/>
  <c r="G14" i="342"/>
  <c r="C27" i="343"/>
  <c r="C39" i="343" s="1"/>
  <c r="C40" i="343" s="1"/>
  <c r="F13" i="298"/>
  <c r="CH34" i="169"/>
  <c r="J28" i="343"/>
  <c r="F10" i="342"/>
  <c r="F9" i="342"/>
  <c r="F19" i="342"/>
  <c r="F16" i="342"/>
  <c r="G55" i="341"/>
  <c r="F12" i="342"/>
  <c r="F18" i="342"/>
  <c r="F12" i="298"/>
  <c r="BE103" i="147"/>
  <c r="BE107" i="147" s="1"/>
  <c r="AC38" i="276"/>
  <c r="AA47" i="178"/>
  <c r="BK36" i="169"/>
  <c r="J59" i="288"/>
  <c r="I21" i="342"/>
  <c r="AI8" i="178"/>
  <c r="K54" i="340"/>
  <c r="J21" i="297"/>
  <c r="AH15" i="177"/>
  <c r="M41" i="251"/>
  <c r="L11" i="191"/>
  <c r="G21" i="342"/>
  <c r="K42" i="340"/>
  <c r="K47" i="340"/>
  <c r="G14" i="286"/>
  <c r="G10" i="286" s="1"/>
  <c r="G8" i="286" s="1"/>
  <c r="G7" i="342"/>
  <c r="P26" i="288"/>
  <c r="Y6" i="168"/>
  <c r="DQ34" i="169"/>
  <c r="K11" i="191"/>
  <c r="AX104" i="147"/>
  <c r="J51" i="340"/>
  <c r="L26" i="298"/>
  <c r="L14" i="342"/>
  <c r="P78" i="255"/>
  <c r="L10" i="286"/>
  <c r="L8" i="286" s="1"/>
  <c r="I7" i="342"/>
  <c r="O69" i="188"/>
  <c r="O13" i="188"/>
  <c r="O35" i="188"/>
  <c r="O8" i="188"/>
  <c r="O39" i="188"/>
  <c r="O55" i="188"/>
  <c r="O21" i="188"/>
  <c r="O33" i="188"/>
  <c r="O45" i="188"/>
  <c r="O9" i="188"/>
  <c r="O74" i="188"/>
  <c r="O43" i="188"/>
  <c r="O58" i="188"/>
  <c r="O67" i="188"/>
  <c r="O16" i="188"/>
  <c r="O20" i="188"/>
  <c r="O40" i="188"/>
  <c r="O62" i="188"/>
  <c r="O34" i="188"/>
  <c r="BD107" i="147"/>
  <c r="BD104" i="147"/>
  <c r="P22" i="339"/>
  <c r="P24" i="339"/>
  <c r="L39" i="340"/>
  <c r="P25" i="339"/>
  <c r="L49" i="340"/>
  <c r="P10" i="339"/>
  <c r="L42" i="340"/>
  <c r="N27" i="339"/>
  <c r="P23" i="339"/>
  <c r="L48" i="340"/>
  <c r="P8" i="339"/>
  <c r="P12" i="339"/>
  <c r="P19" i="339"/>
  <c r="P15" i="339"/>
  <c r="P13" i="339"/>
  <c r="L53" i="340"/>
  <c r="M27" i="339"/>
  <c r="P11" i="339"/>
  <c r="AZ104" i="147"/>
  <c r="AD34" i="276"/>
  <c r="AC12" i="276"/>
  <c r="AC10" i="276"/>
  <c r="AA47" i="276"/>
  <c r="J31" i="188"/>
  <c r="H44" i="340"/>
  <c r="P18" i="339"/>
  <c r="L38" i="343"/>
  <c r="L40" i="343" s="1"/>
  <c r="F14" i="298"/>
  <c r="Z6" i="168"/>
  <c r="J13" i="297"/>
  <c r="AX107" i="147"/>
  <c r="AC34" i="276"/>
  <c r="C42" i="286"/>
  <c r="AC20" i="276"/>
  <c r="AD46" i="276"/>
  <c r="AC14" i="276"/>
  <c r="BO34" i="169"/>
  <c r="DB36" i="169"/>
  <c r="L27" i="340"/>
  <c r="F22" i="298"/>
  <c r="CA34" i="169"/>
  <c r="CR20" i="169"/>
  <c r="BF103" i="147"/>
  <c r="BF107" i="147" s="1"/>
  <c r="AC14" i="177"/>
  <c r="AC12" i="177" s="1"/>
  <c r="AC8" i="177" s="1"/>
  <c r="N26" i="298"/>
  <c r="C39" i="176"/>
  <c r="R26" i="298"/>
  <c r="AV104" i="147"/>
  <c r="F27" i="297"/>
  <c r="AC8" i="276"/>
  <c r="AC44" i="276"/>
  <c r="BJ34" i="169"/>
  <c r="DB20" i="169"/>
  <c r="L41" i="340"/>
  <c r="AD104" i="147"/>
  <c r="C8" i="176"/>
  <c r="D14" i="286"/>
  <c r="D10" i="286" s="1"/>
  <c r="D8" i="286" s="1"/>
  <c r="D42" i="286"/>
  <c r="D24" i="342"/>
  <c r="D16" i="342"/>
  <c r="D23" i="342"/>
  <c r="D9" i="342"/>
  <c r="D11" i="342"/>
  <c r="D10" i="342"/>
  <c r="D18" i="342"/>
  <c r="D17" i="342"/>
  <c r="D12" i="342"/>
  <c r="D19" i="342"/>
  <c r="AC26" i="276"/>
  <c r="BT36" i="169"/>
  <c r="L54" i="340"/>
  <c r="L51" i="340" s="1"/>
  <c r="N33" i="297"/>
  <c r="AC36" i="276"/>
  <c r="BO18" i="169"/>
  <c r="BO36" i="169" s="1"/>
  <c r="AM30" i="178"/>
  <c r="AC32" i="276"/>
  <c r="AC16" i="276"/>
  <c r="S13" i="176"/>
  <c r="P17" i="339"/>
  <c r="D54" i="287"/>
  <c r="AC6" i="168"/>
  <c r="AE6" i="168" s="1"/>
  <c r="T26" i="298"/>
  <c r="AH31" i="184"/>
  <c r="AF32" i="184"/>
  <c r="N36" i="175"/>
  <c r="AC24" i="276"/>
  <c r="AC22" i="276"/>
  <c r="L40" i="340"/>
  <c r="L47" i="340"/>
  <c r="AM107" i="147"/>
  <c r="AM104" i="147"/>
  <c r="J23" i="297"/>
  <c r="J8" i="297"/>
  <c r="J18" i="342"/>
  <c r="J9" i="342"/>
  <c r="J19" i="342"/>
  <c r="J12" i="342"/>
  <c r="J16" i="342"/>
  <c r="J10" i="342"/>
  <c r="J55" i="341"/>
  <c r="J11" i="342"/>
  <c r="J17" i="342"/>
  <c r="G22" i="287"/>
  <c r="H41" i="176"/>
  <c r="H24" i="176" s="1"/>
  <c r="AD56" i="147"/>
  <c r="AD53" i="147"/>
  <c r="CM36" i="169"/>
  <c r="F42" i="340"/>
  <c r="F46" i="340"/>
  <c r="F49" i="340"/>
  <c r="F27" i="340"/>
  <c r="F47" i="340"/>
  <c r="F48" i="340"/>
  <c r="O63" i="188"/>
  <c r="O14" i="188"/>
  <c r="O11" i="188"/>
  <c r="O31" i="188"/>
  <c r="O37" i="188"/>
  <c r="O46" i="188"/>
  <c r="O71" i="188"/>
  <c r="O49" i="188"/>
  <c r="O47" i="188"/>
  <c r="O36" i="188"/>
  <c r="O42" i="188"/>
  <c r="O32" i="188"/>
  <c r="O41" i="188"/>
  <c r="O59" i="188"/>
  <c r="O10" i="188"/>
  <c r="O12" i="188"/>
  <c r="O52" i="188"/>
  <c r="O66" i="188"/>
  <c r="O50" i="188"/>
  <c r="O61" i="188"/>
  <c r="O51" i="188"/>
  <c r="O23" i="188"/>
  <c r="O25" i="188"/>
  <c r="O72" i="188"/>
  <c r="O65" i="188"/>
  <c r="O53" i="188"/>
  <c r="O57" i="188"/>
  <c r="E36" i="175"/>
  <c r="C35" i="176" s="1"/>
  <c r="C28" i="176"/>
  <c r="F39" i="340"/>
  <c r="E17" i="176"/>
  <c r="G16" i="175"/>
  <c r="D33" i="176"/>
  <c r="F29" i="175"/>
  <c r="F17" i="298"/>
  <c r="F15" i="298"/>
  <c r="F23" i="298"/>
  <c r="F24" i="298"/>
  <c r="F18" i="298"/>
  <c r="F16" i="298"/>
  <c r="F20" i="298"/>
  <c r="F21" i="298"/>
  <c r="F19" i="298"/>
  <c r="F11" i="298"/>
  <c r="F10" i="298"/>
  <c r="I38" i="343"/>
  <c r="I40" i="343" s="1"/>
  <c r="I42" i="340"/>
  <c r="I48" i="340"/>
  <c r="I27" i="340"/>
  <c r="I40" i="340"/>
  <c r="J27" i="340"/>
  <c r="I54" i="340"/>
  <c r="I39" i="340"/>
  <c r="I46" i="340"/>
  <c r="I41" i="340"/>
  <c r="I49" i="340"/>
  <c r="I53" i="340"/>
  <c r="I47" i="340"/>
  <c r="DG36" i="169"/>
  <c r="F41" i="340"/>
  <c r="DL20" i="169"/>
  <c r="H25" i="175"/>
  <c r="F24" i="176" s="1"/>
  <c r="F28" i="176"/>
  <c r="F18" i="176"/>
  <c r="H16" i="175"/>
  <c r="G37" i="340"/>
  <c r="I14" i="286"/>
  <c r="I10" i="286" s="1"/>
  <c r="I8" i="286" s="1"/>
  <c r="AE39" i="178"/>
  <c r="AE47" i="178" s="1"/>
  <c r="AE56" i="178" s="1"/>
  <c r="F38" i="343"/>
  <c r="F40" i="343" s="1"/>
  <c r="AQ107" i="147"/>
  <c r="AQ104" i="147"/>
  <c r="E33" i="176"/>
  <c r="G29" i="175"/>
  <c r="AI107" i="147"/>
  <c r="AK104" i="147"/>
  <c r="AL107" i="147"/>
  <c r="AL104" i="147"/>
  <c r="Y18" i="175"/>
  <c r="Y16" i="175" s="1"/>
  <c r="Y14" i="175" s="1"/>
  <c r="Y9" i="175" s="1"/>
  <c r="AG14" i="177"/>
  <c r="AG12" i="177" s="1"/>
  <c r="AG8" i="177" s="1"/>
  <c r="G43" i="287"/>
  <c r="E52" i="287"/>
  <c r="E54" i="287" s="1"/>
  <c r="S32" i="176"/>
  <c r="BB107" i="147"/>
  <c r="BB104" i="147"/>
  <c r="AS107" i="147"/>
  <c r="AS104" i="147"/>
  <c r="K76" i="256"/>
  <c r="BC107" i="147"/>
  <c r="BC104" i="147"/>
  <c r="E11" i="188"/>
  <c r="E59" i="188"/>
  <c r="E46" i="188"/>
  <c r="E25" i="188"/>
  <c r="E55" i="188"/>
  <c r="E62" i="188"/>
  <c r="E40" i="188"/>
  <c r="E61" i="188"/>
  <c r="E66" i="188"/>
  <c r="E39" i="188"/>
  <c r="E37" i="188"/>
  <c r="E32" i="188"/>
  <c r="E50" i="188"/>
  <c r="E43" i="188"/>
  <c r="E36" i="188"/>
  <c r="E20" i="188"/>
  <c r="E21" i="188"/>
  <c r="E34" i="188"/>
  <c r="E35" i="188"/>
  <c r="P57" i="288"/>
  <c r="V47" i="276"/>
  <c r="W47" i="276"/>
  <c r="F21" i="342"/>
  <c r="AW107" i="147"/>
  <c r="AW104" i="147"/>
  <c r="AY104" i="147"/>
  <c r="F33" i="297"/>
  <c r="I29" i="175"/>
  <c r="G33" i="176"/>
  <c r="K16" i="175"/>
  <c r="AN30" i="178"/>
  <c r="AG39" i="178"/>
  <c r="AG47" i="178" s="1"/>
  <c r="AI41" i="178"/>
  <c r="AO41" i="178"/>
  <c r="U31" i="175"/>
  <c r="AD39" i="178"/>
  <c r="AD47" i="178" s="1"/>
  <c r="L29" i="175"/>
  <c r="M39" i="343"/>
  <c r="N39" i="343"/>
  <c r="Y32" i="175"/>
  <c r="S9" i="175"/>
  <c r="S36" i="175"/>
  <c r="F44" i="286"/>
  <c r="F46" i="286" s="1"/>
  <c r="P41" i="176"/>
  <c r="P13" i="176" s="1"/>
  <c r="CH36" i="169"/>
  <c r="CH20" i="169"/>
  <c r="H76" i="256"/>
  <c r="CA20" i="169"/>
  <c r="CA36" i="169"/>
  <c r="AD26" i="298"/>
  <c r="G17" i="176"/>
  <c r="I16" i="175"/>
  <c r="K47" i="326"/>
  <c r="K7" i="326"/>
  <c r="K15" i="326"/>
  <c r="K19" i="326"/>
  <c r="K18" i="326"/>
  <c r="K25" i="326"/>
  <c r="K11" i="326"/>
  <c r="K20" i="326"/>
  <c r="K36" i="326"/>
  <c r="K45" i="326"/>
  <c r="K41" i="326"/>
  <c r="K13" i="326"/>
  <c r="K14" i="326"/>
  <c r="K40" i="326"/>
  <c r="K31" i="326"/>
  <c r="K39" i="326"/>
  <c r="K24" i="326"/>
  <c r="K10" i="326"/>
  <c r="K6" i="326"/>
  <c r="K28" i="326"/>
  <c r="J47" i="326"/>
  <c r="K26" i="326"/>
  <c r="K44" i="326"/>
  <c r="K23" i="326"/>
  <c r="K35" i="326"/>
  <c r="K8" i="326"/>
  <c r="K33" i="326"/>
  <c r="K43" i="326"/>
  <c r="K22" i="326"/>
  <c r="K30" i="326"/>
  <c r="K9" i="326"/>
  <c r="K37" i="326"/>
  <c r="K17" i="326"/>
  <c r="K29" i="326"/>
  <c r="K34" i="326"/>
  <c r="K12" i="326"/>
  <c r="K38" i="326"/>
  <c r="K42" i="326"/>
  <c r="K16" i="326"/>
  <c r="K46" i="326"/>
  <c r="K21" i="326"/>
  <c r="K27" i="326"/>
  <c r="K32" i="326"/>
  <c r="BT34" i="169"/>
  <c r="AD14" i="177"/>
  <c r="AD12" i="177" s="1"/>
  <c r="AD8" i="177" s="1"/>
  <c r="V19" i="175"/>
  <c r="V16" i="175" s="1"/>
  <c r="V14" i="175" s="1"/>
  <c r="V9" i="175" s="1"/>
  <c r="H78" i="255"/>
  <c r="K41" i="176"/>
  <c r="K24" i="176" s="1"/>
  <c r="I78" i="255"/>
  <c r="AH43" i="177"/>
  <c r="X20" i="175"/>
  <c r="Z20" i="175" s="1"/>
  <c r="P76" i="256"/>
  <c r="O73" i="187" s="1"/>
  <c r="O68" i="187"/>
  <c r="N15" i="286"/>
  <c r="L40" i="286"/>
  <c r="N40" i="286" s="1"/>
  <c r="H11" i="176"/>
  <c r="H32" i="176"/>
  <c r="AF14" i="177"/>
  <c r="AF12" i="177" s="1"/>
  <c r="X18" i="175"/>
  <c r="AH39" i="178"/>
  <c r="AH47" i="178" s="1"/>
  <c r="H7" i="342"/>
  <c r="S9" i="176"/>
  <c r="S31" i="176"/>
  <c r="S20" i="176"/>
  <c r="S18" i="176"/>
  <c r="S10" i="176"/>
  <c r="J44" i="286"/>
  <c r="J46" i="286" s="1"/>
  <c r="Q78" i="255"/>
  <c r="BE53" i="147"/>
  <c r="BE56" i="147"/>
  <c r="O25" i="175"/>
  <c r="O40" i="175" s="1"/>
  <c r="O36" i="175"/>
  <c r="CR34" i="169"/>
  <c r="CR36" i="169"/>
  <c r="K44" i="340"/>
  <c r="D15" i="176"/>
  <c r="F14" i="175"/>
  <c r="AO17" i="178"/>
  <c r="X27" i="175"/>
  <c r="V26" i="176" s="1"/>
  <c r="AN41" i="178"/>
  <c r="F78" i="255"/>
  <c r="I41" i="176"/>
  <c r="G78" i="255"/>
  <c r="AE15" i="168"/>
  <c r="BJ20" i="169"/>
  <c r="BJ36" i="169"/>
  <c r="Z47" i="276"/>
  <c r="Y47" i="276"/>
  <c r="L21" i="342"/>
  <c r="G44" i="286"/>
  <c r="N78" i="255"/>
  <c r="O78" i="255"/>
  <c r="Q41" i="176"/>
  <c r="AF107" i="147"/>
  <c r="AF104" i="147"/>
  <c r="Q76" i="256"/>
  <c r="Q73" i="187" s="1"/>
  <c r="P68" i="187"/>
  <c r="BF53" i="147"/>
  <c r="BF56" i="147"/>
  <c r="J35" i="188"/>
  <c r="J55" i="188"/>
  <c r="J45" i="188"/>
  <c r="J50" i="188"/>
  <c r="J46" i="188"/>
  <c r="J39" i="188"/>
  <c r="J53" i="188"/>
  <c r="J58" i="188"/>
  <c r="J14" i="188"/>
  <c r="J72" i="188"/>
  <c r="J41" i="188"/>
  <c r="J37" i="188"/>
  <c r="J47" i="188"/>
  <c r="J36" i="188"/>
  <c r="J10" i="188"/>
  <c r="J25" i="188"/>
  <c r="J67" i="188"/>
  <c r="J51" i="188"/>
  <c r="J71" i="188"/>
  <c r="J34" i="188"/>
  <c r="J8" i="188"/>
  <c r="J12" i="188"/>
  <c r="J42" i="188"/>
  <c r="J9" i="188"/>
  <c r="J52" i="188"/>
  <c r="J63" i="188"/>
  <c r="J21" i="188"/>
  <c r="J20" i="188"/>
  <c r="J74" i="188"/>
  <c r="J11" i="188"/>
  <c r="J16" i="188"/>
  <c r="J57" i="188"/>
  <c r="J66" i="188"/>
  <c r="J33" i="188"/>
  <c r="J61" i="188"/>
  <c r="J59" i="188"/>
  <c r="J62" i="188"/>
  <c r="J13" i="188"/>
  <c r="J32" i="188"/>
  <c r="J43" i="188"/>
  <c r="J49" i="188"/>
  <c r="J23" i="188"/>
  <c r="J40" i="188"/>
  <c r="J65" i="188"/>
  <c r="Y27" i="175"/>
  <c r="J14" i="175"/>
  <c r="H15" i="176"/>
  <c r="R9" i="175"/>
  <c r="AH104" i="147"/>
  <c r="V9" i="176"/>
  <c r="V29" i="176"/>
  <c r="V10" i="176"/>
  <c r="V11" i="176"/>
  <c r="V16" i="176"/>
  <c r="V32" i="176"/>
  <c r="V31" i="176"/>
  <c r="V18" i="176"/>
  <c r="V30" i="176"/>
  <c r="V20" i="176"/>
  <c r="S68" i="187"/>
  <c r="T76" i="256"/>
  <c r="S73" i="187" s="1"/>
  <c r="M10" i="286"/>
  <c r="N14" i="286"/>
  <c r="M10" i="188"/>
  <c r="M8" i="188"/>
  <c r="M34" i="188"/>
  <c r="M63" i="188"/>
  <c r="M53" i="188"/>
  <c r="M25" i="188"/>
  <c r="M47" i="188"/>
  <c r="M36" i="188"/>
  <c r="M16" i="188"/>
  <c r="M39" i="188"/>
  <c r="M35" i="188"/>
  <c r="M37" i="188"/>
  <c r="M9" i="188"/>
  <c r="M62" i="188"/>
  <c r="M57" i="188"/>
  <c r="M65" i="188"/>
  <c r="M50" i="188"/>
  <c r="M31" i="188"/>
  <c r="M45" i="188"/>
  <c r="M72" i="188"/>
  <c r="M67" i="188"/>
  <c r="M69" i="188"/>
  <c r="M46" i="188"/>
  <c r="M51" i="188"/>
  <c r="M59" i="188"/>
  <c r="M49" i="188"/>
  <c r="M61" i="188"/>
  <c r="M52" i="188"/>
  <c r="M71" i="188"/>
  <c r="M21" i="188"/>
  <c r="M43" i="188"/>
  <c r="M40" i="188"/>
  <c r="M11" i="188"/>
  <c r="M55" i="188"/>
  <c r="M42" i="188"/>
  <c r="M66" i="188"/>
  <c r="M14" i="188"/>
  <c r="M23" i="188"/>
  <c r="M33" i="188"/>
  <c r="M20" i="188"/>
  <c r="M13" i="188"/>
  <c r="M12" i="188"/>
  <c r="M74" i="188"/>
  <c r="M41" i="188"/>
  <c r="M58" i="188"/>
  <c r="M32" i="188"/>
  <c r="N76" i="256"/>
  <c r="M68" i="187"/>
  <c r="N68" i="187"/>
  <c r="H14" i="342"/>
  <c r="P25" i="175"/>
  <c r="P36" i="175"/>
  <c r="N40" i="175"/>
  <c r="G76" i="256"/>
  <c r="F68" i="187"/>
  <c r="G68" i="187"/>
  <c r="I68" i="187"/>
  <c r="I76" i="256"/>
  <c r="I73" i="187" s="1"/>
  <c r="H68" i="187"/>
  <c r="K10" i="342"/>
  <c r="K16" i="342"/>
  <c r="K11" i="342"/>
  <c r="K19" i="342"/>
  <c r="K12" i="342"/>
  <c r="K9" i="342"/>
  <c r="K55" i="341"/>
  <c r="K24" i="342"/>
  <c r="K18" i="342"/>
  <c r="K17" i="342"/>
  <c r="K23" i="342"/>
  <c r="M28" i="341"/>
  <c r="N28" i="341"/>
  <c r="L55" i="341"/>
  <c r="AM39" i="178"/>
  <c r="AL47" i="178"/>
  <c r="AM47" i="178" s="1"/>
  <c r="M38" i="175"/>
  <c r="K49" i="176"/>
  <c r="U76" i="255"/>
  <c r="U78" i="255" s="1"/>
  <c r="M44" i="286"/>
  <c r="T78" i="255"/>
  <c r="BE104" i="147"/>
  <c r="R19" i="176"/>
  <c r="R31" i="176"/>
  <c r="R36" i="175"/>
  <c r="L14" i="175"/>
  <c r="J15" i="176"/>
  <c r="C76" i="256"/>
  <c r="C69" i="188" s="1"/>
  <c r="D76" i="256"/>
  <c r="C68" i="187"/>
  <c r="D68" i="187"/>
  <c r="K78" i="255"/>
  <c r="C44" i="286"/>
  <c r="C46" i="286" s="1"/>
  <c r="L41" i="176"/>
  <c r="M41" i="176"/>
  <c r="J78" i="255"/>
  <c r="C8" i="286"/>
  <c r="R41" i="188"/>
  <c r="R16" i="188"/>
  <c r="R74" i="188"/>
  <c r="R58" i="188"/>
  <c r="R31" i="188"/>
  <c r="R57" i="188"/>
  <c r="R66" i="188"/>
  <c r="R71" i="188"/>
  <c r="R45" i="188"/>
  <c r="R37" i="188"/>
  <c r="R51" i="188"/>
  <c r="R69" i="188"/>
  <c r="R61" i="188"/>
  <c r="R20" i="188"/>
  <c r="R62" i="188"/>
  <c r="R13" i="188"/>
  <c r="R32" i="188"/>
  <c r="R34" i="188"/>
  <c r="R21" i="188"/>
  <c r="R25" i="188"/>
  <c r="R23" i="188"/>
  <c r="R67" i="188"/>
  <c r="R50" i="188"/>
  <c r="R43" i="188"/>
  <c r="R42" i="188"/>
  <c r="R8" i="188"/>
  <c r="R10" i="188"/>
  <c r="R14" i="188"/>
  <c r="R35" i="188"/>
  <c r="R59" i="188"/>
  <c r="R52" i="188"/>
  <c r="R39" i="188"/>
  <c r="R65" i="188"/>
  <c r="R53" i="188"/>
  <c r="R33" i="188"/>
  <c r="R9" i="188"/>
  <c r="R36" i="188"/>
  <c r="R47" i="188"/>
  <c r="R40" i="188"/>
  <c r="R63" i="188"/>
  <c r="R49" i="188"/>
  <c r="R12" i="188"/>
  <c r="R72" i="188"/>
  <c r="R46" i="188"/>
  <c r="R11" i="188"/>
  <c r="R55" i="188"/>
  <c r="K68" i="187"/>
  <c r="L76" i="256"/>
  <c r="S62" i="188"/>
  <c r="S13" i="188"/>
  <c r="S40" i="188"/>
  <c r="S59" i="188"/>
  <c r="S11" i="188"/>
  <c r="S33" i="188"/>
  <c r="S57" i="188"/>
  <c r="S9" i="188"/>
  <c r="S35" i="188"/>
  <c r="S53" i="188"/>
  <c r="S21" i="188"/>
  <c r="S51" i="188"/>
  <c r="S72" i="188"/>
  <c r="S31" i="188"/>
  <c r="S49" i="188"/>
  <c r="S63" i="188"/>
  <c r="S14" i="188"/>
  <c r="S46" i="188"/>
  <c r="S66" i="188"/>
  <c r="S25" i="188"/>
  <c r="S43" i="188"/>
  <c r="S58" i="188"/>
  <c r="S10" i="188"/>
  <c r="S41" i="188"/>
  <c r="S61" i="188"/>
  <c r="S12" i="188"/>
  <c r="S39" i="188"/>
  <c r="S52" i="188"/>
  <c r="S36" i="188"/>
  <c r="S55" i="188"/>
  <c r="S8" i="188"/>
  <c r="S34" i="188"/>
  <c r="S47" i="188"/>
  <c r="S74" i="188"/>
  <c r="S32" i="188"/>
  <c r="S50" i="188"/>
  <c r="S71" i="188"/>
  <c r="S23" i="188"/>
  <c r="S42" i="188"/>
  <c r="S16" i="188"/>
  <c r="S37" i="188"/>
  <c r="S78" i="256"/>
  <c r="S67" i="188"/>
  <c r="S20" i="188"/>
  <c r="S45" i="188"/>
  <c r="S65" i="188"/>
  <c r="U41" i="176"/>
  <c r="U32" i="176" s="1"/>
  <c r="R78" i="255"/>
  <c r="S78" i="255"/>
  <c r="K44" i="286"/>
  <c r="K46" i="286" s="1"/>
  <c r="T41" i="176"/>
  <c r="T28" i="176" s="1"/>
  <c r="K40" i="343"/>
  <c r="N38" i="343"/>
  <c r="M38" i="343"/>
  <c r="AF47" i="178"/>
  <c r="T9" i="175"/>
  <c r="T36" i="175"/>
  <c r="AH58" i="177"/>
  <c r="X23" i="175"/>
  <c r="S69" i="188"/>
  <c r="D78" i="255"/>
  <c r="E78" i="255"/>
  <c r="H27" i="297"/>
  <c r="H26" i="298"/>
  <c r="AC107" i="147"/>
  <c r="AC104" i="147"/>
  <c r="AE104" i="147"/>
  <c r="F76" i="256"/>
  <c r="E68" i="187"/>
  <c r="N41" i="176"/>
  <c r="E44" i="286"/>
  <c r="O41" i="176"/>
  <c r="O35" i="176" s="1"/>
  <c r="M78" i="255"/>
  <c r="L78" i="255"/>
  <c r="AC27" i="147"/>
  <c r="AC24" i="147"/>
  <c r="AE24" i="147"/>
  <c r="V36" i="175"/>
  <c r="V25" i="175"/>
  <c r="W16" i="175"/>
  <c r="Q40" i="175"/>
  <c r="H69" i="188" l="1"/>
  <c r="G73" i="187"/>
  <c r="L69" i="188"/>
  <c r="K73" i="187"/>
  <c r="D69" i="188"/>
  <c r="C73" i="187"/>
  <c r="K67" i="188"/>
  <c r="J73" i="187"/>
  <c r="D73" i="187"/>
  <c r="N69" i="188"/>
  <c r="M73" i="187"/>
  <c r="K37" i="340"/>
  <c r="G69" i="188"/>
  <c r="F73" i="187"/>
  <c r="E7" i="342"/>
  <c r="L73" i="187"/>
  <c r="Q69" i="188"/>
  <c r="P73" i="187"/>
  <c r="N73" i="187"/>
  <c r="E14" i="342"/>
  <c r="F69" i="188"/>
  <c r="E73" i="187"/>
  <c r="I69" i="188"/>
  <c r="H73" i="187"/>
  <c r="F54" i="287"/>
  <c r="E21" i="342"/>
  <c r="L7" i="342"/>
  <c r="G52" i="287"/>
  <c r="G54" i="287" s="1"/>
  <c r="BA104" i="147"/>
  <c r="S29" i="176"/>
  <c r="S16" i="176"/>
  <c r="X34" i="175"/>
  <c r="V33" i="176" s="1"/>
  <c r="J16" i="176"/>
  <c r="J37" i="340"/>
  <c r="J56" i="340" s="1"/>
  <c r="J17" i="176"/>
  <c r="S33" i="176"/>
  <c r="S22" i="176"/>
  <c r="AO30" i="178"/>
  <c r="J26" i="176"/>
  <c r="G44" i="340"/>
  <c r="S15" i="176"/>
  <c r="S19" i="176"/>
  <c r="J30" i="176"/>
  <c r="AB34" i="276"/>
  <c r="G46" i="286"/>
  <c r="T24" i="176"/>
  <c r="E46" i="286"/>
  <c r="AI39" i="178"/>
  <c r="S17" i="176"/>
  <c r="S26" i="176"/>
  <c r="J29" i="176"/>
  <c r="S8" i="176"/>
  <c r="AN39" i="178"/>
  <c r="AC40" i="276"/>
  <c r="J27" i="297"/>
  <c r="AC30" i="276"/>
  <c r="R33" i="176"/>
  <c r="R10" i="176"/>
  <c r="R35" i="176"/>
  <c r="R26" i="176"/>
  <c r="R11" i="176"/>
  <c r="I26" i="342"/>
  <c r="R22" i="176"/>
  <c r="R16" i="176"/>
  <c r="R29" i="176"/>
  <c r="R13" i="176"/>
  <c r="R20" i="176"/>
  <c r="R18" i="176"/>
  <c r="R17" i="176"/>
  <c r="R9" i="176"/>
  <c r="R30" i="176"/>
  <c r="R28" i="176"/>
  <c r="R24" i="176"/>
  <c r="R32" i="176"/>
  <c r="AB46" i="276"/>
  <c r="L44" i="340"/>
  <c r="L46" i="286"/>
  <c r="D28" i="343"/>
  <c r="Y29" i="175"/>
  <c r="Y36" i="175" s="1"/>
  <c r="J9" i="176"/>
  <c r="J46" i="176"/>
  <c r="D26" i="298"/>
  <c r="J18" i="176"/>
  <c r="J19" i="176"/>
  <c r="J33" i="176"/>
  <c r="J10" i="176"/>
  <c r="J31" i="176"/>
  <c r="E44" i="340"/>
  <c r="J32" i="176"/>
  <c r="J20" i="176"/>
  <c r="K51" i="340"/>
  <c r="K56" i="340" s="1"/>
  <c r="K11" i="188"/>
  <c r="AI47" i="178"/>
  <c r="J22" i="176"/>
  <c r="T35" i="176"/>
  <c r="F14" i="342"/>
  <c r="E37" i="340"/>
  <c r="G26" i="342"/>
  <c r="F7" i="342"/>
  <c r="O24" i="176"/>
  <c r="G56" i="340"/>
  <c r="V17" i="176"/>
  <c r="F26" i="298"/>
  <c r="D14" i="342"/>
  <c r="P59" i="288"/>
  <c r="H56" i="340"/>
  <c r="AO47" i="178"/>
  <c r="P28" i="176"/>
  <c r="D21" i="342"/>
  <c r="K63" i="188"/>
  <c r="D46" i="286"/>
  <c r="BF104" i="147"/>
  <c r="P31" i="176"/>
  <c r="L37" i="340"/>
  <c r="L56" i="340" s="1"/>
  <c r="P24" i="176"/>
  <c r="H29" i="176"/>
  <c r="H16" i="176"/>
  <c r="P35" i="176"/>
  <c r="BO20" i="169"/>
  <c r="I51" i="340"/>
  <c r="AC46" i="276"/>
  <c r="K61" i="188"/>
  <c r="Q8" i="339"/>
  <c r="T8" i="176"/>
  <c r="K32" i="188"/>
  <c r="AO39" i="178"/>
  <c r="K37" i="188"/>
  <c r="P8" i="176"/>
  <c r="W41" i="176"/>
  <c r="W9" i="176" s="1"/>
  <c r="D7" i="342"/>
  <c r="L35" i="176"/>
  <c r="K14" i="188"/>
  <c r="V19" i="176"/>
  <c r="F37" i="340"/>
  <c r="R78" i="256"/>
  <c r="I46" i="286"/>
  <c r="H22" i="176"/>
  <c r="H31" i="176"/>
  <c r="H20" i="176"/>
  <c r="Z27" i="175"/>
  <c r="AH14" i="177"/>
  <c r="H26" i="176"/>
  <c r="G14" i="175"/>
  <c r="E15" i="176"/>
  <c r="F44" i="340"/>
  <c r="L26" i="342"/>
  <c r="U17" i="176"/>
  <c r="H10" i="176"/>
  <c r="H33" i="176"/>
  <c r="H17" i="176"/>
  <c r="I44" i="340"/>
  <c r="J14" i="342"/>
  <c r="H30" i="176"/>
  <c r="H18" i="176"/>
  <c r="I37" i="340"/>
  <c r="H46" i="176"/>
  <c r="H19" i="176"/>
  <c r="E28" i="176"/>
  <c r="G25" i="175"/>
  <c r="E24" i="176" s="1"/>
  <c r="J7" i="342"/>
  <c r="J26" i="342" s="1"/>
  <c r="H14" i="175"/>
  <c r="F15" i="176"/>
  <c r="H28" i="176"/>
  <c r="H9" i="176"/>
  <c r="F25" i="175"/>
  <c r="D24" i="176" s="1"/>
  <c r="D28" i="176"/>
  <c r="K78" i="256"/>
  <c r="K46" i="188"/>
  <c r="K62" i="188"/>
  <c r="K59" i="188"/>
  <c r="K8" i="188"/>
  <c r="K33" i="188"/>
  <c r="Z32" i="175"/>
  <c r="K71" i="188"/>
  <c r="K52" i="188"/>
  <c r="K40" i="188"/>
  <c r="K65" i="188"/>
  <c r="K10" i="188"/>
  <c r="K35" i="188"/>
  <c r="K13" i="188"/>
  <c r="K50" i="188"/>
  <c r="K20" i="188"/>
  <c r="K45" i="188"/>
  <c r="K55" i="188"/>
  <c r="K34" i="188"/>
  <c r="K47" i="188"/>
  <c r="K21" i="188"/>
  <c r="K43" i="188"/>
  <c r="K57" i="188"/>
  <c r="K53" i="188"/>
  <c r="R40" i="175"/>
  <c r="P49" i="176" s="1"/>
  <c r="K37" i="176"/>
  <c r="K12" i="188"/>
  <c r="K49" i="188"/>
  <c r="K16" i="188"/>
  <c r="K41" i="188"/>
  <c r="K72" i="188"/>
  <c r="K31" i="188"/>
  <c r="K35" i="176"/>
  <c r="K39" i="176"/>
  <c r="K66" i="188"/>
  <c r="K39" i="188"/>
  <c r="K69" i="188"/>
  <c r="K58" i="188"/>
  <c r="K74" i="188"/>
  <c r="K23" i="188"/>
  <c r="K25" i="188"/>
  <c r="K9" i="188"/>
  <c r="K42" i="188"/>
  <c r="K51" i="188"/>
  <c r="K36" i="188"/>
  <c r="I32" i="176"/>
  <c r="I22" i="176"/>
  <c r="I33" i="176"/>
  <c r="I10" i="176"/>
  <c r="I20" i="176"/>
  <c r="I9" i="176"/>
  <c r="I16" i="176"/>
  <c r="I29" i="176"/>
  <c r="I31" i="176"/>
  <c r="I19" i="176"/>
  <c r="I17" i="176"/>
  <c r="I26" i="176"/>
  <c r="I46" i="176"/>
  <c r="I11" i="176"/>
  <c r="I30" i="176"/>
  <c r="I28" i="176"/>
  <c r="I24" i="176"/>
  <c r="P18" i="176"/>
  <c r="P20" i="176"/>
  <c r="P17" i="176"/>
  <c r="P15" i="176"/>
  <c r="P32" i="176"/>
  <c r="P26" i="176"/>
  <c r="P29" i="176"/>
  <c r="P9" i="176"/>
  <c r="P10" i="176"/>
  <c r="P11" i="176"/>
  <c r="P19" i="176"/>
  <c r="P30" i="176"/>
  <c r="P16" i="176"/>
  <c r="P22" i="176"/>
  <c r="P33" i="176"/>
  <c r="Q19" i="176"/>
  <c r="Q30" i="176"/>
  <c r="Q22" i="176"/>
  <c r="Q24" i="176"/>
  <c r="Q11" i="176"/>
  <c r="Q28" i="176"/>
  <c r="Q16" i="176"/>
  <c r="Q31" i="176"/>
  <c r="Q9" i="176"/>
  <c r="Q17" i="176"/>
  <c r="Q26" i="176"/>
  <c r="Q10" i="176"/>
  <c r="Q33" i="176"/>
  <c r="Q29" i="176"/>
  <c r="Q20" i="176"/>
  <c r="Q13" i="176"/>
  <c r="Q18" i="176"/>
  <c r="Q15" i="176"/>
  <c r="Q32" i="176"/>
  <c r="Q35" i="176"/>
  <c r="Q8" i="176"/>
  <c r="S40" i="175"/>
  <c r="S30" i="176"/>
  <c r="U29" i="175"/>
  <c r="I18" i="176"/>
  <c r="H26" i="342"/>
  <c r="J9" i="175"/>
  <c r="H13" i="176"/>
  <c r="J36" i="175"/>
  <c r="H35" i="176" s="1"/>
  <c r="Z18" i="175"/>
  <c r="X16" i="175"/>
  <c r="X14" i="175" s="1"/>
  <c r="K14" i="175"/>
  <c r="I15" i="176"/>
  <c r="F9" i="175"/>
  <c r="F36" i="175"/>
  <c r="D35" i="176" s="1"/>
  <c r="D13" i="176"/>
  <c r="M49" i="176"/>
  <c r="O38" i="175"/>
  <c r="M37" i="176" s="1"/>
  <c r="K26" i="176"/>
  <c r="K31" i="176"/>
  <c r="K20" i="176"/>
  <c r="K19" i="176"/>
  <c r="K29" i="176"/>
  <c r="K22" i="176"/>
  <c r="K16" i="176"/>
  <c r="K17" i="176"/>
  <c r="K9" i="176"/>
  <c r="K32" i="176"/>
  <c r="K11" i="176"/>
  <c r="K10" i="176"/>
  <c r="K18" i="176"/>
  <c r="K33" i="176"/>
  <c r="K28" i="176"/>
  <c r="K30" i="176"/>
  <c r="K46" i="176"/>
  <c r="K15" i="176"/>
  <c r="K13" i="176"/>
  <c r="K8" i="176"/>
  <c r="H12" i="188"/>
  <c r="H65" i="188"/>
  <c r="H43" i="188"/>
  <c r="H23" i="188"/>
  <c r="H33" i="188"/>
  <c r="H57" i="188"/>
  <c r="H63" i="188"/>
  <c r="H10" i="188"/>
  <c r="H72" i="188"/>
  <c r="H20" i="188"/>
  <c r="H45" i="188"/>
  <c r="H58" i="188"/>
  <c r="H47" i="188"/>
  <c r="H35" i="188"/>
  <c r="H11" i="188"/>
  <c r="H13" i="188"/>
  <c r="H67" i="188"/>
  <c r="H21" i="188"/>
  <c r="H40" i="188"/>
  <c r="H55" i="188"/>
  <c r="H51" i="188"/>
  <c r="H50" i="188"/>
  <c r="H34" i="188"/>
  <c r="H16" i="188"/>
  <c r="H46" i="188"/>
  <c r="H14" i="188"/>
  <c r="H8" i="188"/>
  <c r="H49" i="188"/>
  <c r="H59" i="188"/>
  <c r="H52" i="188"/>
  <c r="H9" i="188"/>
  <c r="H36" i="188"/>
  <c r="H42" i="188"/>
  <c r="H71" i="188"/>
  <c r="H32" i="188"/>
  <c r="H53" i="188"/>
  <c r="H66" i="188"/>
  <c r="H37" i="188"/>
  <c r="H25" i="188"/>
  <c r="H62" i="188"/>
  <c r="H31" i="188"/>
  <c r="H74" i="188"/>
  <c r="H41" i="188"/>
  <c r="H39" i="188"/>
  <c r="H61" i="188"/>
  <c r="P49" i="188"/>
  <c r="P12" i="188"/>
  <c r="P63" i="188"/>
  <c r="P74" i="188"/>
  <c r="P45" i="188"/>
  <c r="P20" i="188"/>
  <c r="P66" i="188"/>
  <c r="P11" i="188"/>
  <c r="P13" i="188"/>
  <c r="P33" i="188"/>
  <c r="P43" i="188"/>
  <c r="P31" i="188"/>
  <c r="P51" i="188"/>
  <c r="P39" i="188"/>
  <c r="P67" i="188"/>
  <c r="P55" i="188"/>
  <c r="P65" i="188"/>
  <c r="P37" i="188"/>
  <c r="P40" i="188"/>
  <c r="P34" i="188"/>
  <c r="P52" i="188"/>
  <c r="P50" i="188"/>
  <c r="P32" i="188"/>
  <c r="P14" i="188"/>
  <c r="P72" i="188"/>
  <c r="P41" i="188"/>
  <c r="P57" i="188"/>
  <c r="P78" i="256"/>
  <c r="P71" i="188"/>
  <c r="P35" i="188"/>
  <c r="P36" i="188"/>
  <c r="P16" i="188"/>
  <c r="P46" i="188"/>
  <c r="P59" i="188"/>
  <c r="P62" i="188"/>
  <c r="P23" i="188"/>
  <c r="P61" i="188"/>
  <c r="P58" i="188"/>
  <c r="P25" i="188"/>
  <c r="P47" i="188"/>
  <c r="P21" i="188"/>
  <c r="P8" i="188"/>
  <c r="P53" i="188"/>
  <c r="P10" i="188"/>
  <c r="P42" i="188"/>
  <c r="P9" i="188"/>
  <c r="J28" i="176"/>
  <c r="L25" i="175"/>
  <c r="J24" i="176" s="1"/>
  <c r="I14" i="175"/>
  <c r="G15" i="176"/>
  <c r="G28" i="176"/>
  <c r="I25" i="175"/>
  <c r="G24" i="176" s="1"/>
  <c r="Q78" i="256"/>
  <c r="Q23" i="188"/>
  <c r="Q58" i="188"/>
  <c r="Q57" i="188"/>
  <c r="Q40" i="188"/>
  <c r="Q9" i="188"/>
  <c r="Q47" i="188"/>
  <c r="Q39" i="188"/>
  <c r="Q43" i="188"/>
  <c r="Q34" i="188"/>
  <c r="Q49" i="188"/>
  <c r="Q20" i="188"/>
  <c r="Q33" i="188"/>
  <c r="Q74" i="188"/>
  <c r="Q32" i="188"/>
  <c r="Q21" i="188"/>
  <c r="Q37" i="188"/>
  <c r="Q46" i="188"/>
  <c r="Q10" i="188"/>
  <c r="Q8" i="188"/>
  <c r="Q62" i="188"/>
  <c r="Q45" i="188"/>
  <c r="Q51" i="188"/>
  <c r="Q63" i="188"/>
  <c r="Q50" i="188"/>
  <c r="Q66" i="188"/>
  <c r="Q36" i="188"/>
  <c r="Q35" i="188"/>
  <c r="Q25" i="188"/>
  <c r="Q55" i="188"/>
  <c r="Q59" i="188"/>
  <c r="Q16" i="188"/>
  <c r="Q41" i="188"/>
  <c r="Q13" i="188"/>
  <c r="Q61" i="188"/>
  <c r="Q52" i="188"/>
  <c r="Q12" i="188"/>
  <c r="Q31" i="188"/>
  <c r="Q65" i="188"/>
  <c r="Q42" i="188"/>
  <c r="Q72" i="188"/>
  <c r="Q67" i="188"/>
  <c r="Q14" i="188"/>
  <c r="Q71" i="188"/>
  <c r="Q11" i="188"/>
  <c r="Q53" i="188"/>
  <c r="P69" i="188"/>
  <c r="Z34" i="175"/>
  <c r="X29" i="175"/>
  <c r="N18" i="176"/>
  <c r="N22" i="176"/>
  <c r="N33" i="176"/>
  <c r="N31" i="176"/>
  <c r="N29" i="176"/>
  <c r="N17" i="176"/>
  <c r="N19" i="176"/>
  <c r="N20" i="176"/>
  <c r="N32" i="176"/>
  <c r="N10" i="176"/>
  <c r="N11" i="176"/>
  <c r="N15" i="176"/>
  <c r="N13" i="176"/>
  <c r="N26" i="176"/>
  <c r="N8" i="176"/>
  <c r="N16" i="176"/>
  <c r="N9" i="176"/>
  <c r="N30" i="176"/>
  <c r="K48" i="343"/>
  <c r="N40" i="343"/>
  <c r="M40" i="343"/>
  <c r="M17" i="176"/>
  <c r="M46" i="176"/>
  <c r="M22" i="176"/>
  <c r="M10" i="176"/>
  <c r="M31" i="176"/>
  <c r="M18" i="176"/>
  <c r="M26" i="176"/>
  <c r="M16" i="176"/>
  <c r="M11" i="176"/>
  <c r="M8" i="176"/>
  <c r="M15" i="176"/>
  <c r="M13" i="176"/>
  <c r="M29" i="176"/>
  <c r="M19" i="176"/>
  <c r="M33" i="176"/>
  <c r="M9" i="176"/>
  <c r="M28" i="176"/>
  <c r="M30" i="176"/>
  <c r="M32" i="176"/>
  <c r="M20" i="176"/>
  <c r="M39" i="176"/>
  <c r="M35" i="176"/>
  <c r="M24" i="176"/>
  <c r="W29" i="176"/>
  <c r="W20" i="176"/>
  <c r="W10" i="176"/>
  <c r="W11" i="176"/>
  <c r="W17" i="176"/>
  <c r="W30" i="176"/>
  <c r="W18" i="176"/>
  <c r="W19" i="176"/>
  <c r="T10" i="176"/>
  <c r="T11" i="176"/>
  <c r="T16" i="176"/>
  <c r="T31" i="176"/>
  <c r="T19" i="176"/>
  <c r="T9" i="176"/>
  <c r="T20" i="176"/>
  <c r="T18" i="176"/>
  <c r="T22" i="176"/>
  <c r="T29" i="176"/>
  <c r="T26" i="176"/>
  <c r="T33" i="176"/>
  <c r="T13" i="176"/>
  <c r="T15" i="176"/>
  <c r="T17" i="176"/>
  <c r="T32" i="176"/>
  <c r="T30" i="176"/>
  <c r="L10" i="176"/>
  <c r="L26" i="176"/>
  <c r="L15" i="176"/>
  <c r="L20" i="176"/>
  <c r="L32" i="176"/>
  <c r="L46" i="176"/>
  <c r="L17" i="176"/>
  <c r="L28" i="176"/>
  <c r="L29" i="176"/>
  <c r="L9" i="176"/>
  <c r="L11" i="176"/>
  <c r="L19" i="176"/>
  <c r="L24" i="176"/>
  <c r="L13" i="176"/>
  <c r="L16" i="176"/>
  <c r="L31" i="176"/>
  <c r="L33" i="176"/>
  <c r="L18" i="176"/>
  <c r="L30" i="176"/>
  <c r="L22" i="176"/>
  <c r="C74" i="188"/>
  <c r="C51" i="188"/>
  <c r="C35" i="188"/>
  <c r="C21" i="188"/>
  <c r="C61" i="188"/>
  <c r="C55" i="188"/>
  <c r="C41" i="188"/>
  <c r="C34" i="188"/>
  <c r="C14" i="188"/>
  <c r="C12" i="188"/>
  <c r="C8" i="188"/>
  <c r="C63" i="188"/>
  <c r="C37" i="188"/>
  <c r="C11" i="188"/>
  <c r="C25" i="188"/>
  <c r="C72" i="188"/>
  <c r="C43" i="188"/>
  <c r="C45" i="188"/>
  <c r="C39" i="188"/>
  <c r="C36" i="188"/>
  <c r="C40" i="188"/>
  <c r="C53" i="188"/>
  <c r="C67" i="188"/>
  <c r="C32" i="188"/>
  <c r="C46" i="188"/>
  <c r="C16" i="188"/>
  <c r="C13" i="188"/>
  <c r="C57" i="188"/>
  <c r="C33" i="188"/>
  <c r="C31" i="188"/>
  <c r="C71" i="188"/>
  <c r="C50" i="188"/>
  <c r="C62" i="188"/>
  <c r="C20" i="188"/>
  <c r="C59" i="188"/>
  <c r="C23" i="188"/>
  <c r="C65" i="188"/>
  <c r="C49" i="188"/>
  <c r="C58" i="188"/>
  <c r="C47" i="188"/>
  <c r="C9" i="188"/>
  <c r="C52" i="188"/>
  <c r="C42" i="188"/>
  <c r="C10" i="188"/>
  <c r="C66" i="188"/>
  <c r="K7" i="342"/>
  <c r="V40" i="175"/>
  <c r="T40" i="175"/>
  <c r="R8" i="176"/>
  <c r="L49" i="176"/>
  <c r="N38" i="175"/>
  <c r="L37" i="176" s="1"/>
  <c r="L39" i="176"/>
  <c r="U24" i="176"/>
  <c r="F39" i="188"/>
  <c r="F34" i="188"/>
  <c r="F72" i="188"/>
  <c r="F8" i="188"/>
  <c r="F45" i="188"/>
  <c r="F33" i="188"/>
  <c r="F14" i="188"/>
  <c r="F20" i="188"/>
  <c r="F35" i="188"/>
  <c r="F65" i="188"/>
  <c r="F36" i="188"/>
  <c r="F55" i="188"/>
  <c r="F40" i="188"/>
  <c r="F43" i="188"/>
  <c r="F57" i="188"/>
  <c r="F62" i="188"/>
  <c r="F23" i="188"/>
  <c r="F51" i="188"/>
  <c r="F46" i="188"/>
  <c r="F37" i="188"/>
  <c r="F71" i="188"/>
  <c r="F31" i="188"/>
  <c r="F41" i="188"/>
  <c r="F10" i="188"/>
  <c r="F66" i="188"/>
  <c r="F16" i="188"/>
  <c r="F58" i="188"/>
  <c r="F61" i="188"/>
  <c r="F59" i="188"/>
  <c r="F63" i="188"/>
  <c r="F49" i="188"/>
  <c r="F11" i="188"/>
  <c r="F53" i="188"/>
  <c r="F13" i="188"/>
  <c r="F52" i="188"/>
  <c r="F9" i="188"/>
  <c r="F47" i="188"/>
  <c r="F67" i="188"/>
  <c r="F42" i="188"/>
  <c r="F78" i="256"/>
  <c r="F12" i="188"/>
  <c r="F21" i="188"/>
  <c r="F74" i="188"/>
  <c r="F50" i="188"/>
  <c r="F32" i="188"/>
  <c r="F25" i="188"/>
  <c r="L36" i="175"/>
  <c r="J35" i="176" s="1"/>
  <c r="L9" i="175"/>
  <c r="J13" i="176"/>
  <c r="W26" i="176"/>
  <c r="L8" i="176"/>
  <c r="N8" i="188"/>
  <c r="N52" i="188"/>
  <c r="N37" i="188"/>
  <c r="N65" i="188"/>
  <c r="N40" i="188"/>
  <c r="N11" i="188"/>
  <c r="N58" i="188"/>
  <c r="N53" i="188"/>
  <c r="N43" i="188"/>
  <c r="N12" i="188"/>
  <c r="N55" i="188"/>
  <c r="N47" i="188"/>
  <c r="N62" i="188"/>
  <c r="N46" i="188"/>
  <c r="N50" i="188"/>
  <c r="N31" i="188"/>
  <c r="N21" i="188"/>
  <c r="N45" i="188"/>
  <c r="N39" i="188"/>
  <c r="N66" i="188"/>
  <c r="N14" i="188"/>
  <c r="N42" i="188"/>
  <c r="N23" i="188"/>
  <c r="N20" i="188"/>
  <c r="N74" i="188"/>
  <c r="N63" i="188"/>
  <c r="N32" i="188"/>
  <c r="N51" i="188"/>
  <c r="N57" i="188"/>
  <c r="N78" i="256"/>
  <c r="N33" i="188"/>
  <c r="N34" i="188"/>
  <c r="N41" i="188"/>
  <c r="N49" i="188"/>
  <c r="N16" i="188"/>
  <c r="O78" i="256"/>
  <c r="N9" i="188"/>
  <c r="N10" i="188"/>
  <c r="N71" i="188"/>
  <c r="N72" i="188"/>
  <c r="N61" i="188"/>
  <c r="N67" i="188"/>
  <c r="N13" i="188"/>
  <c r="N35" i="188"/>
  <c r="N59" i="188"/>
  <c r="N36" i="188"/>
  <c r="N25" i="188"/>
  <c r="U28" i="176"/>
  <c r="W14" i="175"/>
  <c r="U15" i="176"/>
  <c r="AF56" i="178"/>
  <c r="AI56" i="178" s="1"/>
  <c r="AN47" i="178"/>
  <c r="K21" i="342"/>
  <c r="N35" i="176"/>
  <c r="O39" i="176"/>
  <c r="O49" i="176"/>
  <c r="Q38" i="175"/>
  <c r="O37" i="176" s="1"/>
  <c r="U20" i="176"/>
  <c r="U9" i="176"/>
  <c r="U16" i="176"/>
  <c r="U33" i="176"/>
  <c r="U11" i="176"/>
  <c r="U10" i="176"/>
  <c r="U29" i="176"/>
  <c r="U19" i="176"/>
  <c r="U22" i="176"/>
  <c r="U31" i="176"/>
  <c r="U26" i="176"/>
  <c r="U18" i="176"/>
  <c r="U30" i="176"/>
  <c r="L8" i="188"/>
  <c r="L11" i="188"/>
  <c r="L61" i="188"/>
  <c r="L52" i="188"/>
  <c r="L14" i="188"/>
  <c r="L67" i="188"/>
  <c r="L32" i="188"/>
  <c r="L40" i="188"/>
  <c r="L41" i="188"/>
  <c r="L10" i="188"/>
  <c r="L78" i="256"/>
  <c r="L21" i="188"/>
  <c r="L57" i="188"/>
  <c r="L33" i="188"/>
  <c r="L53" i="188"/>
  <c r="L35" i="188"/>
  <c r="L66" i="188"/>
  <c r="L42" i="188"/>
  <c r="L51" i="188"/>
  <c r="L13" i="188"/>
  <c r="L62" i="188"/>
  <c r="L16" i="188"/>
  <c r="L63" i="188"/>
  <c r="L34" i="188"/>
  <c r="L45" i="188"/>
  <c r="L23" i="188"/>
  <c r="L9" i="188"/>
  <c r="L72" i="188"/>
  <c r="L37" i="188"/>
  <c r="L12" i="188"/>
  <c r="L47" i="188"/>
  <c r="L39" i="188"/>
  <c r="L71" i="188"/>
  <c r="L65" i="188"/>
  <c r="L74" i="188"/>
  <c r="L49" i="188"/>
  <c r="L20" i="188"/>
  <c r="L59" i="188"/>
  <c r="L36" i="188"/>
  <c r="L31" i="188"/>
  <c r="L58" i="188"/>
  <c r="L25" i="188"/>
  <c r="L43" i="188"/>
  <c r="L46" i="188"/>
  <c r="L50" i="188"/>
  <c r="L55" i="188"/>
  <c r="K14" i="342"/>
  <c r="N24" i="176"/>
  <c r="P40" i="175"/>
  <c r="M8" i="286"/>
  <c r="N8" i="286" s="1"/>
  <c r="M46" i="286"/>
  <c r="N10" i="286"/>
  <c r="T40" i="188"/>
  <c r="T10" i="188"/>
  <c r="T34" i="188"/>
  <c r="T37" i="188"/>
  <c r="T66" i="188"/>
  <c r="T50" i="188"/>
  <c r="T21" i="188"/>
  <c r="T43" i="188"/>
  <c r="T58" i="188"/>
  <c r="T13" i="188"/>
  <c r="T16" i="188"/>
  <c r="T20" i="188"/>
  <c r="T33" i="188"/>
  <c r="T53" i="188"/>
  <c r="T78" i="256"/>
  <c r="T36" i="188"/>
  <c r="T39" i="188"/>
  <c r="T32" i="188"/>
  <c r="T42" i="188"/>
  <c r="T65" i="188"/>
  <c r="T71" i="188"/>
  <c r="T14" i="188"/>
  <c r="T49" i="188"/>
  <c r="T41" i="188"/>
  <c r="T52" i="188"/>
  <c r="T72" i="188"/>
  <c r="T12" i="188"/>
  <c r="T47" i="188"/>
  <c r="T59" i="188"/>
  <c r="T51" i="188"/>
  <c r="T63" i="188"/>
  <c r="T46" i="188"/>
  <c r="T25" i="188"/>
  <c r="T61" i="188"/>
  <c r="T8" i="188"/>
  <c r="T62" i="188"/>
  <c r="T11" i="188"/>
  <c r="T67" i="188"/>
  <c r="T35" i="188"/>
  <c r="T57" i="188"/>
  <c r="T31" i="188"/>
  <c r="T9" i="188"/>
  <c r="T23" i="188"/>
  <c r="T74" i="188"/>
  <c r="T55" i="188"/>
  <c r="T45" i="188"/>
  <c r="I8" i="188"/>
  <c r="I31" i="188"/>
  <c r="I16" i="188"/>
  <c r="I43" i="188"/>
  <c r="I20" i="188"/>
  <c r="I21" i="188"/>
  <c r="I55" i="188"/>
  <c r="I9" i="188"/>
  <c r="I37" i="188"/>
  <c r="I13" i="188"/>
  <c r="I45" i="188"/>
  <c r="I61" i="188"/>
  <c r="I11" i="188"/>
  <c r="I46" i="188"/>
  <c r="I50" i="188"/>
  <c r="I41" i="188"/>
  <c r="I63" i="188"/>
  <c r="I67" i="188"/>
  <c r="I10" i="188"/>
  <c r="I23" i="188"/>
  <c r="I47" i="188"/>
  <c r="I42" i="188"/>
  <c r="I74" i="188"/>
  <c r="I52" i="188"/>
  <c r="I14" i="188"/>
  <c r="I78" i="256"/>
  <c r="I33" i="188"/>
  <c r="I57" i="188"/>
  <c r="I59" i="188"/>
  <c r="I25" i="188"/>
  <c r="I12" i="188"/>
  <c r="I58" i="188"/>
  <c r="I72" i="188"/>
  <c r="I40" i="188"/>
  <c r="I62" i="188"/>
  <c r="J78" i="256"/>
  <c r="I51" i="188"/>
  <c r="I32" i="188"/>
  <c r="I65" i="188"/>
  <c r="I39" i="188"/>
  <c r="I49" i="188"/>
  <c r="I35" i="188"/>
  <c r="I36" i="188"/>
  <c r="I71" i="188"/>
  <c r="I66" i="188"/>
  <c r="I53" i="188"/>
  <c r="I34" i="188"/>
  <c r="G55" i="188"/>
  <c r="G61" i="188"/>
  <c r="G62" i="188"/>
  <c r="G33" i="188"/>
  <c r="G12" i="188"/>
  <c r="G8" i="188"/>
  <c r="G37" i="188"/>
  <c r="G21" i="188"/>
  <c r="G13" i="188"/>
  <c r="G57" i="188"/>
  <c r="G14" i="188"/>
  <c r="G49" i="188"/>
  <c r="G32" i="188"/>
  <c r="G36" i="188"/>
  <c r="G16" i="188"/>
  <c r="G45" i="188"/>
  <c r="G42" i="188"/>
  <c r="G50" i="188"/>
  <c r="G72" i="188"/>
  <c r="G43" i="188"/>
  <c r="G78" i="256"/>
  <c r="G67" i="188"/>
  <c r="G58" i="188"/>
  <c r="G71" i="188"/>
  <c r="G66" i="188"/>
  <c r="G35" i="188"/>
  <c r="G51" i="188"/>
  <c r="G40" i="188"/>
  <c r="G65" i="188"/>
  <c r="G20" i="188"/>
  <c r="G39" i="188"/>
  <c r="G31" i="188"/>
  <c r="G53" i="188"/>
  <c r="G10" i="188"/>
  <c r="G23" i="188"/>
  <c r="G63" i="188"/>
  <c r="G34" i="188"/>
  <c r="G41" i="188"/>
  <c r="G52" i="188"/>
  <c r="G74" i="188"/>
  <c r="G59" i="188"/>
  <c r="H78" i="256"/>
  <c r="G47" i="188"/>
  <c r="G9" i="188"/>
  <c r="G11" i="188"/>
  <c r="G25" i="188"/>
  <c r="G46" i="188"/>
  <c r="N28" i="176"/>
  <c r="T69" i="188"/>
  <c r="O33" i="176"/>
  <c r="O11" i="176"/>
  <c r="O10" i="176"/>
  <c r="O16" i="176"/>
  <c r="O18" i="176"/>
  <c r="O19" i="176"/>
  <c r="O20" i="176"/>
  <c r="O32" i="176"/>
  <c r="O26" i="176"/>
  <c r="O22" i="176"/>
  <c r="O31" i="176"/>
  <c r="O30" i="176"/>
  <c r="O13" i="176"/>
  <c r="O8" i="176"/>
  <c r="O9" i="176"/>
  <c r="O17" i="176"/>
  <c r="O29" i="176"/>
  <c r="O15" i="176"/>
  <c r="O28" i="176"/>
  <c r="AH12" i="177"/>
  <c r="AF8" i="177"/>
  <c r="AH8" i="177" s="1"/>
  <c r="V22" i="176"/>
  <c r="Z23" i="175"/>
  <c r="D74" i="188"/>
  <c r="D8" i="188"/>
  <c r="D13" i="188"/>
  <c r="D46" i="188"/>
  <c r="D14" i="188"/>
  <c r="D65" i="188"/>
  <c r="D34" i="188"/>
  <c r="D66" i="188"/>
  <c r="D72" i="188"/>
  <c r="D23" i="188"/>
  <c r="D45" i="188"/>
  <c r="D71" i="188"/>
  <c r="D58" i="188"/>
  <c r="D39" i="188"/>
  <c r="D25" i="188"/>
  <c r="D43" i="188"/>
  <c r="D53" i="188"/>
  <c r="D32" i="188"/>
  <c r="D31" i="188"/>
  <c r="D12" i="188"/>
  <c r="D61" i="188"/>
  <c r="D52" i="188"/>
  <c r="D50" i="188"/>
  <c r="E78" i="256"/>
  <c r="D10" i="188"/>
  <c r="D59" i="188"/>
  <c r="D67" i="188"/>
  <c r="D55" i="188"/>
  <c r="D37" i="188"/>
  <c r="D51" i="188"/>
  <c r="D49" i="188"/>
  <c r="D42" i="188"/>
  <c r="D78" i="256"/>
  <c r="D63" i="188"/>
  <c r="D11" i="188"/>
  <c r="D9" i="188"/>
  <c r="D33" i="188"/>
  <c r="D16" i="188"/>
  <c r="D57" i="188"/>
  <c r="D21" i="188"/>
  <c r="D62" i="188"/>
  <c r="D36" i="188"/>
  <c r="D47" i="188"/>
  <c r="D41" i="188"/>
  <c r="D20" i="188"/>
  <c r="D35" i="188"/>
  <c r="D40" i="188"/>
  <c r="M78" i="256"/>
  <c r="W32" i="176" l="1"/>
  <c r="W28" i="176"/>
  <c r="E26" i="342"/>
  <c r="W15" i="176"/>
  <c r="E56" i="340"/>
  <c r="F56" i="340"/>
  <c r="W35" i="176"/>
  <c r="F26" i="342"/>
  <c r="Y25" i="175"/>
  <c r="Y40" i="175" s="1"/>
  <c r="Y38" i="175" s="1"/>
  <c r="D26" i="342"/>
  <c r="R38" i="175"/>
  <c r="P37" i="176" s="1"/>
  <c r="P39" i="176"/>
  <c r="I56" i="340"/>
  <c r="W8" i="176"/>
  <c r="W22" i="176"/>
  <c r="W33" i="176"/>
  <c r="W16" i="176"/>
  <c r="W31" i="176"/>
  <c r="W13" i="176"/>
  <c r="E13" i="176"/>
  <c r="G9" i="175"/>
  <c r="G36" i="175"/>
  <c r="E35" i="176" s="1"/>
  <c r="H36" i="175"/>
  <c r="F35" i="176" s="1"/>
  <c r="F13" i="176"/>
  <c r="H9" i="175"/>
  <c r="Z16" i="175"/>
  <c r="V15" i="176"/>
  <c r="Z29" i="175"/>
  <c r="V28" i="176"/>
  <c r="Q39" i="176"/>
  <c r="Q49" i="176"/>
  <c r="S38" i="175"/>
  <c r="Q37" i="176" s="1"/>
  <c r="X25" i="175"/>
  <c r="H8" i="176"/>
  <c r="J40" i="175"/>
  <c r="F40" i="175"/>
  <c r="D8" i="176"/>
  <c r="G13" i="176"/>
  <c r="I9" i="175"/>
  <c r="I36" i="175"/>
  <c r="G35" i="176" s="1"/>
  <c r="I13" i="176"/>
  <c r="K9" i="175"/>
  <c r="K36" i="175"/>
  <c r="I35" i="176" s="1"/>
  <c r="U25" i="175"/>
  <c r="S28" i="176"/>
  <c r="U36" i="175"/>
  <c r="S35" i="176" s="1"/>
  <c r="L40" i="175"/>
  <c r="J8" i="176"/>
  <c r="T38" i="175"/>
  <c r="R37" i="176" s="1"/>
  <c r="R49" i="176"/>
  <c r="R39" i="176"/>
  <c r="V13" i="176"/>
  <c r="X36" i="175"/>
  <c r="X9" i="175"/>
  <c r="Z14" i="175"/>
  <c r="N49" i="176"/>
  <c r="P38" i="175"/>
  <c r="N37" i="176" s="1"/>
  <c r="N39" i="176"/>
  <c r="V38" i="175"/>
  <c r="T37" i="176" s="1"/>
  <c r="T39" i="176"/>
  <c r="W9" i="175"/>
  <c r="U13" i="176"/>
  <c r="W36" i="175"/>
  <c r="U35" i="176" s="1"/>
  <c r="K26" i="342"/>
  <c r="W24" i="176" l="1"/>
  <c r="W39" i="176"/>
  <c r="F8" i="176"/>
  <c r="H40" i="175"/>
  <c r="E8" i="176"/>
  <c r="G40" i="175"/>
  <c r="V24" i="176"/>
  <c r="Z25" i="175"/>
  <c r="S24" i="176"/>
  <c r="U40" i="175"/>
  <c r="D39" i="176"/>
  <c r="F38" i="175"/>
  <c r="D37" i="176" s="1"/>
  <c r="H39" i="176"/>
  <c r="J38" i="175"/>
  <c r="H37" i="176" s="1"/>
  <c r="G8" i="176"/>
  <c r="I40" i="175"/>
  <c r="I8" i="176"/>
  <c r="K40" i="175"/>
  <c r="W37" i="176"/>
  <c r="X40" i="175"/>
  <c r="V8" i="176"/>
  <c r="Z9" i="175"/>
  <c r="W40" i="175"/>
  <c r="U8" i="176"/>
  <c r="V35" i="176"/>
  <c r="J39" i="176"/>
  <c r="L38" i="175"/>
  <c r="J37" i="176" s="1"/>
  <c r="H38" i="175" l="1"/>
  <c r="F37" i="176" s="1"/>
  <c r="F39" i="176"/>
  <c r="E39" i="176"/>
  <c r="G38" i="175"/>
  <c r="E37" i="176" s="1"/>
  <c r="K38" i="175"/>
  <c r="I37" i="176" s="1"/>
  <c r="I39" i="176"/>
  <c r="S49" i="176"/>
  <c r="U38" i="175"/>
  <c r="S37" i="176" s="1"/>
  <c r="S39" i="176"/>
  <c r="G39" i="176"/>
  <c r="I38" i="175"/>
  <c r="G37" i="176" s="1"/>
  <c r="X38" i="175"/>
  <c r="V39" i="176"/>
  <c r="W38" i="175"/>
  <c r="U37" i="176" s="1"/>
  <c r="U39" i="176"/>
  <c r="V37" i="176" l="1"/>
  <c r="Z38" i="17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U52" authorId="0" shapeId="0" xr:uid="{00000000-0006-0000-0900-000001000000}">
      <text>
        <r>
          <rPr>
            <b/>
            <sz val="8"/>
            <color indexed="81"/>
            <rFont val="Tahoma"/>
            <family val="2"/>
          </rPr>
          <t xml:space="preserve"> :</t>
        </r>
        <r>
          <rPr>
            <sz val="8"/>
            <color indexed="81"/>
            <rFont val="Tahoma"/>
            <family val="2"/>
          </rPr>
          <t xml:space="preserve">
</t>
        </r>
        <r>
          <rPr>
            <sz val="11"/>
            <color indexed="81"/>
            <rFont val="Tahoma"/>
            <family val="2"/>
          </rPr>
          <t>This  data is preliminary as the november and december ata does not include Sandals grande and Sandal Regncy. However, I think this figure should be used tentatively until all the data  is received.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VEJOHN</author>
  </authors>
  <commentList>
    <comment ref="E18" authorId="0" shapeId="0" xr:uid="{00000000-0006-0000-2800-000001000000}">
      <text>
        <r>
          <rPr>
            <b/>
            <sz val="8"/>
            <color indexed="81"/>
            <rFont val="Tahoma"/>
            <family val="2"/>
          </rPr>
          <t>VEJOHN:</t>
        </r>
        <r>
          <rPr>
            <sz val="8"/>
            <color indexed="81"/>
            <rFont val="Tahoma"/>
            <family val="2"/>
          </rPr>
          <t xml:space="preserve">
bonds 58141, t/bill 207</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6" authorId="0" shapeId="0" xr:uid="{00000000-0006-0000-3700-000001000000}">
      <text>
        <r>
          <rPr>
            <b/>
            <sz val="9"/>
            <color indexed="81"/>
            <rFont val="Tahoma"/>
            <family val="2"/>
          </rPr>
          <t>User:</t>
        </r>
        <r>
          <rPr>
            <sz val="9"/>
            <color indexed="81"/>
            <rFont val="Tahoma"/>
            <family val="2"/>
          </rPr>
          <t xml:space="preserve">
TRADE data begins from 2014. 
check previous appendicies for 2013 data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36" authorId="0" shapeId="0" xr:uid="{00000000-0006-0000-3800-000001000000}">
      <text>
        <r>
          <rPr>
            <b/>
            <sz val="9"/>
            <color indexed="81"/>
            <rFont val="Tahoma"/>
            <family val="2"/>
          </rPr>
          <t>User:</t>
        </r>
        <r>
          <rPr>
            <sz val="9"/>
            <color indexed="81"/>
            <rFont val="Tahoma"/>
            <family val="2"/>
          </rPr>
          <t xml:space="preserve">
No 2013 data to compare to as yet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56E61E-5749-4F29-AA71-CDF8C37D365F}" keepAlive="1" name="Query - Janai's Blog Info" description="Connection to the 'Janai's Blog Info' query in the workbook." type="5" refreshedVersion="8" background="1" saveData="1">
    <dbPr connection="Provider=Microsoft.Mashup.OleDb.1;Data Source=$Workbook$;Location=&quot;Janai's Blog Info&quot;;Extended Properties=&quot;&quot;" command="SELECT * FROM [Janai's Blog Info]"/>
  </connection>
</connections>
</file>

<file path=xl/sharedStrings.xml><?xml version="1.0" encoding="utf-8"?>
<sst xmlns="http://schemas.openxmlformats.org/spreadsheetml/2006/main" count="5903" uniqueCount="2387">
  <si>
    <t>Telecommunications</t>
  </si>
  <si>
    <t>TOTAL  2010</t>
  </si>
  <si>
    <t>TOTAL REVENUE AND GRANTS</t>
  </si>
  <si>
    <t xml:space="preserve">  Grants </t>
  </si>
  <si>
    <t xml:space="preserve">  Capital revenue</t>
  </si>
  <si>
    <t xml:space="preserve">  Taxes on Income</t>
  </si>
  <si>
    <t xml:space="preserve">  Taxes on Goods &amp; Services</t>
  </si>
  <si>
    <t xml:space="preserve">  Taxes on International Trade</t>
  </si>
  <si>
    <t xml:space="preserve">  Other</t>
  </si>
  <si>
    <t xml:space="preserve">  Wages &amp; Salaries</t>
  </si>
  <si>
    <t xml:space="preserve">  Interest Payments</t>
  </si>
  <si>
    <t xml:space="preserve">  Goods &amp; Services</t>
  </si>
  <si>
    <t xml:space="preserve">  Current Transfers</t>
  </si>
  <si>
    <t>GDP at market prices</t>
  </si>
  <si>
    <t>2005/06r</t>
  </si>
  <si>
    <t xml:space="preserve">   Stay-over</t>
  </si>
  <si>
    <t xml:space="preserve">   Cruise</t>
  </si>
  <si>
    <t>LIVESTOCK PURCHASES</t>
  </si>
  <si>
    <t>Livestock Category</t>
  </si>
  <si>
    <t>Quantity (Tonnes)</t>
  </si>
  <si>
    <t>Pork</t>
  </si>
  <si>
    <t>Source: Ministry of Agriculture</t>
  </si>
  <si>
    <t xml:space="preserve">Exports </t>
  </si>
  <si>
    <t>Hotel Purchases</t>
  </si>
  <si>
    <t>Total Production</t>
  </si>
  <si>
    <t>TOTAL PRODUCTION OF OTHER CROPS (IN TONNES)</t>
  </si>
  <si>
    <t>Value $EC</t>
  </si>
  <si>
    <t>Fruit &amp; Tree Crops</t>
  </si>
  <si>
    <t>Traditional Vegetables</t>
  </si>
  <si>
    <t>Non Traditional Vegetables</t>
  </si>
  <si>
    <t>Roots &amp; Tubers</t>
  </si>
  <si>
    <t>Condiments</t>
  </si>
  <si>
    <t>Quantity</t>
  </si>
  <si>
    <t>SITE</t>
  </si>
  <si>
    <t>DOLPHIN</t>
  </si>
  <si>
    <t>WAHOO</t>
  </si>
  <si>
    <t>CONCH</t>
  </si>
  <si>
    <t>LOBSTER</t>
  </si>
  <si>
    <t>SNAPPER</t>
  </si>
  <si>
    <t>SHARK</t>
  </si>
  <si>
    <t>CASTRIES</t>
  </si>
  <si>
    <t>CHOISEUL</t>
  </si>
  <si>
    <t>DENNERY</t>
  </si>
  <si>
    <t>GROS ISLET</t>
  </si>
  <si>
    <t>MICOUD</t>
  </si>
  <si>
    <t>SOUFRIERE</t>
  </si>
  <si>
    <t>TUNAS</t>
  </si>
  <si>
    <t>OTHER</t>
  </si>
  <si>
    <t>SELECTED VISITOR STATISTICS</t>
  </si>
  <si>
    <t>Total Visitor Arrivals</t>
  </si>
  <si>
    <t>of which:</t>
  </si>
  <si>
    <t xml:space="preserve">    Cruise Passengers</t>
  </si>
  <si>
    <t xml:space="preserve">    Stay-Over Arrivals</t>
  </si>
  <si>
    <t xml:space="preserve">    Yacht Arrivals</t>
  </si>
  <si>
    <t>n/a</t>
  </si>
  <si>
    <t xml:space="preserve">    Excursionists</t>
  </si>
  <si>
    <t xml:space="preserve">STAY-OVER TOURIST ARRIVALS BY COUNTRY OF ORIGIN </t>
  </si>
  <si>
    <t>Country of Origin</t>
  </si>
  <si>
    <t>USA</t>
  </si>
  <si>
    <t>CANADA</t>
  </si>
  <si>
    <t>EUROPE</t>
  </si>
  <si>
    <t>CARIBBEAN</t>
  </si>
  <si>
    <t xml:space="preserve">  Caricom</t>
  </si>
  <si>
    <t xml:space="preserve">  French West Indies</t>
  </si>
  <si>
    <t>MONTHLY ARRIVALS BY CATEGORY</t>
  </si>
  <si>
    <t>Stay-over</t>
  </si>
  <si>
    <t>Excursionist</t>
  </si>
  <si>
    <t>Yacht</t>
  </si>
  <si>
    <t>Cruise</t>
  </si>
  <si>
    <t>Visitor</t>
  </si>
  <si>
    <t>First Half</t>
  </si>
  <si>
    <t>Second Half</t>
  </si>
  <si>
    <t>Source: Eastern Caribbean Central Bank</t>
  </si>
  <si>
    <t xml:space="preserve">Growth </t>
  </si>
  <si>
    <t>CATEGORY</t>
  </si>
  <si>
    <t>1996</t>
  </si>
  <si>
    <t>1997</t>
  </si>
  <si>
    <t>1998</t>
  </si>
  <si>
    <t>2006r</t>
  </si>
  <si>
    <t>2001</t>
  </si>
  <si>
    <t>2002</t>
  </si>
  <si>
    <t>COMMERCIAL BANKS' CREDIT BY SECTOR</t>
  </si>
  <si>
    <t>1999</t>
  </si>
  <si>
    <t>2000</t>
  </si>
  <si>
    <t>Agriculture</t>
  </si>
  <si>
    <t>Fisheries</t>
  </si>
  <si>
    <t xml:space="preserve">Mining and Quarrying </t>
  </si>
  <si>
    <t>Public Utilites</t>
  </si>
  <si>
    <t>Construction  &amp; Land Dev.</t>
  </si>
  <si>
    <t xml:space="preserve">Distributive Trades </t>
  </si>
  <si>
    <t>Tourism</t>
  </si>
  <si>
    <t>Entertainment &amp; Catering</t>
  </si>
  <si>
    <t>Transport</t>
  </si>
  <si>
    <t xml:space="preserve">Financial Institutions </t>
  </si>
  <si>
    <t>Professional &amp; Other Services</t>
  </si>
  <si>
    <t>Gov't Services/Public Admin.</t>
  </si>
  <si>
    <t>Personal</t>
  </si>
  <si>
    <t>Source: Eastern Caribben Central Bank</t>
  </si>
  <si>
    <t>Annual Average</t>
  </si>
  <si>
    <t>Percentage Change</t>
  </si>
  <si>
    <t>Alch Bev, Tobacco &amp; Narcotics</t>
  </si>
  <si>
    <t>Clothing &amp;  Footwear</t>
  </si>
  <si>
    <t>Health</t>
  </si>
  <si>
    <t>Recreation &amp; Culture</t>
  </si>
  <si>
    <t>Education</t>
  </si>
  <si>
    <t>Restuarants and Hotels</t>
  </si>
  <si>
    <t>Miscellaneous Goods &amp; Services</t>
  </si>
  <si>
    <t>Percent age</t>
  </si>
  <si>
    <t>Category</t>
  </si>
  <si>
    <t>Change (97/8)</t>
  </si>
  <si>
    <t>Domestic Use</t>
  </si>
  <si>
    <t>Commercial Use</t>
  </si>
  <si>
    <t xml:space="preserve">Hotel Use </t>
  </si>
  <si>
    <t>Industrial Use</t>
  </si>
  <si>
    <t>Streetlighting</t>
  </si>
  <si>
    <t>Total Sales</t>
  </si>
  <si>
    <t>Internal use</t>
  </si>
  <si>
    <t>Loss in transmission</t>
  </si>
  <si>
    <t>Total Generated</t>
  </si>
  <si>
    <t>Source: LUCELEC</t>
  </si>
  <si>
    <t>Fuel Surcharge (cents/unit)</t>
  </si>
  <si>
    <t>Fuel Prices ($/Imp. gals)</t>
  </si>
  <si>
    <t xml:space="preserve">YEAR </t>
  </si>
  <si>
    <t>Sub-Total</t>
  </si>
  <si>
    <t>Nil</t>
  </si>
  <si>
    <t>AIRPORT TRAFFIC STATISTICS</t>
  </si>
  <si>
    <t>AIRCRAFT LANDINGS</t>
  </si>
  <si>
    <t>PASSENGERS</t>
  </si>
  <si>
    <t>G.F.L. Charles</t>
  </si>
  <si>
    <t>Year</t>
  </si>
  <si>
    <t>Arrivals</t>
  </si>
  <si>
    <t>Departures</t>
  </si>
  <si>
    <t>Movements</t>
  </si>
  <si>
    <t>Disembarked</t>
  </si>
  <si>
    <t>Embarked</t>
  </si>
  <si>
    <t>Total Handled*</t>
  </si>
  <si>
    <t>Hewanorra</t>
  </si>
  <si>
    <t>AIRCRAFT MOVEMENTS</t>
  </si>
  <si>
    <t>Scheduled</t>
  </si>
  <si>
    <t>Service Landings*</t>
  </si>
  <si>
    <t>Non-scheduled</t>
  </si>
  <si>
    <t>Other</t>
  </si>
  <si>
    <t>G. F. L. CHARLES AIRPORT</t>
  </si>
  <si>
    <t>HEWANORRA AIRPORT</t>
  </si>
  <si>
    <t xml:space="preserve">Consumption Tax (Imports) </t>
  </si>
  <si>
    <t xml:space="preserve">Hotel Accommodation tax </t>
  </si>
  <si>
    <t>Number of Pupils</t>
  </si>
  <si>
    <t>Number of Teachers</t>
  </si>
  <si>
    <t>Male</t>
  </si>
  <si>
    <t>Female</t>
  </si>
  <si>
    <t>1992/93</t>
  </si>
  <si>
    <t>1993/94</t>
  </si>
  <si>
    <t>1994/95</t>
  </si>
  <si>
    <t>1995/96</t>
  </si>
  <si>
    <t>1996/97</t>
  </si>
  <si>
    <t>1997/98</t>
  </si>
  <si>
    <t>1998/99</t>
  </si>
  <si>
    <t>1999/00</t>
  </si>
  <si>
    <t>2000/01</t>
  </si>
  <si>
    <t>2001/02</t>
  </si>
  <si>
    <t>2002/03</t>
  </si>
  <si>
    <t>2003/04</t>
  </si>
  <si>
    <t>2004/05</t>
  </si>
  <si>
    <t>2005/06</t>
  </si>
  <si>
    <t>2006/07</t>
  </si>
  <si>
    <t>2007/08</t>
  </si>
  <si>
    <t>% Pass Rate (Grades A-E)</t>
  </si>
  <si>
    <t>(SALCC)</t>
  </si>
  <si>
    <t>(VFCSS)</t>
  </si>
  <si>
    <t>1991/92</t>
  </si>
  <si>
    <t xml:space="preserve">CENTRAL GOVERNMENT </t>
  </si>
  <si>
    <t>ECONOMIC CLASSIFICATION</t>
  </si>
  <si>
    <t xml:space="preserve">2003/04 </t>
  </si>
  <si>
    <t>Current Revenue</t>
  </si>
  <si>
    <t>Tax Revenue</t>
  </si>
  <si>
    <t>Others</t>
  </si>
  <si>
    <t>Non Tax Revenue</t>
  </si>
  <si>
    <t xml:space="preserve">Capital Expenditure </t>
  </si>
  <si>
    <t>Interest Payments</t>
  </si>
  <si>
    <t>Current Transfers</t>
  </si>
  <si>
    <t>Current Balance</t>
  </si>
  <si>
    <t>Primary Balance</t>
  </si>
  <si>
    <t>Overall Balance</t>
  </si>
  <si>
    <t xml:space="preserve">2003/04  </t>
  </si>
  <si>
    <t>CENTRAL GOVERNMENT REVENUE*</t>
  </si>
  <si>
    <t xml:space="preserve">1998/99 </t>
  </si>
  <si>
    <t xml:space="preserve">1999/00 </t>
  </si>
  <si>
    <t xml:space="preserve">2000/01 </t>
  </si>
  <si>
    <t xml:space="preserve">2002/03 </t>
  </si>
  <si>
    <t xml:space="preserve">2004/05 </t>
  </si>
  <si>
    <t xml:space="preserve">Capital Grants </t>
  </si>
  <si>
    <t>Capital Revenue</t>
  </si>
  <si>
    <t>CURRENT REVENUE</t>
  </si>
  <si>
    <t>Arrears</t>
  </si>
  <si>
    <t>Tax On Goods And Services</t>
  </si>
  <si>
    <t xml:space="preserve">Consumption tax (domestic) </t>
  </si>
  <si>
    <t>Excise tax (domestic)</t>
  </si>
  <si>
    <t xml:space="preserve">Insurance Premium Tax </t>
  </si>
  <si>
    <t>Licences</t>
  </si>
  <si>
    <t xml:space="preserve">Fuel Surcharge </t>
  </si>
  <si>
    <t>pre = preliminary</t>
  </si>
  <si>
    <t>Type of Fish (Tonnes)</t>
  </si>
  <si>
    <t>AIRCRAFT MOVEMENTS BY ACTIVITY</t>
  </si>
  <si>
    <t>SUMMARY OF CENTRAL GOVERNMENT FISCAL OPERATIONS</t>
  </si>
  <si>
    <t>($EC)</t>
  </si>
  <si>
    <t xml:space="preserve">Tax on Income </t>
  </si>
  <si>
    <t>Tax on International Trade and Transactions</t>
  </si>
  <si>
    <t>Stamp Duties (Inland Revenue)</t>
  </si>
  <si>
    <t xml:space="preserve">Cellular Tax </t>
  </si>
  <si>
    <t>Passenger Facility Fee</t>
  </si>
  <si>
    <t xml:space="preserve">Import Duty </t>
  </si>
  <si>
    <t xml:space="preserve">Thruput Charges </t>
  </si>
  <si>
    <t xml:space="preserve">Travel Tax </t>
  </si>
  <si>
    <t>Environmental Levy</t>
  </si>
  <si>
    <t>Security Charge</t>
  </si>
  <si>
    <t>Excise tax (imports)</t>
  </si>
  <si>
    <t xml:space="preserve">Non-Tax Revenue </t>
  </si>
  <si>
    <t>Earnings From Govt. Depts.</t>
  </si>
  <si>
    <t>E.C.C.B. Profits</t>
  </si>
  <si>
    <t>Interest and rents</t>
  </si>
  <si>
    <t>Fees, Fines and Sales</t>
  </si>
  <si>
    <t xml:space="preserve">Other Non Tax Revenues </t>
  </si>
  <si>
    <t xml:space="preserve">1999/2000 </t>
  </si>
  <si>
    <t xml:space="preserve">2001/02 </t>
  </si>
  <si>
    <t>CENTRAL GOVERNMENT EXPENDITURE</t>
  </si>
  <si>
    <t xml:space="preserve">1996/97 </t>
  </si>
  <si>
    <t>1997/98 R</t>
  </si>
  <si>
    <t>Wages and Salaries</t>
  </si>
  <si>
    <t>Goods and Services</t>
  </si>
  <si>
    <t>Current Expenditure</t>
  </si>
  <si>
    <t>Capital Expenditure</t>
  </si>
  <si>
    <t>Bonds</t>
  </si>
  <si>
    <t>pre= preliminary</t>
  </si>
  <si>
    <t xml:space="preserve">        LIABILITIES</t>
  </si>
  <si>
    <t>Outstanding Debt</t>
  </si>
  <si>
    <t xml:space="preserve"> - Domestic</t>
  </si>
  <si>
    <t xml:space="preserve"> - External</t>
  </si>
  <si>
    <t>B. Government Guaranteed</t>
  </si>
  <si>
    <t>C. Public Non-Guaranteed</t>
  </si>
  <si>
    <t xml:space="preserve">1. TOTAL OUTSTANDING </t>
  </si>
  <si>
    <t>A. Central Government</t>
  </si>
  <si>
    <t xml:space="preserve">      - Treasury Bills/Notes</t>
  </si>
  <si>
    <t xml:space="preserve">      - Bonds</t>
  </si>
  <si>
    <t xml:space="preserve">      - Loans</t>
  </si>
  <si>
    <t xml:space="preserve">          - Bilateral</t>
  </si>
  <si>
    <t xml:space="preserve">          - Multilateral</t>
  </si>
  <si>
    <t>3.  Outstanding Payables</t>
  </si>
  <si>
    <t>TOTAL  (Domestic)</t>
  </si>
  <si>
    <t>TOTAL  (External)</t>
  </si>
  <si>
    <t>IMPORTS BY STANDARD INTERNATIONAL TRADE CLASSIFICATION</t>
  </si>
  <si>
    <t>(At C.I.F Prices)</t>
  </si>
  <si>
    <t>COMMODITY GROUP</t>
  </si>
  <si>
    <t>CONSUMER GOODS</t>
  </si>
  <si>
    <t>0. Food &amp; Live Animals</t>
  </si>
  <si>
    <t>1. Beverage &amp; Tobacco</t>
  </si>
  <si>
    <t>6. Manufactured Goods Classified Chiefly by Material</t>
  </si>
  <si>
    <t>8. Miscellaneous Manufactured Articles</t>
  </si>
  <si>
    <t>INTERMEDIATE GOODS</t>
  </si>
  <si>
    <t>2. Crude Materials, Inedible Except Fuels</t>
  </si>
  <si>
    <t>3. Mineral Fuel, Lubricants and Related Materials</t>
  </si>
  <si>
    <t>4. Animal and Vegetable Oils &amp; Fats</t>
  </si>
  <si>
    <t>5. Chemicals and Related Products</t>
  </si>
  <si>
    <t>CAPITAL GOODS</t>
  </si>
  <si>
    <t>7. Machinery and Transport Equipment</t>
  </si>
  <si>
    <t>9. Miscellaneous</t>
  </si>
  <si>
    <t xml:space="preserve">      (At F.O.B Prices)</t>
  </si>
  <si>
    <t xml:space="preserve">IMPORTS BY STANDARD INTERNATIONAL TRADE CLASSIFICATION </t>
  </si>
  <si>
    <t>Percentage of Total</t>
  </si>
  <si>
    <t>pre=preliminary</t>
  </si>
  <si>
    <t>r=revised</t>
  </si>
  <si>
    <t xml:space="preserve">Quantity </t>
  </si>
  <si>
    <t xml:space="preserve">      United Kingdom</t>
  </si>
  <si>
    <t xml:space="preserve">    Home Const. &amp; Renovation</t>
  </si>
  <si>
    <t xml:space="preserve">    House &amp; Land Purchase</t>
  </si>
  <si>
    <t xml:space="preserve">Academic </t>
  </si>
  <si>
    <t>INTEREST</t>
  </si>
  <si>
    <t>EXCHANGE</t>
  </si>
  <si>
    <t>FOREIGN</t>
  </si>
  <si>
    <t>EC$</t>
  </si>
  <si>
    <t>REFERENCE</t>
  </si>
  <si>
    <t>CURRENCY</t>
  </si>
  <si>
    <t>RATE</t>
  </si>
  <si>
    <t>EQUIVALENT</t>
  </si>
  <si>
    <t>SUB - TOTAL (Central Gov't)</t>
  </si>
  <si>
    <t>2010/11</t>
  </si>
  <si>
    <t>SUB - TOTAL  (Gov't Guaranteed)</t>
  </si>
  <si>
    <t>ECD</t>
  </si>
  <si>
    <t>SUB - TOTAL  (Gov't Non-Guaranteed)</t>
  </si>
  <si>
    <t>USD</t>
  </si>
  <si>
    <t>EUR</t>
  </si>
  <si>
    <t>CLC 3000 01 Z</t>
  </si>
  <si>
    <t>KWD</t>
  </si>
  <si>
    <t>SDR</t>
  </si>
  <si>
    <t>8/SFR-OR-STL</t>
  </si>
  <si>
    <t>43/SFR-ST.L</t>
  </si>
  <si>
    <t>2008/09</t>
  </si>
  <si>
    <t>TOTAL EXPENDITURE</t>
  </si>
  <si>
    <t>27/SFR-OR</t>
  </si>
  <si>
    <t>45/SFR-STL</t>
  </si>
  <si>
    <t>18/SFR-OR-ST.L (ADD)</t>
  </si>
  <si>
    <t>20/SFR-OR-ST.L</t>
  </si>
  <si>
    <t>Tuna</t>
  </si>
  <si>
    <t>Dolphin</t>
  </si>
  <si>
    <t>King Fish</t>
  </si>
  <si>
    <t>DISTRIBUTION  OF OUTSTANDING LIABILITIES</t>
  </si>
  <si>
    <t>BY CLASS OF HOLDER &amp; TYPE OF LIABILITY</t>
  </si>
  <si>
    <t xml:space="preserve">2. Other Regional </t>
  </si>
  <si>
    <t>3. Extra Regional</t>
  </si>
  <si>
    <t>Payables</t>
  </si>
  <si>
    <t>Schools</t>
  </si>
  <si>
    <t>Number of</t>
  </si>
  <si>
    <t>(ex-vessel price, EC$)</t>
  </si>
  <si>
    <t xml:space="preserve">r = revised </t>
  </si>
  <si>
    <t xml:space="preserve">pre= preliminary  </t>
  </si>
  <si>
    <t>TABLE 11</t>
  </si>
  <si>
    <t>2010r</t>
  </si>
  <si>
    <t>2011pre</t>
  </si>
  <si>
    <t>Tax on Property**</t>
  </si>
  <si>
    <t>**Does not include property tax collections by the CCC</t>
  </si>
  <si>
    <t xml:space="preserve">                           </t>
  </si>
  <si>
    <t>Purchases</t>
  </si>
  <si>
    <t>Supermarket</t>
  </si>
  <si>
    <t>ANSE LA RAYE</t>
  </si>
  <si>
    <t>VIEUX FORT</t>
  </si>
  <si>
    <t>TOTAL  2009</t>
  </si>
  <si>
    <t>12/OR-ST.L (ADD)</t>
  </si>
  <si>
    <t>48 SFR-ST.L</t>
  </si>
  <si>
    <t>49 SFR-ST.L</t>
  </si>
  <si>
    <t>23/SFR-OR-STL</t>
  </si>
  <si>
    <t>IMF</t>
  </si>
  <si>
    <t>CENTRAL GOVERNMENT</t>
  </si>
  <si>
    <t>11/SFR-OR</t>
  </si>
  <si>
    <t>17/SFR-OR-STL</t>
  </si>
  <si>
    <t>SUB - TOTAL (Gov't Guaranteed)</t>
  </si>
  <si>
    <t>TOTAL  (Gov't Guaranteed)</t>
  </si>
  <si>
    <t>TOTAL  (Central Gov't)</t>
  </si>
  <si>
    <t>GRAND TOTAL</t>
  </si>
  <si>
    <t xml:space="preserve">IDA </t>
  </si>
  <si>
    <t xml:space="preserve">IBRD </t>
  </si>
  <si>
    <t>AGENCE FRANCAISSE</t>
  </si>
  <si>
    <t>KUWAIT FUND</t>
  </si>
  <si>
    <t>CITIBANK</t>
  </si>
  <si>
    <t>ROYAL MERCHANT BANK</t>
  </si>
  <si>
    <t>CDB</t>
  </si>
  <si>
    <t>Economic Sector</t>
  </si>
  <si>
    <t>Disbursed Outstanding Debt</t>
  </si>
  <si>
    <t>Percentage of DOD</t>
  </si>
  <si>
    <t>Agriculture, Fishing &amp; Forestry</t>
  </si>
  <si>
    <t>Communications &amp; Works</t>
  </si>
  <si>
    <t>Education &amp; Training</t>
  </si>
  <si>
    <t>Foreign Affairs</t>
  </si>
  <si>
    <t>Computer Technology</t>
  </si>
  <si>
    <t>Finance, Insurance, Etc.</t>
  </si>
  <si>
    <t>Housing &amp; Urban Development</t>
  </si>
  <si>
    <t>Industrial Development</t>
  </si>
  <si>
    <t>Health &amp; Social Welfare</t>
  </si>
  <si>
    <t>Hotel &amp; Tourism Industry</t>
  </si>
  <si>
    <t>Utilities</t>
  </si>
  <si>
    <t>Multi-sector</t>
  </si>
  <si>
    <t>BY CLASS OF HOLDER &amp; TERM OF INSTRUMENT</t>
  </si>
  <si>
    <t>LONGTERM [&gt;10 years]</t>
  </si>
  <si>
    <t>MEDIUM TERM [&gt;5 - 10YRS]</t>
  </si>
  <si>
    <t>SHORT TERM [1 - 5 Years]</t>
  </si>
  <si>
    <t>Loans &amp; Advances</t>
  </si>
  <si>
    <t>Sub-total</t>
  </si>
  <si>
    <t>Treasury Bills</t>
  </si>
  <si>
    <t>A. Monetary Authorities</t>
  </si>
  <si>
    <t>1. ECCB</t>
  </si>
  <si>
    <t>B. Financial Institutions</t>
  </si>
  <si>
    <t>1. Commercial Banks</t>
  </si>
  <si>
    <t>2. Insurance Companies</t>
  </si>
  <si>
    <t>3. Other</t>
  </si>
  <si>
    <t xml:space="preserve">C. Non-Financial Private Sector </t>
  </si>
  <si>
    <t>D. Non-Financial Public Sector</t>
  </si>
  <si>
    <t>E. Other (Private Individuals &amp; Agencies included)</t>
  </si>
  <si>
    <t>F. Short term credits</t>
  </si>
  <si>
    <t>B. Int'l Development Institutions</t>
  </si>
  <si>
    <t>1. C.D.B.</t>
  </si>
  <si>
    <t>2. E.I.B.</t>
  </si>
  <si>
    <t>3. I.F.A.D.</t>
  </si>
  <si>
    <t>4. OPEC</t>
  </si>
  <si>
    <t>5. IDA</t>
  </si>
  <si>
    <t>6. IBRD</t>
  </si>
  <si>
    <t>C. Foreign Governments</t>
  </si>
  <si>
    <t>1. France</t>
  </si>
  <si>
    <t>2. Kuwait</t>
  </si>
  <si>
    <t>1. Regional</t>
  </si>
  <si>
    <t>2. Extra Regional</t>
  </si>
  <si>
    <t>E. OTHER</t>
  </si>
  <si>
    <t>1. Royal Merchant Bank</t>
  </si>
  <si>
    <t xml:space="preserve"> </t>
  </si>
  <si>
    <t>1995</t>
  </si>
  <si>
    <t>Manufacturing</t>
  </si>
  <si>
    <t>Construction</t>
  </si>
  <si>
    <t>TOTAL</t>
  </si>
  <si>
    <t>-</t>
  </si>
  <si>
    <t>(Tonnes)</t>
  </si>
  <si>
    <t>Growth</t>
  </si>
  <si>
    <t>MONTH</t>
  </si>
  <si>
    <t>January</t>
  </si>
  <si>
    <t>February</t>
  </si>
  <si>
    <t>March</t>
  </si>
  <si>
    <t>April</t>
  </si>
  <si>
    <t>May</t>
  </si>
  <si>
    <t>June</t>
  </si>
  <si>
    <t>July</t>
  </si>
  <si>
    <t>August</t>
  </si>
  <si>
    <t>September</t>
  </si>
  <si>
    <t>October</t>
  </si>
  <si>
    <t>November</t>
  </si>
  <si>
    <t>December</t>
  </si>
  <si>
    <t>Tonnes</t>
  </si>
  <si>
    <t>Total</t>
  </si>
  <si>
    <t>EGG PRODUCTION</t>
  </si>
  <si>
    <t>Quarter 1</t>
  </si>
  <si>
    <t>Quarter 2</t>
  </si>
  <si>
    <t>Quarter 3</t>
  </si>
  <si>
    <t>Quarter 4</t>
  </si>
  <si>
    <t xml:space="preserve">                                                            </t>
  </si>
  <si>
    <t>2008r</t>
  </si>
  <si>
    <t>2. IMF</t>
  </si>
  <si>
    <t xml:space="preserve">pre=preliminary </t>
  </si>
  <si>
    <t>2010pre</t>
  </si>
  <si>
    <t>2009r</t>
  </si>
  <si>
    <t>PRIMARY SCHOOLS</t>
  </si>
  <si>
    <t>ANALYSIS OF SCHOOLS, PUPILS AND TEACHERS</t>
  </si>
  <si>
    <t>ACADEMIC</t>
  </si>
  <si>
    <t>YEAR</t>
  </si>
  <si>
    <t>2009/10</t>
  </si>
  <si>
    <t>SECONDARY SCHOOLS</t>
  </si>
  <si>
    <t>Sir Arthur Lewis Community College</t>
  </si>
  <si>
    <t>30/SFR-ST.L2</t>
  </si>
  <si>
    <t>30/SFR-ST.L3</t>
  </si>
  <si>
    <t>53/SFR-STL</t>
  </si>
  <si>
    <t>2007r</t>
  </si>
  <si>
    <t>GDP market prices rec'd April 1, 2011</t>
  </si>
  <si>
    <t>GDP mp old series</t>
  </si>
  <si>
    <t>Public Debt/GDP</t>
  </si>
  <si>
    <t>Roads &amp; Bridges</t>
  </si>
  <si>
    <t>2.   OFFICIAL PUBLIC DEBT</t>
  </si>
  <si>
    <t xml:space="preserve">TOTAL PUBLIC SECTOR OUTSTANDING LIABILITIES </t>
  </si>
  <si>
    <t>TOTAL  2011</t>
  </si>
  <si>
    <t>TOTAL MANUFACTURING</t>
  </si>
  <si>
    <t>Miscellaneous</t>
  </si>
  <si>
    <t>CROP CATEGORY</t>
  </si>
  <si>
    <t>Source: Ministry of Agriculture, Food Production, Fisheries, Rural Development</t>
  </si>
  <si>
    <t>* Landings, as used in this table, mean  arrivals &amp; departures.</t>
  </si>
  <si>
    <t>SUMMARY OF FISCAL OPERATIONS [Fiscal Year]*</t>
  </si>
  <si>
    <t xml:space="preserve">    Retro-active</t>
  </si>
  <si>
    <t xml:space="preserve">    Domestic</t>
  </si>
  <si>
    <t xml:space="preserve">    Utilities</t>
  </si>
  <si>
    <t xml:space="preserve">    Supplies &amp; Materials</t>
  </si>
  <si>
    <t xml:space="preserve">    Operating &amp; Maintenance</t>
  </si>
  <si>
    <t xml:space="preserve">    Rental</t>
  </si>
  <si>
    <t xml:space="preserve">    Communications</t>
  </si>
  <si>
    <t xml:space="preserve">    Other</t>
  </si>
  <si>
    <t xml:space="preserve">    Public sector</t>
  </si>
  <si>
    <t xml:space="preserve">      Subsidies</t>
  </si>
  <si>
    <t xml:space="preserve">      Other</t>
  </si>
  <si>
    <t xml:space="preserve">    Local Revenue</t>
  </si>
  <si>
    <t xml:space="preserve">    Grants</t>
  </si>
  <si>
    <t xml:space="preserve">    Loans</t>
  </si>
  <si>
    <t xml:space="preserve">    Bonds</t>
  </si>
  <si>
    <t xml:space="preserve">DISTRIBUTION OF PUBLIC SECTOR EXTERNAL LOANS BY CREDITOR </t>
  </si>
  <si>
    <t>Average Length of Stay</t>
  </si>
  <si>
    <t>Cruise Ship Calls</t>
  </si>
  <si>
    <t xml:space="preserve">                                            * Excludes intransit passengers</t>
  </si>
  <si>
    <t>30/SFR-OR-STL 1A1</t>
  </si>
  <si>
    <t>30/SFR-OR-STL 2A1</t>
  </si>
  <si>
    <t>31/SFR-OR-STL</t>
  </si>
  <si>
    <t>Value-Added Tax</t>
  </si>
  <si>
    <t xml:space="preserve">  Taxes on Property</t>
  </si>
  <si>
    <t xml:space="preserve">    Private sector</t>
  </si>
  <si>
    <t xml:space="preserve">    Foreign</t>
  </si>
  <si>
    <t xml:space="preserve">    Travel &amp; Subsistence</t>
  </si>
  <si>
    <t>2011r</t>
  </si>
  <si>
    <t xml:space="preserve">  European Plan</t>
  </si>
  <si>
    <t xml:space="preserve">  Small Properties</t>
  </si>
  <si>
    <t>2011/12</t>
  </si>
  <si>
    <t>TOTAL  2008</t>
  </si>
  <si>
    <t xml:space="preserve">  Acquisition of Property</t>
  </si>
  <si>
    <t xml:space="preserve">  Durable Consumer Goods</t>
  </si>
  <si>
    <t xml:space="preserve">  Other Personal</t>
  </si>
  <si>
    <t>in thousands of Eastern Caribbean Dollars</t>
  </si>
  <si>
    <t>Memo: Principal Repayments</t>
  </si>
  <si>
    <t>2012/13</t>
  </si>
  <si>
    <t>Value-Added Tax (net of refunds)</t>
  </si>
  <si>
    <t>FLYING FISH</t>
  </si>
  <si>
    <t xml:space="preserve">FOOD </t>
  </si>
  <si>
    <t>FURNITURE</t>
  </si>
  <si>
    <t>Composition of External Public Debt by Economic Sector</t>
  </si>
  <si>
    <t>2012r</t>
  </si>
  <si>
    <t>TREASURY NOTES</t>
  </si>
  <si>
    <t>TREASURY BILLS</t>
  </si>
  <si>
    <t xml:space="preserve"> EXTERNAL</t>
  </si>
  <si>
    <t>32/SFR-OR-STL</t>
  </si>
  <si>
    <t>TOTAL (Non-Guaranteed)</t>
  </si>
  <si>
    <t>LABORIE</t>
  </si>
  <si>
    <t>TOTAL  2013</t>
  </si>
  <si>
    <t>Value</t>
  </si>
  <si>
    <t>ANNUAL INFLATION RATES</t>
  </si>
  <si>
    <t>Source : Saint Lucia Air and Sea Ports Authority</t>
  </si>
  <si>
    <t>Source : Saint Lucia Air &amp; Sea Ports Authority</t>
  </si>
  <si>
    <t>Source: Saint Lucia Air &amp; Sea Ports Authority</t>
  </si>
  <si>
    <t>E.I.B.</t>
  </si>
  <si>
    <t>I.F.A.D.</t>
  </si>
  <si>
    <t>NA</t>
  </si>
  <si>
    <t>Chicken</t>
  </si>
  <si>
    <t>HOTEL  PURCHASES OF CROPS BY CATEGORY</t>
  </si>
  <si>
    <t>DOMESTIC PURCHASES OF CROPS BY CATEGORY</t>
  </si>
  <si>
    <t>LIONFISH*</t>
  </si>
  <si>
    <t>ELECTRICITY OUTPUT AND CONSUMPTION</t>
  </si>
  <si>
    <t>Programme</t>
  </si>
  <si>
    <t>(EC$ MILLIONS)</t>
  </si>
  <si>
    <t>RATE OF GROWTH</t>
  </si>
  <si>
    <t xml:space="preserve">ESTIMATED MANUFACTURING OUTPUT </t>
  </si>
  <si>
    <t>CONSUMER PRICE INDEX BY CATEGORY</t>
  </si>
  <si>
    <t xml:space="preserve">   (EC$ MILLIONS)</t>
  </si>
  <si>
    <t xml:space="preserve">      (EC$ MILLIONS)</t>
  </si>
  <si>
    <t>AS A PERCENTAGE OF GDP</t>
  </si>
  <si>
    <t>*Fiscal year refers to April to March</t>
  </si>
  <si>
    <t>Yacht RB</t>
  </si>
  <si>
    <t>Yacht MB</t>
  </si>
  <si>
    <t>Total Yacht</t>
  </si>
  <si>
    <t>2013r</t>
  </si>
  <si>
    <t xml:space="preserve">SUMMARY OF ESTIMATED VALUE OF FISH LANDINGS </t>
  </si>
  <si>
    <t>3. Citibank</t>
  </si>
  <si>
    <t>5. Other</t>
  </si>
  <si>
    <t>6. T &amp; T Stock Exchange</t>
  </si>
  <si>
    <t>2. Government of Trinidad &amp; Tobago</t>
  </si>
  <si>
    <t>25/12/2014- 25/12/2024</t>
  </si>
  <si>
    <t>15/02/2014 - 15/02/2024</t>
  </si>
  <si>
    <t>21/05/2014-21/05/2024</t>
  </si>
  <si>
    <t>05/06/2014 - 05/06/2024</t>
  </si>
  <si>
    <t>(CSDRMS 2014028)</t>
  </si>
  <si>
    <t>CSDRMS 2014001</t>
  </si>
  <si>
    <t>Road Improvement &amp; Maintenance (supp) (CSDRMS 1992020)</t>
  </si>
  <si>
    <t>29/SFR-OR-STL</t>
  </si>
  <si>
    <t>10000-Equity &amp; Reserves</t>
  </si>
  <si>
    <t>GOVERNMENT OF TRINIDAD &amp; TOBAGO</t>
  </si>
  <si>
    <t>2013/14</t>
  </si>
  <si>
    <t>LANDED QUANTITY</t>
  </si>
  <si>
    <t>LOADED QUANTITY</t>
  </si>
  <si>
    <t>Domestic Imports</t>
  </si>
  <si>
    <t>Domestic Exports</t>
  </si>
  <si>
    <t>Transhipment (In)</t>
  </si>
  <si>
    <t>Transhipment (Out)</t>
  </si>
  <si>
    <t>(1)  Break Bulk (in Tons)</t>
  </si>
  <si>
    <t>(2)  Dry/Liquid Bulk (in Tons)</t>
  </si>
  <si>
    <t>(3)  Containers (in TEUs)</t>
  </si>
  <si>
    <t>DOMESTIC EXPORTS BY STANDARD INTERNATIONAL TRADE CLASSIFICATION</t>
  </si>
  <si>
    <t>1. Beverages &amp; Tobacco</t>
  </si>
  <si>
    <t>2. Crude Materials, Inedible except Fuels</t>
  </si>
  <si>
    <t>3. Mineral Fuels, Lubricants and Related Materials</t>
  </si>
  <si>
    <t>4. Animal and Vegetable Oils, Fats and Waxes</t>
  </si>
  <si>
    <t xml:space="preserve">DOMESTIC EXPORTS BY STANDARD INTERNATIONAL TRADE CLASSIFICATION </t>
  </si>
  <si>
    <t>(Percentage of Total)</t>
  </si>
  <si>
    <t>(EC$ Millions)</t>
  </si>
  <si>
    <t>TOTAL EXPORTS BY ECONOMIC FUNCTION</t>
  </si>
  <si>
    <t xml:space="preserve">  All Inclusives</t>
  </si>
  <si>
    <t>Main Labour Force Indicators</t>
  </si>
  <si>
    <t>Labour Force</t>
  </si>
  <si>
    <t>Employed Labour Force</t>
  </si>
  <si>
    <t>Persons who want work</t>
  </si>
  <si>
    <t>(ii)    Non-Seekers</t>
  </si>
  <si>
    <t>n.a.</t>
  </si>
  <si>
    <t>Unemployment Rate  %</t>
  </si>
  <si>
    <t xml:space="preserve">                    of which- Male</t>
  </si>
  <si>
    <t>Youth Unemployment Rate</t>
  </si>
  <si>
    <t>Relaxed Unemployment Rate  %</t>
  </si>
  <si>
    <t>Non-Job Seeking Rate  %</t>
  </si>
  <si>
    <t>Population under 15 years (%)</t>
  </si>
  <si>
    <t>2014r</t>
  </si>
  <si>
    <t xml:space="preserve"> LISTING OF OFFICIAL DEBT</t>
  </si>
  <si>
    <t>(CS-DRMS 2012001)</t>
  </si>
  <si>
    <t>(CS-DRMS 2012002)</t>
  </si>
  <si>
    <t xml:space="preserve">(CS-DRMS 2014053) </t>
  </si>
  <si>
    <t xml:space="preserve">(CS-DRMS 2015022) </t>
  </si>
  <si>
    <t xml:space="preserve">  </t>
  </si>
  <si>
    <t>14/02/2014 - 14/02/2024</t>
  </si>
  <si>
    <t>8/7/2015 - 7/7/2025</t>
  </si>
  <si>
    <t>CSDRMS 2015005</t>
  </si>
  <si>
    <t>31/SFR-OR-STL ADD</t>
  </si>
  <si>
    <t>57/SFR-STL</t>
  </si>
  <si>
    <t>THE EXPORT-IMPORT BANK OF THE REPUBLIC OF CHINA</t>
  </si>
  <si>
    <t xml:space="preserve">Domestic </t>
  </si>
  <si>
    <t>7. The EXIM of the Republic of China</t>
  </si>
  <si>
    <t>8. CDF</t>
  </si>
  <si>
    <t>2014/15</t>
  </si>
  <si>
    <t>Boats</t>
  </si>
  <si>
    <t>Commercial</t>
  </si>
  <si>
    <t>Government</t>
  </si>
  <si>
    <t>Hotel</t>
  </si>
  <si>
    <t>Source: WASCO</t>
  </si>
  <si>
    <t>WATER OUTPUT AND CONSUMPTION</t>
  </si>
  <si>
    <t>Qtr 1</t>
  </si>
  <si>
    <t>Qtr 2</t>
  </si>
  <si>
    <t>Qtr 3</t>
  </si>
  <si>
    <t>Qtr 4</t>
  </si>
  <si>
    <t>Caribbean Region</t>
  </si>
  <si>
    <t>Barbados</t>
  </si>
  <si>
    <t>Antigua &amp; Barbuda</t>
  </si>
  <si>
    <t>St Kitts &amp; Nevis</t>
  </si>
  <si>
    <t>Total Exports</t>
  </si>
  <si>
    <t>4. Government of St. Kitts</t>
  </si>
  <si>
    <t>VOLUME OF BANANA EXPORTS BY COUNTRY (TONNES)</t>
  </si>
  <si>
    <t>Quantity (tonnes)</t>
  </si>
  <si>
    <t>Value ($000)</t>
  </si>
  <si>
    <t>Value($000)</t>
  </si>
  <si>
    <t>(i)     The Unemployed</t>
  </si>
  <si>
    <t>2015/16</t>
  </si>
  <si>
    <t>02/02/2016 - 02/02/2026</t>
  </si>
  <si>
    <t>01/05/2016 - 01/05/2026</t>
  </si>
  <si>
    <t>29/10/2015 - 29/10/2022</t>
  </si>
  <si>
    <t xml:space="preserve">   1/06/2016 - 1/06/2026</t>
  </si>
  <si>
    <t>22/8/2016 - 22/8/2024</t>
  </si>
  <si>
    <t>02/09/2016 - 02/09/2026</t>
  </si>
  <si>
    <t>05/09/2016 - 05/09/2024</t>
  </si>
  <si>
    <t>06/09/2016 - 06/09/2026</t>
  </si>
  <si>
    <t>2/02/2016 - 2/02/2026</t>
  </si>
  <si>
    <t>6/SFR-R-STL</t>
  </si>
  <si>
    <t>27/SFR-STL</t>
  </si>
  <si>
    <t>37/SFR-STL</t>
  </si>
  <si>
    <t>39/SFR-STL</t>
  </si>
  <si>
    <t>13/SFR-OR-STL</t>
  </si>
  <si>
    <t>28/SFR-OR-STL</t>
  </si>
  <si>
    <t>18/SFR-OR-STL</t>
  </si>
  <si>
    <t>16/SFR-OR-STL</t>
  </si>
  <si>
    <t>12/OR-ST.L (2ND ADD)</t>
  </si>
  <si>
    <t>22/SFR-OR-STL</t>
  </si>
  <si>
    <t>24/SFR-OR-STL</t>
  </si>
  <si>
    <t>24/SFR-OR-STL (ADD)</t>
  </si>
  <si>
    <t>25/SFR-OR-STL</t>
  </si>
  <si>
    <t>25/SFR-OR-STL (ADD)</t>
  </si>
  <si>
    <t>30/SFR-STL11</t>
  </si>
  <si>
    <t>56/SFR-STL</t>
  </si>
  <si>
    <t>33/SFR-OR-STL</t>
  </si>
  <si>
    <t>2015r</t>
  </si>
  <si>
    <t>Fishing</t>
  </si>
  <si>
    <t>Health and Social Work</t>
  </si>
  <si>
    <t>SAVANNES BAY</t>
  </si>
  <si>
    <t>TOTAL  2015</t>
  </si>
  <si>
    <t>OTHER SITES</t>
  </si>
  <si>
    <t>D. Other Foreign Institutions</t>
  </si>
  <si>
    <t>INDUSTRIES</t>
  </si>
  <si>
    <t>Agriculture, Livestock and Forestry</t>
  </si>
  <si>
    <t>Mining &amp; Quarrying</t>
  </si>
  <si>
    <t>Wholesale &amp; Retail Trade</t>
  </si>
  <si>
    <t>Financial Intermediation</t>
  </si>
  <si>
    <t>Public Administration, Defence &amp; Compulsory Social Security</t>
  </si>
  <si>
    <t>Gross Value Added at Basic Prices</t>
  </si>
  <si>
    <t>GROWTH RATE</t>
  </si>
  <si>
    <t>Add: Taxes on products</t>
  </si>
  <si>
    <t xml:space="preserve">Add: Taxes on products </t>
  </si>
  <si>
    <t>Less: Subsidies on products</t>
  </si>
  <si>
    <t>TOTAL  2014</t>
  </si>
  <si>
    <t xml:space="preserve">                                   Female</t>
  </si>
  <si>
    <t xml:space="preserve">Memo item :Property tax by CCC </t>
  </si>
  <si>
    <t>I DOMESTIC</t>
  </si>
  <si>
    <t>II EXTERNAL</t>
  </si>
  <si>
    <t>Source: Department of Finance</t>
  </si>
  <si>
    <t>Source: Central Statistical Office</t>
  </si>
  <si>
    <t>Source: Central Statistical Office and Department of Finance</t>
  </si>
  <si>
    <t>GDP at market prices*</t>
  </si>
  <si>
    <t>Source: Debt &amp; Investment Unit</t>
  </si>
  <si>
    <t>TABLE 1</t>
  </si>
  <si>
    <t>TABLE 2</t>
  </si>
  <si>
    <t>TABLE 3</t>
  </si>
  <si>
    <t>TABLE 4</t>
  </si>
  <si>
    <t>TABLE 7</t>
  </si>
  <si>
    <t>TABLE 9</t>
  </si>
  <si>
    <t>TABLE 12</t>
  </si>
  <si>
    <t>TABLE 13</t>
  </si>
  <si>
    <t>TABLE 14</t>
  </si>
  <si>
    <t>TABLE 15</t>
  </si>
  <si>
    <t>TABLE 16</t>
  </si>
  <si>
    <t>TABLE 17</t>
  </si>
  <si>
    <t>TABLE 18</t>
  </si>
  <si>
    <t>TABLE 19</t>
  </si>
  <si>
    <t>TABLE 20</t>
  </si>
  <si>
    <t>TABLE 21</t>
  </si>
  <si>
    <t>TABLE 22</t>
  </si>
  <si>
    <t>TABLE 23</t>
  </si>
  <si>
    <t>TABLE 24</t>
  </si>
  <si>
    <t>TABLE 25</t>
  </si>
  <si>
    <t>TABLE 26</t>
  </si>
  <si>
    <t>TABLE 27</t>
  </si>
  <si>
    <t>TABLE 28</t>
  </si>
  <si>
    <t>TABLE 29</t>
  </si>
  <si>
    <t>TABLE 30</t>
  </si>
  <si>
    <t>TABLE 31</t>
  </si>
  <si>
    <t>TABLE 32</t>
  </si>
  <si>
    <t>TABLE 33</t>
  </si>
  <si>
    <t>TABLE 34</t>
  </si>
  <si>
    <t>TABLE 35</t>
  </si>
  <si>
    <t>TABLE 37</t>
  </si>
  <si>
    <t>TABLE 38</t>
  </si>
  <si>
    <t>TABLE 47</t>
  </si>
  <si>
    <t>TABLE 50</t>
  </si>
  <si>
    <t>TABLE 53</t>
  </si>
  <si>
    <t>TABLE 54</t>
  </si>
  <si>
    <t>TABLE 55</t>
  </si>
  <si>
    <t>TABLE 56</t>
  </si>
  <si>
    <t>TABLE 57</t>
  </si>
  <si>
    <t xml:space="preserve"> TOTAL</t>
  </si>
  <si>
    <t>CARIBBEAN ADVANCED PROFICIENCY EXAMINATION AND CAMBRIDGE ADVANCED LEVEL EDUCATION PASS RATE</t>
  </si>
  <si>
    <t>* CAPE started in 2015</t>
  </si>
  <si>
    <t>Turks &amp; Caicos</t>
  </si>
  <si>
    <t>2017pre</t>
  </si>
  <si>
    <t>2016r</t>
  </si>
  <si>
    <t>2016/17</t>
  </si>
  <si>
    <t>TOTAL  2016</t>
  </si>
  <si>
    <t>DISTRIBUTION OF CENTRAL GOVERNMENT'S OUTSTANDING LIABILITIES</t>
  </si>
  <si>
    <t>1. DOMESTIC</t>
  </si>
  <si>
    <t>11. EXTERNAL</t>
  </si>
  <si>
    <t>C. Other Foreign Institutions</t>
  </si>
  <si>
    <t>Central Government</t>
  </si>
  <si>
    <t>Government Guaranteed</t>
  </si>
  <si>
    <t>(CSDRMS 2017113)</t>
  </si>
  <si>
    <t>(CS-DRMS 2017102)</t>
  </si>
  <si>
    <t>11/23/2017 - 11/23/2024</t>
  </si>
  <si>
    <t>10/14/2017 - 10/14/2027</t>
  </si>
  <si>
    <t>16/10/2017 - 16/10/2027</t>
  </si>
  <si>
    <t>23/11/2017-23/11/2024</t>
  </si>
  <si>
    <t>4/3/2017 - 4/3/2027</t>
  </si>
  <si>
    <t>22/9/2017 - 22/9/2032</t>
  </si>
  <si>
    <t>12/10/2017 - 12/10/2024</t>
  </si>
  <si>
    <t>13/11/2017 - 13/11/2024</t>
  </si>
  <si>
    <t>TF017101</t>
  </si>
  <si>
    <t>BLUE MARLIN</t>
  </si>
  <si>
    <t>WHITE MARLIN</t>
  </si>
  <si>
    <t xml:space="preserve">        T&amp;T Stock Exchange</t>
  </si>
  <si>
    <t xml:space="preserve">        Jamaica Bond</t>
  </si>
  <si>
    <t xml:space="preserve">        Government of St. Kitts</t>
  </si>
  <si>
    <t xml:space="preserve">        CIP</t>
  </si>
  <si>
    <t>BONDS:</t>
  </si>
  <si>
    <t xml:space="preserve">   </t>
  </si>
  <si>
    <t xml:space="preserve">Source:  Central Statistical Office </t>
  </si>
  <si>
    <t xml:space="preserve">Source: Central Statistical Office </t>
  </si>
  <si>
    <t xml:space="preserve">Source: Central Statistical Office  </t>
  </si>
  <si>
    <t>GDP at Market Prices</t>
  </si>
  <si>
    <t>Memo Item: Official Public Debt/GDP*</t>
  </si>
  <si>
    <t>DOMESTIC DEBT Cont'd</t>
  </si>
  <si>
    <t>EXTERNAL DEBT Cont'd</t>
  </si>
  <si>
    <t>Overdrafts</t>
  </si>
  <si>
    <t>ECCB Advance</t>
  </si>
  <si>
    <t>Outstanding Payables</t>
  </si>
  <si>
    <t>*These numbers reflect the Central Statistical Office's GDP series based on its new quarterly GDP methodology.  Please refer to Box 1.</t>
  </si>
  <si>
    <t>Paid Bednights  (in millions)</t>
  </si>
  <si>
    <t>*This represents the fuel price paid by LUCELEC to BuckEye, its main supplier.</t>
  </si>
  <si>
    <t>2017/18</t>
  </si>
  <si>
    <t>2017r</t>
  </si>
  <si>
    <t>(CS-DRMS 2018099)</t>
  </si>
  <si>
    <t>23/01/2018 - 23/01/2028</t>
  </si>
  <si>
    <t>05/04/2018 - 08/04/2026</t>
  </si>
  <si>
    <t>23/05/2018 - 23/05/2028</t>
  </si>
  <si>
    <t>30/12/2018 - 30/12/2028</t>
  </si>
  <si>
    <t>35/SFR-OR-STL</t>
  </si>
  <si>
    <t>36/SFR-OR-STL</t>
  </si>
  <si>
    <t>01/07/2018 - 01/07/2023</t>
  </si>
  <si>
    <t>21/12/2018 - 21/12/2026</t>
  </si>
  <si>
    <t xml:space="preserve"> DOMESTIC DEBT Cont'd</t>
  </si>
  <si>
    <t>Dominica</t>
  </si>
  <si>
    <t xml:space="preserve">St.Maarteen </t>
  </si>
  <si>
    <t xml:space="preserve">St.Vincent </t>
  </si>
  <si>
    <t>St. Maarteen</t>
  </si>
  <si>
    <t>St. Vincent</t>
  </si>
  <si>
    <t>TOTAL 2017</t>
  </si>
  <si>
    <t>*These numbers reflect the Central Statistical Office's GDP series based on its new quarterly GDP methodology.</t>
  </si>
  <si>
    <t xml:space="preserve">  Bananas</t>
  </si>
  <si>
    <t xml:space="preserve">  Other Crops</t>
  </si>
  <si>
    <t>of which: Trinidad &amp; Tobago</t>
  </si>
  <si>
    <t xml:space="preserve">Other </t>
  </si>
  <si>
    <t xml:space="preserve">Trade Balance </t>
  </si>
  <si>
    <t>Tourist Expenditure ($EC M)</t>
  </si>
  <si>
    <t>1. Based on the new classification, this category comprises hotels which are conventional but offer all-inclusive packages as well.</t>
  </si>
  <si>
    <t>United Kingdom</t>
  </si>
  <si>
    <t>Other Community, Social &amp; Personal Services</t>
  </si>
  <si>
    <t>Total (Chicken and Pork)</t>
  </si>
  <si>
    <t>(Chicken and Pork) Growth</t>
  </si>
  <si>
    <t xml:space="preserve">QUANTITY OF FISH LANDED AT LANDING SITES </t>
  </si>
  <si>
    <t>All Items</t>
  </si>
  <si>
    <t>YEO= year end outlook</t>
  </si>
  <si>
    <t>Non-Guaranteed</t>
  </si>
  <si>
    <t xml:space="preserve">r= revised, pre=preliminary </t>
  </si>
  <si>
    <t>pre= preliminary, r= revised</t>
  </si>
  <si>
    <t>2018/19</t>
  </si>
  <si>
    <t>2018r</t>
  </si>
  <si>
    <t>2019 pre</t>
  </si>
  <si>
    <t>(CSDRMS 2018101)</t>
  </si>
  <si>
    <t>(CSDRMS 2018102)</t>
  </si>
  <si>
    <t>7/25/2019 - 7/25/2026</t>
  </si>
  <si>
    <t xml:space="preserve">     8/29/2019 - 8/29/2024</t>
  </si>
  <si>
    <t>25/09/2019 - 25/09/2026</t>
  </si>
  <si>
    <t>20/11/2019 - 20/11/2029</t>
  </si>
  <si>
    <t>LOAN</t>
  </si>
  <si>
    <t>23/01/2019 - 23/01/2024</t>
  </si>
  <si>
    <t>25/07/2019 - 25/07/2026</t>
  </si>
  <si>
    <t>15/10/2019 - 15/10/2024</t>
  </si>
  <si>
    <t>1/23/2018 - 1/23/2028</t>
  </si>
  <si>
    <t>Roads Development Project                  (CSDRMS 2008020)</t>
  </si>
  <si>
    <t>Roads Development Project                  (CSDRMS 2008026)</t>
  </si>
  <si>
    <t>Basic Education  Project (2nd Loan)       (CSDRMS 2000061)</t>
  </si>
  <si>
    <t xml:space="preserve">                                           (CSDRMS 2004109)</t>
  </si>
  <si>
    <t xml:space="preserve">                                     (CSDRMS 2008043 T2)</t>
  </si>
  <si>
    <t xml:space="preserve">                                     (CSDRMS 2008043 T3)</t>
  </si>
  <si>
    <t xml:space="preserve">                                       (CSDRMS 2010036 T2)</t>
  </si>
  <si>
    <t>58/SFR-STL</t>
  </si>
  <si>
    <t>59/SFR-STL</t>
  </si>
  <si>
    <t xml:space="preserve">                                                                        Tranche 2</t>
  </si>
  <si>
    <t xml:space="preserve">                                                                        Tranche 3</t>
  </si>
  <si>
    <t xml:space="preserve">                                                                        Tranche 4</t>
  </si>
  <si>
    <t>37/SFR-OR-STL</t>
  </si>
  <si>
    <t xml:space="preserve">                    - IDA  (CSDRMS 1995024)</t>
  </si>
  <si>
    <t xml:space="preserve">                    -IDA (CSDRMS 2002002)</t>
  </si>
  <si>
    <t xml:space="preserve">                    -IDA (CSDRMS 2002072)</t>
  </si>
  <si>
    <t xml:space="preserve">                    -IDA (CSDRMS 2002010)</t>
  </si>
  <si>
    <t xml:space="preserve">                    -IDA (CSDRMS 2004111)</t>
  </si>
  <si>
    <t xml:space="preserve">                    -IDA  (CSDRMS 2008014)</t>
  </si>
  <si>
    <t xml:space="preserve">34/SFR </t>
  </si>
  <si>
    <t>Share 2019</t>
  </si>
  <si>
    <t>Growth 2019</t>
  </si>
  <si>
    <t>January to June</t>
  </si>
  <si>
    <t>TOTAL 2018</t>
  </si>
  <si>
    <t>(As as December 31st)</t>
  </si>
  <si>
    <t xml:space="preserve">2018/19 </t>
  </si>
  <si>
    <t xml:space="preserve">2017/18 </t>
  </si>
  <si>
    <t>FISH LANDING BY SPECIES AND QUANTITY</t>
  </si>
  <si>
    <t>TOTAL  2012</t>
  </si>
  <si>
    <t>TABLE 5</t>
  </si>
  <si>
    <t xml:space="preserve">     Bananas</t>
  </si>
  <si>
    <t>Livestock</t>
  </si>
  <si>
    <t>Forestry</t>
  </si>
  <si>
    <t>Accomodation and Food Services</t>
  </si>
  <si>
    <t xml:space="preserve">Transport and Storage </t>
  </si>
  <si>
    <t>Road</t>
  </si>
  <si>
    <t>Sea</t>
  </si>
  <si>
    <t>Air</t>
  </si>
  <si>
    <t>Supporting and auxiliary transport activities</t>
  </si>
  <si>
    <t>Postal Service</t>
  </si>
  <si>
    <t>Courier Service</t>
  </si>
  <si>
    <t>Publishing</t>
  </si>
  <si>
    <t>Audio visual</t>
  </si>
  <si>
    <t>Computing &amp; Information</t>
  </si>
  <si>
    <t>Real Estate Activities</t>
  </si>
  <si>
    <t>Professional Technical &amp; Scientific Services</t>
  </si>
  <si>
    <t>Renting of machinery and equipment</t>
  </si>
  <si>
    <t>Travel Agents and Tour operators</t>
  </si>
  <si>
    <t>Arts, Entertainment &amp; Recreation</t>
  </si>
  <si>
    <t>Domestic Services</t>
  </si>
  <si>
    <t>Less: Subsidies</t>
  </si>
  <si>
    <t>Other Administrative &amp; support Services</t>
  </si>
  <si>
    <t>2019/20</t>
  </si>
  <si>
    <t>April to December **</t>
  </si>
  <si>
    <t>% Change ( Apr -Sep 2020/Apr -Sep 2019)</t>
  </si>
  <si>
    <t>Change in 2020</t>
  </si>
  <si>
    <t>2020pre</t>
  </si>
  <si>
    <t>January to September</t>
  </si>
  <si>
    <t>2019r</t>
  </si>
  <si>
    <t>Weights*</t>
  </si>
  <si>
    <t xml:space="preserve">      Total Corporate Income Tax:</t>
  </si>
  <si>
    <t xml:space="preserve">        Arrears on Corporate Income Tax</t>
  </si>
  <si>
    <t xml:space="preserve">        Arrears on Withholding Income Tax</t>
  </si>
  <si>
    <t xml:space="preserve">      Total Withholding Income Tax:</t>
  </si>
  <si>
    <t xml:space="preserve">        Arrears on Personal Income Tax</t>
  </si>
  <si>
    <t xml:space="preserve">      Total Personal Income Tax:</t>
  </si>
  <si>
    <t xml:space="preserve">    Salaries Total</t>
  </si>
  <si>
    <t xml:space="preserve">    Wages Total</t>
  </si>
  <si>
    <t xml:space="preserve">      Wage Allowances</t>
  </si>
  <si>
    <t xml:space="preserve">      Salary Allowances</t>
  </si>
  <si>
    <t xml:space="preserve">     N.I.C</t>
  </si>
  <si>
    <t xml:space="preserve">     Retiring Benefits</t>
  </si>
  <si>
    <t xml:space="preserve"> of which: on petroleum products</t>
  </si>
  <si>
    <t>Less: Tax Refunds</t>
  </si>
  <si>
    <t>Cruise*</t>
  </si>
  <si>
    <t>*Cruise figures from 2019 were adjusted to reflect calls and arrivals at all ports of entry</t>
  </si>
  <si>
    <t>GROSS DOMESTIC PRODUCT BY ECONOMIC ACTIVITY*</t>
  </si>
  <si>
    <t xml:space="preserve">PRODUCTION APPROACH </t>
  </si>
  <si>
    <t>AT CURRENT PRICES</t>
  </si>
  <si>
    <t>GROSS DOMESTIC PRODUCT BY ECONOMIC ACTIVITY</t>
  </si>
  <si>
    <t>AT CONSTANT 2018 PRICES</t>
  </si>
  <si>
    <t>CONSTANT PRICE CONTRIBUTION TO GDP</t>
  </si>
  <si>
    <t>Financial Services</t>
  </si>
  <si>
    <t>Electricity</t>
  </si>
  <si>
    <t>Water</t>
  </si>
  <si>
    <t>Communication and Information Services</t>
  </si>
  <si>
    <t xml:space="preserve">     Other Crops</t>
  </si>
  <si>
    <t>FY GDP based on CSO Quarterly numbers</t>
  </si>
  <si>
    <t>Overall deficit</t>
  </si>
  <si>
    <t>GDP at market prices (calendar year)*</t>
  </si>
  <si>
    <t>10/02/2020 - 10/02/2030</t>
  </si>
  <si>
    <t>25/2/2020-24/2/2025</t>
  </si>
  <si>
    <t>13/07/2020 -13/07/2025</t>
  </si>
  <si>
    <t>8/9/2020 - 8/9/2035</t>
  </si>
  <si>
    <t>21/07/2020 - 21/07/2030</t>
  </si>
  <si>
    <t>03/06/2020 - 03/06/2025</t>
  </si>
  <si>
    <t>30/04/2020 - 30/4/2035</t>
  </si>
  <si>
    <t>08/12/2020 - 08/12/2025</t>
  </si>
  <si>
    <t>21/08/2020 - 21/08/2025</t>
  </si>
  <si>
    <t>11/12/2020 - 11/12/2025</t>
  </si>
  <si>
    <t>03/11/2020 - 03/11/2025</t>
  </si>
  <si>
    <t>09/12/2020 - 09/12/2025</t>
  </si>
  <si>
    <t>31/1/2020-31/1/2024</t>
  </si>
  <si>
    <t>4% &amp; 5%</t>
  </si>
  <si>
    <t>2. Government Guaranteed</t>
  </si>
  <si>
    <t>10/1/2020 - 10/1/2025</t>
  </si>
  <si>
    <t>11/1/2020 - 11/1/2025</t>
  </si>
  <si>
    <t>11/1/2020 -11/1/2025</t>
  </si>
  <si>
    <t xml:space="preserve">                     </t>
  </si>
  <si>
    <t xml:space="preserve">12/OR-STL </t>
  </si>
  <si>
    <t>38/SFR-OR-STL</t>
  </si>
  <si>
    <t>60/SFR-OR-STL</t>
  </si>
  <si>
    <t>LIBOR+1.5%</t>
  </si>
  <si>
    <t>MEMORANDUM ITEM:</t>
  </si>
  <si>
    <t>OTHER DOMESTIC LIABILITIES -  CENTRAL GOVERNMENT</t>
  </si>
  <si>
    <t>April to December ***</t>
  </si>
  <si>
    <t>*Fiscal Years are from April to March</t>
  </si>
  <si>
    <t>Source: Department of Finance (Debt &amp; Investment Unit; Accountant General's Department)</t>
  </si>
  <si>
    <t>Avgerage (January to September)</t>
  </si>
  <si>
    <t>Renting of Machinery and Equipment</t>
  </si>
  <si>
    <t>Other Administrative &amp; Support Services</t>
  </si>
  <si>
    <t>Travel Agents and Tour Operators</t>
  </si>
  <si>
    <t>Crops</t>
  </si>
  <si>
    <t>January-September</t>
  </si>
  <si>
    <t xml:space="preserve">      Germany/ DACH Region*</t>
  </si>
  <si>
    <t>*Dach Region refers to Germany, Austria and Switzerland</t>
  </si>
  <si>
    <t>1. Central Government</t>
  </si>
  <si>
    <t>BONDS</t>
  </si>
  <si>
    <t>January - September</t>
  </si>
  <si>
    <t>TOTAL 2019</t>
  </si>
  <si>
    <t>January - June</t>
  </si>
  <si>
    <t>Landing Site</t>
  </si>
  <si>
    <t>January-June</t>
  </si>
  <si>
    <t xml:space="preserve">                                                              </t>
  </si>
  <si>
    <t>RESIDENTS (IN TERRITORY)</t>
  </si>
  <si>
    <t>i. Central</t>
  </si>
  <si>
    <t>ii. Local</t>
  </si>
  <si>
    <t>National Insurance (Social Security Scheme)</t>
  </si>
  <si>
    <t>Public Non-Financial Corporations (PNFC)</t>
  </si>
  <si>
    <t>i. PNFC (Group 1)</t>
  </si>
  <si>
    <t>ii. PNFC (Group 2)</t>
  </si>
  <si>
    <t>Public Financial Corporations</t>
  </si>
  <si>
    <t>Other Depository Corporations (exclude banks)</t>
  </si>
  <si>
    <t>… of which Subsidiaries and Affiliates</t>
  </si>
  <si>
    <t>i. Credit Unions</t>
  </si>
  <si>
    <t>ii. Other Depository Corporations</t>
  </si>
  <si>
    <t>Other Financial Corporations (NON Deposit Taking)</t>
  </si>
  <si>
    <t>i. Insurance Corporations</t>
  </si>
  <si>
    <t>ii. Pension Funds</t>
  </si>
  <si>
    <t>iii. Other Financial Intermediaries</t>
  </si>
  <si>
    <t xml:space="preserve">iv. Financial Auxiliaries </t>
  </si>
  <si>
    <t>Other Non-Financial Corporations</t>
  </si>
  <si>
    <t>i. National private nonfinancial corporations</t>
  </si>
  <si>
    <t>ii. Foreign controlled nonfinancial corporations</t>
  </si>
  <si>
    <t>Households</t>
  </si>
  <si>
    <t>Non Profit Institutions</t>
  </si>
  <si>
    <t>TOTAL NON-RESIDENTS</t>
  </si>
  <si>
    <t>Non-ECCB Area CARICOM Countries</t>
  </si>
  <si>
    <t>i. Public Sector</t>
  </si>
  <si>
    <t>ii. Financial Corporations</t>
  </si>
  <si>
    <t>iii. Non Financial Companies/Private Businesses</t>
  </si>
  <si>
    <t>iv. Households</t>
  </si>
  <si>
    <t>v. Non-Profit Institutions</t>
  </si>
  <si>
    <t>Non-CARICOM Countries</t>
  </si>
  <si>
    <t xml:space="preserve">1. Deposits                  </t>
  </si>
  <si>
    <t xml:space="preserve">2. Bank Cheques And Drafts Issued And Outstanding </t>
  </si>
  <si>
    <t xml:space="preserve">3. Due To ECCB  </t>
  </si>
  <si>
    <t xml:space="preserve">4. Due To Banks In Country         </t>
  </si>
  <si>
    <t xml:space="preserve">5. Due To Banks In Other ECCB Area Countries   </t>
  </si>
  <si>
    <t xml:space="preserve">6. Due To Banks In Non-ECCB Area Caricom Countries  </t>
  </si>
  <si>
    <t>7. Due To Banks In Non-Caricom Countries</t>
  </si>
  <si>
    <t>8. Repurchase Agreements</t>
  </si>
  <si>
    <t xml:space="preserve">9. Other Borrowings </t>
  </si>
  <si>
    <t xml:space="preserve">10. Financial Derivatives </t>
  </si>
  <si>
    <t xml:space="preserve">11. Debentures                 </t>
  </si>
  <si>
    <t xml:space="preserve">12. Capital Paid - Up Or Assigned       </t>
  </si>
  <si>
    <t xml:space="preserve">13. Reserves                  </t>
  </si>
  <si>
    <t xml:space="preserve">14. Undistributed Profits           </t>
  </si>
  <si>
    <t>15. General Provisions</t>
  </si>
  <si>
    <t xml:space="preserve">16. Other Liabilities       </t>
  </si>
  <si>
    <t>16.a.Trade Credit and Advances Payable</t>
  </si>
  <si>
    <t>16.b.Settlement Account Payable</t>
  </si>
  <si>
    <t>16.c. Other Accounts Payable</t>
  </si>
  <si>
    <t>16.d.Dividends Payable</t>
  </si>
  <si>
    <t>16.e. Other Liabilities to Residents</t>
  </si>
  <si>
    <t>16.f. Other Liabilities to Non-Residents</t>
  </si>
  <si>
    <t>TOTAL LIABILITIES AND EQUITY</t>
  </si>
  <si>
    <t xml:space="preserve">17. Cash                  </t>
  </si>
  <si>
    <t xml:space="preserve">18. Due From ECCB             </t>
  </si>
  <si>
    <t xml:space="preserve">19. Bank Cheques And Drafts Held For Collection  </t>
  </si>
  <si>
    <t xml:space="preserve">20. Due From Banks In Country       </t>
  </si>
  <si>
    <t>21. Due From Banks In Other ECCB Area Countries</t>
  </si>
  <si>
    <t xml:space="preserve">22. Due From Banks In Non-ECCB Area Caricom Countries </t>
  </si>
  <si>
    <t>23. Due From Banks In Non-Caricom Countries</t>
  </si>
  <si>
    <t xml:space="preserve">26. Investments               </t>
  </si>
  <si>
    <t xml:space="preserve">27. Financial Derivatives </t>
  </si>
  <si>
    <t xml:space="preserve">28. Nonfinancial Assets </t>
  </si>
  <si>
    <t>29. Other Assets</t>
  </si>
  <si>
    <t>29.a. Prepayment Insurance</t>
  </si>
  <si>
    <t>29.b. Settlement Account Receivable</t>
  </si>
  <si>
    <t>29.c.Dividends Receivable</t>
  </si>
  <si>
    <t>29.d Other Accounts Receivable</t>
  </si>
  <si>
    <t>29.e. Trade Credit and Advances</t>
  </si>
  <si>
    <t>29.f. Other Resident Assets</t>
  </si>
  <si>
    <t>29.g. Other Non-Resident Assets</t>
  </si>
  <si>
    <t xml:space="preserve">TOTAL ASSETS                            </t>
  </si>
  <si>
    <t>Cash Reserves Net</t>
  </si>
  <si>
    <t>EC Notes and Coins</t>
  </si>
  <si>
    <t>Due from ECCB</t>
  </si>
  <si>
    <t>Less Due to ECCB (-)</t>
  </si>
  <si>
    <t>Total Non-interbank Deposits</t>
  </si>
  <si>
    <t>RATIO: Cash Reserves / Non-interbank Deposits (%)</t>
  </si>
  <si>
    <t xml:space="preserve">      Liquid Assets</t>
  </si>
  <si>
    <t>Total Assets</t>
  </si>
  <si>
    <t>of which: Pledged Assets</t>
  </si>
  <si>
    <t>RATIO: Liquid Assets/Total Assets (%)</t>
  </si>
  <si>
    <t>RATIO: Adjusted Liquid Assets/Total Assets (%)*</t>
  </si>
  <si>
    <t>RATIO: Liquid Assets/Total Non-interbank Deposits (%)</t>
  </si>
  <si>
    <t>RATIO: Adjusted Liquid Assets/Total Non-interbank Deposits (%)*</t>
  </si>
  <si>
    <t/>
  </si>
  <si>
    <t>RATIO: Total Non-interbank Loans/Total Non-interbank Deposits (%)</t>
  </si>
  <si>
    <t>Imputed Reserves (new definition)</t>
  </si>
  <si>
    <t>Country's Assets at Central Bank (including IMF Govt Reserve Account)</t>
  </si>
  <si>
    <t xml:space="preserve">TOTAL 2020 </t>
  </si>
  <si>
    <t>TEXTILES, CLOTHING AND FOOTWEAR</t>
  </si>
  <si>
    <t>PAPER AND WOOD PRODUCTS; RECORDED MEDIA</t>
  </si>
  <si>
    <t>OTHER MANUFACTURING</t>
  </si>
  <si>
    <t>ALCOHOLIC BEVERAGES</t>
  </si>
  <si>
    <t>RUBBER AND PLASTIC PRODUCTS</t>
  </si>
  <si>
    <t>OTHER MACHINERY AND EQUIPMENT</t>
  </si>
  <si>
    <t>Inflation Rates as at December:</t>
  </si>
  <si>
    <t>TABLE 36</t>
  </si>
  <si>
    <t>2020/21</t>
  </si>
  <si>
    <t>2020*</t>
  </si>
  <si>
    <t>NON-ALCOHOLIC BEVERAGES</t>
  </si>
  <si>
    <t>BASIC CHEMICALS</t>
  </si>
  <si>
    <t>PAINT, VANISHES AND SIMILAR PRODUCTS</t>
  </si>
  <si>
    <t>SOAP, DETERGENTS, OTHER CHEMICAL PRODUCTS</t>
  </si>
  <si>
    <t>BASIC AND FABRICATED METAL PRODUCTS</t>
  </si>
  <si>
    <t>Point-to-Point Inflation Rate (as at December)</t>
  </si>
  <si>
    <t>BASE = January 2018</t>
  </si>
  <si>
    <t>(Base Year: January 2018=100)</t>
  </si>
  <si>
    <t>(Base Year January 2018=100)  Annual Average</t>
  </si>
  <si>
    <t xml:space="preserve">      Wages</t>
  </si>
  <si>
    <t xml:space="preserve">      Salaries</t>
  </si>
  <si>
    <t xml:space="preserve">    Total Retiring Benefits*</t>
  </si>
  <si>
    <t>* includes Contributions to NIC on behalf of employees</t>
  </si>
  <si>
    <t>April-December (Quarters 2-4)</t>
  </si>
  <si>
    <t>(In Millions of Eastern Caribbean Dollars)</t>
  </si>
  <si>
    <t xml:space="preserve">r=revised; </t>
  </si>
  <si>
    <t>TABLE 10</t>
  </si>
  <si>
    <t>TABLE 51</t>
  </si>
  <si>
    <t>TABLE 52</t>
  </si>
  <si>
    <t>TABLE 62</t>
  </si>
  <si>
    <t>Average</t>
  </si>
  <si>
    <t xml:space="preserve"> Average</t>
  </si>
  <si>
    <t>*Based on the CSO's latest GDP estimates</t>
  </si>
  <si>
    <t>COMMERCIAL BANKS' LIQUIDITY ANALYSIS</t>
  </si>
  <si>
    <t>CREDIT BY SECTOR</t>
  </si>
  <si>
    <t>SUPPLEMENTARY INFORMATION</t>
  </si>
  <si>
    <t xml:space="preserve">      France</t>
  </si>
  <si>
    <t xml:space="preserve">      Rest of Europe</t>
  </si>
  <si>
    <t>Labour Force as a Percentage of Population 15 years and over OR Labour Force Participation Rate</t>
  </si>
  <si>
    <t>Labour Force as a Percentage of Total Population</t>
  </si>
  <si>
    <t>2019/20r</t>
  </si>
  <si>
    <t>2017/18r</t>
  </si>
  <si>
    <t xml:space="preserve">  Ave. No. of Consumers</t>
  </si>
  <si>
    <t xml:space="preserve">  Ave. No of Hotels</t>
  </si>
  <si>
    <t xml:space="preserve">  Ave. No. of Ind Consumers</t>
  </si>
  <si>
    <t>(Provisional)</t>
  </si>
  <si>
    <t>Vieux Fort Comprehensive Secondary School</t>
  </si>
  <si>
    <t>r= revised; pre= preliminary</t>
  </si>
  <si>
    <r>
      <t xml:space="preserve">2020/21 </t>
    </r>
    <r>
      <rPr>
        <b/>
        <sz val="32"/>
        <color rgb="FFFF0000"/>
        <rFont val="Bookman Old Style"/>
        <family val="1"/>
      </rPr>
      <t>pre</t>
    </r>
  </si>
  <si>
    <t xml:space="preserve"> LISTING OF OFFICIAL DEBT (Cont'd)</t>
  </si>
  <si>
    <t>DETAILED MONETARY SURVEY* (Cont'd)</t>
  </si>
  <si>
    <t>COMMERCIAL BANKS' INTEREST RATES</t>
  </si>
  <si>
    <t>2020r</t>
  </si>
  <si>
    <t xml:space="preserve">Social Security Contributions </t>
  </si>
  <si>
    <t xml:space="preserve">Income From Property </t>
  </si>
  <si>
    <t xml:space="preserve">Sale Of Goods &amp; Services </t>
  </si>
  <si>
    <t xml:space="preserve">Fines, Penalties &amp; Forfeits </t>
  </si>
  <si>
    <t xml:space="preserve">Voluntary Transfers </t>
  </si>
  <si>
    <t xml:space="preserve">Miscellaneous Revenue </t>
  </si>
  <si>
    <t>2020/21r</t>
  </si>
  <si>
    <t>All figures from 2019/20 are based on the classifications under the new Chart of Accounts, implemented from April 2019</t>
  </si>
  <si>
    <t>27/9/2021 - 27/09/2029</t>
  </si>
  <si>
    <t>17/12/2021 - 17/12/2031</t>
  </si>
  <si>
    <t>12/10/2017- 12/10/2024</t>
  </si>
  <si>
    <t>2015/2025 EC Global Investments ECD$15M (Bullet) 10-YR Bond LCG100725</t>
  </si>
  <si>
    <t>2021/2027 GOSLPP060827 EC$10M 6YR 6.75% Bond</t>
  </si>
  <si>
    <t>6/8/2021 - 6/8/2027</t>
  </si>
  <si>
    <t>2021/2027 FCIS EC$10M 6YR 6.75% Bond</t>
  </si>
  <si>
    <t>9/8/2021 - 9/8/2027</t>
  </si>
  <si>
    <t>2015/2022 FCIS Pri. Plt ECD6M 7-Year Bond LCG071022</t>
  </si>
  <si>
    <t>2021/2028 FCIS  7-Year Bond</t>
  </si>
  <si>
    <t>06/05/21 - 06/05/2028</t>
  </si>
  <si>
    <t>2016/2026 1st National Bank Ltd ECD$3.0M 10-Year Bond</t>
  </si>
  <si>
    <t>FCIS Pri. LCG1124AA (quarterly)</t>
  </si>
  <si>
    <t>2016/2024 FCIS 8-Year Bond ECD15M (LCG080824)</t>
  </si>
  <si>
    <t>30/7/2021 - 30/7/2026</t>
  </si>
  <si>
    <t>2020/2030 FCIS EC$15M 10-YR 7.25% Bond</t>
  </si>
  <si>
    <t>2020/2025 GOSLPP250225 EC$10M 5YR 6.00% Bond</t>
  </si>
  <si>
    <t>20/20/2025 GOSLPP130725</t>
  </si>
  <si>
    <t>2020/2035 LCG150935 (Sagicor)</t>
  </si>
  <si>
    <t>2020/2030 GOSLPP210730</t>
  </si>
  <si>
    <t>2020/2025 GOSLPP030625 - EC$10M 5YEAR 6% BOND</t>
  </si>
  <si>
    <t>2020/2035 ECCB EC$54M 15YR  Bond amortized</t>
  </si>
  <si>
    <t>2020/2028 FCIS 7YR 7.10% Bond</t>
  </si>
  <si>
    <t>27/09/2021 - 27/09/2028</t>
  </si>
  <si>
    <t>12/04/2021 - 12/04/2027</t>
  </si>
  <si>
    <t>01/11/2021 - 01/11/2026</t>
  </si>
  <si>
    <t>2021/2026 FCIS EC$20M 5yr Note</t>
  </si>
  <si>
    <t>02/11/2021 - 02/11/2026</t>
  </si>
  <si>
    <t>2020/2025 GOSLPP031125 EC 5yr 6.50% Note</t>
  </si>
  <si>
    <t>2020/2025 FCIS EC$10M Private Note 5 year 6%</t>
  </si>
  <si>
    <t>01/09/2020 - 01/09/2023</t>
  </si>
  <si>
    <t>2021/2024 FCIS USD 3yr Note</t>
  </si>
  <si>
    <t>12/05/2021 - 12/05/2024</t>
  </si>
  <si>
    <t>06/09/2021 - 06/09/2024</t>
  </si>
  <si>
    <t>01/04/2021 - 30/08/2023</t>
  </si>
  <si>
    <t>27/9/2021 - 27/09/2028</t>
  </si>
  <si>
    <t>1/27/2021 - 1/27/2026</t>
  </si>
  <si>
    <t>12/21/2020 -12/21/2026</t>
  </si>
  <si>
    <t>12/10/2020 - 12/20/2026</t>
  </si>
  <si>
    <t>1/27/2021 - 1/27/2028</t>
  </si>
  <si>
    <t>12/20/2020 - 12/20/2025</t>
  </si>
  <si>
    <t>12/9/2020 - 12/20/2027</t>
  </si>
  <si>
    <t>2/19/2021 - 2/19/2026</t>
  </si>
  <si>
    <t>2/24/2021 - 2/24/2027</t>
  </si>
  <si>
    <t>2/17/2021 -2/17/2026</t>
  </si>
  <si>
    <t>2/9/2021 - 2/9/2026</t>
  </si>
  <si>
    <t>2/25/2021 - 2/25/2026</t>
  </si>
  <si>
    <t>3/22/2021 - 3/22/2026</t>
  </si>
  <si>
    <t>3/4/2021 - 3/4/2028</t>
  </si>
  <si>
    <t>3/3/2021 - 3/3/2026</t>
  </si>
  <si>
    <t>3/8/2021 - 3/8/2026</t>
  </si>
  <si>
    <t>3/4/2021 - 34/2026</t>
  </si>
  <si>
    <t>3/15/2021 - 3/15/2026</t>
  </si>
  <si>
    <t>3/22/2021 - 3/15/2027</t>
  </si>
  <si>
    <t>06/04/2021 -06/04/2027</t>
  </si>
  <si>
    <t>07/04/2021 - 06/04/2028</t>
  </si>
  <si>
    <t>12/04/2021 -12/04/2026</t>
  </si>
  <si>
    <t>20/04/2021 -20/04/2028</t>
  </si>
  <si>
    <t>22/04/2021 - 22/04/2028</t>
  </si>
  <si>
    <t>2020/2021 FCIS EC$20M 4YR 5.25% Private Note</t>
  </si>
  <si>
    <t>2020/2025 GOSLPP111225 EC 5yr 6% Note</t>
  </si>
  <si>
    <t>2014067</t>
  </si>
  <si>
    <t>20192835</t>
  </si>
  <si>
    <t>20202902</t>
  </si>
  <si>
    <t>20202994</t>
  </si>
  <si>
    <t>Caribbean Development Bank:</t>
  </si>
  <si>
    <t>Technical Vocational Education               (CSDRMS 1987020)</t>
  </si>
  <si>
    <t xml:space="preserve">                                                              (CSDRMS 2008028)</t>
  </si>
  <si>
    <t>33/SFR-OR-STL (ADD)</t>
  </si>
  <si>
    <t xml:space="preserve">                   -IDA  (CSDRMS 1990040)</t>
  </si>
  <si>
    <t xml:space="preserve">                   -IDA (CSDRMS 1995031)</t>
  </si>
  <si>
    <t xml:space="preserve">                    - IDA (CSDRMS 1998021)</t>
  </si>
  <si>
    <t xml:space="preserve">                     -IDA (CSDRMS 1998031)</t>
  </si>
  <si>
    <t xml:space="preserve">                    - IDA (CSDRMS 1999010)</t>
  </si>
  <si>
    <t xml:space="preserve">                    -IDA (CSDRMS 2004108)</t>
  </si>
  <si>
    <t xml:space="preserve">                    -IDA (CSDRMS 2005002)</t>
  </si>
  <si>
    <t xml:space="preserve">                    -IDA (CSDRMS) Add Financing (CSDRMS 2007018)</t>
  </si>
  <si>
    <t xml:space="preserve">                    -IDA (CSDRMS 2005005)</t>
  </si>
  <si>
    <t xml:space="preserve">                   -IDA (CSDRMS 2007001)</t>
  </si>
  <si>
    <t xml:space="preserve">                   -IDA (CSDRMS 2007022)</t>
  </si>
  <si>
    <t xml:space="preserve">                -IDA   (CSDRMS 2008013)</t>
  </si>
  <si>
    <t xml:space="preserve">                    -IDA (CSDRMS 2010030)</t>
  </si>
  <si>
    <t xml:space="preserve">                    -IBRD  (CSDRMS 2010029)</t>
  </si>
  <si>
    <t xml:space="preserve">                  -IDA (CSDRMS 2012016)</t>
  </si>
  <si>
    <t xml:space="preserve">                -IDA  (CSDRMS 2011017)</t>
  </si>
  <si>
    <t xml:space="preserve">                  -IDA (CSDRMS 2012017)</t>
  </si>
  <si>
    <t xml:space="preserve">                  -IDA (CSDRMS 2014065)</t>
  </si>
  <si>
    <t xml:space="preserve">                  -IDA (CSDRMS 2014066) TF017101</t>
  </si>
  <si>
    <t xml:space="preserve">                 -IDA (2018119)</t>
  </si>
  <si>
    <t xml:space="preserve">                                IDA</t>
  </si>
  <si>
    <t>2. GOVERNMENT GUARANTEED</t>
  </si>
  <si>
    <t xml:space="preserve"> RE-EXPORTS BY STANDARD INTERNATIONAL TRADE CLASSIFICATION</t>
  </si>
  <si>
    <t xml:space="preserve">  Other ECCU Territories</t>
  </si>
  <si>
    <t xml:space="preserve">    Government</t>
  </si>
  <si>
    <t xml:space="preserve">   i. Central</t>
  </si>
  <si>
    <t xml:space="preserve"> ii. Local</t>
  </si>
  <si>
    <t xml:space="preserve"> i. PNFC (Group 1)</t>
  </si>
  <si>
    <t xml:space="preserve"> ii. PNFC (Group 2)</t>
  </si>
  <si>
    <t>17.a. EC Dollar Cash</t>
  </si>
  <si>
    <t>17.b. Foreign Currency Cash</t>
  </si>
  <si>
    <t>25. Specific Provision For Impaired Assets (less)</t>
  </si>
  <si>
    <t>Transferable Deposits (EC$)</t>
  </si>
  <si>
    <t>Food and Non-Alcoholic Beverages</t>
  </si>
  <si>
    <t>Communication</t>
  </si>
  <si>
    <t xml:space="preserve">24. Loans And Advances, Overdrafts, Repos, Bills Discounted                        And Credit Cards </t>
  </si>
  <si>
    <t>Agriculture or Forestry and Fishing</t>
  </si>
  <si>
    <t>Mining and Quarrying</t>
  </si>
  <si>
    <t>Public Utilities</t>
  </si>
  <si>
    <t>Construction and Land Development</t>
  </si>
  <si>
    <t>Wholesale and Retail Trade or Repair - of Motor Vehicles and Motorcycles</t>
  </si>
  <si>
    <t>Transport and Storage</t>
  </si>
  <si>
    <t>Accommodation and Food Service Activities</t>
  </si>
  <si>
    <t>Public Administration and Social Security</t>
  </si>
  <si>
    <t>Arts or Entertainment and Recreation</t>
  </si>
  <si>
    <t>Non-House and Non-Residential Land Purchases (Commercial)</t>
  </si>
  <si>
    <t>House and Land Purchases (Residential)</t>
  </si>
  <si>
    <t>Durable Consumer Goods</t>
  </si>
  <si>
    <t>Other Personal Loans</t>
  </si>
  <si>
    <t>Commercial Banks: Total Amount of Loans</t>
  </si>
  <si>
    <t>Liquid Assets less Liquid Liabilities</t>
  </si>
  <si>
    <t>RATIO: Liquid Assets less Liquid Liabilities/Total Non-Interbank Deposits (%)</t>
  </si>
  <si>
    <t>RATIO:  Adjusted Liquid Assets less Liquid LIabilities/Total Non-interbank Deposits (%)*</t>
  </si>
  <si>
    <t>RATIO: Liquid Assets/Total Non-interbank Deposits plus Liquid Liabilities)</t>
  </si>
  <si>
    <t>RATIO: Adjusted Liquid Assets/(Total Non-interbank Deposits plus Short-term Liabilities)*</t>
  </si>
  <si>
    <t>Short-Term Liabilities</t>
  </si>
  <si>
    <t>RATIO: Liquid Assets/Short-Term Liabilities</t>
  </si>
  <si>
    <t>Non-interbank Loans</t>
  </si>
  <si>
    <t>Central Bank</t>
  </si>
  <si>
    <t>Discount Rate</t>
  </si>
  <si>
    <t>Interbank Rate</t>
  </si>
  <si>
    <t>Commercial Banks</t>
  </si>
  <si>
    <t>Deposit Rates</t>
  </si>
  <si>
    <t>Lending Rates</t>
  </si>
  <si>
    <t>Recorded as ASSETS in the Supplementary Information</t>
  </si>
  <si>
    <t>Country's Liabilities to Central Bank</t>
  </si>
  <si>
    <t>1. Central Bank Claims on Central Government</t>
  </si>
  <si>
    <t>1.3 Interest Arrears on Government Securities</t>
  </si>
  <si>
    <t>1.4 Government Special Deposit Arrears</t>
  </si>
  <si>
    <t>2. Central Bank Claims on Commercial Banks (Other Depository Corporations)</t>
  </si>
  <si>
    <t>2.1 Loans to Commercial Banks</t>
  </si>
  <si>
    <t>2.3 Long-Term Loans Receivable (IPIP)</t>
  </si>
  <si>
    <t>3. Central Bank Claims on Statutory Bodies</t>
  </si>
  <si>
    <t>4. Deposits for Staff Loans</t>
  </si>
  <si>
    <t>5. Accrued Interest on Deposits for Staff Loans</t>
  </si>
  <si>
    <t>6. Accrued Interest on Self Insurance Fund Fixed Deposits</t>
  </si>
  <si>
    <t>7. Term Deposits</t>
  </si>
  <si>
    <t>8. Special Deposits of Commercial Banks</t>
  </si>
  <si>
    <t>Recorded as LIABILITIES in the Supplementary Information</t>
  </si>
  <si>
    <t>9. Deposits of Commercial Banks</t>
  </si>
  <si>
    <t>9.1 Bankers Current Account</t>
  </si>
  <si>
    <t>10. Banker's Collateral</t>
  </si>
  <si>
    <t>11. Bankers' Dormant Accounts</t>
  </si>
  <si>
    <t>12. Currency in Circulation (Liabilities to the Private Sector)</t>
  </si>
  <si>
    <t>13. Total Government Deposits</t>
  </si>
  <si>
    <t>14. Statutory Bodies Deposits</t>
  </si>
  <si>
    <t>14.3 Statutory Bodies Fixed Deposits</t>
  </si>
  <si>
    <t>14.4 Accrued Interest on Statutory Bodies Fixed Deposits</t>
  </si>
  <si>
    <t>14.6 Accrued Interest on Statutory Bodies Operating Accounts</t>
  </si>
  <si>
    <t>15. IMF Government Reserve Account</t>
  </si>
  <si>
    <t>16. Loss Allowance on Government Advances</t>
  </si>
  <si>
    <t xml:space="preserve">         1.1.1 Advances to Government</t>
  </si>
  <si>
    <t xml:space="preserve">         1.1.1.1 Advances to Government</t>
  </si>
  <si>
    <t xml:space="preserve">       1.1.1.2 Government Operating Accounts</t>
  </si>
  <si>
    <t xml:space="preserve">     1.1.1.3 Government Call Accounts</t>
  </si>
  <si>
    <t xml:space="preserve"> 1.1.2 Due from Participating Governments re Special Deposits</t>
  </si>
  <si>
    <t xml:space="preserve">   1.2.1 Treasury Bills</t>
  </si>
  <si>
    <t xml:space="preserve">     1.2.2 Debentures</t>
  </si>
  <si>
    <t xml:space="preserve">      1.6.1 Treasury Bills - Accrued Interest</t>
  </si>
  <si>
    <t xml:space="preserve">        1.6.2 Debentures - Accrued Interest</t>
  </si>
  <si>
    <t xml:space="preserve">        2.2.1 Agency Office Petty Cash              </t>
  </si>
  <si>
    <t xml:space="preserve">        2.2.2 Cash on Hand Undeposited Receipts</t>
  </si>
  <si>
    <t xml:space="preserve">      2.2.3 Nostro Bank Accounts</t>
  </si>
  <si>
    <t xml:space="preserve">      2.2.4 Credit Card Transfer Accounts</t>
  </si>
  <si>
    <t xml:space="preserve">      2.2.5 ECCB Payment Transfer Accounts</t>
  </si>
  <si>
    <t xml:space="preserve"> 3.1 Statutory Bodies Operating Accounts</t>
  </si>
  <si>
    <t xml:space="preserve">     13.1 Central Government Deposits</t>
  </si>
  <si>
    <t xml:space="preserve">   13.1.1 Central Government Fixed and Call Deposits</t>
  </si>
  <si>
    <t xml:space="preserve">       13.1.1.1 Government Call Accounts</t>
  </si>
  <si>
    <t xml:space="preserve">       13.1.1.2 Govt's Fiscal Tranche I - Call</t>
  </si>
  <si>
    <t xml:space="preserve">       13.1.1.3 Government Fixed Deposits</t>
  </si>
  <si>
    <t xml:space="preserve">       13.1.1.4 Government Escrow Accounts</t>
  </si>
  <si>
    <t xml:space="preserve">             13.1.10.1 Accrued Interest on Government Fixed Deposits</t>
  </si>
  <si>
    <t xml:space="preserve">                 13.1.10.2 Accrued Interest on Sinking Fund Call Deposits</t>
  </si>
  <si>
    <t xml:space="preserve">             13.1.10.3 Accrued Interest on Government Escrow Accounts</t>
  </si>
  <si>
    <t>Central Bank Credit</t>
  </si>
  <si>
    <t>To Central Government</t>
  </si>
  <si>
    <t>Commercial Banks' Loans and Advances, Overdrafts, Repos, Bills Discounted and Credit Cards</t>
  </si>
  <si>
    <t>Total Investments</t>
  </si>
  <si>
    <t>Commercial Banks' Treasury Bills Holdings</t>
  </si>
  <si>
    <t>Commercial Banks' Other Govt Securities</t>
  </si>
  <si>
    <t>Commercial Banks' Equity and Investment Fund Shares</t>
  </si>
  <si>
    <t>Financial Derivatives</t>
  </si>
  <si>
    <t>Trade Credit and Advances Receivable</t>
  </si>
  <si>
    <t>Settlement Accounts Receivable</t>
  </si>
  <si>
    <t>To National Insurance Scheme</t>
  </si>
  <si>
    <t>Loans and Advances, Overdrafts, Repos, Bills Discounted and Credit Cards</t>
  </si>
  <si>
    <t>Investments</t>
  </si>
  <si>
    <t>To Public Nonfinancial Corporations Group 1 (PNFC1)</t>
  </si>
  <si>
    <t>Liabilities to General Government</t>
  </si>
  <si>
    <t>Liabilities to Central Government</t>
  </si>
  <si>
    <t>At the Commercial Banks</t>
  </si>
  <si>
    <t>Deposits</t>
  </si>
  <si>
    <t>Borrowings/Loans</t>
  </si>
  <si>
    <t>Trade Credit and Advances Payable</t>
  </si>
  <si>
    <t>Settlement Accounts</t>
  </si>
  <si>
    <t>At the Central Bank</t>
  </si>
  <si>
    <t>Govt Deposits, Call Acc &amp; Fixed Deposits</t>
  </si>
  <si>
    <t>Sinking Fund Call Account</t>
  </si>
  <si>
    <t>Gov't of St Kitts and Nevis Banking Sector Reserve Fund</t>
  </si>
  <si>
    <t>Govt Operating Accounts</t>
  </si>
  <si>
    <t>Profit Equalisation</t>
  </si>
  <si>
    <t>Fiscal Reserves Facility - Tranche II</t>
  </si>
  <si>
    <t>Govt Disaster Mitigation Loan Accounts</t>
  </si>
  <si>
    <t>Govt Bonds Proceeds Issued Accounts</t>
  </si>
  <si>
    <t>Govt Securities Proceeds Issued Accounts</t>
  </si>
  <si>
    <t>Government OECS Pharmaceutical Procurement Service Accounts</t>
  </si>
  <si>
    <t>Government EC Partial Credit Guarantee Accounts</t>
  </si>
  <si>
    <t>Government EC Civil Aviation Authority Accounts</t>
  </si>
  <si>
    <t>Government OECS Operating Accounts</t>
  </si>
  <si>
    <t>Liabilities to Local Government</t>
  </si>
  <si>
    <t>Local Govt Operating Accounts</t>
  </si>
  <si>
    <t>Local Govt Fixed Deposits</t>
  </si>
  <si>
    <t>Liabilities to National Insurance Scheme</t>
  </si>
  <si>
    <t>Public Nonfinancial Corporations Group 1 (PNFC1)</t>
  </si>
  <si>
    <t>CLAIMS ON OTHER SECTORS</t>
  </si>
  <si>
    <t>CLAIMS ON OTHER FINANCIAL CORPORATIONS</t>
  </si>
  <si>
    <t>Insurance and Technical Reserves Premium</t>
  </si>
  <si>
    <t>At Central Bank</t>
  </si>
  <si>
    <t>Insurance Technical Reserves</t>
  </si>
  <si>
    <t>CLAIMS ON PUBLIC NON-FINANCIAL CORPORATIONS (PNFC2)</t>
  </si>
  <si>
    <t>CLAIMS ON PRIVATE SECTOR</t>
  </si>
  <si>
    <t>Households Credit</t>
  </si>
  <si>
    <t>Trade Credit and Advances</t>
  </si>
  <si>
    <t>Settlement Account Receivable</t>
  </si>
  <si>
    <t>Non Profit Institutions Serving Households (NPISHs) Credit</t>
  </si>
  <si>
    <t>Other Nonfinancial Corporations (Business) Credit</t>
  </si>
  <si>
    <t>Other Items (Net)</t>
  </si>
  <si>
    <t>MONETARY LIABILITIES (M2)</t>
  </si>
  <si>
    <t>MONEY SUPPLY (M1)</t>
  </si>
  <si>
    <t>Currency with the Public</t>
  </si>
  <si>
    <t>Currency in Circulation</t>
  </si>
  <si>
    <t>Currency in Circulation (ECCB)</t>
  </si>
  <si>
    <t>Currency in Circulation (BCCB)</t>
  </si>
  <si>
    <t>less Cash at Commercial Banks</t>
  </si>
  <si>
    <t>Other Financial Corporations Transferable Deposits EC$</t>
  </si>
  <si>
    <t>At Commercial Banks</t>
  </si>
  <si>
    <t>Public Financial Corporations Transferable Deposits EC$</t>
  </si>
  <si>
    <t>Public Nonfinancial Corporations Transferable Deposits EC$</t>
  </si>
  <si>
    <t>Private Sector Demand Deposits and EC Cheques and Drafts Issued EC$</t>
  </si>
  <si>
    <t>Non-Profit Institutions Serving Households (NPISH)</t>
  </si>
  <si>
    <t>Other Nonfinancial Corporations</t>
  </si>
  <si>
    <t>QUASI MONEY</t>
  </si>
  <si>
    <t>Other Deposits (EC$)</t>
  </si>
  <si>
    <t>Other Financial Corporations EC Dollar Deposits</t>
  </si>
  <si>
    <t>Savings Deposits</t>
  </si>
  <si>
    <t>Fixed-Time-Non-Negotiable CDs</t>
  </si>
  <si>
    <t>Negotiable CDs</t>
  </si>
  <si>
    <t>Public Financial Corporations EC Dollar Deposits</t>
  </si>
  <si>
    <t>Public Nonfinancial Corporations Group 2 (PNFC2) EC Dollar Deposits</t>
  </si>
  <si>
    <t>Private Sector Deposits</t>
  </si>
  <si>
    <t>Households Savings Deposits</t>
  </si>
  <si>
    <t>Non-Profit Institutions Serving Households (NPISH) Savings Deposits</t>
  </si>
  <si>
    <t>Other Nonfinancial Corporations Savings Deposits</t>
  </si>
  <si>
    <t>Households Fixed-Time-Non-Negotiable CDs</t>
  </si>
  <si>
    <t>Non-Profit Institutions Serving Households (NPISH) Fixed-Time-Non-Negotiable CDs</t>
  </si>
  <si>
    <t>Other Nonfinancial Corporations Fixed-Time-Non-Negotiable CDs</t>
  </si>
  <si>
    <t>Foreign Currency Deposits</t>
  </si>
  <si>
    <t>Other Financial Corporations</t>
  </si>
  <si>
    <t>Public Nonfinancial Corporations Group 2 (PNFC2)</t>
  </si>
  <si>
    <t xml:space="preserve">               (A) Net Credit to Central Government</t>
  </si>
  <si>
    <t xml:space="preserve">              (B) Net Credit to Local Government</t>
  </si>
  <si>
    <t xml:space="preserve">              (C) Net Credit to National Insurance Scheme</t>
  </si>
  <si>
    <t xml:space="preserve">         (D) Net Credit to Public Nonfinancial Corporations Group1 (PNFC1)</t>
  </si>
  <si>
    <t>Wood and wood products</t>
  </si>
  <si>
    <t>Sand</t>
  </si>
  <si>
    <t>Cement</t>
  </si>
  <si>
    <t>Prefabricated Materials</t>
  </si>
  <si>
    <t>Steel</t>
  </si>
  <si>
    <r>
      <rPr>
        <b/>
        <sz val="20"/>
        <rFont val="Bookman Old Style"/>
        <family val="1"/>
      </rPr>
      <t xml:space="preserve">SEA </t>
    </r>
    <r>
      <rPr>
        <b/>
        <sz val="20"/>
        <color indexed="8"/>
        <rFont val="Bookman Old Style"/>
        <family val="1"/>
      </rPr>
      <t>CARGO</t>
    </r>
  </si>
  <si>
    <t xml:space="preserve">       COMMERCIAL BANKS</t>
  </si>
  <si>
    <t xml:space="preserve">COMMERCIAL BANKS' ASSETS AND LIABILITIES </t>
  </si>
  <si>
    <t xml:space="preserve">   Settlement Accounts</t>
  </si>
  <si>
    <t>Net Foreign Assets</t>
  </si>
  <si>
    <t>Claims On Non-Residents</t>
  </si>
  <si>
    <t>Other Depository Corporations (Commercial Banks)</t>
  </si>
  <si>
    <t>Liabilities To Non-Residents</t>
  </si>
  <si>
    <t>Net Domestic Assets</t>
  </si>
  <si>
    <t>Domestic Claims</t>
  </si>
  <si>
    <t>Net Claims On General Government</t>
  </si>
  <si>
    <t>Claims On General Government</t>
  </si>
  <si>
    <t>From Central Bank</t>
  </si>
  <si>
    <t xml:space="preserve">From Other Depository Corporations </t>
  </si>
  <si>
    <t>Liabilities To General Government</t>
  </si>
  <si>
    <t>Claims On Other Sectors</t>
  </si>
  <si>
    <t>Claims On Other Financial Corporations (NBFI)</t>
  </si>
  <si>
    <t>Claims On Public Non-Financial Corporations</t>
  </si>
  <si>
    <t>Claims On Private Sector</t>
  </si>
  <si>
    <t>Claims On Other Non-Financial Corporations (Business Credit)</t>
  </si>
  <si>
    <t>Claims On Other Resident Sectors (Households and Non-Profit Institutions)</t>
  </si>
  <si>
    <t>Broad Money Liabilities (M2)</t>
  </si>
  <si>
    <t>Narrow Money (M1)</t>
  </si>
  <si>
    <t>Currency Outside Depository Corporations</t>
  </si>
  <si>
    <t>Currency Issued By Central Bank (Currency In Circulation)</t>
  </si>
  <si>
    <t>Less Holdings Of National Currency By ODC (Commercial Banks)</t>
  </si>
  <si>
    <t>Transferable Deposits, In National Currency</t>
  </si>
  <si>
    <t>Quasi Money</t>
  </si>
  <si>
    <t>Other Deposits, In National Currency</t>
  </si>
  <si>
    <t>TABLE 40</t>
  </si>
  <si>
    <t>TABLE 43</t>
  </si>
  <si>
    <t>TABLE 45</t>
  </si>
  <si>
    <t>TABLE 49</t>
  </si>
  <si>
    <t xml:space="preserve">      Medical Loans</t>
  </si>
  <si>
    <t xml:space="preserve">      Personal Travel Loans</t>
  </si>
  <si>
    <t xml:space="preserve">      Personal Vehicle Loans</t>
  </si>
  <si>
    <t xml:space="preserve">      Education (Including Student Loans)</t>
  </si>
  <si>
    <t xml:space="preserve">       Agriculture</t>
  </si>
  <si>
    <t xml:space="preserve">       Forestry</t>
  </si>
  <si>
    <t xml:space="preserve">   Agriculture and Forestry</t>
  </si>
  <si>
    <t xml:space="preserve">    Fishing and Aquaculture</t>
  </si>
  <si>
    <t xml:space="preserve">    Water Supply or Sewerage and Waste Management</t>
  </si>
  <si>
    <t xml:space="preserve">    Residential or Single - Family Home</t>
  </si>
  <si>
    <t xml:space="preserve">    Non Residential construction and land development</t>
  </si>
  <si>
    <t xml:space="preserve">         Non-Residential</t>
  </si>
  <si>
    <t xml:space="preserve">         Land and Infrastructure Development</t>
  </si>
  <si>
    <t xml:space="preserve">     Professional or Scientific and Technical Services</t>
  </si>
  <si>
    <t xml:space="preserve">     Administrative and Support Services Activities</t>
  </si>
  <si>
    <t xml:space="preserve">     Other Service Activities</t>
  </si>
  <si>
    <t xml:space="preserve">     Information and Communication</t>
  </si>
  <si>
    <t xml:space="preserve">     Human Health and Social Work Activities</t>
  </si>
  <si>
    <t xml:space="preserve">     Other Real Estate Activities (Including Rental or Leased Properties)</t>
  </si>
  <si>
    <t xml:space="preserve">       Non-House Purchases</t>
  </si>
  <si>
    <t xml:space="preserve">       Non-Residential Land Purchases</t>
  </si>
  <si>
    <t xml:space="preserve">       House Purchases</t>
  </si>
  <si>
    <t xml:space="preserve">       Residential Land Purchases</t>
  </si>
  <si>
    <t>Musa (excluding bananas)</t>
  </si>
  <si>
    <t>Total Non Banana Crops</t>
  </si>
  <si>
    <t xml:space="preserve">Total Banana </t>
  </si>
  <si>
    <t xml:space="preserve">Total Crops Purchases </t>
  </si>
  <si>
    <t>Memo Item</t>
  </si>
  <si>
    <t>($Mil)</t>
  </si>
  <si>
    <t xml:space="preserve"> NET FOREIGN ASSETS</t>
  </si>
  <si>
    <t>Central Bank (Net)</t>
  </si>
  <si>
    <t xml:space="preserve">    Central Bank Foreign Assets</t>
  </si>
  <si>
    <t xml:space="preserve">    Central Bank Foreign Liabilities</t>
  </si>
  <si>
    <t xml:space="preserve"> Commercial Banks (net)</t>
  </si>
  <si>
    <t xml:space="preserve">   Commercial Banks Foreign Assets</t>
  </si>
  <si>
    <t xml:space="preserve">  Commercial Banks Foreign Liabilities</t>
  </si>
  <si>
    <t xml:space="preserve"> NET DOMESTIC ASSETS</t>
  </si>
  <si>
    <t> Domestic Credit</t>
  </si>
  <si>
    <t xml:space="preserve">              Net Credit to General Government (A) + (B) + (C ) + (D)</t>
  </si>
  <si>
    <t xml:space="preserve">                 Credit to General Government</t>
  </si>
  <si>
    <t xml:space="preserve">                         Central Bank Credit</t>
  </si>
  <si>
    <t xml:space="preserve">                           Central Bank Loans and Advances</t>
  </si>
  <si>
    <t xml:space="preserve">                            Advances to Government</t>
  </si>
  <si>
    <t xml:space="preserve">                             Government Operating Accounts</t>
  </si>
  <si>
    <t xml:space="preserve">                             Central Bank Loans</t>
  </si>
  <si>
    <t xml:space="preserve">                                Advances to Government</t>
  </si>
  <si>
    <t xml:space="preserve">                       Central Bank's Treasury Bill Holdings</t>
  </si>
  <si>
    <t xml:space="preserve">                       Central Bank's Debenture Holdings</t>
  </si>
  <si>
    <t xml:space="preserve">                   Central Bank Interest Due on Securities</t>
  </si>
  <si>
    <t xml:space="preserve">                        Interest Receivable/Accrued Interest on Government Securities</t>
  </si>
  <si>
    <t xml:space="preserve">                       Central Bank Special Deposit Arrears</t>
  </si>
  <si>
    <t xml:space="preserve">                 Commercial Bank Credit</t>
  </si>
  <si>
    <t xml:space="preserve"> Local Government</t>
  </si>
  <si>
    <t xml:space="preserve">  Settlement Accounts Receivable</t>
  </si>
  <si>
    <t xml:space="preserve"> Commercial Banks' Other Govt Securities</t>
  </si>
  <si>
    <t xml:space="preserve"> Commercial Banks' Equity and Investment Fund Shares</t>
  </si>
  <si>
    <t xml:space="preserve"> Financial Derivatives</t>
  </si>
  <si>
    <t xml:space="preserve"> Commercial Banks' Treasury Bills Holdings</t>
  </si>
  <si>
    <t xml:space="preserve"> Trade Credit and Advances Receivable</t>
  </si>
  <si>
    <t xml:space="preserve">    Combined Currencies</t>
  </si>
  <si>
    <t xml:space="preserve">       Total Weighted Reducing Balance Rate</t>
  </si>
  <si>
    <t xml:space="preserve">       Total Weighted Add-On/Discount Rate</t>
  </si>
  <si>
    <t xml:space="preserve">       Total Weighted Average Credit Rate</t>
  </si>
  <si>
    <t xml:space="preserve">     National Currency</t>
  </si>
  <si>
    <t xml:space="preserve">       Weighted Reducing Balance Rate NC</t>
  </si>
  <si>
    <t xml:space="preserve">       Weighted Add-On/Discount Rate NC</t>
  </si>
  <si>
    <t xml:space="preserve">       Credit Rate: Weighted Average NC</t>
  </si>
  <si>
    <t xml:space="preserve">     Foreign Currency</t>
  </si>
  <si>
    <t xml:space="preserve">        Weighted Reducing Balance Rate FC</t>
  </si>
  <si>
    <t xml:space="preserve">        Weighted Add-On/Discount Rate FC</t>
  </si>
  <si>
    <t xml:space="preserve">        Credit Rate: Weighted Average FC</t>
  </si>
  <si>
    <t xml:space="preserve">        Total Deposits: Weighted Average</t>
  </si>
  <si>
    <t xml:space="preserve">        Demand Deposits: Weighted Average</t>
  </si>
  <si>
    <t xml:space="preserve">        Savings Deposits: Weighted Average</t>
  </si>
  <si>
    <t xml:space="preserve">        Time Deposits: Weighted Average</t>
  </si>
  <si>
    <t xml:space="preserve">    National Currency</t>
  </si>
  <si>
    <t xml:space="preserve">        Demand Deposits: Min. NC</t>
  </si>
  <si>
    <t xml:space="preserve">        Demand Deposits: Max. NC</t>
  </si>
  <si>
    <t xml:space="preserve">        Savings Deps.: Minimum  NC</t>
  </si>
  <si>
    <t xml:space="preserve">        Savings Deps.: Maximum NC</t>
  </si>
  <si>
    <t xml:space="preserve">        Time Deposits: 3-Month Min. NC</t>
  </si>
  <si>
    <t xml:space="preserve">        Time Deposits: 3-Month Max. NC</t>
  </si>
  <si>
    <t xml:space="preserve">        Time Deposits: 6-Month Min. NC</t>
  </si>
  <si>
    <t xml:space="preserve">        Time Deposits: 6-Month Max.  NC</t>
  </si>
  <si>
    <t xml:space="preserve">        Time Deposits: 12 Month Min. NC</t>
  </si>
  <si>
    <t xml:space="preserve">        Time Deposits: 12 Month Max. NC</t>
  </si>
  <si>
    <t xml:space="preserve">        Total Deposits: Weighted Avg. NC</t>
  </si>
  <si>
    <t xml:space="preserve">        Demand Deposits: Weighted Avg. NC</t>
  </si>
  <si>
    <t xml:space="preserve">        Savings Deps.: Weighted Avg. NC</t>
  </si>
  <si>
    <t xml:space="preserve">        Time Deposits: Weighted Avg. NC</t>
  </si>
  <si>
    <t xml:space="preserve">        Total Deposits: Weighted Avg. FC</t>
  </si>
  <si>
    <t xml:space="preserve">        Demand Deposits: Weighted Avg. FC</t>
  </si>
  <si>
    <t xml:space="preserve">        Savings Deposits: Weighted Avg.  FC</t>
  </si>
  <si>
    <t xml:space="preserve">        Time Deposits: Weighted Avg. FC</t>
  </si>
  <si>
    <t>TABLE 61</t>
  </si>
  <si>
    <t xml:space="preserve">    Personal Income Tax (PIT)</t>
  </si>
  <si>
    <t xml:space="preserve">    Withholdings</t>
  </si>
  <si>
    <t xml:space="preserve">    Corporations</t>
  </si>
  <si>
    <t xml:space="preserve">2019/20r </t>
  </si>
  <si>
    <t>In keeping with the new Chart of Accounts, adopted from fiscal year 2019/20, PIT, CIT and WHT include their respective arrears, which were previously reported for the years up to 2018/19 as a combined total. Also, sub-categories of Non-Tax Revenue have been re-classified to Social Security Contributions, Income From Property, Sale of Goods &amp; Services, Fines, Penalties &amp; Forfeits, Voluntary Transfers and Miscellaneous Revenue. Security Charge is classified as Non-Tax Revenue and the line item "licences", which was previously recorded as tax on goods and services, is disaggreagated into tax revenue and non-tax revenue.</t>
  </si>
  <si>
    <t>Summarized Monetary Survey</t>
  </si>
  <si>
    <t>Total Expenditure</t>
  </si>
  <si>
    <t>GOVERNMENT EXPENDITURE ON EDUCATION</t>
  </si>
  <si>
    <t xml:space="preserve">   Early Childhood Education</t>
  </si>
  <si>
    <t xml:space="preserve">   Special Education</t>
  </si>
  <si>
    <t xml:space="preserve">   Primary Education</t>
  </si>
  <si>
    <t xml:space="preserve">   Secondary Education</t>
  </si>
  <si>
    <t xml:space="preserve">   Tertiary Education</t>
  </si>
  <si>
    <t xml:space="preserve">   Adult Education</t>
  </si>
  <si>
    <t xml:space="preserve">   Education Services</t>
  </si>
  <si>
    <t xml:space="preserve">   Agency Administration</t>
  </si>
  <si>
    <t xml:space="preserve">   Library Services</t>
  </si>
  <si>
    <t xml:space="preserve">   UNESCO</t>
  </si>
  <si>
    <t xml:space="preserve">   Other</t>
  </si>
  <si>
    <t>n.a</t>
  </si>
  <si>
    <t>n/a=Not Available</t>
  </si>
  <si>
    <t>Source: Saint Lucia Tourism Authority (Department of Tourism, Investment, Creative Industries, Culture and Information)</t>
  </si>
  <si>
    <t>2019*</t>
  </si>
  <si>
    <t>Accomodation</t>
  </si>
  <si>
    <t>Food Beverages Services</t>
  </si>
  <si>
    <t xml:space="preserve">Insurance </t>
  </si>
  <si>
    <t>Public</t>
  </si>
  <si>
    <t>Private</t>
  </si>
  <si>
    <t>* Complete data for 2020 is not currently available, estimated</t>
  </si>
  <si>
    <t>Source: Agricultural Division (Agriculture, Fisheries, Food Security and Rural Development)</t>
  </si>
  <si>
    <t>FUEL SURCHARGE TO CONSUMERS ($/UNIT)</t>
  </si>
  <si>
    <t>% Change</t>
  </si>
  <si>
    <t>BALANCE OF TRADE</t>
  </si>
  <si>
    <t>2015*</t>
  </si>
  <si>
    <t>95.8**</t>
  </si>
  <si>
    <t>**The figure for 2021 represents an overall passrate. Disaggregation data is not available.</t>
  </si>
  <si>
    <t>r= revised                                pre = preliminary</t>
  </si>
  <si>
    <t xml:space="preserve">    RGSM, ECFH &amp; FCIS</t>
  </si>
  <si>
    <t xml:space="preserve">Source: Ministry of Education, Sustainable Development, Innovation, Science, Technology and Vocational Training  </t>
  </si>
  <si>
    <t xml:space="preserve">Source:Ministry of Education, Sustainable Development, Innovation, Science, Technology and Vocational Training  </t>
  </si>
  <si>
    <t xml:space="preserve">Source: Annual Estimates of Revenue and Expenditure and Ministry of Education, Sustainable Development, Innovation, Science, Technology and Vocational Training  </t>
  </si>
  <si>
    <t>2021/22</t>
  </si>
  <si>
    <t>2021r</t>
  </si>
  <si>
    <t>Nominal</t>
  </si>
  <si>
    <t>EUROPEAN INVESTMENT BANK</t>
  </si>
  <si>
    <t>21/02/2022 - 21/02/2028</t>
  </si>
  <si>
    <t>28/3/2022 - 28/3/2028</t>
  </si>
  <si>
    <t>2022/2032 GOSLPP290732 (10 yrs)</t>
  </si>
  <si>
    <t>29/07/2022 - 29/07/2032</t>
  </si>
  <si>
    <t>2014/2024  Sagicor Life ECFH Global EC$7M 7.5% 10YR BOND (LCG100224)</t>
  </si>
  <si>
    <t>2021/2029  NIC ECD$10M  8-Year Bond</t>
  </si>
  <si>
    <t>2014/2024 NIC (Bullet)</t>
  </si>
  <si>
    <t>2014/2024 NIC (Bullet) $15m 10 year 7.5%</t>
  </si>
  <si>
    <t>2021/2031 NIC (Bullet) GOSL171231</t>
  </si>
  <si>
    <t>2016/2026 NIC  - ECD$40M Bond</t>
  </si>
  <si>
    <t>FCIS Pri. Plt (FLG1024AA) US$3.36M 7YR 6.5% Bond</t>
  </si>
  <si>
    <t>FCIS ECD16.037M 10yr Bond (LCG1010aa) (quarterly) LCG1027AA</t>
  </si>
  <si>
    <t>2021/2026  GOSLPP300726 5YR 6.5% Bond</t>
  </si>
  <si>
    <t>2016/2026 FCIS Pri. Plt LCG100926 (ECD45.140M)</t>
  </si>
  <si>
    <t>2018/2026 LCG080426 FCIS EC$12.5M 8yr Bond</t>
  </si>
  <si>
    <t>2018/2028 FCIS USD 3M 7% 10yr Bond</t>
  </si>
  <si>
    <t>2017/2027 NIC  ECD10M 10-Year Bond (Amortized)</t>
  </si>
  <si>
    <t>2018/2028 ECFH ECD$8M 10YR Bond (GOSLPP230128)</t>
  </si>
  <si>
    <t>2018/2028 LCG1001aa FCIS EC$12.815M (quarterly)</t>
  </si>
  <si>
    <t>2018/2023 EC$18M 5yr Bond (Student Loan Gurantee Fund)</t>
  </si>
  <si>
    <t>2018/2028 GOSLPP301228 10YR Bond</t>
  </si>
  <si>
    <t>2018/2026 FCIS EC16M 8YR Bond</t>
  </si>
  <si>
    <t>2018/2026 FCIS USD2M 8YR 7% Bond</t>
  </si>
  <si>
    <t>2019/2024 FCIS EC$25M 5YR Bond (LCG050124)</t>
  </si>
  <si>
    <t>2019/2026 FCIS USD1.8M 7yr Bond</t>
  </si>
  <si>
    <t xml:space="preserve">2022/2037 NIC 10yr 7.25% Bond </t>
  </si>
  <si>
    <t>29/06/2022 - 29/06/2032</t>
  </si>
  <si>
    <t>2022/2032 GOSLPP170832</t>
  </si>
  <si>
    <t>17/08/2022 - 17/08/2032</t>
  </si>
  <si>
    <t>2022/2028 FCIS US$5M 6-YR 7.00% Bond</t>
  </si>
  <si>
    <t>28/03/2022 - 28/03/2028</t>
  </si>
  <si>
    <t>2022/2032 FCIS EC$10M 10yr Bond</t>
  </si>
  <si>
    <t>14/10/2022 - 14/10/2032</t>
  </si>
  <si>
    <t>19/07/2022 - 19/07/2024</t>
  </si>
  <si>
    <t>2019/2024 GOSLPP151024 EC$15.9M 5YR Bond</t>
  </si>
  <si>
    <t>2021/2027 FCIS Private ECD15M LCN100421</t>
  </si>
  <si>
    <t>2022/2027 GOSLPP210727</t>
  </si>
  <si>
    <t>21/7/2022 - 21/7/2027</t>
  </si>
  <si>
    <t>2022/2024 FCIS 2yr USD  note</t>
  </si>
  <si>
    <t>12/09/2022 - 12/09/2024</t>
  </si>
  <si>
    <t>2021/2026 GOSLPP011126 5yr USD note</t>
  </si>
  <si>
    <t>2022/2024 GOSLPP260824 2Yr Note</t>
  </si>
  <si>
    <t>26/08/2022 - 26/08/2024</t>
  </si>
  <si>
    <t>2022/2024 GOSLPP250924 2yr Note</t>
  </si>
  <si>
    <t>25/09/2022 - 25/09/2024</t>
  </si>
  <si>
    <t>2022/2024 GOSLPP101224 2YR Note</t>
  </si>
  <si>
    <t>10/12/2022-12/12/2024</t>
  </si>
  <si>
    <t>2022/2024 GOSLPP140224 18mnth Note</t>
  </si>
  <si>
    <t>14/08/2022 - 14/02/2024</t>
  </si>
  <si>
    <t>2022/2024 FCIS 18MTH EC 4.25%  Note</t>
  </si>
  <si>
    <t>19/09/2022 - 19/03/2024</t>
  </si>
  <si>
    <t>2022/2024 GOSLPP250324</t>
  </si>
  <si>
    <t>2022/2024 GOSLPP020524 - EC$26.821M 2YEAR 4.5% NOTE</t>
  </si>
  <si>
    <t>02/05/2022 - 02/05/2024</t>
  </si>
  <si>
    <t>2022/2024 GOSLPP040624 - EC$2.296M 2 YEAR 4.5% NOTE</t>
  </si>
  <si>
    <t>04/06/2022 - 04/06/2024</t>
  </si>
  <si>
    <t>2022/2024 GOSLPP050624 - EC$17.898M 2YEAR 4.5% NOTE</t>
  </si>
  <si>
    <t>05/06/2022 - 05/06/2024</t>
  </si>
  <si>
    <t xml:space="preserve">2022/2024 GOSLPP070724 2yr Note </t>
  </si>
  <si>
    <t>07/07/2022 - 7/07/2024</t>
  </si>
  <si>
    <t>2020/2025 GOSLPP111225 EC 5yr 6.00% Note</t>
  </si>
  <si>
    <t>2020/2023 FCIS 3yr 5.50% Note</t>
  </si>
  <si>
    <t>2022/2025 FCIS 3yr 5.00% Note</t>
  </si>
  <si>
    <t>27/06/2022 - 27/06/2025</t>
  </si>
  <si>
    <t>2022/2025 GOSLPP220725 USD Note</t>
  </si>
  <si>
    <t>22/07/2022 - 22/07/2025</t>
  </si>
  <si>
    <t>2022/2024 GOSLPP180724</t>
  </si>
  <si>
    <t>18/07/2022 - 18/7/2024</t>
  </si>
  <si>
    <t>2022/2024 FCIS 2YR Private Note</t>
  </si>
  <si>
    <t>7/8/2022 - 7/8/2024</t>
  </si>
  <si>
    <t>2020/2024 FCIS EC$20M 4YR 5.25% Private Note</t>
  </si>
  <si>
    <t>2020/2023 GOSL010923 3yr 4.5% Note (Parliamentarian Bond)</t>
  </si>
  <si>
    <t>2021/2023  GOSL300823 EC$7.3M 2.5yr Bond (SLDB)</t>
  </si>
  <si>
    <t>2022/2025  GOSL190925</t>
  </si>
  <si>
    <t>2022/2025  GOSL200925</t>
  </si>
  <si>
    <t>2022/2025  GOSL011225 (LIAT)</t>
  </si>
  <si>
    <t>Special Issue</t>
  </si>
  <si>
    <t>26/05/2022 - 26/05/2023</t>
  </si>
  <si>
    <t xml:space="preserve">(a) St. Lucia Air &amp; Sea Ports Authority (Loan 2 &amp; Credit Card)      </t>
  </si>
  <si>
    <t>(d)  Water and Sewerage Authority (Loan1 &amp; Credit card)</t>
  </si>
  <si>
    <t>(e) Invest St Lucia</t>
  </si>
  <si>
    <t>(g) Credit Cards</t>
  </si>
  <si>
    <t>(a)  St Lucia Fish Marketing Corporation</t>
  </si>
  <si>
    <t>(b)  St. Lucia Air &amp; Sea Ports Authority</t>
  </si>
  <si>
    <t>(a) Student Loan Guarantee Illinois Institue of Technology (ECD1.650M)</t>
  </si>
  <si>
    <t>(d) Student Loan Guarantee University of Birmingham (ECD0.0898M)</t>
  </si>
  <si>
    <t>(g) Student Loan Guarantee Illinois Institue of Techhnology (ECD3.150M)</t>
  </si>
  <si>
    <t>(h) Student Loan Guarantee Illinois Institue of Technology (ECD0.300m)</t>
  </si>
  <si>
    <t>Saint Lucia National Housing Authority</t>
  </si>
  <si>
    <t>Saint Lucia Development Bank</t>
  </si>
  <si>
    <t>Saint Lucia Air &amp; Sea Port Authority Northern Wharf</t>
  </si>
  <si>
    <t>Saint Lucia Air &amp; Sea Port Authority Pointe Seraphine</t>
  </si>
  <si>
    <t>SLDB for Government of St Lucia RE :15M for Housing</t>
  </si>
  <si>
    <t>SLDB for Government of St Lucia RE :$5m for Productive Sector</t>
  </si>
  <si>
    <t>3. Public Non-Guaranteed</t>
  </si>
  <si>
    <t>2016/2026 FCIS Pri Plt LCG100926 (ECD45.140M)</t>
  </si>
  <si>
    <t>2016/2024 FCIS Pri Plt LCG080924 ECD16M</t>
  </si>
  <si>
    <t>ECFH Global Investment EC$1M 10-Year 7.5% Bond GOSLPP060926</t>
  </si>
  <si>
    <t xml:space="preserve">2017/2024 FLG071124 USD4M </t>
  </si>
  <si>
    <t>2017/2024 FCIS Pri. LCG1124AA (quarterly)</t>
  </si>
  <si>
    <t>2019/2024 FCIS EC$10.98M 6YR Bond (LCG050124)</t>
  </si>
  <si>
    <t xml:space="preserve">2020/2025 CIP  Fatima Laurente Ocay </t>
  </si>
  <si>
    <t>2020/2025 CIP Jezel Montemor Francisco</t>
  </si>
  <si>
    <t>2020/2025 CIP Steven Michael Gottlieb</t>
  </si>
  <si>
    <t>2020/2025 CIP Zhenzhen Zhang</t>
  </si>
  <si>
    <t xml:space="preserve">2020/2025 CIP Vikas Bhushan </t>
  </si>
  <si>
    <t>2020/2025 CIP Jie Wen</t>
  </si>
  <si>
    <t>2020/2025 CIP Pavel Pavlovich</t>
  </si>
  <si>
    <t>2021/2028 CIP Yu Zhang</t>
  </si>
  <si>
    <t>2021/2026 CIP Angel Mehta</t>
  </si>
  <si>
    <t>2021/2027 CIP Michael Savva Matzkevich</t>
  </si>
  <si>
    <t xml:space="preserve">2021/2026 CIP Peter Spencer Penny </t>
  </si>
  <si>
    <t>2021/2026 CIP Sarah Victoria Giles</t>
  </si>
  <si>
    <t xml:space="preserve">2021/2026 CIP Toyedayo Oluwaseun Osilaja </t>
  </si>
  <si>
    <t xml:space="preserve">2021/2026 CIP Mohamed Subh </t>
  </si>
  <si>
    <t xml:space="preserve">2021/2026 CIP Muhammad Suleman </t>
  </si>
  <si>
    <t xml:space="preserve">2021/2026 CIP Norman Zimbeva </t>
  </si>
  <si>
    <t>2021/2026 CIP Rouba Abou Atieh</t>
  </si>
  <si>
    <t xml:space="preserve">2021/2027 CIP Zheng Ma </t>
  </si>
  <si>
    <t>2021/2028 CIP - Jason Ong Ng US$0.25M 7 YR Bond</t>
  </si>
  <si>
    <t>2021/2026 CIP - Xiao Bin Gray US$0.3M 5 YR Bond</t>
  </si>
  <si>
    <t>2021/2026 CIP - Linjie Zhou US$0.25M 5 YR Bond</t>
  </si>
  <si>
    <t>2021/2026 CIP - Hamidullah Afsar Khan US$0.315M 5YR Bond</t>
  </si>
  <si>
    <t>2021/2026 CIP - Yi-Chan Lee US$0.3M 5 YR Bond</t>
  </si>
  <si>
    <t>2021/2026 CIP - Haitao Wang US$0.3M 5 YR Bond</t>
  </si>
  <si>
    <t>2021/2026 CIP - Kan Zhang US$0.3M 5 YR Bond</t>
  </si>
  <si>
    <t>2021/2028 CIP - Saied Yahya US$0.25M 7YR Bond</t>
  </si>
  <si>
    <t>2021/2028 CIP - Kunal Guha US$0.25M 7YR Bond</t>
  </si>
  <si>
    <t>2021/2026 CIP - Weiwei Wang US$0.25M 5YR Bond</t>
  </si>
  <si>
    <t>2021/2026 CIP - Peng Zhao US$0.3M 5YR Bond</t>
  </si>
  <si>
    <t>2021/2026 CIP - Richard John Ells US$0.3M 5YR Bond</t>
  </si>
  <si>
    <t>2021/2026 CIP - Hennadiy Hennadiyovych Biller US$0.3M 5YR Bond</t>
  </si>
  <si>
    <t>2021/2028 CIP - Wlmer Andrada Galamay US$0.25M 7YR Bond</t>
  </si>
  <si>
    <t>2021/2026 CIP - Wanni Zhao US$0.25M 5YR Bond</t>
  </si>
  <si>
    <t>2021-2026 CIP - Dzhamil Anverovich Kanteev US$0.3M 5YR Bond</t>
  </si>
  <si>
    <t>2021-2026 CIP - Erik William Troan US$0.3M 5YR Bond</t>
  </si>
  <si>
    <t>2021-2027 CIP - Kurt Alexander Buchwald US$0.25M 6YR Bond</t>
  </si>
  <si>
    <t>2021-2028 CIP - Maulik Parekh US$0.25M 7YR Bond</t>
  </si>
  <si>
    <t>2021-2028 CIP - Mohamad El Refai US$0.25M 7YR Bond</t>
  </si>
  <si>
    <t>2021-2026 CIP - Peiyu Kang US$0.25M 5YR Bond</t>
  </si>
  <si>
    <t>2021-2028 CIP - Ping-Wei Lin US$0.25M 7YR Bond</t>
  </si>
  <si>
    <t>2021-2028 CIP - Shih-Chun Liu US$0.25M 7YR Bond</t>
  </si>
  <si>
    <t>2021-2026 CIP - Angeleen Baliton Bituin US$0.3M 5YR Bond</t>
  </si>
  <si>
    <t>2021-2028 CIP - Bai Ling Huang US$0.25M 7YR Bond</t>
  </si>
  <si>
    <t>2021-2026 CIP - Christopher Douglas Longpre US$0.3M 5YR Bond</t>
  </si>
  <si>
    <t>2021-2026 CIP - Oluwatoyin Grace Ladele US$0.3M 5YR Bond</t>
  </si>
  <si>
    <t>2021-2028 CIP - Xin Jin US$0.25M 7YR Bond</t>
  </si>
  <si>
    <t>2021/2027 CIP - Jean Christine Thompson</t>
  </si>
  <si>
    <t xml:space="preserve">2021/2026 CIP - Weigui Lu </t>
  </si>
  <si>
    <t>2021/2026 CIP - Calvin Chao</t>
  </si>
  <si>
    <t>2021/2026 CIP - Judith lee Witten</t>
  </si>
  <si>
    <t>2021/2027 CIP - Donald Allen Mcluckie</t>
  </si>
  <si>
    <t>2021/2027 CIP - Robert Sing-Pei Ho</t>
  </si>
  <si>
    <t>2021/2026 CIP - Sylvie Marie Lucette Gagnon</t>
  </si>
  <si>
    <t>2021/2028 CIP - Maciej Marcin Dziergwa</t>
  </si>
  <si>
    <t>2021/2027 CIP - Gregory Naumovich Sprishen</t>
  </si>
  <si>
    <t>2021/2028 CIP - Oleg Stanislavovich Nazarko</t>
  </si>
  <si>
    <t>2021/2028 CIP - Anna Olegovna Smirnova</t>
  </si>
  <si>
    <t>2021/2026 CIP - John Orpheus Gaitanakis</t>
  </si>
  <si>
    <t>2021/2027 CIP - Xi Chen</t>
  </si>
  <si>
    <t>2021/2026 CIP - Ruolei Ren</t>
  </si>
  <si>
    <t>2021/2026 CIP - Brett Steven Harris</t>
  </si>
  <si>
    <t>2021/2027 CIP - James Edward Cegielski</t>
  </si>
  <si>
    <t>2021/2028 CIP - Siu Hong Fan</t>
  </si>
  <si>
    <t>2021/2027 CIP - Sayeeful Islam</t>
  </si>
  <si>
    <t>2022/2027 CIP - Andrey Alexandrovich Boykov</t>
  </si>
  <si>
    <t>2022/2029 CIP - Pavel Sergeevich Kashtanov</t>
  </si>
  <si>
    <t>2022/2029 CIP - Yong Pan</t>
  </si>
  <si>
    <t>2022/2028 CIP - Louis Gustavus Ogden</t>
  </si>
  <si>
    <t xml:space="preserve">2022/2027 CIP - Yunhe Lyu </t>
  </si>
  <si>
    <t>2022/2029 CIP - David Aaron Morse</t>
  </si>
  <si>
    <t>2022/2029 CIP -  Yufeng Yang</t>
  </si>
  <si>
    <t>2022/2027 CIP - Yongruo Ou</t>
  </si>
  <si>
    <t>2022/2028 CIP - Lilian Bryant</t>
  </si>
  <si>
    <t>2022/2027 CIP - Tamilla Karim</t>
  </si>
  <si>
    <t>2022/2027 CIP - Xavier Francois Stephane Laurens</t>
  </si>
  <si>
    <t xml:space="preserve">2022/2028 CIP - Thomas Malcolm Duncanson </t>
  </si>
  <si>
    <t>2022/2027 CIP - Fadi El Hage</t>
  </si>
  <si>
    <t xml:space="preserve">2022/2027 CIP - Ziyuan Wei </t>
  </si>
  <si>
    <t>2022/2027 CIP - Christian Paul Gerard Nantel</t>
  </si>
  <si>
    <t>2022/2027 CIP - Lynda Roselle Robson Weiser</t>
  </si>
  <si>
    <t>2022/2027 CIP - Michelle Liza Du Wong</t>
  </si>
  <si>
    <t>2022/2029 CIP - Jonathan Francis Castro Tansengco</t>
  </si>
  <si>
    <t xml:space="preserve">2022/2028 CIP - Huibing Shi </t>
  </si>
  <si>
    <t>2022/2029 CIP - Benson Pua Ng</t>
  </si>
  <si>
    <t>2022/2029 CIP - Wei Shi</t>
  </si>
  <si>
    <t>2022/2028 CIP - Karens Muljadi</t>
  </si>
  <si>
    <t>2022/2027 CIP - Eugene T'eh Yap</t>
  </si>
  <si>
    <t>2022/2028 CIP -  Abigail Thelma Urey-Miller</t>
  </si>
  <si>
    <t xml:space="preserve">2022/2028 CIP - Yi Shang </t>
  </si>
  <si>
    <t>2022/2029 CIP - Xiangjun Zhao</t>
  </si>
  <si>
    <t>2022/2029 CIP - Norman Richard Le Roux</t>
  </si>
  <si>
    <t>2022/2027 CIP - Xia Dai</t>
  </si>
  <si>
    <t>2022/2027 CIP - Siliang Tan</t>
  </si>
  <si>
    <t>2022/2028 CIP - Artem Alekseevich Sokolov</t>
  </si>
  <si>
    <t xml:space="preserve">2022/2027 CIP - Sriram Nadathur </t>
  </si>
  <si>
    <t>2022/2029 CIP - Ugochukwu Nwachukwu Igboelina</t>
  </si>
  <si>
    <t>2022/2029 CIP - James Robert Motzkin</t>
  </si>
  <si>
    <t>2022/2029 CIP - Mohamed Ayman M- Musif Adi</t>
  </si>
  <si>
    <t>2022/2029 CIP - Shuxin Ren</t>
  </si>
  <si>
    <t>2022/2028 CIP - Yong Wang</t>
  </si>
  <si>
    <t>2022/2027 CIP - Antoine Francois Robert Miribel</t>
  </si>
  <si>
    <t>2022/2027 CIP - Natalia Aleksandrovna Pelham</t>
  </si>
  <si>
    <t>2022/2029 CIP - Anna Vadimovna Afanaseva</t>
  </si>
  <si>
    <t>2022/2027 CIP - Russell Patrick Jayne</t>
  </si>
  <si>
    <t>2022/2029 CIP - Narin Sachdev</t>
  </si>
  <si>
    <t>2022/2027 CIP -  Abdul Majeed</t>
  </si>
  <si>
    <t xml:space="preserve">2022/2027 CIP -  Jin Qin </t>
  </si>
  <si>
    <t>2022/2027 CIP - Josip Zaja</t>
  </si>
  <si>
    <t>2022/2029 CIP - Ahmed Mahmoud Ahmed Aly</t>
  </si>
  <si>
    <t>2020/2025 LCN081225 (ECD25M)</t>
  </si>
  <si>
    <t>2017/2027 FCIS ECD12.683M (LCG1010aa) (quarterly) LCG1027AA</t>
  </si>
  <si>
    <t>Group Agence Francaise de Development</t>
  </si>
  <si>
    <t>Government of Trinidad and Tobago</t>
  </si>
  <si>
    <t>Kuwait Fund for Arab Economic  Development</t>
  </si>
  <si>
    <t>(ii) Castries/Choc Bay Junction Hwy.Imp. (CSDRMS 2002020)</t>
  </si>
  <si>
    <t>(ii) Agriculture Feeder Roads  (CSDRMS 2009019)</t>
  </si>
  <si>
    <t>The Export-Import Bank of the Republic of China</t>
  </si>
  <si>
    <t>St. Jude Hospital Reconstruction Project (US$20M)</t>
  </si>
  <si>
    <t>Road Improvement and Maintenance Program (Loan# 6021840004)</t>
  </si>
  <si>
    <t>St. Jude Hospital Reconstruction Project (US$20M) ADD.</t>
  </si>
  <si>
    <t>COVID-19 Response Project - Loan #60021840006</t>
  </si>
  <si>
    <t>West Indies Shipping Corporation    (CSDRMS1992030)</t>
  </si>
  <si>
    <t>Equity in SLDB                     (CSDRMS1982020)</t>
  </si>
  <si>
    <t xml:space="preserve">Construction of Water Supply Schemes (CSDRMS1986015)             </t>
  </si>
  <si>
    <t xml:space="preserve">                                                                 (CSDRMS 1987010)</t>
  </si>
  <si>
    <t>Water Supply (4th Loan)                         (CSDRMS 1990012)</t>
  </si>
  <si>
    <t>Road Improvement and Maintenance     (CSDRMS 1992012)</t>
  </si>
  <si>
    <t>Economic Reconstruction Programme  (CSDRMS 2003081)</t>
  </si>
  <si>
    <t xml:space="preserve"> (Schools &amp; Health)                               (CSDRMS 2008017)</t>
  </si>
  <si>
    <t>Banana Recovery Project                       (CSDRMS 2003011)</t>
  </si>
  <si>
    <t>Rehabilitation of Storm Damages            (CSDRMS 1995011)</t>
  </si>
  <si>
    <t>OECS Waste Management Project          (CSDRMS 1995044)</t>
  </si>
  <si>
    <t xml:space="preserve">                                                                (CSDRMS 1995043)</t>
  </si>
  <si>
    <t xml:space="preserve">                                                                (CSDRMS 2000020)</t>
  </si>
  <si>
    <t>Basic Education Reform Project               (CSDRMS 1995092)</t>
  </si>
  <si>
    <t>Disaster Mitigation                                 (CSDRMS 1998011)</t>
  </si>
  <si>
    <t xml:space="preserve">                                                             (CSDRMS 1998012)</t>
  </si>
  <si>
    <t>Roads Development Project                  (CSDRMS 2008025)</t>
  </si>
  <si>
    <t>Hurricane Lenny Immediate Response (CSDRMS 2000032)</t>
  </si>
  <si>
    <t>Shelter Development Project                (CSDRMS 2001203)</t>
  </si>
  <si>
    <t>Natural Disaster Management -Rehabilitation-Landslide (CSDRMS 2001072)</t>
  </si>
  <si>
    <t>Policy Based Loan       (CSDRMS 2008043 T1)</t>
  </si>
  <si>
    <t>Policy Based Loan Add. Loan (CSDRMS 2010036 T1)</t>
  </si>
  <si>
    <t>Basic Education Enhancement Project  (CSDRMS 2010033)</t>
  </si>
  <si>
    <t>NDM Rehabilitation and Reconstruction -Hurricane Tomas (CSDRMS 2011001 T2)</t>
  </si>
  <si>
    <t>NDM Rehabilitation and Reconstruction -Hurricane Tomas (CSDRMS 2011001 T1)</t>
  </si>
  <si>
    <t>NDM Rehabilitation and Reconstruction -Hurricane Tomas ADD Loan (CSDRMS 2013021)</t>
  </si>
  <si>
    <t>Settlement Upgrading Project   (CSDRMS 2012052)</t>
  </si>
  <si>
    <t>NDM - Immediate Response - Torrential Rainfall Event  (CSDRMS 2014072)</t>
  </si>
  <si>
    <t>Youth Empowerment Project (CSDRMS 2017904)</t>
  </si>
  <si>
    <t>NDM - Immediate Response - Tropical Storm Matthew (CS-DRMS 2018096</t>
  </si>
  <si>
    <t>Sixth Water - Vieux Fort Water Supply Redevelopment CSDRMS 2015007 T1</t>
  </si>
  <si>
    <t>Sixth Water - Vieux Fort Water Supply Redevelopment (Additional )</t>
  </si>
  <si>
    <t xml:space="preserve">                                                                                     Tranche 1</t>
  </si>
  <si>
    <t xml:space="preserve">                                                                     Tranche 2</t>
  </si>
  <si>
    <t>Eighth Water - Dennery North Water Supply CSDRMS 2017903</t>
  </si>
  <si>
    <t>St Lucia Education Quality Improvement Project (CS-DRMS 2018097)</t>
  </si>
  <si>
    <t>Tranche 2</t>
  </si>
  <si>
    <t>Implementation Workshops (Labs) &amp; Establishment of Performance Mgnt &amp; Del. Unit</t>
  </si>
  <si>
    <t>Tranche 2 (CS-DRMS 2018118)</t>
  </si>
  <si>
    <t>Coronavirus Disease 2019 Crisis Response  Policy-Based Loan</t>
  </si>
  <si>
    <t>Millennium Highway and West Coast Road Reconstruction</t>
  </si>
  <si>
    <t>Saint Lucia's Rapid Credit Facility Loan</t>
  </si>
  <si>
    <t>WORLD BANK</t>
  </si>
  <si>
    <t>Water Supply Project (Roseau Dam)</t>
  </si>
  <si>
    <t>Basic Education Reform Project</t>
  </si>
  <si>
    <t>OECS Telecommunications Reform Project</t>
  </si>
  <si>
    <t>Emergency Recovery &amp; Disaster Management Project</t>
  </si>
  <si>
    <t>Poverty Reduction Fund</t>
  </si>
  <si>
    <t>OECS Waste Management Project</t>
  </si>
  <si>
    <t xml:space="preserve">Water Sector Reform Project </t>
  </si>
  <si>
    <t>Emergency Recovery</t>
  </si>
  <si>
    <t>OECS Education Development Project</t>
  </si>
  <si>
    <t xml:space="preserve">Second Disaster Management Project </t>
  </si>
  <si>
    <t xml:space="preserve">            -IDA (CSDRMS 2017126)</t>
  </si>
  <si>
    <t xml:space="preserve">            -IDA </t>
  </si>
  <si>
    <t xml:space="preserve">Additional Financing for the Caribbean Regional Communications Infrastructure Program </t>
  </si>
  <si>
    <t>Saint Lucia COVID-19 Response, Recovery and Resilience Development Policy Credit</t>
  </si>
  <si>
    <t>Saint Lucia - Caribbean Regional Air Transport Connectivity Project</t>
  </si>
  <si>
    <t>Saint Lucia Human Capital Resilience Project</t>
  </si>
  <si>
    <t>Caribbean Digital Transformation Project</t>
  </si>
  <si>
    <t>Renewable Sector Energy Development Project</t>
  </si>
  <si>
    <t>OECS Data for Decision Making (DDM) Project</t>
  </si>
  <si>
    <t>On-lent loan- Private Sector</t>
  </si>
  <si>
    <t xml:space="preserve">Saint Lucia Air &amp; Sea Port Authority EXIM Bank HIA Redevelopment </t>
  </si>
  <si>
    <t>MSMES Covid-19 Loan</t>
  </si>
  <si>
    <t>EURIBOR</t>
  </si>
  <si>
    <t>TOTAL 2021</t>
  </si>
  <si>
    <t>%</t>
  </si>
  <si>
    <t>$</t>
  </si>
  <si>
    <t xml:space="preserve">      Less Liquid Liabilities (-)</t>
  </si>
  <si>
    <t>Other Crops</t>
  </si>
  <si>
    <t>Bananas</t>
  </si>
  <si>
    <t>TABLE 6</t>
  </si>
  <si>
    <t>r = revised</t>
  </si>
  <si>
    <t>TABLE 8</t>
  </si>
  <si>
    <t>VALUE OF CONSTRUCTION IMPORTS (EC$ MILLIONS)</t>
  </si>
  <si>
    <t xml:space="preserve">pre = preliminary  </t>
  </si>
  <si>
    <t>VALUE OF BANANA EXPORTS BY COUNTRY (EC$ MILLION)</t>
  </si>
  <si>
    <t>TABLE 39A</t>
  </si>
  <si>
    <t>TABLE 39B</t>
  </si>
  <si>
    <t>TABLE 39C</t>
  </si>
  <si>
    <t>TABLE 39D</t>
  </si>
  <si>
    <t>TABLE 39E</t>
  </si>
  <si>
    <t>TABLE 39F</t>
  </si>
  <si>
    <t>TABLE 39G</t>
  </si>
  <si>
    <t>TABLE 39H</t>
  </si>
  <si>
    <t>TABLE 39I</t>
  </si>
  <si>
    <t>TABLE 41</t>
  </si>
  <si>
    <t>TABLE 42A</t>
  </si>
  <si>
    <t>TABLE 42B</t>
  </si>
  <si>
    <t>TABLE 42C</t>
  </si>
  <si>
    <t>TABLE 42D</t>
  </si>
  <si>
    <t>TABLE 42E</t>
  </si>
  <si>
    <t>Table 44</t>
  </si>
  <si>
    <t>TABLE 46</t>
  </si>
  <si>
    <t>Table 48A</t>
  </si>
  <si>
    <t xml:space="preserve">Table 48B </t>
  </si>
  <si>
    <t>TABLE 60</t>
  </si>
  <si>
    <t>SUPERMARKET PURCHASES OF CROPS BY CATEGORY</t>
  </si>
  <si>
    <t>Flying Fish</t>
  </si>
  <si>
    <t>Shark/Black Fish</t>
  </si>
  <si>
    <t>Gros Islet</t>
  </si>
  <si>
    <t>Castries</t>
  </si>
  <si>
    <t>Soufriere</t>
  </si>
  <si>
    <t>Choiseul*</t>
  </si>
  <si>
    <t>Laborie*</t>
  </si>
  <si>
    <t>Micoud</t>
  </si>
  <si>
    <t>Dennery</t>
  </si>
  <si>
    <t>Others  2/</t>
  </si>
  <si>
    <t>2/ -* includes all none sample sites</t>
  </si>
  <si>
    <t>na</t>
  </si>
  <si>
    <t>na - not available</t>
  </si>
  <si>
    <t>TOTAL 2020</t>
  </si>
  <si>
    <t>Vieux-Fort 1/</t>
  </si>
  <si>
    <t>1/ - Note that the data for the Landing Site Vieux-Fort  includes data from the Landing Site at Savannes Bay</t>
  </si>
  <si>
    <t>Banks Prime Loan Rates</t>
  </si>
  <si>
    <t>Banks Prime Loan Rate: Min.</t>
  </si>
  <si>
    <t>Banks Prime Loan Rate: Max.</t>
  </si>
  <si>
    <t>na - not available       pre = preliminary</t>
  </si>
  <si>
    <t>r = revised;    YEO = Year End outlook</t>
  </si>
  <si>
    <t xml:space="preserve">      Other Personal Loans*</t>
  </si>
  <si>
    <t xml:space="preserve"> MAIN LABOUR FORCE INDICATORS</t>
  </si>
  <si>
    <t xml:space="preserve">Rehabilitation of Tertiary Roads  </t>
  </si>
  <si>
    <t>First Caribbean International Bank</t>
  </si>
  <si>
    <t xml:space="preserve">Bank of Saint Lucia </t>
  </si>
  <si>
    <t>NIC Loan</t>
  </si>
  <si>
    <t>National Infrsatructure Sports Strategy Proj. (loan# 690116566)</t>
  </si>
  <si>
    <t>Cruise Sector Training Fund - ECD$3M</t>
  </si>
  <si>
    <t>Pointe Seraphine Financial Complex - ECD$14.958M</t>
  </si>
  <si>
    <t>EC$8.1M 4yr Loan  (Loan# 690116699)</t>
  </si>
  <si>
    <t>Demand Loan (loan# 690113758)</t>
  </si>
  <si>
    <t>1st National Bank Saint Lucia Ltd</t>
  </si>
  <si>
    <t>Bank of Saint Lucia</t>
  </si>
  <si>
    <t xml:space="preserve">    1st National Bank</t>
  </si>
  <si>
    <t xml:space="preserve">    Saint Lucia Development Bank</t>
  </si>
  <si>
    <t xml:space="preserve">     National Insurance Corporation</t>
  </si>
  <si>
    <t xml:space="preserve">     BONDS</t>
  </si>
  <si>
    <t>LOANS</t>
  </si>
  <si>
    <t>(a) National Development Corporation (N.D.C.)</t>
  </si>
  <si>
    <t xml:space="preserve">(b) BANK OF ST. LUCIA (SLDB).  </t>
  </si>
  <si>
    <t xml:space="preserve">(e) SLDB- Caricom Development Fund </t>
  </si>
  <si>
    <t xml:space="preserve">(f)  Bilateral </t>
  </si>
  <si>
    <t>(g) European Investment Bank</t>
  </si>
  <si>
    <t>(c) UWI Open Campus</t>
  </si>
  <si>
    <t>(d) WASCO: CDB</t>
  </si>
  <si>
    <t>1.2 Government Securities</t>
  </si>
  <si>
    <t xml:space="preserve"> 1.1 Credit to Central Government</t>
  </si>
  <si>
    <t>1.5 Securities Principal Receivable</t>
  </si>
  <si>
    <t>1.6. Accrued Interest on Government Securities</t>
  </si>
  <si>
    <t xml:space="preserve"> 2.2 Deposits with Commercial Banks</t>
  </si>
  <si>
    <t>9.2 Bankers' Call Accounts</t>
  </si>
  <si>
    <t>9.3 Bankers' Reserves</t>
  </si>
  <si>
    <t>9.4 Bankers' Fixed Deposits</t>
  </si>
  <si>
    <t>9.5 Accrued Interest on Bankers Fixed Deposits</t>
  </si>
  <si>
    <t>12.1 Notes in Circulation (adjusted)</t>
  </si>
  <si>
    <t>12.2 Coins in Circulation</t>
  </si>
  <si>
    <t>13.1.2 Sinking Fund Call Account</t>
  </si>
  <si>
    <t>13.1.3 Government Operating Accounts</t>
  </si>
  <si>
    <t>13.1.4 Gov't Disaster Mitigation Loan</t>
  </si>
  <si>
    <t>13.1.5 Governments Bonds Proceeds</t>
  </si>
  <si>
    <t>13.1.6 Governments Securities Proceeds</t>
  </si>
  <si>
    <t>13.1.7 Government's IMF Operating Accounts</t>
  </si>
  <si>
    <t>13.1.8 Government of St Kitts Banking Sector Res Fund</t>
  </si>
  <si>
    <t>13.1.9 Government Pharmaceutical Purchase Accounts (OECS/PPS)</t>
  </si>
  <si>
    <t>13.1.10 Accrued Interest on Government Deposits</t>
  </si>
  <si>
    <t>13.2 Local Government Deposits</t>
  </si>
  <si>
    <t>13.2.2 Local Government Fixed Deposits</t>
  </si>
  <si>
    <t>13.2.1 Local Government Operating Accounts</t>
  </si>
  <si>
    <t>13.2.3 Accrued Interest on Local Government Fixed Deposits</t>
  </si>
  <si>
    <t>13.2.4 Accrued Interest on Local Government Operating Accounts</t>
  </si>
  <si>
    <t>14.1 Statutory Bodies Operating Accounts</t>
  </si>
  <si>
    <t>14.2 Statutory Bodies Call Accounts</t>
  </si>
  <si>
    <t>14.5 Accrued Interest on Statutory Bodies Call Accounts</t>
  </si>
  <si>
    <t>15.1 IMF Participating Governments' No 1 Current Account</t>
  </si>
  <si>
    <t>15.2 IMF Participating Governments' No 2 Current Account</t>
  </si>
  <si>
    <t xml:space="preserve">    Electricity or Gas or Steam and Air                   Conditioning</t>
  </si>
  <si>
    <t>RGSM</t>
  </si>
  <si>
    <t>Non-RGSM</t>
  </si>
  <si>
    <t>ECSE Listed</t>
  </si>
  <si>
    <t>Global Investments -</t>
  </si>
  <si>
    <t>RGSM -</t>
  </si>
  <si>
    <t>CIP</t>
  </si>
  <si>
    <t>Global Investments</t>
  </si>
  <si>
    <t>GLOBAL INVESTMENTS</t>
  </si>
  <si>
    <t>FCIS -</t>
  </si>
  <si>
    <t>Bilateral:</t>
  </si>
  <si>
    <t>Multilateral:</t>
  </si>
  <si>
    <t>CDB Loans:</t>
  </si>
  <si>
    <t>CDB:</t>
  </si>
  <si>
    <t>Quantity            (dozens)</t>
  </si>
  <si>
    <t>Total Imports (c.i.f)</t>
  </si>
  <si>
    <t>(Millions)</t>
  </si>
  <si>
    <t>Source: Department of Agriculture, Fisheries, Food Security and Rural Development</t>
  </si>
  <si>
    <t>*Lionfish species data newly captured by the Department of Agriculture, Fisheries, Food Security and Rural Development</t>
  </si>
  <si>
    <t>GALLONS (Millions)</t>
  </si>
  <si>
    <t>REVENUE (EC$ Millions)</t>
  </si>
  <si>
    <t>CONSUMER PRICE INDEX</t>
  </si>
  <si>
    <t>(In thousands of Eastern Caribbean Dollars)</t>
  </si>
  <si>
    <t>TABLE 58</t>
  </si>
  <si>
    <t xml:space="preserve"> (EC$ Millions) </t>
  </si>
  <si>
    <t>2022r</t>
  </si>
  <si>
    <t>2023pre</t>
  </si>
  <si>
    <t>Change in 2023</t>
  </si>
  <si>
    <t>% Change (2023/2022)</t>
  </si>
  <si>
    <t>TOTAL 2023pre</t>
  </si>
  <si>
    <t>% Change in 2023/24</t>
  </si>
  <si>
    <t>2022/23r</t>
  </si>
  <si>
    <t>2023/24 YEO</t>
  </si>
  <si>
    <t xml:space="preserve">2023/2022 Change </t>
  </si>
  <si>
    <t>AS AT DECEMBER 31, 2023</t>
  </si>
  <si>
    <t xml:space="preserve">                                                                                                   as at December 31, 2023                                                                                                              </t>
  </si>
  <si>
    <t>as at December 31, 2023</t>
  </si>
  <si>
    <t>% change (2023/2022)</t>
  </si>
  <si>
    <t>2022/23</t>
  </si>
  <si>
    <t xml:space="preserve">2022/23 </t>
  </si>
  <si>
    <t>Health &amp; Citizen Security Levy</t>
  </si>
  <si>
    <t>Kilowatt hours (kWh) Millions</t>
  </si>
  <si>
    <t>Share of Total Sales 2023</t>
  </si>
  <si>
    <t>CDF</t>
  </si>
  <si>
    <t xml:space="preserve">        - Loan #1 ECD$81.0 M)- FCIB Refinanced</t>
  </si>
  <si>
    <t xml:space="preserve">        - Loan #2 ECD$73.0 M)- FCIB Refinanced</t>
  </si>
  <si>
    <t xml:space="preserve">   EC$15 Million Loan (#422263) INSTL2</t>
  </si>
  <si>
    <t xml:space="preserve">   EC$32.603M Loan (#422700) INSTL3</t>
  </si>
  <si>
    <t xml:space="preserve"> 2014/2029 LCG150729  (ECD50M)</t>
  </si>
  <si>
    <t xml:space="preserve"> 2014/2024 LCG101124 (ECD35M)</t>
  </si>
  <si>
    <t xml:space="preserve">        2018/2028 LCG100828  (ECD$80M)</t>
  </si>
  <si>
    <t xml:space="preserve">        2018/2025 LCG070425 (ECD$20M)</t>
  </si>
  <si>
    <t xml:space="preserve">        2018/2026 LCG080826 (ECD50M)</t>
  </si>
  <si>
    <t xml:space="preserve">        2020/2028 LCG080328 (ECD$50M)</t>
  </si>
  <si>
    <t xml:space="preserve">        2022/2032 LCG100332 (ECD10M)</t>
  </si>
  <si>
    <t xml:space="preserve">        2019/2026 LCG071026 (ECD17.1M) (Amortized)</t>
  </si>
  <si>
    <t xml:space="preserve">        2022/2032 LCG101232</t>
  </si>
  <si>
    <t xml:space="preserve">        2023/2033 LCG100233 (ECD15M) </t>
  </si>
  <si>
    <t xml:space="preserve">        2019/2025 LCG060325 (ECD20M)</t>
  </si>
  <si>
    <t xml:space="preserve">        2013/2020 LCG070327 (ECD17M)</t>
  </si>
  <si>
    <t xml:space="preserve">        2021/2028 LCG070728 (ECD23.9M)</t>
  </si>
  <si>
    <t xml:space="preserve">        2019/2025 LCG061025 (ECD19.34M) (Amortized)</t>
  </si>
  <si>
    <t xml:space="preserve">        2014/2024 LCG100524 (ECD29M) Amortized 50%)</t>
  </si>
  <si>
    <t xml:space="preserve">        2021/2027 FLG061227 (USD7M)</t>
  </si>
  <si>
    <t xml:space="preserve">        2022/2028 FLG060228 (USD20M)</t>
  </si>
  <si>
    <t xml:space="preserve">        2016/2026 LCG100226 (ECD25M)</t>
  </si>
  <si>
    <t xml:space="preserve">        2017/2024 LCG071124 (ECD16.54M)</t>
  </si>
  <si>
    <t xml:space="preserve">        2017/2027 LCG101027 (ECD16.037M)</t>
  </si>
  <si>
    <t xml:space="preserve">        2018/2028 LCG100128 EC$13M</t>
  </si>
  <si>
    <t xml:space="preserve">        2019/2026 FLG070726 USD$7M</t>
  </si>
  <si>
    <t xml:space="preserve">        2019/2024  LCG050824 EC$17M </t>
  </si>
  <si>
    <t xml:space="preserve">        2019/2026  LCG070926 EC$15M </t>
  </si>
  <si>
    <t xml:space="preserve">        2019/2029 LCG101129 (EC$31.095M )</t>
  </si>
  <si>
    <t xml:space="preserve">        2022/2028 FLG060328 (USD5.9)</t>
  </si>
  <si>
    <t>2023/2033  GOSLPP180833</t>
  </si>
  <si>
    <t>18/08/2023 - 18/08/2033</t>
  </si>
  <si>
    <t xml:space="preserve"> 2016/2024 FCIS Pri Plt LCG080924 ECD16M</t>
  </si>
  <si>
    <t>2017/2032 ECFH EC$10M 15-Year Bond (Amortized) (Civil service Credit union) GOSLPP220932</t>
  </si>
  <si>
    <t>2023/2031 GOSLPP090631</t>
  </si>
  <si>
    <t>09/06/2023 - 09/06/0231</t>
  </si>
  <si>
    <t>2023/2033 FCIS EC$5M 10YR Bond</t>
  </si>
  <si>
    <t>04/09/2023 - 04/09/2033</t>
  </si>
  <si>
    <t>2023/2031 FCIS USD 8YR Bond</t>
  </si>
  <si>
    <t>04/09/2023 - 04/09/2031</t>
  </si>
  <si>
    <t>2023/2028 GOSL300928 (Stonefield Estates Limited) amortized</t>
  </si>
  <si>
    <t>30/09/2023 - 30/09/2028</t>
  </si>
  <si>
    <t xml:space="preserve">        2020/2025 LCN081225 (ECD25M) (Amortized)</t>
  </si>
  <si>
    <t xml:space="preserve">        2023/2025 LCN250725 EC$12.9M 2yr Note</t>
  </si>
  <si>
    <t xml:space="preserve">      7/25/2023 - 7/25/2025</t>
  </si>
  <si>
    <t xml:space="preserve">       2020/2025 LCN210825</t>
  </si>
  <si>
    <t>2023/2025 GOSLPP160325 USD 2yr Note</t>
  </si>
  <si>
    <t>16/03/2023 - 16/03/2025</t>
  </si>
  <si>
    <t xml:space="preserve"> 2022/2024 GOSLPP190724 2yr Note</t>
  </si>
  <si>
    <t>2023/2025 GOSLPP180725 USD 2yr Note</t>
  </si>
  <si>
    <t>18/07/2023 - 18/7/2025</t>
  </si>
  <si>
    <t>2023/2025 GOSLPP260525 2yr Note</t>
  </si>
  <si>
    <t>26/5/2023 - 26/5/2025</t>
  </si>
  <si>
    <t>2023/2025 GOSLPP120725 ECD 2YR Note</t>
  </si>
  <si>
    <t>12/7/2023 - 12/7/2025</t>
  </si>
  <si>
    <t xml:space="preserve">2023/2025 GOSLPP280125 18MTH Note </t>
  </si>
  <si>
    <t>28/7/2023 - 28/01/2025</t>
  </si>
  <si>
    <t>2023/2028 GOSLPP020728 5YR NOTE</t>
  </si>
  <si>
    <t>02/07/2023 - 02/07/2028</t>
  </si>
  <si>
    <t>2023/2028 GOSLPP020728A 5YR NOTE</t>
  </si>
  <si>
    <t>2023/2028 GOSLPP301228 5yr Note</t>
  </si>
  <si>
    <t>30/12/2023 - 30/12/2028</t>
  </si>
  <si>
    <t>2023/2025  GOSLPP170125 2YR Note</t>
  </si>
  <si>
    <t>1/17/2023 - 1/17/2025</t>
  </si>
  <si>
    <t>2023/2025 GOSLPP080225 2yr Note</t>
  </si>
  <si>
    <t>2/8/2023 - 2/8/2025</t>
  </si>
  <si>
    <t>2023/2025 GOSLPP230225 2yr Note</t>
  </si>
  <si>
    <t>2/23/2023 - 2/23/2025</t>
  </si>
  <si>
    <t>2023/2025 GOSLPP250225A 2yr Note</t>
  </si>
  <si>
    <t>2/25/2023 - 2/25/2025</t>
  </si>
  <si>
    <t>2023/2025 GOSLPP250225B 2yr Note</t>
  </si>
  <si>
    <t xml:space="preserve">    25/03/2022 - 25/03/2024</t>
  </si>
  <si>
    <t>2023/2025  GOSLPP240425 EC$4.0M 4.5%  2YR Bond</t>
  </si>
  <si>
    <t>24/04/2023 - 24/04/2025</t>
  </si>
  <si>
    <t>06/07/2023 - 06/07/2026</t>
  </si>
  <si>
    <t>2023/2024 FCIS 1YR Private Note</t>
  </si>
  <si>
    <t>04/07/2023 - 04/07/2024</t>
  </si>
  <si>
    <t>2021/2024 GOSL060924 3yr Note (amortized)</t>
  </si>
  <si>
    <t>2022/2027  GOSL150927 (amortized)</t>
  </si>
  <si>
    <t xml:space="preserve">        GOSLPP250924A 1yr 4.00% Tbill</t>
  </si>
  <si>
    <t xml:space="preserve"> 25/09/23 - 25/09/2024</t>
  </si>
  <si>
    <t xml:space="preserve">        GOSLPP260824A (1 Year) </t>
  </si>
  <si>
    <t>26/8/2023 - 26/8/2024</t>
  </si>
  <si>
    <t>10/12/2023-09/12/2024</t>
  </si>
  <si>
    <t xml:space="preserve">        GOSLPP070224 - EC$4.3M 1yr 4% Tbill</t>
  </si>
  <si>
    <t>07/02/2023 - 07/02/2024</t>
  </si>
  <si>
    <t xml:space="preserve">        GOSLPP170124 EC$12.117M 1YR 4% TBILL</t>
  </si>
  <si>
    <t>17/01/2023-17/01/2024</t>
  </si>
  <si>
    <t xml:space="preserve">        GOSLPP220224- US$3.9  Day 4% Tbill</t>
  </si>
  <si>
    <t>22/02/2023-22/02/2024</t>
  </si>
  <si>
    <t xml:space="preserve">        GOSLPP020524A - EC$23.019M 365 DAY 4% TBILL</t>
  </si>
  <si>
    <t>02/05/2023 - 02/05/2024</t>
  </si>
  <si>
    <t xml:space="preserve">        GOSLPP050624A - EC 1YR 4% TBILL</t>
  </si>
  <si>
    <t>05/06/2023 - 05/06/2024</t>
  </si>
  <si>
    <t xml:space="preserve">        GOSLPP040624A - EC$9M 1YEAR 4% TBILL</t>
  </si>
  <si>
    <t>04/06/2023 - 04/06/2024</t>
  </si>
  <si>
    <t xml:space="preserve">        GOSLPP180524 EC 180 day TBILL</t>
  </si>
  <si>
    <t>20/11/2023 - 18/05/2024</t>
  </si>
  <si>
    <t xml:space="preserve">        GOSLPP180724A -US$3.3M 1yr 4.00% Tbill</t>
  </si>
  <si>
    <t>18/07/2023 - 18/07/2024</t>
  </si>
  <si>
    <t xml:space="preserve">        GOSLPP030724 EC4M 1yr 4.00% Tbill</t>
  </si>
  <si>
    <t>03/07/2023 - 03/07/2024</t>
  </si>
  <si>
    <t xml:space="preserve">        GOSLPP260524 EC 1yr Tbill</t>
  </si>
  <si>
    <t>26/05/2023 - 26/05/2024</t>
  </si>
  <si>
    <t xml:space="preserve">        GOSLPP160324 4.00% 1YR Tbill</t>
  </si>
  <si>
    <t>16/03/2023-16/03/2024</t>
  </si>
  <si>
    <t xml:space="preserve">        FCIS EC$25M 3.00% 91 Day Tbill</t>
  </si>
  <si>
    <t>22/12/2023- 22/03/2024</t>
  </si>
  <si>
    <t xml:space="preserve">        GOSLPP260124 91 day Tbill</t>
  </si>
  <si>
    <t>27/10/2023 - 26/01/2024</t>
  </si>
  <si>
    <t xml:space="preserve">        GOSLPP111223 180 day 4.50% Tbill</t>
  </si>
  <si>
    <t>14/06/2023 - 11/12/2023</t>
  </si>
  <si>
    <t xml:space="preserve">        GOSLPP271023 180 day 4.50% Tbill</t>
  </si>
  <si>
    <t>30/04/2023 - 27/10/2023</t>
  </si>
  <si>
    <t xml:space="preserve">       LCB140224- EC 91 day 2.00% Tbill</t>
  </si>
  <si>
    <t>15/11/2023 - 14/02/2024</t>
  </si>
  <si>
    <t xml:space="preserve">       LCB160124 - EC 180 Day 3.5% Tbill</t>
  </si>
  <si>
    <t>20/07/2023 - 16/01/2024</t>
  </si>
  <si>
    <t xml:space="preserve">       LCB250624 EC 180 day 4.00% Tbill</t>
  </si>
  <si>
    <t>25/12/2023 - 25/06/2024</t>
  </si>
  <si>
    <t xml:space="preserve">       LCB1510423 - EC 180 Day 2.02% Tbill</t>
  </si>
  <si>
    <t>18/04/2023 - 15/10/2023</t>
  </si>
  <si>
    <t xml:space="preserve">      LCB060224 (EC$30Million) (180 days) 2% Tbill</t>
  </si>
  <si>
    <t>10/08/2023 - 06/02/2024</t>
  </si>
  <si>
    <t xml:space="preserve">       (b) -SLASPA- Project at Hewanorra &amp; GFL Charles Airport (Loan2)</t>
  </si>
  <si>
    <t xml:space="preserve">       (c)-SLASPA HIA Redevelopment Project Syndicated Loan </t>
  </si>
  <si>
    <t>(f)  Invest St Lucia</t>
  </si>
  <si>
    <t xml:space="preserve">© Millenium Heights Medical Complex </t>
  </si>
  <si>
    <t xml:space="preserve">              - Government of St. Kitts &amp; Nevis 10YR ECD5.4M  (Amortized)</t>
  </si>
  <si>
    <t xml:space="preserve">      2014/2029 LCG150729  (ECD50M)</t>
  </si>
  <si>
    <t xml:space="preserve">      2014/2024 LCG101124 (ECD35M)</t>
  </si>
  <si>
    <t xml:space="preserve">             2018/2028 LCG100828 (ECD$80M)</t>
  </si>
  <si>
    <t xml:space="preserve">             2018/2025 LCG070425 (ECD$20M)</t>
  </si>
  <si>
    <t xml:space="preserve">             2018/2020 LCG080826 (ECD50M)</t>
  </si>
  <si>
    <t xml:space="preserve">             2020/2028 LCG080328 (ECD$50M)</t>
  </si>
  <si>
    <t xml:space="preserve">             2022/2032 LCG100332 (ECD10M)</t>
  </si>
  <si>
    <t xml:space="preserve">             2019/2026 LCG071026 EC$17.1M 7YR Bond (Amortized)</t>
  </si>
  <si>
    <t xml:space="preserve">             2012/2016 LCG101232 (ECD 7M)</t>
  </si>
  <si>
    <t xml:space="preserve">             2023/2033 LCG100233 (ECD15M)      </t>
  </si>
  <si>
    <t xml:space="preserve">             2019/2025 LCG060325 (ECD25M)</t>
  </si>
  <si>
    <t xml:space="preserve">             2013/2020 LCG070327 (ECD17M)</t>
  </si>
  <si>
    <t xml:space="preserve">             2021/2028 LCG070728 (ECD23.9M)</t>
  </si>
  <si>
    <t xml:space="preserve">             2019/2025 LCG061025 EC$19.34M 6YR Bond (Amortized)</t>
  </si>
  <si>
    <t xml:space="preserve">             2014/2024 LCG100524 (ECD29M) Amortized)</t>
  </si>
  <si>
    <t xml:space="preserve">             2021/2027 FLG061227 (USD7M)</t>
  </si>
  <si>
    <t xml:space="preserve">             2022/2028 FLG060228 (USD20M)</t>
  </si>
  <si>
    <t xml:space="preserve">             2016/2026 LCG100226 (ECD25M)</t>
  </si>
  <si>
    <t xml:space="preserve">             2022/2028 FLG060328 (USD5.9)</t>
  </si>
  <si>
    <t xml:space="preserve">             2017/2024 FLG071024 (USD2.680M)</t>
  </si>
  <si>
    <t xml:space="preserve">             2017/2024 LCG071124 (ECD16.54M)</t>
  </si>
  <si>
    <t xml:space="preserve">             2017/2027 LCG101027 (ECD16.037M)</t>
  </si>
  <si>
    <t xml:space="preserve">             2018/2028 LCG100128 EC$13M</t>
  </si>
  <si>
    <t xml:space="preserve">             2019/2026 FLG070726 USD$7M</t>
  </si>
  <si>
    <t xml:space="preserve">             2019/2024  LCG050824 EC$17M </t>
  </si>
  <si>
    <t xml:space="preserve">             2019/2026  LCG070926 EC$15M </t>
  </si>
  <si>
    <t xml:space="preserve">             2019/2029 LCG101129 EC$31.095M 10YR Bond</t>
  </si>
  <si>
    <t>2023/2031 FLG08631 8yr Private USD40M Bond</t>
  </si>
  <si>
    <t>SOFR+3.5%</t>
  </si>
  <si>
    <t xml:space="preserve">2020/2025  CIP Lourens De Wet </t>
  </si>
  <si>
    <t>2021/20206 CIP Chengyu Wu</t>
  </si>
  <si>
    <t>2021/2028  CIP Sergey Mikhailovich</t>
  </si>
  <si>
    <t xml:space="preserve">2020/2025 CIP  Tony El Hage </t>
  </si>
  <si>
    <t xml:space="preserve">2021/2026 CIP  Alexey Victorovich Streletsky </t>
  </si>
  <si>
    <t>2021/2028 CIP  Andrei Gennadievich Bronnikov</t>
  </si>
  <si>
    <t xml:space="preserve">2021/20226 CIP Jonathan Labarre </t>
  </si>
  <si>
    <t xml:space="preserve">2021/2027 CIP - Elizabeth Owen Westveer </t>
  </si>
  <si>
    <t xml:space="preserve">2021/2027 CIP - Chun-Han Chang </t>
  </si>
  <si>
    <t xml:space="preserve">2021/2026 CIP - Vanessa Kathleen Mackinnon </t>
  </si>
  <si>
    <t>2021/2028 CIP - Savio Xavier Gomez US$0.25M 7 YR Bond</t>
  </si>
  <si>
    <t>2022/2029 CIP -Min Zhang</t>
  </si>
  <si>
    <t>2022/2027 CIP -Jing Li</t>
  </si>
  <si>
    <t>2022/2027 CIP - Maosen Zhi</t>
  </si>
  <si>
    <t>2023/2029 CIP Qiao Zhan</t>
  </si>
  <si>
    <t>2023/2029 CIP Marcel Silva E Sousa</t>
  </si>
  <si>
    <t>2023/2030 CIP Kendrick Ngo Trajano</t>
  </si>
  <si>
    <t>2023/2030 CIP Juan Sabino Padilla Lizares</t>
  </si>
  <si>
    <t>2022/2029 Liam Han</t>
  </si>
  <si>
    <t>2022/2027 David Collin Anderson</t>
  </si>
  <si>
    <t>2022/2029 Glenn Page</t>
  </si>
  <si>
    <t>2022/2029 SYED ARSALAN MUSTAFA  </t>
  </si>
  <si>
    <t>2022/2029  Hui-Ting Chiang</t>
  </si>
  <si>
    <t>2022/2029  Aleksandr Sergeevich GudKov</t>
  </si>
  <si>
    <t>2022/2029  Yu-Ting Wang</t>
  </si>
  <si>
    <t>2022/2027  Yung-Chang Ma</t>
  </si>
  <si>
    <t>2022/2029  Ziyang Zhao</t>
  </si>
  <si>
    <t>2022/2029  Julian Brett Van Zuydam</t>
  </si>
  <si>
    <t>2022/2029 Fenglei Zhu</t>
  </si>
  <si>
    <t>2022/2027 Hung Tan</t>
  </si>
  <si>
    <t>2022/2029 Hongwei Li</t>
  </si>
  <si>
    <t>2022/2029 Dmitrii Rodin</t>
  </si>
  <si>
    <t>2022/2027 He Ma</t>
  </si>
  <si>
    <t>2022/2027 Marc Thomas Zboch</t>
  </si>
  <si>
    <t>2022/2029 Joshua Battino</t>
  </si>
  <si>
    <t>2022/2029 Xiaoliang Li</t>
  </si>
  <si>
    <t>2023/2028 Scott Park Moffat</t>
  </si>
  <si>
    <t xml:space="preserve">2023/2030  Xiaosu Tian </t>
  </si>
  <si>
    <t>2023/2030 Pradeep Loganathan</t>
  </si>
  <si>
    <t>2023/2028 Amy Ruth Lee Tiu</t>
  </si>
  <si>
    <t>2023/2028  Albert Reyes Pe</t>
  </si>
  <si>
    <t>2023/2028  Remington Lee Tiu</t>
  </si>
  <si>
    <t xml:space="preserve">2023/2028 Wan-Chien Wu </t>
  </si>
  <si>
    <t xml:space="preserve">2023/2028 Ming-Chin Tsai </t>
  </si>
  <si>
    <t>2023/2029 Wenqi Zheng</t>
  </si>
  <si>
    <t>2023/2030 Chin-Wei Lin</t>
  </si>
  <si>
    <t>2023/2030  Hui Xiang</t>
  </si>
  <si>
    <t>2023/2030 Wei-Te Tang</t>
  </si>
  <si>
    <t>2023/2030 Gino Paulo De Guzman Mah</t>
  </si>
  <si>
    <t>2023/2028 Johann Gordon Epstein</t>
  </si>
  <si>
    <t xml:space="preserve">2023/2029 Weiran Zhang </t>
  </si>
  <si>
    <t>2023/2028 Tristan Nenne Sjoberg</t>
  </si>
  <si>
    <t xml:space="preserve">2023/2028 Yi-Ming Wang </t>
  </si>
  <si>
    <t>2023/2030 James Arthur Gilpin</t>
  </si>
  <si>
    <t>2023/2028 Hoi Tak Raymond Lam</t>
  </si>
  <si>
    <t>2023/2028 Chao-Fen Chen</t>
  </si>
  <si>
    <t>2023/2028  Yen-Gen Chang</t>
  </si>
  <si>
    <t>2023/2023 Zhiping Xiao</t>
  </si>
  <si>
    <t>2023/2029 Pei-Feng Tsai</t>
  </si>
  <si>
    <t>2023/2028 Xudong Liu</t>
  </si>
  <si>
    <t>2023/2028 Philip George Eykamp</t>
  </si>
  <si>
    <t>2023/2030 Chin-Chung Hou</t>
  </si>
  <si>
    <t>2023/2029 William Douglas Banks</t>
  </si>
  <si>
    <t>2023/2030 Jun Ho Lee</t>
  </si>
  <si>
    <t>2023/2030 Cheng-Lun Chou</t>
  </si>
  <si>
    <t>2023/2029 Antonio Stephan Chan</t>
  </si>
  <si>
    <t xml:space="preserve">2023/2028 Raquelina Tiu Ngo </t>
  </si>
  <si>
    <t xml:space="preserve">2023/2028 Joeana Herny Arijanti </t>
  </si>
  <si>
    <t>2023/2029 James Patrick Ryan</t>
  </si>
  <si>
    <t xml:space="preserve">2023/2028 Lili Han </t>
  </si>
  <si>
    <t>2023/2030 Yen-Yu Chen</t>
  </si>
  <si>
    <t>2023/2029 Alexey Yurievich Churakov</t>
  </si>
  <si>
    <t>2023/2030 Roxanne Marie Rostant-Baksh</t>
  </si>
  <si>
    <t>2023/2028 Yao-Yu Wu</t>
  </si>
  <si>
    <t>2023/20230 Min-Chi Yang</t>
  </si>
  <si>
    <t>2023/2030 Yu-Han Cheng</t>
  </si>
  <si>
    <t>2023/2029 Tsung-Ming Wu</t>
  </si>
  <si>
    <t>2023/2028 Chen-Hsien Hsieh</t>
  </si>
  <si>
    <t>2023/2028  Paul William Eykamp</t>
  </si>
  <si>
    <t xml:space="preserve">2023/2028  Hsu-Ping Peng </t>
  </si>
  <si>
    <t>2023/2029 Xiao Qing Dai</t>
  </si>
  <si>
    <t>2023/2030 Christopher Kevin Kete</t>
  </si>
  <si>
    <t>2023/2025 LCN250725 EC$12.9M 2yr Note</t>
  </si>
  <si>
    <t>2025/2025 GOSLPP180725 USD 2yr Note</t>
  </si>
  <si>
    <t xml:space="preserve">2023/2024 GOSLPP280125 </t>
  </si>
  <si>
    <t>28/7/2025 - 28/01/2025</t>
  </si>
  <si>
    <t>2023/202025 FCIS Pri. ECD2M 2yr 5% Note</t>
  </si>
  <si>
    <t>21/4/2023 - 21/4/2025</t>
  </si>
  <si>
    <t>2022/2025 FCIS EC$5M 2YR Note (SKNB)</t>
  </si>
  <si>
    <t>22/05/2022 - 22/05/2024</t>
  </si>
  <si>
    <t>2023/2026 FCIS 3yr 5.50% Note</t>
  </si>
  <si>
    <t>LCB140224- EC 91 day 2.00% Tbill</t>
  </si>
  <si>
    <t>LCB060224 (EC$30Million) (180 days) 2% Tbill</t>
  </si>
  <si>
    <t>LCB160124 - EC 180 Day 3.5% Tbill</t>
  </si>
  <si>
    <t>LCB140424 - EC 180 Day 4% Tbill</t>
  </si>
  <si>
    <t>17/10/2023 - 14/04/2024</t>
  </si>
  <si>
    <t>LCB200224 - EC  91 Day 2.0% Tbill</t>
  </si>
  <si>
    <t>21/11/2023 - 20/02/2024</t>
  </si>
  <si>
    <t>LCB250624 EC 180 day 4.00% Tbill</t>
  </si>
  <si>
    <t xml:space="preserve">          GOSLPP250924A 1yr 4.00% Tbill</t>
  </si>
  <si>
    <t xml:space="preserve">          GOSLPP260824A (1 Year) </t>
  </si>
  <si>
    <t xml:space="preserve">          GOSLPP160324 4.00% 1YR Tbill</t>
  </si>
  <si>
    <t xml:space="preserve">     16/03/2023-16/03/2024</t>
  </si>
  <si>
    <t xml:space="preserve">          GOSLPP180724A -US$3.3M 1yr 4.00% Tbill</t>
  </si>
  <si>
    <t xml:space="preserve">          GOSLPP091224 1 year USD 3.9M 4.00%</t>
  </si>
  <si>
    <t xml:space="preserve">          GOSLPP020524A - EC$23.019M 365 DAY 4% TBILL</t>
  </si>
  <si>
    <t xml:space="preserve">          GOSLPP070224 - EC$4.3M 1yr 4% Tbill</t>
  </si>
  <si>
    <t xml:space="preserve">          GOSLPP070224A - EC$ 10M 4% 1YR TBILL</t>
  </si>
  <si>
    <t xml:space="preserve">          GOSLPP170124 EC$12.117M 1YR 4% TBILL</t>
  </si>
  <si>
    <t>17/01/2023 -17/01/2024</t>
  </si>
  <si>
    <t xml:space="preserve">          GOSLPP220224- US$3.9  Day 4% Tbill</t>
  </si>
  <si>
    <t xml:space="preserve">          GOSLPP040624A - EC$9M 1YEAR 4% TBILL</t>
  </si>
  <si>
    <t xml:space="preserve">          GOSLPP180524 EC 180 day TBILL</t>
  </si>
  <si>
    <t xml:space="preserve">          GOSLPP050624A- EC 1YR 4% TBILL</t>
  </si>
  <si>
    <t xml:space="preserve">          GOSLPP030324 - EC$5M 91 day 2.50% Tbill</t>
  </si>
  <si>
    <t>03/12/2023 - 03/03/2024</t>
  </si>
  <si>
    <t xml:space="preserve">          GOSLPP030724 EC4M 1yr 4.00% Tbill</t>
  </si>
  <si>
    <t xml:space="preserve">          GOSLPP260523 EC 1yr Tbill</t>
  </si>
  <si>
    <t xml:space="preserve">          GOSLPP260124 91 day Tbill</t>
  </si>
  <si>
    <t>FCIS EC$25M 3.00% 91 Day Tbill</t>
  </si>
  <si>
    <t>Rehabilitation of Tertiary Roads  ( 2003050)</t>
  </si>
  <si>
    <t>CLC 3000 02 A 1</t>
  </si>
  <si>
    <t>CLC 3000 02 A 2</t>
  </si>
  <si>
    <t>CLC 3000 02 A 3</t>
  </si>
  <si>
    <t xml:space="preserve">             Concessional Loan Facility</t>
  </si>
  <si>
    <t>SOFR + 1.0%</t>
  </si>
  <si>
    <t>SOFR + 1.5%</t>
  </si>
  <si>
    <t>National Development Projects - Loan # 6021840007</t>
  </si>
  <si>
    <t>SOFR +1.7%</t>
  </si>
  <si>
    <t>Loan # 6021840008</t>
  </si>
  <si>
    <t>SOFR+0.2%+1.25%</t>
  </si>
  <si>
    <t>Coronavirus Disease 2019 Emergency Response Support Loan</t>
  </si>
  <si>
    <t>Safety Nets for Vulnerable Poplulations Affected by Coronavirus-Saint Lucia Project</t>
  </si>
  <si>
    <t>61/SFR-OR-STL</t>
  </si>
  <si>
    <t>Saint Lucia MSME Loan-Grant Facility</t>
  </si>
  <si>
    <t>62/SFR-OR-STL</t>
  </si>
  <si>
    <t>St Lucia Youth Economy Project</t>
  </si>
  <si>
    <t>66/SFR-OR-STL</t>
  </si>
  <si>
    <t>IDB LOC Building Capacity and Resilience in The Health Sec</t>
  </si>
  <si>
    <t>63/SFR-OR-STL</t>
  </si>
  <si>
    <t>International Monetary Fund</t>
  </si>
  <si>
    <t xml:space="preserve">                  HIV/AIDS Prevention &amp; Control</t>
  </si>
  <si>
    <t xml:space="preserve">                  Water Supply Infrastructure Improvement Project</t>
  </si>
  <si>
    <t xml:space="preserve">                  Telecom &amp; Information &amp; Communication Tech. Dev Project</t>
  </si>
  <si>
    <t xml:space="preserve">                 OECS Catastrophe Insurance Project</t>
  </si>
  <si>
    <t xml:space="preserve">                 OECS Skills for Inclusive Growth</t>
  </si>
  <si>
    <t xml:space="preserve">               OECS E-Gov't for Regional Integration Programme- APL</t>
  </si>
  <si>
    <t xml:space="preserve">                Economic and Social Development Policy Loan</t>
  </si>
  <si>
    <t xml:space="preserve">               Caribbean Regional Communications Infrastructure Program</t>
  </si>
  <si>
    <t xml:space="preserve">              Saint Lucia Hurricane Tomas Emergency Recovery Loan</t>
  </si>
  <si>
    <t xml:space="preserve">             Eastern Caribbean Energy Regulatory Authority (ECDERA)</t>
  </si>
  <si>
    <t xml:space="preserve">             Saint Lucia Disaster Vulnerability Reduction Project</t>
  </si>
  <si>
    <t xml:space="preserve">                  -IDA</t>
  </si>
  <si>
    <t xml:space="preserve">           Saint Lucia Health System Strengthening Project</t>
  </si>
  <si>
    <t xml:space="preserve">         OECS Regional Tourism Competitiveness</t>
  </si>
  <si>
    <t xml:space="preserve">         OECS MSME Guarantee Facility Project</t>
  </si>
  <si>
    <t xml:space="preserve">         OECS Regional Health Project</t>
  </si>
  <si>
    <t xml:space="preserve">                                                 IDA</t>
  </si>
  <si>
    <t xml:space="preserve">                                                IDA</t>
  </si>
  <si>
    <t>Unleashing the Blue Economy of the Caribbean (UBEC)</t>
  </si>
  <si>
    <t xml:space="preserve">       Industrial Estate VIII                                       </t>
  </si>
  <si>
    <t xml:space="preserve">                                                                               (CSDRMS 1991033)</t>
  </si>
  <si>
    <t xml:space="preserve">         Consolidated Line of Credit (10000-Equity &amp; Reserves)  (CSDRMS 2011032 T2)           </t>
  </si>
  <si>
    <t xml:space="preserve">                       (CSDRMS 2011032 T1)                                                    </t>
  </si>
  <si>
    <t xml:space="preserve">         UWI Open Campus Development Project     (CSDRMS 2014008 T1)</t>
  </si>
  <si>
    <t xml:space="preserve">         UWI OC Development Project   (CSDRMS 2014008 T2)</t>
  </si>
  <si>
    <t xml:space="preserve">          Seventh Water (John Compton Dam Rehabilitation) Project (CSDRMS 2016099) T2</t>
  </si>
  <si>
    <t xml:space="preserve">       GOSLPP091224 1 year USD 3.9M 4.00%</t>
  </si>
  <si>
    <t>Grenada</t>
  </si>
  <si>
    <t>Total Debt Service</t>
  </si>
  <si>
    <t>Prinicipal Repayments</t>
  </si>
  <si>
    <t>TABLE 39J</t>
  </si>
  <si>
    <t>Share          Dec-2023</t>
  </si>
  <si>
    <t xml:space="preserve">*Computed for the fiscal years based on the latest available calendar year GDP series from the Central Statistical Office up to 2023 and projections for 2024. </t>
  </si>
  <si>
    <t>other imports</t>
  </si>
  <si>
    <t xml:space="preserve"> 2022/23r</t>
  </si>
  <si>
    <t>Airport Service Charge</t>
  </si>
  <si>
    <t xml:space="preserve">Customs Service Charge (imports) </t>
  </si>
  <si>
    <t>*The QGDP tables provide 2023 estimates of annual GDP growth rates in current and constant prices, by summing the regressed results that are currently available for the four quarters of that year. These QGDP-generated growth rates are only preliminary and are not meant to replace the values that will be subsequently generated through the bona fide Annual GDP (AGDP) compilation exercises, which differs substantially from the QGDP computations by employing, in great part, actual annual sales and other financial data.</t>
  </si>
  <si>
    <t xml:space="preserve"> r= revised;     YEO= year end outlook, based on preliminary actuals up to March 2023 for most line items but up to February 2024 with a projection for March 2024 for others.</t>
  </si>
  <si>
    <t xml:space="preserve">r = revised             YEO= Year End Outlook, based on prleiminary actuals up to Febraury 2024 and a projection for March 2024.  </t>
  </si>
  <si>
    <t>Housing, Water, Electricity, Gas &amp; Other Fuels</t>
  </si>
  <si>
    <t>Furnishing, Household Equipment and Routine Household Maintenance</t>
  </si>
  <si>
    <t>Working Age Population (15 years+)</t>
  </si>
  <si>
    <t xml:space="preserve">Professional and Other Services, including Real Estate Activities </t>
  </si>
  <si>
    <t xml:space="preserve">      Caribbean Development Fund</t>
  </si>
  <si>
    <t xml:space="preserve">        Village Tourism Initiative Project</t>
  </si>
  <si>
    <t>QGDP tables provide 2023 estimates of annual GDP growth rates in current and constant prices, by summing the regressed results that are currently available for the 4 quarters of that year, these QGDP-generated growth rates are only preliminary and are not meant to replace the values that will be subsequently generated through the bona fide Annual GDP (AGDP) compilation exercises, which differs substantially from the QGDP computations by employing, in great part, actual annual sales and other financial data.</t>
  </si>
  <si>
    <t>Luxury</t>
  </si>
  <si>
    <t>Boutique</t>
  </si>
  <si>
    <t>TOTAL 2022</t>
  </si>
  <si>
    <t>TABLE 59</t>
  </si>
  <si>
    <t xml:space="preserve">r=revised    </t>
  </si>
  <si>
    <r>
      <t xml:space="preserve">     Semi-inclusive hotels</t>
    </r>
    <r>
      <rPr>
        <vertAlign val="superscript"/>
        <sz val="28"/>
        <color theme="1"/>
        <rFont val="Bookman Old Style"/>
        <family val="1"/>
      </rPr>
      <t>1</t>
    </r>
  </si>
  <si>
    <t>Average Hotel Occupancy**</t>
  </si>
  <si>
    <t>($M)</t>
  </si>
  <si>
    <t>(EC$M)</t>
  </si>
  <si>
    <t>N/A</t>
  </si>
  <si>
    <t>CURRENT BALANCE ($M)</t>
  </si>
  <si>
    <t xml:space="preserve">                   - IDA     (CSDRMS 1995020)</t>
  </si>
  <si>
    <t xml:space="preserve">                                           (CSDRMS 2004115)</t>
  </si>
  <si>
    <t>Flood Mitigation                 (CSDRMS 2008030)</t>
  </si>
  <si>
    <t xml:space="preserve">                                                                                         (CSDRMS 2001071)</t>
  </si>
  <si>
    <t xml:space="preserve">                                                                                         (CSDRMS 2003042)</t>
  </si>
  <si>
    <t xml:space="preserve">                                                                                         (CSDRMS 2003041)</t>
  </si>
  <si>
    <t xml:space="preserve">                                                                                         (CSDRMS 2001102)</t>
  </si>
  <si>
    <t>Fifth Water Supply Project                                               (CSDRMS 2001101)</t>
  </si>
  <si>
    <t xml:space="preserve">                                                                                         (CSDRMS 2003060)</t>
  </si>
  <si>
    <t xml:space="preserve">                                                              (CSDRMS 2001052)</t>
  </si>
  <si>
    <t xml:space="preserve">                                                              (CSDRMS 2001204)</t>
  </si>
  <si>
    <t xml:space="preserve">                                                              (CSDRMS 2008029)</t>
  </si>
  <si>
    <t>Landslide Immediate Response            (CSDRMS 2000031)</t>
  </si>
  <si>
    <t>pre = Preliminary</t>
  </si>
  <si>
    <t>Dec-22r</t>
  </si>
  <si>
    <t>Mar-23pre</t>
  </si>
  <si>
    <t>Jun-23pre</t>
  </si>
  <si>
    <t>Sep-23pre</t>
  </si>
  <si>
    <t>Dec-23pre</t>
  </si>
  <si>
    <r>
      <t>Dec-23</t>
    </r>
    <r>
      <rPr>
        <b/>
        <sz val="18"/>
        <rFont val="Bookman Old Style"/>
        <family val="1"/>
      </rPr>
      <t>pre</t>
    </r>
  </si>
  <si>
    <r>
      <t>Jun-23</t>
    </r>
    <r>
      <rPr>
        <b/>
        <sz val="18"/>
        <rFont val="Bookman Old Style"/>
        <family val="1"/>
      </rPr>
      <t>pre</t>
    </r>
  </si>
  <si>
    <r>
      <t>Mar-23</t>
    </r>
    <r>
      <rPr>
        <b/>
        <sz val="18"/>
        <rFont val="Bookman Old Style"/>
        <family val="1"/>
      </rPr>
      <t>pre</t>
    </r>
  </si>
  <si>
    <t>pre=Preliminary</t>
  </si>
  <si>
    <t>pre=Preliminary; R = Revised</t>
  </si>
  <si>
    <t xml:space="preserve">    Private Placement</t>
  </si>
  <si>
    <t xml:space="preserve">Note: See Box 2 on the CSO's Supplementary Note on the LFS results for 2023. </t>
  </si>
  <si>
    <t>** Classifications were amended from 2019. The category now consists of All Inclusives, Luxury and Boutique hotels…...</t>
  </si>
  <si>
    <t>r= revised</t>
  </si>
  <si>
    <t>DETAILED MONETARY SURVEY</t>
  </si>
  <si>
    <t>DETAILED MONETARY SURVEY (Cont'd)</t>
  </si>
  <si>
    <t>DEPOSITS BY INSTITUTIONAL UNITS AND RESIDENCY</t>
  </si>
  <si>
    <t>Pre=Preliminary</t>
  </si>
  <si>
    <t>SUPPLEMENTARY INFORMATION (Cont'd)</t>
  </si>
  <si>
    <t>PRICES OF DIESEL PURCHASED BY LUCELEC ($/IMP. GALS.)</t>
  </si>
  <si>
    <t>date</t>
  </si>
  <si>
    <t>country</t>
  </si>
  <si>
    <t>city</t>
  </si>
  <si>
    <t>browser</t>
  </si>
  <si>
    <t>deviceCategory</t>
  </si>
  <si>
    <t>eventName</t>
  </si>
  <si>
    <t>operatingSystem</t>
  </si>
  <si>
    <t>platform</t>
  </si>
  <si>
    <t>active1DayUsers</t>
  </si>
  <si>
    <t>active28DayUsers</t>
  </si>
  <si>
    <t>active7DayUsers</t>
  </si>
  <si>
    <t>activeUsers</t>
  </si>
  <si>
    <t>bounceRate</t>
  </si>
  <si>
    <t>eventCount</t>
  </si>
  <si>
    <t>eventCountPerUser</t>
  </si>
  <si>
    <t>eventsPerSession</t>
  </si>
  <si>
    <t>newUsers</t>
  </si>
  <si>
    <t>sessions</t>
  </si>
  <si>
    <t>fullPageUrl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</si>
</sst>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7">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_-&quot;$&quot;* #,##0.00_-;\-&quot;$&quot;* #,##0.00_-;_-&quot;$&quot;* &quot;-&quot;??_-;_-@_-"/>
    <numFmt numFmtId="167" formatCode="&quot;£&quot;#,##0.00;[Red]\-&quot;£&quot;#,##0.00"/>
    <numFmt numFmtId="168" formatCode="_-&quot;£&quot;* #,##0.00_-;\-&quot;£&quot;* #,##0.00_-;_-&quot;£&quot;* &quot;-&quot;??_-;_-@_-"/>
    <numFmt numFmtId="169" formatCode="0.00_)"/>
    <numFmt numFmtId="170" formatCode="0.0000"/>
    <numFmt numFmtId="171" formatCode="0.0%"/>
    <numFmt numFmtId="172" formatCode="#,##0.0"/>
    <numFmt numFmtId="173" formatCode="[$$-409]#,##0.00"/>
    <numFmt numFmtId="174" formatCode="_(* #,##0.0_);_(* \(#,##0.0\);_(* &quot;-&quot;??_);_(@_)"/>
    <numFmt numFmtId="175" formatCode="0.0"/>
    <numFmt numFmtId="176" formatCode="_-* #,##0_-;\-* #,##0_-;_-* &quot;-&quot;??_-;_-@_-"/>
    <numFmt numFmtId="177" formatCode="#,##0.000"/>
    <numFmt numFmtId="178" formatCode="_(* #,##0_);_(* \(#,##0\);_(* &quot;-&quot;??_);_(@_)"/>
    <numFmt numFmtId="179" formatCode="#,##0.0_);\(#,##0.0\)"/>
    <numFmt numFmtId="180" formatCode="0.0_)"/>
    <numFmt numFmtId="181" formatCode="0.000"/>
    <numFmt numFmtId="182" formatCode="General;[Red]\-General"/>
    <numFmt numFmtId="183" formatCode="0;[Red]\-0"/>
    <numFmt numFmtId="184" formatCode="#,##0.0000"/>
    <numFmt numFmtId="185" formatCode="#,##0.0000000"/>
    <numFmt numFmtId="186" formatCode="0.0000000"/>
    <numFmt numFmtId="187" formatCode="mmmm\ d\,\ yyyy"/>
    <numFmt numFmtId="188" formatCode="_(* #,##0.00_);_(* \(#,##0.00\);_(* \-??_);_(@_)"/>
    <numFmt numFmtId="189" formatCode="0.0000_)"/>
    <numFmt numFmtId="190" formatCode="#,##0.00000000"/>
    <numFmt numFmtId="191" formatCode="&quot;$&quot;#,##0.0_);[Red]\(&quot;$&quot;#,##0.0\)"/>
    <numFmt numFmtId="192" formatCode="0.000000"/>
    <numFmt numFmtId="193" formatCode="&quot;   &quot;@"/>
    <numFmt numFmtId="194" formatCode="&quot;      &quot;@"/>
    <numFmt numFmtId="195" formatCode="&quot;         &quot;@"/>
    <numFmt numFmtId="196" formatCode="&quot;            &quot;@"/>
    <numFmt numFmtId="197" formatCode="&quot;               &quot;@"/>
    <numFmt numFmtId="198" formatCode="#,##0.0;\-#,##0.0;&quot;--&quot;"/>
    <numFmt numFmtId="199" formatCode="_(* #,##0.00000_);_(* \(#,##0.00000\);_(* &quot;-&quot;??_);_(@_)"/>
    <numFmt numFmtId="200" formatCode="0.00000%"/>
    <numFmt numFmtId="201" formatCode="_-* #,##0.00\ [$€]_-;\-* #,##0.00\ [$€]_-;_-* &quot;-&quot;??\ [$€]_-;_-@_-"/>
    <numFmt numFmtId="202" formatCode="General_)"/>
    <numFmt numFmtId="203" formatCode="#.##000"/>
    <numFmt numFmtId="204" formatCode="d/m/yy\ h:mm\ \a\.m\./\p\.m\."/>
    <numFmt numFmtId="205" formatCode="#,#00"/>
    <numFmt numFmtId="206" formatCode="_-* #,##0.00\ &quot;Pts&quot;_-;\-* #,##0.00\ &quot;Pts&quot;_-;_-* &quot;-&quot;??\ &quot;Pts&quot;_-;_-@_-"/>
    <numFmt numFmtId="207" formatCode="_-* #,##0.00\ _P_t_s_-;\-* #,##0.00\ _P_t_s_-;_-* &quot;-&quot;??\ _P_t_s_-;_-@_-"/>
    <numFmt numFmtId="208" formatCode="_-* #,##0\ _P_t_s_-;\-* #,##0\ _P_t_s_-;_-* &quot;-&quot;\ _P_t_s_-;_-@_-"/>
    <numFmt numFmtId="209" formatCode="_-* #,##0.0000\ _P_t_s_-;\-* #,##0.0000\ _P_t_s_-;_-* &quot;-&quot;\ _P_t_s_-;_-@_-"/>
    <numFmt numFmtId="210" formatCode="#,##0.000;\-#,##0.000"/>
    <numFmt numFmtId="211" formatCode="ddd\ d\-mmm\-yy"/>
    <numFmt numFmtId="212" formatCode="[&gt;=0.05]#,##0.0;[&lt;=-0.05]\-#,##0.0;?0.0"/>
    <numFmt numFmtId="213" formatCode="[&gt;=0.05]\(#,##0.0\);[&lt;=-0.05]\(\-#,##0.0\);?\(\-\-\)"/>
    <numFmt numFmtId="214" formatCode="[&gt;=0.05]\(#,##0.0\);[&lt;=-0.05]\(\-#,##0.0\);\(\-\-\);\(@\)"/>
    <numFmt numFmtId="215" formatCode="[Black]#,##0.0;[Black]\-#,##0.0;;"/>
    <numFmt numFmtId="216" formatCode="[Black][&gt;0.05]#,##0.0;[Black][&lt;-0.05]\-#,##0.0;;"/>
    <numFmt numFmtId="217" formatCode="[Black][&gt;0.5]#,##0;[Black][&lt;-0.5]\-#,##0;;"/>
    <numFmt numFmtId="218" formatCode="%#,#00"/>
    <numFmt numFmtId="219" formatCode="dd\-mmm\-yy_)"/>
    <numFmt numFmtId="220" formatCode="#,##0.000\ _P_t_s;\-#,##0.000\ _P_t_s"/>
    <numFmt numFmtId="221" formatCode="#,##0.0____"/>
    <numFmt numFmtId="222" formatCode="_-* #,##0.000\ _P_t_s_-;\-* #,##0.000\ _P_t_s_-;_-* &quot;-&quot;\ _P_t_s_-;_-@_-"/>
    <numFmt numFmtId="223" formatCode="_-* #,##0.00\ _P_t_a_-;\-* #,##0.00\ _P_t_a_-;_-* &quot;-&quot;??\ _P_t_a_-;_-@_-"/>
    <numFmt numFmtId="224" formatCode="#,##0.000000"/>
    <numFmt numFmtId="225" formatCode="\(\$#,###\)"/>
    <numFmt numFmtId="226" formatCode="#.##0,"/>
    <numFmt numFmtId="227" formatCode="\$#,##0.00\ ;\(\$#,##0.00\)"/>
    <numFmt numFmtId="228" formatCode="&quot;$&quot;#,##0"/>
    <numFmt numFmtId="229" formatCode="&quot;$&quot;#,##0.0_);\(&quot;$&quot;#,##0.0\)"/>
    <numFmt numFmtId="230" formatCode="[$$-409]#,##0"/>
    <numFmt numFmtId="231" formatCode="0.00000000000000%"/>
    <numFmt numFmtId="232" formatCode="0.000%"/>
    <numFmt numFmtId="233" formatCode="#,##0.000000;\-#,##0.000000"/>
    <numFmt numFmtId="234" formatCode="_-* #,##0\ _F_-;\-* #,##0\ _F_-;_-* &quot;-&quot;\ _F_-;_-@_-"/>
    <numFmt numFmtId="235" formatCode="#,##0.0;\-#,##0.0"/>
    <numFmt numFmtId="236" formatCode="0_)"/>
    <numFmt numFmtId="237" formatCode="#,##0;[Red]\(#,##0\)"/>
    <numFmt numFmtId="238" formatCode="_-* #,##0.00\ _F_-;\-* #,##0.00\ _F_-;_-* &quot;-&quot;??\ _F_-;_-@_-"/>
    <numFmt numFmtId="239" formatCode="_-* #,##0\ &quot;F&quot;_-;\-* #,##0\ &quot;F&quot;_-;_-* &quot;-&quot;\ &quot;F&quot;_-;_-@_-"/>
    <numFmt numFmtId="240" formatCode="_-* #,##0.00\ &quot;F&quot;_-;\-* #,##0.00\ &quot;F&quot;_-;_-* &quot;-&quot;??\ &quot;F&quot;_-;_-@_-"/>
    <numFmt numFmtId="241" formatCode="General\ \ \ \ \ \ "/>
    <numFmt numFmtId="242" formatCode="0.0\ \ \ \ \ \ \ \ "/>
    <numFmt numFmtId="243" formatCode="mmmm\ yyyy"/>
    <numFmt numFmtId="244" formatCode="_-* #,##0\ [$€]_-;\-* #,##0\ [$€]_-;_-* &quot;-&quot;??\ [$€]_-;_-@_-"/>
    <numFmt numFmtId="245" formatCode="#,##0.0000;\-#,##0.0000"/>
    <numFmt numFmtId="246" formatCode="#,##0.0_);[Red]\(#,##0.0\)"/>
    <numFmt numFmtId="247" formatCode="_(\$* #,##0.00_);_(\$* \(#,##0.00\);_(\$* \-??_);_(@_)"/>
    <numFmt numFmtId="248" formatCode="[$-409]mmm\-yy;@"/>
    <numFmt numFmtId="249" formatCode="&quot;$&quot;#,##0.0"/>
    <numFmt numFmtId="250" formatCode="_(* #,##0.0_);_(* \(#,##0.0\);_(* &quot;-&quot;?_);_(@_)"/>
    <numFmt numFmtId="251" formatCode="#,##0.000000000000"/>
    <numFmt numFmtId="252" formatCode="_(* #,##0.0000_);_(* \(#,##0.0000\);_(* &quot;-&quot;??_);_(@_)"/>
    <numFmt numFmtId="253" formatCode="#,##0.0000_);\(#,##0.0000\)"/>
  </numFmts>
  <fonts count="36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1"/>
      <color indexed="8"/>
      <name val="Calibri"/>
      <family val="2"/>
    </font>
    <font>
      <sz val="10"/>
      <name val="Arial"/>
      <family val="2"/>
    </font>
    <font>
      <b/>
      <sz val="10"/>
      <name val="Arial"/>
      <family val="2"/>
    </font>
    <font>
      <sz val="8"/>
      <name val="Arial"/>
      <family val="2"/>
    </font>
    <font>
      <sz val="10"/>
      <name val="Arial"/>
      <family val="2"/>
    </font>
    <font>
      <b/>
      <sz val="12"/>
      <name val="Arial"/>
      <family val="2"/>
    </font>
    <font>
      <sz val="12"/>
      <name val="Arial"/>
      <family val="2"/>
    </font>
    <font>
      <sz val="9"/>
      <name val="Arial"/>
      <family val="2"/>
    </font>
    <font>
      <b/>
      <sz val="8"/>
      <color indexed="81"/>
      <name val="Tahoma"/>
      <family val="2"/>
    </font>
    <font>
      <sz val="8"/>
      <color indexed="81"/>
      <name val="Tahoma"/>
      <family val="2"/>
    </font>
    <font>
      <sz val="12"/>
      <name val="Helv"/>
    </font>
    <font>
      <sz val="10"/>
      <name val="Arial"/>
      <family val="2"/>
    </font>
    <font>
      <sz val="10"/>
      <name val="Arial"/>
      <family val="2"/>
    </font>
    <font>
      <sz val="11"/>
      <color indexed="81"/>
      <name val="Tahoma"/>
      <family val="2"/>
    </font>
    <font>
      <u/>
      <sz val="11"/>
      <color indexed="12"/>
      <name val="Calibri"/>
      <family val="2"/>
    </font>
    <font>
      <sz val="10"/>
      <name val="Arial"/>
      <family val="2"/>
    </font>
    <font>
      <sz val="12"/>
      <name val="SWISS"/>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Verdana"/>
      <family val="2"/>
    </font>
    <font>
      <u/>
      <sz val="10"/>
      <color indexed="12"/>
      <name val="Arial"/>
      <family val="2"/>
    </font>
    <font>
      <sz val="11"/>
      <color indexed="8"/>
      <name val="Calibri"/>
      <family val="2"/>
    </font>
    <font>
      <b/>
      <sz val="9"/>
      <name val="Arial"/>
      <family val="2"/>
    </font>
    <font>
      <sz val="11"/>
      <color theme="1"/>
      <name val="Calibri"/>
      <family val="2"/>
      <scheme val="minor"/>
    </font>
    <font>
      <u/>
      <sz val="11"/>
      <color theme="10"/>
      <name val="Calibri"/>
      <family val="2"/>
    </font>
    <font>
      <u/>
      <sz val="12"/>
      <color theme="10"/>
      <name val="Arial MT"/>
    </font>
    <font>
      <sz val="10"/>
      <name val="Arial"/>
      <family val="2"/>
    </font>
    <font>
      <sz val="10"/>
      <name val="Verdana Ref"/>
    </font>
    <font>
      <sz val="10"/>
      <name val="Times New Roman"/>
      <family val="1"/>
    </font>
    <font>
      <u/>
      <sz val="10"/>
      <color theme="10"/>
      <name val="Arial"/>
      <family val="2"/>
    </font>
    <font>
      <u/>
      <sz val="10"/>
      <color indexed="12"/>
      <name val="Times New Roman"/>
      <family val="1"/>
    </font>
    <font>
      <sz val="10"/>
      <name val="Courier"/>
      <family val="3"/>
    </font>
    <font>
      <sz val="10"/>
      <name val="Helv"/>
    </font>
    <font>
      <b/>
      <sz val="9"/>
      <color indexed="81"/>
      <name val="Tahoma"/>
      <family val="2"/>
    </font>
    <font>
      <sz val="9"/>
      <color indexed="81"/>
      <name val="Tahoma"/>
      <family val="2"/>
    </font>
    <font>
      <sz val="9"/>
      <name val="Times New Roman"/>
      <family val="1"/>
    </font>
    <font>
      <sz val="8"/>
      <color indexed="12"/>
      <name val="Helv"/>
    </font>
    <font>
      <sz val="10"/>
      <name val="Geneva"/>
      <family val="2"/>
    </font>
    <font>
      <sz val="1"/>
      <color indexed="8"/>
      <name val="Courier"/>
      <family val="3"/>
    </font>
    <font>
      <i/>
      <sz val="1"/>
      <color indexed="8"/>
      <name val="Courier"/>
      <family val="3"/>
    </font>
    <font>
      <b/>
      <sz val="1"/>
      <color indexed="8"/>
      <name val="Courier"/>
      <family val="3"/>
    </font>
    <font>
      <sz val="12"/>
      <name val="Courier"/>
      <family val="3"/>
    </font>
    <font>
      <b/>
      <i/>
      <sz val="1"/>
      <color indexed="8"/>
      <name val="Courier"/>
      <family val="3"/>
    </font>
    <font>
      <sz val="10"/>
      <name val="MS Sans Serif"/>
      <family val="2"/>
    </font>
    <font>
      <u/>
      <sz val="10"/>
      <color indexed="36"/>
      <name val="Arial"/>
      <family val="2"/>
    </font>
    <font>
      <u/>
      <sz val="5"/>
      <color indexed="12"/>
      <name val="Courier"/>
      <family val="3"/>
    </font>
    <font>
      <sz val="8"/>
      <color indexed="8"/>
      <name val="Helv"/>
    </font>
    <font>
      <sz val="12"/>
      <name val="Tms Rmn"/>
    </font>
    <font>
      <sz val="10"/>
      <name val="Tms Rmn"/>
    </font>
    <font>
      <sz val="11"/>
      <name val="Tms Rmn"/>
    </font>
    <font>
      <sz val="8"/>
      <color theme="1"/>
      <name val="Arial"/>
      <family val="2"/>
    </font>
    <font>
      <sz val="11"/>
      <name val="Times New Roman"/>
      <family val="1"/>
    </font>
    <font>
      <sz val="22"/>
      <name val="UBSHeadline"/>
      <family val="1"/>
    </font>
    <font>
      <sz val="10"/>
      <color indexed="10"/>
      <name val="MS Sans Serif"/>
      <family val="2"/>
    </font>
    <font>
      <sz val="10"/>
      <name val="Frutiger 45 Light"/>
      <family val="2"/>
    </font>
    <font>
      <i/>
      <sz val="8"/>
      <name val="Tms Rmn"/>
    </font>
    <font>
      <b/>
      <sz val="8"/>
      <name val="Tms Rmn"/>
    </font>
    <font>
      <sz val="8"/>
      <name val="Helv"/>
    </font>
    <font>
      <i/>
      <sz val="12"/>
      <color indexed="11"/>
      <name val="Helv"/>
    </font>
    <font>
      <sz val="12"/>
      <color indexed="24"/>
      <name val="Modern"/>
      <family val="3"/>
      <charset val="255"/>
    </font>
    <font>
      <b/>
      <sz val="18"/>
      <color indexed="24"/>
      <name val="Modern"/>
      <family val="3"/>
      <charset val="255"/>
    </font>
    <font>
      <b/>
      <sz val="12"/>
      <color indexed="24"/>
      <name val="Modern"/>
      <family val="3"/>
      <charset val="255"/>
    </font>
    <font>
      <b/>
      <sz val="14"/>
      <name val="Bookman Old Style"/>
      <family val="1"/>
    </font>
    <font>
      <sz val="14"/>
      <name val="Bookman Old Style"/>
      <family val="1"/>
    </font>
    <font>
      <b/>
      <sz val="12"/>
      <name val="Bookman Old Style"/>
      <family val="1"/>
    </font>
    <font>
      <sz val="12"/>
      <name val="Bookman Old Style"/>
      <family val="1"/>
    </font>
    <font>
      <sz val="10"/>
      <name val="Arial"/>
      <family val="2"/>
    </font>
    <font>
      <u/>
      <sz val="11"/>
      <color theme="10"/>
      <name val="Calibri"/>
      <family val="2"/>
      <scheme val="minor"/>
    </font>
    <font>
      <sz val="12"/>
      <name val="Arial MT"/>
    </font>
    <font>
      <sz val="8.5"/>
      <name val="MS Sans Serif"/>
      <family val="2"/>
    </font>
    <font>
      <sz val="10"/>
      <name val="Arial"/>
      <family val="2"/>
    </font>
    <font>
      <sz val="11"/>
      <color theme="1"/>
      <name val="Calibri"/>
      <family val="2"/>
    </font>
    <font>
      <sz val="10"/>
      <name val="Geneva"/>
      <family val="2"/>
    </font>
    <font>
      <sz val="11"/>
      <color theme="1"/>
      <name val="Segoe UI"/>
      <family val="2"/>
    </font>
    <font>
      <sz val="14"/>
      <color rgb="FFFF0000"/>
      <name val="Bookman Old Style"/>
      <family val="1"/>
    </font>
    <font>
      <sz val="10"/>
      <name val="Arial"/>
      <family val="2"/>
    </font>
    <font>
      <i/>
      <sz val="14"/>
      <name val="Bookman Old Style"/>
      <family val="1"/>
    </font>
    <font>
      <i/>
      <sz val="12"/>
      <name val="Bookman Old Style"/>
      <family val="1"/>
    </font>
    <font>
      <b/>
      <sz val="16"/>
      <color indexed="8"/>
      <name val="Bookman Old Style"/>
      <family val="1"/>
    </font>
    <font>
      <b/>
      <sz val="16"/>
      <name val="Bookman Old Style"/>
      <family val="1"/>
    </font>
    <font>
      <sz val="16"/>
      <name val="Bookman Old Style"/>
      <family val="1"/>
    </font>
    <font>
      <i/>
      <sz val="16"/>
      <name val="Bookman Old Style"/>
      <family val="1"/>
    </font>
    <font>
      <sz val="14"/>
      <color theme="1"/>
      <name val="Bookman Old Style"/>
      <family val="1"/>
    </font>
    <font>
      <sz val="18"/>
      <name val="Bookman Old Style"/>
      <family val="1"/>
    </font>
    <font>
      <b/>
      <sz val="14"/>
      <color theme="1"/>
      <name val="Bookman Old Style"/>
      <family val="1"/>
    </font>
    <font>
      <sz val="14"/>
      <color rgb="FF0070C0"/>
      <name val="Bookman Old Style"/>
      <family val="1"/>
    </font>
    <font>
      <b/>
      <sz val="16"/>
      <color theme="1"/>
      <name val="Bookman Old Style"/>
      <family val="1"/>
    </font>
    <font>
      <sz val="16"/>
      <color theme="1"/>
      <name val="Bookman Old Style"/>
      <family val="1"/>
    </font>
    <font>
      <sz val="24"/>
      <name val="Bookman Old Style"/>
      <family val="1"/>
    </font>
    <font>
      <b/>
      <sz val="24"/>
      <name val="Bookman Old Style"/>
      <family val="1"/>
    </font>
    <font>
      <sz val="24"/>
      <color theme="1"/>
      <name val="Bookman Old Style"/>
      <family val="1"/>
    </font>
    <font>
      <b/>
      <sz val="24"/>
      <color theme="1"/>
      <name val="Bookman Old Style"/>
      <family val="1"/>
    </font>
    <font>
      <sz val="26"/>
      <name val="Bookman Old Style"/>
      <family val="1"/>
    </font>
    <font>
      <b/>
      <sz val="26"/>
      <name val="Bookman Old Style"/>
      <family val="1"/>
    </font>
    <font>
      <b/>
      <sz val="26"/>
      <color theme="1"/>
      <name val="Bookman Old Style"/>
      <family val="1"/>
    </font>
    <font>
      <sz val="26"/>
      <color rgb="FF0070C0"/>
      <name val="Bookman Old Style"/>
      <family val="1"/>
    </font>
    <font>
      <sz val="26"/>
      <color rgb="FFFF0000"/>
      <name val="Bookman Old Style"/>
      <family val="1"/>
    </font>
    <font>
      <sz val="26"/>
      <color theme="1"/>
      <name val="Bookman Old Style"/>
      <family val="1"/>
    </font>
    <font>
      <i/>
      <sz val="24"/>
      <name val="Bookman Old Style"/>
      <family val="1"/>
    </font>
    <font>
      <b/>
      <sz val="20"/>
      <name val="Bookman Old Style"/>
      <family val="1"/>
    </font>
    <font>
      <sz val="20"/>
      <name val="Bookman Old Style"/>
      <family val="1"/>
    </font>
    <font>
      <i/>
      <sz val="20"/>
      <name val="Bookman Old Style"/>
      <family val="1"/>
    </font>
    <font>
      <i/>
      <sz val="26"/>
      <name val="Bookman Old Style"/>
      <family val="1"/>
    </font>
    <font>
      <sz val="16"/>
      <color theme="0"/>
      <name val="Bookman Old Style"/>
      <family val="1"/>
    </font>
    <font>
      <sz val="10"/>
      <name val="Arial"/>
      <family val="2"/>
    </font>
    <font>
      <sz val="22"/>
      <name val="Bookman Old Style"/>
      <family val="1"/>
    </font>
    <font>
      <sz val="22"/>
      <color theme="1"/>
      <name val="Bookman Old Style"/>
      <family val="1"/>
    </font>
    <font>
      <b/>
      <sz val="22"/>
      <color theme="1"/>
      <name val="Bookman Old Style"/>
      <family val="1"/>
    </font>
    <font>
      <i/>
      <sz val="22"/>
      <name val="Bookman Old Style"/>
      <family val="1"/>
    </font>
    <font>
      <sz val="28"/>
      <name val="Bookman Old Style"/>
      <family val="1"/>
    </font>
    <font>
      <b/>
      <sz val="28"/>
      <name val="Bookman Old Style"/>
      <family val="1"/>
    </font>
    <font>
      <sz val="28"/>
      <color rgb="FF0070C0"/>
      <name val="Bookman Old Style"/>
      <family val="1"/>
    </font>
    <font>
      <b/>
      <sz val="28"/>
      <color theme="1"/>
      <name val="Bookman Old Style"/>
      <family val="1"/>
    </font>
    <font>
      <sz val="28"/>
      <color theme="1"/>
      <name val="Bookman Old Style"/>
      <family val="1"/>
    </font>
    <font>
      <i/>
      <sz val="28"/>
      <name val="Bookman Old Style"/>
      <family val="1"/>
    </font>
    <font>
      <sz val="28"/>
      <color rgb="FFFF0000"/>
      <name val="Bookman Old Style"/>
      <family val="1"/>
    </font>
    <font>
      <b/>
      <sz val="28"/>
      <color indexed="8"/>
      <name val="Bookman Old Style"/>
      <family val="1"/>
    </font>
    <font>
      <b/>
      <sz val="28"/>
      <color indexed="10"/>
      <name val="Bookman Old Style"/>
      <family val="1"/>
    </font>
    <font>
      <b/>
      <sz val="28"/>
      <color indexed="57"/>
      <name val="Bookman Old Style"/>
      <family val="1"/>
    </font>
    <font>
      <b/>
      <sz val="28"/>
      <color rgb="FFFF0000"/>
      <name val="Bookman Old Style"/>
      <family val="1"/>
    </font>
    <font>
      <b/>
      <i/>
      <sz val="28"/>
      <name val="Bookman Old Style"/>
      <family val="1"/>
    </font>
    <font>
      <b/>
      <sz val="19"/>
      <name val="Bookman Old Style"/>
      <family val="1"/>
    </font>
    <font>
      <sz val="19"/>
      <name val="Bookman Old Style"/>
      <family val="1"/>
    </font>
    <font>
      <i/>
      <sz val="19"/>
      <name val="Bookman Old Style"/>
      <family val="1"/>
    </font>
    <font>
      <b/>
      <i/>
      <sz val="19"/>
      <name val="Bookman Old Style"/>
      <family val="1"/>
    </font>
    <font>
      <b/>
      <sz val="29"/>
      <name val="Bookman Old Style"/>
      <family val="1"/>
    </font>
    <font>
      <sz val="29"/>
      <name val="Bookman Old Style"/>
      <family val="1"/>
    </font>
    <font>
      <sz val="29"/>
      <color theme="1"/>
      <name val="Bookman Old Style"/>
      <family val="1"/>
    </font>
    <font>
      <sz val="30"/>
      <name val="Bookman Old Style"/>
      <family val="1"/>
    </font>
    <font>
      <b/>
      <sz val="30"/>
      <name val="Bookman Old Style"/>
      <family val="1"/>
    </font>
    <font>
      <i/>
      <sz val="24"/>
      <color theme="1"/>
      <name val="Bookman Old Style"/>
      <family val="1"/>
    </font>
    <font>
      <b/>
      <i/>
      <sz val="26"/>
      <name val="Bookman Old Style"/>
      <family val="1"/>
    </font>
    <font>
      <i/>
      <sz val="26"/>
      <color theme="1"/>
      <name val="Bookman Old Style"/>
      <family val="1"/>
    </font>
    <font>
      <sz val="29"/>
      <color rgb="FFFF0000"/>
      <name val="Bookman Old Style"/>
      <family val="1"/>
    </font>
    <font>
      <sz val="32"/>
      <name val="Bookman Old Style"/>
      <family val="1"/>
    </font>
    <font>
      <b/>
      <sz val="30"/>
      <color rgb="FFFF0000"/>
      <name val="Bookman Old Style"/>
      <family val="1"/>
    </font>
    <font>
      <i/>
      <sz val="30"/>
      <name val="Bookman Old Style"/>
      <family val="1"/>
    </font>
    <font>
      <b/>
      <sz val="32"/>
      <name val="Bookman Old Style"/>
      <family val="1"/>
    </font>
    <font>
      <b/>
      <sz val="32"/>
      <color rgb="FFFF0000"/>
      <name val="Bookman Old Style"/>
      <family val="1"/>
    </font>
    <font>
      <i/>
      <sz val="32"/>
      <name val="Bookman Old Style"/>
      <family val="1"/>
    </font>
    <font>
      <sz val="32"/>
      <color theme="1"/>
      <name val="Bookman Old Style"/>
      <family val="1"/>
    </font>
    <font>
      <sz val="32"/>
      <color rgb="FFFF0000"/>
      <name val="Bookman Old Style"/>
      <family val="1"/>
    </font>
    <font>
      <b/>
      <i/>
      <sz val="32"/>
      <name val="Bookman Old Style"/>
      <family val="1"/>
    </font>
    <font>
      <i/>
      <sz val="32"/>
      <color theme="1"/>
      <name val="Bookman Old Style"/>
      <family val="1"/>
    </font>
    <font>
      <sz val="10"/>
      <color theme="1"/>
      <name val="Arial"/>
      <family val="2"/>
    </font>
    <font>
      <b/>
      <sz val="10"/>
      <name val="Times New Roman"/>
      <family val="1"/>
    </font>
    <font>
      <sz val="10"/>
      <color indexed="8"/>
      <name val="Arial"/>
      <family val="2"/>
    </font>
    <font>
      <b/>
      <i/>
      <sz val="10"/>
      <name val="Times New Roman"/>
      <family val="1"/>
    </font>
    <font>
      <sz val="10"/>
      <color indexed="8"/>
      <name val="MS Sans Serif"/>
      <family val="2"/>
    </font>
    <font>
      <sz val="11"/>
      <color indexed="8"/>
      <name val="Times New Roman"/>
      <family val="1"/>
    </font>
    <font>
      <sz val="10"/>
      <color indexed="8"/>
      <name val="Verdana"/>
      <family val="2"/>
    </font>
    <font>
      <i/>
      <sz val="10"/>
      <color indexed="8"/>
      <name val="Verdana"/>
      <family val="2"/>
    </font>
    <font>
      <b/>
      <sz val="10"/>
      <color indexed="8"/>
      <name val="Verdana"/>
      <family val="2"/>
    </font>
    <font>
      <sz val="11"/>
      <color indexed="8"/>
      <name val="Verdana"/>
      <family val="2"/>
    </font>
    <font>
      <b/>
      <sz val="11"/>
      <color indexed="8"/>
      <name val="Verdana"/>
      <family val="2"/>
    </font>
    <font>
      <b/>
      <sz val="13"/>
      <color indexed="9"/>
      <name val="Verdana"/>
      <family val="2"/>
    </font>
    <font>
      <sz val="10"/>
      <color indexed="54"/>
      <name val="Verdana"/>
      <family val="2"/>
    </font>
    <font>
      <sz val="11"/>
      <color indexed="8"/>
      <name val="Arial"/>
      <family val="2"/>
    </font>
    <font>
      <vertAlign val="superscript"/>
      <sz val="11"/>
      <name val="Arial"/>
      <family val="2"/>
    </font>
    <font>
      <u/>
      <sz val="7.5"/>
      <color indexed="12"/>
      <name val="Tms Rmn"/>
    </font>
    <font>
      <u/>
      <sz val="7.5"/>
      <color indexed="36"/>
      <name val="Tms Rmn"/>
    </font>
    <font>
      <u/>
      <sz val="10"/>
      <color indexed="12"/>
      <name val="MS Sans Serif"/>
      <family val="2"/>
    </font>
    <font>
      <vertAlign val="superscript"/>
      <sz val="9"/>
      <color indexed="8"/>
      <name val="Times New Roman"/>
      <family val="1"/>
    </font>
    <font>
      <sz val="9"/>
      <color indexed="8"/>
      <name val="Times New Roman"/>
      <family val="1"/>
    </font>
    <font>
      <sz val="11"/>
      <color rgb="FF000000"/>
      <name val="Calibri"/>
      <family val="2"/>
      <scheme val="minor"/>
    </font>
    <font>
      <i/>
      <sz val="28"/>
      <color rgb="FFFF0000"/>
      <name val="Bookman Old Style"/>
      <family val="1"/>
    </font>
    <font>
      <b/>
      <i/>
      <sz val="30"/>
      <name val="Bookman Old Style"/>
      <family val="1"/>
    </font>
    <font>
      <b/>
      <sz val="20"/>
      <color indexed="8"/>
      <name val="Bookman Old Style"/>
      <family val="1"/>
    </font>
    <font>
      <sz val="20"/>
      <color indexed="8"/>
      <name val="Bookman Old Style"/>
      <family val="1"/>
    </font>
    <font>
      <sz val="20"/>
      <color rgb="FFFF0000"/>
      <name val="Bookman Old Style"/>
      <family val="1"/>
    </font>
    <font>
      <b/>
      <sz val="46"/>
      <name val="Bookman Old Style"/>
      <family val="1"/>
    </font>
    <font>
      <sz val="46"/>
      <name val="Bookman Old Style"/>
      <family val="1"/>
    </font>
    <font>
      <i/>
      <sz val="46"/>
      <name val="Bookman Old Style"/>
      <family val="1"/>
    </font>
    <font>
      <sz val="20"/>
      <color theme="1"/>
      <name val="Bookman Old Style"/>
      <family val="1"/>
    </font>
    <font>
      <b/>
      <sz val="20"/>
      <color theme="1"/>
      <name val="Bookman Old Style"/>
      <family val="1"/>
    </font>
    <font>
      <i/>
      <sz val="20"/>
      <color theme="1"/>
      <name val="Bookman Old Style"/>
      <family val="1"/>
    </font>
    <font>
      <b/>
      <sz val="36"/>
      <name val="Bookman Old Style"/>
      <family val="1"/>
    </font>
    <font>
      <sz val="36"/>
      <name val="Bookman Old Style"/>
      <family val="1"/>
    </font>
    <font>
      <sz val="26"/>
      <color indexed="17"/>
      <name val="Bookman Old Style"/>
      <family val="1"/>
    </font>
    <font>
      <b/>
      <sz val="50"/>
      <name val="Bookman Old Style"/>
      <family val="1"/>
    </font>
    <font>
      <sz val="50"/>
      <name val="Bookman Old Style"/>
      <family val="1"/>
    </font>
    <font>
      <i/>
      <sz val="50"/>
      <name val="Bookman Old Style"/>
      <family val="1"/>
    </font>
    <font>
      <b/>
      <sz val="30"/>
      <color theme="1"/>
      <name val="Bookman Old Style"/>
      <family val="1"/>
    </font>
    <font>
      <sz val="30"/>
      <color theme="1"/>
      <name val="Bookman Old Style"/>
      <family val="1"/>
    </font>
    <font>
      <b/>
      <sz val="34"/>
      <name val="Bookman Old Style"/>
      <family val="1"/>
    </font>
    <font>
      <sz val="34"/>
      <name val="Bookman Old Style"/>
      <family val="1"/>
    </font>
    <font>
      <i/>
      <sz val="34"/>
      <name val="Bookman Old Style"/>
      <family val="1"/>
    </font>
    <font>
      <sz val="34"/>
      <color theme="1"/>
      <name val="Bookman Old Style"/>
      <family val="1"/>
    </font>
    <font>
      <sz val="34"/>
      <color rgb="FFFF0000"/>
      <name val="Bookman Old Style"/>
      <family val="1"/>
    </font>
    <font>
      <b/>
      <i/>
      <sz val="34"/>
      <name val="Bookman Old Style"/>
      <family val="1"/>
    </font>
    <font>
      <b/>
      <sz val="34"/>
      <color theme="1"/>
      <name val="Bookman Old Style"/>
      <family val="1"/>
    </font>
    <font>
      <i/>
      <sz val="34"/>
      <color theme="1"/>
      <name val="Bookman Old Style"/>
      <family val="1"/>
    </font>
    <font>
      <b/>
      <u/>
      <sz val="28"/>
      <name val="Bookman Old Style"/>
      <family val="1"/>
    </font>
    <font>
      <sz val="28"/>
      <color indexed="8"/>
      <name val="Bookman Old Style"/>
      <family val="1"/>
    </font>
    <font>
      <sz val="32"/>
      <color rgb="FF7030A0"/>
      <name val="Bookman Old Style"/>
      <family val="1"/>
    </font>
    <font>
      <b/>
      <sz val="18"/>
      <name val="Bookman Old Style"/>
      <family val="1"/>
    </font>
    <font>
      <i/>
      <sz val="18"/>
      <name val="Bookman Old Style"/>
      <family val="1"/>
    </font>
    <font>
      <sz val="38"/>
      <name val="Bookman Old Style"/>
      <family val="1"/>
    </font>
    <font>
      <b/>
      <sz val="38"/>
      <name val="Bookman Old Style"/>
      <family val="1"/>
    </font>
    <font>
      <sz val="40"/>
      <color rgb="FFFF0000"/>
      <name val="Bookman Old Style"/>
      <family val="1"/>
    </font>
    <font>
      <sz val="40"/>
      <name val="Bookman Old Style"/>
      <family val="1"/>
    </font>
    <font>
      <b/>
      <sz val="40"/>
      <name val="Bookman Old Style"/>
      <family val="1"/>
    </font>
    <font>
      <b/>
      <sz val="25"/>
      <color theme="1"/>
      <name val="Bookman Old Style"/>
      <family val="1"/>
    </font>
    <font>
      <sz val="25"/>
      <color theme="1"/>
      <name val="Bookman Old Style"/>
      <family val="1"/>
    </font>
    <font>
      <b/>
      <sz val="23"/>
      <color theme="1"/>
      <name val="Bookman Old Style"/>
      <family val="1"/>
    </font>
    <font>
      <sz val="23"/>
      <color theme="1"/>
      <name val="Bookman Old Style"/>
      <family val="1"/>
    </font>
    <font>
      <sz val="23"/>
      <name val="Bookman Old Style"/>
      <family val="1"/>
    </font>
    <font>
      <b/>
      <sz val="25"/>
      <name val="Bookman Old Style"/>
      <family val="1"/>
    </font>
    <font>
      <sz val="25"/>
      <name val="Bookman Old Style"/>
      <family val="1"/>
    </font>
    <font>
      <i/>
      <sz val="25"/>
      <name val="Bookman Old Style"/>
      <family val="1"/>
    </font>
    <font>
      <b/>
      <sz val="23"/>
      <name val="Bookman Old Style"/>
      <family val="1"/>
    </font>
    <font>
      <i/>
      <sz val="23"/>
      <name val="Bookman Old Style"/>
      <family val="1"/>
    </font>
    <font>
      <sz val="35"/>
      <name val="Bookman Old Style"/>
      <family val="1"/>
    </font>
    <font>
      <b/>
      <i/>
      <sz val="18"/>
      <name val="Bookman Old Style"/>
      <family val="1"/>
    </font>
    <font>
      <sz val="42"/>
      <name val="Bookman Old Style"/>
      <family val="1"/>
    </font>
    <font>
      <i/>
      <sz val="42"/>
      <name val="Bookman Old Style"/>
      <family val="1"/>
    </font>
    <font>
      <sz val="34"/>
      <color indexed="8"/>
      <name val="Bookman Old Style"/>
      <family val="1"/>
    </font>
    <font>
      <b/>
      <i/>
      <sz val="34"/>
      <color theme="1"/>
      <name val="Bookman Old Style"/>
      <family val="1"/>
    </font>
    <font>
      <sz val="28"/>
      <name val="Arial"/>
      <family val="2"/>
    </font>
    <font>
      <sz val="28"/>
      <color theme="1"/>
      <name val="Arial"/>
      <family val="2"/>
    </font>
    <font>
      <b/>
      <sz val="29"/>
      <color theme="1"/>
      <name val="Bookman Old Style"/>
      <family val="1"/>
    </font>
    <font>
      <b/>
      <sz val="36"/>
      <color indexed="8"/>
      <name val="Bookman Old Style"/>
      <family val="1"/>
    </font>
    <font>
      <sz val="36"/>
      <color indexed="10"/>
      <name val="Bookman Old Style"/>
      <family val="1"/>
    </font>
    <font>
      <b/>
      <sz val="36"/>
      <color indexed="10"/>
      <name val="Bookman Old Style"/>
      <family val="1"/>
    </font>
    <font>
      <sz val="36"/>
      <color rgb="FFFF0000"/>
      <name val="Bookman Old Style"/>
      <family val="1"/>
    </font>
    <font>
      <b/>
      <sz val="36"/>
      <color indexed="57"/>
      <name val="Bookman Old Style"/>
      <family val="1"/>
    </font>
    <font>
      <b/>
      <sz val="54"/>
      <name val="Bookman Old Style"/>
      <family val="1"/>
    </font>
    <font>
      <sz val="54"/>
      <name val="Bookman Old Style"/>
      <family val="1"/>
    </font>
    <font>
      <b/>
      <sz val="54"/>
      <color theme="1"/>
      <name val="Bookman Old Style"/>
      <family val="1"/>
    </font>
    <font>
      <sz val="54"/>
      <color theme="1"/>
      <name val="Bookman Old Style"/>
      <family val="1"/>
    </font>
    <font>
      <sz val="54"/>
      <color theme="4"/>
      <name val="Bookman Old Style"/>
      <family val="1"/>
    </font>
    <font>
      <sz val="54"/>
      <color rgb="FF0070C0"/>
      <name val="Bookman Old Style"/>
      <family val="1"/>
    </font>
    <font>
      <sz val="54"/>
      <color rgb="FFFF0000"/>
      <name val="Bookman Old Style"/>
      <family val="1"/>
    </font>
    <font>
      <sz val="33.5"/>
      <name val="Bookman Old Style"/>
      <family val="1"/>
    </font>
    <font>
      <i/>
      <sz val="33.5"/>
      <name val="Bookman Old Style"/>
      <family val="1"/>
    </font>
    <font>
      <b/>
      <sz val="33.5"/>
      <name val="Bookman Old Style"/>
      <family val="1"/>
    </font>
    <font>
      <sz val="10"/>
      <name val="Arial"/>
      <family val="2"/>
    </font>
    <font>
      <u/>
      <sz val="10"/>
      <color rgb="FF0000FF"/>
      <name val="Arial"/>
      <family val="2"/>
    </font>
    <font>
      <sz val="11"/>
      <color rgb="FF000000"/>
      <name val="Calibri"/>
      <family val="2"/>
    </font>
    <font>
      <sz val="10"/>
      <color rgb="FF000000"/>
      <name val="Times New Roman"/>
      <family val="1"/>
    </font>
    <font>
      <sz val="11"/>
      <color theme="1"/>
      <name val="Calibri"/>
      <family val="2"/>
      <charset val="1"/>
      <scheme val="minor"/>
    </font>
    <font>
      <b/>
      <sz val="11"/>
      <color rgb="FFC00000"/>
      <name val="Goudy Old Style"/>
      <family val="1"/>
    </font>
    <font>
      <sz val="14"/>
      <color theme="0"/>
      <name val="Bookman Old Style"/>
      <family val="1"/>
    </font>
    <font>
      <sz val="28"/>
      <color indexed="10"/>
      <name val="Bookman Old Style"/>
      <family val="1"/>
    </font>
    <font>
      <sz val="14"/>
      <color theme="8"/>
      <name val="Bookman Old Style"/>
      <family val="1"/>
    </font>
    <font>
      <b/>
      <sz val="14"/>
      <color theme="8"/>
      <name val="Bookman Old Style"/>
      <family val="1"/>
    </font>
    <font>
      <b/>
      <sz val="20"/>
      <color theme="8"/>
      <name val="Bookman Old Style"/>
      <family val="1"/>
    </font>
    <font>
      <b/>
      <i/>
      <sz val="20"/>
      <name val="Bookman Old Style"/>
      <family val="1"/>
    </font>
    <font>
      <sz val="26"/>
      <color theme="0"/>
      <name val="Bookman Old Style"/>
      <family val="1"/>
    </font>
    <font>
      <b/>
      <i/>
      <sz val="14"/>
      <name val="Bookman Old Style"/>
      <family val="1"/>
    </font>
    <font>
      <sz val="20"/>
      <name val="Arial"/>
      <family val="2"/>
    </font>
    <font>
      <sz val="46"/>
      <color theme="0"/>
      <name val="Bookman Old Style"/>
      <family val="1"/>
    </font>
    <font>
      <b/>
      <sz val="46"/>
      <color theme="0"/>
      <name val="Bookman Old Style"/>
      <family val="1"/>
    </font>
    <font>
      <i/>
      <sz val="46"/>
      <color theme="0"/>
      <name val="Bookman Old Style"/>
      <family val="1"/>
    </font>
    <font>
      <sz val="36"/>
      <color theme="1"/>
      <name val="Bookman Old Style"/>
      <family val="1"/>
    </font>
    <font>
      <b/>
      <sz val="36"/>
      <color theme="1"/>
      <name val="Bookman Old Style"/>
      <family val="1"/>
    </font>
    <font>
      <b/>
      <sz val="36"/>
      <color rgb="FFFF0000"/>
      <name val="Bookman Old Style"/>
      <family val="1"/>
    </font>
    <font>
      <i/>
      <sz val="36"/>
      <name val="Bookman Old Style"/>
      <family val="1"/>
    </font>
    <font>
      <sz val="36"/>
      <color rgb="FF0070C0"/>
      <name val="Bookman Old Style"/>
      <family val="1"/>
    </font>
    <font>
      <i/>
      <sz val="36"/>
      <color theme="1"/>
      <name val="Bookman Old Style"/>
      <family val="1"/>
    </font>
    <font>
      <i/>
      <sz val="36"/>
      <color rgb="FF0070C0"/>
      <name val="Bookman Old Style"/>
      <family val="1"/>
    </font>
    <font>
      <b/>
      <sz val="36"/>
      <color rgb="FF0070C0"/>
      <name val="Bookman Old Style"/>
      <family val="1"/>
    </font>
    <font>
      <b/>
      <sz val="36"/>
      <color theme="0"/>
      <name val="Bookman Old Style"/>
      <family val="1"/>
    </font>
    <font>
      <sz val="18"/>
      <color theme="0"/>
      <name val="Bookman Old Style"/>
      <family val="1"/>
    </font>
    <font>
      <sz val="12"/>
      <color theme="0"/>
      <name val="Bookman Old Style"/>
      <family val="1"/>
    </font>
    <font>
      <sz val="16"/>
      <color indexed="56"/>
      <name val="Bookman Old Style"/>
      <family val="1"/>
    </font>
    <font>
      <sz val="25"/>
      <color theme="0"/>
      <name val="Bookman Old Style"/>
      <family val="1"/>
    </font>
    <font>
      <b/>
      <sz val="13"/>
      <name val="Bookman Old Style"/>
      <family val="1"/>
    </font>
    <font>
      <sz val="13"/>
      <name val="Bookman Old Style"/>
      <family val="1"/>
    </font>
    <font>
      <b/>
      <sz val="13"/>
      <color theme="8"/>
      <name val="Bookman Old Style"/>
      <family val="1"/>
    </font>
    <font>
      <sz val="13"/>
      <color theme="0"/>
      <name val="Bookman Old Style"/>
      <family val="1"/>
    </font>
    <font>
      <i/>
      <sz val="13"/>
      <name val="Bookman Old Style"/>
      <family val="1"/>
    </font>
    <font>
      <b/>
      <sz val="16"/>
      <color theme="0"/>
      <name val="Bookman Old Style"/>
      <family val="1"/>
    </font>
    <font>
      <b/>
      <sz val="19"/>
      <color theme="1"/>
      <name val="Bookman Old Style"/>
      <family val="1"/>
    </font>
    <font>
      <sz val="19"/>
      <color theme="1"/>
      <name val="Bookman Old Style"/>
      <family val="1"/>
    </font>
    <font>
      <sz val="19"/>
      <color rgb="FF00B0F0"/>
      <name val="Bookman Old Style"/>
      <family val="1"/>
    </font>
    <font>
      <sz val="19"/>
      <color theme="0"/>
      <name val="Bookman Old Style"/>
      <family val="1"/>
    </font>
    <font>
      <sz val="19"/>
      <color theme="1" tint="4.9989318521683403E-2"/>
      <name val="Bookman Old Style"/>
      <family val="1"/>
    </font>
    <font>
      <sz val="19"/>
      <color indexed="8"/>
      <name val="Bookman Old Style"/>
      <family val="1"/>
    </font>
    <font>
      <i/>
      <sz val="19"/>
      <color rgb="FFFF0000"/>
      <name val="Bookman Old Style"/>
      <family val="1"/>
    </font>
    <font>
      <sz val="18"/>
      <color indexed="8"/>
      <name val="Bookman Old Style"/>
      <family val="1"/>
    </font>
    <font>
      <sz val="18"/>
      <color rgb="FFFF0000"/>
      <name val="Bookman Old Style"/>
      <family val="1"/>
    </font>
    <font>
      <sz val="21"/>
      <name val="Bookman Old Style"/>
      <family val="1"/>
    </font>
    <font>
      <b/>
      <sz val="21"/>
      <name val="Bookman Old Style"/>
      <family val="1"/>
    </font>
    <font>
      <sz val="21"/>
      <color theme="4" tint="-0.249977111117893"/>
      <name val="Bookman Old Style"/>
      <family val="1"/>
    </font>
    <font>
      <i/>
      <sz val="21"/>
      <name val="Bookman Old Style"/>
      <family val="1"/>
    </font>
    <font>
      <sz val="28"/>
      <color theme="2" tint="-0.249977111117893"/>
      <name val="Bookman Old Style"/>
      <family val="1"/>
    </font>
    <font>
      <sz val="36"/>
      <color theme="0" tint="-0.34998626667073579"/>
      <name val="Bookman Old Style"/>
      <family val="1"/>
    </font>
    <font>
      <b/>
      <sz val="26"/>
      <color theme="0"/>
      <name val="Bookman Old Style"/>
      <family val="1"/>
    </font>
    <font>
      <b/>
      <sz val="28"/>
      <color theme="0"/>
      <name val="Bookman Old Style"/>
      <family val="1"/>
    </font>
    <font>
      <sz val="28"/>
      <color theme="0"/>
      <name val="Bookman Old Style"/>
      <family val="1"/>
    </font>
    <font>
      <sz val="34"/>
      <color rgb="FF0070C0"/>
      <name val="Bookman Old Style"/>
      <family val="1"/>
    </font>
    <font>
      <i/>
      <sz val="34"/>
      <color rgb="FF0070C0"/>
      <name val="Bookman Old Style"/>
      <family val="1"/>
    </font>
    <font>
      <b/>
      <sz val="29"/>
      <color rgb="FFFF0000"/>
      <name val="Bookman Old Style"/>
      <family val="1"/>
    </font>
    <font>
      <vertAlign val="superscript"/>
      <sz val="28"/>
      <color theme="1"/>
      <name val="Bookman Old Style"/>
      <family val="1"/>
    </font>
    <font>
      <sz val="16"/>
      <color indexed="8"/>
      <name val="Bookman Old Style"/>
      <family val="1"/>
    </font>
    <font>
      <b/>
      <sz val="22"/>
      <name val="Bookman Old Style"/>
      <family val="1"/>
    </font>
    <font>
      <i/>
      <sz val="48"/>
      <name val="Bookman Old Style"/>
      <family val="1"/>
    </font>
    <font>
      <sz val="48"/>
      <name val="Bookman Old Style"/>
      <family val="1"/>
    </font>
    <font>
      <sz val="48"/>
      <color rgb="FFFF0000"/>
      <name val="Bookman Old Style"/>
      <family val="1"/>
    </font>
    <font>
      <b/>
      <sz val="48"/>
      <color rgb="FFFF0000"/>
      <name val="Bookman Old Style"/>
      <family val="1"/>
    </font>
    <font>
      <i/>
      <sz val="48"/>
      <color rgb="FFFF0000"/>
      <name val="Bookman Old Style"/>
      <family val="1"/>
    </font>
    <font>
      <b/>
      <sz val="48"/>
      <name val="Bookman Old Style"/>
      <family val="1"/>
    </font>
    <font>
      <u/>
      <sz val="28"/>
      <color theme="1"/>
      <name val="Bookman Old Style"/>
      <family val="1"/>
    </font>
    <font>
      <sz val="21"/>
      <color theme="1"/>
      <name val="Bookman Old Style"/>
      <family val="1"/>
    </font>
    <font>
      <b/>
      <sz val="21"/>
      <color theme="1"/>
      <name val="Bookman Old Style"/>
      <family val="1"/>
    </font>
  </fonts>
  <fills count="3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2"/>
        <bgColor indexed="64"/>
      </patternFill>
    </fill>
    <fill>
      <patternFill patternType="solid">
        <fgColor indexed="9"/>
        <bgColor indexed="64"/>
      </patternFill>
    </fill>
    <fill>
      <patternFill patternType="solid">
        <fgColor theme="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rgb="FFFFFFFF"/>
        <bgColor indexed="64"/>
      </patternFill>
    </fill>
    <fill>
      <patternFill patternType="solid">
        <fgColor theme="6" tint="0.79998168889431442"/>
        <bgColor indexed="65"/>
      </patternFill>
    </fill>
    <fill>
      <patternFill patternType="solid">
        <fgColor indexed="47"/>
        <bgColor indexed="64"/>
      </patternFill>
    </fill>
    <fill>
      <patternFill patternType="solid">
        <fgColor indexed="24"/>
        <bgColor indexed="64"/>
      </patternFill>
    </fill>
    <fill>
      <patternFill patternType="solid">
        <fgColor rgb="FFFFFFCC"/>
      </patternFill>
    </fill>
  </fills>
  <borders count="50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right style="thin">
        <color indexed="8"/>
      </right>
      <top/>
      <bottom/>
      <diagonal/>
    </border>
    <border>
      <left style="medium">
        <color indexed="64"/>
      </left>
      <right style="thin">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medium">
        <color auto="1"/>
      </top>
      <bottom style="medium">
        <color indexed="64"/>
      </bottom>
      <diagonal/>
    </border>
    <border>
      <left/>
      <right/>
      <top style="medium">
        <color auto="1"/>
      </top>
      <bottom style="medium">
        <color auto="1"/>
      </bottom>
      <diagonal/>
    </border>
    <border>
      <left/>
      <right/>
      <top style="medium">
        <color auto="1"/>
      </top>
      <bottom style="medium">
        <color auto="1"/>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diagonal/>
    </border>
    <border>
      <left style="thin">
        <color indexed="64"/>
      </left>
      <right style="medium">
        <color indexed="64"/>
      </right>
      <top/>
      <bottom style="thin">
        <color indexed="64"/>
      </bottom>
      <diagonal/>
    </border>
    <border>
      <left/>
      <right/>
      <top style="thin">
        <color indexed="64"/>
      </top>
      <bottom style="double">
        <color indexed="64"/>
      </bottom>
      <diagonal/>
    </border>
    <border>
      <left style="medium">
        <color indexed="64"/>
      </left>
      <right/>
      <top style="medium">
        <color indexed="64"/>
      </top>
      <bottom style="medium">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medium">
        <color indexed="64"/>
      </bottom>
      <diagonal/>
    </border>
    <border>
      <left style="thin">
        <color auto="1"/>
      </left>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diagonal/>
    </border>
    <border>
      <left style="medium">
        <color indexed="64"/>
      </left>
      <right style="thin">
        <color indexed="64"/>
      </right>
      <top/>
      <bottom/>
      <diagonal/>
    </border>
    <border>
      <left style="thin">
        <color indexed="8"/>
      </left>
      <right style="thin">
        <color indexed="8"/>
      </right>
      <top style="double">
        <color indexed="64"/>
      </top>
      <bottom style="medium">
        <color indexed="8"/>
      </bottom>
      <diagonal/>
    </border>
    <border>
      <left style="thin">
        <color indexed="8"/>
      </left>
      <right style="thin">
        <color indexed="8"/>
      </right>
      <top style="double">
        <color indexed="64"/>
      </top>
      <bottom style="medium">
        <color indexed="64"/>
      </bottom>
      <diagonal/>
    </border>
    <border>
      <left/>
      <right/>
      <top/>
      <bottom style="medium">
        <color indexed="64"/>
      </bottom>
      <diagonal/>
    </border>
    <border>
      <left style="thin">
        <color auto="1"/>
      </left>
      <right style="thin">
        <color auto="1"/>
      </right>
      <top/>
      <bottom/>
      <diagonal/>
    </border>
    <border>
      <left style="thin">
        <color auto="1"/>
      </left>
      <right/>
      <top style="thin">
        <color indexed="64"/>
      </top>
      <bottom style="medium">
        <color indexed="64"/>
      </bottom>
      <diagonal/>
    </border>
    <border>
      <left style="thin">
        <color indexed="64"/>
      </left>
      <right/>
      <top/>
      <bottom/>
      <diagonal/>
    </border>
    <border>
      <left style="thin">
        <color indexed="64"/>
      </left>
      <right style="medium">
        <color indexed="64"/>
      </right>
      <top/>
      <bottom/>
      <diagonal/>
    </border>
    <border>
      <left style="thin">
        <color indexed="64"/>
      </left>
      <right/>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top style="medium">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auto="1"/>
      </top>
      <bottom style="medium">
        <color auto="1"/>
      </bottom>
      <diagonal/>
    </border>
    <border>
      <left style="thin">
        <color indexed="64"/>
      </left>
      <right/>
      <top style="medium">
        <color auto="1"/>
      </top>
      <bottom style="medium">
        <color indexed="64"/>
      </bottom>
      <diagonal/>
    </border>
    <border>
      <left style="thin">
        <color auto="1"/>
      </left>
      <right style="thin">
        <color auto="1"/>
      </right>
      <top style="medium">
        <color auto="1"/>
      </top>
      <bottom/>
      <diagonal/>
    </border>
    <border>
      <left/>
      <right/>
      <top style="medium">
        <color auto="1"/>
      </top>
      <bottom style="medium">
        <color indexed="64"/>
      </bottom>
      <diagonal/>
    </border>
    <border>
      <left style="medium">
        <color indexed="64"/>
      </left>
      <right/>
      <top style="medium">
        <color indexed="64"/>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8"/>
      </right>
      <top/>
      <bottom/>
      <diagonal/>
    </border>
    <border>
      <left/>
      <right style="medium">
        <color indexed="64"/>
      </right>
      <top/>
      <bottom style="thin">
        <color indexed="64"/>
      </bottom>
      <diagonal/>
    </border>
    <border>
      <left/>
      <right style="medium">
        <color indexed="64"/>
      </right>
      <top style="double">
        <color indexed="64"/>
      </top>
      <bottom style="medium">
        <color indexed="8"/>
      </bottom>
      <diagonal/>
    </border>
    <border>
      <left/>
      <right style="medium">
        <color indexed="64"/>
      </right>
      <top style="double">
        <color indexed="64"/>
      </top>
      <bottom style="medium">
        <color indexed="64"/>
      </bottom>
      <diagonal/>
    </border>
    <border>
      <left style="thin">
        <color auto="1"/>
      </left>
      <right style="medium">
        <color indexed="64"/>
      </right>
      <top/>
      <bottom/>
      <diagonal/>
    </border>
    <border>
      <left style="medium">
        <color indexed="64"/>
      </left>
      <right/>
      <top style="medium">
        <color indexed="64"/>
      </top>
      <bottom style="medium">
        <color auto="1"/>
      </bottom>
      <diagonal/>
    </border>
    <border>
      <left style="medium">
        <color indexed="64"/>
      </left>
      <right style="thin">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right/>
      <top/>
      <bottom style="medium">
        <color indexed="64"/>
      </bottom>
      <diagonal/>
    </border>
    <border>
      <left/>
      <right/>
      <top style="medium">
        <color indexed="64"/>
      </top>
      <bottom style="medium">
        <color auto="1"/>
      </bottom>
      <diagonal/>
    </border>
    <border>
      <left style="thin">
        <color auto="1"/>
      </left>
      <right style="thin">
        <color indexed="64"/>
      </right>
      <top style="medium">
        <color indexed="64"/>
      </top>
      <bottom style="medium">
        <color indexed="64"/>
      </bottom>
      <diagonal/>
    </border>
    <border>
      <left/>
      <right/>
      <top style="medium">
        <color indexed="64"/>
      </top>
      <bottom/>
      <diagonal/>
    </border>
    <border>
      <left style="thin">
        <color indexed="64"/>
      </left>
      <right/>
      <top style="medium">
        <color auto="1"/>
      </top>
      <bottom style="medium">
        <color auto="1"/>
      </bottom>
      <diagonal/>
    </border>
    <border>
      <left style="thin">
        <color indexed="64"/>
      </left>
      <right/>
      <top style="medium">
        <color indexed="64"/>
      </top>
      <bottom/>
      <diagonal/>
    </border>
    <border>
      <left/>
      <right style="thin">
        <color indexed="64"/>
      </right>
      <top style="medium">
        <color indexed="64"/>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auto="1"/>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style="thin">
        <color indexed="64"/>
      </left>
      <right/>
      <top/>
      <bottom style="thin">
        <color indexed="64"/>
      </bottom>
      <diagonal/>
    </border>
    <border>
      <left style="thin">
        <color indexed="8"/>
      </left>
      <right style="thin">
        <color indexed="8"/>
      </right>
      <top/>
      <bottom/>
      <diagonal/>
    </border>
    <border>
      <left style="thin">
        <color indexed="64"/>
      </left>
      <right/>
      <top/>
      <bottom/>
      <diagonal/>
    </border>
    <border>
      <left style="thin">
        <color auto="1"/>
      </left>
      <right style="thin">
        <color auto="1"/>
      </right>
      <top/>
      <bottom/>
      <diagonal/>
    </border>
    <border>
      <left style="medium">
        <color indexed="64"/>
      </left>
      <right style="thin">
        <color auto="1"/>
      </right>
      <top/>
      <bottom style="thin">
        <color indexed="64"/>
      </bottom>
      <diagonal/>
    </border>
    <border>
      <left style="medium">
        <color indexed="64"/>
      </left>
      <right style="medium">
        <color indexed="64"/>
      </right>
      <top/>
      <bottom style="medium">
        <color indexed="64"/>
      </bottom>
      <diagonal/>
    </border>
    <border>
      <left/>
      <right/>
      <top/>
      <bottom style="medium">
        <color indexed="30"/>
      </bottom>
      <diagonal/>
    </border>
    <border>
      <left/>
      <right style="thin">
        <color auto="1"/>
      </right>
      <top/>
      <bottom/>
      <diagonal/>
    </border>
    <border>
      <left/>
      <right/>
      <top/>
      <bottom style="medium">
        <color indexed="30"/>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top style="thin">
        <color indexed="64"/>
      </top>
      <bottom/>
      <diagonal/>
    </border>
    <border>
      <left style="medium">
        <color indexed="64"/>
      </left>
      <right/>
      <top/>
      <bottom style="medium">
        <color indexed="64"/>
      </bottom>
      <diagonal/>
    </border>
    <border>
      <left style="thin">
        <color auto="1"/>
      </left>
      <right/>
      <top/>
      <bottom/>
      <diagonal/>
    </border>
    <border>
      <left style="medium">
        <color indexed="64"/>
      </left>
      <right style="thin">
        <color indexed="64"/>
      </right>
      <top style="thin">
        <color indexed="64"/>
      </top>
      <bottom style="thin">
        <color indexed="64"/>
      </bottom>
      <diagonal/>
    </border>
    <border>
      <left style="thin">
        <color auto="1"/>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diagonal/>
    </border>
    <border>
      <left style="thin">
        <color indexed="64"/>
      </left>
      <right/>
      <top/>
      <bottom/>
      <diagonal/>
    </border>
    <border>
      <left style="thin">
        <color indexed="64"/>
      </left>
      <right style="medium">
        <color indexed="64"/>
      </right>
      <top/>
      <bottom/>
      <diagonal/>
    </border>
    <border>
      <left style="thin">
        <color indexed="64"/>
      </left>
      <right/>
      <top/>
      <bottom style="medium">
        <color indexed="64"/>
      </bottom>
      <diagonal/>
    </border>
    <border>
      <left style="thin">
        <color auto="1"/>
      </left>
      <right style="thin">
        <color auto="1"/>
      </right>
      <top style="thin">
        <color auto="1"/>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medium">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indexed="64"/>
      </left>
      <right style="thick">
        <color indexed="64"/>
      </right>
      <top style="medium">
        <color indexed="64"/>
      </top>
      <bottom/>
      <diagonal/>
    </border>
    <border>
      <left style="medium">
        <color indexed="64"/>
      </left>
      <right style="thick">
        <color indexed="64"/>
      </right>
      <top/>
      <bottom/>
      <diagonal/>
    </border>
    <border>
      <left style="medium">
        <color indexed="64"/>
      </left>
      <right style="thick">
        <color indexed="64"/>
      </right>
      <top/>
      <bottom style="medium">
        <color indexed="64"/>
      </bottom>
      <diagonal/>
    </border>
    <border>
      <left style="thin">
        <color indexed="64"/>
      </left>
      <right style="thin">
        <color indexed="64"/>
      </right>
      <top/>
      <bottom/>
      <diagonal/>
    </border>
    <border>
      <left style="thin">
        <color indexed="64"/>
      </left>
      <right/>
      <top/>
      <bottom/>
      <diagonal/>
    </border>
    <border>
      <left style="thin">
        <color indexed="64"/>
      </left>
      <right/>
      <top style="medium">
        <color auto="1"/>
      </top>
      <bottom style="medium">
        <color auto="1"/>
      </bottom>
      <diagonal/>
    </border>
    <border>
      <left style="thin">
        <color auto="1"/>
      </left>
      <right/>
      <top style="medium">
        <color indexed="64"/>
      </top>
      <bottom style="thin">
        <color indexed="64"/>
      </bottom>
      <diagonal/>
    </border>
    <border>
      <left style="medium">
        <color indexed="64"/>
      </left>
      <right style="thin">
        <color indexed="64"/>
      </right>
      <top style="medium">
        <color indexed="64"/>
      </top>
      <bottom/>
      <diagonal/>
    </border>
    <border>
      <left style="thin">
        <color auto="1"/>
      </left>
      <right style="thin">
        <color indexed="64"/>
      </right>
      <top/>
      <bottom/>
      <diagonal/>
    </border>
    <border>
      <left style="thin">
        <color auto="1"/>
      </left>
      <right style="medium">
        <color indexed="64"/>
      </right>
      <top/>
      <bottom/>
      <diagonal/>
    </border>
    <border>
      <left/>
      <right/>
      <top style="medium">
        <color auto="1"/>
      </top>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auto="1"/>
      </left>
      <right style="thin">
        <color indexed="64"/>
      </right>
      <top/>
      <bottom style="medium">
        <color indexed="64"/>
      </bottom>
      <diagonal/>
    </border>
    <border>
      <left style="thin">
        <color indexed="64"/>
      </left>
      <right style="thin">
        <color indexed="64"/>
      </right>
      <top style="medium">
        <color auto="1"/>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auto="1"/>
      </top>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medium">
        <color auto="1"/>
      </bottom>
      <diagonal/>
    </border>
    <border>
      <left style="thin">
        <color indexed="64"/>
      </left>
      <right/>
      <top/>
      <bottom/>
      <diagonal/>
    </border>
    <border>
      <left style="medium">
        <color indexed="64"/>
      </left>
      <right style="thin">
        <color indexed="64"/>
      </right>
      <top style="medium">
        <color indexed="64"/>
      </top>
      <bottom style="medium">
        <color auto="1"/>
      </bottom>
      <diagonal/>
    </border>
    <border>
      <left style="thin">
        <color auto="1"/>
      </left>
      <right/>
      <top style="medium">
        <color indexed="64"/>
      </top>
      <bottom style="medium">
        <color indexed="64"/>
      </bottom>
      <diagonal/>
    </border>
    <border>
      <left/>
      <right/>
      <top/>
      <bottom style="medium">
        <color indexed="64"/>
      </bottom>
      <diagonal/>
    </border>
    <border>
      <left style="thin">
        <color indexed="8"/>
      </left>
      <right style="thin">
        <color indexed="8"/>
      </right>
      <top/>
      <bottom/>
      <diagonal/>
    </border>
    <border>
      <left/>
      <right style="thin">
        <color indexed="8"/>
      </right>
      <top style="medium">
        <color indexed="64"/>
      </top>
      <bottom style="medium">
        <color indexed="64"/>
      </bottom>
      <diagonal/>
    </border>
    <border>
      <left/>
      <right style="thin">
        <color indexed="8"/>
      </right>
      <top style="double">
        <color indexed="64"/>
      </top>
      <bottom style="medium">
        <color indexed="8"/>
      </bottom>
      <diagonal/>
    </border>
    <border>
      <left/>
      <right style="thin">
        <color indexed="8"/>
      </right>
      <top style="double">
        <color indexed="64"/>
      </top>
      <bottom style="medium">
        <color indexed="64"/>
      </bottom>
      <diagonal/>
    </border>
    <border>
      <left style="thin">
        <color indexed="64"/>
      </left>
      <right style="thin">
        <color indexed="64"/>
      </right>
      <top/>
      <bottom style="medium">
        <color indexed="64"/>
      </bottom>
      <diagonal/>
    </border>
    <border>
      <left style="thin">
        <color auto="1"/>
      </left>
      <right/>
      <top/>
      <bottom/>
      <diagonal/>
    </border>
    <border>
      <left style="thin">
        <color auto="1"/>
      </left>
      <right/>
      <top style="thin">
        <color auto="1"/>
      </top>
      <bottom style="medium">
        <color indexed="64"/>
      </bottom>
      <diagonal/>
    </border>
    <border>
      <left style="thin">
        <color auto="1"/>
      </left>
      <right style="thin">
        <color indexed="64"/>
      </right>
      <top/>
      <bottom/>
      <diagonal/>
    </border>
    <border>
      <left style="thin">
        <color indexed="64"/>
      </left>
      <right style="thin">
        <color indexed="64"/>
      </right>
      <top style="medium">
        <color indexed="64"/>
      </top>
      <bottom/>
      <diagonal/>
    </border>
    <border>
      <left/>
      <right/>
      <top style="medium">
        <color indexed="64"/>
      </top>
      <bottom style="medium">
        <color auto="1"/>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auto="1"/>
      </bottom>
      <diagonal/>
    </border>
    <border>
      <left/>
      <right style="medium">
        <color indexed="64"/>
      </right>
      <top style="medium">
        <color indexed="64"/>
      </top>
      <bottom style="medium">
        <color indexed="64"/>
      </bottom>
      <diagonal/>
    </border>
    <border>
      <left style="thin">
        <color indexed="64"/>
      </left>
      <right style="thin">
        <color indexed="64"/>
      </right>
      <top/>
      <bottom style="medium">
        <color auto="1"/>
      </bottom>
      <diagonal/>
    </border>
    <border>
      <left style="medium">
        <color indexed="64"/>
      </left>
      <right style="thin">
        <color indexed="64"/>
      </right>
      <top/>
      <bottom style="medium">
        <color auto="1"/>
      </bottom>
      <diagonal/>
    </border>
    <border>
      <left style="thin">
        <color indexed="8"/>
      </left>
      <right style="thin">
        <color indexed="64"/>
      </right>
      <top style="medium">
        <color indexed="64"/>
      </top>
      <bottom style="medium">
        <color indexed="64"/>
      </bottom>
      <diagonal/>
    </border>
    <border>
      <left style="thin">
        <color indexed="8"/>
      </left>
      <right style="thin">
        <color indexed="8"/>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top/>
      <bottom/>
      <diagonal/>
    </border>
    <border>
      <left style="thin">
        <color indexed="8"/>
      </left>
      <right style="medium">
        <color indexed="64"/>
      </right>
      <top/>
      <bottom/>
      <diagonal/>
    </border>
    <border>
      <left style="thin">
        <color indexed="64"/>
      </left>
      <right style="thin">
        <color indexed="64"/>
      </right>
      <top/>
      <bottom/>
      <diagonal/>
    </border>
    <border>
      <left style="thin">
        <color indexed="64"/>
      </left>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8"/>
      </left>
      <right style="thin">
        <color indexed="8"/>
      </right>
      <top style="medium">
        <color indexed="64"/>
      </top>
      <bottom style="medium">
        <color indexed="64"/>
      </bottom>
      <diagonal/>
    </border>
    <border>
      <left/>
      <right/>
      <top style="thin">
        <color indexed="64"/>
      </top>
      <bottom style="thin">
        <color indexed="64"/>
      </bottom>
      <diagonal/>
    </border>
    <border>
      <left/>
      <right/>
      <top/>
      <bottom style="medium">
        <color auto="1"/>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style="thin">
        <color indexed="64"/>
      </left>
      <right style="thin">
        <color auto="1"/>
      </right>
      <top/>
      <bottom/>
      <diagonal/>
    </border>
    <border>
      <left style="thin">
        <color auto="1"/>
      </left>
      <right style="thin">
        <color indexed="64"/>
      </right>
      <top style="medium">
        <color indexed="64"/>
      </top>
      <bottom style="medium">
        <color indexed="64"/>
      </bottom>
      <diagonal/>
    </border>
    <border>
      <left style="thin">
        <color indexed="64"/>
      </left>
      <right/>
      <top style="medium">
        <color indexed="64"/>
      </top>
      <bottom style="medium">
        <color auto="1"/>
      </bottom>
      <diagonal/>
    </border>
    <border>
      <left style="thin">
        <color indexed="64"/>
      </left>
      <right style="thin">
        <color indexed="64"/>
      </right>
      <top style="medium">
        <color auto="1"/>
      </top>
      <bottom/>
      <diagonal/>
    </border>
    <border>
      <left style="medium">
        <color indexed="64"/>
      </left>
      <right style="thin">
        <color indexed="8"/>
      </right>
      <top style="double">
        <color indexed="64"/>
      </top>
      <bottom style="medium">
        <color indexed="64"/>
      </bottom>
      <diagonal/>
    </border>
    <border>
      <left/>
      <right/>
      <top style="medium">
        <color indexed="64"/>
      </top>
      <bottom/>
      <diagonal/>
    </border>
    <border>
      <left style="thin">
        <color auto="1"/>
      </left>
      <right/>
      <top/>
      <bottom style="thin">
        <color indexed="64"/>
      </bottom>
      <diagonal/>
    </border>
    <border>
      <left style="thin">
        <color indexed="64"/>
      </left>
      <right/>
      <top/>
      <bottom/>
      <diagonal/>
    </border>
    <border>
      <left style="thin">
        <color indexed="23"/>
      </left>
      <right style="thin">
        <color indexed="23"/>
      </right>
      <top style="thin">
        <color indexed="23"/>
      </top>
      <bottom style="thin">
        <color indexed="23"/>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auto="1"/>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thin">
        <color indexed="64"/>
      </top>
      <bottom/>
      <diagonal/>
    </border>
    <border>
      <left/>
      <right style="medium">
        <color indexed="64"/>
      </right>
      <top/>
      <bottom style="medium">
        <color auto="1"/>
      </bottom>
      <diagonal/>
    </border>
    <border>
      <left/>
      <right style="thin">
        <color indexed="64"/>
      </right>
      <top/>
      <bottom style="medium">
        <color auto="1"/>
      </bottom>
      <diagonal/>
    </border>
    <border>
      <left/>
      <right/>
      <top/>
      <bottom style="medium">
        <color indexed="64"/>
      </bottom>
      <diagonal/>
    </border>
    <border>
      <left style="thin">
        <color auto="1"/>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auto="1"/>
      </top>
      <bottom/>
      <diagonal/>
    </border>
    <border>
      <left style="thin">
        <color indexed="64"/>
      </left>
      <right style="thin">
        <color indexed="64"/>
      </right>
      <top/>
      <bottom style="medium">
        <color indexed="64"/>
      </bottom>
      <diagonal/>
    </border>
    <border>
      <left style="thin">
        <color auto="1"/>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bottom style="medium">
        <color auto="1"/>
      </bottom>
      <diagonal/>
    </border>
    <border>
      <left style="thin">
        <color auto="1"/>
      </left>
      <right style="thin">
        <color auto="1"/>
      </right>
      <top/>
      <bottom style="medium">
        <color auto="1"/>
      </bottom>
      <diagonal/>
    </border>
    <border>
      <left style="thin">
        <color indexed="64"/>
      </left>
      <right/>
      <top/>
      <bottom style="medium">
        <color indexed="64"/>
      </bottom>
      <diagonal/>
    </border>
    <border>
      <left/>
      <right/>
      <top style="thin">
        <color indexed="64"/>
      </top>
      <bottom style="medium">
        <color indexed="64"/>
      </bottom>
      <diagonal/>
    </border>
    <border>
      <left/>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medium">
        <color indexed="64"/>
      </right>
      <top style="thin">
        <color indexed="64"/>
      </top>
      <bottom style="thin">
        <color indexed="64"/>
      </bottom>
      <diagonal/>
    </border>
    <border>
      <left style="thin">
        <color indexed="64"/>
      </left>
      <right style="thin">
        <color auto="1"/>
      </right>
      <top/>
      <bottom style="medium">
        <color indexed="64"/>
      </bottom>
      <diagonal/>
    </border>
    <border>
      <left/>
      <right/>
      <top/>
      <bottom style="medium">
        <color indexed="64"/>
      </bottom>
      <diagonal/>
    </border>
    <border>
      <left style="thin">
        <color auto="1"/>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diagonal/>
    </border>
    <border>
      <left style="thin">
        <color auto="1"/>
      </left>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thin">
        <color indexed="64"/>
      </top>
      <bottom style="medium">
        <color auto="1"/>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auto="1"/>
      </left>
      <right style="thin">
        <color indexed="64"/>
      </right>
      <top style="thin">
        <color indexed="64"/>
      </top>
      <bottom style="thin">
        <color indexed="64"/>
      </bottom>
      <diagonal/>
    </border>
    <border>
      <left style="thin">
        <color indexed="8"/>
      </left>
      <right style="thin">
        <color indexed="8"/>
      </right>
      <top/>
      <bottom/>
      <diagonal/>
    </border>
    <border>
      <left style="thin">
        <color indexed="64"/>
      </left>
      <right style="medium">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medium">
        <color indexed="64"/>
      </left>
      <right style="thin">
        <color indexed="64"/>
      </right>
      <top/>
      <bottom style="medium">
        <color indexed="64"/>
      </bottom>
      <diagonal/>
    </border>
    <border>
      <left style="thin">
        <color auto="1"/>
      </left>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30"/>
      </bottom>
      <diagonal/>
    </border>
    <border>
      <left/>
      <right/>
      <top style="medium">
        <color auto="1"/>
      </top>
      <bottom/>
      <diagonal/>
    </border>
    <border>
      <left/>
      <right/>
      <top/>
      <bottom style="medium">
        <color indexed="64"/>
      </bottom>
      <diagonal/>
    </border>
    <border>
      <left/>
      <right style="thin">
        <color indexed="64"/>
      </right>
      <top/>
      <bottom style="medium">
        <color indexed="64"/>
      </bottom>
      <diagonal/>
    </border>
    <border>
      <left/>
      <right style="medium">
        <color indexed="64"/>
      </right>
      <top style="medium">
        <color indexed="64"/>
      </top>
      <bottom/>
      <diagonal/>
    </border>
    <border>
      <left style="thin">
        <color auto="1"/>
      </left>
      <right/>
      <top/>
      <bottom style="medium">
        <color auto="1"/>
      </bottom>
      <diagonal/>
    </border>
    <border>
      <left style="thin">
        <color auto="1"/>
      </left>
      <right style="thin">
        <color auto="1"/>
      </right>
      <top style="thin">
        <color auto="1"/>
      </top>
      <bottom/>
      <diagonal/>
    </border>
    <border>
      <left/>
      <right style="medium">
        <color indexed="64"/>
      </right>
      <top/>
      <bottom style="medium">
        <color auto="1"/>
      </bottom>
      <diagonal/>
    </border>
    <border>
      <left/>
      <right/>
      <top style="thin">
        <color indexed="64"/>
      </top>
      <bottom/>
      <diagonal/>
    </border>
    <border>
      <left style="thin">
        <color auto="1"/>
      </left>
      <right style="thin">
        <color indexed="64"/>
      </right>
      <top/>
      <bottom/>
      <diagonal/>
    </border>
    <border>
      <left style="thin">
        <color auto="1"/>
      </left>
      <right style="medium">
        <color auto="1"/>
      </right>
      <top/>
      <bottom/>
      <diagonal/>
    </border>
    <border>
      <left style="thin">
        <color auto="1"/>
      </left>
      <right/>
      <top/>
      <bottom/>
      <diagonal/>
    </border>
    <border>
      <left/>
      <right style="thin">
        <color indexed="64"/>
      </right>
      <top style="medium">
        <color indexed="64"/>
      </top>
      <bottom/>
      <diagonal/>
    </border>
    <border>
      <left style="thin">
        <color auto="1"/>
      </left>
      <right style="medium">
        <color indexed="64"/>
      </right>
      <top style="thin">
        <color indexed="64"/>
      </top>
      <bottom/>
      <diagonal/>
    </border>
    <border>
      <left style="medium">
        <color indexed="64"/>
      </left>
      <right style="thin">
        <color indexed="64"/>
      </right>
      <top style="double">
        <color indexed="64"/>
      </top>
      <bottom style="medium">
        <color indexed="64"/>
      </bottom>
      <diagonal/>
    </border>
    <border>
      <left style="thin">
        <color auto="1"/>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30"/>
      </bottom>
      <diagonal/>
    </border>
    <border>
      <left style="thin">
        <color auto="1"/>
      </left>
      <right style="medium">
        <color indexed="64"/>
      </right>
      <top style="thin">
        <color indexed="64"/>
      </top>
      <bottom style="thin">
        <color indexed="64"/>
      </bottom>
      <diagonal/>
    </border>
    <border>
      <left/>
      <right style="thin">
        <color auto="1"/>
      </right>
      <top/>
      <bottom style="medium">
        <color indexed="64"/>
      </bottom>
      <diagonal/>
    </border>
    <border>
      <left style="thin">
        <color auto="1"/>
      </left>
      <right style="medium">
        <color indexed="64"/>
      </right>
      <top/>
      <bottom style="medium">
        <color indexed="64"/>
      </bottom>
      <diagonal/>
    </border>
    <border>
      <left style="thin">
        <color auto="1"/>
      </left>
      <right style="thin">
        <color auto="1"/>
      </right>
      <top/>
      <bottom style="medium">
        <color auto="1"/>
      </bottom>
      <diagonal/>
    </border>
    <border>
      <left style="thin">
        <color indexed="64"/>
      </left>
      <right style="thin">
        <color indexed="64"/>
      </right>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30"/>
      </bottom>
      <diagonal/>
    </border>
    <border>
      <left/>
      <right style="medium">
        <color indexed="64"/>
      </right>
      <top/>
      <bottom style="medium">
        <color indexed="64"/>
      </bottom>
      <diagonal/>
    </border>
    <border>
      <left style="thin">
        <color auto="1"/>
      </left>
      <right style="thin">
        <color indexed="64"/>
      </right>
      <top/>
      <bottom style="thin">
        <color indexed="64"/>
      </bottom>
      <diagonal/>
    </border>
    <border>
      <left style="thin">
        <color auto="1"/>
      </left>
      <right/>
      <top style="thin">
        <color indexed="64"/>
      </top>
      <bottom style="thin">
        <color indexed="64"/>
      </bottom>
      <diagonal/>
    </border>
    <border>
      <left style="thin">
        <color auto="1"/>
      </left>
      <right style="thin">
        <color indexed="64"/>
      </right>
      <top style="thin">
        <color indexed="64"/>
      </top>
      <bottom style="thin">
        <color indexed="64"/>
      </bottom>
      <diagonal/>
    </border>
    <border>
      <left/>
      <right/>
      <top/>
      <bottom style="medium">
        <color auto="1"/>
      </bottom>
      <diagonal/>
    </border>
    <border>
      <left/>
      <right style="medium">
        <color indexed="64"/>
      </right>
      <top/>
      <bottom style="medium">
        <color indexed="64"/>
      </bottom>
      <diagonal/>
    </border>
    <border>
      <left style="thin">
        <color indexed="64"/>
      </left>
      <right/>
      <top/>
      <bottom style="medium">
        <color indexed="64"/>
      </bottom>
      <diagonal/>
    </border>
    <border>
      <left style="thin">
        <color auto="1"/>
      </left>
      <right style="thin">
        <color indexed="64"/>
      </right>
      <top/>
      <bottom style="medium">
        <color indexed="64"/>
      </bottom>
      <diagonal/>
    </border>
    <border>
      <left style="thin">
        <color auto="1"/>
      </left>
      <right/>
      <top/>
      <bottom style="medium">
        <color indexed="64"/>
      </bottom>
      <diagonal/>
    </border>
    <border>
      <left style="thin">
        <color auto="1"/>
      </left>
      <right style="medium">
        <color auto="1"/>
      </right>
      <top/>
      <bottom style="medium">
        <color indexed="64"/>
      </bottom>
      <diagonal/>
    </border>
    <border>
      <left style="thin">
        <color auto="1"/>
      </left>
      <right/>
      <top style="thin">
        <color auto="1"/>
      </top>
      <bottom style="medium">
        <color indexed="64"/>
      </bottom>
      <diagonal/>
    </border>
    <border>
      <left style="thin">
        <color auto="1"/>
      </left>
      <right style="thin">
        <color auto="1"/>
      </right>
      <top style="thin">
        <color auto="1"/>
      </top>
      <bottom style="medium">
        <color indexed="64"/>
      </bottom>
      <diagonal/>
    </border>
    <border>
      <left/>
      <right/>
      <top style="thin">
        <color indexed="64"/>
      </top>
      <bottom style="medium">
        <color indexed="64"/>
      </bottom>
      <diagonal/>
    </border>
    <border>
      <left style="thin">
        <color auto="1"/>
      </left>
      <right style="thin">
        <color auto="1"/>
      </right>
      <top style="thin">
        <color auto="1"/>
      </top>
      <bottom/>
      <diagonal/>
    </border>
    <border>
      <left/>
      <right style="thin">
        <color indexed="64"/>
      </right>
      <top style="thin">
        <color indexed="64"/>
      </top>
      <bottom style="medium">
        <color auto="1"/>
      </bottom>
      <diagonal/>
    </border>
    <border>
      <left style="thin">
        <color auto="1"/>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23"/>
      </left>
      <right style="thin">
        <color indexed="23"/>
      </right>
      <top style="thin">
        <color indexed="23"/>
      </top>
      <bottom style="thin">
        <color indexed="23"/>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auto="1"/>
      </right>
      <top/>
      <bottom style="medium">
        <color indexed="64"/>
      </bottom>
      <diagonal/>
    </border>
    <border>
      <left style="thin">
        <color indexed="64"/>
      </left>
      <right/>
      <top style="medium">
        <color indexed="64"/>
      </top>
      <bottom/>
      <diagonal/>
    </border>
    <border>
      <left style="thin">
        <color auto="1"/>
      </left>
      <right style="thin">
        <color auto="1"/>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right/>
      <top style="medium">
        <color indexed="64"/>
      </top>
      <bottom/>
      <diagonal/>
    </border>
    <border>
      <left style="medium">
        <color indexed="64"/>
      </left>
      <right style="thin">
        <color indexed="64"/>
      </right>
      <top/>
      <bottom style="medium">
        <color indexed="8"/>
      </bottom>
      <diagonal/>
    </border>
    <border>
      <left style="thin">
        <color indexed="8"/>
      </left>
      <right style="medium">
        <color indexed="64"/>
      </right>
      <top/>
      <bottom style="medium">
        <color indexed="8"/>
      </bottom>
      <diagonal/>
    </border>
    <border>
      <left style="thin">
        <color indexed="64"/>
      </left>
      <right style="thin">
        <color indexed="64"/>
      </right>
      <top style="medium">
        <color indexed="8"/>
      </top>
      <bottom/>
      <diagonal/>
    </border>
    <border>
      <left/>
      <right style="thin">
        <color indexed="8"/>
      </right>
      <top style="medium">
        <color indexed="8"/>
      </top>
      <bottom/>
      <diagonal/>
    </border>
    <border>
      <left style="thin">
        <color indexed="8"/>
      </left>
      <right style="medium">
        <color indexed="64"/>
      </right>
      <top style="medium">
        <color indexed="8"/>
      </top>
      <bottom/>
      <diagonal/>
    </border>
    <border>
      <left style="thin">
        <color indexed="8"/>
      </left>
      <right style="thin">
        <color indexed="8"/>
      </right>
      <top/>
      <bottom/>
      <diagonal/>
    </border>
    <border>
      <left style="thin">
        <color indexed="8"/>
      </left>
      <right style="medium">
        <color indexed="64"/>
      </right>
      <top/>
      <bottom/>
      <diagonal/>
    </border>
    <border>
      <left style="thin">
        <color indexed="64"/>
      </left>
      <right style="thin">
        <color indexed="64"/>
      </right>
      <top style="medium">
        <color auto="1"/>
      </top>
      <bottom/>
      <diagonal/>
    </border>
    <border>
      <left style="thin">
        <color auto="1"/>
      </left>
      <right style="thin">
        <color indexed="64"/>
      </right>
      <top style="medium">
        <color indexed="64"/>
      </top>
      <bottom style="medium">
        <color indexed="64"/>
      </bottom>
      <diagonal/>
    </border>
    <border>
      <left style="thin">
        <color indexed="8"/>
      </left>
      <right/>
      <top/>
      <bottom/>
      <diagonal/>
    </border>
    <border>
      <left/>
      <right/>
      <top style="medium">
        <color auto="1"/>
      </top>
      <bottom/>
      <diagonal/>
    </border>
    <border>
      <left/>
      <right style="thin">
        <color indexed="64"/>
      </right>
      <top style="medium">
        <color auto="1"/>
      </top>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thin">
        <color auto="1"/>
      </left>
      <right style="medium">
        <color auto="1"/>
      </right>
      <top style="medium">
        <color indexed="64"/>
      </top>
      <bottom style="medium">
        <color indexed="64"/>
      </bottom>
      <diagonal/>
    </border>
    <border>
      <left style="thin">
        <color indexed="64"/>
      </left>
      <right style="medium">
        <color indexed="64"/>
      </right>
      <top/>
      <bottom style="double">
        <color indexed="64"/>
      </bottom>
      <diagonal/>
    </border>
    <border>
      <left style="thin">
        <color indexed="64"/>
      </left>
      <right/>
      <top/>
      <bottom style="double">
        <color indexed="64"/>
      </bottom>
      <diagonal/>
    </border>
    <border>
      <left style="medium">
        <color indexed="64"/>
      </left>
      <right style="thin">
        <color indexed="64"/>
      </right>
      <top/>
      <bottom style="double">
        <color indexed="64"/>
      </bottom>
      <diagonal/>
    </border>
    <border>
      <left/>
      <right/>
      <top style="medium">
        <color indexed="64"/>
      </top>
      <bottom/>
      <diagonal/>
    </border>
    <border>
      <left style="thin">
        <color auto="1"/>
      </left>
      <right style="medium">
        <color indexed="64"/>
      </right>
      <top style="thin">
        <color auto="1"/>
      </top>
      <bottom style="thin">
        <color auto="1"/>
      </bottom>
      <diagonal/>
    </border>
    <border>
      <left/>
      <right style="medium">
        <color indexed="64"/>
      </right>
      <top style="medium">
        <color indexed="64"/>
      </top>
      <bottom/>
      <diagonal/>
    </border>
    <border>
      <left style="thin">
        <color indexed="64"/>
      </left>
      <right style="medium">
        <color indexed="64"/>
      </right>
      <top style="medium">
        <color auto="1"/>
      </top>
      <bottom/>
      <diagonal/>
    </border>
    <border>
      <left style="medium">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thin">
        <color indexed="64"/>
      </left>
      <right style="hair">
        <color indexed="64"/>
      </right>
      <top style="hair">
        <color indexed="64"/>
      </top>
      <bottom style="hair">
        <color indexed="64"/>
      </bottom>
      <diagonal/>
    </border>
    <border>
      <left style="thin">
        <color indexed="64"/>
      </left>
      <right style="medium">
        <color indexed="64"/>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theme="1"/>
      </top>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thin">
        <color indexed="64"/>
      </top>
      <bottom/>
      <diagonal/>
    </border>
    <border>
      <left style="thin">
        <color indexed="8"/>
      </left>
      <right style="medium">
        <color indexed="64"/>
      </right>
      <top/>
      <bottom/>
      <diagonal/>
    </border>
    <border>
      <left style="thin">
        <color indexed="8"/>
      </left>
      <right style="thin">
        <color indexed="64"/>
      </right>
      <top style="medium">
        <color indexed="8"/>
      </top>
      <bottom/>
      <diagonal/>
    </border>
    <border>
      <left style="thin">
        <color indexed="64"/>
      </left>
      <right style="thin">
        <color indexed="64"/>
      </right>
      <top/>
      <bottom style="medium">
        <color indexed="8"/>
      </bottom>
      <diagonal/>
    </border>
    <border>
      <left style="thin">
        <color indexed="64"/>
      </left>
      <right style="thin">
        <color indexed="8"/>
      </right>
      <top style="medium">
        <color indexed="64"/>
      </top>
      <bottom style="medium">
        <color auto="1"/>
      </bottom>
      <diagonal/>
    </border>
    <border>
      <left style="thin">
        <color indexed="8"/>
      </left>
      <right/>
      <top style="medium">
        <color indexed="64"/>
      </top>
      <bottom style="medium">
        <color indexed="64"/>
      </bottom>
      <diagonal/>
    </border>
    <border>
      <left style="thin">
        <color auto="1"/>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auto="1"/>
      </top>
      <bottom/>
      <diagonal/>
    </border>
    <border>
      <left style="thin">
        <color indexed="64"/>
      </left>
      <right/>
      <top style="medium">
        <color auto="1"/>
      </top>
      <bottom/>
      <diagonal/>
    </border>
    <border>
      <left style="thin">
        <color indexed="64"/>
      </left>
      <right style="thin">
        <color indexed="64"/>
      </right>
      <top style="medium">
        <color auto="1"/>
      </top>
      <bottom/>
      <diagonal/>
    </border>
    <border>
      <left style="thin">
        <color auto="1"/>
      </left>
      <right style="thin">
        <color auto="1"/>
      </right>
      <top style="thin">
        <color auto="1"/>
      </top>
      <bottom style="medium">
        <color indexed="64"/>
      </bottom>
      <diagonal/>
    </border>
    <border>
      <left style="thin">
        <color indexed="64"/>
      </left>
      <right style="medium">
        <color indexed="64"/>
      </right>
      <top style="thin">
        <color auto="1"/>
      </top>
      <bottom style="medium">
        <color indexed="64"/>
      </bottom>
      <diagonal/>
    </border>
    <border>
      <left/>
      <right style="medium">
        <color indexed="64"/>
      </right>
      <top style="medium">
        <color auto="1"/>
      </top>
      <bottom/>
      <diagonal/>
    </border>
    <border>
      <left/>
      <right/>
      <top style="medium">
        <color indexed="64"/>
      </top>
      <bottom/>
      <diagonal/>
    </border>
    <border>
      <left style="thin">
        <color indexed="64"/>
      </left>
      <right style="thin">
        <color indexed="64"/>
      </right>
      <top style="thin">
        <color auto="1"/>
      </top>
      <bottom style="medium">
        <color indexed="64"/>
      </bottom>
      <diagonal/>
    </border>
    <border>
      <left/>
      <right style="thin">
        <color indexed="8"/>
      </right>
      <top style="medium">
        <color indexed="64"/>
      </top>
      <bottom/>
      <diagonal/>
    </border>
    <border>
      <left style="medium">
        <color indexed="64"/>
      </left>
      <right/>
      <top/>
      <bottom style="double">
        <color indexed="64"/>
      </bottom>
      <diagonal/>
    </border>
    <border>
      <left style="thin">
        <color indexed="64"/>
      </left>
      <right style="thin">
        <color indexed="64"/>
      </right>
      <top style="thin">
        <color auto="1"/>
      </top>
      <bottom style="thin">
        <color auto="1"/>
      </bottom>
      <diagonal/>
    </border>
    <border>
      <left style="thin">
        <color indexed="64"/>
      </left>
      <right style="thin">
        <color indexed="64"/>
      </right>
      <top style="medium">
        <color indexed="64"/>
      </top>
      <bottom style="medium">
        <color theme="1"/>
      </bottom>
      <diagonal/>
    </border>
    <border>
      <left style="thin">
        <color indexed="64"/>
      </left>
      <right style="thin">
        <color indexed="8"/>
      </right>
      <top style="medium">
        <color indexed="64"/>
      </top>
      <bottom/>
      <diagonal/>
    </border>
    <border>
      <left style="thin">
        <color indexed="64"/>
      </left>
      <right style="thin">
        <color indexed="8"/>
      </right>
      <top/>
      <bottom style="medium">
        <color indexed="8"/>
      </bottom>
      <diagonal/>
    </border>
    <border>
      <left style="thin">
        <color indexed="8"/>
      </left>
      <right style="thin">
        <color indexed="64"/>
      </right>
      <top style="medium">
        <color indexed="64"/>
      </top>
      <bottom/>
      <diagonal/>
    </border>
    <border>
      <left style="thin">
        <color indexed="8"/>
      </left>
      <right style="thin">
        <color indexed="64"/>
      </right>
      <top/>
      <bottom style="medium">
        <color indexed="8"/>
      </bottom>
      <diagonal/>
    </border>
    <border>
      <left style="thin">
        <color indexed="8"/>
      </left>
      <right style="medium">
        <color indexed="64"/>
      </right>
      <top style="medium">
        <color indexed="64"/>
      </top>
      <bottom/>
      <diagonal/>
    </border>
    <border>
      <left style="thin">
        <color indexed="8"/>
      </left>
      <right/>
      <top/>
      <bottom/>
      <diagonal/>
    </border>
    <border>
      <left style="thin">
        <color indexed="64"/>
      </left>
      <right style="thin">
        <color auto="1"/>
      </right>
      <top/>
      <bottom/>
      <diagonal/>
    </border>
    <border>
      <left style="medium">
        <color indexed="64"/>
      </left>
      <right style="thin">
        <color indexed="8"/>
      </right>
      <top style="medium">
        <color indexed="64"/>
      </top>
      <bottom style="medium">
        <color indexed="64"/>
      </bottom>
      <diagonal/>
    </border>
    <border>
      <left style="thin">
        <color indexed="8"/>
      </left>
      <right/>
      <top style="medium">
        <color indexed="64"/>
      </top>
      <bottom style="medium">
        <color indexed="64"/>
      </bottom>
      <diagonal/>
    </border>
    <border>
      <left style="thin">
        <color indexed="8"/>
      </left>
      <right style="thin">
        <color indexed="64"/>
      </right>
      <top style="medium">
        <color indexed="64"/>
      </top>
      <bottom style="medium">
        <color indexed="64"/>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style="medium">
        <color indexed="64"/>
      </left>
      <right style="medium">
        <color indexed="64"/>
      </right>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style="medium">
        <color auto="1"/>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right style="medium">
        <color indexed="64"/>
      </right>
      <top style="thin">
        <color auto="1"/>
      </top>
      <bottom style="medium">
        <color indexed="64"/>
      </bottom>
      <diagonal/>
    </border>
    <border>
      <left style="thin">
        <color indexed="64"/>
      </left>
      <right style="thin">
        <color indexed="64"/>
      </right>
      <top style="thin">
        <color indexed="64"/>
      </top>
      <bottom style="thin">
        <color indexed="64"/>
      </bottom>
      <diagonal/>
    </border>
    <border>
      <left/>
      <right style="thin">
        <color auto="1"/>
      </right>
      <top style="thin">
        <color indexed="64"/>
      </top>
      <bottom style="thin">
        <color indexed="64"/>
      </bottom>
      <diagonal/>
    </border>
    <border>
      <left style="medium">
        <color indexed="64"/>
      </left>
      <right/>
      <top style="thin">
        <color indexed="64"/>
      </top>
      <bottom style="thin">
        <color indexed="64"/>
      </bottom>
      <diagonal/>
    </border>
    <border>
      <left/>
      <right style="thin">
        <color auto="1"/>
      </right>
      <top style="thin">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auto="1"/>
      </right>
      <top style="medium">
        <color indexed="64"/>
      </top>
      <bottom/>
      <diagonal/>
    </border>
    <border>
      <left/>
      <right style="thin">
        <color indexed="64"/>
      </right>
      <top style="medium">
        <color indexed="64"/>
      </top>
      <bottom/>
      <diagonal/>
    </border>
    <border>
      <left style="thin">
        <color indexed="64"/>
      </left>
      <right style="thin">
        <color indexed="64"/>
      </right>
      <top/>
      <bottom style="medium">
        <color auto="1"/>
      </bottom>
      <diagonal/>
    </border>
    <border>
      <left/>
      <right style="thin">
        <color indexed="64"/>
      </right>
      <top/>
      <bottom style="medium">
        <color indexed="64"/>
      </bottom>
      <diagonal/>
    </border>
    <border>
      <left/>
      <right style="medium">
        <color indexed="64"/>
      </right>
      <top/>
      <bottom style="medium">
        <color indexed="64"/>
      </bottom>
      <diagonal/>
    </border>
    <border>
      <left style="thin">
        <color auto="1"/>
      </left>
      <right/>
      <top style="thin">
        <color auto="1"/>
      </top>
      <bottom style="medium">
        <color indexed="64"/>
      </bottom>
      <diagonal/>
    </border>
    <border>
      <left/>
      <right style="thin">
        <color indexed="64"/>
      </right>
      <top style="thin">
        <color auto="1"/>
      </top>
      <bottom style="medium">
        <color indexed="64"/>
      </bottom>
      <diagonal/>
    </border>
    <border>
      <left style="thin">
        <color indexed="64"/>
      </left>
      <right/>
      <top/>
      <bottom/>
      <diagonal/>
    </border>
    <border>
      <left style="thin">
        <color auto="1"/>
      </left>
      <right style="medium">
        <color indexed="64"/>
      </right>
      <top style="medium">
        <color indexed="64"/>
      </top>
      <bottom style="medium">
        <color indexed="64"/>
      </bottom>
      <diagonal/>
    </border>
    <border>
      <left style="thin">
        <color auto="1"/>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bottom style="medium">
        <color auto="1"/>
      </bottom>
      <diagonal/>
    </border>
    <border>
      <left style="thin">
        <color auto="1"/>
      </left>
      <right/>
      <top style="medium">
        <color indexed="64"/>
      </top>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right style="thin">
        <color indexed="64"/>
      </right>
      <top style="medium">
        <color auto="1"/>
      </top>
      <bottom/>
      <diagonal/>
    </border>
    <border>
      <left style="thin">
        <color indexed="64"/>
      </left>
      <right style="medium">
        <color indexed="64"/>
      </right>
      <top style="thin">
        <color auto="1"/>
      </top>
      <bottom/>
      <diagonal/>
    </border>
    <border>
      <left style="thin">
        <color indexed="64"/>
      </left>
      <right style="medium">
        <color indexed="64"/>
      </right>
      <top style="thin">
        <color auto="1"/>
      </top>
      <bottom style="thin">
        <color auto="1"/>
      </bottom>
      <diagonal/>
    </border>
    <border>
      <left style="thin">
        <color indexed="64"/>
      </left>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indexed="64"/>
      </left>
      <right style="medium">
        <color indexed="64"/>
      </right>
      <top style="thin">
        <color auto="1"/>
      </top>
      <bottom style="medium">
        <color indexed="64"/>
      </bottom>
      <diagonal/>
    </border>
    <border>
      <left style="thin">
        <color auto="1"/>
      </left>
      <right/>
      <top style="thin">
        <color auto="1"/>
      </top>
      <bottom style="medium">
        <color indexed="64"/>
      </bottom>
      <diagonal/>
    </border>
    <border>
      <left style="thin">
        <color auto="1"/>
      </left>
      <right style="medium">
        <color indexed="64"/>
      </right>
      <top style="thin">
        <color auto="1"/>
      </top>
      <bottom style="thin">
        <color auto="1"/>
      </bottom>
      <diagonal/>
    </border>
    <border>
      <left style="thin">
        <color indexed="64"/>
      </left>
      <right style="medium">
        <color indexed="64"/>
      </right>
      <top style="thin">
        <color indexed="64"/>
      </top>
      <bottom/>
      <diagonal/>
    </border>
    <border>
      <left style="thin">
        <color auto="1"/>
      </left>
      <right style="thin">
        <color theme="1"/>
      </right>
      <top style="thin">
        <color indexed="64"/>
      </top>
      <bottom/>
      <diagonal/>
    </border>
    <border>
      <left style="medium">
        <color indexed="64"/>
      </left>
      <right/>
      <top/>
      <bottom style="medium">
        <color auto="1"/>
      </bottom>
      <diagonal/>
    </border>
    <border>
      <left style="medium">
        <color indexed="64"/>
      </left>
      <right style="thin">
        <color indexed="64"/>
      </right>
      <top style="medium">
        <color auto="1"/>
      </top>
      <bottom/>
      <diagonal/>
    </border>
  </borders>
  <cellStyleXfs count="6195">
    <xf numFmtId="0" fontId="0" fillId="0" borderId="0"/>
    <xf numFmtId="0" fontId="43" fillId="2" borderId="0" applyNumberFormat="0" applyBorder="0" applyAlignment="0" applyProtection="0"/>
    <xf numFmtId="0" fontId="43" fillId="2" borderId="0" applyNumberFormat="0" applyBorder="0" applyAlignment="0" applyProtection="0"/>
    <xf numFmtId="0" fontId="43" fillId="3" borderId="0" applyNumberFormat="0" applyBorder="0" applyAlignment="0" applyProtection="0"/>
    <xf numFmtId="0" fontId="43" fillId="3" borderId="0" applyNumberFormat="0" applyBorder="0" applyAlignment="0" applyProtection="0"/>
    <xf numFmtId="0" fontId="81" fillId="4" borderId="0" applyNumberFormat="0" applyBorder="0" applyAlignment="0" applyProtection="0"/>
    <xf numFmtId="0" fontId="81" fillId="5" borderId="0" applyNumberFormat="0" applyBorder="0" applyAlignment="0" applyProtection="0"/>
    <xf numFmtId="0" fontId="81" fillId="5" borderId="0" applyNumberFormat="0" applyBorder="0" applyAlignment="0" applyProtection="0"/>
    <xf numFmtId="0" fontId="43" fillId="4" borderId="0" applyNumberFormat="0" applyBorder="0" applyAlignment="0" applyProtection="0"/>
    <xf numFmtId="0" fontId="43" fillId="6" borderId="0" applyNumberFormat="0" applyBorder="0" applyAlignment="0" applyProtection="0"/>
    <xf numFmtId="0" fontId="43" fillId="6" borderId="0" applyNumberFormat="0" applyBorder="0" applyAlignment="0" applyProtection="0"/>
    <xf numFmtId="0" fontId="43" fillId="7" borderId="0" applyNumberFormat="0" applyBorder="0" applyAlignment="0" applyProtection="0"/>
    <xf numFmtId="0" fontId="43" fillId="7"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10" borderId="0" applyNumberFormat="0" applyBorder="0" applyAlignment="0" applyProtection="0"/>
    <xf numFmtId="0" fontId="43" fillId="10" borderId="0" applyNumberFormat="0" applyBorder="0" applyAlignment="0" applyProtection="0"/>
    <xf numFmtId="0" fontId="43" fillId="11" borderId="0" applyNumberFormat="0" applyBorder="0" applyAlignment="0" applyProtection="0"/>
    <xf numFmtId="0" fontId="43" fillId="11" borderId="0" applyNumberFormat="0" applyBorder="0" applyAlignment="0" applyProtection="0"/>
    <xf numFmtId="0" fontId="43" fillId="6" borderId="0" applyNumberFormat="0" applyBorder="0" applyAlignment="0" applyProtection="0"/>
    <xf numFmtId="0" fontId="43" fillId="6"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12" borderId="0" applyNumberFormat="0" applyBorder="0" applyAlignment="0" applyProtection="0"/>
    <xf numFmtId="0" fontId="43" fillId="12" borderId="0" applyNumberFormat="0" applyBorder="0" applyAlignment="0" applyProtection="0"/>
    <xf numFmtId="0" fontId="61" fillId="13" borderId="0" applyNumberFormat="0" applyBorder="0" applyAlignment="0" applyProtection="0"/>
    <xf numFmtId="0" fontId="61" fillId="13" borderId="0" applyNumberFormat="0" applyBorder="0" applyAlignment="0" applyProtection="0"/>
    <xf numFmtId="0" fontId="61" fillId="10" borderId="0" applyNumberFormat="0" applyBorder="0" applyAlignment="0" applyProtection="0"/>
    <xf numFmtId="0" fontId="61" fillId="10" borderId="0" applyNumberFormat="0" applyBorder="0" applyAlignment="0" applyProtection="0"/>
    <xf numFmtId="0" fontId="61" fillId="11" borderId="0" applyNumberFormat="0" applyBorder="0" applyAlignment="0" applyProtection="0"/>
    <xf numFmtId="0" fontId="61" fillId="11" borderId="0" applyNumberFormat="0" applyBorder="0" applyAlignment="0" applyProtection="0"/>
    <xf numFmtId="0" fontId="61" fillId="14" borderId="0" applyNumberFormat="0" applyBorder="0" applyAlignment="0" applyProtection="0"/>
    <xf numFmtId="0" fontId="61" fillId="14" borderId="0" applyNumberFormat="0" applyBorder="0" applyAlignment="0" applyProtection="0"/>
    <xf numFmtId="0" fontId="61" fillId="15" borderId="0" applyNumberFormat="0" applyBorder="0" applyAlignment="0" applyProtection="0"/>
    <xf numFmtId="0" fontId="61" fillId="15" borderId="0" applyNumberFormat="0" applyBorder="0" applyAlignment="0" applyProtection="0"/>
    <xf numFmtId="0" fontId="61" fillId="16" borderId="0" applyNumberFormat="0" applyBorder="0" applyAlignment="0" applyProtection="0"/>
    <xf numFmtId="0" fontId="61" fillId="16" borderId="0" applyNumberFormat="0" applyBorder="0" applyAlignment="0" applyProtection="0"/>
    <xf numFmtId="0" fontId="61" fillId="17" borderId="0" applyNumberFormat="0" applyBorder="0" applyAlignment="0" applyProtection="0"/>
    <xf numFmtId="0" fontId="61" fillId="17" borderId="0" applyNumberFormat="0" applyBorder="0" applyAlignment="0" applyProtection="0"/>
    <xf numFmtId="0" fontId="61" fillId="18" borderId="0" applyNumberFormat="0" applyBorder="0" applyAlignment="0" applyProtection="0"/>
    <xf numFmtId="0" fontId="61" fillId="18" borderId="0" applyNumberFormat="0" applyBorder="0" applyAlignment="0" applyProtection="0"/>
    <xf numFmtId="0" fontId="61" fillId="19" borderId="0" applyNumberFormat="0" applyBorder="0" applyAlignment="0" applyProtection="0"/>
    <xf numFmtId="0" fontId="61" fillId="19" borderId="0" applyNumberFormat="0" applyBorder="0" applyAlignment="0" applyProtection="0"/>
    <xf numFmtId="0" fontId="61" fillId="14" borderId="0" applyNumberFormat="0" applyBorder="0" applyAlignment="0" applyProtection="0"/>
    <xf numFmtId="0" fontId="61" fillId="14" borderId="0" applyNumberFormat="0" applyBorder="0" applyAlignment="0" applyProtection="0"/>
    <xf numFmtId="0" fontId="61" fillId="15" borderId="0" applyNumberFormat="0" applyBorder="0" applyAlignment="0" applyProtection="0"/>
    <xf numFmtId="0" fontId="61" fillId="15"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3" fillId="21" borderId="1" applyNumberFormat="0" applyAlignment="0" applyProtection="0"/>
    <xf numFmtId="0" fontId="63" fillId="21" borderId="1" applyNumberFormat="0" applyAlignment="0" applyProtection="0"/>
    <xf numFmtId="0" fontId="64" fillId="22" borderId="2" applyNumberFormat="0" applyAlignment="0" applyProtection="0"/>
    <xf numFmtId="0" fontId="64" fillId="22" borderId="2" applyNumberFormat="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181" fontId="45" fillId="0" borderId="0" applyFont="0" applyFill="0" applyBorder="0" applyAlignment="0" applyProtection="0"/>
    <xf numFmtId="181" fontId="45" fillId="0" borderId="0" applyFont="0" applyFill="0" applyBorder="0" applyAlignment="0" applyProtection="0"/>
    <xf numFmtId="181" fontId="45" fillId="0" borderId="0" applyFont="0" applyFill="0" applyBorder="0" applyAlignment="0" applyProtection="0"/>
    <xf numFmtId="43" fontId="43"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7" fontId="45" fillId="0" borderId="0" applyFill="0" applyBorder="0" applyAlignment="0" applyProtection="0"/>
    <xf numFmtId="43" fontId="48" fillId="0" borderId="0" applyFont="0" applyFill="0" applyBorder="0" applyAlignment="0" applyProtection="0"/>
    <xf numFmtId="3" fontId="45" fillId="0" borderId="0" applyFont="0" applyFill="0" applyBorder="0" applyAlignment="0" applyProtection="0"/>
    <xf numFmtId="3" fontId="45" fillId="0" borderId="0" applyFont="0" applyFill="0" applyBorder="0" applyAlignment="0" applyProtection="0"/>
    <xf numFmtId="43" fontId="43" fillId="0" borderId="0" applyFont="0" applyFill="0" applyBorder="0" applyAlignment="0" applyProtection="0"/>
    <xf numFmtId="43" fontId="45" fillId="0" borderId="0" applyFont="0" applyFill="0" applyBorder="0" applyAlignment="0" applyProtection="0"/>
    <xf numFmtId="165" fontId="45" fillId="0" borderId="0" applyFont="0" applyFill="0" applyBorder="0" applyAlignment="0" applyProtection="0"/>
    <xf numFmtId="43" fontId="45" fillId="0" borderId="0" applyFont="0" applyFill="0" applyBorder="0" applyAlignment="0" applyProtection="0"/>
    <xf numFmtId="187" fontId="45" fillId="0" borderId="0" applyFill="0" applyBorder="0" applyAlignment="0" applyProtection="0"/>
    <xf numFmtId="187" fontId="45" fillId="0" borderId="0" applyFill="0" applyBorder="0" applyAlignment="0" applyProtection="0"/>
    <xf numFmtId="188" fontId="45" fillId="0" borderId="0" applyFill="0" applyBorder="0" applyAlignment="0" applyProtection="0"/>
    <xf numFmtId="170" fontId="79" fillId="0" borderId="0" applyFont="0" applyFill="0" applyBorder="0" applyAlignment="0" applyProtection="0"/>
    <xf numFmtId="43" fontId="45" fillId="0" borderId="0" applyFont="0" applyFill="0" applyBorder="0" applyAlignment="0" applyProtection="0"/>
    <xf numFmtId="43" fontId="79" fillId="0" borderId="0" applyFont="0" applyFill="0" applyBorder="0" applyAlignment="0" applyProtection="0"/>
    <xf numFmtId="43" fontId="56"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4" fillId="0" borderId="0" applyFont="0" applyFill="0" applyBorder="0" applyAlignment="0" applyProtection="0"/>
    <xf numFmtId="43" fontId="43"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43" fontId="45" fillId="0" borderId="0" applyFont="0" applyFill="0" applyBorder="0" applyAlignment="0" applyProtection="0"/>
    <xf numFmtId="178" fontId="45" fillId="0" borderId="0" applyFont="0" applyFill="0" applyBorder="0" applyAlignment="0" applyProtection="0"/>
    <xf numFmtId="44" fontId="56"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189" fontId="45" fillId="0" borderId="0" applyFont="0" applyFill="0" applyBorder="0" applyAlignment="0" applyProtection="0"/>
    <xf numFmtId="189" fontId="45" fillId="0" borderId="0" applyFont="0" applyFill="0" applyBorder="0" applyAlignment="0" applyProtection="0"/>
    <xf numFmtId="189" fontId="45" fillId="0" borderId="0" applyFont="0" applyFill="0" applyBorder="0" applyAlignment="0" applyProtection="0"/>
    <xf numFmtId="44" fontId="43" fillId="0" borderId="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4" borderId="0" applyNumberFormat="0" applyBorder="0" applyAlignment="0" applyProtection="0"/>
    <xf numFmtId="0" fontId="66" fillId="4" borderId="0" applyNumberFormat="0" applyBorder="0" applyAlignment="0" applyProtection="0"/>
    <xf numFmtId="0" fontId="67" fillId="0" borderId="3" applyNumberFormat="0" applyFill="0" applyAlignment="0" applyProtection="0"/>
    <xf numFmtId="0" fontId="67" fillId="0" borderId="3" applyNumberFormat="0" applyFill="0" applyAlignment="0" applyProtection="0"/>
    <xf numFmtId="0" fontId="68" fillId="0" borderId="4" applyNumberFormat="0" applyFill="0" applyAlignment="0" applyProtection="0"/>
    <xf numFmtId="0" fontId="68" fillId="0" borderId="4" applyNumberFormat="0" applyFill="0" applyAlignment="0" applyProtection="0"/>
    <xf numFmtId="0" fontId="69" fillId="0" borderId="5" applyNumberFormat="0" applyFill="0" applyAlignment="0" applyProtection="0"/>
    <xf numFmtId="0" fontId="69" fillId="0" borderId="5"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82"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83" fillId="0" borderId="0" applyNumberFormat="0" applyFill="0" applyBorder="0" applyAlignment="0" applyProtection="0">
      <alignment vertical="top"/>
      <protection locked="0"/>
    </xf>
    <xf numFmtId="0" fontId="78" fillId="0" borderId="0" applyNumberFormat="0" applyFill="0" applyBorder="0" applyAlignment="0" applyProtection="0">
      <alignment vertical="top"/>
      <protection locked="0"/>
    </xf>
    <xf numFmtId="0" fontId="70" fillId="8" borderId="1" applyNumberFormat="0" applyAlignment="0" applyProtection="0"/>
    <xf numFmtId="0" fontId="70" fillId="8" borderId="1" applyNumberFormat="0" applyAlignment="0" applyProtection="0"/>
    <xf numFmtId="0" fontId="71" fillId="0" borderId="6" applyNumberFormat="0" applyFill="0" applyAlignment="0" applyProtection="0"/>
    <xf numFmtId="0" fontId="71" fillId="0" borderId="6" applyNumberFormat="0" applyFill="0" applyAlignment="0" applyProtection="0"/>
    <xf numFmtId="0" fontId="72" fillId="23" borderId="0" applyNumberFormat="0" applyBorder="0" applyAlignment="0" applyProtection="0"/>
    <xf numFmtId="0" fontId="72" fillId="23" borderId="0" applyNumberFormat="0" applyBorder="0" applyAlignment="0" applyProtection="0"/>
    <xf numFmtId="0" fontId="45" fillId="0" borderId="0"/>
    <xf numFmtId="0" fontId="48" fillId="0" borderId="0"/>
    <xf numFmtId="0" fontId="45" fillId="0" borderId="0"/>
    <xf numFmtId="0" fontId="81" fillId="0" borderId="0"/>
    <xf numFmtId="0" fontId="77" fillId="0" borderId="0"/>
    <xf numFmtId="0" fontId="45" fillId="0" borderId="0"/>
    <xf numFmtId="0" fontId="45" fillId="0" borderId="0"/>
    <xf numFmtId="0" fontId="50" fillId="0" borderId="0"/>
    <xf numFmtId="0" fontId="45" fillId="0" borderId="0"/>
    <xf numFmtId="2" fontId="60" fillId="0" borderId="0"/>
    <xf numFmtId="0" fontId="45" fillId="0" borderId="0"/>
    <xf numFmtId="0" fontId="45" fillId="0" borderId="0"/>
    <xf numFmtId="0" fontId="81" fillId="0" borderId="0"/>
    <xf numFmtId="0" fontId="81" fillId="0" borderId="0"/>
    <xf numFmtId="0" fontId="45" fillId="0" borderId="0"/>
    <xf numFmtId="0" fontId="45" fillId="0" borderId="0"/>
    <xf numFmtId="0" fontId="45" fillId="0" borderId="0"/>
    <xf numFmtId="0" fontId="50" fillId="0" borderId="0"/>
    <xf numFmtId="0" fontId="45" fillId="0" borderId="0"/>
    <xf numFmtId="0" fontId="50" fillId="0" borderId="0"/>
    <xf numFmtId="0" fontId="50" fillId="0" borderId="0"/>
    <xf numFmtId="0" fontId="45" fillId="0" borderId="0"/>
    <xf numFmtId="0" fontId="50" fillId="0" borderId="0"/>
    <xf numFmtId="0" fontId="45" fillId="5" borderId="7" applyNumberFormat="0" applyFont="0" applyAlignment="0" applyProtection="0"/>
    <xf numFmtId="0" fontId="45" fillId="5" borderId="7" applyNumberFormat="0" applyFont="0" applyAlignment="0" applyProtection="0"/>
    <xf numFmtId="0" fontId="73" fillId="21" borderId="8" applyNumberFormat="0" applyAlignment="0" applyProtection="0"/>
    <xf numFmtId="0" fontId="73" fillId="21" borderId="8" applyNumberFormat="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50" fillId="0" borderId="0" applyFont="0" applyFill="0" applyBorder="0" applyAlignment="0" applyProtection="0"/>
    <xf numFmtId="9" fontId="48"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79" fillId="0" borderId="0" applyFont="0" applyFill="0" applyBorder="0" applyAlignment="0" applyProtection="0"/>
    <xf numFmtId="9" fontId="45" fillId="0" borderId="0" applyFont="0" applyFill="0" applyBorder="0" applyAlignment="0" applyProtection="0"/>
    <xf numFmtId="9" fontId="5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6" fillId="0" borderId="0" applyFont="0" applyFill="0" applyBorder="0" applyAlignment="0" applyProtection="0"/>
    <xf numFmtId="9" fontId="45" fillId="0" borderId="0" applyFont="0" applyFill="0" applyBorder="0" applyAlignment="0" applyProtection="0"/>
    <xf numFmtId="9" fontId="59"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5" fillId="0" borderId="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0" borderId="9" applyNumberFormat="0" applyFill="0" applyAlignment="0" applyProtection="0"/>
    <xf numFmtId="0" fontId="75" fillId="0" borderId="9" applyNumberFormat="0" applyFill="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42" fillId="0" borderId="0"/>
    <xf numFmtId="43" fontId="42" fillId="0" borderId="0" applyFont="0" applyFill="0" applyBorder="0" applyAlignment="0" applyProtection="0"/>
    <xf numFmtId="9" fontId="42" fillId="0" borderId="0" applyFont="0" applyFill="0" applyBorder="0" applyAlignment="0" applyProtection="0"/>
    <xf numFmtId="43" fontId="84" fillId="0" borderId="0" applyFont="0" applyFill="0" applyBorder="0" applyAlignment="0" applyProtection="0"/>
    <xf numFmtId="9" fontId="84" fillId="0" borderId="0" applyFont="0" applyFill="0" applyBorder="0" applyAlignment="0" applyProtection="0"/>
    <xf numFmtId="44" fontId="84" fillId="0" borderId="0" applyFont="0" applyFill="0" applyBorder="0" applyAlignment="0" applyProtection="0"/>
    <xf numFmtId="0" fontId="41" fillId="0" borderId="0"/>
    <xf numFmtId="0" fontId="43" fillId="0" borderId="0"/>
    <xf numFmtId="0" fontId="41" fillId="4" borderId="0" applyNumberFormat="0" applyBorder="0" applyAlignment="0" applyProtection="0"/>
    <xf numFmtId="190" fontId="54" fillId="0" borderId="0"/>
    <xf numFmtId="0" fontId="40" fillId="5" borderId="0" applyNumberFormat="0" applyBorder="0" applyAlignment="0" applyProtection="0"/>
    <xf numFmtId="0" fontId="40" fillId="5"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170" fontId="43" fillId="0" borderId="0" applyFont="0" applyFill="0" applyBorder="0" applyAlignment="0" applyProtection="0"/>
    <xf numFmtId="43" fontId="43" fillId="0" borderId="0" applyFont="0" applyFill="0" applyBorder="0" applyAlignment="0" applyProtection="0"/>
    <xf numFmtId="43" fontId="40" fillId="0" borderId="0" applyFont="0" applyFill="0" applyBorder="0" applyAlignment="0" applyProtection="0"/>
    <xf numFmtId="43" fontId="45" fillId="0" borderId="0" applyFont="0" applyFill="0" applyBorder="0" applyAlignment="0" applyProtection="0"/>
    <xf numFmtId="44" fontId="45"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0" fontId="85" fillId="0" borderId="0"/>
    <xf numFmtId="43" fontId="85" fillId="0" borderId="0" applyFont="0" applyFill="0" applyBorder="0" applyAlignment="0" applyProtection="0"/>
    <xf numFmtId="0" fontId="39" fillId="0" borderId="0"/>
    <xf numFmtId="0" fontId="45" fillId="0" borderId="0"/>
    <xf numFmtId="43" fontId="45"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43" fillId="2" borderId="0" applyNumberFormat="0" applyBorder="0" applyAlignment="0" applyProtection="0"/>
    <xf numFmtId="0" fontId="43" fillId="2" borderId="0" applyNumberFormat="0" applyBorder="0" applyAlignment="0" applyProtection="0"/>
    <xf numFmtId="0" fontId="43" fillId="3" borderId="0" applyNumberFormat="0" applyBorder="0" applyAlignment="0" applyProtection="0"/>
    <xf numFmtId="0" fontId="43" fillId="3" borderId="0" applyNumberFormat="0" applyBorder="0" applyAlignment="0" applyProtection="0"/>
    <xf numFmtId="0" fontId="43" fillId="4" borderId="0" applyNumberFormat="0" applyBorder="0" applyAlignment="0" applyProtection="0"/>
    <xf numFmtId="0" fontId="43" fillId="6" borderId="0" applyNumberFormat="0" applyBorder="0" applyAlignment="0" applyProtection="0"/>
    <xf numFmtId="0" fontId="43" fillId="6" borderId="0" applyNumberFormat="0" applyBorder="0" applyAlignment="0" applyProtection="0"/>
    <xf numFmtId="0" fontId="43" fillId="7" borderId="0" applyNumberFormat="0" applyBorder="0" applyAlignment="0" applyProtection="0"/>
    <xf numFmtId="0" fontId="43" fillId="7"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10" borderId="0" applyNumberFormat="0" applyBorder="0" applyAlignment="0" applyProtection="0"/>
    <xf numFmtId="0" fontId="43" fillId="10" borderId="0" applyNumberFormat="0" applyBorder="0" applyAlignment="0" applyProtection="0"/>
    <xf numFmtId="0" fontId="43" fillId="11" borderId="0" applyNumberFormat="0" applyBorder="0" applyAlignment="0" applyProtection="0"/>
    <xf numFmtId="0" fontId="43" fillId="11" borderId="0" applyNumberFormat="0" applyBorder="0" applyAlignment="0" applyProtection="0"/>
    <xf numFmtId="0" fontId="43" fillId="6" borderId="0" applyNumberFormat="0" applyBorder="0" applyAlignment="0" applyProtection="0"/>
    <xf numFmtId="0" fontId="43" fillId="6"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12" borderId="0" applyNumberFormat="0" applyBorder="0" applyAlignment="0" applyProtection="0"/>
    <xf numFmtId="0" fontId="43" fillId="12" borderId="0" applyNumberFormat="0" applyBorder="0" applyAlignment="0" applyProtection="0"/>
    <xf numFmtId="0" fontId="61" fillId="13" borderId="0" applyNumberFormat="0" applyBorder="0" applyAlignment="0" applyProtection="0"/>
    <xf numFmtId="0" fontId="61" fillId="13" borderId="0" applyNumberFormat="0" applyBorder="0" applyAlignment="0" applyProtection="0"/>
    <xf numFmtId="0" fontId="61" fillId="10" borderId="0" applyNumberFormat="0" applyBorder="0" applyAlignment="0" applyProtection="0"/>
    <xf numFmtId="0" fontId="61" fillId="10" borderId="0" applyNumberFormat="0" applyBorder="0" applyAlignment="0" applyProtection="0"/>
    <xf numFmtId="0" fontId="61" fillId="11" borderId="0" applyNumberFormat="0" applyBorder="0" applyAlignment="0" applyProtection="0"/>
    <xf numFmtId="0" fontId="61" fillId="11" borderId="0" applyNumberFormat="0" applyBorder="0" applyAlignment="0" applyProtection="0"/>
    <xf numFmtId="0" fontId="61" fillId="14" borderId="0" applyNumberFormat="0" applyBorder="0" applyAlignment="0" applyProtection="0"/>
    <xf numFmtId="0" fontId="61" fillId="14" borderId="0" applyNumberFormat="0" applyBorder="0" applyAlignment="0" applyProtection="0"/>
    <xf numFmtId="0" fontId="61" fillId="15" borderId="0" applyNumberFormat="0" applyBorder="0" applyAlignment="0" applyProtection="0"/>
    <xf numFmtId="0" fontId="61" fillId="15" borderId="0" applyNumberFormat="0" applyBorder="0" applyAlignment="0" applyProtection="0"/>
    <xf numFmtId="0" fontId="61" fillId="16" borderId="0" applyNumberFormat="0" applyBorder="0" applyAlignment="0" applyProtection="0"/>
    <xf numFmtId="0" fontId="61" fillId="16" borderId="0" applyNumberFormat="0" applyBorder="0" applyAlignment="0" applyProtection="0"/>
    <xf numFmtId="0" fontId="61" fillId="17" borderId="0" applyNumberFormat="0" applyBorder="0" applyAlignment="0" applyProtection="0"/>
    <xf numFmtId="0" fontId="61" fillId="17" borderId="0" applyNumberFormat="0" applyBorder="0" applyAlignment="0" applyProtection="0"/>
    <xf numFmtId="0" fontId="61" fillId="18" borderId="0" applyNumberFormat="0" applyBorder="0" applyAlignment="0" applyProtection="0"/>
    <xf numFmtId="0" fontId="61" fillId="18" borderId="0" applyNumberFormat="0" applyBorder="0" applyAlignment="0" applyProtection="0"/>
    <xf numFmtId="0" fontId="61" fillId="19" borderId="0" applyNumberFormat="0" applyBorder="0" applyAlignment="0" applyProtection="0"/>
    <xf numFmtId="0" fontId="61" fillId="19" borderId="0" applyNumberFormat="0" applyBorder="0" applyAlignment="0" applyProtection="0"/>
    <xf numFmtId="0" fontId="61" fillId="14" borderId="0" applyNumberFormat="0" applyBorder="0" applyAlignment="0" applyProtection="0"/>
    <xf numFmtId="0" fontId="61" fillId="14" borderId="0" applyNumberFormat="0" applyBorder="0" applyAlignment="0" applyProtection="0"/>
    <xf numFmtId="0" fontId="61" fillId="15" borderId="0" applyNumberFormat="0" applyBorder="0" applyAlignment="0" applyProtection="0"/>
    <xf numFmtId="0" fontId="61" fillId="15"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45" fillId="0" borderId="0" applyNumberFormat="0" applyFill="0" applyBorder="0" applyAlignment="0" applyProtection="0"/>
    <xf numFmtId="0" fontId="62" fillId="3" borderId="0" applyNumberFormat="0" applyBorder="0" applyAlignment="0" applyProtection="0"/>
    <xf numFmtId="0" fontId="62" fillId="3" borderId="0" applyNumberFormat="0" applyBorder="0" applyAlignment="0" applyProtection="0"/>
    <xf numFmtId="0" fontId="63" fillId="21" borderId="1" applyNumberFormat="0" applyAlignment="0" applyProtection="0"/>
    <xf numFmtId="0" fontId="63" fillId="21" borderId="1" applyNumberFormat="0" applyAlignment="0" applyProtection="0"/>
    <xf numFmtId="0" fontId="64" fillId="22" borderId="2" applyNumberFormat="0" applyAlignment="0" applyProtection="0"/>
    <xf numFmtId="0" fontId="64" fillId="22" borderId="2" applyNumberFormat="0" applyAlignment="0" applyProtection="0"/>
    <xf numFmtId="43" fontId="45" fillId="0" borderId="0" applyFont="0" applyFill="0" applyBorder="0" applyAlignment="0" applyProtection="0"/>
    <xf numFmtId="181" fontId="45" fillId="0" borderId="0" applyFont="0" applyFill="0" applyBorder="0" applyAlignment="0" applyProtection="0"/>
    <xf numFmtId="181" fontId="45" fillId="0" borderId="0" applyFont="0" applyFill="0" applyBorder="0" applyAlignment="0" applyProtection="0"/>
    <xf numFmtId="181"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7" fontId="45" fillId="0" borderId="0" applyFill="0" applyBorder="0" applyAlignment="0" applyProtection="0"/>
    <xf numFmtId="3" fontId="45" fillId="0" borderId="0" applyFont="0" applyFill="0" applyBorder="0" applyAlignment="0" applyProtection="0"/>
    <xf numFmtId="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165" fontId="45" fillId="0" borderId="0" applyFont="0" applyFill="0" applyBorder="0" applyAlignment="0" applyProtection="0"/>
    <xf numFmtId="43" fontId="45" fillId="0" borderId="0" applyFont="0" applyFill="0" applyBorder="0" applyAlignment="0" applyProtection="0"/>
    <xf numFmtId="187" fontId="45" fillId="0" borderId="0" applyFill="0" applyBorder="0" applyAlignment="0" applyProtection="0"/>
    <xf numFmtId="187" fontId="45" fillId="0" borderId="0" applyFill="0" applyBorder="0" applyAlignment="0" applyProtection="0"/>
    <xf numFmtId="188" fontId="45" fillId="0" borderId="0" applyFill="0" applyBorder="0" applyAlignment="0" applyProtection="0"/>
    <xf numFmtId="43" fontId="45" fillId="0" borderId="0" applyFont="0" applyFill="0" applyBorder="0" applyAlignment="0" applyProtection="0"/>
    <xf numFmtId="43" fontId="39"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39"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167" fontId="45" fillId="0" borderId="0" applyFont="0" applyFill="0" applyBorder="0" applyAlignment="0" applyProtection="0"/>
    <xf numFmtId="43"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43" fontId="45" fillId="0" borderId="0" applyFont="0" applyFill="0" applyBorder="0" applyAlignment="0" applyProtection="0"/>
    <xf numFmtId="178"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189" fontId="45" fillId="0" borderId="0" applyFont="0" applyFill="0" applyBorder="0" applyAlignment="0" applyProtection="0"/>
    <xf numFmtId="189" fontId="45" fillId="0" borderId="0" applyFont="0" applyFill="0" applyBorder="0" applyAlignment="0" applyProtection="0"/>
    <xf numFmtId="189" fontId="45" fillId="0" borderId="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4" borderId="0" applyNumberFormat="0" applyBorder="0" applyAlignment="0" applyProtection="0"/>
    <xf numFmtId="0" fontId="66" fillId="4" borderId="0" applyNumberFormat="0" applyBorder="0" applyAlignment="0" applyProtection="0"/>
    <xf numFmtId="0" fontId="67" fillId="0" borderId="3" applyNumberFormat="0" applyFill="0" applyAlignment="0" applyProtection="0"/>
    <xf numFmtId="0" fontId="67" fillId="0" borderId="3" applyNumberFormat="0" applyFill="0" applyAlignment="0" applyProtection="0"/>
    <xf numFmtId="0" fontId="68" fillId="0" borderId="4" applyNumberFormat="0" applyFill="0" applyAlignment="0" applyProtection="0"/>
    <xf numFmtId="0" fontId="68" fillId="0" borderId="4" applyNumberFormat="0" applyFill="0" applyAlignment="0" applyProtection="0"/>
    <xf numFmtId="0" fontId="69" fillId="0" borderId="5" applyNumberFormat="0" applyFill="0" applyAlignment="0" applyProtection="0"/>
    <xf numFmtId="0" fontId="69" fillId="0" borderId="5"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82" fillId="0" borderId="0" applyNumberFormat="0" applyFill="0" applyBorder="0" applyAlignment="0" applyProtection="0">
      <alignment vertical="top"/>
      <protection locked="0"/>
    </xf>
    <xf numFmtId="0" fontId="70" fillId="8" borderId="1" applyNumberFormat="0" applyAlignment="0" applyProtection="0"/>
    <xf numFmtId="0" fontId="70" fillId="8" borderId="1" applyNumberFormat="0" applyAlignment="0" applyProtection="0"/>
    <xf numFmtId="0" fontId="71" fillId="0" borderId="6" applyNumberFormat="0" applyFill="0" applyAlignment="0" applyProtection="0"/>
    <xf numFmtId="0" fontId="71" fillId="0" borderId="6" applyNumberFormat="0" applyFill="0" applyAlignment="0" applyProtection="0"/>
    <xf numFmtId="0" fontId="72" fillId="23" borderId="0" applyNumberFormat="0" applyBorder="0" applyAlignment="0" applyProtection="0"/>
    <xf numFmtId="0" fontId="72" fillId="23" borderId="0" applyNumberFormat="0" applyBorder="0" applyAlignment="0" applyProtection="0"/>
    <xf numFmtId="0" fontId="45" fillId="0" borderId="0"/>
    <xf numFmtId="0" fontId="45" fillId="0" borderId="0"/>
    <xf numFmtId="0" fontId="45" fillId="0" borderId="0"/>
    <xf numFmtId="0" fontId="50" fillId="0" borderId="0"/>
    <xf numFmtId="0" fontId="45" fillId="0" borderId="0"/>
    <xf numFmtId="0" fontId="45" fillId="0" borderId="0"/>
    <xf numFmtId="0" fontId="45" fillId="0" borderId="0"/>
    <xf numFmtId="0" fontId="45" fillId="0" borderId="0"/>
    <xf numFmtId="2" fontId="60" fillId="0" borderId="0"/>
    <xf numFmtId="0" fontId="45" fillId="0" borderId="0"/>
    <xf numFmtId="0" fontId="45" fillId="0" borderId="0"/>
    <xf numFmtId="0" fontId="45" fillId="0" borderId="0"/>
    <xf numFmtId="0" fontId="45" fillId="0" borderId="0"/>
    <xf numFmtId="0" fontId="45" fillId="0" borderId="0"/>
    <xf numFmtId="0" fontId="50" fillId="0" borderId="0"/>
    <xf numFmtId="0" fontId="45" fillId="0" borderId="0"/>
    <xf numFmtId="0" fontId="45" fillId="5" borderId="7" applyNumberFormat="0" applyFont="0" applyAlignment="0" applyProtection="0"/>
    <xf numFmtId="0" fontId="45" fillId="5" borderId="7" applyNumberFormat="0" applyFont="0" applyAlignment="0" applyProtection="0"/>
    <xf numFmtId="0" fontId="45" fillId="5" borderId="7" applyNumberFormat="0" applyFont="0" applyAlignment="0" applyProtection="0"/>
    <xf numFmtId="0" fontId="45" fillId="5" borderId="7" applyNumberFormat="0" applyFont="0" applyAlignment="0" applyProtection="0"/>
    <xf numFmtId="0" fontId="73" fillId="21" borderId="8" applyNumberFormat="0" applyAlignment="0" applyProtection="0"/>
    <xf numFmtId="0" fontId="73" fillId="21" borderId="8" applyNumberFormat="0" applyAlignment="0" applyProtection="0"/>
    <xf numFmtId="9" fontId="45" fillId="0" borderId="0" applyFont="0" applyFill="0" applyBorder="0" applyAlignment="0" applyProtection="0"/>
    <xf numFmtId="9" fontId="50" fillId="0" borderId="0" applyFont="0" applyFill="0" applyBorder="0" applyAlignment="0" applyProtection="0"/>
    <xf numFmtId="9" fontId="39"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0" borderId="9" applyNumberFormat="0" applyFill="0" applyAlignment="0" applyProtection="0"/>
    <xf numFmtId="0" fontId="75" fillId="0" borderId="9" applyNumberFormat="0" applyFill="0" applyAlignment="0" applyProtection="0"/>
    <xf numFmtId="0" fontId="76" fillId="0" borderId="0" applyNumberFormat="0" applyFill="0" applyBorder="0" applyAlignment="0" applyProtection="0"/>
    <xf numFmtId="0" fontId="76" fillId="0" borderId="0" applyNumberFormat="0" applyFill="0" applyBorder="0" applyAlignment="0" applyProtection="0"/>
    <xf numFmtId="43" fontId="43" fillId="0" borderId="0" applyFont="0" applyFill="0" applyBorder="0" applyAlignment="0" applyProtection="0"/>
    <xf numFmtId="3" fontId="4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5" fillId="0" borderId="0" applyFont="0" applyFill="0" applyBorder="0" applyAlignment="0" applyProtection="0"/>
    <xf numFmtId="43" fontId="86"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186"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alignment vertical="top"/>
      <protection locked="0"/>
    </xf>
    <xf numFmtId="0" fontId="45" fillId="0" borderId="0"/>
    <xf numFmtId="0" fontId="50" fillId="0" borderId="0"/>
    <xf numFmtId="178" fontId="89" fillId="0" borderId="0"/>
    <xf numFmtId="0" fontId="45" fillId="0" borderId="0"/>
    <xf numFmtId="0" fontId="86" fillId="0" borderId="0"/>
    <xf numFmtId="0" fontId="45" fillId="0" borderId="0"/>
    <xf numFmtId="0" fontId="45" fillId="0" borderId="0"/>
    <xf numFmtId="0" fontId="45" fillId="0" borderId="0"/>
    <xf numFmtId="0" fontId="38" fillId="0" borderId="0"/>
    <xf numFmtId="0" fontId="45" fillId="0" borderId="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86"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43" fontId="43" fillId="0" borderId="0" applyFont="0" applyFill="0" applyBorder="0" applyAlignment="0" applyProtection="0"/>
    <xf numFmtId="0" fontId="45" fillId="0" borderId="0"/>
    <xf numFmtId="193" fontId="93" fillId="0" borderId="0" applyFont="0" applyFill="0" applyBorder="0" applyAlignment="0" applyProtection="0"/>
    <xf numFmtId="194" fontId="93" fillId="0" borderId="0" applyFont="0" applyFill="0" applyBorder="0" applyAlignment="0" applyProtection="0"/>
    <xf numFmtId="195" fontId="93" fillId="0" borderId="0" applyFont="0" applyFill="0" applyBorder="0" applyAlignment="0" applyProtection="0"/>
    <xf numFmtId="196" fontId="93" fillId="0" borderId="0" applyFont="0" applyFill="0" applyBorder="0" applyAlignment="0" applyProtection="0"/>
    <xf numFmtId="197" fontId="93" fillId="0" borderId="0" applyFont="0" applyFill="0" applyBorder="0" applyAlignment="0" applyProtection="0"/>
    <xf numFmtId="0" fontId="86" fillId="0" borderId="14">
      <alignment horizontal="center" vertical="center"/>
    </xf>
    <xf numFmtId="0" fontId="45" fillId="0" borderId="0" applyNumberFormat="0" applyFill="0" applyBorder="0" applyAlignment="0" applyProtection="0"/>
    <xf numFmtId="0" fontId="94" fillId="0" borderId="12">
      <protection hidden="1"/>
    </xf>
    <xf numFmtId="0" fontId="95" fillId="21" borderId="12" applyNumberFormat="0" applyFont="0" applyBorder="0" applyAlignment="0" applyProtection="0">
      <protection hidden="1"/>
    </xf>
    <xf numFmtId="2" fontId="96" fillId="0" borderId="0">
      <protection locked="0"/>
    </xf>
    <xf numFmtId="2" fontId="97" fillId="0" borderId="0">
      <protection locked="0"/>
    </xf>
    <xf numFmtId="0" fontId="98" fillId="0" borderId="0">
      <protection locked="0"/>
    </xf>
    <xf numFmtId="0" fontId="98" fillId="0" borderId="0">
      <protection locked="0"/>
    </xf>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198" fontId="86" fillId="0" borderId="0"/>
    <xf numFmtId="199" fontId="45" fillId="0" borderId="0">
      <protection locked="0"/>
    </xf>
    <xf numFmtId="200" fontId="45" fillId="0" borderId="0">
      <protection locked="0"/>
    </xf>
    <xf numFmtId="2" fontId="96" fillId="0" borderId="0">
      <protection locked="0"/>
    </xf>
    <xf numFmtId="0" fontId="45" fillId="0" borderId="0">
      <protection locked="0"/>
    </xf>
    <xf numFmtId="15" fontId="80" fillId="0" borderId="0"/>
    <xf numFmtId="175" fontId="86" fillId="0" borderId="0" applyBorder="0"/>
    <xf numFmtId="175" fontId="86" fillId="0" borderId="11"/>
    <xf numFmtId="201" fontId="99" fillId="0" borderId="0" applyFont="0" applyFill="0" applyBorder="0" applyAlignment="0" applyProtection="0"/>
    <xf numFmtId="202" fontId="54" fillId="0" borderId="0"/>
    <xf numFmtId="203" fontId="100" fillId="0" borderId="0">
      <protection locked="0"/>
    </xf>
    <xf numFmtId="203" fontId="100" fillId="0" borderId="0">
      <protection locked="0"/>
    </xf>
    <xf numFmtId="203" fontId="97" fillId="0" borderId="0">
      <protection locked="0"/>
    </xf>
    <xf numFmtId="203" fontId="96" fillId="0" borderId="0">
      <protection locked="0"/>
    </xf>
    <xf numFmtId="203" fontId="96" fillId="0" borderId="0">
      <protection locked="0"/>
    </xf>
    <xf numFmtId="203" fontId="96" fillId="0" borderId="0">
      <protection locked="0"/>
    </xf>
    <xf numFmtId="203" fontId="97" fillId="0" borderId="0">
      <protection locked="0"/>
    </xf>
    <xf numFmtId="0" fontId="101" fillId="0" borderId="0"/>
    <xf numFmtId="0" fontId="45" fillId="0" borderId="0">
      <protection locked="0"/>
    </xf>
    <xf numFmtId="204" fontId="45" fillId="0" borderId="0">
      <protection locked="0"/>
    </xf>
    <xf numFmtId="204" fontId="45" fillId="0" borderId="0">
      <protection locked="0"/>
    </xf>
    <xf numFmtId="205" fontId="96" fillId="0" borderId="0">
      <protection locked="0"/>
    </xf>
    <xf numFmtId="38" fontId="47" fillId="24" borderId="0" applyNumberFormat="0" applyBorder="0" applyAlignment="0" applyProtection="0"/>
    <xf numFmtId="0" fontId="49" fillId="0" borderId="0"/>
    <xf numFmtId="0" fontId="98" fillId="0" borderId="0">
      <protection locked="0"/>
    </xf>
    <xf numFmtId="0" fontId="98" fillId="0" borderId="0">
      <protection locked="0"/>
    </xf>
    <xf numFmtId="0" fontId="78" fillId="0" borderId="0" applyNumberFormat="0" applyFill="0" applyBorder="0" applyAlignment="0" applyProtection="0">
      <alignment vertical="top"/>
      <protection locked="0"/>
    </xf>
    <xf numFmtId="0" fontId="102"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102" fillId="0" borderId="0" applyNumberFormat="0" applyFill="0" applyBorder="0" applyAlignment="0" applyProtection="0">
      <alignment vertical="top"/>
      <protection locked="0"/>
    </xf>
    <xf numFmtId="172" fontId="93" fillId="0" borderId="0" applyFont="0" applyFill="0" applyBorder="0" applyAlignment="0" applyProtection="0"/>
    <xf numFmtId="3" fontId="93" fillId="0" borderId="0" applyFont="0" applyFill="0" applyBorder="0" applyAlignment="0" applyProtection="0"/>
    <xf numFmtId="10" fontId="47" fillId="25" borderId="17" applyNumberFormat="0" applyBorder="0" applyAlignment="0" applyProtection="0"/>
    <xf numFmtId="15" fontId="45" fillId="0" borderId="0"/>
    <xf numFmtId="192" fontId="54" fillId="0" borderId="0" applyFont="0" applyFill="0" applyBorder="0" applyAlignment="0" applyProtection="0"/>
    <xf numFmtId="0" fontId="104" fillId="0" borderId="12">
      <alignment horizontal="left"/>
      <protection locked="0"/>
    </xf>
    <xf numFmtId="41" fontId="86" fillId="0" borderId="0" applyFont="0" applyFill="0" applyBorder="0" applyAlignment="0" applyProtection="0"/>
    <xf numFmtId="43" fontId="86" fillId="0" borderId="0" applyFont="0" applyFill="0" applyBorder="0" applyAlignment="0" applyProtection="0"/>
    <xf numFmtId="206" fontId="45" fillId="0" borderId="0" applyFont="0" applyFill="0" applyBorder="0" applyAlignment="0" applyProtection="0"/>
    <xf numFmtId="207" fontId="45" fillId="0" borderId="0" applyFont="0" applyFill="0" applyBorder="0" applyAlignment="0" applyProtection="0"/>
    <xf numFmtId="208" fontId="45" fillId="0" borderId="0">
      <protection locked="0"/>
    </xf>
    <xf numFmtId="42" fontId="86" fillId="0" borderId="0" applyFont="0" applyFill="0" applyBorder="0" applyAlignment="0" applyProtection="0"/>
    <xf numFmtId="44" fontId="86" fillId="0" borderId="0" applyFont="0" applyFill="0" applyBorder="0" applyAlignment="0" applyProtection="0"/>
    <xf numFmtId="209" fontId="45" fillId="0" borderId="0">
      <protection locked="0"/>
    </xf>
    <xf numFmtId="210" fontId="45" fillId="0" borderId="0">
      <protection locked="0"/>
    </xf>
    <xf numFmtId="211" fontId="51" fillId="0" borderId="0"/>
    <xf numFmtId="0" fontId="90" fillId="0" borderId="0"/>
    <xf numFmtId="0" fontId="105" fillId="0" borderId="0"/>
    <xf numFmtId="0" fontId="105" fillId="0" borderId="0"/>
    <xf numFmtId="0" fontId="106" fillId="0" borderId="0"/>
    <xf numFmtId="0" fontId="107" fillId="0" borderId="0"/>
    <xf numFmtId="0" fontId="38" fillId="0" borderId="0"/>
    <xf numFmtId="0" fontId="38" fillId="0" borderId="0"/>
    <xf numFmtId="0" fontId="38" fillId="0" borderId="0"/>
    <xf numFmtId="0" fontId="45" fillId="0" borderId="0"/>
    <xf numFmtId="0" fontId="38" fillId="0" borderId="0"/>
    <xf numFmtId="0" fontId="45" fillId="0" borderId="0"/>
    <xf numFmtId="0" fontId="45" fillId="0" borderId="0"/>
    <xf numFmtId="0" fontId="45" fillId="0" borderId="0"/>
    <xf numFmtId="0" fontId="45" fillId="0" borderId="0"/>
    <xf numFmtId="0" fontId="38" fillId="0" borderId="0"/>
    <xf numFmtId="0" fontId="45" fillId="0" borderId="0"/>
    <xf numFmtId="0" fontId="38" fillId="0" borderId="0"/>
    <xf numFmtId="0" fontId="38" fillId="0" borderId="0"/>
    <xf numFmtId="0" fontId="38" fillId="0" borderId="0"/>
    <xf numFmtId="0" fontId="38" fillId="0" borderId="0"/>
    <xf numFmtId="0" fontId="38" fillId="0" borderId="0"/>
    <xf numFmtId="0" fontId="45" fillId="0" borderId="0"/>
    <xf numFmtId="0" fontId="45" fillId="0" borderId="0"/>
    <xf numFmtId="0" fontId="45" fillId="0" borderId="0"/>
    <xf numFmtId="0" fontId="45" fillId="0" borderId="0"/>
    <xf numFmtId="0" fontId="45" fillId="0" borderId="0"/>
    <xf numFmtId="0" fontId="38" fillId="0" borderId="0"/>
    <xf numFmtId="0" fontId="38" fillId="0" borderId="0"/>
    <xf numFmtId="0" fontId="38" fillId="0" borderId="0"/>
    <xf numFmtId="0" fontId="38" fillId="0" borderId="0"/>
    <xf numFmtId="0" fontId="38" fillId="0" borderId="0"/>
    <xf numFmtId="0" fontId="38" fillId="0" borderId="0"/>
    <xf numFmtId="0" fontId="108" fillId="0" borderId="0"/>
    <xf numFmtId="0" fontId="38" fillId="0" borderId="0"/>
    <xf numFmtId="0" fontId="38" fillId="0" borderId="0"/>
    <xf numFmtId="0" fontId="38" fillId="0" borderId="0"/>
    <xf numFmtId="0" fontId="38" fillId="0" borderId="0"/>
    <xf numFmtId="0" fontId="38" fillId="0" borderId="0"/>
    <xf numFmtId="212" fontId="86" fillId="0" borderId="0" applyFill="0" applyBorder="0" applyAlignment="0" applyProtection="0">
      <alignment horizontal="right"/>
    </xf>
    <xf numFmtId="213" fontId="109" fillId="0" borderId="0">
      <alignment horizontal="right"/>
    </xf>
    <xf numFmtId="0" fontId="93" fillId="0" borderId="0">
      <alignment horizontal="left"/>
    </xf>
    <xf numFmtId="214" fontId="109" fillId="0" borderId="0" applyFill="0" applyBorder="0" applyProtection="0">
      <alignment horizontal="right"/>
    </xf>
    <xf numFmtId="202" fontId="110" fillId="0" borderId="19">
      <alignment vertical="center"/>
    </xf>
    <xf numFmtId="10" fontId="45" fillId="0" borderId="0" applyFont="0" applyFill="0" applyBorder="0" applyAlignment="0" applyProtection="0"/>
    <xf numFmtId="9" fontId="38"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215" fontId="86" fillId="0" borderId="0" applyFont="0" applyFill="0" applyBorder="0" applyAlignment="0" applyProtection="0"/>
    <xf numFmtId="216" fontId="93" fillId="0" borderId="0" applyFont="0" applyFill="0" applyBorder="0" applyAlignment="0" applyProtection="0"/>
    <xf numFmtId="217" fontId="93" fillId="0" borderId="0" applyFont="0" applyFill="0" applyBorder="0" applyAlignment="0" applyProtection="0"/>
    <xf numFmtId="177" fontId="45" fillId="0" borderId="0" applyFont="0" applyFill="0" applyBorder="0" applyAlignment="0" applyProtection="0"/>
    <xf numFmtId="218" fontId="96" fillId="0" borderId="0">
      <protection locked="0"/>
    </xf>
    <xf numFmtId="203" fontId="96" fillId="0" borderId="0">
      <protection locked="0"/>
    </xf>
    <xf numFmtId="219" fontId="45" fillId="0" borderId="0" applyFont="0" applyFill="0" applyBorder="0" applyAlignment="0" applyProtection="0"/>
    <xf numFmtId="220" fontId="45" fillId="0" borderId="0">
      <protection locked="0"/>
    </xf>
    <xf numFmtId="221" fontId="86" fillId="0" borderId="0" applyFill="0" applyBorder="0" applyAlignment="0">
      <alignment horizontal="centerContinuous"/>
    </xf>
    <xf numFmtId="0" fontId="93" fillId="0" borderId="0"/>
    <xf numFmtId="222" fontId="45" fillId="0" borderId="0">
      <protection locked="0"/>
    </xf>
    <xf numFmtId="223" fontId="45" fillId="0" borderId="0">
      <protection locked="0"/>
    </xf>
    <xf numFmtId="0" fontId="111" fillId="0" borderId="12" applyNumberFormat="0" applyFill="0" applyBorder="0" applyAlignment="0" applyProtection="0">
      <protection hidden="1"/>
    </xf>
    <xf numFmtId="39" fontId="47" fillId="0" borderId="32" applyFill="0">
      <alignment horizontal="left"/>
    </xf>
    <xf numFmtId="0" fontId="86" fillId="0" borderId="19">
      <alignment horizontal="center" vertical="center"/>
    </xf>
    <xf numFmtId="38" fontId="101" fillId="0" borderId="24"/>
    <xf numFmtId="224" fontId="45" fillId="0" borderId="0">
      <protection locked="0"/>
    </xf>
    <xf numFmtId="38" fontId="101" fillId="0" borderId="0" applyFont="0" applyFill="0" applyBorder="0" applyAlignment="0" applyProtection="0"/>
    <xf numFmtId="40" fontId="101" fillId="0" borderId="0" applyFont="0" applyFill="0" applyBorder="0" applyAlignment="0" applyProtection="0"/>
    <xf numFmtId="0" fontId="54" fillId="0" borderId="0"/>
    <xf numFmtId="49" fontId="112" fillId="0" borderId="19">
      <alignment vertical="center"/>
    </xf>
    <xf numFmtId="0" fontId="113" fillId="0" borderId="0"/>
    <xf numFmtId="0" fontId="45" fillId="0" borderId="0" applyNumberFormat="0"/>
    <xf numFmtId="0" fontId="114" fillId="0" borderId="0"/>
    <xf numFmtId="2" fontId="98" fillId="0" borderId="0">
      <protection locked="0"/>
    </xf>
    <xf numFmtId="2" fontId="98" fillId="0" borderId="0">
      <protection locked="0"/>
    </xf>
    <xf numFmtId="0" fontId="115" fillId="21" borderId="12"/>
    <xf numFmtId="0" fontId="116" fillId="0" borderId="0"/>
    <xf numFmtId="0" fontId="45" fillId="0" borderId="0">
      <alignment horizontal="center"/>
    </xf>
    <xf numFmtId="225" fontId="46" fillId="0" borderId="0"/>
    <xf numFmtId="0" fontId="45" fillId="0" borderId="0">
      <alignment horizontal="center"/>
    </xf>
    <xf numFmtId="203" fontId="96" fillId="0" borderId="0">
      <protection locked="0"/>
    </xf>
    <xf numFmtId="226" fontId="96" fillId="0" borderId="0">
      <protection locked="0"/>
    </xf>
    <xf numFmtId="0" fontId="101" fillId="0" borderId="0"/>
    <xf numFmtId="4" fontId="45" fillId="0" borderId="0" applyFont="0" applyFill="0" applyBorder="0" applyAlignment="0" applyProtection="0"/>
    <xf numFmtId="0" fontId="117" fillId="0" borderId="0" applyProtection="0"/>
    <xf numFmtId="227" fontId="117" fillId="0" borderId="0" applyProtection="0"/>
    <xf numFmtId="0" fontId="118" fillId="0" borderId="0" applyProtection="0"/>
    <xf numFmtId="0" fontId="119" fillId="0" borderId="0" applyProtection="0"/>
    <xf numFmtId="0" fontId="117" fillId="0" borderId="50" applyProtection="0"/>
    <xf numFmtId="0" fontId="86" fillId="0" borderId="0"/>
    <xf numFmtId="10" fontId="117" fillId="0" borderId="0" applyProtection="0"/>
    <xf numFmtId="0" fontId="117" fillId="0" borderId="0"/>
    <xf numFmtId="2" fontId="117" fillId="0" borderId="0" applyProtection="0"/>
    <xf numFmtId="4" fontId="117" fillId="0" borderId="0" applyProtection="0"/>
    <xf numFmtId="0" fontId="45" fillId="0" borderId="0"/>
    <xf numFmtId="0" fontId="37" fillId="0" borderId="0"/>
    <xf numFmtId="43" fontId="37" fillId="0" borderId="0" applyFont="0" applyFill="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5" borderId="0" applyNumberFormat="0" applyBorder="0" applyAlignment="0" applyProtection="0"/>
    <xf numFmtId="0" fontId="43" fillId="4" borderId="0" applyNumberFormat="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0" fontId="83" fillId="0" borderId="0" applyNumberFormat="0" applyFill="0" applyBorder="0" applyAlignment="0" applyProtection="0">
      <alignment vertical="top"/>
      <protection locked="0"/>
    </xf>
    <xf numFmtId="0" fontId="45" fillId="0" borderId="0"/>
    <xf numFmtId="0" fontId="45" fillId="0" borderId="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0" fontId="45" fillId="0" borderId="0"/>
    <xf numFmtId="165" fontId="45" fillId="0" borderId="0" applyFont="0" applyFill="0" applyBorder="0" applyAlignment="0" applyProtection="0"/>
    <xf numFmtId="165" fontId="45" fillId="0" borderId="0" applyFont="0" applyFill="0" applyBorder="0" applyAlignment="0" applyProtection="0"/>
    <xf numFmtId="0" fontId="45" fillId="0" borderId="0"/>
    <xf numFmtId="165" fontId="45" fillId="0" borderId="0" applyFont="0" applyFill="0" applyBorder="0" applyAlignment="0" applyProtection="0"/>
    <xf numFmtId="165" fontId="45" fillId="0" borderId="0" applyFont="0" applyFill="0" applyBorder="0" applyAlignment="0" applyProtection="0"/>
    <xf numFmtId="0" fontId="45" fillId="0" borderId="0"/>
    <xf numFmtId="0" fontId="45" fillId="0" borderId="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0" fontId="45" fillId="0" borderId="0"/>
    <xf numFmtId="165" fontId="45" fillId="0" borderId="0" applyFont="0" applyFill="0" applyBorder="0" applyAlignment="0" applyProtection="0"/>
    <xf numFmtId="165" fontId="45" fillId="0" borderId="0" applyFont="0" applyFill="0" applyBorder="0" applyAlignment="0" applyProtection="0"/>
    <xf numFmtId="0" fontId="45" fillId="0" borderId="0"/>
    <xf numFmtId="165" fontId="45" fillId="0" borderId="0" applyFont="0" applyFill="0" applyBorder="0" applyAlignment="0" applyProtection="0"/>
    <xf numFmtId="165" fontId="45" fillId="0" borderId="0" applyFont="0" applyFill="0" applyBorder="0" applyAlignment="0" applyProtection="0"/>
    <xf numFmtId="166" fontId="45" fillId="0" borderId="0" applyFont="0" applyFill="0" applyBorder="0" applyAlignment="0" applyProtection="0"/>
    <xf numFmtId="0" fontId="45" fillId="0" borderId="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0" fontId="45" fillId="0" borderId="0"/>
    <xf numFmtId="165" fontId="45" fillId="0" borderId="0" applyFont="0" applyFill="0" applyBorder="0" applyAlignment="0" applyProtection="0"/>
    <xf numFmtId="165" fontId="45" fillId="0" borderId="0" applyFont="0" applyFill="0" applyBorder="0" applyAlignment="0" applyProtection="0"/>
    <xf numFmtId="0" fontId="45" fillId="0" borderId="0"/>
    <xf numFmtId="0" fontId="45" fillId="0" borderId="0"/>
    <xf numFmtId="165" fontId="45" fillId="0" borderId="0" applyFont="0" applyFill="0" applyBorder="0" applyAlignment="0" applyProtection="0"/>
    <xf numFmtId="165"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35" fillId="0" borderId="0"/>
    <xf numFmtId="0" fontId="35" fillId="0" borderId="0"/>
    <xf numFmtId="166" fontId="35" fillId="0" borderId="0" applyFont="0" applyFill="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45" fillId="0" borderId="0" applyFont="0" applyFill="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0" fontId="32" fillId="0" borderId="0"/>
    <xf numFmtId="0" fontId="31" fillId="0" borderId="0"/>
    <xf numFmtId="0" fontId="31" fillId="4"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9" fontId="30" fillId="0" borderId="0" applyFont="0" applyFill="0" applyBorder="0" applyAlignment="0" applyProtection="0"/>
    <xf numFmtId="43" fontId="30" fillId="0" borderId="0" applyFont="0" applyFill="0" applyBorder="0" applyAlignment="0" applyProtection="0"/>
    <xf numFmtId="0" fontId="30" fillId="0" borderId="0"/>
    <xf numFmtId="9" fontId="30" fillId="0" borderId="0" applyFont="0" applyFill="0" applyBorder="0" applyAlignment="0" applyProtection="0"/>
    <xf numFmtId="43" fontId="30" fillId="0" borderId="0" applyFont="0" applyFill="0" applyBorder="0" applyAlignment="0" applyProtection="0"/>
    <xf numFmtId="9"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9" fontId="30" fillId="0" borderId="0" applyFont="0" applyFill="0" applyBorder="0" applyAlignment="0" applyProtection="0"/>
    <xf numFmtId="43" fontId="30"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9" fontId="30" fillId="0" borderId="0" applyFont="0" applyFill="0" applyBorder="0" applyAlignment="0" applyProtection="0"/>
    <xf numFmtId="9" fontId="30" fillId="0" borderId="0" applyFont="0" applyFill="0" applyBorder="0" applyAlignment="0" applyProtection="0"/>
    <xf numFmtId="43" fontId="45" fillId="0" borderId="0" applyFont="0" applyFill="0" applyBorder="0" applyAlignment="0" applyProtection="0"/>
    <xf numFmtId="185" fontId="54" fillId="0" borderId="0"/>
    <xf numFmtId="9" fontId="124" fillId="0" borderId="0" applyFont="0" applyFill="0" applyBorder="0" applyAlignment="0" applyProtection="0"/>
    <xf numFmtId="9" fontId="124" fillId="0" borderId="0" applyFont="0" applyFill="0" applyBorder="0" applyAlignment="0" applyProtection="0"/>
    <xf numFmtId="9" fontId="124" fillId="0" borderId="0" applyFont="0" applyFill="0" applyBorder="0" applyAlignment="0" applyProtection="0"/>
    <xf numFmtId="9" fontId="124" fillId="0" borderId="0" applyFont="0" applyFill="0" applyBorder="0" applyAlignment="0" applyProtection="0"/>
    <xf numFmtId="9" fontId="12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9" fillId="0" borderId="0"/>
    <xf numFmtId="43" fontId="29" fillId="0" borderId="0" applyFont="0" applyFill="0" applyBorder="0" applyAlignment="0" applyProtection="0"/>
    <xf numFmtId="0" fontId="29" fillId="0" borderId="0"/>
    <xf numFmtId="9"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9" fontId="29" fillId="0" borderId="0" applyFont="0" applyFill="0" applyBorder="0" applyAlignment="0" applyProtection="0"/>
    <xf numFmtId="0" fontId="29" fillId="0" borderId="0"/>
    <xf numFmtId="9" fontId="29" fillId="0" borderId="0" applyFont="0" applyFill="0" applyBorder="0" applyAlignment="0" applyProtection="0"/>
    <xf numFmtId="0" fontId="29" fillId="0" borderId="0"/>
    <xf numFmtId="9" fontId="29" fillId="0" borderId="0" applyFont="0" applyFill="0" applyBorder="0" applyAlignment="0" applyProtection="0"/>
    <xf numFmtId="9" fontId="29" fillId="0" borderId="0" applyFont="0" applyFill="0" applyBorder="0" applyAlignment="0" applyProtection="0"/>
    <xf numFmtId="0" fontId="28" fillId="0" borderId="0"/>
    <xf numFmtId="0" fontId="125" fillId="0" borderId="0" applyNumberFormat="0" applyFill="0" applyBorder="0" applyAlignment="0" applyProtection="0"/>
    <xf numFmtId="0" fontId="27" fillId="0" borderId="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43" fontId="27" fillId="0" borderId="0" applyFont="0" applyFill="0" applyBorder="0" applyAlignment="0" applyProtection="0"/>
    <xf numFmtId="192" fontId="45" fillId="0" borderId="0" applyFont="0" applyFill="0" applyBorder="0" applyAlignment="0" applyProtection="0"/>
    <xf numFmtId="192" fontId="45" fillId="0" borderId="0" applyFont="0" applyFill="0" applyBorder="0" applyAlignment="0" applyProtection="0"/>
    <xf numFmtId="192" fontId="45" fillId="0" borderId="0" applyFont="0" applyFill="0" applyBorder="0" applyAlignment="0" applyProtection="0"/>
    <xf numFmtId="43" fontId="45" fillId="0" borderId="0" applyFont="0" applyFill="0" applyBorder="0" applyAlignment="0" applyProtection="0"/>
    <xf numFmtId="43" fontId="50" fillId="0" borderId="0" applyFont="0" applyFill="0" applyBorder="0" applyAlignment="0" applyProtection="0"/>
    <xf numFmtId="43" fontId="27" fillId="0" borderId="0" applyFont="0" applyFill="0" applyBorder="0" applyAlignment="0" applyProtection="0"/>
    <xf numFmtId="43" fontId="126" fillId="0" borderId="0" applyFont="0" applyFill="0" applyBorder="0" applyAlignment="0" applyProtection="0"/>
    <xf numFmtId="165" fontId="45" fillId="0" borderId="0" applyFont="0" applyFill="0" applyBorder="0" applyAlignment="0" applyProtection="0"/>
    <xf numFmtId="181"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43" fontId="101" fillId="0" borderId="0" applyFont="0" applyFill="0" applyBorder="0" applyAlignment="0" applyProtection="0"/>
    <xf numFmtId="9" fontId="27" fillId="0" borderId="0" applyFont="0" applyFill="0" applyBorder="0" applyAlignment="0" applyProtection="0"/>
    <xf numFmtId="186" fontId="45" fillId="0" borderId="0" applyFont="0" applyFill="0" applyBorder="0" applyAlignment="0" applyProtection="0"/>
    <xf numFmtId="0" fontId="27" fillId="0" borderId="0"/>
    <xf numFmtId="168" fontId="45" fillId="0" borderId="0" applyFill="0" applyBorder="0" applyAlignment="0" applyProtection="0"/>
    <xf numFmtId="0" fontId="69" fillId="0" borderId="115" applyNumberFormat="0" applyFill="0" applyAlignment="0" applyProtection="0"/>
    <xf numFmtId="0" fontId="69" fillId="0" borderId="115" applyNumberFormat="0" applyFill="0" applyAlignment="0" applyProtection="0"/>
    <xf numFmtId="0" fontId="82" fillId="0" borderId="0" applyNumberFormat="0" applyFill="0" applyBorder="0" applyAlignment="0" applyProtection="0">
      <alignment vertical="top"/>
      <protection locked="0"/>
    </xf>
    <xf numFmtId="0" fontId="27" fillId="0" borderId="0"/>
    <xf numFmtId="169" fontId="89" fillId="0" borderId="0"/>
    <xf numFmtId="0" fontId="27" fillId="0" borderId="0"/>
    <xf numFmtId="0" fontId="50" fillId="0" borderId="0"/>
    <xf numFmtId="0" fontId="45" fillId="0" borderId="0">
      <alignment horizontal="left"/>
    </xf>
    <xf numFmtId="0" fontId="126" fillId="0" borderId="0"/>
    <xf numFmtId="0" fontId="27" fillId="0" borderId="0"/>
    <xf numFmtId="0" fontId="101" fillId="0" borderId="0"/>
    <xf numFmtId="9" fontId="27" fillId="0" borderId="0" applyFont="0" applyFill="0" applyBorder="0" applyAlignment="0" applyProtection="0"/>
    <xf numFmtId="2" fontId="60" fillId="0" borderId="0"/>
    <xf numFmtId="0" fontId="101" fillId="0" borderId="0"/>
    <xf numFmtId="0" fontId="27" fillId="0" borderId="0"/>
    <xf numFmtId="0" fontId="27" fillId="0" borderId="0"/>
    <xf numFmtId="0" fontId="126" fillId="0" borderId="0"/>
    <xf numFmtId="0" fontId="69" fillId="0" borderId="117" applyNumberFormat="0" applyFill="0" applyAlignment="0" applyProtection="0"/>
    <xf numFmtId="0" fontId="45" fillId="0" borderId="0"/>
    <xf numFmtId="0" fontId="45" fillId="0" borderId="0"/>
    <xf numFmtId="9" fontId="27" fillId="0" borderId="0" applyFont="0" applyFill="0" applyBorder="0" applyAlignment="0" applyProtection="0"/>
    <xf numFmtId="9" fontId="43" fillId="0" borderId="0" applyFont="0" applyFill="0" applyBorder="0" applyAlignment="0" applyProtection="0"/>
    <xf numFmtId="9" fontId="10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3" fillId="0" borderId="0" applyFont="0" applyFill="0" applyBorder="0" applyAlignment="0" applyProtection="0"/>
    <xf numFmtId="0" fontId="27" fillId="0" borderId="0"/>
    <xf numFmtId="9" fontId="27" fillId="0" borderId="0" applyFont="0" applyFill="0" applyBorder="0" applyAlignment="0" applyProtection="0"/>
    <xf numFmtId="9" fontId="43" fillId="0" borderId="0" applyFont="0" applyFill="0" applyBorder="0" applyAlignment="0" applyProtection="0"/>
    <xf numFmtId="0" fontId="43" fillId="2" borderId="0" applyNumberFormat="0" applyBorder="0" applyAlignment="0" applyProtection="0"/>
    <xf numFmtId="0" fontId="43" fillId="2" borderId="0" applyNumberFormat="0" applyBorder="0" applyAlignment="0" applyProtection="0"/>
    <xf numFmtId="0" fontId="43" fillId="3" borderId="0" applyNumberFormat="0" applyBorder="0" applyAlignment="0" applyProtection="0"/>
    <xf numFmtId="0" fontId="43" fillId="3" borderId="0" applyNumberFormat="0" applyBorder="0" applyAlignment="0" applyProtection="0"/>
    <xf numFmtId="0" fontId="43" fillId="4" borderId="0" applyNumberFormat="0" applyBorder="0" applyAlignment="0" applyProtection="0"/>
    <xf numFmtId="0" fontId="43" fillId="6" borderId="0" applyNumberFormat="0" applyBorder="0" applyAlignment="0" applyProtection="0"/>
    <xf numFmtId="0" fontId="43" fillId="6" borderId="0" applyNumberFormat="0" applyBorder="0" applyAlignment="0" applyProtection="0"/>
    <xf numFmtId="0" fontId="43" fillId="7" borderId="0" applyNumberFormat="0" applyBorder="0" applyAlignment="0" applyProtection="0"/>
    <xf numFmtId="0" fontId="43" fillId="7"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10" borderId="0" applyNumberFormat="0" applyBorder="0" applyAlignment="0" applyProtection="0"/>
    <xf numFmtId="0" fontId="43" fillId="10" borderId="0" applyNumberFormat="0" applyBorder="0" applyAlignment="0" applyProtection="0"/>
    <xf numFmtId="0" fontId="43" fillId="11" borderId="0" applyNumberFormat="0" applyBorder="0" applyAlignment="0" applyProtection="0"/>
    <xf numFmtId="0" fontId="43" fillId="11" borderId="0" applyNumberFormat="0" applyBorder="0" applyAlignment="0" applyProtection="0"/>
    <xf numFmtId="0" fontId="43" fillId="6" borderId="0" applyNumberFormat="0" applyBorder="0" applyAlignment="0" applyProtection="0"/>
    <xf numFmtId="0" fontId="43" fillId="6"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12" borderId="0" applyNumberFormat="0" applyBorder="0" applyAlignment="0" applyProtection="0"/>
    <xf numFmtId="0" fontId="43" fillId="12" borderId="0" applyNumberFormat="0" applyBorder="0" applyAlignment="0" applyProtection="0"/>
    <xf numFmtId="165" fontId="2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3" fillId="0" borderId="0" applyFont="0" applyFill="0" applyBorder="0" applyAlignment="0" applyProtection="0"/>
    <xf numFmtId="165" fontId="45"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50" fillId="0" borderId="0" applyFont="0" applyFill="0" applyBorder="0" applyAlignment="0" applyProtection="0"/>
    <xf numFmtId="165" fontId="45" fillId="0" borderId="0" applyFont="0" applyFill="0" applyBorder="0" applyAlignment="0" applyProtection="0"/>
    <xf numFmtId="165" fontId="27" fillId="0" borderId="0" applyFont="0" applyFill="0" applyBorder="0" applyAlignment="0" applyProtection="0"/>
    <xf numFmtId="165" fontId="126"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65" fontId="101"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5" fillId="0" borderId="0" applyFont="0" applyFill="0" applyBorder="0" applyAlignment="0" applyProtection="0"/>
    <xf numFmtId="165" fontId="86" fillId="0" borderId="0" applyFont="0" applyFill="0" applyBorder="0" applyAlignment="0" applyProtection="0"/>
    <xf numFmtId="165" fontId="45" fillId="0" borderId="0" applyFont="0" applyFill="0" applyBorder="0" applyAlignment="0" applyProtection="0"/>
    <xf numFmtId="186" fontId="45" fillId="0" borderId="0" applyFont="0" applyFill="0" applyBorder="0" applyAlignment="0" applyProtection="0"/>
    <xf numFmtId="165" fontId="45" fillId="0" borderId="0" applyFont="0" applyFill="0" applyBorder="0" applyAlignment="0" applyProtection="0"/>
    <xf numFmtId="166" fontId="45" fillId="0" borderId="0" applyFont="0" applyFill="0" applyBorder="0" applyAlignment="0" applyProtection="0"/>
    <xf numFmtId="166" fontId="45" fillId="0" borderId="0" applyFont="0" applyFill="0" applyBorder="0" applyAlignment="0" applyProtection="0"/>
    <xf numFmtId="166" fontId="45" fillId="0" borderId="0" applyFont="0" applyFill="0" applyBorder="0" applyAlignment="0" applyProtection="0"/>
    <xf numFmtId="166" fontId="45" fillId="0" borderId="0" applyFont="0" applyFill="0" applyBorder="0" applyAlignment="0" applyProtection="0"/>
    <xf numFmtId="166" fontId="43" fillId="0" borderId="0" applyFont="0" applyFill="0" applyBorder="0" applyAlignment="0" applyProtection="0"/>
    <xf numFmtId="0" fontId="45" fillId="0" borderId="0"/>
    <xf numFmtId="0" fontId="50" fillId="0" borderId="0"/>
    <xf numFmtId="0" fontId="45" fillId="0" borderId="0"/>
    <xf numFmtId="0" fontId="86" fillId="0" borderId="0"/>
    <xf numFmtId="0" fontId="45" fillId="0" borderId="0"/>
    <xf numFmtId="165" fontId="27" fillId="0" borderId="0" applyFont="0" applyFill="0" applyBorder="0" applyAlignment="0" applyProtection="0"/>
    <xf numFmtId="165" fontId="27"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86"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2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27" fillId="0" borderId="0"/>
    <xf numFmtId="165" fontId="45" fillId="0" borderId="0" applyFont="0" applyFill="0" applyBorder="0" applyAlignment="0" applyProtection="0"/>
    <xf numFmtId="165"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27" fillId="0" borderId="0" applyFont="0" applyFill="0" applyBorder="0" applyAlignment="0" applyProtection="0"/>
    <xf numFmtId="9" fontId="45" fillId="0" borderId="0" applyFont="0" applyFill="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4" borderId="0" applyNumberFormat="0" applyBorder="0" applyAlignment="0" applyProtection="0"/>
    <xf numFmtId="0" fontId="27" fillId="5"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9" fontId="27" fillId="0" borderId="0" applyFont="0" applyFill="0" applyBorder="0" applyAlignment="0" applyProtection="0"/>
    <xf numFmtId="0" fontId="27" fillId="0" borderId="0"/>
    <xf numFmtId="0" fontId="94" fillId="0" borderId="112">
      <protection hidden="1"/>
    </xf>
    <xf numFmtId="0" fontId="95" fillId="21" borderId="112" applyNumberFormat="0" applyFont="0" applyBorder="0" applyAlignment="0" applyProtection="0">
      <protection hidden="1"/>
    </xf>
    <xf numFmtId="3" fontId="45" fillId="0" borderId="0" applyFont="0" applyFill="0" applyBorder="0" applyAlignment="0" applyProtection="0"/>
    <xf numFmtId="165" fontId="45" fillId="0" borderId="0" applyFont="0" applyFill="0" applyBorder="0" applyAlignment="0" applyProtection="0"/>
    <xf numFmtId="165" fontId="27" fillId="0" borderId="0" applyFont="0" applyFill="0" applyBorder="0" applyAlignment="0" applyProtection="0"/>
    <xf numFmtId="170" fontId="43" fillId="0" borderId="0" applyFont="0" applyFill="0" applyBorder="0" applyAlignment="0" applyProtection="0"/>
    <xf numFmtId="165" fontId="27" fillId="0" borderId="0" applyFont="0" applyFill="0" applyBorder="0" applyAlignment="0" applyProtection="0"/>
    <xf numFmtId="165" fontId="43"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6" fontId="45" fillId="0" borderId="0" applyFont="0" applyFill="0" applyBorder="0" applyAlignment="0" applyProtection="0"/>
    <xf numFmtId="175" fontId="86" fillId="0" borderId="111"/>
    <xf numFmtId="0" fontId="69" fillId="0" borderId="115" applyNumberFormat="0" applyFill="0" applyAlignment="0" applyProtection="0"/>
    <xf numFmtId="0" fontId="69" fillId="0" borderId="115" applyNumberFormat="0" applyFill="0" applyAlignment="0" applyProtection="0"/>
    <xf numFmtId="10" fontId="47" fillId="25" borderId="71" applyNumberFormat="0" applyBorder="0" applyAlignment="0" applyProtection="0"/>
    <xf numFmtId="0" fontId="104" fillId="0" borderId="112">
      <alignment horizontal="left"/>
      <protection locked="0"/>
    </xf>
    <xf numFmtId="0" fontId="27" fillId="0" borderId="0"/>
    <xf numFmtId="0" fontId="27" fillId="0" borderId="0"/>
    <xf numFmtId="0" fontId="27" fillId="0" borderId="0"/>
    <xf numFmtId="0" fontId="27" fillId="0" borderId="0"/>
    <xf numFmtId="0" fontId="27" fillId="0" borderId="0"/>
    <xf numFmtId="0" fontId="45" fillId="0" borderId="0"/>
    <xf numFmtId="0" fontId="45" fillId="0" borderId="0"/>
    <xf numFmtId="0" fontId="45"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69" fillId="0" borderId="117" applyNumberFormat="0" applyFill="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45" fillId="0" borderId="0" applyFont="0" applyFill="0" applyBorder="0" applyAlignment="0" applyProtection="0"/>
    <xf numFmtId="9" fontId="27" fillId="0" borderId="0" applyFont="0" applyFill="0" applyBorder="0" applyAlignment="0" applyProtection="0"/>
    <xf numFmtId="9" fontId="45" fillId="0" borderId="0" applyFont="0" applyFill="0" applyBorder="0" applyAlignment="0" applyProtection="0"/>
    <xf numFmtId="0" fontId="111" fillId="0" borderId="112" applyNumberFormat="0" applyFill="0" applyBorder="0" applyAlignment="0" applyProtection="0">
      <protection hidden="1"/>
    </xf>
    <xf numFmtId="0" fontId="27" fillId="0" borderId="0"/>
    <xf numFmtId="0" fontId="115" fillId="21" borderId="112"/>
    <xf numFmtId="0" fontId="27" fillId="0" borderId="0"/>
    <xf numFmtId="9" fontId="4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0" fontId="88" fillId="0" borderId="0" applyNumberFormat="0" applyFill="0" applyBorder="0" applyAlignment="0" applyProtection="0">
      <alignment vertical="top"/>
      <protection locked="0"/>
    </xf>
    <xf numFmtId="0" fontId="27" fillId="0" borderId="0"/>
    <xf numFmtId="0" fontId="27" fillId="0" borderId="0"/>
    <xf numFmtId="0" fontId="27" fillId="0" borderId="0"/>
    <xf numFmtId="0" fontId="27" fillId="0" borderId="0"/>
    <xf numFmtId="0" fontId="127" fillId="0" borderId="0"/>
    <xf numFmtId="0" fontId="4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5" fontId="27" fillId="0" borderId="0" applyFont="0" applyFill="0" applyBorder="0" applyAlignment="0" applyProtection="0"/>
    <xf numFmtId="165" fontId="2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0" fontId="27" fillId="0" borderId="0"/>
    <xf numFmtId="0" fontId="27" fillId="0" borderId="0"/>
    <xf numFmtId="0" fontId="69" fillId="0" borderId="117" applyNumberFormat="0" applyFill="0" applyAlignment="0" applyProtection="0"/>
    <xf numFmtId="0" fontId="69" fillId="0" borderId="117" applyNumberFormat="0" applyFill="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9" fontId="128" fillId="0" borderId="0" applyFont="0" applyFill="0" applyBorder="0" applyAlignment="0" applyProtection="0"/>
    <xf numFmtId="0" fontId="26" fillId="0" borderId="0"/>
    <xf numFmtId="165" fontId="26" fillId="0" borderId="0" applyFont="0" applyFill="0" applyBorder="0" applyAlignment="0" applyProtection="0"/>
    <xf numFmtId="0" fontId="25" fillId="0" borderId="0"/>
    <xf numFmtId="9" fontId="25" fillId="0" borderId="0" applyFont="0" applyFill="0" applyBorder="0" applyAlignment="0" applyProtection="0"/>
    <xf numFmtId="0" fontId="86" fillId="0" borderId="0"/>
    <xf numFmtId="0" fontId="25" fillId="0" borderId="0"/>
    <xf numFmtId="165" fontId="25" fillId="0" borderId="0" applyFont="0" applyFill="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94" fillId="0" borderId="66">
      <protection hidden="1"/>
    </xf>
    <xf numFmtId="0" fontId="130" fillId="21" borderId="66" applyNumberFormat="0" applyFont="0" applyBorder="0" applyAlignment="0" applyProtection="0">
      <protection hidden="1"/>
    </xf>
    <xf numFmtId="0" fontId="63" fillId="21" borderId="120" applyNumberFormat="0" applyAlignment="0" applyProtection="0"/>
    <xf numFmtId="0" fontId="63" fillId="21" borderId="120" applyNumberFormat="0" applyAlignment="0" applyProtection="0"/>
    <xf numFmtId="175" fontId="86" fillId="0" borderId="63"/>
    <xf numFmtId="0" fontId="104" fillId="0" borderId="66">
      <alignment horizontal="left"/>
      <protection locked="0"/>
    </xf>
    <xf numFmtId="43" fontId="25" fillId="0" borderId="0" applyFont="0" applyFill="0" applyBorder="0" applyAlignment="0" applyProtection="0"/>
    <xf numFmtId="0" fontId="70" fillId="8" borderId="120" applyNumberFormat="0" applyAlignment="0" applyProtection="0"/>
    <xf numFmtId="0" fontId="70" fillId="8" borderId="120" applyNumberFormat="0" applyAlignment="0" applyProtection="0"/>
    <xf numFmtId="0" fontId="25" fillId="0" borderId="0"/>
    <xf numFmtId="0" fontId="25" fillId="0" borderId="0"/>
    <xf numFmtId="0" fontId="25" fillId="0" borderId="0"/>
    <xf numFmtId="0" fontId="45" fillId="5" borderId="121" applyNumberFormat="0" applyFont="0" applyAlignment="0" applyProtection="0"/>
    <xf numFmtId="0" fontId="45" fillId="5" borderId="121" applyNumberFormat="0" applyFont="0" applyAlignment="0" applyProtection="0"/>
    <xf numFmtId="0" fontId="73" fillId="21" borderId="122" applyNumberFormat="0" applyAlignment="0" applyProtection="0"/>
    <xf numFmtId="0" fontId="73" fillId="21" borderId="122" applyNumberFormat="0" applyAlignment="0" applyProtection="0"/>
    <xf numFmtId="9" fontId="25" fillId="0" borderId="0" applyFont="0" applyFill="0" applyBorder="0" applyAlignment="0" applyProtection="0"/>
    <xf numFmtId="0" fontId="111" fillId="0" borderId="66" applyNumberFormat="0" applyFill="0" applyBorder="0" applyAlignment="0" applyProtection="0">
      <protection hidden="1"/>
    </xf>
    <xf numFmtId="9" fontId="25" fillId="0" borderId="0" applyFont="0" applyFill="0" applyBorder="0" applyAlignment="0" applyProtection="0"/>
    <xf numFmtId="0" fontId="115" fillId="21" borderId="66"/>
    <xf numFmtId="0" fontId="75" fillId="0" borderId="123" applyNumberFormat="0" applyFill="0" applyAlignment="0" applyProtection="0"/>
    <xf numFmtId="0" fontId="75" fillId="0" borderId="123" applyNumberFormat="0" applyFill="0" applyAlignment="0" applyProtection="0"/>
    <xf numFmtId="43" fontId="25" fillId="0" borderId="0" applyFont="0" applyFill="0" applyBorder="0" applyAlignment="0" applyProtection="0"/>
    <xf numFmtId="43"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129" fillId="0" borderId="0"/>
    <xf numFmtId="43" fontId="129" fillId="0" borderId="0" applyFont="0" applyFill="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86" fillId="0" borderId="124">
      <alignment horizontal="center" vertical="center"/>
    </xf>
    <xf numFmtId="0" fontId="130" fillId="21" borderId="112" applyNumberFormat="0" applyFont="0" applyBorder="0" applyAlignment="0" applyProtection="0">
      <protection hidden="1"/>
    </xf>
    <xf numFmtId="0" fontId="63" fillId="21" borderId="120" applyNumberFormat="0" applyAlignment="0" applyProtection="0"/>
    <xf numFmtId="0" fontId="63" fillId="21" borderId="120" applyNumberFormat="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75" fontId="86" fillId="0" borderId="118"/>
    <xf numFmtId="10" fontId="47" fillId="25" borderId="119" applyNumberFormat="0" applyBorder="0" applyAlignment="0" applyProtection="0"/>
    <xf numFmtId="0" fontId="70" fillId="8" borderId="120" applyNumberFormat="0" applyAlignment="0" applyProtection="0"/>
    <xf numFmtId="0" fontId="70" fillId="8" borderId="120" applyNumberFormat="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45" fillId="5" borderId="121" applyNumberFormat="0" applyFont="0" applyAlignment="0" applyProtection="0"/>
    <xf numFmtId="0" fontId="45" fillId="5" borderId="121" applyNumberFormat="0" applyFont="0" applyAlignment="0" applyProtection="0"/>
    <xf numFmtId="0" fontId="45" fillId="5" borderId="121" applyNumberFormat="0" applyFont="0" applyAlignment="0" applyProtection="0"/>
    <xf numFmtId="0" fontId="45" fillId="5" borderId="121" applyNumberFormat="0" applyFont="0" applyAlignment="0" applyProtection="0"/>
    <xf numFmtId="0" fontId="73" fillId="21" borderId="122" applyNumberFormat="0" applyAlignment="0" applyProtection="0"/>
    <xf numFmtId="0" fontId="73" fillId="21" borderId="122"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39" fontId="47" fillId="0" borderId="125" applyFill="0">
      <alignment horizontal="left"/>
    </xf>
    <xf numFmtId="0" fontId="75" fillId="0" borderId="123" applyNumberFormat="0" applyFill="0" applyAlignment="0" applyProtection="0"/>
    <xf numFmtId="0" fontId="75" fillId="0" borderId="123" applyNumberFormat="0" applyFill="0" applyAlignment="0" applyProtection="0"/>
    <xf numFmtId="9" fontId="25" fillId="0" borderId="0" applyFont="0" applyFill="0" applyBorder="0" applyAlignment="0" applyProtection="0"/>
    <xf numFmtId="0" fontId="25" fillId="0" borderId="0"/>
    <xf numFmtId="0" fontId="45" fillId="0" borderId="0"/>
    <xf numFmtId="0" fontId="85" fillId="0" borderId="0"/>
    <xf numFmtId="165" fontId="45" fillId="0" borderId="0" applyFont="0" applyFill="0" applyBorder="0" applyAlignment="0" applyProtection="0"/>
    <xf numFmtId="43" fontId="85" fillId="0" borderId="0" applyFont="0" applyFill="0" applyBorder="0" applyAlignment="0" applyProtection="0"/>
    <xf numFmtId="43" fontId="8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0" fontId="85" fillId="0" borderId="0"/>
    <xf numFmtId="0" fontId="45" fillId="0" borderId="0"/>
    <xf numFmtId="188" fontId="45" fillId="0" borderId="0" applyFill="0" applyBorder="0" applyAlignment="0" applyProtection="0"/>
    <xf numFmtId="43" fontId="25" fillId="0" borderId="0" applyFont="0" applyFill="0" applyBorder="0" applyAlignment="0" applyProtection="0"/>
    <xf numFmtId="9" fontId="25" fillId="0" borderId="0" applyFont="0" applyFill="0" applyBorder="0" applyAlignment="0" applyProtection="0"/>
    <xf numFmtId="9" fontId="45" fillId="0" borderId="0" applyFont="0" applyFill="0" applyBorder="0" applyAlignment="0" applyProtection="0"/>
    <xf numFmtId="0" fontId="25" fillId="5" borderId="0" applyNumberFormat="0" applyBorder="0" applyAlignment="0" applyProtection="0"/>
    <xf numFmtId="43" fontId="43" fillId="0" borderId="0" applyFont="0" applyFill="0" applyBorder="0" applyAlignment="0" applyProtection="0"/>
    <xf numFmtId="186" fontId="45" fillId="0" borderId="0" applyFont="0" applyFill="0" applyBorder="0" applyAlignment="0" applyProtection="0"/>
    <xf numFmtId="43" fontId="45" fillId="0" borderId="0" applyFont="0" applyFill="0" applyBorder="0" applyAlignment="0" applyProtection="0"/>
    <xf numFmtId="170" fontId="2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85" fillId="0" borderId="0" applyFont="0" applyFill="0" applyBorder="0" applyAlignment="0" applyProtection="0"/>
    <xf numFmtId="0" fontId="75" fillId="0" borderId="123" applyNumberFormat="0" applyFill="0" applyAlignment="0" applyProtection="0"/>
    <xf numFmtId="43" fontId="45" fillId="0" borderId="0" applyFont="0" applyFill="0" applyBorder="0" applyAlignment="0" applyProtection="0"/>
    <xf numFmtId="43" fontId="25" fillId="0" borderId="0" applyFont="0" applyFill="0" applyBorder="0" applyAlignment="0" applyProtection="0"/>
    <xf numFmtId="0" fontId="75" fillId="0" borderId="123" applyNumberFormat="0" applyFill="0" applyAlignment="0" applyProtection="0"/>
    <xf numFmtId="0" fontId="75" fillId="0" borderId="123" applyNumberFormat="0" applyFill="0" applyAlignment="0" applyProtection="0"/>
    <xf numFmtId="43" fontId="45" fillId="0" borderId="0" applyFont="0" applyFill="0" applyBorder="0" applyAlignment="0" applyProtection="0"/>
    <xf numFmtId="167"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0" fontId="45" fillId="5" borderId="121" applyNumberFormat="0" applyFont="0" applyAlignment="0" applyProtection="0"/>
    <xf numFmtId="0" fontId="70" fillId="8" borderId="120" applyNumberFormat="0" applyAlignment="0" applyProtection="0"/>
    <xf numFmtId="0" fontId="58" fillId="0" borderId="0" applyNumberFormat="0" applyFill="0" applyBorder="0" applyAlignment="0" applyProtection="0">
      <alignment vertical="top"/>
      <protection locked="0"/>
    </xf>
    <xf numFmtId="0" fontId="126" fillId="0" borderId="0"/>
    <xf numFmtId="0" fontId="85" fillId="0" borderId="0"/>
    <xf numFmtId="0" fontId="63" fillId="21" borderId="120" applyNumberFormat="0" applyAlignment="0" applyProtection="0"/>
    <xf numFmtId="0" fontId="63" fillId="21" borderId="120" applyNumberFormat="0" applyAlignment="0" applyProtection="0"/>
    <xf numFmtId="0" fontId="45" fillId="0" borderId="0"/>
    <xf numFmtId="0" fontId="50" fillId="0" borderId="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0" fontId="45" fillId="0" borderId="0"/>
    <xf numFmtId="43" fontId="45" fillId="0" borderId="0" applyFont="0" applyFill="0" applyBorder="0" applyAlignment="0" applyProtection="0"/>
    <xf numFmtId="9" fontId="131" fillId="0" borderId="0" applyFont="0" applyFill="0" applyBorder="0" applyAlignment="0" applyProtection="0"/>
    <xf numFmtId="186"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0" fontId="75" fillId="0" borderId="123" applyNumberFormat="0" applyFill="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3"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44" fontId="45" fillId="0" borderId="0" applyFont="0" applyFill="0" applyBorder="0" applyAlignment="0" applyProtection="0"/>
    <xf numFmtId="0" fontId="73" fillId="21" borderId="122" applyNumberFormat="0" applyAlignment="0" applyProtection="0"/>
    <xf numFmtId="0" fontId="73" fillId="21" borderId="122" applyNumberFormat="0" applyAlignment="0" applyProtection="0"/>
    <xf numFmtId="0" fontId="73" fillId="21" borderId="122" applyNumberFormat="0" applyAlignment="0" applyProtection="0"/>
    <xf numFmtId="0" fontId="73" fillId="21" borderId="122" applyNumberFormat="0" applyAlignment="0" applyProtection="0"/>
    <xf numFmtId="0" fontId="45" fillId="5" borderId="121" applyNumberFormat="0" applyFont="0" applyAlignment="0" applyProtection="0"/>
    <xf numFmtId="0" fontId="45" fillId="5" borderId="121" applyNumberFormat="0" applyFont="0" applyAlignment="0" applyProtection="0"/>
    <xf numFmtId="0" fontId="45" fillId="5" borderId="121" applyNumberFormat="0" applyFont="0" applyAlignment="0" applyProtection="0"/>
    <xf numFmtId="0" fontId="70" fillId="8" borderId="120" applyNumberFormat="0" applyAlignment="0" applyProtection="0"/>
    <xf numFmtId="0" fontId="70" fillId="8" borderId="120" applyNumberFormat="0" applyAlignment="0" applyProtection="0"/>
    <xf numFmtId="0" fontId="70" fillId="8" borderId="120" applyNumberFormat="0" applyAlignment="0" applyProtection="0"/>
    <xf numFmtId="0" fontId="2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86" fillId="0" borderId="0"/>
    <xf numFmtId="0" fontId="45" fillId="0" borderId="0"/>
    <xf numFmtId="0" fontId="45" fillId="0" borderId="0"/>
    <xf numFmtId="0" fontId="45" fillId="0" borderId="0"/>
    <xf numFmtId="0" fontId="45" fillId="0" borderId="0"/>
    <xf numFmtId="0" fontId="45" fillId="0" borderId="0"/>
    <xf numFmtId="0" fontId="25" fillId="0" borderId="0"/>
    <xf numFmtId="0" fontId="50" fillId="0" borderId="0"/>
    <xf numFmtId="0" fontId="129" fillId="0" borderId="0"/>
    <xf numFmtId="0" fontId="129" fillId="0" borderId="0"/>
    <xf numFmtId="0" fontId="63" fillId="21" borderId="120" applyNumberFormat="0" applyAlignment="0" applyProtection="0"/>
    <xf numFmtId="0" fontId="63" fillId="21" borderId="120" applyNumberFormat="0" applyAlignment="0" applyProtection="0"/>
    <xf numFmtId="0" fontId="25" fillId="0" borderId="0"/>
    <xf numFmtId="0" fontId="25" fillId="0" borderId="0"/>
    <xf numFmtId="9" fontId="2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0" fontId="45" fillId="0" borderId="0"/>
    <xf numFmtId="0" fontId="127" fillId="0" borderId="0"/>
    <xf numFmtId="9" fontId="127" fillId="0" borderId="0" applyFont="0" applyFill="0" applyBorder="0" applyAlignment="0" applyProtection="0"/>
    <xf numFmtId="43" fontId="127" fillId="0" borderId="0" applyFont="0" applyFill="0" applyBorder="0" applyAlignment="0" applyProtection="0"/>
    <xf numFmtId="0" fontId="45" fillId="0" borderId="0"/>
    <xf numFmtId="0" fontId="45" fillId="5" borderId="121" applyNumberFormat="0" applyFont="0" applyAlignment="0" applyProtection="0"/>
    <xf numFmtId="0" fontId="45" fillId="5" borderId="121" applyNumberFormat="0" applyFont="0" applyAlignment="0" applyProtection="0"/>
    <xf numFmtId="39" fontId="47" fillId="0" borderId="125" applyFill="0">
      <alignment horizontal="left"/>
    </xf>
    <xf numFmtId="9" fontId="25" fillId="0" borderId="0" applyFont="0" applyFill="0" applyBorder="0" applyAlignment="0" applyProtection="0"/>
    <xf numFmtId="0" fontId="25" fillId="0" borderId="0"/>
    <xf numFmtId="0" fontId="24" fillId="0" borderId="0"/>
    <xf numFmtId="9" fontId="24" fillId="0" borderId="0" applyFont="0" applyFill="0" applyBorder="0" applyAlignment="0" applyProtection="0"/>
    <xf numFmtId="0" fontId="24" fillId="0" borderId="0"/>
    <xf numFmtId="165" fontId="24" fillId="0" borderId="0" applyFont="0" applyFill="0" applyBorder="0" applyAlignment="0" applyProtection="0"/>
    <xf numFmtId="0" fontId="24" fillId="5" borderId="0" applyNumberFormat="0" applyBorder="0" applyAlignment="0" applyProtection="0"/>
    <xf numFmtId="0" fontId="24" fillId="5" borderId="0" applyNumberFormat="0" applyBorder="0" applyAlignment="0" applyProtection="0"/>
    <xf numFmtId="0" fontId="24" fillId="5" borderId="0" applyNumberFormat="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0" fontId="24" fillId="5" borderId="0" applyNumberFormat="0" applyBorder="0" applyAlignment="0" applyProtection="0"/>
    <xf numFmtId="0" fontId="24" fillId="5" borderId="0" applyNumberFormat="0" applyBorder="0" applyAlignment="0" applyProtection="0"/>
    <xf numFmtId="0" fontId="24" fillId="4" borderId="0" applyNumberFormat="0" applyBorder="0" applyAlignment="0" applyProtection="0"/>
    <xf numFmtId="0" fontId="24" fillId="4" borderId="0" applyNumberFormat="0" applyBorder="0" applyAlignment="0" applyProtection="0"/>
    <xf numFmtId="0" fontId="24" fillId="4" borderId="0" applyNumberFormat="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5" borderId="0" applyNumberFormat="0" applyBorder="0" applyAlignment="0" applyProtection="0"/>
    <xf numFmtId="170"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3" fillId="0" borderId="0"/>
    <xf numFmtId="0" fontId="23" fillId="0" borderId="0"/>
    <xf numFmtId="0" fontId="23" fillId="0" borderId="0"/>
    <xf numFmtId="0" fontId="50" fillId="0" borderId="0"/>
    <xf numFmtId="0" fontId="22" fillId="0" borderId="0"/>
    <xf numFmtId="0" fontId="22" fillId="0" borderId="0"/>
    <xf numFmtId="0" fontId="21" fillId="0" borderId="0"/>
    <xf numFmtId="0" fontId="21" fillId="4" borderId="0" applyNumberFormat="0" applyBorder="0" applyAlignment="0" applyProtection="0"/>
    <xf numFmtId="0" fontId="21" fillId="0" borderId="0"/>
    <xf numFmtId="0" fontId="20" fillId="0" borderId="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0" fontId="45" fillId="5" borderId="228" applyNumberFormat="0" applyFont="0" applyAlignment="0" applyProtection="0"/>
    <xf numFmtId="0" fontId="19" fillId="4"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75" fillId="0" borderId="237" applyNumberFormat="0" applyFill="0" applyAlignment="0" applyProtection="0"/>
    <xf numFmtId="0" fontId="45" fillId="5" borderId="235" applyNumberFormat="0" applyFont="0" applyAlignment="0" applyProtection="0"/>
    <xf numFmtId="0" fontId="70" fillId="8" borderId="234" applyNumberFormat="0" applyAlignment="0" applyProtection="0"/>
    <xf numFmtId="0" fontId="63" fillId="21" borderId="220" applyNumberFormat="0" applyAlignment="0" applyProtection="0"/>
    <xf numFmtId="0" fontId="63" fillId="21" borderId="220" applyNumberFormat="0" applyAlignment="0" applyProtection="0"/>
    <xf numFmtId="0" fontId="63" fillId="21" borderId="234" applyNumberFormat="0" applyAlignment="0" applyProtection="0"/>
    <xf numFmtId="0" fontId="69" fillId="0" borderId="221" applyNumberFormat="0" applyFill="0" applyAlignment="0" applyProtection="0"/>
    <xf numFmtId="0" fontId="69" fillId="0" borderId="221" applyNumberFormat="0" applyFill="0" applyAlignment="0" applyProtection="0"/>
    <xf numFmtId="0" fontId="70" fillId="8" borderId="234" applyNumberFormat="0" applyAlignment="0" applyProtection="0"/>
    <xf numFmtId="0" fontId="70" fillId="8" borderId="220" applyNumberFormat="0" applyAlignment="0" applyProtection="0"/>
    <xf numFmtId="0" fontId="70" fillId="8" borderId="220" applyNumberFormat="0" applyAlignment="0" applyProtection="0"/>
    <xf numFmtId="0" fontId="63" fillId="21" borderId="234" applyNumberFormat="0" applyAlignment="0" applyProtection="0"/>
    <xf numFmtId="0" fontId="73" fillId="21" borderId="229" applyNumberFormat="0" applyAlignment="0" applyProtection="0"/>
    <xf numFmtId="0" fontId="19" fillId="0" borderId="0"/>
    <xf numFmtId="0" fontId="63" fillId="21" borderId="234" applyNumberFormat="0" applyAlignment="0" applyProtection="0"/>
    <xf numFmtId="0" fontId="45" fillId="5" borderId="235" applyNumberFormat="0" applyFont="0" applyAlignment="0" applyProtection="0"/>
    <xf numFmtId="0" fontId="19" fillId="0" borderId="0"/>
    <xf numFmtId="0" fontId="19" fillId="0" borderId="0"/>
    <xf numFmtId="0" fontId="45" fillId="5" borderId="235" applyNumberFormat="0" applyFont="0" applyAlignment="0" applyProtection="0"/>
    <xf numFmtId="0" fontId="75" fillId="0" borderId="230" applyNumberFormat="0" applyFill="0" applyAlignment="0" applyProtection="0"/>
    <xf numFmtId="0" fontId="73" fillId="21" borderId="229" applyNumberFormat="0" applyAlignment="0" applyProtection="0"/>
    <xf numFmtId="0" fontId="73" fillId="21" borderId="229" applyNumberFormat="0" applyAlignment="0" applyProtection="0"/>
    <xf numFmtId="0" fontId="45" fillId="5" borderId="222" applyNumberFormat="0" applyFont="0" applyAlignment="0" applyProtection="0"/>
    <xf numFmtId="0" fontId="45" fillId="5" borderId="222" applyNumberFormat="0" applyFont="0" applyAlignment="0" applyProtection="0"/>
    <xf numFmtId="0" fontId="73" fillId="21" borderId="223" applyNumberFormat="0" applyAlignment="0" applyProtection="0"/>
    <xf numFmtId="0" fontId="73" fillId="21" borderId="223" applyNumberFormat="0" applyAlignment="0" applyProtection="0"/>
    <xf numFmtId="0" fontId="45" fillId="5" borderId="235" applyNumberFormat="0" applyFont="0" applyAlignment="0" applyProtection="0"/>
    <xf numFmtId="0" fontId="75" fillId="0" borderId="224" applyNumberFormat="0" applyFill="0" applyAlignment="0" applyProtection="0"/>
    <xf numFmtId="0" fontId="75" fillId="0" borderId="224" applyNumberFormat="0" applyFill="0" applyAlignment="0" applyProtection="0"/>
    <xf numFmtId="0" fontId="70" fillId="8" borderId="234" applyNumberFormat="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45" fillId="5" borderId="235" applyNumberFormat="0" applyFont="0" applyAlignment="0" applyProtection="0"/>
    <xf numFmtId="0" fontId="19" fillId="0" borderId="0"/>
    <xf numFmtId="0" fontId="45" fillId="5" borderId="228" applyNumberFormat="0" applyFont="0" applyAlignment="0" applyProtection="0"/>
    <xf numFmtId="0" fontId="19" fillId="4"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43" fontId="19" fillId="0" borderId="0" applyFont="0" applyFill="0" applyBorder="0" applyAlignment="0" applyProtection="0"/>
    <xf numFmtId="0" fontId="45" fillId="5" borderId="235" applyNumberFormat="0" applyFont="0" applyAlignment="0" applyProtection="0"/>
    <xf numFmtId="0" fontId="63" fillId="21" borderId="220" applyNumberFormat="0" applyAlignment="0" applyProtection="0"/>
    <xf numFmtId="0" fontId="63" fillId="21" borderId="220"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39" fontId="47" fillId="0" borderId="233" applyFill="0">
      <alignment horizontal="left"/>
    </xf>
    <xf numFmtId="0" fontId="69" fillId="0" borderId="221" applyNumberFormat="0" applyFill="0" applyAlignment="0" applyProtection="0"/>
    <xf numFmtId="0" fontId="69" fillId="0" borderId="221" applyNumberFormat="0" applyFill="0" applyAlignment="0" applyProtection="0"/>
    <xf numFmtId="0" fontId="70" fillId="8" borderId="220" applyNumberFormat="0" applyAlignment="0" applyProtection="0"/>
    <xf numFmtId="0" fontId="70" fillId="8" borderId="220" applyNumberFormat="0" applyAlignment="0" applyProtection="0"/>
    <xf numFmtId="0" fontId="73" fillId="21" borderId="229" applyNumberFormat="0" applyAlignment="0" applyProtection="0"/>
    <xf numFmtId="0" fontId="45" fillId="5" borderId="228" applyNumberFormat="0" applyFont="0" applyAlignment="0" applyProtection="0"/>
    <xf numFmtId="0" fontId="75" fillId="0" borderId="230" applyNumberFormat="0" applyFill="0" applyAlignment="0" applyProtection="0"/>
    <xf numFmtId="0" fontId="45" fillId="5" borderId="222" applyNumberFormat="0" applyFont="0" applyAlignment="0" applyProtection="0"/>
    <xf numFmtId="0" fontId="45" fillId="5" borderId="222" applyNumberFormat="0" applyFont="0" applyAlignment="0" applyProtection="0"/>
    <xf numFmtId="0" fontId="45" fillId="5" borderId="222" applyNumberFormat="0" applyFont="0" applyAlignment="0" applyProtection="0"/>
    <xf numFmtId="0" fontId="45" fillId="5" borderId="222" applyNumberFormat="0" applyFont="0" applyAlignment="0" applyProtection="0"/>
    <xf numFmtId="0" fontId="73" fillId="21" borderId="223" applyNumberFormat="0" applyAlignment="0" applyProtection="0"/>
    <xf numFmtId="0" fontId="73" fillId="21" borderId="223" applyNumberFormat="0" applyAlignment="0" applyProtection="0"/>
    <xf numFmtId="9" fontId="19" fillId="0" borderId="0" applyFont="0" applyFill="0" applyBorder="0" applyAlignment="0" applyProtection="0"/>
    <xf numFmtId="0" fontId="75" fillId="0" borderId="224" applyNumberFormat="0" applyFill="0" applyAlignment="0" applyProtection="0"/>
    <xf numFmtId="0" fontId="75" fillId="0" borderId="224" applyNumberFormat="0" applyFill="0" applyAlignment="0" applyProtection="0"/>
    <xf numFmtId="39" fontId="47" fillId="0" borderId="226" applyFill="0">
      <alignment horizontal="left"/>
    </xf>
    <xf numFmtId="0" fontId="73" fillId="21" borderId="236" applyNumberFormat="0" applyAlignment="0" applyProtection="0"/>
    <xf numFmtId="0" fontId="19" fillId="0" borderId="0"/>
    <xf numFmtId="0" fontId="75" fillId="0" borderId="237" applyNumberFormat="0" applyFill="0" applyAlignment="0" applyProtection="0"/>
    <xf numFmtId="0" fontId="70" fillId="8" borderId="227" applyNumberFormat="0" applyAlignment="0" applyProtection="0"/>
    <xf numFmtId="0" fontId="63" fillId="21" borderId="227" applyNumberFormat="0" applyAlignment="0" applyProtection="0"/>
    <xf numFmtId="9" fontId="19" fillId="0" borderId="0" applyFont="0" applyFill="0" applyBorder="0" applyAlignment="0" applyProtection="0"/>
    <xf numFmtId="43" fontId="19" fillId="0" borderId="0" applyFont="0" applyFill="0" applyBorder="0" applyAlignment="0" applyProtection="0"/>
    <xf numFmtId="0" fontId="86" fillId="0" borderId="208">
      <alignment horizontal="center" vertical="center"/>
    </xf>
    <xf numFmtId="0" fontId="94" fillId="0" borderId="212">
      <protection hidden="1"/>
    </xf>
    <xf numFmtId="0" fontId="95" fillId="21" borderId="212" applyNumberFormat="0" applyFont="0" applyBorder="0" applyAlignment="0" applyProtection="0">
      <protection hidden="1"/>
    </xf>
    <xf numFmtId="10" fontId="47" fillId="25" borderId="231" applyNumberFormat="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5" fontId="86" fillId="0" borderId="219"/>
    <xf numFmtId="0" fontId="73" fillId="21" borderId="236" applyNumberFormat="0" applyAlignment="0" applyProtection="0"/>
    <xf numFmtId="0" fontId="73" fillId="21" borderId="236" applyNumberFormat="0" applyAlignment="0" applyProtection="0"/>
    <xf numFmtId="0" fontId="73" fillId="21" borderId="236" applyNumberFormat="0" applyAlignment="0" applyProtection="0"/>
    <xf numFmtId="0" fontId="63" fillId="21" borderId="234" applyNumberFormat="0" applyAlignment="0" applyProtection="0"/>
    <xf numFmtId="0" fontId="75" fillId="0" borderId="237" applyNumberFormat="0" applyFill="0" applyAlignment="0" applyProtection="0"/>
    <xf numFmtId="0" fontId="75" fillId="0" borderId="230" applyNumberFormat="0" applyFill="0" applyAlignment="0" applyProtection="0"/>
    <xf numFmtId="10" fontId="47" fillId="25" borderId="197" applyNumberFormat="0" applyBorder="0" applyAlignment="0" applyProtection="0"/>
    <xf numFmtId="0" fontId="75" fillId="0" borderId="230" applyNumberFormat="0" applyFill="0" applyAlignment="0" applyProtection="0"/>
    <xf numFmtId="0" fontId="104" fillId="0" borderId="212">
      <alignment horizontal="left"/>
      <protection locked="0"/>
    </xf>
    <xf numFmtId="0" fontId="70" fillId="8" borderId="234" applyNumberFormat="0" applyAlignment="0" applyProtection="0"/>
    <xf numFmtId="0" fontId="45" fillId="5" borderId="235" applyNumberFormat="0" applyFont="0" applyAlignment="0" applyProtection="0"/>
    <xf numFmtId="0" fontId="45" fillId="5" borderId="228" applyNumberFormat="0" applyFont="0" applyAlignment="0" applyProtection="0"/>
    <xf numFmtId="0" fontId="45" fillId="5" borderId="228" applyNumberFormat="0" applyFont="0" applyAlignment="0" applyProtection="0"/>
    <xf numFmtId="0" fontId="19" fillId="0" borderId="0"/>
    <xf numFmtId="0" fontId="19" fillId="0" borderId="0"/>
    <xf numFmtId="0" fontId="19" fillId="0" borderId="0"/>
    <xf numFmtId="0" fontId="19" fillId="0" borderId="0"/>
    <xf numFmtId="0" fontId="19" fillId="0" borderId="0"/>
    <xf numFmtId="0" fontId="75" fillId="0" borderId="237" applyNumberFormat="0" applyFill="0" applyAlignment="0" applyProtection="0"/>
    <xf numFmtId="0" fontId="19" fillId="0" borderId="0"/>
    <xf numFmtId="0" fontId="19" fillId="0" borderId="0"/>
    <xf numFmtId="0" fontId="19" fillId="0" borderId="0"/>
    <xf numFmtId="0" fontId="19" fillId="0" borderId="0"/>
    <xf numFmtId="0" fontId="19" fillId="0" borderId="0"/>
    <xf numFmtId="0" fontId="75" fillId="0" borderId="237" applyNumberFormat="0" applyFill="0" applyAlignment="0" applyProtection="0"/>
    <xf numFmtId="0" fontId="75" fillId="0" borderId="237" applyNumberFormat="0" applyFill="0" applyAlignment="0" applyProtection="0"/>
    <xf numFmtId="0" fontId="75" fillId="0" borderId="237" applyNumberForma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5" fillId="5" borderId="228" applyNumberFormat="0" applyFont="0" applyAlignment="0" applyProtection="0"/>
    <xf numFmtId="9" fontId="19" fillId="0" borderId="0" applyFont="0" applyFill="0" applyBorder="0" applyAlignment="0" applyProtection="0"/>
    <xf numFmtId="0" fontId="75" fillId="0" borderId="237" applyNumberFormat="0" applyFill="0" applyAlignment="0" applyProtection="0"/>
    <xf numFmtId="0" fontId="111" fillId="0" borderId="212" applyNumberFormat="0" applyFill="0" applyBorder="0" applyAlignment="0" applyProtection="0">
      <protection hidden="1"/>
    </xf>
    <xf numFmtId="39" fontId="47" fillId="0" borderId="211" applyFill="0">
      <alignment horizontal="left"/>
    </xf>
    <xf numFmtId="0" fontId="75" fillId="0" borderId="237" applyNumberFormat="0" applyFill="0" applyAlignment="0" applyProtection="0"/>
    <xf numFmtId="0" fontId="70" fillId="8" borderId="234" applyNumberFormat="0" applyAlignment="0" applyProtection="0"/>
    <xf numFmtId="0" fontId="63" fillId="21" borderId="234" applyNumberFormat="0" applyAlignment="0" applyProtection="0"/>
    <xf numFmtId="0" fontId="63" fillId="21" borderId="234" applyNumberFormat="0" applyAlignment="0" applyProtection="0"/>
    <xf numFmtId="0" fontId="115" fillId="21" borderId="212"/>
    <xf numFmtId="0" fontId="73" fillId="21" borderId="236" applyNumberFormat="0" applyAlignment="0" applyProtection="0"/>
    <xf numFmtId="0" fontId="45" fillId="5" borderId="235" applyNumberFormat="0" applyFont="0" applyAlignment="0" applyProtection="0"/>
    <xf numFmtId="39" fontId="47" fillId="0" borderId="233" applyFill="0">
      <alignment horizontal="left"/>
    </xf>
    <xf numFmtId="0" fontId="45" fillId="0" borderId="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5" borderId="0" applyNumberFormat="0" applyBorder="0" applyAlignment="0" applyProtection="0"/>
    <xf numFmtId="0" fontId="63" fillId="21" borderId="234" applyNumberFormat="0" applyAlignment="0" applyProtection="0"/>
    <xf numFmtId="0" fontId="45" fillId="5" borderId="235" applyNumberFormat="0" applyFont="0" applyAlignment="0" applyProtection="0"/>
    <xf numFmtId="0" fontId="45" fillId="5" borderId="235" applyNumberFormat="0" applyFont="0" applyAlignment="0" applyProtection="0"/>
    <xf numFmtId="0" fontId="75" fillId="0" borderId="237" applyNumberFormat="0" applyFill="0" applyAlignment="0" applyProtection="0"/>
    <xf numFmtId="0" fontId="73" fillId="21" borderId="236" applyNumberFormat="0" applyAlignment="0" applyProtection="0"/>
    <xf numFmtId="0" fontId="45" fillId="5" borderId="235" applyNumberFormat="0" applyFont="0" applyAlignment="0" applyProtection="0"/>
    <xf numFmtId="0" fontId="70" fillId="8" borderId="234" applyNumberFormat="0" applyAlignment="0" applyProtection="0"/>
    <xf numFmtId="39" fontId="47" fillId="0" borderId="233" applyFill="0">
      <alignment horizontal="left"/>
    </xf>
    <xf numFmtId="0" fontId="63" fillId="21" borderId="234" applyNumberFormat="0" applyAlignment="0" applyProtection="0"/>
    <xf numFmtId="0" fontId="19" fillId="0" borderId="0"/>
    <xf numFmtId="0" fontId="19" fillId="0" borderId="0"/>
    <xf numFmtId="166" fontId="19" fillId="0" borderId="0" applyFont="0" applyFill="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4"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9"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9"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0" fontId="70" fillId="8" borderId="227" applyNumberFormat="0" applyAlignment="0" applyProtection="0"/>
    <xf numFmtId="0" fontId="70" fillId="8" borderId="227" applyNumberFormat="0" applyAlignment="0" applyProtection="0"/>
    <xf numFmtId="0" fontId="19" fillId="0" borderId="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0" fontId="19" fillId="0" borderId="0"/>
    <xf numFmtId="0" fontId="69" fillId="0" borderId="221" applyNumberFormat="0" applyFill="0" applyAlignment="0" applyProtection="0"/>
    <xf numFmtId="0" fontId="69" fillId="0" borderId="221" applyNumberFormat="0" applyFill="0" applyAlignment="0" applyProtection="0"/>
    <xf numFmtId="0" fontId="19" fillId="0" borderId="0"/>
    <xf numFmtId="0" fontId="19" fillId="0" borderId="0"/>
    <xf numFmtId="0" fontId="63" fillId="21" borderId="227" applyNumberFormat="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69" fillId="0" borderId="221" applyNumberFormat="0" applyFill="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70" fillId="8" borderId="234" applyNumberFormat="0" applyAlignment="0" applyProtection="0"/>
    <xf numFmtId="0" fontId="63" fillId="21" borderId="234" applyNumberFormat="0" applyAlignment="0" applyProtection="0"/>
    <xf numFmtId="0" fontId="70" fillId="8" borderId="234" applyNumberFormat="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0" fontId="47" fillId="25" borderId="231" applyNumberFormat="0" applyBorder="0" applyAlignment="0" applyProtection="0"/>
    <xf numFmtId="0" fontId="45" fillId="5" borderId="235" applyNumberFormat="0" applyFont="0" applyAlignment="0" applyProtection="0"/>
    <xf numFmtId="0" fontId="63" fillId="21" borderId="227" applyNumberFormat="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4" borderId="0" applyNumberFormat="0" applyBorder="0" applyAlignment="0" applyProtection="0"/>
    <xf numFmtId="0" fontId="19" fillId="5"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9" fontId="19" fillId="0" borderId="0" applyFont="0" applyFill="0" applyBorder="0" applyAlignment="0" applyProtection="0"/>
    <xf numFmtId="0" fontId="19" fillId="0" borderId="0"/>
    <xf numFmtId="0" fontId="94" fillId="0" borderId="225">
      <protection hidden="1"/>
    </xf>
    <xf numFmtId="0" fontId="95" fillId="21" borderId="225" applyNumberFormat="0" applyFont="0" applyBorder="0" applyAlignment="0" applyProtection="0">
      <protection hidden="1"/>
    </xf>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75" fontId="86" fillId="0" borderId="198"/>
    <xf numFmtId="0" fontId="69" fillId="0" borderId="221" applyNumberFormat="0" applyFill="0" applyAlignment="0" applyProtection="0"/>
    <xf numFmtId="0" fontId="69" fillId="0" borderId="221" applyNumberFormat="0" applyFill="0" applyAlignment="0" applyProtection="0"/>
    <xf numFmtId="10" fontId="47" fillId="25" borderId="197" applyNumberFormat="0" applyBorder="0" applyAlignment="0" applyProtection="0"/>
    <xf numFmtId="0" fontId="104" fillId="0" borderId="225">
      <alignment horizontal="left"/>
      <protection locked="0"/>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9" fillId="0" borderId="221" applyNumberFormat="0" applyFill="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11" fillId="0" borderId="225" applyNumberFormat="0" applyFill="0" applyBorder="0" applyAlignment="0" applyProtection="0">
      <protection hidden="1"/>
    </xf>
    <xf numFmtId="0" fontId="19" fillId="0" borderId="0"/>
    <xf numFmtId="0" fontId="115" fillId="21" borderId="225"/>
    <xf numFmtId="0" fontId="19" fillId="0" borderId="0"/>
    <xf numFmtId="165" fontId="19" fillId="0" borderId="0" applyFont="0" applyFill="0" applyBorder="0" applyAlignment="0" applyProtection="0"/>
    <xf numFmtId="165" fontId="19" fillId="0" borderId="0" applyFont="0" applyFill="0" applyBorder="0" applyAlignment="0" applyProtection="0"/>
    <xf numFmtId="0" fontId="63" fillId="21" borderId="234" applyNumberFormat="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0" fontId="19" fillId="0" borderId="0"/>
    <xf numFmtId="0" fontId="69" fillId="0" borderId="221" applyNumberFormat="0" applyFill="0" applyAlignment="0" applyProtection="0"/>
    <xf numFmtId="0" fontId="69" fillId="0" borderId="221" applyNumberFormat="0" applyFill="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45" fillId="0" borderId="0" applyFont="0" applyFill="0" applyBorder="0" applyAlignment="0" applyProtection="0"/>
    <xf numFmtId="0" fontId="19" fillId="0" borderId="0"/>
    <xf numFmtId="165"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165" fontId="19" fillId="0" borderId="0" applyFont="0" applyFill="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94" fillId="0" borderId="212">
      <protection hidden="1"/>
    </xf>
    <xf numFmtId="0" fontId="130" fillId="21" borderId="212" applyNumberFormat="0" applyFont="0" applyBorder="0" applyAlignment="0" applyProtection="0">
      <protection hidden="1"/>
    </xf>
    <xf numFmtId="0" fontId="63" fillId="21" borderId="220" applyNumberFormat="0" applyAlignment="0" applyProtection="0"/>
    <xf numFmtId="0" fontId="63" fillId="21" borderId="220" applyNumberFormat="0" applyAlignment="0" applyProtection="0"/>
    <xf numFmtId="175" fontId="86" fillId="0" borderId="198"/>
    <xf numFmtId="0" fontId="104" fillId="0" borderId="212">
      <alignment horizontal="left"/>
      <protection locked="0"/>
    </xf>
    <xf numFmtId="43" fontId="19" fillId="0" borderId="0" applyFont="0" applyFill="0" applyBorder="0" applyAlignment="0" applyProtection="0"/>
    <xf numFmtId="0" fontId="70" fillId="8" borderId="220" applyNumberFormat="0" applyAlignment="0" applyProtection="0"/>
    <xf numFmtId="0" fontId="70" fillId="8" borderId="220" applyNumberFormat="0" applyAlignment="0" applyProtection="0"/>
    <xf numFmtId="0" fontId="19" fillId="0" borderId="0"/>
    <xf numFmtId="0" fontId="19" fillId="0" borderId="0"/>
    <xf numFmtId="0" fontId="19" fillId="0" borderId="0"/>
    <xf numFmtId="0" fontId="45" fillId="5" borderId="222" applyNumberFormat="0" applyFont="0" applyAlignment="0" applyProtection="0"/>
    <xf numFmtId="0" fontId="45" fillId="5" borderId="222" applyNumberFormat="0" applyFont="0" applyAlignment="0" applyProtection="0"/>
    <xf numFmtId="0" fontId="73" fillId="21" borderId="223" applyNumberFormat="0" applyAlignment="0" applyProtection="0"/>
    <xf numFmtId="0" fontId="73" fillId="21" borderId="223" applyNumberFormat="0" applyAlignment="0" applyProtection="0"/>
    <xf numFmtId="9" fontId="19" fillId="0" borderId="0" applyFont="0" applyFill="0" applyBorder="0" applyAlignment="0" applyProtection="0"/>
    <xf numFmtId="0" fontId="111" fillId="0" borderId="212" applyNumberFormat="0" applyFill="0" applyBorder="0" applyAlignment="0" applyProtection="0">
      <protection hidden="1"/>
    </xf>
    <xf numFmtId="9" fontId="19" fillId="0" borderId="0" applyFont="0" applyFill="0" applyBorder="0" applyAlignment="0" applyProtection="0"/>
    <xf numFmtId="0" fontId="115" fillId="21" borderId="212"/>
    <xf numFmtId="0" fontId="75" fillId="0" borderId="224" applyNumberFormat="0" applyFill="0" applyAlignment="0" applyProtection="0"/>
    <xf numFmtId="0" fontId="75" fillId="0" borderId="224" applyNumberFormat="0" applyFill="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86" fillId="0" borderId="208">
      <alignment horizontal="center" vertical="center"/>
    </xf>
    <xf numFmtId="0" fontId="130" fillId="21" borderId="225" applyNumberFormat="0" applyFont="0" applyBorder="0" applyAlignment="0" applyProtection="0">
      <protection hidden="1"/>
    </xf>
    <xf numFmtId="0" fontId="63" fillId="21" borderId="220" applyNumberFormat="0" applyAlignment="0" applyProtection="0"/>
    <xf numFmtId="0" fontId="63" fillId="21" borderId="220"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5" fontId="86" fillId="0" borderId="219"/>
    <xf numFmtId="10" fontId="47" fillId="25" borderId="197" applyNumberFormat="0" applyBorder="0" applyAlignment="0" applyProtection="0"/>
    <xf numFmtId="0" fontId="70" fillId="8" borderId="220" applyNumberFormat="0" applyAlignment="0" applyProtection="0"/>
    <xf numFmtId="0" fontId="70" fillId="8" borderId="220" applyNumberFormat="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45" fillId="5" borderId="222" applyNumberFormat="0" applyFont="0" applyAlignment="0" applyProtection="0"/>
    <xf numFmtId="0" fontId="45" fillId="5" borderId="222" applyNumberFormat="0" applyFont="0" applyAlignment="0" applyProtection="0"/>
    <xf numFmtId="0" fontId="45" fillId="5" borderId="222" applyNumberFormat="0" applyFont="0" applyAlignment="0" applyProtection="0"/>
    <xf numFmtId="0" fontId="45" fillId="5" borderId="222" applyNumberFormat="0" applyFont="0" applyAlignment="0" applyProtection="0"/>
    <xf numFmtId="0" fontId="73" fillId="21" borderId="223" applyNumberFormat="0" applyAlignment="0" applyProtection="0"/>
    <xf numFmtId="0" fontId="73" fillId="21" borderId="223"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39" fontId="47" fillId="0" borderId="211" applyFill="0">
      <alignment horizontal="left"/>
    </xf>
    <xf numFmtId="0" fontId="75" fillId="0" borderId="224" applyNumberFormat="0" applyFill="0" applyAlignment="0" applyProtection="0"/>
    <xf numFmtId="0" fontId="75" fillId="0" borderId="224" applyNumberFormat="0" applyFill="0" applyAlignment="0" applyProtection="0"/>
    <xf numFmtId="9" fontId="19" fillId="0" borderId="0" applyFont="0" applyFill="0" applyBorder="0" applyAlignment="0" applyProtection="0"/>
    <xf numFmtId="0" fontId="19" fillId="0" borderId="0"/>
    <xf numFmtId="0" fontId="45" fillId="0" borderId="0"/>
    <xf numFmtId="0" fontId="70" fillId="8" borderId="234" applyNumberFormat="0" applyAlignment="0" applyProtection="0"/>
    <xf numFmtId="43" fontId="19" fillId="0" borderId="0" applyFont="0" applyFill="0" applyBorder="0" applyAlignment="0" applyProtection="0"/>
    <xf numFmtId="9" fontId="19" fillId="0" borderId="0" applyFont="0" applyFill="0" applyBorder="0" applyAlignment="0" applyProtection="0"/>
    <xf numFmtId="0" fontId="70" fillId="8" borderId="227" applyNumberFormat="0" applyAlignment="0" applyProtection="0"/>
    <xf numFmtId="0" fontId="19" fillId="5" borderId="0" applyNumberFormat="0" applyBorder="0" applyAlignment="0" applyProtection="0"/>
    <xf numFmtId="170" fontId="19" fillId="0" borderId="0" applyFont="0" applyFill="0" applyBorder="0" applyAlignment="0" applyProtection="0"/>
    <xf numFmtId="0" fontId="75" fillId="0" borderId="224" applyNumberFormat="0" applyFill="0" applyAlignment="0" applyProtection="0"/>
    <xf numFmtId="43" fontId="19" fillId="0" borderId="0" applyFont="0" applyFill="0" applyBorder="0" applyAlignment="0" applyProtection="0"/>
    <xf numFmtId="0" fontId="75" fillId="0" borderId="224" applyNumberFormat="0" applyFill="0" applyAlignment="0" applyProtection="0"/>
    <xf numFmtId="0" fontId="75" fillId="0" borderId="224" applyNumberFormat="0" applyFill="0" applyAlignment="0" applyProtection="0"/>
    <xf numFmtId="0" fontId="45" fillId="5" borderId="222" applyNumberFormat="0" applyFont="0" applyAlignment="0" applyProtection="0"/>
    <xf numFmtId="0" fontId="70" fillId="8" borderId="220" applyNumberFormat="0" applyAlignment="0" applyProtection="0"/>
    <xf numFmtId="0" fontId="63" fillId="21" borderId="220" applyNumberFormat="0" applyAlignment="0" applyProtection="0"/>
    <xf numFmtId="0" fontId="63" fillId="21" borderId="220" applyNumberFormat="0" applyAlignment="0" applyProtection="0"/>
    <xf numFmtId="0" fontId="63" fillId="21" borderId="234" applyNumberFormat="0" applyAlignment="0" applyProtection="0"/>
    <xf numFmtId="0" fontId="70" fillId="8" borderId="234" applyNumberFormat="0" applyAlignment="0" applyProtection="0"/>
    <xf numFmtId="0" fontId="45" fillId="5" borderId="235" applyNumberFormat="0" applyFont="0" applyAlignment="0" applyProtection="0"/>
    <xf numFmtId="43" fontId="19" fillId="0" borderId="0" applyFont="0" applyFill="0" applyBorder="0" applyAlignment="0" applyProtection="0"/>
    <xf numFmtId="43" fontId="19" fillId="0" borderId="0" applyFont="0" applyFill="0" applyBorder="0" applyAlignment="0" applyProtection="0"/>
    <xf numFmtId="0" fontId="75" fillId="0" borderId="224" applyNumberFormat="0" applyFill="0" applyAlignment="0" applyProtection="0"/>
    <xf numFmtId="0" fontId="73" fillId="21" borderId="223" applyNumberFormat="0" applyAlignment="0" applyProtection="0"/>
    <xf numFmtId="0" fontId="73" fillId="21" borderId="223" applyNumberFormat="0" applyAlignment="0" applyProtection="0"/>
    <xf numFmtId="0" fontId="73" fillId="21" borderId="223" applyNumberFormat="0" applyAlignment="0" applyProtection="0"/>
    <xf numFmtId="0" fontId="73" fillId="21" borderId="223" applyNumberFormat="0" applyAlignment="0" applyProtection="0"/>
    <xf numFmtId="0" fontId="45" fillId="5" borderId="222" applyNumberFormat="0" applyFont="0" applyAlignment="0" applyProtection="0"/>
    <xf numFmtId="0" fontId="45" fillId="5" borderId="222" applyNumberFormat="0" applyFont="0" applyAlignment="0" applyProtection="0"/>
    <xf numFmtId="0" fontId="45" fillId="5" borderId="222" applyNumberFormat="0" applyFont="0" applyAlignment="0" applyProtection="0"/>
    <xf numFmtId="0" fontId="70" fillId="8" borderId="220" applyNumberFormat="0" applyAlignment="0" applyProtection="0"/>
    <xf numFmtId="0" fontId="70" fillId="8" borderId="220" applyNumberFormat="0" applyAlignment="0" applyProtection="0"/>
    <xf numFmtId="0" fontId="70" fillId="8" borderId="220" applyNumberFormat="0" applyAlignment="0" applyProtection="0"/>
    <xf numFmtId="0" fontId="19" fillId="0" borderId="0"/>
    <xf numFmtId="0" fontId="19" fillId="0" borderId="0"/>
    <xf numFmtId="0" fontId="63" fillId="21" borderId="220" applyNumberFormat="0" applyAlignment="0" applyProtection="0"/>
    <xf numFmtId="0" fontId="63" fillId="21" borderId="220" applyNumberFormat="0" applyAlignment="0" applyProtection="0"/>
    <xf numFmtId="0" fontId="19" fillId="0" borderId="0"/>
    <xf numFmtId="0" fontId="19" fillId="0" borderId="0"/>
    <xf numFmtId="9" fontId="19" fillId="0" borderId="0" applyFont="0" applyFill="0" applyBorder="0" applyAlignment="0" applyProtection="0"/>
    <xf numFmtId="0" fontId="73" fillId="21" borderId="236" applyNumberFormat="0" applyAlignment="0" applyProtection="0"/>
    <xf numFmtId="0" fontId="63" fillId="21" borderId="227" applyNumberFormat="0" applyAlignment="0" applyProtection="0"/>
    <xf numFmtId="0" fontId="45" fillId="5" borderId="222" applyNumberFormat="0" applyFont="0" applyAlignment="0" applyProtection="0"/>
    <xf numFmtId="0" fontId="45" fillId="5" borderId="222" applyNumberFormat="0" applyFont="0" applyAlignment="0" applyProtection="0"/>
    <xf numFmtId="39" fontId="47" fillId="0" borderId="211" applyFill="0">
      <alignment horizontal="left"/>
    </xf>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165" fontId="19" fillId="0" borderId="0" applyFont="0" applyFill="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5" borderId="0" applyNumberFormat="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4" borderId="0" applyNumberFormat="0" applyBorder="0" applyAlignment="0" applyProtection="0"/>
    <xf numFmtId="0" fontId="19" fillId="0" borderId="0"/>
    <xf numFmtId="0" fontId="19" fillId="0" borderId="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45" fillId="5" borderId="235" applyNumberFormat="0" applyFont="0" applyAlignment="0" applyProtection="0"/>
    <xf numFmtId="0" fontId="94" fillId="0" borderId="212">
      <protection hidden="1"/>
    </xf>
    <xf numFmtId="0" fontId="95" fillId="21" borderId="212" applyNumberFormat="0" applyFont="0" applyBorder="0" applyAlignment="0" applyProtection="0">
      <protection hidden="1"/>
    </xf>
    <xf numFmtId="175" fontId="86" fillId="0" borderId="219"/>
    <xf numFmtId="0" fontId="104" fillId="0" borderId="212">
      <alignment horizontal="left"/>
      <protection locked="0"/>
    </xf>
    <xf numFmtId="0" fontId="75" fillId="0" borderId="237" applyNumberFormat="0" applyFill="0" applyAlignment="0" applyProtection="0"/>
    <xf numFmtId="0" fontId="45" fillId="5" borderId="235" applyNumberFormat="0" applyFont="0" applyAlignment="0" applyProtection="0"/>
    <xf numFmtId="0" fontId="111" fillId="0" borderId="212" applyNumberFormat="0" applyFill="0" applyBorder="0" applyAlignment="0" applyProtection="0">
      <protection hidden="1"/>
    </xf>
    <xf numFmtId="0" fontId="115" fillId="21" borderId="212"/>
    <xf numFmtId="10" fontId="47" fillId="25" borderId="231" applyNumberFormat="0" applyBorder="0" applyAlignment="0" applyProtection="0"/>
    <xf numFmtId="0" fontId="73" fillId="21" borderId="236" applyNumberFormat="0" applyAlignment="0" applyProtection="0"/>
    <xf numFmtId="0" fontId="45" fillId="5" borderId="235" applyNumberFormat="0" applyFont="0" applyAlignment="0" applyProtection="0"/>
    <xf numFmtId="0" fontId="63" fillId="21" borderId="227" applyNumberFormat="0" applyAlignment="0" applyProtection="0"/>
    <xf numFmtId="0" fontId="63" fillId="21" borderId="227" applyNumberFormat="0" applyAlignment="0" applyProtection="0"/>
    <xf numFmtId="175" fontId="86" fillId="0" borderId="219"/>
    <xf numFmtId="0" fontId="70" fillId="8" borderId="227" applyNumberFormat="0" applyAlignment="0" applyProtection="0"/>
    <xf numFmtId="0" fontId="70" fillId="8" borderId="227" applyNumberFormat="0" applyAlignment="0" applyProtection="0"/>
    <xf numFmtId="0" fontId="73" fillId="21" borderId="236" applyNumberFormat="0" applyAlignment="0" applyProtection="0"/>
    <xf numFmtId="0" fontId="45" fillId="5" borderId="228" applyNumberFormat="0" applyFont="0" applyAlignment="0" applyProtection="0"/>
    <xf numFmtId="0" fontId="45" fillId="5" borderId="228" applyNumberFormat="0" applyFont="0" applyAlignment="0" applyProtection="0"/>
    <xf numFmtId="0" fontId="73" fillId="21" borderId="229" applyNumberFormat="0" applyAlignment="0" applyProtection="0"/>
    <xf numFmtId="0" fontId="73" fillId="21" borderId="229" applyNumberFormat="0" applyAlignment="0" applyProtection="0"/>
    <xf numFmtId="0" fontId="73" fillId="21" borderId="236" applyNumberFormat="0" applyAlignment="0" applyProtection="0"/>
    <xf numFmtId="0" fontId="75" fillId="0" borderId="230" applyNumberFormat="0" applyFill="0" applyAlignment="0" applyProtection="0"/>
    <xf numFmtId="0" fontId="75" fillId="0" borderId="230" applyNumberFormat="0" applyFill="0" applyAlignment="0" applyProtection="0"/>
    <xf numFmtId="0" fontId="130" fillId="21" borderId="212" applyNumberFormat="0" applyFont="0" applyBorder="0" applyAlignment="0" applyProtection="0">
      <protection hidden="1"/>
    </xf>
    <xf numFmtId="0" fontId="63" fillId="21" borderId="227" applyNumberFormat="0" applyAlignment="0" applyProtection="0"/>
    <xf numFmtId="0" fontId="63" fillId="21" borderId="227" applyNumberFormat="0" applyAlignment="0" applyProtection="0"/>
    <xf numFmtId="0" fontId="70" fillId="8" borderId="227" applyNumberFormat="0" applyAlignment="0" applyProtection="0"/>
    <xf numFmtId="0" fontId="70" fillId="8" borderId="227" applyNumberFormat="0" applyAlignment="0" applyProtection="0"/>
    <xf numFmtId="0" fontId="45" fillId="5" borderId="235" applyNumberFormat="0" applyFont="0" applyAlignment="0" applyProtection="0"/>
    <xf numFmtId="0" fontId="45" fillId="5" borderId="228" applyNumberFormat="0" applyFont="0" applyAlignment="0" applyProtection="0"/>
    <xf numFmtId="0" fontId="45" fillId="5" borderId="228" applyNumberFormat="0" applyFont="0" applyAlignment="0" applyProtection="0"/>
    <xf numFmtId="0" fontId="45" fillId="5" borderId="228" applyNumberFormat="0" applyFont="0" applyAlignment="0" applyProtection="0"/>
    <xf numFmtId="0" fontId="45" fillId="5" borderId="228" applyNumberFormat="0" applyFont="0" applyAlignment="0" applyProtection="0"/>
    <xf numFmtId="0" fontId="73" fillId="21" borderId="229" applyNumberFormat="0" applyAlignment="0" applyProtection="0"/>
    <xf numFmtId="0" fontId="73" fillId="21" borderId="229" applyNumberFormat="0" applyAlignment="0" applyProtection="0"/>
    <xf numFmtId="39" fontId="47" fillId="0" borderId="226" applyFill="0">
      <alignment horizontal="left"/>
    </xf>
    <xf numFmtId="0" fontId="75" fillId="0" borderId="230" applyNumberFormat="0" applyFill="0" applyAlignment="0" applyProtection="0"/>
    <xf numFmtId="0" fontId="75" fillId="0" borderId="230" applyNumberFormat="0" applyFill="0" applyAlignment="0" applyProtection="0"/>
    <xf numFmtId="0" fontId="75" fillId="0" borderId="237" applyNumberFormat="0" applyFill="0" applyAlignment="0" applyProtection="0"/>
    <xf numFmtId="0" fontId="63" fillId="21" borderId="234" applyNumberFormat="0" applyAlignment="0" applyProtection="0"/>
    <xf numFmtId="0" fontId="75" fillId="0" borderId="230" applyNumberFormat="0" applyFill="0" applyAlignment="0" applyProtection="0"/>
    <xf numFmtId="0" fontId="75" fillId="0" borderId="230" applyNumberFormat="0" applyFill="0" applyAlignment="0" applyProtection="0"/>
    <xf numFmtId="0" fontId="75" fillId="0" borderId="230" applyNumberFormat="0" applyFill="0" applyAlignment="0" applyProtection="0"/>
    <xf numFmtId="0" fontId="45" fillId="5" borderId="228" applyNumberFormat="0" applyFont="0" applyAlignment="0" applyProtection="0"/>
    <xf numFmtId="0" fontId="70" fillId="8" borderId="227" applyNumberFormat="0" applyAlignment="0" applyProtection="0"/>
    <xf numFmtId="0" fontId="63" fillId="21" borderId="227" applyNumberFormat="0" applyAlignment="0" applyProtection="0"/>
    <xf numFmtId="0" fontId="63" fillId="21" borderId="227" applyNumberFormat="0" applyAlignment="0" applyProtection="0"/>
    <xf numFmtId="0" fontId="86" fillId="0" borderId="232">
      <alignment horizontal="center" vertical="center"/>
    </xf>
    <xf numFmtId="0" fontId="75" fillId="0" borderId="230" applyNumberFormat="0" applyFill="0" applyAlignment="0" applyProtection="0"/>
    <xf numFmtId="0" fontId="73" fillId="21" borderId="229" applyNumberFormat="0" applyAlignment="0" applyProtection="0"/>
    <xf numFmtId="0" fontId="73" fillId="21" borderId="229" applyNumberFormat="0" applyAlignment="0" applyProtection="0"/>
    <xf numFmtId="0" fontId="73" fillId="21" borderId="229" applyNumberFormat="0" applyAlignment="0" applyProtection="0"/>
    <xf numFmtId="0" fontId="73" fillId="21" borderId="229" applyNumberFormat="0" applyAlignment="0" applyProtection="0"/>
    <xf numFmtId="0" fontId="45" fillId="5" borderId="228" applyNumberFormat="0" applyFont="0" applyAlignment="0" applyProtection="0"/>
    <xf numFmtId="0" fontId="45" fillId="5" borderId="228" applyNumberFormat="0" applyFont="0" applyAlignment="0" applyProtection="0"/>
    <xf numFmtId="0" fontId="45" fillId="5" borderId="228" applyNumberFormat="0" applyFont="0" applyAlignment="0" applyProtection="0"/>
    <xf numFmtId="0" fontId="70" fillId="8" borderId="227" applyNumberFormat="0" applyAlignment="0" applyProtection="0"/>
    <xf numFmtId="0" fontId="70" fillId="8" borderId="227" applyNumberFormat="0" applyAlignment="0" applyProtection="0"/>
    <xf numFmtId="0" fontId="70" fillId="8" borderId="227" applyNumberFormat="0" applyAlignment="0" applyProtection="0"/>
    <xf numFmtId="0" fontId="86" fillId="0" borderId="232">
      <alignment horizontal="center" vertical="center"/>
    </xf>
    <xf numFmtId="0" fontId="63" fillId="21" borderId="227" applyNumberFormat="0" applyAlignment="0" applyProtection="0"/>
    <xf numFmtId="0" fontId="63" fillId="21" borderId="227" applyNumberFormat="0" applyAlignment="0" applyProtection="0"/>
    <xf numFmtId="0" fontId="70" fillId="8" borderId="234" applyNumberFormat="0" applyAlignment="0" applyProtection="0"/>
    <xf numFmtId="0" fontId="45" fillId="5" borderId="228" applyNumberFormat="0" applyFont="0" applyAlignment="0" applyProtection="0"/>
    <xf numFmtId="0" fontId="45" fillId="5" borderId="228" applyNumberFormat="0" applyFont="0" applyAlignment="0" applyProtection="0"/>
    <xf numFmtId="39" fontId="47" fillId="0" borderId="226" applyFill="0">
      <alignment horizontal="left"/>
    </xf>
    <xf numFmtId="0" fontId="73" fillId="21" borderId="236" applyNumberFormat="0" applyAlignment="0" applyProtection="0"/>
    <xf numFmtId="0" fontId="73" fillId="21" borderId="236" applyNumberFormat="0" applyAlignment="0" applyProtection="0"/>
    <xf numFmtId="0" fontId="45" fillId="5" borderId="235" applyNumberFormat="0" applyFont="0" applyAlignment="0" applyProtection="0"/>
    <xf numFmtId="0" fontId="70" fillId="8" borderId="234" applyNumberFormat="0" applyAlignment="0" applyProtection="0"/>
    <xf numFmtId="0" fontId="63" fillId="21" borderId="260" applyNumberFormat="0" applyAlignment="0" applyProtection="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70" fillId="8" borderId="248" applyNumberFormat="0" applyAlignment="0" applyProtection="0"/>
    <xf numFmtId="0" fontId="95" fillId="21" borderId="252" applyNumberFormat="0" applyFont="0" applyBorder="0" applyAlignment="0" applyProtection="0">
      <protection hidden="1"/>
    </xf>
    <xf numFmtId="0" fontId="73" fillId="21" borderId="250" applyNumberFormat="0" applyAlignment="0" applyProtection="0"/>
    <xf numFmtId="0" fontId="45" fillId="5" borderId="249" applyNumberFormat="0" applyFont="0" applyAlignment="0" applyProtection="0"/>
    <xf numFmtId="0" fontId="45" fillId="5" borderId="249" applyNumberFormat="0" applyFont="0" applyAlignment="0" applyProtection="0"/>
    <xf numFmtId="0" fontId="45" fillId="5" borderId="261" applyNumberFormat="0" applyFont="0" applyAlignment="0" applyProtection="0"/>
    <xf numFmtId="0" fontId="73" fillId="21" borderId="262" applyNumberFormat="0" applyAlignment="0" applyProtection="0"/>
    <xf numFmtId="0" fontId="73" fillId="21" borderId="262" applyNumberFormat="0" applyAlignment="0" applyProtection="0"/>
    <xf numFmtId="0" fontId="63" fillId="21" borderId="253" applyNumberFormat="0" applyAlignment="0" applyProtection="0"/>
    <xf numFmtId="0" fontId="70" fillId="8" borderId="260" applyNumberFormat="0" applyAlignment="0" applyProtection="0"/>
    <xf numFmtId="0" fontId="45" fillId="5" borderId="242" applyNumberFormat="0" applyFont="0" applyAlignment="0" applyProtection="0"/>
    <xf numFmtId="0" fontId="18" fillId="0" borderId="0"/>
    <xf numFmtId="0" fontId="75" fillId="0" borderId="263" applyNumberFormat="0" applyFill="0" applyAlignment="0" applyProtection="0"/>
    <xf numFmtId="0" fontId="18" fillId="0" borderId="0"/>
    <xf numFmtId="0" fontId="18" fillId="0" borderId="0"/>
    <xf numFmtId="0" fontId="63" fillId="21" borderId="241" applyNumberFormat="0" applyAlignment="0" applyProtection="0"/>
    <xf numFmtId="0" fontId="45" fillId="0" borderId="0"/>
    <xf numFmtId="0" fontId="75" fillId="0" borderId="263" applyNumberFormat="0" applyFill="0" applyAlignment="0" applyProtection="0"/>
    <xf numFmtId="0" fontId="45" fillId="5" borderId="249" applyNumberFormat="0" applyFont="0" applyAlignment="0" applyProtection="0"/>
    <xf numFmtId="0" fontId="70" fillId="8" borderId="241" applyNumberFormat="0" applyAlignment="0" applyProtection="0"/>
    <xf numFmtId="0" fontId="70" fillId="8" borderId="253" applyNumberFormat="0" applyAlignment="0" applyProtection="0"/>
    <xf numFmtId="0" fontId="45" fillId="5" borderId="254" applyNumberFormat="0" applyFont="0" applyAlignment="0" applyProtection="0"/>
    <xf numFmtId="0" fontId="45" fillId="5" borderId="249" applyNumberFormat="0" applyFont="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0" fontId="70" fillId="8" borderId="248" applyNumberFormat="0" applyAlignment="0" applyProtection="0"/>
    <xf numFmtId="0" fontId="18" fillId="0" borderId="0"/>
    <xf numFmtId="0" fontId="18" fillId="4"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73" fillId="21" borderId="262" applyNumberFormat="0" applyAlignment="0" applyProtection="0"/>
    <xf numFmtId="9" fontId="18" fillId="0" borderId="0" applyFont="0" applyFill="0" applyBorder="0" applyAlignment="0" applyProtection="0"/>
    <xf numFmtId="43" fontId="18" fillId="0" borderId="0" applyFont="0" applyFill="0" applyBorder="0" applyAlignment="0" applyProtection="0"/>
    <xf numFmtId="10" fontId="47" fillId="25" borderId="238" applyNumberFormat="0" applyBorder="0" applyAlignment="0" applyProtection="0"/>
    <xf numFmtId="0" fontId="70" fillId="8" borderId="248" applyNumberFormat="0" applyAlignment="0" applyProtection="0"/>
    <xf numFmtId="0" fontId="95" fillId="21" borderId="132" applyNumberFormat="0" applyFont="0" applyBorder="0" applyAlignment="0" applyProtection="0">
      <protection hidden="1"/>
    </xf>
    <xf numFmtId="0" fontId="63" fillId="21" borderId="260" applyNumberFormat="0" applyAlignment="0" applyProtection="0"/>
    <xf numFmtId="0" fontId="104" fillId="0" borderId="252">
      <alignment horizontal="left"/>
      <protection locked="0"/>
    </xf>
    <xf numFmtId="0" fontId="63" fillId="21" borderId="248" applyNumberFormat="0" applyAlignment="0" applyProtection="0"/>
    <xf numFmtId="0" fontId="45" fillId="5" borderId="261" applyNumberFormat="0" applyFont="0" applyAlignment="0" applyProtection="0"/>
    <xf numFmtId="39" fontId="47" fillId="0" borderId="259" applyFill="0">
      <alignment horizontal="left"/>
    </xf>
    <xf numFmtId="0" fontId="45" fillId="5" borderId="261" applyNumberFormat="0" applyFont="0" applyAlignment="0" applyProtection="0"/>
    <xf numFmtId="0" fontId="75" fillId="0" borderId="263" applyNumberFormat="0" applyFill="0" applyAlignment="0" applyProtection="0"/>
    <xf numFmtId="0" fontId="75" fillId="0" borderId="256" applyNumberFormat="0" applyFill="0" applyAlignment="0" applyProtection="0"/>
    <xf numFmtId="0" fontId="70" fillId="8" borderId="260" applyNumberFormat="0" applyAlignment="0" applyProtection="0"/>
    <xf numFmtId="0" fontId="45" fillId="5" borderId="254" applyNumberFormat="0" applyFont="0" applyAlignment="0" applyProtection="0"/>
    <xf numFmtId="0" fontId="73" fillId="21" borderId="250" applyNumberFormat="0" applyAlignment="0" applyProtection="0"/>
    <xf numFmtId="0" fontId="45" fillId="0" borderId="0"/>
    <xf numFmtId="0" fontId="73" fillId="21" borderId="262" applyNumberFormat="0" applyAlignment="0" applyProtection="0"/>
    <xf numFmtId="0" fontId="45" fillId="5" borderId="261" applyNumberFormat="0" applyFont="0" applyAlignment="0" applyProtection="0"/>
    <xf numFmtId="0" fontId="45" fillId="0" borderId="0"/>
    <xf numFmtId="43" fontId="18" fillId="0" borderId="0" applyFont="0" applyFill="0" applyBorder="0" applyAlignment="0" applyProtection="0"/>
    <xf numFmtId="0" fontId="73" fillId="21" borderId="262" applyNumberFormat="0" applyAlignment="0" applyProtection="0"/>
    <xf numFmtId="43" fontId="18" fillId="0" borderId="0" applyFont="0" applyFill="0" applyBorder="0" applyAlignment="0" applyProtection="0"/>
    <xf numFmtId="0" fontId="115" fillId="21" borderId="132"/>
    <xf numFmtId="0" fontId="63" fillId="21" borderId="260" applyNumberFormat="0" applyAlignment="0" applyProtection="0"/>
    <xf numFmtId="0" fontId="45" fillId="5" borderId="261" applyNumberFormat="0" applyFont="0" applyAlignment="0" applyProtection="0"/>
    <xf numFmtId="0" fontId="104" fillId="0" borderId="132">
      <alignment horizontal="left"/>
      <protection locked="0"/>
    </xf>
    <xf numFmtId="0" fontId="63" fillId="21" borderId="248" applyNumberFormat="0" applyAlignment="0" applyProtection="0"/>
    <xf numFmtId="10" fontId="47" fillId="25" borderId="257" applyNumberFormat="0" applyBorder="0" applyAlignment="0" applyProtection="0"/>
    <xf numFmtId="0" fontId="63" fillId="21" borderId="241" applyNumberFormat="0" applyAlignment="0" applyProtection="0"/>
    <xf numFmtId="0" fontId="70" fillId="8" borderId="248" applyNumberFormat="0" applyAlignment="0" applyProtection="0"/>
    <xf numFmtId="9" fontId="18" fillId="0" borderId="0" applyFont="0" applyFill="0" applyBorder="0" applyAlignment="0" applyProtection="0"/>
    <xf numFmtId="0" fontId="45" fillId="0" borderId="0"/>
    <xf numFmtId="0" fontId="45" fillId="5" borderId="249" applyNumberFormat="0" applyFont="0" applyAlignment="0" applyProtection="0"/>
    <xf numFmtId="0" fontId="75" fillId="0" borderId="251" applyNumberFormat="0" applyFill="0" applyAlignment="0" applyProtection="0"/>
    <xf numFmtId="0" fontId="45" fillId="0" borderId="0"/>
    <xf numFmtId="0" fontId="115" fillId="21" borderId="252"/>
    <xf numFmtId="0" fontId="45" fillId="5" borderId="254" applyNumberFormat="0" applyFont="0" applyAlignment="0" applyProtection="0"/>
    <xf numFmtId="0" fontId="73" fillId="21" borderId="262" applyNumberFormat="0" applyAlignment="0" applyProtection="0"/>
    <xf numFmtId="0" fontId="45" fillId="5" borderId="254" applyNumberFormat="0" applyFont="0" applyAlignment="0" applyProtection="0"/>
    <xf numFmtId="0" fontId="75" fillId="0" borderId="263" applyNumberFormat="0" applyFill="0" applyAlignment="0" applyProtection="0"/>
    <xf numFmtId="0" fontId="104" fillId="0" borderId="252">
      <alignment horizontal="left"/>
      <protection locked="0"/>
    </xf>
    <xf numFmtId="0" fontId="73" fillId="21" borderId="243" applyNumberFormat="0" applyAlignment="0" applyProtection="0"/>
    <xf numFmtId="0" fontId="45" fillId="5" borderId="242" applyNumberFormat="0" applyFont="0" applyAlignment="0" applyProtection="0"/>
    <xf numFmtId="0" fontId="45" fillId="5" borderId="242" applyNumberFormat="0" applyFont="0" applyAlignment="0" applyProtection="0"/>
    <xf numFmtId="0" fontId="18" fillId="0" borderId="0"/>
    <xf numFmtId="10" fontId="47" fillId="25" borderId="245" applyNumberFormat="0" applyBorder="0" applyAlignment="0" applyProtection="0"/>
    <xf numFmtId="0" fontId="45" fillId="5" borderId="254" applyNumberFormat="0" applyFont="0" applyAlignment="0" applyProtection="0"/>
    <xf numFmtId="0" fontId="73" fillId="21" borderId="250" applyNumberFormat="0" applyAlignment="0" applyProtection="0"/>
    <xf numFmtId="0" fontId="73" fillId="21" borderId="250" applyNumberFormat="0" applyAlignment="0" applyProtection="0"/>
    <xf numFmtId="0" fontId="75" fillId="0" borderId="251" applyNumberFormat="0" applyFill="0" applyAlignment="0" applyProtection="0"/>
    <xf numFmtId="9" fontId="18" fillId="0" borderId="0" applyFont="0" applyFill="0" applyBorder="0" applyAlignment="0" applyProtection="0"/>
    <xf numFmtId="43" fontId="18" fillId="0" borderId="0" applyFont="0" applyFill="0" applyBorder="0" applyAlignment="0" applyProtection="0"/>
    <xf numFmtId="0" fontId="45" fillId="5" borderId="249" applyNumberFormat="0" applyFont="0" applyAlignment="0" applyProtection="0"/>
    <xf numFmtId="0" fontId="94" fillId="0" borderId="132">
      <protection hidden="1"/>
    </xf>
    <xf numFmtId="0" fontId="70" fillId="8" borderId="248"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70" fillId="8" borderId="260" applyNumberFormat="0" applyAlignment="0" applyProtection="0"/>
    <xf numFmtId="39" fontId="47" fillId="0" borderId="246" applyFill="0">
      <alignment horizontal="left"/>
    </xf>
    <xf numFmtId="0" fontId="70" fillId="8" borderId="253" applyNumberFormat="0" applyAlignment="0" applyProtection="0"/>
    <xf numFmtId="0" fontId="70" fillId="8" borderId="253" applyNumberFormat="0" applyAlignment="0" applyProtection="0"/>
    <xf numFmtId="0" fontId="75" fillId="0" borderId="263" applyNumberFormat="0" applyFill="0" applyAlignment="0" applyProtection="0"/>
    <xf numFmtId="0" fontId="70" fillId="8" borderId="260" applyNumberFormat="0" applyAlignment="0" applyProtection="0"/>
    <xf numFmtId="0" fontId="75" fillId="0" borderId="251" applyNumberFormat="0" applyFill="0" applyAlignment="0" applyProtection="0"/>
    <xf numFmtId="0" fontId="75" fillId="0" borderId="251" applyNumberFormat="0" applyFill="0" applyAlignment="0" applyProtection="0"/>
    <xf numFmtId="0" fontId="73" fillId="21" borderId="262" applyNumberFormat="0" applyAlignment="0" applyProtection="0"/>
    <xf numFmtId="0" fontId="70" fillId="8" borderId="260" applyNumberFormat="0" applyAlignment="0" applyProtection="0"/>
    <xf numFmtId="0" fontId="45" fillId="5" borderId="261" applyNumberFormat="0" applyFont="0" applyAlignment="0" applyProtection="0"/>
    <xf numFmtId="0" fontId="73" fillId="21" borderId="255" applyNumberFormat="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75" fillId="0" borderId="244" applyNumberFormat="0" applyFill="0" applyAlignment="0" applyProtection="0"/>
    <xf numFmtId="0" fontId="75" fillId="0" borderId="244" applyNumberFormat="0" applyFill="0" applyAlignment="0" applyProtection="0"/>
    <xf numFmtId="0" fontId="73" fillId="21" borderId="250" applyNumberFormat="0" applyAlignment="0" applyProtection="0"/>
    <xf numFmtId="9" fontId="18" fillId="0" borderId="0" applyFont="0" applyFill="0" applyBorder="0" applyAlignment="0" applyProtection="0"/>
    <xf numFmtId="39" fontId="47" fillId="0" borderId="259" applyFill="0">
      <alignment horizontal="left"/>
    </xf>
    <xf numFmtId="0" fontId="63" fillId="21" borderId="241" applyNumberFormat="0" applyAlignment="0" applyProtection="0"/>
    <xf numFmtId="0" fontId="63" fillId="21" borderId="241" applyNumberFormat="0" applyAlignment="0" applyProtection="0"/>
    <xf numFmtId="0" fontId="75" fillId="0" borderId="256" applyNumberFormat="0" applyFill="0" applyAlignment="0" applyProtection="0"/>
    <xf numFmtId="0" fontId="45" fillId="5" borderId="254" applyNumberFormat="0" applyFont="0" applyAlignment="0" applyProtection="0"/>
    <xf numFmtId="0" fontId="45" fillId="5" borderId="249" applyNumberFormat="0" applyFont="0" applyAlignment="0" applyProtection="0"/>
    <xf numFmtId="0" fontId="45" fillId="5" borderId="249" applyNumberFormat="0" applyFont="0" applyAlignment="0" applyProtection="0"/>
    <xf numFmtId="0" fontId="73" fillId="21" borderId="250" applyNumberFormat="0" applyAlignment="0" applyProtection="0"/>
    <xf numFmtId="0" fontId="75" fillId="0" borderId="251" applyNumberFormat="0" applyFill="0" applyAlignment="0" applyProtection="0"/>
    <xf numFmtId="0" fontId="75" fillId="0" borderId="251" applyNumberFormat="0" applyFill="0" applyAlignment="0" applyProtection="0"/>
    <xf numFmtId="0" fontId="45" fillId="5" borderId="249" applyNumberFormat="0" applyFont="0" applyAlignment="0" applyProtection="0"/>
    <xf numFmtId="0" fontId="63" fillId="21" borderId="248" applyNumberFormat="0" applyAlignment="0" applyProtection="0"/>
    <xf numFmtId="0" fontId="73" fillId="21" borderId="250" applyNumberFormat="0" applyAlignment="0" applyProtection="0"/>
    <xf numFmtId="0" fontId="73" fillId="21" borderId="250" applyNumberFormat="0" applyAlignment="0" applyProtection="0"/>
    <xf numFmtId="0" fontId="45" fillId="5" borderId="261" applyNumberFormat="0" applyFont="0" applyAlignment="0" applyProtection="0"/>
    <xf numFmtId="0" fontId="18" fillId="0" borderId="0"/>
    <xf numFmtId="43" fontId="18" fillId="0" borderId="0" applyFont="0" applyFill="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5" borderId="0" applyNumberFormat="0" applyBorder="0" applyAlignment="0" applyProtection="0"/>
    <xf numFmtId="175" fontId="86" fillId="0" borderId="133"/>
    <xf numFmtId="0" fontId="70" fillId="8" borderId="241" applyNumberFormat="0" applyAlignment="0" applyProtection="0"/>
    <xf numFmtId="0" fontId="73" fillId="21" borderId="255" applyNumberFormat="0" applyAlignment="0" applyProtection="0"/>
    <xf numFmtId="0" fontId="75" fillId="0" borderId="263" applyNumberFormat="0" applyFill="0" applyAlignment="0" applyProtection="0"/>
    <xf numFmtId="0" fontId="45" fillId="5" borderId="254" applyNumberFormat="0" applyFont="0" applyAlignment="0" applyProtection="0"/>
    <xf numFmtId="0" fontId="86" fillId="0" borderId="258">
      <alignment horizontal="center" vertical="center"/>
    </xf>
    <xf numFmtId="0" fontId="63" fillId="21" borderId="248" applyNumberFormat="0" applyAlignment="0" applyProtection="0"/>
    <xf numFmtId="0" fontId="45" fillId="5" borderId="254" applyNumberFormat="0" applyFont="0" applyAlignment="0" applyProtection="0"/>
    <xf numFmtId="0" fontId="115" fillId="21" borderId="252"/>
    <xf numFmtId="0" fontId="45" fillId="5" borderId="249" applyNumberFormat="0" applyFont="0" applyAlignment="0" applyProtection="0"/>
    <xf numFmtId="0" fontId="45" fillId="5" borderId="249" applyNumberFormat="0" applyFont="0" applyAlignment="0" applyProtection="0"/>
    <xf numFmtId="0" fontId="45" fillId="0" borderId="0"/>
    <xf numFmtId="0" fontId="75" fillId="0" borderId="251" applyNumberFormat="0" applyFill="0" applyAlignment="0" applyProtection="0"/>
    <xf numFmtId="0" fontId="75" fillId="0" borderId="251" applyNumberFormat="0" applyFill="0" applyAlignment="0" applyProtection="0"/>
    <xf numFmtId="0" fontId="86" fillId="0" borderId="247">
      <alignment horizontal="center" vertical="center"/>
    </xf>
    <xf numFmtId="0" fontId="130" fillId="21" borderId="252" applyNumberFormat="0" applyFont="0" applyBorder="0" applyAlignment="0" applyProtection="0">
      <protection hidden="1"/>
    </xf>
    <xf numFmtId="0" fontId="45" fillId="5" borderId="249" applyNumberFormat="0" applyFont="0" applyAlignment="0" applyProtection="0"/>
    <xf numFmtId="39" fontId="47" fillId="0" borderId="246" applyFill="0">
      <alignment horizontal="left"/>
    </xf>
    <xf numFmtId="0" fontId="18" fillId="0" borderId="0"/>
    <xf numFmtId="0" fontId="18" fillId="0" borderId="0"/>
    <xf numFmtId="166" fontId="18" fillId="0" borderId="0" applyFont="0" applyFill="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4"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9"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9"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45" fillId="5" borderId="249" applyNumberFormat="0" applyFont="0" applyAlignment="0" applyProtection="0"/>
    <xf numFmtId="0" fontId="75" fillId="0" borderId="244" applyNumberFormat="0" applyFill="0" applyAlignment="0" applyProtection="0"/>
    <xf numFmtId="0" fontId="75" fillId="0" borderId="244" applyNumberFormat="0" applyFill="0" applyAlignment="0" applyProtection="0"/>
    <xf numFmtId="0" fontId="18" fillId="0" borderId="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73" fillId="21" borderId="262" applyNumberFormat="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63" fillId="21" borderId="260" applyNumberFormat="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45" fillId="5" borderId="242"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73" fillId="21" borderId="243" applyNumberFormat="0" applyAlignment="0" applyProtection="0"/>
    <xf numFmtId="0" fontId="18" fillId="0" borderId="0"/>
    <xf numFmtId="9" fontId="18" fillId="0" borderId="0" applyFont="0" applyFill="0" applyBorder="0" applyAlignment="0" applyProtection="0"/>
    <xf numFmtId="0" fontId="104" fillId="0" borderId="132">
      <alignment horizontal="left"/>
      <protection locked="0"/>
    </xf>
    <xf numFmtId="175" fontId="86" fillId="0" borderId="133"/>
    <xf numFmtId="0" fontId="75" fillId="0" borderId="251" applyNumberFormat="0" applyFill="0" applyAlignment="0" applyProtection="0"/>
    <xf numFmtId="165" fontId="18" fillId="0" borderId="0" applyFont="0" applyFill="0" applyBorder="0" applyAlignment="0" applyProtection="0"/>
    <xf numFmtId="0" fontId="73" fillId="21" borderId="250" applyNumberFormat="0" applyAlignment="0" applyProtection="0"/>
    <xf numFmtId="0" fontId="45" fillId="5" borderId="261" applyNumberFormat="0" applyFont="0" applyAlignment="0" applyProtection="0"/>
    <xf numFmtId="165" fontId="18" fillId="0" borderId="0" applyFont="0" applyFill="0" applyBorder="0" applyAlignment="0" applyProtection="0"/>
    <xf numFmtId="0" fontId="75" fillId="0" borderId="251" applyNumberFormat="0" applyFill="0" applyAlignment="0" applyProtection="0"/>
    <xf numFmtId="0" fontId="115" fillId="21" borderId="252"/>
    <xf numFmtId="0" fontId="45" fillId="5" borderId="242" applyNumberFormat="0" applyFont="0" applyAlignment="0" applyProtection="0"/>
    <xf numFmtId="165" fontId="18" fillId="0" borderId="0" applyFont="0" applyFill="0" applyBorder="0" applyAlignment="0" applyProtection="0"/>
    <xf numFmtId="165" fontId="18" fillId="0" borderId="0" applyFont="0" applyFill="0" applyBorder="0" applyAlignment="0" applyProtection="0"/>
    <xf numFmtId="0" fontId="45" fillId="5" borderId="254" applyNumberFormat="0" applyFont="0" applyAlignment="0" applyProtection="0"/>
    <xf numFmtId="0" fontId="86" fillId="0" borderId="247">
      <alignment horizontal="center" vertical="center"/>
    </xf>
    <xf numFmtId="0" fontId="63" fillId="21" borderId="248" applyNumberFormat="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70" fillId="8" borderId="260" applyNumberFormat="0" applyAlignment="0" applyProtection="0"/>
    <xf numFmtId="165" fontId="18" fillId="0" borderId="0" applyFont="0" applyFill="0" applyBorder="0" applyAlignment="0" applyProtection="0"/>
    <xf numFmtId="0" fontId="70" fillId="8" borderId="248" applyNumberFormat="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63" fillId="21" borderId="248" applyNumberFormat="0" applyAlignment="0" applyProtection="0"/>
    <xf numFmtId="165" fontId="18" fillId="0" borderId="0" applyFont="0" applyFill="0" applyBorder="0" applyAlignment="0" applyProtection="0"/>
    <xf numFmtId="165" fontId="18" fillId="0" borderId="0" applyFont="0" applyFill="0" applyBorder="0" applyAlignment="0" applyProtection="0"/>
    <xf numFmtId="0" fontId="18" fillId="0" borderId="0"/>
    <xf numFmtId="0" fontId="104" fillId="0" borderId="252">
      <alignment horizontal="left"/>
      <protection locked="0"/>
    </xf>
    <xf numFmtId="165" fontId="18" fillId="0" borderId="0" applyFont="0" applyFill="0" applyBorder="0" applyAlignment="0" applyProtection="0"/>
    <xf numFmtId="165" fontId="18" fillId="0" borderId="0" applyFont="0" applyFill="0" applyBorder="0" applyAlignment="0" applyProtection="0"/>
    <xf numFmtId="0" fontId="111" fillId="0" borderId="252" applyNumberFormat="0" applyFill="0" applyBorder="0" applyAlignment="0" applyProtection="0">
      <protection hidden="1"/>
    </xf>
    <xf numFmtId="10" fontId="47" fillId="25" borderId="245" applyNumberFormat="0" applyBorder="0" applyAlignment="0" applyProtection="0"/>
    <xf numFmtId="165" fontId="18" fillId="0" borderId="0" applyFont="0" applyFill="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9" fontId="18" fillId="0" borderId="0" applyFont="0" applyFill="0" applyBorder="0" applyAlignment="0" applyProtection="0"/>
    <xf numFmtId="0" fontId="18" fillId="0" borderId="0"/>
    <xf numFmtId="0" fontId="63" fillId="21" borderId="260" applyNumberFormat="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70" fillId="8" borderId="260" applyNumberFormat="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0" fontId="47" fillId="25" borderId="238" applyNumberFormat="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73" fillId="21" borderId="250" applyNumberFormat="0" applyAlignment="0" applyProtection="0"/>
    <xf numFmtId="0" fontId="18" fillId="0" borderId="0"/>
    <xf numFmtId="0" fontId="18" fillId="0" borderId="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70" fillId="8" borderId="248" applyNumberFormat="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18" fillId="0" borderId="0"/>
    <xf numFmtId="0" fontId="18" fillId="0" borderId="0"/>
    <xf numFmtId="0" fontId="63" fillId="21" borderId="253" applyNumberFormat="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63" fillId="21" borderId="248" applyNumberFormat="0" applyAlignment="0" applyProtection="0"/>
    <xf numFmtId="0" fontId="18" fillId="0" borderId="0"/>
    <xf numFmtId="165" fontId="18" fillId="0" borderId="0" applyFont="0" applyFill="0" applyBorder="0" applyAlignment="0" applyProtection="0"/>
    <xf numFmtId="0" fontId="18" fillId="0" borderId="0"/>
    <xf numFmtId="9" fontId="18" fillId="0" borderId="0" applyFont="0" applyFill="0" applyBorder="0" applyAlignment="0" applyProtection="0"/>
    <xf numFmtId="0" fontId="75" fillId="0" borderId="251" applyNumberFormat="0" applyFill="0" applyAlignment="0" applyProtection="0"/>
    <xf numFmtId="0" fontId="18" fillId="0" borderId="0"/>
    <xf numFmtId="165" fontId="18" fillId="0" borderId="0" applyFont="0" applyFill="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94" fillId="0" borderId="225">
      <protection hidden="1"/>
    </xf>
    <xf numFmtId="0" fontId="130" fillId="21" borderId="225" applyNumberFormat="0" applyFont="0" applyBorder="0" applyAlignment="0" applyProtection="0">
      <protection hidden="1"/>
    </xf>
    <xf numFmtId="0" fontId="104" fillId="0" borderId="225">
      <alignment horizontal="left"/>
      <protection locked="0"/>
    </xf>
    <xf numFmtId="43" fontId="18" fillId="0" borderId="0" applyFont="0" applyFill="0" applyBorder="0" applyAlignment="0" applyProtection="0"/>
    <xf numFmtId="0" fontId="94" fillId="0" borderId="132">
      <protection hidden="1"/>
    </xf>
    <xf numFmtId="0" fontId="18" fillId="0" borderId="0"/>
    <xf numFmtId="0" fontId="18" fillId="0" borderId="0"/>
    <xf numFmtId="0" fontId="18" fillId="0" borderId="0"/>
    <xf numFmtId="0" fontId="73" fillId="21" borderId="255" applyNumberFormat="0" applyAlignment="0" applyProtection="0"/>
    <xf numFmtId="9" fontId="18" fillId="0" borderId="0" applyFont="0" applyFill="0" applyBorder="0" applyAlignment="0" applyProtection="0"/>
    <xf numFmtId="0" fontId="111" fillId="0" borderId="225" applyNumberFormat="0" applyFill="0" applyBorder="0" applyAlignment="0" applyProtection="0">
      <protection hidden="1"/>
    </xf>
    <xf numFmtId="9" fontId="18" fillId="0" borderId="0" applyFont="0" applyFill="0" applyBorder="0" applyAlignment="0" applyProtection="0"/>
    <xf numFmtId="0" fontId="115" fillId="21" borderId="225"/>
    <xf numFmtId="43" fontId="18" fillId="0" borderId="0" applyFont="0" applyFill="0" applyBorder="0" applyAlignment="0" applyProtection="0"/>
    <xf numFmtId="43"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10" fontId="47" fillId="25" borderId="257" applyNumberFormat="0" applyBorder="0" applyAlignment="0" applyProtection="0"/>
    <xf numFmtId="0" fontId="63" fillId="21" borderId="248"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5" fontId="86" fillId="0" borderId="198"/>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75" fillId="0" borderId="256" applyNumberFormat="0" applyFill="0" applyAlignment="0" applyProtection="0"/>
    <xf numFmtId="0" fontId="86" fillId="0" borderId="258">
      <alignment horizontal="center" vertical="center"/>
    </xf>
    <xf numFmtId="0" fontId="70" fillId="8" borderId="248"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70" fillId="8" borderId="260" applyNumberFormat="0" applyAlignment="0" applyProtection="0"/>
    <xf numFmtId="0" fontId="63" fillId="21" borderId="253" applyNumberFormat="0" applyAlignment="0" applyProtection="0"/>
    <xf numFmtId="0" fontId="45" fillId="5" borderId="261" applyNumberFormat="0" applyFont="0" applyAlignment="0" applyProtection="0"/>
    <xf numFmtId="0" fontId="70" fillId="8" borderId="253" applyNumberFormat="0" applyAlignment="0" applyProtection="0"/>
    <xf numFmtId="43" fontId="18" fillId="0" borderId="0" applyFont="0" applyFill="0" applyBorder="0" applyAlignment="0" applyProtection="0"/>
    <xf numFmtId="9" fontId="18" fillId="0" borderId="0" applyFont="0" applyFill="0" applyBorder="0" applyAlignment="0" applyProtection="0"/>
    <xf numFmtId="0" fontId="111" fillId="0" borderId="252" applyNumberFormat="0" applyFill="0" applyBorder="0" applyAlignment="0" applyProtection="0">
      <protection hidden="1"/>
    </xf>
    <xf numFmtId="0" fontId="18" fillId="5" borderId="0" applyNumberFormat="0" applyBorder="0" applyAlignment="0" applyProtection="0"/>
    <xf numFmtId="170" fontId="18" fillId="0" borderId="0" applyFont="0" applyFill="0" applyBorder="0" applyAlignment="0" applyProtection="0"/>
    <xf numFmtId="0" fontId="45" fillId="5" borderId="261" applyNumberFormat="0" applyFont="0" applyAlignment="0" applyProtection="0"/>
    <xf numFmtId="43" fontId="18" fillId="0" borderId="0" applyFont="0" applyFill="0" applyBorder="0" applyAlignment="0" applyProtection="0"/>
    <xf numFmtId="0" fontId="75" fillId="0" borderId="251" applyNumberFormat="0" applyFill="0" applyAlignment="0" applyProtection="0"/>
    <xf numFmtId="0" fontId="45" fillId="5" borderId="242" applyNumberFormat="0" applyFont="0" applyAlignment="0" applyProtection="0"/>
    <xf numFmtId="0" fontId="73" fillId="21" borderId="243" applyNumberFormat="0" applyAlignment="0" applyProtection="0"/>
    <xf numFmtId="0" fontId="70" fillId="8" borderId="248" applyNumberFormat="0" applyAlignment="0" applyProtection="0"/>
    <xf numFmtId="0" fontId="63" fillId="21" borderId="260" applyNumberFormat="0" applyAlignment="0" applyProtection="0"/>
    <xf numFmtId="0" fontId="45" fillId="5" borderId="261" applyNumberFormat="0" applyFont="0" applyAlignment="0" applyProtection="0"/>
    <xf numFmtId="0" fontId="63" fillId="21" borderId="248"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39" fontId="47" fillId="0" borderId="240" applyFill="0">
      <alignment horizontal="left"/>
    </xf>
    <xf numFmtId="0" fontId="111" fillId="0" borderId="132" applyNumberFormat="0" applyFill="0" applyBorder="0" applyAlignment="0" applyProtection="0">
      <protection hidden="1"/>
    </xf>
    <xf numFmtId="0" fontId="75" fillId="0" borderId="263" applyNumberFormat="0" applyFill="0" applyAlignment="0" applyProtection="0"/>
    <xf numFmtId="0" fontId="86" fillId="0" borderId="239">
      <alignment horizontal="center" vertical="center"/>
    </xf>
    <xf numFmtId="0" fontId="95" fillId="21" borderId="132" applyNumberFormat="0" applyFont="0" applyBorder="0" applyAlignment="0" applyProtection="0">
      <protection hidden="1"/>
    </xf>
    <xf numFmtId="0" fontId="18" fillId="0" borderId="0"/>
    <xf numFmtId="0" fontId="73" fillId="21" borderId="243" applyNumberFormat="0" applyAlignment="0" applyProtection="0"/>
    <xf numFmtId="0" fontId="70" fillId="8" borderId="241" applyNumberFormat="0" applyAlignment="0" applyProtection="0"/>
    <xf numFmtId="0" fontId="70" fillId="8" borderId="241" applyNumberFormat="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73" fillId="21" borderId="262" applyNumberFormat="0" applyAlignment="0" applyProtection="0"/>
    <xf numFmtId="0" fontId="45" fillId="5" borderId="261" applyNumberFormat="0" applyFont="0" applyAlignment="0" applyProtection="0"/>
    <xf numFmtId="0" fontId="63" fillId="21" borderId="260" applyNumberFormat="0" applyAlignment="0" applyProtection="0"/>
    <xf numFmtId="0" fontId="111" fillId="0" borderId="252" applyNumberFormat="0" applyFill="0" applyBorder="0" applyAlignment="0" applyProtection="0">
      <protection hidden="1"/>
    </xf>
    <xf numFmtId="39" fontId="47" fillId="0" borderId="246" applyFill="0">
      <alignment horizontal="left"/>
    </xf>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165" fontId="18" fillId="0" borderId="0" applyFont="0" applyFill="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0" fontId="18" fillId="4"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5" borderId="0" applyNumberFormat="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4" borderId="0" applyNumberFormat="0" applyBorder="0" applyAlignment="0" applyProtection="0"/>
    <xf numFmtId="0" fontId="18" fillId="0" borderId="0"/>
    <xf numFmtId="0" fontId="18" fillId="0" borderId="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0" fontId="70" fillId="8" borderId="260" applyNumberFormat="0" applyAlignment="0" applyProtection="0"/>
    <xf numFmtId="0" fontId="45" fillId="5" borderId="254" applyNumberFormat="0" applyFont="0" applyAlignment="0" applyProtection="0"/>
    <xf numFmtId="0" fontId="111" fillId="0" borderId="132" applyNumberFormat="0" applyFill="0" applyBorder="0" applyAlignment="0" applyProtection="0">
      <protection hidden="1"/>
    </xf>
    <xf numFmtId="0" fontId="115" fillId="21" borderId="132"/>
    <xf numFmtId="0" fontId="45" fillId="5" borderId="254" applyNumberFormat="0" applyFont="0" applyAlignment="0" applyProtection="0"/>
    <xf numFmtId="0" fontId="95" fillId="21" borderId="252" applyNumberFormat="0" applyFont="0" applyBorder="0" applyAlignment="0" applyProtection="0">
      <protection hidden="1"/>
    </xf>
    <xf numFmtId="0" fontId="75" fillId="0" borderId="263" applyNumberFormat="0" applyFill="0" applyAlignment="0" applyProtection="0"/>
    <xf numFmtId="0" fontId="45" fillId="5" borderId="261" applyNumberFormat="0" applyFont="0" applyAlignment="0" applyProtection="0"/>
    <xf numFmtId="0" fontId="94" fillId="0" borderId="252">
      <protection hidden="1"/>
    </xf>
    <xf numFmtId="0" fontId="45" fillId="5" borderId="261" applyNumberFormat="0" applyFont="0" applyAlignment="0" applyProtection="0"/>
    <xf numFmtId="0" fontId="63" fillId="21" borderId="253" applyNumberFormat="0" applyAlignment="0" applyProtection="0"/>
    <xf numFmtId="0" fontId="75" fillId="0" borderId="263" applyNumberFormat="0" applyFill="0" applyAlignment="0" applyProtection="0"/>
    <xf numFmtId="10" fontId="47" fillId="25" borderId="257" applyNumberFormat="0" applyBorder="0" applyAlignment="0" applyProtection="0"/>
    <xf numFmtId="0" fontId="63" fillId="21" borderId="248" applyNumberFormat="0" applyAlignment="0" applyProtection="0"/>
    <xf numFmtId="0" fontId="94" fillId="0" borderId="132">
      <protection hidden="1"/>
    </xf>
    <xf numFmtId="0" fontId="130" fillId="21" borderId="132" applyNumberFormat="0" applyFont="0" applyBorder="0" applyAlignment="0" applyProtection="0">
      <protection hidden="1"/>
    </xf>
    <xf numFmtId="0" fontId="63" fillId="21" borderId="241" applyNumberFormat="0" applyAlignment="0" applyProtection="0"/>
    <xf numFmtId="0" fontId="63" fillId="21" borderId="241" applyNumberFormat="0" applyAlignment="0" applyProtection="0"/>
    <xf numFmtId="175" fontId="86" fillId="0" borderId="133"/>
    <xf numFmtId="0" fontId="104" fillId="0" borderId="132">
      <alignment horizontal="left"/>
      <protection locked="0"/>
    </xf>
    <xf numFmtId="0" fontId="70" fillId="8" borderId="241" applyNumberFormat="0" applyAlignment="0" applyProtection="0"/>
    <xf numFmtId="0" fontId="70" fillId="8" borderId="241" applyNumberFormat="0" applyAlignment="0" applyProtection="0"/>
    <xf numFmtId="0" fontId="45" fillId="5" borderId="249" applyNumberFormat="0" applyFont="0" applyAlignment="0" applyProtection="0"/>
    <xf numFmtId="0" fontId="45" fillId="5" borderId="242" applyNumberFormat="0" applyFont="0" applyAlignment="0" applyProtection="0"/>
    <xf numFmtId="0" fontId="45" fillId="5" borderId="242" applyNumberFormat="0" applyFont="0" applyAlignment="0" applyProtection="0"/>
    <xf numFmtId="0" fontId="73" fillId="21" borderId="243" applyNumberFormat="0" applyAlignment="0" applyProtection="0"/>
    <xf numFmtId="0" fontId="73" fillId="21" borderId="243" applyNumberFormat="0" applyAlignment="0" applyProtection="0"/>
    <xf numFmtId="0" fontId="111" fillId="0" borderId="132" applyNumberFormat="0" applyFill="0" applyBorder="0" applyAlignment="0" applyProtection="0">
      <protection hidden="1"/>
    </xf>
    <xf numFmtId="0" fontId="115" fillId="21" borderId="132"/>
    <xf numFmtId="0" fontId="75" fillId="0" borderId="244" applyNumberFormat="0" applyFill="0" applyAlignment="0" applyProtection="0"/>
    <xf numFmtId="0" fontId="75" fillId="0" borderId="244" applyNumberFormat="0" applyFill="0" applyAlignment="0" applyProtection="0"/>
    <xf numFmtId="0" fontId="130" fillId="21" borderId="252" applyNumberFormat="0" applyFont="0" applyBorder="0" applyAlignment="0" applyProtection="0">
      <protection hidden="1"/>
    </xf>
    <xf numFmtId="0" fontId="94" fillId="0" borderId="252">
      <protection hidden="1"/>
    </xf>
    <xf numFmtId="0" fontId="45" fillId="5" borderId="249" applyNumberFormat="0" applyFont="0" applyAlignment="0" applyProtection="0"/>
    <xf numFmtId="0" fontId="86" fillId="0" borderId="239">
      <alignment horizontal="center" vertical="center"/>
    </xf>
    <xf numFmtId="0" fontId="130" fillId="21" borderId="132" applyNumberFormat="0" applyFont="0" applyBorder="0" applyAlignment="0" applyProtection="0">
      <protection hidden="1"/>
    </xf>
    <xf numFmtId="0" fontId="63" fillId="21" borderId="241" applyNumberFormat="0" applyAlignment="0" applyProtection="0"/>
    <xf numFmtId="0" fontId="63" fillId="21" borderId="241" applyNumberFormat="0" applyAlignment="0" applyProtection="0"/>
    <xf numFmtId="0" fontId="70" fillId="8" borderId="260" applyNumberFormat="0" applyAlignment="0" applyProtection="0"/>
    <xf numFmtId="0" fontId="45" fillId="5" borderId="254" applyNumberFormat="0" applyFont="0" applyAlignment="0" applyProtection="0"/>
    <xf numFmtId="175" fontId="86" fillId="0" borderId="133"/>
    <xf numFmtId="10" fontId="47" fillId="25" borderId="238" applyNumberFormat="0" applyBorder="0" applyAlignment="0" applyProtection="0"/>
    <xf numFmtId="0" fontId="70" fillId="8" borderId="241" applyNumberFormat="0" applyAlignment="0" applyProtection="0"/>
    <xf numFmtId="0" fontId="70" fillId="8" borderId="241" applyNumberFormat="0" applyAlignment="0" applyProtection="0"/>
    <xf numFmtId="0" fontId="45" fillId="5" borderId="254" applyNumberFormat="0" applyFont="0" applyAlignment="0" applyProtection="0"/>
    <xf numFmtId="0" fontId="70" fillId="8" borderId="248" applyNumberFormat="0" applyAlignment="0" applyProtection="0"/>
    <xf numFmtId="0" fontId="63" fillId="21" borderId="248" applyNumberFormat="0" applyAlignment="0" applyProtection="0"/>
    <xf numFmtId="0" fontId="45" fillId="5" borderId="242" applyNumberFormat="0" applyFont="0" applyAlignment="0" applyProtection="0"/>
    <xf numFmtId="0" fontId="45" fillId="5" borderId="242" applyNumberFormat="0" applyFont="0" applyAlignment="0" applyProtection="0"/>
    <xf numFmtId="0" fontId="45" fillId="5" borderId="242" applyNumberFormat="0" applyFont="0" applyAlignment="0" applyProtection="0"/>
    <xf numFmtId="0" fontId="45" fillId="5" borderId="242" applyNumberFormat="0" applyFont="0" applyAlignment="0" applyProtection="0"/>
    <xf numFmtId="0" fontId="73" fillId="21" borderId="243" applyNumberFormat="0" applyAlignment="0" applyProtection="0"/>
    <xf numFmtId="0" fontId="73" fillId="21" borderId="243" applyNumberFormat="0" applyAlignment="0" applyProtection="0"/>
    <xf numFmtId="39" fontId="47" fillId="0" borderId="240" applyFill="0">
      <alignment horizontal="left"/>
    </xf>
    <xf numFmtId="0" fontId="75" fillId="0" borderId="244" applyNumberFormat="0" applyFill="0" applyAlignment="0" applyProtection="0"/>
    <xf numFmtId="0" fontId="75" fillId="0" borderId="244" applyNumberFormat="0" applyFill="0" applyAlignment="0" applyProtection="0"/>
    <xf numFmtId="0" fontId="45" fillId="5" borderId="261" applyNumberFormat="0" applyFont="0" applyAlignment="0" applyProtection="0"/>
    <xf numFmtId="0" fontId="75" fillId="0" borderId="244" applyNumberFormat="0" applyFill="0" applyAlignment="0" applyProtection="0"/>
    <xf numFmtId="0" fontId="75" fillId="0" borderId="244" applyNumberFormat="0" applyFill="0" applyAlignment="0" applyProtection="0"/>
    <xf numFmtId="0" fontId="75" fillId="0" borderId="244" applyNumberFormat="0" applyFill="0" applyAlignment="0" applyProtection="0"/>
    <xf numFmtId="0" fontId="45" fillId="5" borderId="242" applyNumberFormat="0" applyFont="0" applyAlignment="0" applyProtection="0"/>
    <xf numFmtId="0" fontId="70" fillId="8" borderId="241" applyNumberFormat="0" applyAlignment="0" applyProtection="0"/>
    <xf numFmtId="0" fontId="63" fillId="21" borderId="260" applyNumberFormat="0" applyAlignment="0" applyProtection="0"/>
    <xf numFmtId="0" fontId="63" fillId="21" borderId="241" applyNumberFormat="0" applyAlignment="0" applyProtection="0"/>
    <xf numFmtId="0" fontId="63" fillId="21" borderId="241" applyNumberFormat="0" applyAlignment="0" applyProtection="0"/>
    <xf numFmtId="0" fontId="70" fillId="8" borderId="248" applyNumberFormat="0" applyAlignment="0" applyProtection="0"/>
    <xf numFmtId="0" fontId="45" fillId="5" borderId="254" applyNumberFormat="0" applyFont="0" applyAlignment="0" applyProtection="0"/>
    <xf numFmtId="0" fontId="45" fillId="5" borderId="254" applyNumberFormat="0" applyFont="0" applyAlignment="0" applyProtection="0"/>
    <xf numFmtId="0" fontId="73" fillId="21" borderId="250" applyNumberFormat="0" applyAlignment="0" applyProtection="0"/>
    <xf numFmtId="0" fontId="73" fillId="21" borderId="250" applyNumberFormat="0" applyAlignment="0" applyProtection="0"/>
    <xf numFmtId="0" fontId="45" fillId="5" borderId="249" applyNumberFormat="0" applyFont="0" applyAlignment="0" applyProtection="0"/>
    <xf numFmtId="0" fontId="73" fillId="21" borderId="262" applyNumberFormat="0" applyAlignment="0" applyProtection="0"/>
    <xf numFmtId="0" fontId="75" fillId="0" borderId="244" applyNumberFormat="0" applyFill="0" applyAlignment="0" applyProtection="0"/>
    <xf numFmtId="0" fontId="73" fillId="21" borderId="243" applyNumberFormat="0" applyAlignment="0" applyProtection="0"/>
    <xf numFmtId="0" fontId="73" fillId="21" borderId="243" applyNumberFormat="0" applyAlignment="0" applyProtection="0"/>
    <xf numFmtId="0" fontId="73" fillId="21" borderId="243" applyNumberFormat="0" applyAlignment="0" applyProtection="0"/>
    <xf numFmtId="0" fontId="73" fillId="21" borderId="243" applyNumberFormat="0" applyAlignment="0" applyProtection="0"/>
    <xf numFmtId="0" fontId="45" fillId="5" borderId="242" applyNumberFormat="0" applyFont="0" applyAlignment="0" applyProtection="0"/>
    <xf numFmtId="0" fontId="45" fillId="5" borderId="242" applyNumberFormat="0" applyFont="0" applyAlignment="0" applyProtection="0"/>
    <xf numFmtId="0" fontId="45" fillId="5" borderId="242" applyNumberFormat="0" applyFont="0" applyAlignment="0" applyProtection="0"/>
    <xf numFmtId="0" fontId="70" fillId="8" borderId="241" applyNumberFormat="0" applyAlignment="0" applyProtection="0"/>
    <xf numFmtId="0" fontId="70" fillId="8" borderId="241" applyNumberFormat="0" applyAlignment="0" applyProtection="0"/>
    <xf numFmtId="0" fontId="70" fillId="8" borderId="241" applyNumberFormat="0" applyAlignment="0" applyProtection="0"/>
    <xf numFmtId="10" fontId="47" fillId="25" borderId="245" applyNumberFormat="0" applyBorder="0" applyAlignment="0" applyProtection="0"/>
    <xf numFmtId="0" fontId="63" fillId="21" borderId="241" applyNumberFormat="0" applyAlignment="0" applyProtection="0"/>
    <xf numFmtId="0" fontId="63" fillId="21" borderId="241" applyNumberFormat="0" applyAlignment="0" applyProtection="0"/>
    <xf numFmtId="0" fontId="73" fillId="21" borderId="255" applyNumberFormat="0" applyAlignment="0" applyProtection="0"/>
    <xf numFmtId="0" fontId="45" fillId="5" borderId="242" applyNumberFormat="0" applyFont="0" applyAlignment="0" applyProtection="0"/>
    <xf numFmtId="0" fontId="45" fillId="5" borderId="242" applyNumberFormat="0" applyFont="0" applyAlignment="0" applyProtection="0"/>
    <xf numFmtId="39" fontId="47" fillId="0" borderId="240" applyFill="0">
      <alignment horizontal="left"/>
    </xf>
    <xf numFmtId="0" fontId="45" fillId="5" borderId="249" applyNumberFormat="0" applyFont="0" applyAlignment="0" applyProtection="0"/>
    <xf numFmtId="0" fontId="45" fillId="5" borderId="249" applyNumberFormat="0" applyFont="0" applyAlignment="0" applyProtection="0"/>
    <xf numFmtId="0" fontId="70" fillId="8" borderId="248" applyNumberFormat="0" applyAlignment="0" applyProtection="0"/>
    <xf numFmtId="0" fontId="94" fillId="0" borderId="252">
      <protection hidden="1"/>
    </xf>
    <xf numFmtId="0" fontId="70" fillId="8" borderId="260" applyNumberFormat="0" applyAlignment="0" applyProtection="0"/>
    <xf numFmtId="0" fontId="63" fillId="21" borderId="248" applyNumberFormat="0" applyAlignment="0" applyProtection="0"/>
    <xf numFmtId="0" fontId="75" fillId="0" borderId="263" applyNumberFormat="0" applyFill="0" applyAlignment="0" applyProtection="0"/>
    <xf numFmtId="0" fontId="63" fillId="21" borderId="260" applyNumberFormat="0" applyAlignment="0" applyProtection="0"/>
    <xf numFmtId="0" fontId="45" fillId="5" borderId="254" applyNumberFormat="0" applyFont="0" applyAlignment="0" applyProtection="0"/>
    <xf numFmtId="0" fontId="73" fillId="21" borderId="262" applyNumberFormat="0" applyAlignment="0" applyProtection="0"/>
    <xf numFmtId="0" fontId="45" fillId="5" borderId="261" applyNumberFormat="0" applyFont="0" applyAlignment="0" applyProtection="0"/>
    <xf numFmtId="0" fontId="63" fillId="21" borderId="260" applyNumberFormat="0" applyAlignment="0" applyProtection="0"/>
    <xf numFmtId="0" fontId="63" fillId="21" borderId="260" applyNumberFormat="0" applyAlignment="0" applyProtection="0"/>
    <xf numFmtId="0" fontId="75" fillId="0" borderId="263" applyNumberFormat="0" applyFill="0" applyAlignment="0" applyProtection="0"/>
    <xf numFmtId="0" fontId="75" fillId="0" borderId="256" applyNumberFormat="0" applyFill="0" applyAlignment="0" applyProtection="0"/>
    <xf numFmtId="0" fontId="45" fillId="5" borderId="254" applyNumberFormat="0" applyFont="0" applyAlignment="0" applyProtection="0"/>
    <xf numFmtId="0" fontId="73" fillId="21" borderId="262" applyNumberFormat="0" applyAlignment="0" applyProtection="0"/>
    <xf numFmtId="0" fontId="45" fillId="5" borderId="254" applyNumberFormat="0" applyFont="0" applyAlignment="0" applyProtection="0"/>
    <xf numFmtId="39" fontId="47" fillId="0" borderId="259" applyFill="0">
      <alignment horizontal="left"/>
    </xf>
    <xf numFmtId="0" fontId="45" fillId="5" borderId="261" applyNumberFormat="0" applyFont="0" applyAlignment="0" applyProtection="0"/>
    <xf numFmtId="0" fontId="63" fillId="21" borderId="260" applyNumberFormat="0" applyAlignment="0" applyProtection="0"/>
    <xf numFmtId="0" fontId="70" fillId="8" borderId="260" applyNumberFormat="0" applyAlignment="0" applyProtection="0"/>
    <xf numFmtId="0" fontId="75" fillId="0" borderId="263" applyNumberFormat="0" applyFill="0" applyAlignment="0" applyProtection="0"/>
    <xf numFmtId="0" fontId="45" fillId="5" borderId="261" applyNumberFormat="0" applyFont="0" applyAlignment="0" applyProtection="0"/>
    <xf numFmtId="166" fontId="133" fillId="0" borderId="0" applyFont="0" applyFill="0" applyBorder="0" applyAlignment="0" applyProtection="0"/>
    <xf numFmtId="0" fontId="45" fillId="0" borderId="0"/>
    <xf numFmtId="0" fontId="17" fillId="4"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63" fillId="21" borderId="315" applyNumberFormat="0" applyAlignment="0" applyProtection="0"/>
    <xf numFmtId="0" fontId="63" fillId="21" borderId="315" applyNumberFormat="0" applyAlignment="0" applyProtection="0"/>
    <xf numFmtId="0" fontId="69" fillId="0" borderId="316" applyNumberFormat="0" applyFill="0" applyAlignment="0" applyProtection="0"/>
    <xf numFmtId="0" fontId="69" fillId="0" borderId="316" applyNumberFormat="0" applyFill="0" applyAlignment="0" applyProtection="0"/>
    <xf numFmtId="0" fontId="70" fillId="8" borderId="315" applyNumberFormat="0" applyAlignment="0" applyProtection="0"/>
    <xf numFmtId="0" fontId="70" fillId="8" borderId="315" applyNumberFormat="0" applyAlignment="0" applyProtection="0"/>
    <xf numFmtId="0" fontId="17" fillId="0" borderId="0"/>
    <xf numFmtId="0" fontId="17" fillId="0" borderId="0"/>
    <xf numFmtId="0" fontId="17" fillId="0" borderId="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0" fontId="75" fillId="0" borderId="319" applyNumberFormat="0" applyFill="0" applyAlignment="0" applyProtection="0"/>
    <xf numFmtId="0" fontId="75" fillId="0" borderId="319" applyNumberFormat="0" applyFill="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4"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63" fillId="21" borderId="315" applyNumberFormat="0" applyAlignment="0" applyProtection="0"/>
    <xf numFmtId="0" fontId="63" fillId="21" borderId="315"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0" fontId="69" fillId="0" borderId="316" applyNumberFormat="0" applyFill="0" applyAlignment="0" applyProtection="0"/>
    <xf numFmtId="0" fontId="69" fillId="0" borderId="316" applyNumberFormat="0" applyFill="0" applyAlignment="0" applyProtection="0"/>
    <xf numFmtId="0" fontId="70" fillId="8" borderId="315" applyNumberFormat="0" applyAlignment="0" applyProtection="0"/>
    <xf numFmtId="0" fontId="70" fillId="8"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9" fontId="17" fillId="0" borderId="0" applyFont="0" applyFill="0" applyBorder="0" applyAlignment="0" applyProtection="0"/>
    <xf numFmtId="0" fontId="75" fillId="0" borderId="319" applyNumberFormat="0" applyFill="0" applyAlignment="0" applyProtection="0"/>
    <xf numFmtId="0" fontId="75" fillId="0" borderId="319" applyNumberFormat="0" applyFill="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86" fillId="0" borderId="278">
      <alignment horizontal="center" vertical="center"/>
    </xf>
    <xf numFmtId="0" fontId="94" fillId="0" borderId="186">
      <protection hidden="1"/>
    </xf>
    <xf numFmtId="0" fontId="95" fillId="21" borderId="186" applyNumberFormat="0" applyFont="0" applyBorder="0" applyAlignment="0" applyProtection="0">
      <protection hidden="1"/>
    </xf>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0" fontId="47" fillId="25" borderId="304" applyNumberFormat="0" applyBorder="0" applyAlignment="0" applyProtection="0"/>
    <xf numFmtId="0" fontId="104" fillId="0" borderId="186">
      <alignment horizontal="left"/>
      <protection locked="0"/>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11" fillId="0" borderId="186" applyNumberFormat="0" applyFill="0" applyBorder="0" applyAlignment="0" applyProtection="0">
      <protection hidden="1"/>
    </xf>
    <xf numFmtId="39" fontId="47" fillId="0" borderId="314" applyFill="0">
      <alignment horizontal="left"/>
    </xf>
    <xf numFmtId="0" fontId="115" fillId="21" borderId="186"/>
    <xf numFmtId="0" fontId="17" fillId="0" borderId="0"/>
    <xf numFmtId="43"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5" borderId="0" applyNumberFormat="0" applyBorder="0" applyAlignment="0" applyProtection="0"/>
    <xf numFmtId="0" fontId="17" fillId="0" borderId="0"/>
    <xf numFmtId="0" fontId="17" fillId="0" borderId="0"/>
    <xf numFmtId="166"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4"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0" borderId="0"/>
    <xf numFmtId="0" fontId="69" fillId="0" borderId="316" applyNumberFormat="0" applyFill="0" applyAlignment="0" applyProtection="0"/>
    <xf numFmtId="0" fontId="69" fillId="0" borderId="316" applyNumberFormat="0" applyFill="0" applyAlignment="0" applyProtection="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69" fillId="0" borderId="316" applyNumberFormat="0" applyFill="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9" fontId="17" fillId="0" borderId="0" applyFont="0" applyFill="0" applyBorder="0" applyAlignment="0" applyProtection="0"/>
    <xf numFmtId="0" fontId="17" fillId="0" borderId="0"/>
    <xf numFmtId="0" fontId="94" fillId="0" borderId="200">
      <protection hidden="1"/>
    </xf>
    <xf numFmtId="0" fontId="95" fillId="21" borderId="200" applyNumberFormat="0" applyFont="0" applyBorder="0" applyAlignment="0" applyProtection="0">
      <protection hidden="1"/>
    </xf>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69" fillId="0" borderId="316" applyNumberFormat="0" applyFill="0" applyAlignment="0" applyProtection="0"/>
    <xf numFmtId="0" fontId="69" fillId="0" borderId="316" applyNumberFormat="0" applyFill="0" applyAlignment="0" applyProtection="0"/>
    <xf numFmtId="10" fontId="47" fillId="25" borderId="304" applyNumberFormat="0" applyBorder="0" applyAlignment="0" applyProtection="0"/>
    <xf numFmtId="0" fontId="104" fillId="0" borderId="200">
      <alignment horizontal="left"/>
      <protection locked="0"/>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9" fillId="0" borderId="316" applyNumberFormat="0" applyFill="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11" fillId="0" borderId="200" applyNumberFormat="0" applyFill="0" applyBorder="0" applyAlignment="0" applyProtection="0">
      <protection hidden="1"/>
    </xf>
    <xf numFmtId="0" fontId="17" fillId="0" borderId="0"/>
    <xf numFmtId="0" fontId="115" fillId="21" borderId="20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0" fontId="69" fillId="0" borderId="316" applyNumberFormat="0" applyFill="0" applyAlignment="0" applyProtection="0"/>
    <xf numFmtId="0" fontId="69" fillId="0" borderId="316" applyNumberFormat="0" applyFill="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165"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94" fillId="0" borderId="186">
      <protection hidden="1"/>
    </xf>
    <xf numFmtId="0" fontId="130" fillId="21" borderId="186" applyNumberFormat="0" applyFont="0" applyBorder="0" applyAlignment="0" applyProtection="0">
      <protection hidden="1"/>
    </xf>
    <xf numFmtId="0" fontId="63" fillId="21" borderId="315" applyNumberFormat="0" applyAlignment="0" applyProtection="0"/>
    <xf numFmtId="0" fontId="63" fillId="21" borderId="315" applyNumberFormat="0" applyAlignment="0" applyProtection="0"/>
    <xf numFmtId="0" fontId="104" fillId="0" borderId="186">
      <alignment horizontal="left"/>
      <protection locked="0"/>
    </xf>
    <xf numFmtId="43" fontId="17" fillId="0" borderId="0" applyFont="0" applyFill="0" applyBorder="0" applyAlignment="0" applyProtection="0"/>
    <xf numFmtId="0" fontId="70" fillId="8" borderId="315" applyNumberFormat="0" applyAlignment="0" applyProtection="0"/>
    <xf numFmtId="0" fontId="70" fillId="8" borderId="315" applyNumberFormat="0" applyAlignment="0" applyProtection="0"/>
    <xf numFmtId="0" fontId="17" fillId="0" borderId="0"/>
    <xf numFmtId="0" fontId="17" fillId="0" borderId="0"/>
    <xf numFmtId="0" fontId="17" fillId="0" borderId="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9" fontId="17" fillId="0" borderId="0" applyFont="0" applyFill="0" applyBorder="0" applyAlignment="0" applyProtection="0"/>
    <xf numFmtId="0" fontId="111" fillId="0" borderId="186" applyNumberFormat="0" applyFill="0" applyBorder="0" applyAlignment="0" applyProtection="0">
      <protection hidden="1"/>
    </xf>
    <xf numFmtId="9" fontId="17" fillId="0" borderId="0" applyFont="0" applyFill="0" applyBorder="0" applyAlignment="0" applyProtection="0"/>
    <xf numFmtId="0" fontId="115" fillId="21" borderId="186"/>
    <xf numFmtId="0" fontId="75" fillId="0" borderId="319" applyNumberFormat="0" applyFill="0" applyAlignment="0" applyProtection="0"/>
    <xf numFmtId="0" fontId="75" fillId="0" borderId="319" applyNumberFormat="0" applyFill="0" applyAlignment="0" applyProtection="0"/>
    <xf numFmtId="43"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86" fillId="0" borderId="278">
      <alignment horizontal="center" vertical="center"/>
    </xf>
    <xf numFmtId="0" fontId="130" fillId="21" borderId="200" applyNumberFormat="0" applyFont="0" applyBorder="0" applyAlignment="0" applyProtection="0">
      <protection hidden="1"/>
    </xf>
    <xf numFmtId="0" fontId="63" fillId="21" borderId="315" applyNumberFormat="0" applyAlignment="0" applyProtection="0"/>
    <xf numFmtId="0" fontId="63" fillId="21" borderId="315"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0" fontId="47" fillId="25" borderId="304" applyNumberFormat="0" applyBorder="0" applyAlignment="0" applyProtection="0"/>
    <xf numFmtId="0" fontId="70" fillId="8" borderId="315" applyNumberFormat="0" applyAlignment="0" applyProtection="0"/>
    <xf numFmtId="0" fontId="70" fillId="8" borderId="315"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39" fontId="47" fillId="0" borderId="314" applyFill="0">
      <alignment horizontal="left"/>
    </xf>
    <xf numFmtId="0" fontId="75" fillId="0" borderId="319" applyNumberFormat="0" applyFill="0" applyAlignment="0" applyProtection="0"/>
    <xf numFmtId="0" fontId="75" fillId="0" borderId="319" applyNumberFormat="0" applyFill="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5" borderId="0" applyNumberFormat="0" applyBorder="0" applyAlignment="0" applyProtection="0"/>
    <xf numFmtId="170" fontId="17" fillId="0" borderId="0" applyFont="0" applyFill="0" applyBorder="0" applyAlignment="0" applyProtection="0"/>
    <xf numFmtId="0" fontId="75" fillId="0" borderId="319" applyNumberFormat="0" applyFill="0" applyAlignment="0" applyProtection="0"/>
    <xf numFmtId="43" fontId="17" fillId="0" borderId="0" applyFont="0" applyFill="0" applyBorder="0" applyAlignment="0" applyProtection="0"/>
    <xf numFmtId="0" fontId="75" fillId="0" borderId="319" applyNumberFormat="0" applyFill="0" applyAlignment="0" applyProtection="0"/>
    <xf numFmtId="0" fontId="75" fillId="0" borderId="319" applyNumberFormat="0" applyFill="0" applyAlignment="0" applyProtection="0"/>
    <xf numFmtId="0" fontId="45" fillId="5" borderId="317" applyNumberFormat="0" applyFont="0" applyAlignment="0" applyProtection="0"/>
    <xf numFmtId="0" fontId="70" fillId="8" borderId="315" applyNumberFormat="0" applyAlignment="0" applyProtection="0"/>
    <xf numFmtId="0" fontId="63" fillId="21" borderId="315" applyNumberFormat="0" applyAlignment="0" applyProtection="0"/>
    <xf numFmtId="0" fontId="63" fillId="21" borderId="315"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0" fontId="75" fillId="0" borderId="319" applyNumberFormat="0" applyFill="0" applyAlignment="0" applyProtection="0"/>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0" fillId="8" borderId="315" applyNumberFormat="0" applyAlignment="0" applyProtection="0"/>
    <xf numFmtId="0" fontId="70" fillId="8" borderId="315" applyNumberFormat="0" applyAlignment="0" applyProtection="0"/>
    <xf numFmtId="0" fontId="70" fillId="8" borderId="315" applyNumberFormat="0" applyAlignment="0" applyProtection="0"/>
    <xf numFmtId="0" fontId="17" fillId="0" borderId="0"/>
    <xf numFmtId="0" fontId="17" fillId="0" borderId="0"/>
    <xf numFmtId="0" fontId="63" fillId="21" borderId="315" applyNumberFormat="0" applyAlignment="0" applyProtection="0"/>
    <xf numFmtId="0" fontId="63" fillId="21" borderId="315" applyNumberFormat="0" applyAlignment="0" applyProtection="0"/>
    <xf numFmtId="0" fontId="17" fillId="0" borderId="0"/>
    <xf numFmtId="0" fontId="17" fillId="0" borderId="0"/>
    <xf numFmtId="9" fontId="17" fillId="0" borderId="0" applyFont="0" applyFill="0" applyBorder="0" applyAlignment="0" applyProtection="0"/>
    <xf numFmtId="0" fontId="45" fillId="5" borderId="317" applyNumberFormat="0" applyFont="0" applyAlignment="0" applyProtection="0"/>
    <xf numFmtId="0" fontId="45" fillId="5" borderId="317" applyNumberFormat="0" applyFont="0" applyAlignment="0" applyProtection="0"/>
    <xf numFmtId="39" fontId="47" fillId="0" borderId="314" applyFill="0">
      <alignment horizontal="left"/>
    </xf>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5" borderId="0" applyNumberFormat="0" applyBorder="0" applyAlignment="0" applyProtection="0"/>
    <xf numFmtId="170"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4" borderId="0" applyNumberFormat="0" applyBorder="0" applyAlignment="0" applyProtection="0"/>
    <xf numFmtId="0" fontId="17" fillId="0" borderId="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0" fontId="45" fillId="5" borderId="317" applyNumberFormat="0" applyFont="0" applyAlignment="0" applyProtection="0"/>
    <xf numFmtId="0" fontId="17" fillId="4"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75" fillId="0" borderId="319" applyNumberFormat="0" applyFill="0" applyAlignment="0" applyProtection="0"/>
    <xf numFmtId="0" fontId="45" fillId="5" borderId="317" applyNumberFormat="0" applyFont="0" applyAlignment="0" applyProtection="0"/>
    <xf numFmtId="0" fontId="70" fillId="8" borderId="315" applyNumberFormat="0" applyAlignment="0" applyProtection="0"/>
    <xf numFmtId="0" fontId="63" fillId="21" borderId="315" applyNumberFormat="0" applyAlignment="0" applyProtection="0"/>
    <xf numFmtId="0" fontId="63" fillId="21" borderId="315" applyNumberFormat="0" applyAlignment="0" applyProtection="0"/>
    <xf numFmtId="0" fontId="63" fillId="21" borderId="315" applyNumberFormat="0" applyAlignment="0" applyProtection="0"/>
    <xf numFmtId="0" fontId="69" fillId="0" borderId="320" applyNumberFormat="0" applyFill="0" applyAlignment="0" applyProtection="0"/>
    <xf numFmtId="0" fontId="69" fillId="0" borderId="320" applyNumberFormat="0" applyFill="0" applyAlignment="0" applyProtection="0"/>
    <xf numFmtId="0" fontId="70" fillId="8" borderId="315" applyNumberFormat="0" applyAlignment="0" applyProtection="0"/>
    <xf numFmtId="0" fontId="70" fillId="8" borderId="315" applyNumberFormat="0" applyAlignment="0" applyProtection="0"/>
    <xf numFmtId="0" fontId="70" fillId="8" borderId="315" applyNumberFormat="0" applyAlignment="0" applyProtection="0"/>
    <xf numFmtId="0" fontId="63" fillId="21" borderId="315" applyNumberFormat="0" applyAlignment="0" applyProtection="0"/>
    <xf numFmtId="0" fontId="73" fillId="21" borderId="318" applyNumberFormat="0" applyAlignment="0" applyProtection="0"/>
    <xf numFmtId="0" fontId="17" fillId="0" borderId="0"/>
    <xf numFmtId="0" fontId="63" fillId="21" borderId="315" applyNumberFormat="0" applyAlignment="0" applyProtection="0"/>
    <xf numFmtId="0" fontId="45" fillId="5" borderId="317" applyNumberFormat="0" applyFont="0" applyAlignment="0" applyProtection="0"/>
    <xf numFmtId="0" fontId="17" fillId="0" borderId="0"/>
    <xf numFmtId="0" fontId="17" fillId="0" borderId="0"/>
    <xf numFmtId="0" fontId="45" fillId="5" borderId="317" applyNumberFormat="0" applyFont="0" applyAlignment="0" applyProtection="0"/>
    <xf numFmtId="0" fontId="75" fillId="0" borderId="319" applyNumberFormat="0" applyFill="0" applyAlignment="0" applyProtection="0"/>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0" fontId="75" fillId="0" borderId="319" applyNumberFormat="0" applyFill="0" applyAlignment="0" applyProtection="0"/>
    <xf numFmtId="0" fontId="75" fillId="0" borderId="319" applyNumberFormat="0" applyFill="0" applyAlignment="0" applyProtection="0"/>
    <xf numFmtId="0" fontId="70" fillId="8" borderId="315" applyNumberFormat="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45" fillId="5" borderId="317" applyNumberFormat="0" applyFont="0" applyAlignment="0" applyProtection="0"/>
    <xf numFmtId="0" fontId="17" fillId="0" borderId="0"/>
    <xf numFmtId="0" fontId="45" fillId="5" borderId="317" applyNumberFormat="0" applyFont="0" applyAlignment="0" applyProtection="0"/>
    <xf numFmtId="0" fontId="17" fillId="4"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45" fillId="5" borderId="317" applyNumberFormat="0" applyFont="0" applyAlignment="0" applyProtection="0"/>
    <xf numFmtId="0" fontId="63" fillId="21" borderId="315" applyNumberFormat="0" applyAlignment="0" applyProtection="0"/>
    <xf numFmtId="0" fontId="63" fillId="21" borderId="315"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39" fontId="47" fillId="0" borderId="314" applyFill="0">
      <alignment horizontal="left"/>
    </xf>
    <xf numFmtId="0" fontId="69" fillId="0" borderId="320" applyNumberFormat="0" applyFill="0" applyAlignment="0" applyProtection="0"/>
    <xf numFmtId="0" fontId="69" fillId="0" borderId="320" applyNumberFormat="0" applyFill="0" applyAlignment="0" applyProtection="0"/>
    <xf numFmtId="0" fontId="70" fillId="8" borderId="315" applyNumberFormat="0" applyAlignment="0" applyProtection="0"/>
    <xf numFmtId="0" fontId="70" fillId="8" borderId="315" applyNumberFormat="0" applyAlignment="0" applyProtection="0"/>
    <xf numFmtId="0" fontId="73" fillId="21" borderId="318" applyNumberFormat="0" applyAlignment="0" applyProtection="0"/>
    <xf numFmtId="0" fontId="45" fillId="5" borderId="317" applyNumberFormat="0" applyFont="0" applyAlignment="0" applyProtection="0"/>
    <xf numFmtId="0" fontId="75" fillId="0" borderId="319" applyNumberFormat="0" applyFill="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9" fontId="17" fillId="0" borderId="0" applyFont="0" applyFill="0" applyBorder="0" applyAlignment="0" applyProtection="0"/>
    <xf numFmtId="0" fontId="75" fillId="0" borderId="319" applyNumberFormat="0" applyFill="0" applyAlignment="0" applyProtection="0"/>
    <xf numFmtId="0" fontId="75" fillId="0" borderId="319" applyNumberFormat="0" applyFill="0" applyAlignment="0" applyProtection="0"/>
    <xf numFmtId="39" fontId="47" fillId="0" borderId="314" applyFill="0">
      <alignment horizontal="left"/>
    </xf>
    <xf numFmtId="0" fontId="73" fillId="21" borderId="318" applyNumberFormat="0" applyAlignment="0" applyProtection="0"/>
    <xf numFmtId="0" fontId="17" fillId="0" borderId="0"/>
    <xf numFmtId="0" fontId="75" fillId="0" borderId="319" applyNumberFormat="0" applyFill="0" applyAlignment="0" applyProtection="0"/>
    <xf numFmtId="0" fontId="70" fillId="8" borderId="315" applyNumberFormat="0" applyAlignment="0" applyProtection="0"/>
    <xf numFmtId="0" fontId="63" fillId="21" borderId="315" applyNumberFormat="0" applyAlignment="0" applyProtection="0"/>
    <xf numFmtId="9" fontId="17" fillId="0" borderId="0" applyFont="0" applyFill="0" applyBorder="0" applyAlignment="0" applyProtection="0"/>
    <xf numFmtId="43" fontId="17" fillId="0" borderId="0" applyFont="0" applyFill="0" applyBorder="0" applyAlignment="0" applyProtection="0"/>
    <xf numFmtId="0" fontId="86" fillId="0" borderId="278">
      <alignment horizontal="center" vertical="center"/>
    </xf>
    <xf numFmtId="0" fontId="94" fillId="0" borderId="252">
      <protection hidden="1"/>
    </xf>
    <xf numFmtId="0" fontId="95" fillId="21" borderId="252" applyNumberFormat="0" applyFont="0" applyBorder="0" applyAlignment="0" applyProtection="0">
      <protection hidden="1"/>
    </xf>
    <xf numFmtId="10" fontId="47" fillId="25" borderId="304" applyNumberFormat="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75" fontId="86" fillId="0" borderId="198"/>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63" fillId="21" borderId="315" applyNumberFormat="0" applyAlignment="0" applyProtection="0"/>
    <xf numFmtId="0" fontId="75" fillId="0" borderId="319" applyNumberFormat="0" applyFill="0" applyAlignment="0" applyProtection="0"/>
    <xf numFmtId="0" fontId="75" fillId="0" borderId="319" applyNumberFormat="0" applyFill="0" applyAlignment="0" applyProtection="0"/>
    <xf numFmtId="10" fontId="47" fillId="25" borderId="304" applyNumberFormat="0" applyBorder="0" applyAlignment="0" applyProtection="0"/>
    <xf numFmtId="0" fontId="75" fillId="0" borderId="319" applyNumberFormat="0" applyFill="0" applyAlignment="0" applyProtection="0"/>
    <xf numFmtId="0" fontId="104" fillId="0" borderId="252">
      <alignment horizontal="left"/>
      <protection locked="0"/>
    </xf>
    <xf numFmtId="0" fontId="70" fillId="8"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75" fillId="0" borderId="319" applyNumberFormat="0" applyFill="0" applyAlignment="0" applyProtection="0"/>
    <xf numFmtId="0" fontId="17" fillId="0" borderId="0"/>
    <xf numFmtId="0" fontId="17" fillId="0" borderId="0"/>
    <xf numFmtId="0" fontId="17" fillId="0" borderId="0"/>
    <xf numFmtId="0" fontId="17" fillId="0" borderId="0"/>
    <xf numFmtId="0" fontId="17" fillId="0" borderId="0"/>
    <xf numFmtId="0" fontId="75" fillId="0" borderId="319" applyNumberFormat="0" applyFill="0" applyAlignment="0" applyProtection="0"/>
    <xf numFmtId="0" fontId="75" fillId="0" borderId="319" applyNumberFormat="0" applyFill="0" applyAlignment="0" applyProtection="0"/>
    <xf numFmtId="0" fontId="75" fillId="0" borderId="319" applyNumberFormat="0" applyFill="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45" fillId="5" borderId="317" applyNumberFormat="0" applyFont="0" applyAlignment="0" applyProtection="0"/>
    <xf numFmtId="9" fontId="17" fillId="0" borderId="0" applyFont="0" applyFill="0" applyBorder="0" applyAlignment="0" applyProtection="0"/>
    <xf numFmtId="0" fontId="75" fillId="0" borderId="319" applyNumberFormat="0" applyFill="0" applyAlignment="0" applyProtection="0"/>
    <xf numFmtId="0" fontId="111" fillId="0" borderId="252" applyNumberFormat="0" applyFill="0" applyBorder="0" applyAlignment="0" applyProtection="0">
      <protection hidden="1"/>
    </xf>
    <xf numFmtId="39" fontId="47" fillId="0" borderId="314" applyFill="0">
      <alignment horizontal="left"/>
    </xf>
    <xf numFmtId="0" fontId="75" fillId="0" borderId="319" applyNumberFormat="0" applyFill="0" applyAlignment="0" applyProtection="0"/>
    <xf numFmtId="0" fontId="70" fillId="8" borderId="315" applyNumberFormat="0" applyAlignment="0" applyProtection="0"/>
    <xf numFmtId="0" fontId="63" fillId="21" borderId="315" applyNumberFormat="0" applyAlignment="0" applyProtection="0"/>
    <xf numFmtId="0" fontId="63" fillId="21" borderId="315" applyNumberFormat="0" applyAlignment="0" applyProtection="0"/>
    <xf numFmtId="0" fontId="115" fillId="21" borderId="252"/>
    <xf numFmtId="0" fontId="73" fillId="21" borderId="318" applyNumberFormat="0" applyAlignment="0" applyProtection="0"/>
    <xf numFmtId="0" fontId="45" fillId="5" borderId="317" applyNumberFormat="0" applyFont="0" applyAlignment="0" applyProtection="0"/>
    <xf numFmtId="39" fontId="47" fillId="0" borderId="314" applyFill="0">
      <alignment horizontal="left"/>
    </xf>
    <xf numFmtId="0" fontId="17" fillId="0" borderId="0"/>
    <xf numFmtId="43"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5" borderId="0" applyNumberFormat="0" applyBorder="0" applyAlignment="0" applyProtection="0"/>
    <xf numFmtId="0" fontId="63" fillId="21"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75" fillId="0" borderId="319" applyNumberFormat="0" applyFill="0" applyAlignment="0" applyProtection="0"/>
    <xf numFmtId="0" fontId="73" fillId="21" borderId="318" applyNumberFormat="0" applyAlignment="0" applyProtection="0"/>
    <xf numFmtId="0" fontId="45" fillId="5" borderId="317" applyNumberFormat="0" applyFont="0" applyAlignment="0" applyProtection="0"/>
    <xf numFmtId="0" fontId="70" fillId="8" borderId="315" applyNumberFormat="0" applyAlignment="0" applyProtection="0"/>
    <xf numFmtId="39" fontId="47" fillId="0" borderId="314" applyFill="0">
      <alignment horizontal="left"/>
    </xf>
    <xf numFmtId="0" fontId="63" fillId="21" borderId="315" applyNumberFormat="0" applyAlignment="0" applyProtection="0"/>
    <xf numFmtId="0" fontId="17" fillId="0" borderId="0"/>
    <xf numFmtId="0" fontId="17" fillId="0" borderId="0"/>
    <xf numFmtId="166"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4"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0" fontId="70" fillId="8" borderId="315" applyNumberFormat="0" applyAlignment="0" applyProtection="0"/>
    <xf numFmtId="0" fontId="70" fillId="8" borderId="315" applyNumberFormat="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0" borderId="0"/>
    <xf numFmtId="0" fontId="69" fillId="0" borderId="320" applyNumberFormat="0" applyFill="0" applyAlignment="0" applyProtection="0"/>
    <xf numFmtId="0" fontId="69" fillId="0" borderId="320" applyNumberFormat="0" applyFill="0" applyAlignment="0" applyProtection="0"/>
    <xf numFmtId="0" fontId="17" fillId="0" borderId="0"/>
    <xf numFmtId="0" fontId="17" fillId="0" borderId="0"/>
    <xf numFmtId="0" fontId="63" fillId="21" borderId="315" applyNumberFormat="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69" fillId="0" borderId="320" applyNumberFormat="0" applyFill="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70" fillId="8" borderId="315" applyNumberFormat="0" applyAlignment="0" applyProtection="0"/>
    <xf numFmtId="0" fontId="63" fillId="21" borderId="315" applyNumberFormat="0" applyAlignment="0" applyProtection="0"/>
    <xf numFmtId="0" fontId="70" fillId="8" borderId="315" applyNumberFormat="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0" fontId="47" fillId="25" borderId="304" applyNumberFormat="0" applyBorder="0" applyAlignment="0" applyProtection="0"/>
    <xf numFmtId="0" fontId="45" fillId="5" borderId="317" applyNumberFormat="0" applyFont="0" applyAlignment="0" applyProtection="0"/>
    <xf numFmtId="0" fontId="63" fillId="21" borderId="315" applyNumberFormat="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9" fontId="17" fillId="0" borderId="0" applyFont="0" applyFill="0" applyBorder="0" applyAlignment="0" applyProtection="0"/>
    <xf numFmtId="0" fontId="17" fillId="0" borderId="0"/>
    <xf numFmtId="0" fontId="94" fillId="0" borderId="252">
      <protection hidden="1"/>
    </xf>
    <xf numFmtId="0" fontId="95" fillId="21" borderId="252" applyNumberFormat="0" applyFont="0" applyBorder="0" applyAlignment="0" applyProtection="0">
      <protection hidden="1"/>
    </xf>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69" fillId="0" borderId="320" applyNumberFormat="0" applyFill="0" applyAlignment="0" applyProtection="0"/>
    <xf numFmtId="0" fontId="69" fillId="0" borderId="320" applyNumberFormat="0" applyFill="0" applyAlignment="0" applyProtection="0"/>
    <xf numFmtId="10" fontId="47" fillId="25" borderId="304" applyNumberFormat="0" applyBorder="0" applyAlignment="0" applyProtection="0"/>
    <xf numFmtId="0" fontId="104" fillId="0" borderId="252">
      <alignment horizontal="left"/>
      <protection locked="0"/>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9" fillId="0" borderId="320" applyNumberFormat="0" applyFill="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11" fillId="0" borderId="252" applyNumberFormat="0" applyFill="0" applyBorder="0" applyAlignment="0" applyProtection="0">
      <protection hidden="1"/>
    </xf>
    <xf numFmtId="0" fontId="17" fillId="0" borderId="0"/>
    <xf numFmtId="0" fontId="115" fillId="21" borderId="252"/>
    <xf numFmtId="0" fontId="17" fillId="0" borderId="0"/>
    <xf numFmtId="165" fontId="17" fillId="0" borderId="0" applyFont="0" applyFill="0" applyBorder="0" applyAlignment="0" applyProtection="0"/>
    <xf numFmtId="165" fontId="17" fillId="0" borderId="0" applyFont="0" applyFill="0" applyBorder="0" applyAlignment="0" applyProtection="0"/>
    <xf numFmtId="0" fontId="63" fillId="21" borderId="315" applyNumberFormat="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0" fontId="69" fillId="0" borderId="320" applyNumberFormat="0" applyFill="0" applyAlignment="0" applyProtection="0"/>
    <xf numFmtId="0" fontId="69" fillId="0" borderId="320" applyNumberFormat="0" applyFill="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165"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94" fillId="0" borderId="252">
      <protection hidden="1"/>
    </xf>
    <xf numFmtId="0" fontId="130" fillId="21" borderId="252" applyNumberFormat="0" applyFont="0" applyBorder="0" applyAlignment="0" applyProtection="0">
      <protection hidden="1"/>
    </xf>
    <xf numFmtId="0" fontId="63" fillId="21" borderId="315" applyNumberFormat="0" applyAlignment="0" applyProtection="0"/>
    <xf numFmtId="0" fontId="63" fillId="21" borderId="315" applyNumberFormat="0" applyAlignment="0" applyProtection="0"/>
    <xf numFmtId="0" fontId="104" fillId="0" borderId="252">
      <alignment horizontal="left"/>
      <protection locked="0"/>
    </xf>
    <xf numFmtId="43" fontId="17" fillId="0" borderId="0" applyFont="0" applyFill="0" applyBorder="0" applyAlignment="0" applyProtection="0"/>
    <xf numFmtId="0" fontId="70" fillId="8" borderId="315" applyNumberFormat="0" applyAlignment="0" applyProtection="0"/>
    <xf numFmtId="0" fontId="70" fillId="8" borderId="315" applyNumberFormat="0" applyAlignment="0" applyProtection="0"/>
    <xf numFmtId="0" fontId="17" fillId="0" borderId="0"/>
    <xf numFmtId="0" fontId="17" fillId="0" borderId="0"/>
    <xf numFmtId="0" fontId="17" fillId="0" borderId="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9" fontId="17" fillId="0" borderId="0" applyFont="0" applyFill="0" applyBorder="0" applyAlignment="0" applyProtection="0"/>
    <xf numFmtId="0" fontId="111" fillId="0" borderId="252" applyNumberFormat="0" applyFill="0" applyBorder="0" applyAlignment="0" applyProtection="0">
      <protection hidden="1"/>
    </xf>
    <xf numFmtId="9" fontId="17" fillId="0" borderId="0" applyFont="0" applyFill="0" applyBorder="0" applyAlignment="0" applyProtection="0"/>
    <xf numFmtId="0" fontId="115" fillId="21" borderId="252"/>
    <xf numFmtId="0" fontId="75" fillId="0" borderId="319" applyNumberFormat="0" applyFill="0" applyAlignment="0" applyProtection="0"/>
    <xf numFmtId="0" fontId="75" fillId="0" borderId="319" applyNumberFormat="0" applyFill="0" applyAlignment="0" applyProtection="0"/>
    <xf numFmtId="43"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86" fillId="0" borderId="278">
      <alignment horizontal="center" vertical="center"/>
    </xf>
    <xf numFmtId="0" fontId="130" fillId="21" borderId="252" applyNumberFormat="0" applyFont="0" applyBorder="0" applyAlignment="0" applyProtection="0">
      <protection hidden="1"/>
    </xf>
    <xf numFmtId="0" fontId="63" fillId="21" borderId="315" applyNumberFormat="0" applyAlignment="0" applyProtection="0"/>
    <xf numFmtId="0" fontId="63" fillId="21" borderId="315"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75" fontId="86" fillId="0" borderId="198"/>
    <xf numFmtId="10" fontId="47" fillId="25" borderId="304" applyNumberFormat="0" applyBorder="0" applyAlignment="0" applyProtection="0"/>
    <xf numFmtId="0" fontId="70" fillId="8" borderId="315" applyNumberFormat="0" applyAlignment="0" applyProtection="0"/>
    <xf numFmtId="0" fontId="70" fillId="8" borderId="315"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39" fontId="47" fillId="0" borderId="314" applyFill="0">
      <alignment horizontal="left"/>
    </xf>
    <xf numFmtId="0" fontId="75" fillId="0" borderId="319" applyNumberFormat="0" applyFill="0" applyAlignment="0" applyProtection="0"/>
    <xf numFmtId="0" fontId="75" fillId="0" borderId="319" applyNumberFormat="0" applyFill="0" applyAlignment="0" applyProtection="0"/>
    <xf numFmtId="9" fontId="17" fillId="0" borderId="0" applyFont="0" applyFill="0" applyBorder="0" applyAlignment="0" applyProtection="0"/>
    <xf numFmtId="0" fontId="17" fillId="0" borderId="0"/>
    <xf numFmtId="0" fontId="70" fillId="8" borderId="315" applyNumberFormat="0" applyAlignment="0" applyProtection="0"/>
    <xf numFmtId="43" fontId="17" fillId="0" borderId="0" applyFont="0" applyFill="0" applyBorder="0" applyAlignment="0" applyProtection="0"/>
    <xf numFmtId="9" fontId="17" fillId="0" borderId="0" applyFont="0" applyFill="0" applyBorder="0" applyAlignment="0" applyProtection="0"/>
    <xf numFmtId="0" fontId="70" fillId="8" borderId="315" applyNumberFormat="0" applyAlignment="0" applyProtection="0"/>
    <xf numFmtId="0" fontId="17" fillId="5" borderId="0" applyNumberFormat="0" applyBorder="0" applyAlignment="0" applyProtection="0"/>
    <xf numFmtId="170" fontId="17" fillId="0" borderId="0" applyFont="0" applyFill="0" applyBorder="0" applyAlignment="0" applyProtection="0"/>
    <xf numFmtId="0" fontId="75" fillId="0" borderId="319" applyNumberFormat="0" applyFill="0" applyAlignment="0" applyProtection="0"/>
    <xf numFmtId="43" fontId="17" fillId="0" borderId="0" applyFont="0" applyFill="0" applyBorder="0" applyAlignment="0" applyProtection="0"/>
    <xf numFmtId="0" fontId="75" fillId="0" borderId="319" applyNumberFormat="0" applyFill="0" applyAlignment="0" applyProtection="0"/>
    <xf numFmtId="0" fontId="75" fillId="0" borderId="319" applyNumberFormat="0" applyFill="0" applyAlignment="0" applyProtection="0"/>
    <xf numFmtId="0" fontId="45" fillId="5" borderId="317" applyNumberFormat="0" applyFont="0" applyAlignment="0" applyProtection="0"/>
    <xf numFmtId="0" fontId="70" fillId="8" borderId="315" applyNumberFormat="0" applyAlignment="0" applyProtection="0"/>
    <xf numFmtId="0" fontId="63" fillId="21" borderId="315" applyNumberFormat="0" applyAlignment="0" applyProtection="0"/>
    <xf numFmtId="0" fontId="63" fillId="21" borderId="315" applyNumberFormat="0" applyAlignment="0" applyProtection="0"/>
    <xf numFmtId="0" fontId="63" fillId="21" borderId="315" applyNumberFormat="0" applyAlignment="0" applyProtection="0"/>
    <xf numFmtId="0" fontId="70" fillId="8" borderId="315" applyNumberFormat="0" applyAlignment="0" applyProtection="0"/>
    <xf numFmtId="0" fontId="45" fillId="5" borderId="317" applyNumberFormat="0" applyFont="0" applyAlignment="0" applyProtection="0"/>
    <xf numFmtId="43" fontId="17" fillId="0" borderId="0" applyFont="0" applyFill="0" applyBorder="0" applyAlignment="0" applyProtection="0"/>
    <xf numFmtId="43" fontId="17" fillId="0" borderId="0" applyFont="0" applyFill="0" applyBorder="0" applyAlignment="0" applyProtection="0"/>
    <xf numFmtId="0" fontId="75" fillId="0" borderId="319" applyNumberFormat="0" applyFill="0" applyAlignment="0" applyProtection="0"/>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0" fillId="8" borderId="315" applyNumberFormat="0" applyAlignment="0" applyProtection="0"/>
    <xf numFmtId="0" fontId="70" fillId="8" borderId="315" applyNumberFormat="0" applyAlignment="0" applyProtection="0"/>
    <xf numFmtId="0" fontId="70" fillId="8" borderId="315" applyNumberFormat="0" applyAlignment="0" applyProtection="0"/>
    <xf numFmtId="0" fontId="17" fillId="0" borderId="0"/>
    <xf numFmtId="0" fontId="17" fillId="0" borderId="0"/>
    <xf numFmtId="0" fontId="63" fillId="21" borderId="315" applyNumberFormat="0" applyAlignment="0" applyProtection="0"/>
    <xf numFmtId="0" fontId="63" fillId="21" borderId="315" applyNumberFormat="0" applyAlignment="0" applyProtection="0"/>
    <xf numFmtId="0" fontId="17" fillId="0" borderId="0"/>
    <xf numFmtId="0" fontId="17" fillId="0" borderId="0"/>
    <xf numFmtId="9" fontId="17" fillId="0" borderId="0" applyFont="0" applyFill="0" applyBorder="0" applyAlignment="0" applyProtection="0"/>
    <xf numFmtId="0" fontId="73" fillId="21" borderId="318" applyNumberFormat="0" applyAlignment="0" applyProtection="0"/>
    <xf numFmtId="0" fontId="63" fillId="21"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39" fontId="47" fillId="0" borderId="314" applyFill="0">
      <alignment horizontal="left"/>
    </xf>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5" borderId="0" applyNumberFormat="0" applyBorder="0" applyAlignment="0" applyProtection="0"/>
    <xf numFmtId="170"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4" borderId="0" applyNumberFormat="0" applyBorder="0" applyAlignment="0" applyProtection="0"/>
    <xf numFmtId="0" fontId="17" fillId="0" borderId="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0" fontId="45" fillId="5" borderId="317" applyNumberFormat="0" applyFont="0" applyAlignment="0" applyProtection="0"/>
    <xf numFmtId="0" fontId="94" fillId="0" borderId="252">
      <protection hidden="1"/>
    </xf>
    <xf numFmtId="0" fontId="95" fillId="21" borderId="252" applyNumberFormat="0" applyFont="0" applyBorder="0" applyAlignment="0" applyProtection="0">
      <protection hidden="1"/>
    </xf>
    <xf numFmtId="175" fontId="86" fillId="0" borderId="198"/>
    <xf numFmtId="0" fontId="104" fillId="0" borderId="252">
      <alignment horizontal="left"/>
      <protection locked="0"/>
    </xf>
    <xf numFmtId="0" fontId="75" fillId="0" borderId="319" applyNumberFormat="0" applyFill="0" applyAlignment="0" applyProtection="0"/>
    <xf numFmtId="0" fontId="45" fillId="5" borderId="317" applyNumberFormat="0" applyFont="0" applyAlignment="0" applyProtection="0"/>
    <xf numFmtId="0" fontId="111" fillId="0" borderId="252" applyNumberFormat="0" applyFill="0" applyBorder="0" applyAlignment="0" applyProtection="0">
      <protection hidden="1"/>
    </xf>
    <xf numFmtId="0" fontId="115" fillId="21" borderId="252"/>
    <xf numFmtId="10" fontId="47" fillId="25" borderId="304" applyNumberFormat="0" applyBorder="0" applyAlignment="0" applyProtection="0"/>
    <xf numFmtId="0" fontId="73" fillId="21" borderId="318" applyNumberFormat="0" applyAlignment="0" applyProtection="0"/>
    <xf numFmtId="0" fontId="45" fillId="5" borderId="317" applyNumberFormat="0" applyFont="0" applyAlignment="0" applyProtection="0"/>
    <xf numFmtId="0" fontId="63" fillId="21" borderId="315" applyNumberFormat="0" applyAlignment="0" applyProtection="0"/>
    <xf numFmtId="0" fontId="63" fillId="21" borderId="315" applyNumberFormat="0" applyAlignment="0" applyProtection="0"/>
    <xf numFmtId="175" fontId="86" fillId="0" borderId="198"/>
    <xf numFmtId="0" fontId="70" fillId="8" borderId="315" applyNumberFormat="0" applyAlignment="0" applyProtection="0"/>
    <xf numFmtId="0" fontId="70" fillId="8" borderId="315" applyNumberFormat="0" applyAlignment="0" applyProtection="0"/>
    <xf numFmtId="0" fontId="73" fillId="21" borderId="318"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75" fillId="0" borderId="319" applyNumberFormat="0" applyFill="0" applyAlignment="0" applyProtection="0"/>
    <xf numFmtId="0" fontId="75" fillId="0" borderId="319" applyNumberFormat="0" applyFill="0" applyAlignment="0" applyProtection="0"/>
    <xf numFmtId="0" fontId="130" fillId="21" borderId="252" applyNumberFormat="0" applyFont="0" applyBorder="0" applyAlignment="0" applyProtection="0">
      <protection hidden="1"/>
    </xf>
    <xf numFmtId="0" fontId="63" fillId="21" borderId="315" applyNumberFormat="0" applyAlignment="0" applyProtection="0"/>
    <xf numFmtId="0" fontId="63" fillId="21" borderId="315" applyNumberFormat="0" applyAlignment="0" applyProtection="0"/>
    <xf numFmtId="0" fontId="70" fillId="8" borderId="315" applyNumberFormat="0" applyAlignment="0" applyProtection="0"/>
    <xf numFmtId="0" fontId="70" fillId="8"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39" fontId="47" fillId="0" borderId="314" applyFill="0">
      <alignment horizontal="left"/>
    </xf>
    <xf numFmtId="0" fontId="75" fillId="0" borderId="319" applyNumberFormat="0" applyFill="0" applyAlignment="0" applyProtection="0"/>
    <xf numFmtId="0" fontId="75" fillId="0" borderId="319" applyNumberFormat="0" applyFill="0" applyAlignment="0" applyProtection="0"/>
    <xf numFmtId="0" fontId="75" fillId="0" borderId="319" applyNumberFormat="0" applyFill="0" applyAlignment="0" applyProtection="0"/>
    <xf numFmtId="0" fontId="63" fillId="21" borderId="315" applyNumberFormat="0" applyAlignment="0" applyProtection="0"/>
    <xf numFmtId="0" fontId="75" fillId="0" borderId="319" applyNumberFormat="0" applyFill="0" applyAlignment="0" applyProtection="0"/>
    <xf numFmtId="0" fontId="75" fillId="0" borderId="319" applyNumberFormat="0" applyFill="0" applyAlignment="0" applyProtection="0"/>
    <xf numFmtId="0" fontId="75" fillId="0" borderId="319" applyNumberFormat="0" applyFill="0" applyAlignment="0" applyProtection="0"/>
    <xf numFmtId="0" fontId="45" fillId="5" borderId="317" applyNumberFormat="0" applyFont="0" applyAlignment="0" applyProtection="0"/>
    <xf numFmtId="0" fontId="70" fillId="8" borderId="315" applyNumberFormat="0" applyAlignment="0" applyProtection="0"/>
    <xf numFmtId="0" fontId="63" fillId="21" borderId="315" applyNumberFormat="0" applyAlignment="0" applyProtection="0"/>
    <xf numFmtId="0" fontId="63" fillId="21" borderId="315" applyNumberFormat="0" applyAlignment="0" applyProtection="0"/>
    <xf numFmtId="0" fontId="86" fillId="0" borderId="278">
      <alignment horizontal="center" vertical="center"/>
    </xf>
    <xf numFmtId="0" fontId="75" fillId="0" borderId="319" applyNumberFormat="0" applyFill="0" applyAlignment="0" applyProtection="0"/>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0" fillId="8" borderId="315" applyNumberFormat="0" applyAlignment="0" applyProtection="0"/>
    <xf numFmtId="0" fontId="70" fillId="8" borderId="315" applyNumberFormat="0" applyAlignment="0" applyProtection="0"/>
    <xf numFmtId="0" fontId="70" fillId="8" borderId="315" applyNumberFormat="0" applyAlignment="0" applyProtection="0"/>
    <xf numFmtId="0" fontId="86" fillId="0" borderId="278">
      <alignment horizontal="center" vertical="center"/>
    </xf>
    <xf numFmtId="0" fontId="63" fillId="21" borderId="315" applyNumberFormat="0" applyAlignment="0" applyProtection="0"/>
    <xf numFmtId="0" fontId="63" fillId="21" borderId="315" applyNumberFormat="0" applyAlignment="0" applyProtection="0"/>
    <xf numFmtId="0" fontId="70" fillId="8"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39" fontId="47" fillId="0" borderId="314" applyFill="0">
      <alignment horizontal="left"/>
    </xf>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0" fontId="70" fillId="8" borderId="315" applyNumberFormat="0" applyAlignment="0" applyProtection="0"/>
    <xf numFmtId="0" fontId="63" fillId="21" borderId="315" applyNumberFormat="0" applyAlignment="0" applyProtection="0"/>
    <xf numFmtId="0" fontId="17" fillId="4"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70" fillId="8" borderId="315" applyNumberFormat="0" applyAlignment="0" applyProtection="0"/>
    <xf numFmtId="0" fontId="73" fillId="21" borderId="318"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0" fontId="63" fillId="21" borderId="315" applyNumberFormat="0" applyAlignment="0" applyProtection="0"/>
    <xf numFmtId="0" fontId="70" fillId="8" borderId="315" applyNumberFormat="0" applyAlignment="0" applyProtection="0"/>
    <xf numFmtId="0" fontId="45" fillId="5" borderId="317" applyNumberFormat="0" applyFont="0" applyAlignment="0" applyProtection="0"/>
    <xf numFmtId="0" fontId="17" fillId="0" borderId="0"/>
    <xf numFmtId="0" fontId="75" fillId="0" borderId="319" applyNumberFormat="0" applyFill="0" applyAlignment="0" applyProtection="0"/>
    <xf numFmtId="0" fontId="17" fillId="0" borderId="0"/>
    <xf numFmtId="0" fontId="17" fillId="0" borderId="0"/>
    <xf numFmtId="0" fontId="63" fillId="21" borderId="315" applyNumberFormat="0" applyAlignment="0" applyProtection="0"/>
    <xf numFmtId="0" fontId="75" fillId="0" borderId="319" applyNumberFormat="0" applyFill="0" applyAlignment="0" applyProtection="0"/>
    <xf numFmtId="0" fontId="45" fillId="5" borderId="317" applyNumberFormat="0" applyFont="0" applyAlignment="0" applyProtection="0"/>
    <xf numFmtId="0" fontId="70" fillId="8" borderId="315" applyNumberFormat="0" applyAlignment="0" applyProtection="0"/>
    <xf numFmtId="0" fontId="70" fillId="8"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70" fillId="8" borderId="315" applyNumberFormat="0" applyAlignment="0" applyProtection="0"/>
    <xf numFmtId="0" fontId="17" fillId="0" borderId="0"/>
    <xf numFmtId="0" fontId="17" fillId="4"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73" fillId="21" borderId="318" applyNumberFormat="0" applyAlignment="0" applyProtection="0"/>
    <xf numFmtId="9" fontId="17" fillId="0" borderId="0" applyFont="0" applyFill="0" applyBorder="0" applyAlignment="0" applyProtection="0"/>
    <xf numFmtId="43" fontId="17" fillId="0" borderId="0" applyFont="0" applyFill="0" applyBorder="0" applyAlignment="0" applyProtection="0"/>
    <xf numFmtId="10" fontId="47" fillId="25" borderId="304" applyNumberFormat="0" applyBorder="0" applyAlignment="0" applyProtection="0"/>
    <xf numFmtId="0" fontId="70" fillId="8" borderId="315" applyNumberFormat="0" applyAlignment="0" applyProtection="0"/>
    <xf numFmtId="0" fontId="95" fillId="21" borderId="200" applyNumberFormat="0" applyFont="0" applyBorder="0" applyAlignment="0" applyProtection="0">
      <protection hidden="1"/>
    </xf>
    <xf numFmtId="0" fontId="63" fillId="21" borderId="315" applyNumberFormat="0" applyAlignment="0" applyProtection="0"/>
    <xf numFmtId="0" fontId="63" fillId="21" borderId="315" applyNumberFormat="0" applyAlignment="0" applyProtection="0"/>
    <xf numFmtId="0" fontId="45" fillId="5" borderId="317" applyNumberFormat="0" applyFont="0" applyAlignment="0" applyProtection="0"/>
    <xf numFmtId="39" fontId="47" fillId="0" borderId="314" applyFill="0">
      <alignment horizontal="left"/>
    </xf>
    <xf numFmtId="0" fontId="45" fillId="5" borderId="317" applyNumberFormat="0" applyFont="0" applyAlignment="0" applyProtection="0"/>
    <xf numFmtId="0" fontId="75" fillId="0" borderId="319" applyNumberFormat="0" applyFill="0" applyAlignment="0" applyProtection="0"/>
    <xf numFmtId="0" fontId="75" fillId="0" borderId="319" applyNumberFormat="0" applyFill="0" applyAlignment="0" applyProtection="0"/>
    <xf numFmtId="0" fontId="70" fillId="8" borderId="315" applyNumberForma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43" fontId="17" fillId="0" borderId="0" applyFont="0" applyFill="0" applyBorder="0" applyAlignment="0" applyProtection="0"/>
    <xf numFmtId="0" fontId="73" fillId="21" borderId="318" applyNumberFormat="0" applyAlignment="0" applyProtection="0"/>
    <xf numFmtId="43" fontId="17" fillId="0" borderId="0" applyFont="0" applyFill="0" applyBorder="0" applyAlignment="0" applyProtection="0"/>
    <xf numFmtId="0" fontId="115" fillId="21" borderId="200"/>
    <xf numFmtId="0" fontId="63" fillId="21" borderId="315" applyNumberFormat="0" applyAlignment="0" applyProtection="0"/>
    <xf numFmtId="0" fontId="45" fillId="5" borderId="317" applyNumberFormat="0" applyFont="0" applyAlignment="0" applyProtection="0"/>
    <xf numFmtId="0" fontId="104" fillId="0" borderId="200">
      <alignment horizontal="left"/>
      <protection locked="0"/>
    </xf>
    <xf numFmtId="0" fontId="63" fillId="21" borderId="315" applyNumberFormat="0" applyAlignment="0" applyProtection="0"/>
    <xf numFmtId="10" fontId="47" fillId="25" borderId="304" applyNumberFormat="0" applyBorder="0" applyAlignment="0" applyProtection="0"/>
    <xf numFmtId="0" fontId="63" fillId="21" borderId="315" applyNumberFormat="0" applyAlignment="0" applyProtection="0"/>
    <xf numFmtId="0" fontId="70" fillId="8" borderId="315" applyNumberFormat="0" applyAlignment="0" applyProtection="0"/>
    <xf numFmtId="9" fontId="17" fillId="0" borderId="0" applyFont="0" applyFill="0" applyBorder="0" applyAlignment="0" applyProtection="0"/>
    <xf numFmtId="0" fontId="45" fillId="5" borderId="317" applyNumberFormat="0" applyFont="0" applyAlignment="0" applyProtection="0"/>
    <xf numFmtId="0" fontId="75" fillId="0" borderId="319" applyNumberFormat="0" applyFill="0" applyAlignment="0" applyProtection="0"/>
    <xf numFmtId="0" fontId="45" fillId="5" borderId="317" applyNumberFormat="0" applyFont="0" applyAlignment="0" applyProtection="0"/>
    <xf numFmtId="0" fontId="73" fillId="21" borderId="318" applyNumberFormat="0" applyAlignment="0" applyProtection="0"/>
    <xf numFmtId="0" fontId="45" fillId="5" borderId="317" applyNumberFormat="0" applyFont="0" applyAlignment="0" applyProtection="0"/>
    <xf numFmtId="0" fontId="75" fillId="0" borderId="319" applyNumberFormat="0" applyFill="0" applyAlignment="0" applyProtection="0"/>
    <xf numFmtId="0" fontId="73" fillId="21" borderId="318"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17" fillId="0" borderId="0"/>
    <xf numFmtId="10" fontId="47" fillId="25" borderId="304" applyNumberFormat="0" applyBorder="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0" fontId="75" fillId="0" borderId="319" applyNumberFormat="0" applyFill="0" applyAlignment="0" applyProtection="0"/>
    <xf numFmtId="9" fontId="17" fillId="0" borderId="0" applyFont="0" applyFill="0" applyBorder="0" applyAlignment="0" applyProtection="0"/>
    <xf numFmtId="43" fontId="17" fillId="0" borderId="0" applyFont="0" applyFill="0" applyBorder="0" applyAlignment="0" applyProtection="0"/>
    <xf numFmtId="0" fontId="45" fillId="5" borderId="317" applyNumberFormat="0" applyFont="0" applyAlignment="0" applyProtection="0"/>
    <xf numFmtId="0" fontId="94" fillId="0" borderId="200">
      <protection hidden="1"/>
    </xf>
    <xf numFmtId="0" fontId="70" fillId="8" borderId="315"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70" fillId="8" borderId="315" applyNumberFormat="0" applyAlignment="0" applyProtection="0"/>
    <xf numFmtId="39" fontId="47" fillId="0" borderId="314" applyFill="0">
      <alignment horizontal="left"/>
    </xf>
    <xf numFmtId="0" fontId="70" fillId="8" borderId="315" applyNumberFormat="0" applyAlignment="0" applyProtection="0"/>
    <xf numFmtId="0" fontId="70" fillId="8" borderId="315" applyNumberFormat="0" applyAlignment="0" applyProtection="0"/>
    <xf numFmtId="0" fontId="75" fillId="0" borderId="319" applyNumberFormat="0" applyFill="0" applyAlignment="0" applyProtection="0"/>
    <xf numFmtId="0" fontId="70" fillId="8" borderId="315" applyNumberFormat="0" applyAlignment="0" applyProtection="0"/>
    <xf numFmtId="0" fontId="75" fillId="0" borderId="319" applyNumberFormat="0" applyFill="0" applyAlignment="0" applyProtection="0"/>
    <xf numFmtId="0" fontId="75" fillId="0" borderId="319" applyNumberFormat="0" applyFill="0" applyAlignment="0" applyProtection="0"/>
    <xf numFmtId="0" fontId="73" fillId="21" borderId="318" applyNumberFormat="0" applyAlignment="0" applyProtection="0"/>
    <xf numFmtId="0" fontId="70" fillId="8" borderId="315" applyNumberFormat="0" applyAlignment="0" applyProtection="0"/>
    <xf numFmtId="0" fontId="45" fillId="5" borderId="317" applyNumberFormat="0" applyFont="0" applyAlignment="0" applyProtection="0"/>
    <xf numFmtId="0" fontId="73" fillId="21" borderId="3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75" fillId="0" borderId="319" applyNumberFormat="0" applyFill="0" applyAlignment="0" applyProtection="0"/>
    <xf numFmtId="0" fontId="75" fillId="0" borderId="319" applyNumberFormat="0" applyFill="0" applyAlignment="0" applyProtection="0"/>
    <xf numFmtId="0" fontId="73" fillId="21" borderId="318" applyNumberFormat="0" applyAlignment="0" applyProtection="0"/>
    <xf numFmtId="9" fontId="17" fillId="0" borderId="0" applyFont="0" applyFill="0" applyBorder="0" applyAlignment="0" applyProtection="0"/>
    <xf numFmtId="39" fontId="47" fillId="0" borderId="314" applyFill="0">
      <alignment horizontal="left"/>
    </xf>
    <xf numFmtId="0" fontId="63" fillId="21" borderId="315" applyNumberFormat="0" applyAlignment="0" applyProtection="0"/>
    <xf numFmtId="0" fontId="63" fillId="21" borderId="315" applyNumberFormat="0" applyAlignment="0" applyProtection="0"/>
    <xf numFmtId="0" fontId="75" fillId="0" borderId="319" applyNumberFormat="0" applyFill="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5" fillId="0" borderId="319" applyNumberFormat="0" applyFill="0" applyAlignment="0" applyProtection="0"/>
    <xf numFmtId="0" fontId="75" fillId="0" borderId="319" applyNumberFormat="0" applyFill="0" applyAlignment="0" applyProtection="0"/>
    <xf numFmtId="0" fontId="45" fillId="5" borderId="317" applyNumberFormat="0" applyFont="0" applyAlignment="0" applyProtection="0"/>
    <xf numFmtId="0" fontId="63" fillId="21" borderId="315" applyNumberFormat="0" applyAlignment="0" applyProtection="0"/>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0" fontId="17" fillId="0" borderId="0"/>
    <xf numFmtId="43"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5" borderId="0" applyNumberFormat="0" applyBorder="0" applyAlignment="0" applyProtection="0"/>
    <xf numFmtId="175" fontId="86" fillId="0" borderId="219"/>
    <xf numFmtId="0" fontId="70" fillId="8" borderId="315" applyNumberFormat="0" applyAlignment="0" applyProtection="0"/>
    <xf numFmtId="0" fontId="73" fillId="21" borderId="318" applyNumberFormat="0" applyAlignment="0" applyProtection="0"/>
    <xf numFmtId="0" fontId="75" fillId="0" borderId="319" applyNumberFormat="0" applyFill="0" applyAlignment="0" applyProtection="0"/>
    <xf numFmtId="0" fontId="45" fillId="5" borderId="317" applyNumberFormat="0" applyFont="0" applyAlignment="0" applyProtection="0"/>
    <xf numFmtId="0" fontId="86" fillId="0" borderId="278">
      <alignment horizontal="center" vertical="center"/>
    </xf>
    <xf numFmtId="0" fontId="63" fillId="21"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5" fillId="0" borderId="319" applyNumberFormat="0" applyFill="0" applyAlignment="0" applyProtection="0"/>
    <xf numFmtId="0" fontId="75" fillId="0" borderId="319" applyNumberFormat="0" applyFill="0" applyAlignment="0" applyProtection="0"/>
    <xf numFmtId="0" fontId="86" fillId="0" borderId="278">
      <alignment horizontal="center" vertical="center"/>
    </xf>
    <xf numFmtId="0" fontId="45" fillId="5" borderId="317" applyNumberFormat="0" applyFont="0" applyAlignment="0" applyProtection="0"/>
    <xf numFmtId="39" fontId="47" fillId="0" borderId="314" applyFill="0">
      <alignment horizontal="left"/>
    </xf>
    <xf numFmtId="0" fontId="17" fillId="0" borderId="0"/>
    <xf numFmtId="0" fontId="17" fillId="0" borderId="0"/>
    <xf numFmtId="166"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4"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0" fontId="45" fillId="5" borderId="317" applyNumberFormat="0" applyFont="0" applyAlignment="0" applyProtection="0"/>
    <xf numFmtId="0" fontId="75" fillId="0" borderId="319" applyNumberFormat="0" applyFill="0" applyAlignment="0" applyProtection="0"/>
    <xf numFmtId="0" fontId="75" fillId="0" borderId="319" applyNumberFormat="0" applyFill="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73" fillId="21" borderId="318" applyNumberFormat="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63" fillId="21" borderId="315" applyNumberFormat="0" applyAlignment="0" applyProtection="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45" fillId="5" borderId="317" applyNumberFormat="0" applyFon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73" fillId="21" borderId="318" applyNumberFormat="0" applyAlignment="0" applyProtection="0"/>
    <xf numFmtId="0" fontId="17" fillId="0" borderId="0"/>
    <xf numFmtId="9" fontId="17" fillId="0" borderId="0" applyFont="0" applyFill="0" applyBorder="0" applyAlignment="0" applyProtection="0"/>
    <xf numFmtId="0" fontId="104" fillId="0" borderId="200">
      <alignment horizontal="left"/>
      <protection locked="0"/>
    </xf>
    <xf numFmtId="175" fontId="86" fillId="0" borderId="219"/>
    <xf numFmtId="0" fontId="75" fillId="0" borderId="319" applyNumberFormat="0" applyFill="0" applyAlignment="0" applyProtection="0"/>
    <xf numFmtId="165" fontId="17" fillId="0" borderId="0" applyFont="0" applyFill="0" applyBorder="0" applyAlignment="0" applyProtection="0"/>
    <xf numFmtId="0" fontId="73" fillId="21" borderId="318" applyNumberFormat="0" applyAlignment="0" applyProtection="0"/>
    <xf numFmtId="0" fontId="45" fillId="5" borderId="317" applyNumberFormat="0" applyFont="0" applyAlignment="0" applyProtection="0"/>
    <xf numFmtId="165" fontId="17" fillId="0" borderId="0" applyFont="0" applyFill="0" applyBorder="0" applyAlignment="0" applyProtection="0"/>
    <xf numFmtId="0" fontId="75" fillId="0" borderId="319" applyNumberFormat="0" applyFill="0" applyAlignment="0" applyProtection="0"/>
    <xf numFmtId="0" fontId="45" fillId="5" borderId="317" applyNumberFormat="0" applyFont="0" applyAlignment="0" applyProtection="0"/>
    <xf numFmtId="165" fontId="17" fillId="0" borderId="0" applyFont="0" applyFill="0" applyBorder="0" applyAlignment="0" applyProtection="0"/>
    <xf numFmtId="165" fontId="17" fillId="0" borderId="0" applyFont="0" applyFill="0" applyBorder="0" applyAlignment="0" applyProtection="0"/>
    <xf numFmtId="0" fontId="45" fillId="5" borderId="317" applyNumberFormat="0" applyFont="0" applyAlignment="0" applyProtection="0"/>
    <xf numFmtId="0" fontId="86" fillId="0" borderId="278">
      <alignment horizontal="center" vertical="center"/>
    </xf>
    <xf numFmtId="0" fontId="63" fillId="21" borderId="315" applyNumberFormat="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70" fillId="8" borderId="315" applyNumberFormat="0" applyAlignment="0" applyProtection="0"/>
    <xf numFmtId="165" fontId="17" fillId="0" borderId="0" applyFont="0" applyFill="0" applyBorder="0" applyAlignment="0" applyProtection="0"/>
    <xf numFmtId="0" fontId="70" fillId="8" borderId="315" applyNumberFormat="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63" fillId="21" borderId="315" applyNumberFormat="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165" fontId="17" fillId="0" borderId="0" applyFont="0" applyFill="0" applyBorder="0" applyAlignment="0" applyProtection="0"/>
    <xf numFmtId="165" fontId="17" fillId="0" borderId="0" applyFont="0" applyFill="0" applyBorder="0" applyAlignment="0" applyProtection="0"/>
    <xf numFmtId="10" fontId="47" fillId="25" borderId="304" applyNumberFormat="0" applyBorder="0" applyAlignment="0" applyProtection="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9" fontId="17" fillId="0" borderId="0" applyFont="0" applyFill="0" applyBorder="0" applyAlignment="0" applyProtection="0"/>
    <xf numFmtId="0" fontId="17" fillId="0" borderId="0"/>
    <xf numFmtId="0" fontId="63" fillId="21" borderId="315" applyNumberFormat="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70" fillId="8" borderId="315"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0" fontId="47" fillId="25" borderId="304" applyNumberFormat="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73" fillId="21" borderId="318" applyNumberFormat="0" applyAlignment="0" applyProtection="0"/>
    <xf numFmtId="0" fontId="17" fillId="0" borderId="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70" fillId="8" borderId="315"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0" fontId="63" fillId="21" borderId="315" applyNumberFormat="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0" fontId="63" fillId="21" borderId="315" applyNumberFormat="0" applyAlignment="0" applyProtection="0"/>
    <xf numFmtId="0" fontId="17" fillId="0" borderId="0"/>
    <xf numFmtId="165" fontId="17" fillId="0" borderId="0" applyFont="0" applyFill="0" applyBorder="0" applyAlignment="0" applyProtection="0"/>
    <xf numFmtId="0" fontId="17" fillId="0" borderId="0"/>
    <xf numFmtId="9" fontId="17" fillId="0" borderId="0" applyFont="0" applyFill="0" applyBorder="0" applyAlignment="0" applyProtection="0"/>
    <xf numFmtId="0" fontId="75" fillId="0" borderId="319" applyNumberFormat="0" applyFill="0" applyAlignment="0" applyProtection="0"/>
    <xf numFmtId="0" fontId="17" fillId="0" borderId="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0" fontId="94" fillId="0" borderId="252">
      <protection hidden="1"/>
    </xf>
    <xf numFmtId="0" fontId="130" fillId="21" borderId="252" applyNumberFormat="0" applyFont="0" applyBorder="0" applyAlignment="0" applyProtection="0">
      <protection hidden="1"/>
    </xf>
    <xf numFmtId="0" fontId="104" fillId="0" borderId="252">
      <alignment horizontal="left"/>
      <protection locked="0"/>
    </xf>
    <xf numFmtId="43" fontId="17" fillId="0" borderId="0" applyFont="0" applyFill="0" applyBorder="0" applyAlignment="0" applyProtection="0"/>
    <xf numFmtId="0" fontId="94" fillId="0" borderId="200">
      <protection hidden="1"/>
    </xf>
    <xf numFmtId="0" fontId="17" fillId="0" borderId="0"/>
    <xf numFmtId="0" fontId="17" fillId="0" borderId="0"/>
    <xf numFmtId="0" fontId="17" fillId="0" borderId="0"/>
    <xf numFmtId="0" fontId="73" fillId="21" borderId="318" applyNumberFormat="0" applyAlignment="0" applyProtection="0"/>
    <xf numFmtId="9" fontId="17" fillId="0" borderId="0" applyFont="0" applyFill="0" applyBorder="0" applyAlignment="0" applyProtection="0"/>
    <xf numFmtId="0" fontId="111" fillId="0" borderId="252" applyNumberFormat="0" applyFill="0" applyBorder="0" applyAlignment="0" applyProtection="0">
      <protection hidden="1"/>
    </xf>
    <xf numFmtId="9" fontId="17" fillId="0" borderId="0" applyFont="0" applyFill="0" applyBorder="0" applyAlignment="0" applyProtection="0"/>
    <xf numFmtId="0" fontId="115" fillId="21" borderId="252"/>
    <xf numFmtId="43"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10" fontId="47" fillId="25" borderId="304" applyNumberFormat="0" applyBorder="0" applyAlignment="0" applyProtection="0"/>
    <xf numFmtId="0" fontId="63" fillId="21" borderId="315"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75" fillId="0" borderId="319" applyNumberFormat="0" applyFill="0" applyAlignment="0" applyProtection="0"/>
    <xf numFmtId="0" fontId="86" fillId="0" borderId="278">
      <alignment horizontal="center" vertical="center"/>
    </xf>
    <xf numFmtId="0" fontId="70" fillId="8" borderId="315"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0" fontId="70" fillId="8" borderId="315" applyNumberFormat="0" applyAlignment="0" applyProtection="0"/>
    <xf numFmtId="0" fontId="63" fillId="21" borderId="315" applyNumberFormat="0" applyAlignment="0" applyProtection="0"/>
    <xf numFmtId="0" fontId="45" fillId="5" borderId="317" applyNumberFormat="0" applyFont="0" applyAlignment="0" applyProtection="0"/>
    <xf numFmtId="0" fontId="70" fillId="8" borderId="315" applyNumberFormat="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5" borderId="0" applyNumberFormat="0" applyBorder="0" applyAlignment="0" applyProtection="0"/>
    <xf numFmtId="170" fontId="17" fillId="0" borderId="0" applyFont="0" applyFill="0" applyBorder="0" applyAlignment="0" applyProtection="0"/>
    <xf numFmtId="0" fontId="45" fillId="5" borderId="317" applyNumberFormat="0" applyFont="0" applyAlignment="0" applyProtection="0"/>
    <xf numFmtId="43" fontId="17" fillId="0" borderId="0" applyFont="0" applyFill="0" applyBorder="0" applyAlignment="0" applyProtection="0"/>
    <xf numFmtId="0" fontId="75" fillId="0" borderId="319" applyNumberFormat="0" applyFill="0" applyAlignment="0" applyProtection="0"/>
    <xf numFmtId="0" fontId="45" fillId="5" borderId="317" applyNumberFormat="0" applyFont="0" applyAlignment="0" applyProtection="0"/>
    <xf numFmtId="0" fontId="73" fillId="21" borderId="318" applyNumberFormat="0" applyAlignment="0" applyProtection="0"/>
    <xf numFmtId="0" fontId="70" fillId="8" borderId="315" applyNumberFormat="0" applyAlignment="0" applyProtection="0"/>
    <xf numFmtId="0" fontId="63" fillId="21" borderId="315" applyNumberFormat="0" applyAlignment="0" applyProtection="0"/>
    <xf numFmtId="0" fontId="45" fillId="5" borderId="317" applyNumberFormat="0" applyFont="0" applyAlignment="0" applyProtection="0"/>
    <xf numFmtId="0" fontId="63" fillId="21" borderId="315"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39" fontId="47" fillId="0" borderId="314" applyFill="0">
      <alignment horizontal="left"/>
    </xf>
    <xf numFmtId="0" fontId="111" fillId="0" borderId="200" applyNumberFormat="0" applyFill="0" applyBorder="0" applyAlignment="0" applyProtection="0">
      <protection hidden="1"/>
    </xf>
    <xf numFmtId="0" fontId="75" fillId="0" borderId="319" applyNumberFormat="0" applyFill="0" applyAlignment="0" applyProtection="0"/>
    <xf numFmtId="0" fontId="86" fillId="0" borderId="278">
      <alignment horizontal="center" vertical="center"/>
    </xf>
    <xf numFmtId="0" fontId="95" fillId="21" borderId="200" applyNumberFormat="0" applyFont="0" applyBorder="0" applyAlignment="0" applyProtection="0">
      <protection hidden="1"/>
    </xf>
    <xf numFmtId="0" fontId="17" fillId="0" borderId="0"/>
    <xf numFmtId="0" fontId="73" fillId="21" borderId="318" applyNumberFormat="0" applyAlignment="0" applyProtection="0"/>
    <xf numFmtId="0" fontId="70" fillId="8" borderId="315" applyNumberFormat="0" applyAlignment="0" applyProtection="0"/>
    <xf numFmtId="0" fontId="70" fillId="8" borderId="315" applyNumberFormat="0" applyAlignment="0" applyProtection="0"/>
    <xf numFmtId="0" fontId="17" fillId="0" borderId="0"/>
    <xf numFmtId="0" fontId="17" fillId="0" borderId="0"/>
    <xf numFmtId="0" fontId="17" fillId="0" borderId="0"/>
    <xf numFmtId="9" fontId="17" fillId="0" borderId="0" applyFont="0" applyFill="0" applyBorder="0" applyAlignment="0" applyProtection="0"/>
    <xf numFmtId="0" fontId="73" fillId="21" borderId="318" applyNumberFormat="0" applyAlignment="0" applyProtection="0"/>
    <xf numFmtId="0" fontId="45" fillId="5" borderId="317" applyNumberFormat="0" applyFont="0" applyAlignment="0" applyProtection="0"/>
    <xf numFmtId="0" fontId="63" fillId="21" borderId="315" applyNumberFormat="0" applyAlignment="0" applyProtection="0"/>
    <xf numFmtId="39" fontId="47" fillId="0" borderId="314" applyFill="0">
      <alignment horizontal="left"/>
    </xf>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5" borderId="0" applyNumberFormat="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0" fontId="17" fillId="4" borderId="0" applyNumberFormat="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5" borderId="0" applyNumberFormat="0" applyBorder="0" applyAlignment="0" applyProtection="0"/>
    <xf numFmtId="170"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4" borderId="0" applyNumberFormat="0" applyBorder="0" applyAlignment="0" applyProtection="0"/>
    <xf numFmtId="0" fontId="17" fillId="0" borderId="0"/>
    <xf numFmtId="0" fontId="17" fillId="0" borderId="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0" fontId="70" fillId="8" borderId="315" applyNumberFormat="0" applyAlignment="0" applyProtection="0"/>
    <xf numFmtId="0" fontId="45" fillId="5" borderId="317" applyNumberFormat="0" applyFont="0" applyAlignment="0" applyProtection="0"/>
    <xf numFmtId="0" fontId="111" fillId="0" borderId="200" applyNumberFormat="0" applyFill="0" applyBorder="0" applyAlignment="0" applyProtection="0">
      <protection hidden="1"/>
    </xf>
    <xf numFmtId="0" fontId="115" fillId="21" borderId="200"/>
    <xf numFmtId="0" fontId="45" fillId="5" borderId="317" applyNumberFormat="0" applyFont="0" applyAlignment="0" applyProtection="0"/>
    <xf numFmtId="0" fontId="75" fillId="0" borderId="319" applyNumberFormat="0" applyFill="0" applyAlignment="0" applyProtection="0"/>
    <xf numFmtId="0" fontId="45" fillId="5" borderId="317" applyNumberFormat="0" applyFont="0" applyAlignment="0" applyProtection="0"/>
    <xf numFmtId="0" fontId="45" fillId="5" borderId="317" applyNumberFormat="0" applyFont="0" applyAlignment="0" applyProtection="0"/>
    <xf numFmtId="0" fontId="63" fillId="21" borderId="315" applyNumberFormat="0" applyAlignment="0" applyProtection="0"/>
    <xf numFmtId="0" fontId="75" fillId="0" borderId="319" applyNumberFormat="0" applyFill="0" applyAlignment="0" applyProtection="0"/>
    <xf numFmtId="10" fontId="47" fillId="25" borderId="304" applyNumberFormat="0" applyBorder="0" applyAlignment="0" applyProtection="0"/>
    <xf numFmtId="0" fontId="63" fillId="21" borderId="315" applyNumberFormat="0" applyAlignment="0" applyProtection="0"/>
    <xf numFmtId="0" fontId="94" fillId="0" borderId="200">
      <protection hidden="1"/>
    </xf>
    <xf numFmtId="0" fontId="130" fillId="21" borderId="200" applyNumberFormat="0" applyFont="0" applyBorder="0" applyAlignment="0" applyProtection="0">
      <protection hidden="1"/>
    </xf>
    <xf numFmtId="0" fontId="63" fillId="21" borderId="315" applyNumberFormat="0" applyAlignment="0" applyProtection="0"/>
    <xf numFmtId="0" fontId="63" fillId="21" borderId="315" applyNumberFormat="0" applyAlignment="0" applyProtection="0"/>
    <xf numFmtId="175" fontId="86" fillId="0" borderId="219"/>
    <xf numFmtId="0" fontId="104" fillId="0" borderId="200">
      <alignment horizontal="left"/>
      <protection locked="0"/>
    </xf>
    <xf numFmtId="0" fontId="70" fillId="8" borderId="315" applyNumberFormat="0" applyAlignment="0" applyProtection="0"/>
    <xf numFmtId="0" fontId="70" fillId="8"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0" fontId="111" fillId="0" borderId="200" applyNumberFormat="0" applyFill="0" applyBorder="0" applyAlignment="0" applyProtection="0">
      <protection hidden="1"/>
    </xf>
    <xf numFmtId="0" fontId="115" fillId="21" borderId="200"/>
    <xf numFmtId="0" fontId="75" fillId="0" borderId="319" applyNumberFormat="0" applyFill="0" applyAlignment="0" applyProtection="0"/>
    <xf numFmtId="0" fontId="75" fillId="0" borderId="319" applyNumberFormat="0" applyFill="0" applyAlignment="0" applyProtection="0"/>
    <xf numFmtId="0" fontId="45" fillId="5" borderId="317" applyNumberFormat="0" applyFont="0" applyAlignment="0" applyProtection="0"/>
    <xf numFmtId="0" fontId="86" fillId="0" borderId="278">
      <alignment horizontal="center" vertical="center"/>
    </xf>
    <xf numFmtId="0" fontId="130" fillId="21" borderId="200" applyNumberFormat="0" applyFont="0" applyBorder="0" applyAlignment="0" applyProtection="0">
      <protection hidden="1"/>
    </xf>
    <xf numFmtId="0" fontId="63" fillId="21" borderId="315" applyNumberFormat="0" applyAlignment="0" applyProtection="0"/>
    <xf numFmtId="0" fontId="63" fillId="21" borderId="315" applyNumberFormat="0" applyAlignment="0" applyProtection="0"/>
    <xf numFmtId="0" fontId="70" fillId="8" borderId="315" applyNumberFormat="0" applyAlignment="0" applyProtection="0"/>
    <xf numFmtId="0" fontId="45" fillId="5" borderId="317" applyNumberFormat="0" applyFont="0" applyAlignment="0" applyProtection="0"/>
    <xf numFmtId="175" fontId="86" fillId="0" borderId="219"/>
    <xf numFmtId="10" fontId="47" fillId="25" borderId="304" applyNumberFormat="0" applyBorder="0" applyAlignment="0" applyProtection="0"/>
    <xf numFmtId="0" fontId="70" fillId="8" borderId="315" applyNumberFormat="0" applyAlignment="0" applyProtection="0"/>
    <xf numFmtId="0" fontId="70" fillId="8" borderId="315" applyNumberFormat="0" applyAlignment="0" applyProtection="0"/>
    <xf numFmtId="0" fontId="45" fillId="5" borderId="317" applyNumberFormat="0" applyFont="0" applyAlignment="0" applyProtection="0"/>
    <xf numFmtId="0" fontId="70" fillId="8" borderId="315" applyNumberFormat="0" applyAlignment="0" applyProtection="0"/>
    <xf numFmtId="0" fontId="63" fillId="21"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39" fontId="47" fillId="0" borderId="314" applyFill="0">
      <alignment horizontal="left"/>
    </xf>
    <xf numFmtId="0" fontId="75" fillId="0" borderId="319" applyNumberFormat="0" applyFill="0" applyAlignment="0" applyProtection="0"/>
    <xf numFmtId="0" fontId="75" fillId="0" borderId="319" applyNumberFormat="0" applyFill="0" applyAlignment="0" applyProtection="0"/>
    <xf numFmtId="0" fontId="45" fillId="5" borderId="317" applyNumberFormat="0" applyFont="0" applyAlignment="0" applyProtection="0"/>
    <xf numFmtId="0" fontId="75" fillId="0" borderId="319" applyNumberFormat="0" applyFill="0" applyAlignment="0" applyProtection="0"/>
    <xf numFmtId="0" fontId="75" fillId="0" borderId="319" applyNumberFormat="0" applyFill="0" applyAlignment="0" applyProtection="0"/>
    <xf numFmtId="0" fontId="75" fillId="0" borderId="319" applyNumberFormat="0" applyFill="0" applyAlignment="0" applyProtection="0"/>
    <xf numFmtId="0" fontId="45" fillId="5" borderId="317" applyNumberFormat="0" applyFont="0" applyAlignment="0" applyProtection="0"/>
    <xf numFmtId="0" fontId="70" fillId="8" borderId="315" applyNumberFormat="0" applyAlignment="0" applyProtection="0"/>
    <xf numFmtId="0" fontId="63" fillId="21" borderId="315" applyNumberFormat="0" applyAlignment="0" applyProtection="0"/>
    <xf numFmtId="0" fontId="63" fillId="21" borderId="315" applyNumberFormat="0" applyAlignment="0" applyProtection="0"/>
    <xf numFmtId="0" fontId="63" fillId="21" borderId="315" applyNumberFormat="0" applyAlignment="0" applyProtection="0"/>
    <xf numFmtId="0" fontId="70" fillId="8" borderId="315"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0" fontId="73" fillId="21" borderId="318" applyNumberFormat="0" applyAlignment="0" applyProtection="0"/>
    <xf numFmtId="0" fontId="75" fillId="0" borderId="319" applyNumberFormat="0" applyFill="0" applyAlignment="0" applyProtection="0"/>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73" fillId="21" borderId="318" applyNumberFormat="0" applyAlignment="0" applyProtection="0"/>
    <xf numFmtId="0" fontId="45" fillId="5" borderId="317" applyNumberFormat="0" applyFont="0" applyAlignment="0" applyProtection="0"/>
    <xf numFmtId="0" fontId="45" fillId="5" borderId="317" applyNumberFormat="0" applyFont="0" applyAlignment="0" applyProtection="0"/>
    <xf numFmtId="0" fontId="45" fillId="5" borderId="317" applyNumberFormat="0" applyFont="0" applyAlignment="0" applyProtection="0"/>
    <xf numFmtId="0" fontId="70" fillId="8" borderId="315" applyNumberFormat="0" applyAlignment="0" applyProtection="0"/>
    <xf numFmtId="0" fontId="70" fillId="8" borderId="315" applyNumberFormat="0" applyAlignment="0" applyProtection="0"/>
    <xf numFmtId="0" fontId="70" fillId="8" borderId="315" applyNumberFormat="0" applyAlignment="0" applyProtection="0"/>
    <xf numFmtId="10" fontId="47" fillId="25" borderId="304" applyNumberFormat="0" applyBorder="0" applyAlignment="0" applyProtection="0"/>
    <xf numFmtId="0" fontId="63" fillId="21" borderId="315" applyNumberFormat="0" applyAlignment="0" applyProtection="0"/>
    <xf numFmtId="0" fontId="63" fillId="21" borderId="315" applyNumberFormat="0" applyAlignment="0" applyProtection="0"/>
    <xf numFmtId="0" fontId="73" fillId="21" borderId="318" applyNumberFormat="0" applyAlignment="0" applyProtection="0"/>
    <xf numFmtId="0" fontId="45" fillId="5" borderId="317" applyNumberFormat="0" applyFont="0" applyAlignment="0" applyProtection="0"/>
    <xf numFmtId="0" fontId="45" fillId="5" borderId="317" applyNumberFormat="0" applyFont="0" applyAlignment="0" applyProtection="0"/>
    <xf numFmtId="39" fontId="47" fillId="0" borderId="314" applyFill="0">
      <alignment horizontal="left"/>
    </xf>
    <xf numFmtId="0" fontId="45" fillId="5" borderId="317" applyNumberFormat="0" applyFont="0" applyAlignment="0" applyProtection="0"/>
    <xf numFmtId="0" fontId="45" fillId="5" borderId="317" applyNumberFormat="0" applyFont="0" applyAlignment="0" applyProtection="0"/>
    <xf numFmtId="0" fontId="70" fillId="8" borderId="315" applyNumberFormat="0" applyAlignment="0" applyProtection="0"/>
    <xf numFmtId="0" fontId="70" fillId="8" borderId="315" applyNumberFormat="0" applyAlignment="0" applyProtection="0"/>
    <xf numFmtId="0" fontId="63" fillId="21" borderId="315" applyNumberFormat="0" applyAlignment="0" applyProtection="0"/>
    <xf numFmtId="0" fontId="75" fillId="0" borderId="319" applyNumberFormat="0" applyFill="0" applyAlignment="0" applyProtection="0"/>
    <xf numFmtId="0" fontId="63" fillId="21" borderId="315" applyNumberFormat="0" applyAlignment="0" applyProtection="0"/>
    <xf numFmtId="0" fontId="45" fillId="5" borderId="317" applyNumberFormat="0" applyFont="0" applyAlignment="0" applyProtection="0"/>
    <xf numFmtId="0" fontId="73" fillId="21" borderId="318" applyNumberFormat="0" applyAlignment="0" applyProtection="0"/>
    <xf numFmtId="0" fontId="45" fillId="5" borderId="317" applyNumberFormat="0" applyFont="0" applyAlignment="0" applyProtection="0"/>
    <xf numFmtId="0" fontId="63" fillId="21" borderId="315" applyNumberFormat="0" applyAlignment="0" applyProtection="0"/>
    <xf numFmtId="0" fontId="63" fillId="21" borderId="315" applyNumberFormat="0" applyAlignment="0" applyProtection="0"/>
    <xf numFmtId="0" fontId="75" fillId="0" borderId="319" applyNumberFormat="0" applyFill="0" applyAlignment="0" applyProtection="0"/>
    <xf numFmtId="0" fontId="75" fillId="0" borderId="319" applyNumberFormat="0" applyFill="0" applyAlignment="0" applyProtection="0"/>
    <xf numFmtId="0" fontId="45" fillId="5" borderId="317" applyNumberFormat="0" applyFont="0" applyAlignment="0" applyProtection="0"/>
    <xf numFmtId="0" fontId="73" fillId="21" borderId="318" applyNumberFormat="0" applyAlignment="0" applyProtection="0"/>
    <xf numFmtId="0" fontId="45" fillId="5" borderId="317" applyNumberFormat="0" applyFont="0" applyAlignment="0" applyProtection="0"/>
    <xf numFmtId="39" fontId="47" fillId="0" borderId="314" applyFill="0">
      <alignment horizontal="left"/>
    </xf>
    <xf numFmtId="0" fontId="45" fillId="5" borderId="317" applyNumberFormat="0" applyFont="0" applyAlignment="0" applyProtection="0"/>
    <xf numFmtId="0" fontId="63" fillId="21" borderId="315" applyNumberFormat="0" applyAlignment="0" applyProtection="0"/>
    <xf numFmtId="0" fontId="70" fillId="8" borderId="315" applyNumberFormat="0" applyAlignment="0" applyProtection="0"/>
    <xf numFmtId="0" fontId="75" fillId="0" borderId="319" applyNumberFormat="0" applyFill="0" applyAlignment="0" applyProtection="0"/>
    <xf numFmtId="0" fontId="45" fillId="5" borderId="317" applyNumberFormat="0" applyFont="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9" fontId="15" fillId="0" borderId="0" applyFont="0" applyFill="0" applyBorder="0" applyAlignment="0" applyProtection="0"/>
    <xf numFmtId="0" fontId="45" fillId="0" borderId="0"/>
    <xf numFmtId="180" fontId="90"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70" fillId="8" borderId="336" applyNumberFormat="0" applyAlignment="0" applyProtection="0"/>
    <xf numFmtId="0" fontId="69" fillId="0" borderId="340" applyNumberFormat="0" applyFill="0" applyAlignment="0" applyProtection="0"/>
    <xf numFmtId="0" fontId="69" fillId="0" borderId="340" applyNumberFormat="0" applyFill="0" applyAlignment="0" applyProtection="0"/>
    <xf numFmtId="0" fontId="69" fillId="0" borderId="340" applyNumberFormat="0" applyFill="0" applyAlignment="0" applyProtection="0"/>
    <xf numFmtId="0" fontId="69" fillId="0" borderId="340" applyNumberFormat="0" applyFill="0" applyAlignment="0" applyProtection="0"/>
    <xf numFmtId="0" fontId="63" fillId="21" borderId="336" applyNumberFormat="0" applyAlignment="0" applyProtection="0"/>
    <xf numFmtId="0" fontId="63" fillId="21" borderId="336" applyNumberFormat="0" applyAlignment="0" applyProtection="0"/>
    <xf numFmtId="0" fontId="63" fillId="21" borderId="336" applyNumberFormat="0" applyAlignment="0" applyProtection="0"/>
    <xf numFmtId="0" fontId="63" fillId="21" borderId="336" applyNumberFormat="0" applyAlignment="0" applyProtection="0"/>
    <xf numFmtId="165" fontId="162" fillId="0" borderId="0" applyFont="0" applyFill="0" applyBorder="0" applyAlignment="0" applyProtection="0"/>
    <xf numFmtId="165" fontId="43"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13" fillId="0" borderId="0" applyFont="0" applyFill="0" applyBorder="0" applyAlignment="0" applyProtection="0"/>
    <xf numFmtId="170" fontId="13" fillId="0" borderId="0" applyFont="0" applyFill="0" applyBorder="0" applyAlignment="0" applyProtection="0"/>
    <xf numFmtId="165" fontId="13"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13" fillId="0" borderId="0" applyFont="0" applyFill="0" applyBorder="0" applyAlignment="0" applyProtection="0"/>
    <xf numFmtId="166" fontId="45" fillId="0" borderId="0" applyFont="0" applyFill="0" applyBorder="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13" fillId="0" borderId="0"/>
    <xf numFmtId="0" fontId="13" fillId="0" borderId="0"/>
    <xf numFmtId="0" fontId="13" fillId="0" borderId="0"/>
    <xf numFmtId="0" fontId="13" fillId="0" borderId="0"/>
    <xf numFmtId="0" fontId="162" fillId="0" borderId="0"/>
    <xf numFmtId="0" fontId="45" fillId="0" borderId="0"/>
    <xf numFmtId="0" fontId="45" fillId="5" borderId="337" applyNumberFormat="0" applyFont="0" applyAlignment="0" applyProtection="0"/>
    <xf numFmtId="0" fontId="45" fillId="5" borderId="337" applyNumberFormat="0" applyFont="0" applyAlignment="0" applyProtection="0"/>
    <xf numFmtId="0" fontId="45" fillId="5" borderId="337" applyNumberFormat="0" applyFont="0" applyAlignment="0" applyProtection="0"/>
    <xf numFmtId="0" fontId="45" fillId="5" borderId="337" applyNumberFormat="0" applyFont="0" applyAlignment="0" applyProtection="0"/>
    <xf numFmtId="0" fontId="73" fillId="21" borderId="338" applyNumberFormat="0" applyAlignment="0" applyProtection="0"/>
    <xf numFmtId="0" fontId="73" fillId="21" borderId="338" applyNumberFormat="0" applyAlignment="0" applyProtection="0"/>
    <xf numFmtId="0" fontId="73" fillId="21" borderId="338" applyNumberFormat="0" applyAlignment="0" applyProtection="0"/>
    <xf numFmtId="0" fontId="73" fillId="21" borderId="338" applyNumberFormat="0" applyAlignment="0" applyProtection="0"/>
    <xf numFmtId="9" fontId="162" fillId="0" borderId="0" applyFont="0" applyFill="0" applyBorder="0" applyAlignment="0" applyProtection="0"/>
    <xf numFmtId="9" fontId="13" fillId="0" borderId="0" applyFont="0" applyFill="0" applyBorder="0" applyAlignment="0" applyProtection="0"/>
    <xf numFmtId="9" fontId="45" fillId="0" borderId="0" applyFont="0" applyFill="0" applyBorder="0" applyAlignment="0" applyProtection="0"/>
    <xf numFmtId="9" fontId="13" fillId="0" borderId="0" applyFont="0" applyFill="0" applyBorder="0" applyAlignment="0" applyProtection="0"/>
    <xf numFmtId="9" fontId="162" fillId="0" borderId="0" applyFont="0" applyFill="0" applyBorder="0" applyAlignment="0" applyProtection="0"/>
    <xf numFmtId="9" fontId="45" fillId="0" borderId="0" applyFont="0" applyFill="0" applyBorder="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9" fontId="162" fillId="0" borderId="0" applyFont="0" applyFill="0" applyBorder="0" applyAlignment="0" applyProtection="0"/>
    <xf numFmtId="0" fontId="75" fillId="0" borderId="339" applyNumberFormat="0" applyFill="0" applyAlignment="0" applyProtection="0"/>
    <xf numFmtId="0" fontId="45" fillId="0" borderId="0"/>
    <xf numFmtId="0" fontId="75" fillId="0" borderId="339" applyNumberFormat="0" applyFill="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5" fillId="0" borderId="339" applyNumberFormat="0" applyFill="0" applyAlignment="0" applyProtection="0"/>
    <xf numFmtId="0" fontId="45" fillId="0" borderId="0"/>
    <xf numFmtId="0" fontId="75" fillId="0" borderId="339" applyNumberFormat="0" applyFill="0" applyAlignment="0" applyProtection="0"/>
    <xf numFmtId="0" fontId="75" fillId="0" borderId="339" applyNumberFormat="0" applyFill="0" applyAlignment="0" applyProtection="0"/>
    <xf numFmtId="0" fontId="45" fillId="0" borderId="0"/>
    <xf numFmtId="0" fontId="45" fillId="0" borderId="0"/>
    <xf numFmtId="0" fontId="75" fillId="0" borderId="339" applyNumberFormat="0" applyFill="0" applyAlignment="0" applyProtection="0"/>
    <xf numFmtId="0" fontId="45" fillId="0" borderId="0"/>
    <xf numFmtId="0" fontId="12" fillId="5"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165" fontId="45" fillId="0" borderId="0" applyFont="0" applyFill="0" applyBorder="0" applyAlignment="0" applyProtection="0"/>
    <xf numFmtId="165" fontId="12" fillId="0" borderId="0" applyFont="0" applyFill="0" applyBorder="0" applyAlignment="0" applyProtection="0"/>
    <xf numFmtId="170"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5" fillId="0" borderId="0" applyFont="0" applyFill="0" applyBorder="0" applyAlignment="0" applyProtection="0"/>
    <xf numFmtId="165" fontId="12" fillId="0" borderId="0" applyFont="0" applyFill="0" applyBorder="0" applyAlignment="0" applyProtection="0"/>
    <xf numFmtId="166" fontId="45" fillId="0" borderId="0" applyFont="0" applyFill="0" applyBorder="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12" fillId="0" borderId="0"/>
    <xf numFmtId="0" fontId="12" fillId="0" borderId="0"/>
    <xf numFmtId="0" fontId="12" fillId="0" borderId="0"/>
    <xf numFmtId="0" fontId="12" fillId="0" borderId="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2" fillId="0" borderId="0" applyFont="0" applyFill="0" applyBorder="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9" fontId="162" fillId="0" borderId="0" applyFont="0" applyFill="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4" borderId="0" applyNumberFormat="0" applyBorder="0" applyAlignment="0" applyProtection="0"/>
    <xf numFmtId="9" fontId="162" fillId="0" borderId="0" applyFont="0" applyFill="0" applyBorder="0" applyAlignment="0" applyProtection="0"/>
    <xf numFmtId="9" fontId="162" fillId="0" borderId="0" applyFont="0" applyFill="0" applyBorder="0" applyAlignment="0" applyProtection="0"/>
    <xf numFmtId="0" fontId="11" fillId="4" borderId="0" applyNumberFormat="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165" fontId="45" fillId="0" borderId="0" applyFont="0" applyFill="0" applyBorder="0" applyAlignment="0" applyProtection="0"/>
    <xf numFmtId="165" fontId="11" fillId="0" borderId="0" applyFont="0" applyFill="0" applyBorder="0" applyAlignment="0" applyProtection="0"/>
    <xf numFmtId="170"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5" fillId="0" borderId="0" applyFont="0" applyFill="0" applyBorder="0" applyAlignment="0" applyProtection="0"/>
    <xf numFmtId="165" fontId="11" fillId="0" borderId="0" applyFont="0" applyFill="0" applyBorder="0" applyAlignment="0" applyProtection="0"/>
    <xf numFmtId="166" fontId="45" fillId="0" borderId="0" applyFont="0" applyFill="0" applyBorder="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70" fillId="8" borderId="336" applyNumberFormat="0" applyAlignment="0" applyProtection="0"/>
    <xf numFmtId="0" fontId="11" fillId="0" borderId="0"/>
    <xf numFmtId="0" fontId="11" fillId="0" borderId="0"/>
    <xf numFmtId="0" fontId="11" fillId="0" borderId="0"/>
    <xf numFmtId="0" fontId="11" fillId="0" borderId="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1"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1" fillId="0" borderId="0" applyFont="0" applyFill="0" applyBorder="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5" fillId="0" borderId="339" applyNumberFormat="0" applyFill="0" applyAlignment="0" applyProtection="0"/>
    <xf numFmtId="0" fontId="70" fillId="8" borderId="336" applyNumberFormat="0" applyAlignment="0" applyProtection="0"/>
    <xf numFmtId="0" fontId="75" fillId="0" borderId="339" applyNumberFormat="0" applyFill="0" applyAlignment="0" applyProtection="0"/>
    <xf numFmtId="0" fontId="75" fillId="0" borderId="339" applyNumberFormat="0" applyFill="0" applyAlignment="0" applyProtection="0"/>
    <xf numFmtId="0" fontId="70" fillId="8" borderId="336" applyNumberFormat="0" applyAlignment="0" applyProtection="0"/>
    <xf numFmtId="0" fontId="75" fillId="0" borderId="339" applyNumberFormat="0" applyFill="0" applyAlignment="0" applyProtection="0"/>
    <xf numFmtId="0" fontId="75" fillId="0" borderId="339" applyNumberFormat="0" applyFill="0" applyAlignment="0" applyProtection="0"/>
    <xf numFmtId="0" fontId="45" fillId="0" borderId="0"/>
    <xf numFmtId="0" fontId="10" fillId="5"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70" fillId="8" borderId="336" applyNumberFormat="0" applyAlignment="0" applyProtection="0"/>
    <xf numFmtId="165" fontId="45"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5" fillId="0" borderId="0" applyFont="0" applyFill="0" applyBorder="0" applyAlignment="0" applyProtection="0"/>
    <xf numFmtId="165" fontId="10" fillId="0" borderId="0" applyFont="0" applyFill="0" applyBorder="0" applyAlignment="0" applyProtection="0"/>
    <xf numFmtId="166" fontId="45" fillId="0" borderId="0" applyFont="0" applyFill="0" applyBorder="0" applyAlignment="0" applyProtection="0"/>
    <xf numFmtId="0" fontId="70" fillId="8" borderId="336" applyNumberFormat="0" applyAlignment="0" applyProtection="0"/>
    <xf numFmtId="0" fontId="70" fillId="8" borderId="336" applyNumberFormat="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0" fontId="75" fillId="0" borderId="339" applyNumberFormat="0" applyFill="0" applyAlignment="0" applyProtection="0"/>
    <xf numFmtId="0" fontId="75" fillId="0" borderId="339" applyNumberFormat="0" applyFill="0" applyAlignment="0" applyProtection="0"/>
    <xf numFmtId="0" fontId="45" fillId="0" borderId="0"/>
    <xf numFmtId="0" fontId="75" fillId="0" borderId="339" applyNumberFormat="0" applyFill="0" applyAlignment="0" applyProtection="0"/>
    <xf numFmtId="0" fontId="45" fillId="0" borderId="0"/>
    <xf numFmtId="0" fontId="45" fillId="0" borderId="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70" fillId="8" borderId="336" applyNumberFormat="0" applyAlignment="0" applyProtection="0"/>
    <xf numFmtId="0" fontId="69" fillId="0" borderId="349" applyNumberFormat="0" applyFill="0" applyAlignment="0" applyProtection="0"/>
    <xf numFmtId="0" fontId="69" fillId="0" borderId="349" applyNumberFormat="0" applyFill="0" applyAlignment="0" applyProtection="0"/>
    <xf numFmtId="0" fontId="69" fillId="0" borderId="349" applyNumberFormat="0" applyFill="0" applyAlignment="0" applyProtection="0"/>
    <xf numFmtId="0" fontId="69" fillId="0" borderId="349" applyNumberFormat="0" applyFill="0" applyAlignment="0" applyProtection="0"/>
    <xf numFmtId="165" fontId="45" fillId="0" borderId="0" applyFont="0" applyFill="0" applyBorder="0" applyAlignment="0" applyProtection="0"/>
    <xf numFmtId="165" fontId="9" fillId="0" borderId="0" applyFont="0" applyFill="0" applyBorder="0" applyAlignment="0" applyProtection="0"/>
    <xf numFmtId="170"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45" fillId="0" borderId="0" applyFont="0" applyFill="0" applyBorder="0" applyAlignment="0" applyProtection="0"/>
    <xf numFmtId="165" fontId="9" fillId="0" borderId="0" applyFont="0" applyFill="0" applyBorder="0" applyAlignment="0" applyProtection="0"/>
    <xf numFmtId="166" fontId="45" fillId="0" borderId="0" applyFont="0" applyFill="0" applyBorder="0" applyAlignment="0" applyProtection="0"/>
    <xf numFmtId="0" fontId="70" fillId="8" borderId="336" applyNumberFormat="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75" fillId="0" borderId="339" applyNumberFormat="0" applyFill="0" applyAlignment="0" applyProtection="0"/>
    <xf numFmtId="0" fontId="45" fillId="0" borderId="0"/>
    <xf numFmtId="0" fontId="75" fillId="0" borderId="339" applyNumberFormat="0" applyFill="0" applyAlignment="0" applyProtection="0"/>
    <xf numFmtId="0" fontId="45" fillId="0" borderId="0"/>
    <xf numFmtId="165" fontId="45" fillId="0" borderId="0" applyFont="0" applyFill="0" applyBorder="0" applyAlignment="0" applyProtection="0"/>
    <xf numFmtId="9" fontId="8" fillId="0" borderId="0" applyFont="0" applyFill="0" applyBorder="0" applyAlignment="0" applyProtection="0"/>
    <xf numFmtId="37" fontId="89"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86" fillId="0" borderId="0"/>
    <xf numFmtId="0" fontId="45" fillId="0" borderId="0"/>
    <xf numFmtId="0" fontId="7" fillId="5" borderId="0" applyNumberFormat="0" applyBorder="0" applyAlignment="0" applyProtection="0"/>
    <xf numFmtId="0" fontId="7" fillId="5" borderId="0" applyNumberFormat="0" applyBorder="0" applyAlignment="0" applyProtection="0"/>
    <xf numFmtId="0" fontId="7" fillId="5"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0" fillId="8" borderId="336" applyNumberFormat="0" applyAlignment="0" applyProtection="0"/>
    <xf numFmtId="165" fontId="45" fillId="0" borderId="0" applyFont="0" applyFill="0" applyBorder="0" applyAlignment="0" applyProtection="0"/>
    <xf numFmtId="165" fontId="7" fillId="0" borderId="0" applyFont="0" applyFill="0" applyBorder="0" applyAlignment="0" applyProtection="0"/>
    <xf numFmtId="170"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5" fillId="0" borderId="0" applyFont="0" applyFill="0" applyBorder="0" applyAlignment="0" applyProtection="0"/>
    <xf numFmtId="165" fontId="7" fillId="0" borderId="0" applyFont="0" applyFill="0" applyBorder="0" applyAlignment="0" applyProtection="0"/>
    <xf numFmtId="166" fontId="45" fillId="0" borderId="0" applyFont="0" applyFill="0" applyBorder="0" applyAlignment="0" applyProtection="0"/>
    <xf numFmtId="0" fontId="70" fillId="8" borderId="336" applyNumberFormat="0" applyAlignment="0" applyProtection="0"/>
    <xf numFmtId="0" fontId="70" fillId="8" borderId="336" applyNumberFormat="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0" fontId="75" fillId="0" borderId="339" applyNumberFormat="0" applyFill="0" applyAlignment="0" applyProtection="0"/>
    <xf numFmtId="0" fontId="75" fillId="0" borderId="339" applyNumberFormat="0" applyFill="0" applyAlignment="0" applyProtection="0"/>
    <xf numFmtId="0" fontId="45" fillId="0" borderId="0"/>
    <xf numFmtId="0" fontId="75" fillId="0" borderId="339" applyNumberFormat="0" applyFill="0" applyAlignment="0" applyProtection="0"/>
    <xf numFmtId="0" fontId="45" fillId="0" borderId="0"/>
    <xf numFmtId="0" fontId="6" fillId="0" borderId="0"/>
    <xf numFmtId="165" fontId="45" fillId="0" borderId="0" applyFont="0" applyFill="0" applyBorder="0" applyAlignment="0" applyProtection="0"/>
    <xf numFmtId="0" fontId="6" fillId="0" borderId="0"/>
    <xf numFmtId="0" fontId="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244" fontId="45" fillId="0" borderId="0"/>
    <xf numFmtId="244" fontId="5" fillId="35" borderId="0" applyNumberFormat="0" applyBorder="0" applyAlignment="0" applyProtection="0"/>
    <xf numFmtId="43" fontId="43" fillId="0" borderId="0" applyFont="0" applyFill="0" applyBorder="0" applyAlignment="0" applyProtection="0"/>
    <xf numFmtId="167" fontId="45" fillId="0" borderId="0" applyFont="0" applyFill="0" applyBorder="0" applyAlignment="0" applyProtection="0"/>
    <xf numFmtId="244" fontId="58" fillId="0" borderId="0" applyNumberFormat="0" applyFill="0" applyBorder="0" applyAlignment="0" applyProtection="0">
      <alignment vertical="top"/>
      <protection locked="0"/>
    </xf>
    <xf numFmtId="244" fontId="45" fillId="0" borderId="0"/>
    <xf numFmtId="244" fontId="45" fillId="0" borderId="0"/>
    <xf numFmtId="244" fontId="126" fillId="0" borderId="0"/>
    <xf numFmtId="244" fontId="5" fillId="0" borderId="0"/>
    <xf numFmtId="244" fontId="45" fillId="0" borderId="0"/>
    <xf numFmtId="244" fontId="45" fillId="0" borderId="0"/>
    <xf numFmtId="244" fontId="5" fillId="0" borderId="0"/>
    <xf numFmtId="244" fontId="45" fillId="0" borderId="0"/>
    <xf numFmtId="244" fontId="5" fillId="0" borderId="0"/>
    <xf numFmtId="244" fontId="87" fillId="0" borderId="0" applyNumberFormat="0" applyFill="0" applyBorder="0" applyAlignment="0" applyProtection="0"/>
    <xf numFmtId="244" fontId="5" fillId="0" borderId="0"/>
    <xf numFmtId="9" fontId="5" fillId="0" borderId="0" applyFont="0" applyFill="0" applyBorder="0" applyAlignment="0" applyProtection="0"/>
    <xf numFmtId="43" fontId="5" fillId="0" borderId="0" applyFont="0" applyFill="0" applyBorder="0" applyAlignment="0" applyProtection="0"/>
    <xf numFmtId="244" fontId="5" fillId="0" borderId="0"/>
    <xf numFmtId="43" fontId="5" fillId="0" borderId="0" applyFont="0" applyFill="0" applyBorder="0" applyAlignment="0" applyProtection="0"/>
    <xf numFmtId="9" fontId="5" fillId="0" borderId="0" applyFont="0" applyFill="0" applyBorder="0" applyAlignment="0" applyProtection="0"/>
    <xf numFmtId="244" fontId="45" fillId="0" borderId="0"/>
    <xf numFmtId="244" fontId="45" fillId="0" borderId="0"/>
    <xf numFmtId="244" fontId="86" fillId="0" borderId="0"/>
    <xf numFmtId="9" fontId="86" fillId="0" borderId="0" applyFont="0" applyFill="0" applyBorder="0" applyAlignment="0" applyProtection="0"/>
    <xf numFmtId="43" fontId="86" fillId="0" borderId="0" applyFont="0" applyFill="0" applyBorder="0" applyAlignment="0" applyProtection="0"/>
    <xf numFmtId="244" fontId="86" fillId="0" borderId="278">
      <alignment horizontal="center" vertical="center"/>
    </xf>
    <xf numFmtId="244" fontId="94" fillId="0" borderId="329">
      <protection hidden="1"/>
    </xf>
    <xf numFmtId="244" fontId="95" fillId="21" borderId="329" applyNumberFormat="0" applyFont="0" applyBorder="0" applyAlignment="0" applyProtection="0">
      <protection hidden="1"/>
    </xf>
    <xf numFmtId="244" fontId="98" fillId="0" borderId="0">
      <protection locked="0"/>
    </xf>
    <xf numFmtId="244" fontId="98" fillId="0" borderId="0">
      <protection locked="0"/>
    </xf>
    <xf numFmtId="244" fontId="45" fillId="0" borderId="0">
      <protection locked="0"/>
    </xf>
    <xf numFmtId="175" fontId="86" fillId="0" borderId="331"/>
    <xf numFmtId="244" fontId="99" fillId="0" borderId="0" applyFont="0" applyFill="0" applyBorder="0" applyAlignment="0" applyProtection="0"/>
    <xf numFmtId="244" fontId="45" fillId="0" borderId="0">
      <protection locked="0"/>
    </xf>
    <xf numFmtId="244" fontId="98" fillId="0" borderId="0">
      <protection locked="0"/>
    </xf>
    <xf numFmtId="244" fontId="98" fillId="0" borderId="0">
      <protection locked="0"/>
    </xf>
    <xf numFmtId="244" fontId="78" fillId="0" borderId="0" applyNumberFormat="0" applyFill="0" applyBorder="0" applyAlignment="0" applyProtection="0">
      <alignment vertical="top"/>
      <protection locked="0"/>
    </xf>
    <xf numFmtId="244" fontId="102" fillId="0" borderId="0" applyNumberFormat="0" applyFill="0" applyBorder="0" applyAlignment="0" applyProtection="0">
      <alignment vertical="top"/>
      <protection locked="0"/>
    </xf>
    <xf numFmtId="10" fontId="47" fillId="25" borderId="353" applyNumberFormat="0" applyBorder="0" applyAlignment="0" applyProtection="0"/>
    <xf numFmtId="244" fontId="104" fillId="0" borderId="329">
      <alignment horizontal="left"/>
      <protection locked="0"/>
    </xf>
    <xf numFmtId="244" fontId="105" fillId="0" borderId="0"/>
    <xf numFmtId="244" fontId="105" fillId="0" borderId="0"/>
    <xf numFmtId="244" fontId="93" fillId="0" borderId="0">
      <alignment horizontal="left"/>
    </xf>
    <xf numFmtId="244" fontId="111" fillId="0" borderId="329" applyNumberFormat="0" applyFill="0" applyBorder="0" applyAlignment="0" applyProtection="0">
      <protection hidden="1"/>
    </xf>
    <xf numFmtId="39" fontId="47" fillId="0" borderId="368" applyFill="0">
      <alignment horizontal="left"/>
    </xf>
    <xf numFmtId="244" fontId="86" fillId="0" borderId="19">
      <alignment horizontal="center" vertical="center"/>
    </xf>
    <xf numFmtId="244" fontId="113" fillId="0" borderId="0"/>
    <xf numFmtId="244" fontId="45" fillId="0" borderId="0" applyNumberFormat="0"/>
    <xf numFmtId="244" fontId="114" fillId="0" borderId="0"/>
    <xf numFmtId="244" fontId="115" fillId="21" borderId="329"/>
    <xf numFmtId="244" fontId="117" fillId="0" borderId="0" applyProtection="0"/>
    <xf numFmtId="244" fontId="118" fillId="0" borderId="0" applyProtection="0"/>
    <xf numFmtId="244" fontId="119" fillId="0" borderId="0" applyProtection="0"/>
    <xf numFmtId="244" fontId="117" fillId="0" borderId="50" applyProtection="0"/>
    <xf numFmtId="244" fontId="117" fillId="0" borderId="0"/>
    <xf numFmtId="244" fontId="5" fillId="0" borderId="0"/>
    <xf numFmtId="9" fontId="5" fillId="0" borderId="0" applyFont="0" applyFill="0" applyBorder="0" applyAlignment="0" applyProtection="0"/>
    <xf numFmtId="43" fontId="5" fillId="0" borderId="0" applyFont="0" applyFill="0" applyBorder="0" applyAlignment="0" applyProtection="0"/>
    <xf numFmtId="244" fontId="5" fillId="0" borderId="0"/>
    <xf numFmtId="43" fontId="5" fillId="0" borderId="0" applyFont="0" applyFill="0" applyBorder="0" applyAlignment="0" applyProtection="0"/>
    <xf numFmtId="244" fontId="5" fillId="0" borderId="0"/>
    <xf numFmtId="244" fontId="5" fillId="0" borderId="0"/>
    <xf numFmtId="43" fontId="5" fillId="0" borderId="0" applyFont="0" applyFill="0" applyBorder="0" applyAlignment="0" applyProtection="0"/>
    <xf numFmtId="244" fontId="5" fillId="0" borderId="0"/>
    <xf numFmtId="43" fontId="5" fillId="0" borderId="0" applyFont="0" applyFill="0" applyBorder="0" applyAlignment="0" applyProtection="0"/>
    <xf numFmtId="244" fontId="5" fillId="0" borderId="0"/>
    <xf numFmtId="244" fontId="45" fillId="0" borderId="0"/>
    <xf numFmtId="244" fontId="5" fillId="35" borderId="0" applyNumberFormat="0" applyBorder="0" applyAlignment="0" applyProtection="0"/>
    <xf numFmtId="244" fontId="5" fillId="0" borderId="0"/>
    <xf numFmtId="244" fontId="5" fillId="0" borderId="0"/>
    <xf numFmtId="244" fontId="5" fillId="0" borderId="0"/>
    <xf numFmtId="244" fontId="5" fillId="0" borderId="0"/>
    <xf numFmtId="9" fontId="5" fillId="0" borderId="0" applyFont="0" applyFill="0" applyBorder="0" applyAlignment="0" applyProtection="0"/>
    <xf numFmtId="43" fontId="5" fillId="0" borderId="0" applyFont="0" applyFill="0" applyBorder="0" applyAlignment="0" applyProtection="0"/>
    <xf numFmtId="244" fontId="5" fillId="0" borderId="0"/>
    <xf numFmtId="43" fontId="5" fillId="0" borderId="0" applyFont="0" applyFill="0" applyBorder="0" applyAlignment="0" applyProtection="0"/>
    <xf numFmtId="9" fontId="5" fillId="0" borderId="0" applyFont="0" applyFill="0" applyBorder="0" applyAlignment="0" applyProtection="0"/>
    <xf numFmtId="244" fontId="5" fillId="0" borderId="0"/>
    <xf numFmtId="244" fontId="5" fillId="0" borderId="0"/>
    <xf numFmtId="9" fontId="5" fillId="0" borderId="0" applyFont="0" applyFill="0" applyBorder="0" applyAlignment="0" applyProtection="0"/>
    <xf numFmtId="43" fontId="5" fillId="0" borderId="0" applyFont="0" applyFill="0" applyBorder="0" applyAlignment="0" applyProtection="0"/>
    <xf numFmtId="244" fontId="5" fillId="0" borderId="0"/>
    <xf numFmtId="43" fontId="5" fillId="0" borderId="0" applyFont="0" applyFill="0" applyBorder="0" applyAlignment="0" applyProtection="0"/>
    <xf numFmtId="244" fontId="5" fillId="0" borderId="0"/>
    <xf numFmtId="244" fontId="5" fillId="0" borderId="0"/>
    <xf numFmtId="43" fontId="5" fillId="0" borderId="0" applyFont="0" applyFill="0" applyBorder="0" applyAlignment="0" applyProtection="0"/>
    <xf numFmtId="244" fontId="5" fillId="0" borderId="0"/>
    <xf numFmtId="43" fontId="5" fillId="0" borderId="0" applyFont="0" applyFill="0" applyBorder="0" applyAlignment="0" applyProtection="0"/>
    <xf numFmtId="244" fontId="45" fillId="0" borderId="0"/>
    <xf numFmtId="244" fontId="45" fillId="0" borderId="0"/>
    <xf numFmtId="244" fontId="45" fillId="0" borderId="0"/>
    <xf numFmtId="244" fontId="45" fillId="0" borderId="0"/>
    <xf numFmtId="244" fontId="45" fillId="0" borderId="0"/>
    <xf numFmtId="244" fontId="45" fillId="0" borderId="0"/>
    <xf numFmtId="244" fontId="45" fillId="0" borderId="0"/>
    <xf numFmtId="244" fontId="5" fillId="0" borderId="0"/>
    <xf numFmtId="244" fontId="5" fillId="0" borderId="0"/>
    <xf numFmtId="43" fontId="5" fillId="0" borderId="0" applyFont="0" applyFill="0" applyBorder="0" applyAlignment="0" applyProtection="0"/>
    <xf numFmtId="244" fontId="43" fillId="2" borderId="0" applyNumberFormat="0" applyBorder="0" applyAlignment="0" applyProtection="0"/>
    <xf numFmtId="244" fontId="43" fillId="2" borderId="0" applyNumberFormat="0" applyBorder="0" applyAlignment="0" applyProtection="0"/>
    <xf numFmtId="244" fontId="43" fillId="3" borderId="0" applyNumberFormat="0" applyBorder="0" applyAlignment="0" applyProtection="0"/>
    <xf numFmtId="244" fontId="43" fillId="3" borderId="0" applyNumberFormat="0" applyBorder="0" applyAlignment="0" applyProtection="0"/>
    <xf numFmtId="244" fontId="5" fillId="5" borderId="0" applyNumberFormat="0" applyBorder="0" applyAlignment="0" applyProtection="0"/>
    <xf numFmtId="244" fontId="5" fillId="5" borderId="0" applyNumberFormat="0" applyBorder="0" applyAlignment="0" applyProtection="0"/>
    <xf numFmtId="244" fontId="5" fillId="35" borderId="0" applyNumberFormat="0" applyBorder="0" applyAlignment="0" applyProtection="0"/>
    <xf numFmtId="244" fontId="43" fillId="4" borderId="0" applyNumberFormat="0" applyBorder="0" applyAlignment="0" applyProtection="0"/>
    <xf numFmtId="244" fontId="43" fillId="6" borderId="0" applyNumberFormat="0" applyBorder="0" applyAlignment="0" applyProtection="0"/>
    <xf numFmtId="244" fontId="43" fillId="6" borderId="0" applyNumberFormat="0" applyBorder="0" applyAlignment="0" applyProtection="0"/>
    <xf numFmtId="244" fontId="43" fillId="7" borderId="0" applyNumberFormat="0" applyBorder="0" applyAlignment="0" applyProtection="0"/>
    <xf numFmtId="244" fontId="43" fillId="7" borderId="0" applyNumberFormat="0" applyBorder="0" applyAlignment="0" applyProtection="0"/>
    <xf numFmtId="244" fontId="43" fillId="8" borderId="0" applyNumberFormat="0" applyBorder="0" applyAlignment="0" applyProtection="0"/>
    <xf numFmtId="244" fontId="43" fillId="8" borderId="0" applyNumberFormat="0" applyBorder="0" applyAlignment="0" applyProtection="0"/>
    <xf numFmtId="244" fontId="43" fillId="9" borderId="0" applyNumberFormat="0" applyBorder="0" applyAlignment="0" applyProtection="0"/>
    <xf numFmtId="244" fontId="43" fillId="9" borderId="0" applyNumberFormat="0" applyBorder="0" applyAlignment="0" applyProtection="0"/>
    <xf numFmtId="244" fontId="43" fillId="10" borderId="0" applyNumberFormat="0" applyBorder="0" applyAlignment="0" applyProtection="0"/>
    <xf numFmtId="244" fontId="43" fillId="10" borderId="0" applyNumberFormat="0" applyBorder="0" applyAlignment="0" applyProtection="0"/>
    <xf numFmtId="244" fontId="43" fillId="11" borderId="0" applyNumberFormat="0" applyBorder="0" applyAlignment="0" applyProtection="0"/>
    <xf numFmtId="244" fontId="43" fillId="11" borderId="0" applyNumberFormat="0" applyBorder="0" applyAlignment="0" applyProtection="0"/>
    <xf numFmtId="244" fontId="43" fillId="6" borderId="0" applyNumberFormat="0" applyBorder="0" applyAlignment="0" applyProtection="0"/>
    <xf numFmtId="244" fontId="43" fillId="6" borderId="0" applyNumberFormat="0" applyBorder="0" applyAlignment="0" applyProtection="0"/>
    <xf numFmtId="244" fontId="43" fillId="9" borderId="0" applyNumberFormat="0" applyBorder="0" applyAlignment="0" applyProtection="0"/>
    <xf numFmtId="244" fontId="43" fillId="9" borderId="0" applyNumberFormat="0" applyBorder="0" applyAlignment="0" applyProtection="0"/>
    <xf numFmtId="244" fontId="43" fillId="12" borderId="0" applyNumberFormat="0" applyBorder="0" applyAlignment="0" applyProtection="0"/>
    <xf numFmtId="244" fontId="43" fillId="12" borderId="0" applyNumberFormat="0" applyBorder="0" applyAlignment="0" applyProtection="0"/>
    <xf numFmtId="244" fontId="61" fillId="13" borderId="0" applyNumberFormat="0" applyBorder="0" applyAlignment="0" applyProtection="0"/>
    <xf numFmtId="244" fontId="61" fillId="13" borderId="0" applyNumberFormat="0" applyBorder="0" applyAlignment="0" applyProtection="0"/>
    <xf numFmtId="244" fontId="61" fillId="10" borderId="0" applyNumberFormat="0" applyBorder="0" applyAlignment="0" applyProtection="0"/>
    <xf numFmtId="244" fontId="61" fillId="10" borderId="0" applyNumberFormat="0" applyBorder="0" applyAlignment="0" applyProtection="0"/>
    <xf numFmtId="244" fontId="61" fillId="11" borderId="0" applyNumberFormat="0" applyBorder="0" applyAlignment="0" applyProtection="0"/>
    <xf numFmtId="244" fontId="61" fillId="11" borderId="0" applyNumberFormat="0" applyBorder="0" applyAlignment="0" applyProtection="0"/>
    <xf numFmtId="244" fontId="61" fillId="14" borderId="0" applyNumberFormat="0" applyBorder="0" applyAlignment="0" applyProtection="0"/>
    <xf numFmtId="244" fontId="61" fillId="14" borderId="0" applyNumberFormat="0" applyBorder="0" applyAlignment="0" applyProtection="0"/>
    <xf numFmtId="244" fontId="61" fillId="15" borderId="0" applyNumberFormat="0" applyBorder="0" applyAlignment="0" applyProtection="0"/>
    <xf numFmtId="244" fontId="61" fillId="15" borderId="0" applyNumberFormat="0" applyBorder="0" applyAlignment="0" applyProtection="0"/>
    <xf numFmtId="244" fontId="61" fillId="16" borderId="0" applyNumberFormat="0" applyBorder="0" applyAlignment="0" applyProtection="0"/>
    <xf numFmtId="244" fontId="61" fillId="16" borderId="0" applyNumberFormat="0" applyBorder="0" applyAlignment="0" applyProtection="0"/>
    <xf numFmtId="244" fontId="61" fillId="17" borderId="0" applyNumberFormat="0" applyBorder="0" applyAlignment="0" applyProtection="0"/>
    <xf numFmtId="244" fontId="61" fillId="17" borderId="0" applyNumberFormat="0" applyBorder="0" applyAlignment="0" applyProtection="0"/>
    <xf numFmtId="244" fontId="61" fillId="18" borderId="0" applyNumberFormat="0" applyBorder="0" applyAlignment="0" applyProtection="0"/>
    <xf numFmtId="244" fontId="61" fillId="18" borderId="0" applyNumberFormat="0" applyBorder="0" applyAlignment="0" applyProtection="0"/>
    <xf numFmtId="244" fontId="61" fillId="19" borderId="0" applyNumberFormat="0" applyBorder="0" applyAlignment="0" applyProtection="0"/>
    <xf numFmtId="244" fontId="61" fillId="19" borderId="0" applyNumberFormat="0" applyBorder="0" applyAlignment="0" applyProtection="0"/>
    <xf numFmtId="244" fontId="61" fillId="14" borderId="0" applyNumberFormat="0" applyBorder="0" applyAlignment="0" applyProtection="0"/>
    <xf numFmtId="244" fontId="61" fillId="14" borderId="0" applyNumberFormat="0" applyBorder="0" applyAlignment="0" applyProtection="0"/>
    <xf numFmtId="244" fontId="61" fillId="15" borderId="0" applyNumberFormat="0" applyBorder="0" applyAlignment="0" applyProtection="0"/>
    <xf numFmtId="244" fontId="61" fillId="15" borderId="0" applyNumberFormat="0" applyBorder="0" applyAlignment="0" applyProtection="0"/>
    <xf numFmtId="244" fontId="61" fillId="20" borderId="0" applyNumberFormat="0" applyBorder="0" applyAlignment="0" applyProtection="0"/>
    <xf numFmtId="244" fontId="61" fillId="20" borderId="0" applyNumberFormat="0" applyBorder="0" applyAlignment="0" applyProtection="0"/>
    <xf numFmtId="244" fontId="45" fillId="0" borderId="0" applyNumberFormat="0" applyFill="0" applyBorder="0" applyAlignment="0" applyProtection="0"/>
    <xf numFmtId="244" fontId="62" fillId="3" borderId="0" applyNumberFormat="0" applyBorder="0" applyAlignment="0" applyProtection="0"/>
    <xf numFmtId="244" fontId="62" fillId="3" borderId="0" applyNumberFormat="0" applyBorder="0" applyAlignment="0" applyProtection="0"/>
    <xf numFmtId="244" fontId="63" fillId="21" borderId="369" applyNumberFormat="0" applyAlignment="0" applyProtection="0"/>
    <xf numFmtId="244" fontId="63" fillId="21" borderId="369" applyNumberFormat="0" applyAlignment="0" applyProtection="0"/>
    <xf numFmtId="244" fontId="64" fillId="22" borderId="2" applyNumberFormat="0" applyAlignment="0" applyProtection="0"/>
    <xf numFmtId="244" fontId="64" fillId="22" borderId="2"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44" fontId="65" fillId="0" borderId="0" applyNumberFormat="0" applyFill="0" applyBorder="0" applyAlignment="0" applyProtection="0"/>
    <xf numFmtId="244" fontId="65" fillId="0" borderId="0" applyNumberFormat="0" applyFill="0" applyBorder="0" applyAlignment="0" applyProtection="0"/>
    <xf numFmtId="244" fontId="101" fillId="0" borderId="0"/>
    <xf numFmtId="244" fontId="66" fillId="4" borderId="0" applyNumberFormat="0" applyBorder="0" applyAlignment="0" applyProtection="0"/>
    <xf numFmtId="244" fontId="66" fillId="4" borderId="0" applyNumberFormat="0" applyBorder="0" applyAlignment="0" applyProtection="0"/>
    <xf numFmtId="244" fontId="49" fillId="0" borderId="0"/>
    <xf numFmtId="244" fontId="67" fillId="0" borderId="3" applyNumberFormat="0" applyFill="0" applyAlignment="0" applyProtection="0"/>
    <xf numFmtId="244" fontId="67" fillId="0" borderId="3" applyNumberFormat="0" applyFill="0" applyAlignment="0" applyProtection="0"/>
    <xf numFmtId="244" fontId="68" fillId="0" borderId="4" applyNumberFormat="0" applyFill="0" applyAlignment="0" applyProtection="0"/>
    <xf numFmtId="244" fontId="68" fillId="0" borderId="4" applyNumberFormat="0" applyFill="0" applyAlignment="0" applyProtection="0"/>
    <xf numFmtId="244" fontId="69" fillId="0" borderId="370" applyNumberFormat="0" applyFill="0" applyAlignment="0" applyProtection="0"/>
    <xf numFmtId="244" fontId="69" fillId="0" borderId="370" applyNumberFormat="0" applyFill="0" applyAlignment="0" applyProtection="0"/>
    <xf numFmtId="244" fontId="69" fillId="0" borderId="0" applyNumberFormat="0" applyFill="0" applyBorder="0" applyAlignment="0" applyProtection="0"/>
    <xf numFmtId="244" fontId="69" fillId="0" borderId="0" applyNumberFormat="0" applyFill="0" applyBorder="0" applyAlignment="0" applyProtection="0"/>
    <xf numFmtId="244" fontId="58" fillId="0" borderId="0" applyNumberFormat="0" applyFill="0" applyBorder="0" applyAlignment="0" applyProtection="0">
      <alignment vertical="top"/>
      <protection locked="0"/>
    </xf>
    <xf numFmtId="244" fontId="83" fillId="0" borderId="0" applyNumberFormat="0" applyFill="0" applyBorder="0" applyAlignment="0" applyProtection="0">
      <alignment vertical="top"/>
      <protection locked="0"/>
    </xf>
    <xf numFmtId="244" fontId="78" fillId="0" borderId="0" applyNumberFormat="0" applyFill="0" applyBorder="0" applyAlignment="0" applyProtection="0">
      <alignment vertical="top"/>
      <protection locked="0"/>
    </xf>
    <xf numFmtId="244" fontId="70" fillId="8" borderId="369" applyNumberFormat="0" applyAlignment="0" applyProtection="0"/>
    <xf numFmtId="244" fontId="70" fillId="8" borderId="369" applyNumberFormat="0" applyAlignment="0" applyProtection="0"/>
    <xf numFmtId="244" fontId="71" fillId="0" borderId="6" applyNumberFormat="0" applyFill="0" applyAlignment="0" applyProtection="0"/>
    <xf numFmtId="244" fontId="71" fillId="0" borderId="6" applyNumberFormat="0" applyFill="0" applyAlignment="0" applyProtection="0"/>
    <xf numFmtId="244" fontId="72" fillId="23" borderId="0" applyNumberFormat="0" applyBorder="0" applyAlignment="0" applyProtection="0"/>
    <xf numFmtId="244" fontId="72" fillId="23" borderId="0" applyNumberFormat="0" applyBorder="0" applyAlignment="0" applyProtection="0"/>
    <xf numFmtId="244" fontId="90" fillId="0" borderId="0"/>
    <xf numFmtId="244" fontId="106" fillId="0" borderId="0"/>
    <xf numFmtId="244" fontId="107" fillId="0" borderId="0"/>
    <xf numFmtId="244" fontId="5" fillId="0" borderId="0"/>
    <xf numFmtId="244" fontId="5" fillId="0" borderId="0"/>
    <xf numFmtId="244" fontId="45" fillId="0" borderId="0"/>
    <xf numFmtId="244" fontId="45" fillId="0" borderId="0"/>
    <xf numFmtId="244" fontId="5" fillId="0" borderId="0"/>
    <xf numFmtId="244" fontId="5" fillId="0" borderId="0"/>
    <xf numFmtId="244" fontId="5" fillId="0" borderId="0"/>
    <xf numFmtId="244" fontId="45" fillId="0" borderId="0"/>
    <xf numFmtId="244" fontId="45" fillId="0" borderId="0"/>
    <xf numFmtId="244" fontId="50" fillId="0" borderId="0"/>
    <xf numFmtId="244" fontId="45" fillId="0" borderId="0"/>
    <xf numFmtId="244" fontId="5" fillId="0" borderId="0"/>
    <xf numFmtId="244" fontId="45" fillId="0" borderId="0"/>
    <xf numFmtId="244" fontId="45" fillId="0" borderId="0"/>
    <xf numFmtId="244" fontId="45" fillId="0" borderId="0"/>
    <xf numFmtId="244" fontId="45" fillId="0" borderId="0"/>
    <xf numFmtId="244" fontId="101" fillId="0" borderId="0"/>
    <xf numFmtId="244" fontId="5" fillId="0" borderId="0"/>
    <xf numFmtId="244" fontId="5" fillId="0" borderId="0"/>
    <xf numFmtId="244" fontId="45" fillId="0" borderId="0"/>
    <xf numFmtId="244" fontId="108" fillId="0" borderId="0"/>
    <xf numFmtId="244" fontId="5" fillId="0" borderId="0"/>
    <xf numFmtId="244" fontId="5" fillId="0" borderId="0"/>
    <xf numFmtId="244" fontId="5" fillId="0" borderId="0"/>
    <xf numFmtId="244" fontId="45" fillId="5" borderId="371" applyNumberFormat="0" applyFont="0" applyAlignment="0" applyProtection="0"/>
    <xf numFmtId="244" fontId="45" fillId="5" borderId="371" applyNumberFormat="0" applyFont="0" applyAlignment="0" applyProtection="0"/>
    <xf numFmtId="244" fontId="73" fillId="21" borderId="372" applyNumberFormat="0" applyAlignment="0" applyProtection="0"/>
    <xf numFmtId="244" fontId="73" fillId="21" borderId="372"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244" fontId="93" fillId="0" borderId="0"/>
    <xf numFmtId="244" fontId="54" fillId="0" borderId="0"/>
    <xf numFmtId="244" fontId="74" fillId="0" borderId="0" applyNumberFormat="0" applyFill="0" applyBorder="0" applyAlignment="0" applyProtection="0"/>
    <xf numFmtId="244" fontId="74" fillId="0" borderId="0" applyNumberFormat="0" applyFill="0" applyBorder="0" applyAlignment="0" applyProtection="0"/>
    <xf numFmtId="244" fontId="116" fillId="0" borderId="0"/>
    <xf numFmtId="244" fontId="75" fillId="0" borderId="373" applyNumberFormat="0" applyFill="0" applyAlignment="0" applyProtection="0"/>
    <xf numFmtId="244" fontId="75" fillId="0" borderId="373" applyNumberFormat="0" applyFill="0" applyAlignment="0" applyProtection="0"/>
    <xf numFmtId="244" fontId="45" fillId="0" borderId="0">
      <alignment horizontal="center"/>
    </xf>
    <xf numFmtId="244" fontId="101" fillId="0" borderId="0"/>
    <xf numFmtId="244" fontId="76" fillId="0" borderId="0" applyNumberFormat="0" applyFill="0" applyBorder="0" applyAlignment="0" applyProtection="0"/>
    <xf numFmtId="244" fontId="76" fillId="0" borderId="0" applyNumberFormat="0" applyFill="0" applyBorder="0" applyAlignment="0" applyProtection="0"/>
    <xf numFmtId="244" fontId="5" fillId="0" borderId="0"/>
    <xf numFmtId="244" fontId="5" fillId="0" borderId="0"/>
    <xf numFmtId="244" fontId="5" fillId="0" borderId="0"/>
    <xf numFmtId="244" fontId="5" fillId="0" borderId="0"/>
    <xf numFmtId="44" fontId="5" fillId="0" borderId="0" applyFont="0" applyFill="0" applyBorder="0" applyAlignment="0" applyProtection="0"/>
    <xf numFmtId="244" fontId="45" fillId="0" borderId="0"/>
    <xf numFmtId="244" fontId="45" fillId="0" borderId="0"/>
    <xf numFmtId="244" fontId="45" fillId="0" borderId="0"/>
    <xf numFmtId="244" fontId="45" fillId="0" borderId="0"/>
    <xf numFmtId="244" fontId="45" fillId="0" borderId="0"/>
    <xf numFmtId="244" fontId="45" fillId="0" borderId="0"/>
    <xf numFmtId="244" fontId="45" fillId="0" borderId="0"/>
    <xf numFmtId="244" fontId="45" fillId="0" borderId="0"/>
    <xf numFmtId="244" fontId="45" fillId="0" borderId="0"/>
    <xf numFmtId="244" fontId="45" fillId="0" borderId="0"/>
    <xf numFmtId="244" fontId="45" fillId="0" borderId="0"/>
    <xf numFmtId="244" fontId="45" fillId="0" borderId="0"/>
    <xf numFmtId="244" fontId="45" fillId="0" borderId="0"/>
    <xf numFmtId="244" fontId="5" fillId="0" borderId="0"/>
    <xf numFmtId="244" fontId="204" fillId="0" borderId="0" applyNumberFormat="0" applyFill="0" applyBorder="0" applyAlignment="0" applyProtection="0"/>
    <xf numFmtId="244" fontId="206" fillId="0" borderId="0"/>
    <xf numFmtId="244" fontId="43" fillId="4" borderId="0" applyNumberFormat="0" applyBorder="0" applyAlignment="0" applyProtection="0"/>
    <xf numFmtId="165" fontId="45" fillId="0" borderId="0" applyFont="0" applyFill="0" applyBorder="0" applyAlignment="0" applyProtection="0"/>
    <xf numFmtId="43" fontId="45" fillId="0" borderId="0" applyFont="0" applyFill="0" applyBorder="0" applyAlignment="0" applyProtection="0"/>
    <xf numFmtId="43" fontId="86" fillId="0" borderId="0" applyFont="0" applyFill="0" applyBorder="0" applyAlignment="0" applyProtection="0"/>
    <xf numFmtId="165" fontId="45" fillId="0" borderId="0" applyFont="0" applyFill="0" applyBorder="0" applyAlignment="0" applyProtection="0"/>
    <xf numFmtId="165" fontId="86" fillId="0" borderId="0" applyFont="0" applyFill="0" applyBorder="0" applyAlignment="0" applyProtection="0"/>
    <xf numFmtId="165" fontId="45" fillId="0" borderId="0" applyFont="0" applyFill="0" applyBorder="0" applyAlignment="0" applyProtection="0"/>
    <xf numFmtId="3" fontId="45" fillId="0" borderId="0" applyFont="0" applyFill="0" applyBorder="0" applyAlignment="0" applyProtection="0"/>
    <xf numFmtId="165" fontId="45" fillId="0" borderId="0" applyFont="0" applyFill="0" applyBorder="0" applyAlignment="0" applyProtection="0"/>
    <xf numFmtId="165" fontId="43" fillId="0" borderId="0" applyFont="0" applyFill="0" applyBorder="0" applyAlignment="0" applyProtection="0"/>
    <xf numFmtId="165" fontId="45" fillId="0" borderId="0" applyFont="0" applyFill="0" applyBorder="0" applyAlignment="0" applyProtection="0"/>
    <xf numFmtId="43" fontId="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3" fillId="0" borderId="0" applyFont="0" applyFill="0" applyBorder="0" applyAlignment="0" applyProtection="0"/>
    <xf numFmtId="165" fontId="43" fillId="0" borderId="0" applyFont="0" applyFill="0" applyBorder="0" applyAlignment="0" applyProtection="0"/>
    <xf numFmtId="165" fontId="45" fillId="0" borderId="0" applyFont="0" applyFill="0" applyBorder="0" applyAlignment="0" applyProtection="0"/>
    <xf numFmtId="166" fontId="86" fillId="0" borderId="0" applyFont="0" applyFill="0" applyBorder="0" applyAlignment="0" applyProtection="0"/>
    <xf numFmtId="244" fontId="88" fillId="0" borderId="0" applyNumberFormat="0" applyFill="0" applyBorder="0" applyAlignment="0" applyProtection="0">
      <alignment vertical="top"/>
      <protection locked="0"/>
    </xf>
    <xf numFmtId="244" fontId="45" fillId="0" borderId="0"/>
    <xf numFmtId="244" fontId="45" fillId="0" borderId="0">
      <alignment vertical="center"/>
    </xf>
    <xf numFmtId="244" fontId="45" fillId="0" borderId="0">
      <alignment vertical="center"/>
    </xf>
    <xf numFmtId="236" fontId="89" fillId="0" borderId="0" applyProtection="0"/>
    <xf numFmtId="244" fontId="45" fillId="0" borderId="0">
      <alignment vertical="center"/>
    </xf>
    <xf numFmtId="244" fontId="45" fillId="0" borderId="0">
      <alignment vertical="center"/>
    </xf>
    <xf numFmtId="244" fontId="43" fillId="0" borderId="0"/>
    <xf numFmtId="244" fontId="45" fillId="0" borderId="0">
      <alignment vertical="center"/>
    </xf>
    <xf numFmtId="244" fontId="204" fillId="0" borderId="0" applyNumberFormat="0" applyFill="0" applyBorder="0" applyAlignment="0" applyProtection="0"/>
    <xf numFmtId="244" fontId="45" fillId="0" borderId="0">
      <alignment vertical="center"/>
    </xf>
    <xf numFmtId="244" fontId="204" fillId="0" borderId="0" applyNumberFormat="0" applyFill="0" applyBorder="0" applyAlignment="0" applyProtection="0"/>
    <xf numFmtId="244" fontId="45" fillId="0" borderId="0">
      <alignment wrapText="1"/>
    </xf>
    <xf numFmtId="244" fontId="50" fillId="0" borderId="0"/>
    <xf numFmtId="244" fontId="50" fillId="0" borderId="0"/>
    <xf numFmtId="244" fontId="86" fillId="0" borderId="0"/>
    <xf numFmtId="244" fontId="43" fillId="0" borderId="0"/>
    <xf numFmtId="244" fontId="204" fillId="0" borderId="0" applyNumberFormat="0" applyFill="0" applyBorder="0" applyAlignment="0" applyProtection="0"/>
    <xf numFmtId="244" fontId="127" fillId="0" borderId="0"/>
    <xf numFmtId="244" fontId="127" fillId="0" borderId="0"/>
    <xf numFmtId="244" fontId="127" fillId="0" borderId="0"/>
    <xf numFmtId="244" fontId="127" fillId="0" borderId="0"/>
    <xf numFmtId="244" fontId="45" fillId="0" borderId="0">
      <alignment vertical="center"/>
    </xf>
    <xf numFmtId="244" fontId="45" fillId="0" borderId="0">
      <alignment vertical="center"/>
    </xf>
    <xf numFmtId="244" fontId="45" fillId="0" borderId="0"/>
    <xf numFmtId="244" fontId="45" fillId="0" borderId="0"/>
    <xf numFmtId="244" fontId="43" fillId="0" borderId="0"/>
    <xf numFmtId="244" fontId="86" fillId="0" borderId="0"/>
    <xf numFmtId="244" fontId="43" fillId="0" borderId="0"/>
    <xf numFmtId="244" fontId="45" fillId="0" borderId="0">
      <alignment vertical="center"/>
    </xf>
    <xf numFmtId="244" fontId="45" fillId="0" borderId="0">
      <alignment vertical="center"/>
    </xf>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5" fillId="0" borderId="0"/>
    <xf numFmtId="244" fontId="45" fillId="0" borderId="0">
      <alignment vertical="center"/>
    </xf>
    <xf numFmtId="244" fontId="45" fillId="0" borderId="0"/>
    <xf numFmtId="244" fontId="43" fillId="0" borderId="0"/>
    <xf numFmtId="244" fontId="86" fillId="0" borderId="0"/>
    <xf numFmtId="244" fontId="45" fillId="0" borderId="0">
      <alignment vertical="center"/>
    </xf>
    <xf numFmtId="244" fontId="204" fillId="0" borderId="0">
      <alignment vertical="top"/>
    </xf>
    <xf numFmtId="244" fontId="45" fillId="0" borderId="0">
      <alignment vertical="center"/>
    </xf>
    <xf numFmtId="244" fontId="45" fillId="0" borderId="0">
      <alignment vertical="center"/>
    </xf>
    <xf numFmtId="244" fontId="45" fillId="0" borderId="0">
      <alignment vertical="center"/>
    </xf>
    <xf numFmtId="244" fontId="50" fillId="0" borderId="0"/>
    <xf numFmtId="244" fontId="50" fillId="0" borderId="0"/>
    <xf numFmtId="244" fontId="50" fillId="0" borderId="0"/>
    <xf numFmtId="244" fontId="50" fillId="0" borderId="0"/>
    <xf numFmtId="244" fontId="50" fillId="0" borderId="0"/>
    <xf numFmtId="244" fontId="50" fillId="0" borderId="0"/>
    <xf numFmtId="244" fontId="45" fillId="0" borderId="0">
      <alignment vertical="center"/>
    </xf>
    <xf numFmtId="244" fontId="45" fillId="0" borderId="0">
      <alignment vertical="center"/>
    </xf>
    <xf numFmtId="244" fontId="45" fillId="0" borderId="0"/>
    <xf numFmtId="244" fontId="45" fillId="0" borderId="0">
      <alignment wrapText="1"/>
    </xf>
    <xf numFmtId="244" fontId="50" fillId="0" borderId="0"/>
    <xf numFmtId="244" fontId="50" fillId="0" borderId="0"/>
    <xf numFmtId="244" fontId="45" fillId="0" borderId="0">
      <alignment vertical="center"/>
    </xf>
    <xf numFmtId="244" fontId="45" fillId="0" borderId="0">
      <alignment vertical="center"/>
    </xf>
    <xf numFmtId="244" fontId="43" fillId="0" borderId="0"/>
    <xf numFmtId="244" fontId="45" fillId="0" borderId="0">
      <alignment vertical="center"/>
    </xf>
    <xf numFmtId="244" fontId="43" fillId="0" borderId="0"/>
    <xf numFmtId="244" fontId="45" fillId="0" borderId="0">
      <alignment vertical="center"/>
    </xf>
    <xf numFmtId="244" fontId="45" fillId="0" borderId="0">
      <alignment vertical="center"/>
    </xf>
    <xf numFmtId="244" fontId="5" fillId="0" borderId="0"/>
    <xf numFmtId="244" fontId="45" fillId="0" borderId="0">
      <alignment wrapText="1"/>
    </xf>
    <xf numFmtId="244" fontId="45" fillId="0" borderId="0">
      <alignment vertical="center"/>
    </xf>
    <xf numFmtId="244" fontId="45" fillId="0" borderId="0">
      <alignment vertical="center"/>
    </xf>
    <xf numFmtId="244" fontId="45" fillId="0" borderId="0">
      <alignment vertical="center"/>
    </xf>
    <xf numFmtId="244" fontId="45" fillId="0" borderId="0">
      <alignment vertical="center"/>
    </xf>
    <xf numFmtId="244" fontId="45" fillId="0" borderId="0">
      <alignment vertical="center"/>
    </xf>
    <xf numFmtId="9" fontId="86" fillId="0" borderId="0" applyFont="0" applyFill="0" applyBorder="0" applyAlignment="0" applyProtection="0"/>
    <xf numFmtId="9" fontId="45" fillId="0" borderId="0" applyFont="0" applyFill="0" applyBorder="0" applyAlignment="0" applyProtection="0">
      <alignment wrapText="1"/>
    </xf>
    <xf numFmtId="9" fontId="5" fillId="0" borderId="0" applyFont="0" applyFill="0" applyBorder="0" applyAlignment="0" applyProtection="0"/>
    <xf numFmtId="9" fontId="45" fillId="0" borderId="0" applyFont="0" applyFill="0" applyBorder="0" applyAlignment="0" applyProtection="0">
      <alignment wrapText="1"/>
    </xf>
    <xf numFmtId="9" fontId="5" fillId="0" borderId="0" applyFont="0" applyFill="0" applyBorder="0" applyAlignment="0" applyProtection="0"/>
    <xf numFmtId="9" fontId="45" fillId="0" borderId="0" applyFont="0" applyFill="0" applyBorder="0" applyAlignment="0" applyProtection="0">
      <alignment wrapText="1"/>
    </xf>
    <xf numFmtId="9" fontId="45" fillId="0" borderId="0" applyFont="0" applyFill="0" applyBorder="0" applyAlignment="0" applyProtection="0">
      <alignment wrapText="1"/>
    </xf>
    <xf numFmtId="9" fontId="45" fillId="0" borderId="0" applyFont="0" applyFill="0" applyBorder="0" applyAlignment="0" applyProtection="0">
      <alignment wrapText="1"/>
    </xf>
    <xf numFmtId="9" fontId="43" fillId="0" borderId="0" applyFont="0" applyFill="0" applyBorder="0" applyAlignment="0" applyProtection="0"/>
    <xf numFmtId="244" fontId="207" fillId="0" borderId="0"/>
    <xf numFmtId="244" fontId="5" fillId="0" borderId="0"/>
    <xf numFmtId="43" fontId="5" fillId="0" borderId="0" applyFont="0" applyFill="0" applyBorder="0" applyAlignment="0" applyProtection="0"/>
    <xf numFmtId="244" fontId="5" fillId="0" borderId="0"/>
    <xf numFmtId="244" fontId="5" fillId="0" borderId="0"/>
    <xf numFmtId="244" fontId="5" fillId="0" borderId="0"/>
    <xf numFmtId="166" fontId="5" fillId="0" borderId="0" applyFont="0" applyFill="0" applyBorder="0" applyAlignment="0" applyProtection="0"/>
    <xf numFmtId="244" fontId="86" fillId="0" borderId="0"/>
    <xf numFmtId="43" fontId="5" fillId="0" borderId="0" applyFont="0" applyFill="0" applyBorder="0" applyAlignment="0" applyProtection="0"/>
    <xf numFmtId="244" fontId="86" fillId="0" borderId="0"/>
    <xf numFmtId="237" fontId="45" fillId="0" borderId="0"/>
    <xf numFmtId="244" fontId="208" fillId="25" borderId="353">
      <alignment horizontal="right" vertical="center"/>
    </xf>
    <xf numFmtId="3" fontId="208" fillId="25" borderId="353">
      <alignment horizontal="right" vertical="center" indent="1"/>
    </xf>
    <xf numFmtId="172" fontId="208" fillId="25" borderId="353">
      <alignment horizontal="right" vertical="center" indent="1"/>
    </xf>
    <xf numFmtId="4" fontId="208" fillId="25" borderId="353">
      <alignment horizontal="right" vertical="center" indent="1"/>
    </xf>
    <xf numFmtId="177" fontId="208" fillId="25" borderId="353">
      <alignment horizontal="right" vertical="center" indent="1"/>
    </xf>
    <xf numFmtId="184" fontId="208" fillId="25" borderId="353">
      <alignment horizontal="right" vertical="center" indent="1"/>
    </xf>
    <xf numFmtId="244" fontId="209" fillId="25" borderId="353">
      <alignment horizontal="right" vertical="center"/>
    </xf>
    <xf numFmtId="3" fontId="209" fillId="25" borderId="353">
      <alignment horizontal="right" vertical="center" indent="1"/>
    </xf>
    <xf numFmtId="172" fontId="209" fillId="25" borderId="353">
      <alignment horizontal="right" vertical="center" indent="1"/>
    </xf>
    <xf numFmtId="4" fontId="209" fillId="25" borderId="353">
      <alignment horizontal="right" vertical="center" indent="1"/>
    </xf>
    <xf numFmtId="177" fontId="209" fillId="25" borderId="353">
      <alignment horizontal="right" vertical="center" indent="1"/>
    </xf>
    <xf numFmtId="184" fontId="209" fillId="25" borderId="353">
      <alignment horizontal="right" vertical="center" indent="1"/>
    </xf>
    <xf numFmtId="244" fontId="45" fillId="25" borderId="375"/>
    <xf numFmtId="244" fontId="210" fillId="36" borderId="353">
      <alignment horizontal="center" vertical="center"/>
    </xf>
    <xf numFmtId="244" fontId="208" fillId="25" borderId="353">
      <alignment horizontal="right" vertical="center"/>
    </xf>
    <xf numFmtId="3" fontId="208" fillId="25" borderId="353">
      <alignment horizontal="right" vertical="center" indent="1"/>
    </xf>
    <xf numFmtId="172" fontId="208" fillId="25" borderId="353">
      <alignment horizontal="right" vertical="center" indent="1"/>
    </xf>
    <xf numFmtId="4" fontId="208" fillId="25" borderId="353">
      <alignment horizontal="right" vertical="center" indent="1"/>
    </xf>
    <xf numFmtId="177" fontId="208" fillId="25" borderId="353">
      <alignment horizontal="right" vertical="center" indent="1"/>
    </xf>
    <xf numFmtId="184" fontId="208" fillId="25" borderId="353">
      <alignment horizontal="right" vertical="center" indent="1"/>
    </xf>
    <xf numFmtId="244" fontId="45" fillId="25" borderId="0"/>
    <xf numFmtId="244" fontId="211" fillId="25" borderId="353">
      <alignment horizontal="left" vertical="center"/>
    </xf>
    <xf numFmtId="244" fontId="211" fillId="25" borderId="376">
      <alignment vertical="center"/>
    </xf>
    <xf numFmtId="244" fontId="212" fillId="25" borderId="377">
      <alignment vertical="center"/>
    </xf>
    <xf numFmtId="244" fontId="211" fillId="25" borderId="353"/>
    <xf numFmtId="244" fontId="209" fillId="25" borderId="353">
      <alignment horizontal="right" vertical="center"/>
    </xf>
    <xf numFmtId="3" fontId="209" fillId="25" borderId="353">
      <alignment horizontal="right" vertical="center" indent="1"/>
    </xf>
    <xf numFmtId="172" fontId="209" fillId="25" borderId="353">
      <alignment horizontal="right" vertical="center" indent="1"/>
    </xf>
    <xf numFmtId="4" fontId="209" fillId="25" borderId="353">
      <alignment horizontal="right" vertical="center" indent="1"/>
    </xf>
    <xf numFmtId="177" fontId="209" fillId="25" borderId="353">
      <alignment horizontal="right" vertical="center" indent="1"/>
    </xf>
    <xf numFmtId="184" fontId="209" fillId="25" borderId="353">
      <alignment horizontal="right" vertical="center" indent="1"/>
    </xf>
    <xf numFmtId="244" fontId="213" fillId="37" borderId="353">
      <alignment horizontal="left" vertical="center"/>
    </xf>
    <xf numFmtId="244" fontId="213" fillId="37" borderId="353">
      <alignment horizontal="left" vertical="center"/>
    </xf>
    <xf numFmtId="244" fontId="214" fillId="25" borderId="353">
      <alignment horizontal="left" vertical="center"/>
    </xf>
    <xf numFmtId="244" fontId="215" fillId="25" borderId="375"/>
    <xf numFmtId="244" fontId="210" fillId="24" borderId="353">
      <alignment horizontal="left" vertical="center"/>
    </xf>
    <xf numFmtId="1" fontId="216" fillId="0" borderId="0" applyNumberFormat="0" applyFill="0" applyBorder="0" applyAlignment="0" applyProtection="0">
      <alignment horizontal="center" vertical="top"/>
    </xf>
    <xf numFmtId="37" fontId="86" fillId="0" borderId="0" applyNumberFormat="0" applyFont="0" applyFill="0"/>
    <xf numFmtId="244" fontId="217" fillId="0" borderId="0" applyNumberFormat="0" applyFill="0" applyBorder="0" applyAlignment="0" applyProtection="0">
      <alignment vertical="top"/>
      <protection locked="0"/>
    </xf>
    <xf numFmtId="244" fontId="218" fillId="0" borderId="0" applyNumberFormat="0" applyFill="0" applyBorder="0" applyAlignment="0" applyProtection="0">
      <alignment vertical="top"/>
      <protection locked="0"/>
    </xf>
    <xf numFmtId="244" fontId="219" fillId="0" borderId="0" applyNumberFormat="0" applyFill="0" applyBorder="0" applyAlignment="0" applyProtection="0">
      <alignment vertical="top"/>
      <protection locked="0"/>
    </xf>
    <xf numFmtId="234" fontId="45" fillId="0" borderId="0" applyFont="0" applyFill="0" applyBorder="0" applyAlignment="0" applyProtection="0"/>
    <xf numFmtId="238" fontId="45" fillId="0" borderId="0" applyFont="0" applyFill="0" applyBorder="0" applyAlignment="0" applyProtection="0"/>
    <xf numFmtId="239" fontId="45" fillId="0" borderId="0" applyFont="0" applyFill="0" applyBorder="0" applyAlignment="0" applyProtection="0"/>
    <xf numFmtId="240" fontId="45" fillId="0" borderId="0" applyFont="0" applyFill="0" applyBorder="0" applyAlignment="0" applyProtection="0"/>
    <xf numFmtId="244" fontId="50" fillId="0" borderId="0"/>
    <xf numFmtId="244" fontId="101" fillId="0" borderId="0"/>
    <xf numFmtId="244" fontId="202" fillId="0" borderId="0"/>
    <xf numFmtId="244" fontId="45" fillId="0" borderId="0"/>
    <xf numFmtId="244" fontId="101" fillId="0" borderId="0"/>
    <xf numFmtId="244" fontId="45" fillId="0" borderId="0"/>
    <xf numFmtId="244" fontId="202" fillId="0" borderId="0"/>
    <xf numFmtId="244" fontId="202" fillId="0" borderId="0"/>
    <xf numFmtId="244" fontId="202" fillId="0" borderId="0"/>
    <xf numFmtId="244" fontId="202" fillId="0" borderId="0"/>
    <xf numFmtId="244" fontId="86" fillId="0" borderId="0"/>
    <xf numFmtId="244" fontId="86" fillId="0" borderId="0"/>
    <xf numFmtId="244" fontId="101" fillId="0" borderId="0"/>
    <xf numFmtId="244" fontId="86" fillId="0" borderId="0"/>
    <xf numFmtId="244" fontId="86" fillId="0" borderId="0"/>
    <xf numFmtId="244" fontId="86" fillId="0" borderId="0"/>
    <xf numFmtId="244" fontId="86" fillId="0" borderId="0"/>
    <xf numFmtId="244" fontId="86" fillId="0" borderId="0"/>
    <xf numFmtId="244" fontId="86" fillId="0" borderId="0"/>
    <xf numFmtId="244" fontId="86" fillId="0" borderId="0"/>
    <xf numFmtId="244" fontId="86" fillId="0" borderId="0"/>
    <xf numFmtId="244" fontId="45" fillId="0" borderId="0"/>
    <xf numFmtId="244" fontId="86" fillId="0" borderId="0"/>
    <xf numFmtId="244" fontId="86" fillId="0" borderId="0"/>
    <xf numFmtId="244" fontId="86" fillId="0" borderId="0"/>
    <xf numFmtId="244" fontId="86" fillId="0" borderId="0"/>
    <xf numFmtId="244" fontId="5" fillId="0" borderId="0"/>
    <xf numFmtId="244" fontId="86" fillId="0" borderId="0"/>
    <xf numFmtId="244" fontId="204" fillId="0" borderId="0" applyNumberFormat="0" applyFill="0" applyBorder="0" applyAlignment="0" applyProtection="0"/>
    <xf numFmtId="244" fontId="5" fillId="0" borderId="0"/>
    <xf numFmtId="244" fontId="5" fillId="0" borderId="0"/>
    <xf numFmtId="244" fontId="203" fillId="0" borderId="0" applyNumberFormat="0" applyFont="0" applyFill="0" applyBorder="0" applyAlignment="0" applyProtection="0">
      <alignment vertical="top"/>
    </xf>
    <xf numFmtId="244" fontId="205" fillId="0" borderId="0" applyNumberFormat="0" applyFont="0" applyFill="0" applyBorder="0" applyAlignment="0" applyProtection="0">
      <alignment vertical="top"/>
    </xf>
    <xf numFmtId="244" fontId="205" fillId="0" borderId="0" applyNumberFormat="0" applyFont="0" applyFill="0" applyBorder="0" applyAlignment="0" applyProtection="0">
      <alignment vertical="top"/>
    </xf>
    <xf numFmtId="244" fontId="203" fillId="0" borderId="0" applyNumberFormat="0" applyFont="0" applyFill="0" applyBorder="0" applyAlignment="0" applyProtection="0"/>
    <xf numFmtId="244" fontId="203" fillId="0" borderId="0" applyNumberFormat="0" applyFont="0" applyFill="0" applyBorder="0" applyAlignment="0" applyProtection="0">
      <alignment horizontal="left" vertical="top"/>
    </xf>
    <xf numFmtId="244" fontId="203" fillId="0" borderId="0" applyNumberFormat="0" applyFont="0" applyFill="0" applyBorder="0" applyAlignment="0" applyProtection="0">
      <alignment horizontal="left" vertical="top"/>
    </xf>
    <xf numFmtId="244" fontId="203" fillId="0" borderId="0" applyNumberFormat="0" applyFont="0" applyFill="0" applyBorder="0" applyAlignment="0" applyProtection="0">
      <alignment horizontal="left" vertical="top"/>
    </xf>
    <xf numFmtId="244" fontId="86" fillId="0" borderId="0"/>
    <xf numFmtId="244" fontId="220" fillId="0" borderId="0">
      <alignment horizontal="left" wrapText="1"/>
    </xf>
    <xf numFmtId="244" fontId="221" fillId="0" borderId="19" applyNumberFormat="0" applyFont="0" applyFill="0" applyBorder="0" applyAlignment="0" applyProtection="0">
      <alignment horizontal="center" wrapText="1"/>
    </xf>
    <xf numFmtId="241" fontId="93" fillId="0" borderId="0" applyNumberFormat="0" applyFont="0" applyFill="0" applyBorder="0" applyAlignment="0" applyProtection="0">
      <alignment horizontal="right"/>
    </xf>
    <xf numFmtId="244" fontId="221" fillId="0" borderId="0" applyNumberFormat="0" applyFont="0" applyFill="0" applyBorder="0" applyAlignment="0" applyProtection="0">
      <alignment horizontal="left" indent="1"/>
    </xf>
    <xf numFmtId="242" fontId="221" fillId="0" borderId="0" applyNumberFormat="0" applyFont="0" applyFill="0" applyBorder="0" applyAlignment="0" applyProtection="0"/>
    <xf numFmtId="244" fontId="86" fillId="0" borderId="19" applyNumberFormat="0" applyFont="0" applyFill="0" applyAlignment="0" applyProtection="0">
      <alignment horizontal="center"/>
    </xf>
    <xf numFmtId="244" fontId="86" fillId="0" borderId="0" applyNumberFormat="0" applyFont="0" applyFill="0" applyBorder="0" applyAlignment="0" applyProtection="0">
      <alignment horizontal="left" wrapText="1" indent="1"/>
    </xf>
    <xf numFmtId="244" fontId="221" fillId="0" borderId="0" applyNumberFormat="0" applyFont="0" applyFill="0" applyBorder="0" applyAlignment="0" applyProtection="0">
      <alignment horizontal="left" indent="1"/>
    </xf>
    <xf numFmtId="244" fontId="86" fillId="0" borderId="0" applyNumberFormat="0" applyFont="0" applyFill="0" applyBorder="0" applyAlignment="0" applyProtection="0">
      <alignment horizontal="left" wrapText="1" indent="2"/>
    </xf>
    <xf numFmtId="243" fontId="86" fillId="0" borderId="0">
      <alignment horizontal="right"/>
    </xf>
    <xf numFmtId="43" fontId="5" fillId="0" borderId="0" applyFont="0" applyFill="0" applyBorder="0" applyAlignment="0" applyProtection="0"/>
    <xf numFmtId="244"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45" fillId="0" borderId="0"/>
    <xf numFmtId="0" fontId="5" fillId="0" borderId="0"/>
    <xf numFmtId="0" fontId="5" fillId="0" borderId="0"/>
    <xf numFmtId="0" fontId="5" fillId="0" borderId="0"/>
    <xf numFmtId="0" fontId="5" fillId="0" borderId="0"/>
    <xf numFmtId="0" fontId="86" fillId="0" borderId="0"/>
    <xf numFmtId="0" fontId="86"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0" fontId="82" fillId="0" borderId="0" applyNumberFormat="0" applyFill="0" applyBorder="0" applyAlignment="0" applyProtection="0">
      <alignment vertical="top"/>
      <protection locked="0"/>
    </xf>
    <xf numFmtId="0" fontId="86" fillId="0" borderId="0"/>
    <xf numFmtId="0" fontId="86" fillId="0" borderId="0"/>
    <xf numFmtId="43" fontId="5" fillId="0" borderId="0" applyFont="0" applyFill="0" applyBorder="0" applyAlignment="0" applyProtection="0"/>
    <xf numFmtId="0" fontId="86" fillId="0" borderId="0"/>
    <xf numFmtId="0" fontId="222"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86" fillId="0" borderId="0"/>
    <xf numFmtId="173" fontId="3" fillId="0" borderId="0"/>
    <xf numFmtId="173" fontId="45" fillId="0" borderId="0"/>
    <xf numFmtId="9" fontId="3" fillId="0" borderId="0" applyFont="0" applyFill="0" applyBorder="0" applyAlignment="0" applyProtection="0"/>
    <xf numFmtId="173" fontId="3" fillId="0" borderId="0"/>
    <xf numFmtId="0" fontId="3" fillId="0" borderId="0"/>
    <xf numFmtId="173" fontId="45" fillId="0" borderId="0"/>
    <xf numFmtId="9" fontId="3" fillId="0" borderId="0" applyFont="0" applyFill="0" applyBorder="0" applyAlignment="0" applyProtection="0"/>
    <xf numFmtId="173" fontId="3" fillId="0" borderId="0"/>
    <xf numFmtId="173" fontId="45" fillId="0" borderId="0"/>
    <xf numFmtId="43"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3" fontId="45" fillId="0" borderId="0"/>
    <xf numFmtId="173" fontId="3" fillId="0" borderId="0"/>
    <xf numFmtId="173" fontId="45" fillId="0" borderId="0"/>
    <xf numFmtId="165" fontId="3" fillId="0" borderId="0" applyFont="0" applyFill="0" applyBorder="0" applyAlignment="0" applyProtection="0"/>
    <xf numFmtId="166" fontId="3" fillId="0" borderId="0" applyFont="0" applyFill="0" applyBorder="0" applyAlignment="0" applyProtection="0"/>
    <xf numFmtId="173" fontId="3" fillId="0" borderId="0"/>
    <xf numFmtId="9" fontId="3" fillId="0" borderId="0" applyFont="0" applyFill="0" applyBorder="0" applyAlignment="0" applyProtection="0"/>
    <xf numFmtId="173" fontId="45" fillId="0" borderId="0"/>
    <xf numFmtId="173" fontId="3" fillId="0" borderId="0"/>
    <xf numFmtId="9" fontId="3" fillId="0" borderId="0" applyFont="0" applyFill="0" applyBorder="0" applyAlignment="0" applyProtection="0"/>
    <xf numFmtId="244" fontId="294" fillId="0" borderId="0"/>
    <xf numFmtId="244" fontId="2" fillId="35" borderId="0" applyNumberFormat="0" applyBorder="0" applyAlignment="0" applyProtection="0"/>
    <xf numFmtId="244" fontId="2" fillId="0" borderId="0"/>
    <xf numFmtId="244" fontId="2" fillId="0" borderId="0"/>
    <xf numFmtId="244" fontId="2" fillId="0" borderId="0"/>
    <xf numFmtId="244" fontId="2" fillId="0" borderId="0"/>
    <xf numFmtId="9" fontId="2" fillId="0" borderId="0" applyFont="0" applyFill="0" applyBorder="0" applyAlignment="0" applyProtection="0"/>
    <xf numFmtId="43" fontId="2" fillId="0" borderId="0" applyFont="0" applyFill="0" applyBorder="0" applyAlignment="0" applyProtection="0"/>
    <xf numFmtId="244" fontId="2" fillId="0" borderId="0"/>
    <xf numFmtId="43" fontId="2" fillId="0" borderId="0" applyFont="0" applyFill="0" applyBorder="0" applyAlignment="0" applyProtection="0"/>
    <xf numFmtId="9" fontId="2" fillId="0" borderId="0" applyFont="0" applyFill="0" applyBorder="0" applyAlignment="0" applyProtection="0"/>
    <xf numFmtId="244" fontId="86" fillId="0" borderId="427">
      <alignment horizontal="center" vertical="center"/>
    </xf>
    <xf numFmtId="244" fontId="94" fillId="0" borderId="455">
      <protection hidden="1"/>
    </xf>
    <xf numFmtId="244" fontId="95" fillId="21" borderId="455" applyNumberFormat="0" applyFont="0" applyBorder="0" applyAlignment="0" applyProtection="0">
      <protection hidden="1"/>
    </xf>
    <xf numFmtId="10" fontId="47" fillId="25" borderId="447" applyNumberFormat="0" applyBorder="0" applyAlignment="0" applyProtection="0"/>
    <xf numFmtId="244" fontId="104" fillId="0" borderId="455">
      <alignment horizontal="left"/>
      <protection locked="0"/>
    </xf>
    <xf numFmtId="244" fontId="111" fillId="0" borderId="455" applyNumberFormat="0" applyFill="0" applyBorder="0" applyAlignment="0" applyProtection="0">
      <protection hidden="1"/>
    </xf>
    <xf numFmtId="39" fontId="47" fillId="0" borderId="460" applyFill="0">
      <alignment horizontal="left"/>
    </xf>
    <xf numFmtId="244" fontId="115" fillId="21" borderId="455"/>
    <xf numFmtId="244" fontId="2" fillId="0" borderId="0"/>
    <xf numFmtId="9" fontId="2" fillId="0" borderId="0" applyFont="0" applyFill="0" applyBorder="0" applyAlignment="0" applyProtection="0"/>
    <xf numFmtId="43"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43"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35" borderId="0" applyNumberFormat="0" applyBorder="0" applyAlignment="0" applyProtection="0"/>
    <xf numFmtId="244" fontId="2" fillId="0" borderId="0"/>
    <xf numFmtId="244" fontId="2" fillId="0" borderId="0"/>
    <xf numFmtId="244" fontId="2" fillId="0" borderId="0"/>
    <xf numFmtId="244" fontId="2" fillId="0" borderId="0"/>
    <xf numFmtId="9" fontId="2" fillId="0" borderId="0" applyFont="0" applyFill="0" applyBorder="0" applyAlignment="0" applyProtection="0"/>
    <xf numFmtId="43" fontId="2" fillId="0" borderId="0" applyFont="0" applyFill="0" applyBorder="0" applyAlignment="0" applyProtection="0"/>
    <xf numFmtId="244" fontId="2" fillId="0" borderId="0"/>
    <xf numFmtId="43" fontId="2" fillId="0" borderId="0" applyFont="0" applyFill="0" applyBorder="0" applyAlignment="0" applyProtection="0"/>
    <xf numFmtId="9" fontId="2" fillId="0" borderId="0" applyFont="0" applyFill="0" applyBorder="0" applyAlignment="0" applyProtection="0"/>
    <xf numFmtId="244" fontId="2" fillId="0" borderId="0"/>
    <xf numFmtId="244" fontId="2" fillId="0" borderId="0"/>
    <xf numFmtId="9" fontId="2" fillId="0" borderId="0" applyFont="0" applyFill="0" applyBorder="0" applyAlignment="0" applyProtection="0"/>
    <xf numFmtId="43"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43"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43" fontId="2" fillId="0" borderId="0" applyFont="0" applyFill="0" applyBorder="0" applyAlignment="0" applyProtection="0"/>
    <xf numFmtId="244" fontId="2" fillId="5" borderId="0" applyNumberFormat="0" applyBorder="0" applyAlignment="0" applyProtection="0"/>
    <xf numFmtId="244" fontId="2" fillId="5" borderId="0" applyNumberFormat="0" applyBorder="0" applyAlignment="0" applyProtection="0"/>
    <xf numFmtId="244" fontId="2" fillId="35" borderId="0" applyNumberFormat="0" applyBorder="0" applyAlignment="0" applyProtection="0"/>
    <xf numFmtId="244" fontId="63" fillId="21" borderId="462" applyNumberFormat="0" applyAlignment="0" applyProtection="0"/>
    <xf numFmtId="244" fontId="63" fillId="21" borderId="462"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4" fontId="70" fillId="8" borderId="462" applyNumberFormat="0" applyAlignment="0" applyProtection="0"/>
    <xf numFmtId="244" fontId="70" fillId="8" borderId="462" applyNumberFormat="0" applyAlignment="0" applyProtection="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45" fillId="5" borderId="463" applyNumberFormat="0" applyFont="0" applyAlignment="0" applyProtection="0"/>
    <xf numFmtId="244" fontId="45" fillId="5" borderId="463" applyNumberFormat="0" applyFont="0" applyAlignment="0" applyProtection="0"/>
    <xf numFmtId="244" fontId="73" fillId="21" borderId="464" applyNumberFormat="0" applyAlignment="0" applyProtection="0"/>
    <xf numFmtId="244" fontId="73" fillId="21" borderId="464"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244" fontId="75" fillId="0" borderId="465" applyNumberFormat="0" applyFill="0" applyAlignment="0" applyProtection="0"/>
    <xf numFmtId="244" fontId="75" fillId="0" borderId="465" applyNumberFormat="0" applyFill="0" applyAlignment="0" applyProtection="0"/>
    <xf numFmtId="244" fontId="2" fillId="0" borderId="0"/>
    <xf numFmtId="244" fontId="2" fillId="0" borderId="0"/>
    <xf numFmtId="244" fontId="2" fillId="0" borderId="0"/>
    <xf numFmtId="244" fontId="2" fillId="0" borderId="0"/>
    <xf numFmtId="44"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9" fontId="2" fillId="0" borderId="0" applyFont="0" applyFill="0" applyBorder="0" applyAlignment="0" applyProtection="0"/>
    <xf numFmtId="9"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244" fontId="2" fillId="0" borderId="0"/>
    <xf numFmtId="166" fontId="2" fillId="0" borderId="0" applyFont="0" applyFill="0" applyBorder="0" applyAlignment="0" applyProtection="0"/>
    <xf numFmtId="43" fontId="2" fillId="0" borderId="0" applyFont="0" applyFill="0" applyBorder="0" applyAlignment="0" applyProtection="0"/>
    <xf numFmtId="244" fontId="208" fillId="25" borderId="447">
      <alignment horizontal="right" vertical="center"/>
    </xf>
    <xf numFmtId="3" fontId="208" fillId="25" borderId="447">
      <alignment horizontal="right" vertical="center" indent="1"/>
    </xf>
    <xf numFmtId="172" fontId="208" fillId="25" borderId="447">
      <alignment horizontal="right" vertical="center" indent="1"/>
    </xf>
    <xf numFmtId="4" fontId="208" fillId="25" borderId="447">
      <alignment horizontal="right" vertical="center" indent="1"/>
    </xf>
    <xf numFmtId="177" fontId="208" fillId="25" borderId="447">
      <alignment horizontal="right" vertical="center" indent="1"/>
    </xf>
    <xf numFmtId="184" fontId="208" fillId="25" borderId="447">
      <alignment horizontal="right" vertical="center" indent="1"/>
    </xf>
    <xf numFmtId="244" fontId="209" fillId="25" borderId="447">
      <alignment horizontal="right" vertical="center"/>
    </xf>
    <xf numFmtId="3" fontId="209" fillId="25" borderId="447">
      <alignment horizontal="right" vertical="center" indent="1"/>
    </xf>
    <xf numFmtId="172" fontId="209" fillId="25" borderId="447">
      <alignment horizontal="right" vertical="center" indent="1"/>
    </xf>
    <xf numFmtId="4" fontId="209" fillId="25" borderId="447">
      <alignment horizontal="right" vertical="center" indent="1"/>
    </xf>
    <xf numFmtId="177" fontId="209" fillId="25" borderId="447">
      <alignment horizontal="right" vertical="center" indent="1"/>
    </xf>
    <xf numFmtId="184" fontId="209" fillId="25" borderId="447">
      <alignment horizontal="right" vertical="center" indent="1"/>
    </xf>
    <xf numFmtId="244" fontId="210" fillId="36" borderId="447">
      <alignment horizontal="center" vertical="center"/>
    </xf>
    <xf numFmtId="244" fontId="208" fillId="25" borderId="447">
      <alignment horizontal="right" vertical="center"/>
    </xf>
    <xf numFmtId="3" fontId="208" fillId="25" borderId="447">
      <alignment horizontal="right" vertical="center" indent="1"/>
    </xf>
    <xf numFmtId="172" fontId="208" fillId="25" borderId="447">
      <alignment horizontal="right" vertical="center" indent="1"/>
    </xf>
    <xf numFmtId="4" fontId="208" fillId="25" borderId="447">
      <alignment horizontal="right" vertical="center" indent="1"/>
    </xf>
    <xf numFmtId="177" fontId="208" fillId="25" borderId="447">
      <alignment horizontal="right" vertical="center" indent="1"/>
    </xf>
    <xf numFmtId="184" fontId="208" fillId="25" borderId="447">
      <alignment horizontal="right" vertical="center" indent="1"/>
    </xf>
    <xf numFmtId="244" fontId="211" fillId="25" borderId="447">
      <alignment horizontal="left" vertical="center"/>
    </xf>
    <xf numFmtId="244" fontId="211" fillId="25" borderId="447"/>
    <xf numFmtId="244" fontId="209" fillId="25" borderId="447">
      <alignment horizontal="right" vertical="center"/>
    </xf>
    <xf numFmtId="3" fontId="209" fillId="25" borderId="447">
      <alignment horizontal="right" vertical="center" indent="1"/>
    </xf>
    <xf numFmtId="172" fontId="209" fillId="25" borderId="447">
      <alignment horizontal="right" vertical="center" indent="1"/>
    </xf>
    <xf numFmtId="4" fontId="209" fillId="25" borderId="447">
      <alignment horizontal="right" vertical="center" indent="1"/>
    </xf>
    <xf numFmtId="177" fontId="209" fillId="25" borderId="447">
      <alignment horizontal="right" vertical="center" indent="1"/>
    </xf>
    <xf numFmtId="184" fontId="209" fillId="25" borderId="447">
      <alignment horizontal="right" vertical="center" indent="1"/>
    </xf>
    <xf numFmtId="244" fontId="213" fillId="37" borderId="447">
      <alignment horizontal="left" vertical="center"/>
    </xf>
    <xf numFmtId="244" fontId="213" fillId="37" borderId="447">
      <alignment horizontal="left" vertical="center"/>
    </xf>
    <xf numFmtId="244" fontId="214" fillId="25" borderId="447">
      <alignment horizontal="left" vertical="center"/>
    </xf>
    <xf numFmtId="244" fontId="210" fillId="24" borderId="447">
      <alignment horizontal="left" vertical="center"/>
    </xf>
    <xf numFmtId="244" fontId="2" fillId="0" borderId="0"/>
    <xf numFmtId="244" fontId="2" fillId="0" borderId="0"/>
    <xf numFmtId="244" fontId="2" fillId="0" borderId="0"/>
    <xf numFmtId="43" fontId="2" fillId="0" borderId="0" applyFont="0" applyFill="0" applyBorder="0" applyAlignment="0" applyProtection="0"/>
    <xf numFmtId="244"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188" fontId="45" fillId="0" borderId="0" applyBorder="0" applyAlignment="0" applyProtection="0"/>
    <xf numFmtId="247" fontId="45" fillId="0" borderId="0" applyBorder="0" applyAlignment="0" applyProtection="0"/>
    <xf numFmtId="247" fontId="45" fillId="0" borderId="0" applyBorder="0" applyAlignment="0" applyProtection="0"/>
    <xf numFmtId="0" fontId="295" fillId="0" borderId="0" applyBorder="0" applyAlignment="0" applyProtection="0"/>
    <xf numFmtId="0" fontId="45" fillId="0" borderId="0"/>
    <xf numFmtId="0" fontId="45" fillId="0" borderId="0"/>
    <xf numFmtId="0" fontId="45" fillId="0" borderId="0"/>
    <xf numFmtId="0" fontId="296" fillId="0" borderId="0"/>
    <xf numFmtId="0" fontId="296" fillId="0" borderId="0"/>
    <xf numFmtId="0" fontId="296" fillId="0" borderId="0"/>
    <xf numFmtId="0" fontId="45" fillId="0" borderId="0"/>
    <xf numFmtId="0" fontId="296" fillId="0" borderId="0"/>
    <xf numFmtId="0" fontId="297" fillId="0" borderId="0"/>
    <xf numFmtId="0" fontId="296" fillId="0" borderId="0"/>
    <xf numFmtId="0" fontId="296" fillId="0" borderId="0"/>
    <xf numFmtId="0" fontId="2" fillId="0" borderId="0"/>
    <xf numFmtId="0" fontId="2" fillId="0" borderId="0"/>
    <xf numFmtId="9" fontId="45" fillId="0" borderId="0" applyBorder="0" applyAlignment="0" applyProtection="0"/>
    <xf numFmtId="9" fontId="45" fillId="0" borderId="0" applyBorder="0" applyAlignment="0" applyProtection="0"/>
    <xf numFmtId="9" fontId="45" fillId="0" borderId="0" applyBorder="0" applyAlignment="0" applyProtection="0"/>
    <xf numFmtId="9" fontId="45" fillId="0" borderId="0" applyBorder="0" applyAlignment="0" applyProtection="0"/>
    <xf numFmtId="9" fontId="45" fillId="0" borderId="0" applyBorder="0" applyAlignment="0" applyProtection="0"/>
    <xf numFmtId="9" fontId="45" fillId="0" borderId="0" applyBorder="0" applyAlignment="0" applyProtection="0"/>
    <xf numFmtId="9" fontId="45" fillId="0" borderId="0" applyBorder="0" applyAlignment="0" applyProtection="0"/>
    <xf numFmtId="9" fontId="45" fillId="0" borderId="0" applyBorder="0" applyAlignment="0" applyProtection="0"/>
    <xf numFmtId="9" fontId="45" fillId="0" borderId="0" applyBorder="0" applyAlignment="0" applyProtection="0"/>
    <xf numFmtId="9" fontId="45" fillId="0" borderId="0" applyBorder="0" applyAlignment="0" applyProtection="0"/>
    <xf numFmtId="0" fontId="2" fillId="0" borderId="0"/>
    <xf numFmtId="43" fontId="2" fillId="0" borderId="0" applyFont="0" applyFill="0" applyBorder="0" applyAlignment="0" applyProtection="0"/>
    <xf numFmtId="188" fontId="45" fillId="0" borderId="0" applyFill="0" applyBorder="0" applyAlignment="0" applyProtection="0"/>
    <xf numFmtId="165" fontId="43" fillId="0" borderId="0" applyFont="0" applyFill="0" applyBorder="0" applyAlignment="0" applyProtection="0"/>
    <xf numFmtId="43" fontId="45" fillId="0" borderId="0" applyFont="0" applyFill="0" applyBorder="0" applyAlignment="0" applyProtection="0"/>
    <xf numFmtId="188" fontId="45" fillId="0" borderId="0" applyBorder="0" applyAlignment="0" applyProtection="0"/>
    <xf numFmtId="0" fontId="297" fillId="0" borderId="0"/>
    <xf numFmtId="0" fontId="2" fillId="0" borderId="0"/>
    <xf numFmtId="0" fontId="43" fillId="0" borderId="0"/>
    <xf numFmtId="9" fontId="45" fillId="0" borderId="0" applyBorder="0" applyAlignment="0" applyProtection="0"/>
    <xf numFmtId="244" fontId="45" fillId="0" borderId="0"/>
    <xf numFmtId="244" fontId="2" fillId="35" borderId="0" applyNumberFormat="0" applyBorder="0" applyAlignment="0" applyProtection="0"/>
    <xf numFmtId="244" fontId="2" fillId="0" borderId="0"/>
    <xf numFmtId="244" fontId="2" fillId="0" borderId="0"/>
    <xf numFmtId="244" fontId="2" fillId="0" borderId="0"/>
    <xf numFmtId="244" fontId="2" fillId="0" borderId="0"/>
    <xf numFmtId="9" fontId="2" fillId="0" borderId="0" applyFont="0" applyFill="0" applyBorder="0" applyAlignment="0" applyProtection="0"/>
    <xf numFmtId="43" fontId="2" fillId="0" borderId="0" applyFont="0" applyFill="0" applyBorder="0" applyAlignment="0" applyProtection="0"/>
    <xf numFmtId="244" fontId="2" fillId="0" borderId="0"/>
    <xf numFmtId="43" fontId="2" fillId="0" borderId="0" applyFont="0" applyFill="0" applyBorder="0" applyAlignment="0" applyProtection="0"/>
    <xf numFmtId="9" fontId="2" fillId="0" borderId="0" applyFont="0" applyFill="0" applyBorder="0" applyAlignment="0" applyProtection="0"/>
    <xf numFmtId="244" fontId="86" fillId="0" borderId="427">
      <alignment horizontal="center" vertical="center"/>
    </xf>
    <xf numFmtId="244" fontId="2" fillId="0" borderId="0"/>
    <xf numFmtId="9" fontId="2" fillId="0" borderId="0" applyFont="0" applyFill="0" applyBorder="0" applyAlignment="0" applyProtection="0"/>
    <xf numFmtId="43"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43"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35" borderId="0" applyNumberFormat="0" applyBorder="0" applyAlignment="0" applyProtection="0"/>
    <xf numFmtId="244" fontId="2" fillId="0" borderId="0"/>
    <xf numFmtId="244" fontId="2" fillId="0" borderId="0"/>
    <xf numFmtId="244" fontId="2" fillId="0" borderId="0"/>
    <xf numFmtId="244" fontId="2" fillId="0" borderId="0"/>
    <xf numFmtId="9" fontId="2" fillId="0" borderId="0" applyFont="0" applyFill="0" applyBorder="0" applyAlignment="0" applyProtection="0"/>
    <xf numFmtId="43" fontId="2" fillId="0" borderId="0" applyFont="0" applyFill="0" applyBorder="0" applyAlignment="0" applyProtection="0"/>
    <xf numFmtId="244" fontId="2" fillId="0" borderId="0"/>
    <xf numFmtId="43" fontId="2" fillId="0" borderId="0" applyFont="0" applyFill="0" applyBorder="0" applyAlignment="0" applyProtection="0"/>
    <xf numFmtId="9" fontId="2" fillId="0" borderId="0" applyFont="0" applyFill="0" applyBorder="0" applyAlignment="0" applyProtection="0"/>
    <xf numFmtId="244" fontId="2" fillId="0" borderId="0"/>
    <xf numFmtId="244" fontId="2" fillId="0" borderId="0"/>
    <xf numFmtId="9" fontId="2" fillId="0" borderId="0" applyFont="0" applyFill="0" applyBorder="0" applyAlignment="0" applyProtection="0"/>
    <xf numFmtId="43"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43"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43" fontId="2" fillId="0" borderId="0" applyFont="0" applyFill="0" applyBorder="0" applyAlignment="0" applyProtection="0"/>
    <xf numFmtId="244" fontId="2" fillId="5" borderId="0" applyNumberFormat="0" applyBorder="0" applyAlignment="0" applyProtection="0"/>
    <xf numFmtId="244" fontId="2" fillId="5" borderId="0" applyNumberFormat="0" applyBorder="0" applyAlignment="0" applyProtection="0"/>
    <xf numFmtId="244" fontId="2" fillId="35"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244" fontId="2" fillId="0" borderId="0"/>
    <xf numFmtId="244" fontId="2" fillId="0" borderId="0"/>
    <xf numFmtId="244" fontId="2" fillId="0" borderId="0"/>
    <xf numFmtId="244" fontId="2" fillId="0" borderId="0"/>
    <xf numFmtId="44"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244" fontId="2" fillId="0" borderId="0"/>
    <xf numFmtId="9" fontId="2" fillId="0" borderId="0" applyFont="0" applyFill="0" applyBorder="0" applyAlignment="0" applyProtection="0"/>
    <xf numFmtId="9" fontId="2" fillId="0" borderId="0" applyFont="0" applyFill="0" applyBorder="0" applyAlignment="0" applyProtection="0"/>
    <xf numFmtId="244" fontId="2" fillId="0" borderId="0"/>
    <xf numFmtId="43" fontId="2" fillId="0" borderId="0" applyFont="0" applyFill="0" applyBorder="0" applyAlignment="0" applyProtection="0"/>
    <xf numFmtId="244" fontId="2" fillId="0" borderId="0"/>
    <xf numFmtId="244" fontId="2" fillId="0" borderId="0"/>
    <xf numFmtId="244" fontId="2" fillId="0" borderId="0"/>
    <xf numFmtId="166" fontId="2" fillId="0" borderId="0" applyFont="0" applyFill="0" applyBorder="0" applyAlignment="0" applyProtection="0"/>
    <xf numFmtId="43" fontId="2" fillId="0" borderId="0" applyFont="0" applyFill="0" applyBorder="0" applyAlignment="0" applyProtection="0"/>
    <xf numFmtId="244" fontId="2" fillId="0" borderId="0"/>
    <xf numFmtId="244" fontId="2" fillId="0" borderId="0"/>
    <xf numFmtId="244" fontId="2" fillId="0" borderId="0"/>
    <xf numFmtId="43" fontId="2" fillId="0" borderId="0" applyFont="0" applyFill="0" applyBorder="0" applyAlignment="0" applyProtection="0"/>
    <xf numFmtId="244"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45" fillId="0" borderId="0"/>
    <xf numFmtId="0" fontId="2" fillId="0" borderId="0"/>
    <xf numFmtId="0" fontId="2" fillId="0" borderId="0"/>
    <xf numFmtId="0" fontId="2" fillId="0" borderId="0"/>
    <xf numFmtId="43" fontId="45" fillId="0" borderId="0" applyFont="0" applyFill="0" applyBorder="0" applyAlignment="0" applyProtection="0"/>
    <xf numFmtId="0" fontId="78" fillId="0" borderId="0" applyNumberFormat="0" applyFill="0" applyBorder="0" applyAlignment="0" applyProtection="0">
      <alignment vertical="top"/>
      <protection locked="0"/>
    </xf>
    <xf numFmtId="0" fontId="45" fillId="0" borderId="0"/>
    <xf numFmtId="0" fontId="50" fillId="0" borderId="0"/>
    <xf numFmtId="43" fontId="45" fillId="0" borderId="0" applyFont="0" applyFill="0" applyBorder="0" applyAlignment="0" applyProtection="0"/>
    <xf numFmtId="0" fontId="2" fillId="0" borderId="0"/>
    <xf numFmtId="173" fontId="45" fillId="0" borderId="0"/>
    <xf numFmtId="173" fontId="2" fillId="0" borderId="0"/>
    <xf numFmtId="43" fontId="2" fillId="0" borderId="0" applyFont="0" applyFill="0" applyBorder="0" applyAlignment="0" applyProtection="0"/>
    <xf numFmtId="9" fontId="2" fillId="0" borderId="0" applyFont="0" applyFill="0" applyBorder="0" applyAlignment="0" applyProtection="0"/>
    <xf numFmtId="173" fontId="2" fillId="0" borderId="0"/>
    <xf numFmtId="43" fontId="2" fillId="0" borderId="0" applyFont="0" applyFill="0" applyBorder="0" applyAlignment="0" applyProtection="0"/>
    <xf numFmtId="9" fontId="2" fillId="0" borderId="0" applyFont="0" applyFill="0" applyBorder="0" applyAlignment="0" applyProtection="0"/>
    <xf numFmtId="173" fontId="2" fillId="0" borderId="0"/>
    <xf numFmtId="9" fontId="2" fillId="0" borderId="0" applyFont="0" applyFill="0" applyBorder="0" applyAlignment="0" applyProtection="0"/>
    <xf numFmtId="173" fontId="2" fillId="0" borderId="0"/>
    <xf numFmtId="43" fontId="2" fillId="0" borderId="0" applyFont="0" applyFill="0" applyBorder="0" applyAlignment="0" applyProtection="0"/>
    <xf numFmtId="0" fontId="2" fillId="0" borderId="0"/>
    <xf numFmtId="165" fontId="2" fillId="0" borderId="0" applyFont="0" applyFill="0" applyBorder="0" applyAlignment="0" applyProtection="0"/>
    <xf numFmtId="9" fontId="2" fillId="0" borderId="0" applyFont="0" applyFill="0" applyBorder="0" applyAlignment="0" applyProtection="0"/>
    <xf numFmtId="0" fontId="2" fillId="0" borderId="0"/>
    <xf numFmtId="166"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166"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166"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0" fontId="50" fillId="0" borderId="0"/>
    <xf numFmtId="165" fontId="45" fillId="0" borderId="0" applyFont="0" applyFill="0" applyBorder="0" applyAlignment="0" applyProtection="0"/>
    <xf numFmtId="166" fontId="45" fillId="0" borderId="0" applyFont="0" applyFill="0" applyBorder="0" applyAlignment="0" applyProtection="0"/>
    <xf numFmtId="0" fontId="50" fillId="38" borderId="459" applyNumberFormat="0" applyFont="0" applyAlignment="0" applyProtection="0"/>
    <xf numFmtId="165" fontId="45" fillId="0" borderId="0" applyFont="0" applyFill="0" applyBorder="0" applyAlignment="0" applyProtection="0"/>
    <xf numFmtId="166" fontId="50" fillId="0" borderId="0" applyFont="0" applyFill="0" applyBorder="0" applyAlignment="0" applyProtection="0"/>
    <xf numFmtId="165" fontId="2" fillId="0" borderId="0" applyFont="0" applyFill="0" applyBorder="0" applyAlignment="0" applyProtection="0"/>
    <xf numFmtId="0" fontId="45"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45" fillId="0" borderId="0"/>
    <xf numFmtId="43" fontId="45" fillId="0" borderId="0" applyFont="0" applyFill="0" applyBorder="0" applyAlignment="0" applyProtection="0"/>
    <xf numFmtId="9" fontId="2" fillId="0" borderId="0" applyFont="0" applyFill="0" applyBorder="0" applyAlignment="0" applyProtection="0"/>
    <xf numFmtId="0" fontId="2" fillId="0" borderId="0"/>
    <xf numFmtId="244" fontId="45" fillId="0" borderId="0"/>
    <xf numFmtId="244" fontId="45"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45" fillId="0" borderId="0">
      <alignment wrapText="1"/>
    </xf>
    <xf numFmtId="43" fontId="45" fillId="0" borderId="0" applyFont="0" applyFill="0" applyBorder="0" applyAlignment="0" applyProtection="0">
      <alignment wrapText="1"/>
    </xf>
    <xf numFmtId="44" fontId="45" fillId="0" borderId="0" applyFont="0" applyFill="0" applyBorder="0" applyAlignment="0" applyProtection="0">
      <alignment wrapText="1"/>
    </xf>
    <xf numFmtId="0" fontId="2" fillId="0" borderId="0"/>
    <xf numFmtId="165" fontId="2" fillId="0" borderId="0" applyFont="0" applyFill="0" applyBorder="0" applyAlignment="0" applyProtection="0"/>
    <xf numFmtId="9" fontId="2" fillId="0" borderId="0" applyFont="0" applyFill="0" applyBorder="0" applyAlignment="0" applyProtection="0"/>
    <xf numFmtId="173" fontId="2" fillId="0" borderId="0"/>
    <xf numFmtId="173" fontId="2" fillId="0" borderId="0"/>
    <xf numFmtId="173" fontId="2" fillId="0" borderId="0"/>
    <xf numFmtId="0" fontId="298" fillId="0" borderId="0"/>
    <xf numFmtId="165" fontId="298" fillId="0" borderId="0" applyFont="0" applyFill="0" applyBorder="0" applyAlignment="0" applyProtection="0"/>
    <xf numFmtId="9" fontId="298" fillId="0" borderId="0" applyFont="0" applyFill="0" applyBorder="0" applyAlignment="0" applyProtection="0"/>
    <xf numFmtId="178" fontId="45" fillId="0" borderId="0" applyFont="0" applyFill="0" applyBorder="0" applyAlignment="0" applyProtection="0"/>
    <xf numFmtId="41" fontId="45" fillId="0" borderId="0" applyFont="0" applyFill="0" applyBorder="0" applyAlignment="0" applyProtection="0"/>
    <xf numFmtId="43" fontId="2" fillId="0" borderId="0" applyFont="0" applyFill="0" applyBorder="0" applyAlignment="0" applyProtection="0"/>
    <xf numFmtId="165" fontId="45"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248" fontId="45" fillId="0" borderId="0"/>
    <xf numFmtId="0" fontId="45" fillId="0" borderId="0"/>
    <xf numFmtId="9" fontId="2" fillId="0" borderId="0" applyFont="0" applyFill="0" applyBorder="0" applyAlignment="0" applyProtection="0"/>
    <xf numFmtId="0" fontId="1" fillId="0" borderId="0"/>
    <xf numFmtId="165" fontId="1" fillId="0" borderId="0" applyFont="0" applyFill="0" applyBorder="0" applyAlignment="0" applyProtection="0"/>
  </cellStyleXfs>
  <cellXfs count="5975">
    <xf numFmtId="0" fontId="0" fillId="0" borderId="0" xfId="0"/>
    <xf numFmtId="171" fontId="122" fillId="0" borderId="0" xfId="149" applyNumberFormat="1" applyFont="1" applyFill="1" applyBorder="1" applyAlignment="1">
      <alignment horizontal="center"/>
    </xf>
    <xf numFmtId="171" fontId="123" fillId="0" borderId="0" xfId="149" applyNumberFormat="1" applyFont="1" applyFill="1" applyBorder="1" applyAlignment="1">
      <alignment horizontal="center"/>
    </xf>
    <xf numFmtId="0" fontId="121" fillId="0" borderId="0" xfId="122" applyFont="1"/>
    <xf numFmtId="0" fontId="134" fillId="0" borderId="0" xfId="122" applyFont="1"/>
    <xf numFmtId="171" fontId="138" fillId="0" borderId="0" xfId="149" applyNumberFormat="1" applyFont="1" applyFill="1"/>
    <xf numFmtId="0" fontId="121" fillId="0" borderId="0" xfId="122" applyFont="1" applyAlignment="1">
      <alignment horizontal="center"/>
    </xf>
    <xf numFmtId="0" fontId="121" fillId="0" borderId="0" xfId="122" applyFont="1" applyAlignment="1">
      <alignment vertical="center"/>
    </xf>
    <xf numFmtId="2" fontId="121" fillId="0" borderId="0" xfId="122" applyNumberFormat="1" applyFont="1"/>
    <xf numFmtId="0" fontId="121" fillId="0" borderId="267" xfId="122" applyFont="1" applyBorder="1"/>
    <xf numFmtId="0" fontId="120" fillId="0" borderId="252" xfId="122" applyFont="1" applyBorder="1" applyAlignment="1">
      <alignment horizontal="center"/>
    </xf>
    <xf numFmtId="172" fontId="121" fillId="0" borderId="0" xfId="122" applyNumberFormat="1" applyFont="1"/>
    <xf numFmtId="0" fontId="134" fillId="0" borderId="0" xfId="142" applyFont="1" applyAlignment="1">
      <alignment horizontal="left"/>
    </xf>
    <xf numFmtId="0" fontId="120" fillId="0" borderId="0" xfId="122" applyFont="1" applyAlignment="1">
      <alignment vertical="center"/>
    </xf>
    <xf numFmtId="0" fontId="120" fillId="0" borderId="213" xfId="122" applyFont="1" applyBorder="1" applyAlignment="1">
      <alignment horizontal="center" vertical="center"/>
    </xf>
    <xf numFmtId="2" fontId="121" fillId="0" borderId="252" xfId="122" applyNumberFormat="1" applyFont="1" applyBorder="1" applyAlignment="1">
      <alignment horizontal="center" vertical="center"/>
    </xf>
    <xf numFmtId="2" fontId="121" fillId="0" borderId="0" xfId="122" applyNumberFormat="1" applyFont="1" applyAlignment="1">
      <alignment vertical="center"/>
    </xf>
    <xf numFmtId="39" fontId="121" fillId="0" borderId="267" xfId="122" applyNumberFormat="1" applyFont="1" applyBorder="1"/>
    <xf numFmtId="171" fontId="121" fillId="0" borderId="267" xfId="149" applyNumberFormat="1" applyFont="1" applyFill="1" applyBorder="1"/>
    <xf numFmtId="43" fontId="121" fillId="0" borderId="267" xfId="57" applyFont="1" applyFill="1" applyBorder="1"/>
    <xf numFmtId="2" fontId="121" fillId="0" borderId="267" xfId="149" applyNumberFormat="1" applyFont="1" applyFill="1" applyBorder="1"/>
    <xf numFmtId="2" fontId="121" fillId="0" borderId="176" xfId="122" applyNumberFormat="1" applyFont="1" applyBorder="1" applyAlignment="1">
      <alignment vertical="center"/>
    </xf>
    <xf numFmtId="2" fontId="121" fillId="0" borderId="213" xfId="122" applyNumberFormat="1" applyFont="1" applyBorder="1" applyAlignment="1">
      <alignment vertical="center"/>
    </xf>
    <xf numFmtId="0" fontId="120" fillId="0" borderId="272" xfId="122" applyFont="1" applyBorder="1" applyAlignment="1">
      <alignment horizontal="center" vertical="center"/>
    </xf>
    <xf numFmtId="2" fontId="121" fillId="0" borderId="90" xfId="122" applyNumberFormat="1" applyFont="1" applyBorder="1"/>
    <xf numFmtId="2" fontId="121" fillId="0" borderId="252" xfId="122" applyNumberFormat="1" applyFont="1" applyBorder="1"/>
    <xf numFmtId="0" fontId="120" fillId="0" borderId="134" xfId="122" applyFont="1" applyBorder="1" applyAlignment="1">
      <alignment horizontal="center"/>
    </xf>
    <xf numFmtId="2" fontId="121" fillId="0" borderId="90" xfId="122" applyNumberFormat="1" applyFont="1" applyBorder="1" applyAlignment="1">
      <alignment vertical="center"/>
    </xf>
    <xf numFmtId="2" fontId="121" fillId="0" borderId="252" xfId="122" applyNumberFormat="1" applyFont="1" applyBorder="1" applyAlignment="1">
      <alignment vertical="center"/>
    </xf>
    <xf numFmtId="172" fontId="121" fillId="0" borderId="252" xfId="122" applyNumberFormat="1" applyFont="1" applyBorder="1" applyAlignment="1">
      <alignment horizontal="center" vertical="center"/>
    </xf>
    <xf numFmtId="172" fontId="121" fillId="0" borderId="219" xfId="57" applyNumberFormat="1" applyFont="1" applyFill="1" applyBorder="1" applyAlignment="1">
      <alignment horizontal="center" vertical="center"/>
    </xf>
    <xf numFmtId="172" fontId="140" fillId="0" borderId="252" xfId="1068" applyNumberFormat="1" applyFont="1" applyFill="1" applyBorder="1" applyAlignment="1">
      <alignment horizontal="center" vertical="center"/>
    </xf>
    <xf numFmtId="171" fontId="121" fillId="0" borderId="116" xfId="122" applyNumberFormat="1" applyFont="1" applyBorder="1" applyAlignment="1">
      <alignment horizontal="center" vertical="center"/>
    </xf>
    <xf numFmtId="171" fontId="121" fillId="0" borderId="134" xfId="122" applyNumberFormat="1" applyFont="1" applyBorder="1" applyAlignment="1">
      <alignment horizontal="center" vertical="center"/>
    </xf>
    <xf numFmtId="172" fontId="121" fillId="0" borderId="0" xfId="122" applyNumberFormat="1" applyFont="1" applyAlignment="1">
      <alignment vertical="center"/>
    </xf>
    <xf numFmtId="172" fontId="143" fillId="0" borderId="0" xfId="122" applyNumberFormat="1" applyFont="1" applyAlignment="1">
      <alignment vertical="center"/>
    </xf>
    <xf numFmtId="172" fontId="132" fillId="0" borderId="0" xfId="122" applyNumberFormat="1" applyFont="1" applyAlignment="1">
      <alignment vertical="center"/>
    </xf>
    <xf numFmtId="172" fontId="142" fillId="0" borderId="252" xfId="1068" applyNumberFormat="1" applyFont="1" applyFill="1" applyBorder="1" applyAlignment="1">
      <alignment vertical="center"/>
    </xf>
    <xf numFmtId="172" fontId="140" fillId="0" borderId="252" xfId="122" applyNumberFormat="1" applyFont="1" applyBorder="1" applyAlignment="1">
      <alignment horizontal="center" vertical="center"/>
    </xf>
    <xf numFmtId="172" fontId="132" fillId="31" borderId="0" xfId="122" applyNumberFormat="1" applyFont="1" applyFill="1" applyAlignment="1">
      <alignment vertical="center"/>
    </xf>
    <xf numFmtId="175" fontId="121" fillId="0" borderId="90" xfId="122" applyNumberFormat="1" applyFont="1" applyBorder="1" applyAlignment="1">
      <alignment vertical="center"/>
    </xf>
    <xf numFmtId="2" fontId="120" fillId="0" borderId="286" xfId="122" applyNumberFormat="1" applyFont="1" applyBorder="1" applyAlignment="1">
      <alignment vertical="center"/>
    </xf>
    <xf numFmtId="2" fontId="120" fillId="0" borderId="287" xfId="122" applyNumberFormat="1" applyFont="1" applyBorder="1" applyAlignment="1">
      <alignment vertical="center"/>
    </xf>
    <xf numFmtId="4" fontId="120" fillId="0" borderId="287" xfId="122" applyNumberFormat="1" applyFont="1" applyBorder="1" applyAlignment="1">
      <alignment horizontal="center" vertical="center"/>
    </xf>
    <xf numFmtId="39" fontId="120" fillId="0" borderId="287" xfId="122" applyNumberFormat="1" applyFont="1" applyBorder="1" applyAlignment="1">
      <alignment horizontal="center" vertical="center"/>
    </xf>
    <xf numFmtId="172" fontId="120" fillId="0" borderId="287" xfId="122" applyNumberFormat="1" applyFont="1" applyBorder="1" applyAlignment="1">
      <alignment horizontal="center" vertical="center"/>
    </xf>
    <xf numFmtId="171" fontId="120" fillId="0" borderId="287" xfId="149" applyNumberFormat="1" applyFont="1" applyFill="1" applyBorder="1" applyAlignment="1">
      <alignment horizontal="center" vertical="center"/>
    </xf>
    <xf numFmtId="9" fontId="120" fillId="0" borderId="288" xfId="149" applyFont="1" applyFill="1" applyBorder="1" applyAlignment="1">
      <alignment horizontal="center" vertical="center"/>
    </xf>
    <xf numFmtId="172" fontId="120" fillId="0" borderId="0" xfId="122" applyNumberFormat="1" applyFont="1" applyAlignment="1">
      <alignment vertical="center"/>
    </xf>
    <xf numFmtId="0" fontId="120" fillId="0" borderId="204" xfId="122" applyFont="1" applyBorder="1" applyAlignment="1">
      <alignment vertical="center"/>
    </xf>
    <xf numFmtId="0" fontId="120" fillId="0" borderId="205" xfId="122" applyFont="1" applyBorder="1" applyAlignment="1">
      <alignment vertical="center"/>
    </xf>
    <xf numFmtId="10" fontId="120" fillId="0" borderId="205" xfId="122" applyNumberFormat="1" applyFont="1" applyBorder="1" applyAlignment="1">
      <alignment vertical="center"/>
    </xf>
    <xf numFmtId="171" fontId="120" fillId="0" borderId="205" xfId="122" applyNumberFormat="1" applyFont="1" applyBorder="1" applyAlignment="1">
      <alignment vertical="center"/>
    </xf>
    <xf numFmtId="10" fontId="120" fillId="0" borderId="205" xfId="122" applyNumberFormat="1" applyFont="1" applyBorder="1" applyAlignment="1">
      <alignment horizontal="center" vertical="center"/>
    </xf>
    <xf numFmtId="171" fontId="120" fillId="0" borderId="205" xfId="122" applyNumberFormat="1" applyFont="1" applyBorder="1" applyAlignment="1">
      <alignment horizontal="center" vertical="center"/>
    </xf>
    <xf numFmtId="171" fontId="120" fillId="0" borderId="206" xfId="122" applyNumberFormat="1" applyFont="1" applyBorder="1" applyAlignment="1">
      <alignment horizontal="center" vertical="center"/>
    </xf>
    <xf numFmtId="10" fontId="120" fillId="0" borderId="0" xfId="122" applyNumberFormat="1" applyFont="1" applyAlignment="1">
      <alignment vertical="center"/>
    </xf>
    <xf numFmtId="171" fontId="120" fillId="0" borderId="0" xfId="122" applyNumberFormat="1" applyFont="1" applyAlignment="1">
      <alignment vertical="center"/>
    </xf>
    <xf numFmtId="10" fontId="120" fillId="0" borderId="0" xfId="122" applyNumberFormat="1" applyFont="1" applyAlignment="1">
      <alignment horizontal="center" vertical="center"/>
    </xf>
    <xf numFmtId="171" fontId="120" fillId="0" borderId="0" xfId="122" applyNumberFormat="1" applyFont="1" applyAlignment="1">
      <alignment horizontal="center" vertical="center"/>
    </xf>
    <xf numFmtId="178" fontId="120" fillId="0" borderId="0" xfId="57" applyNumberFormat="1" applyFont="1" applyFill="1" applyBorder="1" applyAlignment="1">
      <alignment horizontal="center" vertical="center"/>
    </xf>
    <xf numFmtId="171" fontId="121" fillId="0" borderId="0" xfId="149" applyNumberFormat="1" applyFont="1" applyFill="1" applyAlignment="1">
      <alignment vertical="center"/>
    </xf>
    <xf numFmtId="39" fontId="132" fillId="0" borderId="0" xfId="122" applyNumberFormat="1" applyFont="1"/>
    <xf numFmtId="39" fontId="121" fillId="0" borderId="0" xfId="122" applyNumberFormat="1" applyFont="1"/>
    <xf numFmtId="0" fontId="121" fillId="0" borderId="0" xfId="0" applyFont="1"/>
    <xf numFmtId="171" fontId="132" fillId="0" borderId="0" xfId="149" applyNumberFormat="1" applyFont="1" applyFill="1" applyAlignment="1">
      <alignment horizontal="center"/>
    </xf>
    <xf numFmtId="4" fontId="121" fillId="0" borderId="0" xfId="122" applyNumberFormat="1" applyFont="1"/>
    <xf numFmtId="10" fontId="121" fillId="0" borderId="134" xfId="122" applyNumberFormat="1" applyFont="1" applyBorder="1" applyAlignment="1">
      <alignment horizontal="center" vertical="center"/>
    </xf>
    <xf numFmtId="4" fontId="150" fillId="0" borderId="0" xfId="1446" applyNumberFormat="1" applyFont="1" applyAlignment="1">
      <alignment horizontal="left"/>
    </xf>
    <xf numFmtId="4" fontId="150" fillId="0" borderId="322" xfId="1446" applyNumberFormat="1" applyFont="1" applyBorder="1" applyAlignment="1">
      <alignment horizontal="center"/>
    </xf>
    <xf numFmtId="4" fontId="151" fillId="0" borderId="90" xfId="1446" applyNumberFormat="1" applyFont="1" applyBorder="1" applyAlignment="1">
      <alignment horizontal="left"/>
    </xf>
    <xf numFmtId="4" fontId="150" fillId="0" borderId="90" xfId="1446" applyNumberFormat="1" applyFont="1" applyBorder="1" applyAlignment="1">
      <alignment horizontal="left"/>
    </xf>
    <xf numFmtId="4" fontId="151" fillId="0" borderId="277" xfId="1446" applyNumberFormat="1" applyFont="1" applyBorder="1" applyAlignment="1">
      <alignment horizontal="left"/>
    </xf>
    <xf numFmtId="4" fontId="151" fillId="0" borderId="204" xfId="1446" applyNumberFormat="1" applyFont="1" applyBorder="1" applyAlignment="1">
      <alignment horizontal="left"/>
    </xf>
    <xf numFmtId="4" fontId="150" fillId="0" borderId="116" xfId="1446" applyNumberFormat="1" applyFont="1" applyBorder="1" applyAlignment="1">
      <alignment horizontal="left"/>
    </xf>
    <xf numFmtId="4" fontId="150" fillId="0" borderId="0" xfId="1446" applyNumberFormat="1" applyFont="1" applyAlignment="1">
      <alignment horizontal="center"/>
    </xf>
    <xf numFmtId="4" fontId="153" fillId="0" borderId="0" xfId="1446" applyNumberFormat="1" applyFont="1" applyAlignment="1">
      <alignment horizontal="left"/>
    </xf>
    <xf numFmtId="0" fontId="158" fillId="0" borderId="0" xfId="0" applyFont="1"/>
    <xf numFmtId="3" fontId="158" fillId="0" borderId="0" xfId="0" applyNumberFormat="1" applyFont="1"/>
    <xf numFmtId="0" fontId="158" fillId="0" borderId="0" xfId="0" applyFont="1" applyAlignment="1">
      <alignment horizontal="center"/>
    </xf>
    <xf numFmtId="0" fontId="120" fillId="0" borderId="0" xfId="122" applyFont="1"/>
    <xf numFmtId="171" fontId="139" fillId="0" borderId="0" xfId="149" applyNumberFormat="1" applyFont="1" applyFill="1"/>
    <xf numFmtId="0" fontId="158" fillId="0" borderId="24" xfId="0" applyFont="1" applyBorder="1"/>
    <xf numFmtId="0" fontId="147" fillId="0" borderId="173" xfId="0" applyFont="1" applyBorder="1" applyAlignment="1">
      <alignment horizontal="center"/>
    </xf>
    <xf numFmtId="3" fontId="158" fillId="0" borderId="252" xfId="0" applyNumberFormat="1" applyFont="1" applyBorder="1" applyAlignment="1">
      <alignment horizontal="center"/>
    </xf>
    <xf numFmtId="171" fontId="158" fillId="32" borderId="116" xfId="0" applyNumberFormat="1" applyFont="1" applyFill="1" applyBorder="1" applyAlignment="1">
      <alignment horizontal="center"/>
    </xf>
    <xf numFmtId="3" fontId="158" fillId="0" borderId="116" xfId="0" applyNumberFormat="1" applyFont="1" applyBorder="1" applyAlignment="1">
      <alignment horizontal="center"/>
    </xf>
    <xf numFmtId="171" fontId="122" fillId="0" borderId="357" xfId="149" applyNumberFormat="1" applyFont="1" applyFill="1" applyBorder="1" applyAlignment="1">
      <alignment horizontal="center"/>
    </xf>
    <xf numFmtId="4" fontId="151" fillId="0" borderId="116" xfId="1446" applyNumberFormat="1" applyFont="1" applyBorder="1" applyAlignment="1">
      <alignment horizontal="left"/>
    </xf>
    <xf numFmtId="4" fontId="151" fillId="0" borderId="0" xfId="1446" applyNumberFormat="1" applyFont="1" applyAlignment="1">
      <alignment horizontal="left"/>
    </xf>
    <xf numFmtId="4" fontId="150" fillId="0" borderId="24" xfId="1446" applyNumberFormat="1" applyFont="1" applyBorder="1" applyAlignment="1">
      <alignment horizontal="left"/>
    </xf>
    <xf numFmtId="4" fontId="150" fillId="0" borderId="321" xfId="1446" applyNumberFormat="1" applyFont="1" applyBorder="1" applyAlignment="1">
      <alignment horizontal="center"/>
    </xf>
    <xf numFmtId="4" fontId="150" fillId="0" borderId="90" xfId="1446" applyNumberFormat="1" applyFont="1" applyBorder="1" applyAlignment="1">
      <alignment horizontal="center"/>
    </xf>
    <xf numFmtId="4" fontId="153" fillId="0" borderId="90" xfId="1446" applyNumberFormat="1" applyFont="1" applyBorder="1" applyAlignment="1">
      <alignment horizontal="left"/>
    </xf>
    <xf numFmtId="4" fontId="160" fillId="0" borderId="0" xfId="1446" applyNumberFormat="1" applyFont="1" applyAlignment="1">
      <alignment horizontal="left"/>
    </xf>
    <xf numFmtId="0" fontId="151" fillId="0" borderId="0" xfId="0" applyFont="1" applyAlignment="1">
      <alignment vertical="center"/>
    </xf>
    <xf numFmtId="0" fontId="150" fillId="0" borderId="0" xfId="182" applyFont="1"/>
    <xf numFmtId="0" fontId="151" fillId="0" borderId="0" xfId="182" applyFont="1"/>
    <xf numFmtId="4" fontId="150" fillId="0" borderId="90" xfId="1446" applyNumberFormat="1" applyFont="1" applyBorder="1" applyAlignment="1">
      <alignment horizontal="left" indent="1"/>
    </xf>
    <xf numFmtId="0" fontId="150" fillId="0" borderId="0" xfId="181" applyFont="1"/>
    <xf numFmtId="0" fontId="150" fillId="0" borderId="0" xfId="182" applyFont="1" applyAlignment="1">
      <alignment horizontal="center" vertical="center"/>
    </xf>
    <xf numFmtId="0" fontId="153" fillId="0" borderId="0" xfId="182" applyFont="1"/>
    <xf numFmtId="4" fontId="151" fillId="0" borderId="170" xfId="1446" applyNumberFormat="1" applyFont="1" applyBorder="1"/>
    <xf numFmtId="0" fontId="151" fillId="0" borderId="171" xfId="183" applyFont="1" applyFill="1" applyBorder="1" applyAlignment="1">
      <alignment horizontal="center" vertical="center"/>
    </xf>
    <xf numFmtId="1" fontId="151" fillId="0" borderId="171" xfId="183" applyNumberFormat="1" applyFont="1" applyFill="1" applyBorder="1" applyAlignment="1">
      <alignment horizontal="center" vertical="center"/>
    </xf>
    <xf numFmtId="0" fontId="151" fillId="0" borderId="158" xfId="183" applyFont="1" applyFill="1" applyBorder="1" applyAlignment="1">
      <alignment horizontal="center" vertical="center"/>
    </xf>
    <xf numFmtId="1" fontId="151" fillId="0" borderId="158" xfId="183" applyNumberFormat="1" applyFont="1" applyFill="1" applyBorder="1" applyAlignment="1">
      <alignment horizontal="center" vertical="center"/>
    </xf>
    <xf numFmtId="0" fontId="151" fillId="0" borderId="171" xfId="182" applyFont="1" applyBorder="1" applyAlignment="1">
      <alignment horizontal="center" vertical="center"/>
    </xf>
    <xf numFmtId="4" fontId="151" fillId="0" borderId="90" xfId="1446" applyNumberFormat="1" applyFont="1" applyBorder="1"/>
    <xf numFmtId="171" fontId="152" fillId="0" borderId="252" xfId="149" applyNumberFormat="1" applyFont="1" applyBorder="1" applyAlignment="1">
      <alignment horizontal="center"/>
    </xf>
    <xf numFmtId="4" fontId="150" fillId="0" borderId="90" xfId="1446" applyNumberFormat="1" applyFont="1" applyBorder="1"/>
    <xf numFmtId="171" fontId="155" fillId="0" borderId="252" xfId="149" applyNumberFormat="1" applyFont="1" applyBorder="1" applyAlignment="1">
      <alignment horizontal="center"/>
    </xf>
    <xf numFmtId="0" fontId="151" fillId="0" borderId="90" xfId="182" applyFont="1" applyBorder="1"/>
    <xf numFmtId="0" fontId="150" fillId="27" borderId="0" xfId="182" applyFont="1" applyFill="1"/>
    <xf numFmtId="0" fontId="151" fillId="0" borderId="24" xfId="182" applyFont="1" applyBorder="1"/>
    <xf numFmtId="4" fontId="151" fillId="0" borderId="277" xfId="1446" applyNumberFormat="1" applyFont="1" applyBorder="1"/>
    <xf numFmtId="171" fontId="152" fillId="0" borderId="304" xfId="149" applyNumberFormat="1" applyFont="1" applyBorder="1" applyAlignment="1">
      <alignment horizontal="center"/>
    </xf>
    <xf numFmtId="4" fontId="150" fillId="0" borderId="57" xfId="1446" applyNumberFormat="1" applyFont="1" applyBorder="1"/>
    <xf numFmtId="4" fontId="150" fillId="0" borderId="113" xfId="1446" applyNumberFormat="1" applyFont="1" applyBorder="1"/>
    <xf numFmtId="171" fontId="152" fillId="0" borderId="269" xfId="149" applyNumberFormat="1" applyFont="1" applyBorder="1" applyAlignment="1">
      <alignment horizontal="center"/>
    </xf>
    <xf numFmtId="4" fontId="151" fillId="0" borderId="308" xfId="1446" applyNumberFormat="1" applyFont="1" applyBorder="1"/>
    <xf numFmtId="2" fontId="160" fillId="0" borderId="0" xfId="122" applyNumberFormat="1" applyFont="1"/>
    <xf numFmtId="4" fontId="151" fillId="0" borderId="0" xfId="183" quotePrefix="1" applyNumberFormat="1" applyFont="1" applyFill="1" applyBorder="1" applyAlignment="1">
      <alignment horizontal="center"/>
    </xf>
    <xf numFmtId="0" fontId="150" fillId="0" borderId="0" xfId="182" applyFont="1" applyAlignment="1">
      <alignment horizontal="center"/>
    </xf>
    <xf numFmtId="177" fontId="150" fillId="0" borderId="0" xfId="127" applyNumberFormat="1" applyFont="1" applyAlignment="1">
      <alignment horizontal="center"/>
    </xf>
    <xf numFmtId="0" fontId="150" fillId="0" borderId="90" xfId="122" applyFont="1" applyBorder="1"/>
    <xf numFmtId="4" fontId="160" fillId="0" borderId="321" xfId="1446" applyNumberFormat="1" applyFont="1" applyBorder="1" applyAlignment="1">
      <alignment horizontal="left"/>
    </xf>
    <xf numFmtId="0" fontId="167" fillId="0" borderId="0" xfId="181" applyFont="1"/>
    <xf numFmtId="0" fontId="167" fillId="0" borderId="0" xfId="182" applyFont="1"/>
    <xf numFmtId="0" fontId="169" fillId="0" borderId="0" xfId="182" applyFont="1"/>
    <xf numFmtId="0" fontId="168" fillId="0" borderId="0" xfId="182" applyFont="1" applyAlignment="1">
      <alignment horizontal="center"/>
    </xf>
    <xf numFmtId="0" fontId="167" fillId="0" borderId="0" xfId="182" applyFont="1" applyAlignment="1">
      <alignment horizontal="center" vertical="center"/>
    </xf>
    <xf numFmtId="0" fontId="168" fillId="0" borderId="0" xfId="182" applyFont="1"/>
    <xf numFmtId="4" fontId="168" fillId="0" borderId="294" xfId="1446" applyNumberFormat="1" applyFont="1" applyBorder="1"/>
    <xf numFmtId="0" fontId="168" fillId="0" borderId="293" xfId="1446" applyFont="1" applyBorder="1"/>
    <xf numFmtId="4" fontId="168" fillId="0" borderId="56" xfId="1446" applyNumberFormat="1" applyFont="1" applyBorder="1"/>
    <xf numFmtId="4" fontId="167" fillId="0" borderId="56" xfId="1446" applyNumberFormat="1" applyFont="1" applyBorder="1"/>
    <xf numFmtId="0" fontId="168" fillId="0" borderId="56" xfId="182" applyFont="1" applyBorder="1"/>
    <xf numFmtId="4" fontId="168" fillId="0" borderId="90" xfId="1446" applyNumberFormat="1" applyFont="1" applyBorder="1" applyAlignment="1">
      <alignment horizontal="left"/>
    </xf>
    <xf numFmtId="4" fontId="167" fillId="0" borderId="90" xfId="1446" applyNumberFormat="1" applyFont="1" applyBorder="1" applyAlignment="1">
      <alignment horizontal="left"/>
    </xf>
    <xf numFmtId="4" fontId="168" fillId="0" borderId="56" xfId="1446" applyNumberFormat="1" applyFont="1" applyBorder="1" applyAlignment="1">
      <alignment horizontal="left"/>
    </xf>
    <xf numFmtId="4" fontId="167" fillId="0" borderId="56" xfId="1446" applyNumberFormat="1" applyFont="1" applyBorder="1" applyAlignment="1">
      <alignment horizontal="left" indent="1"/>
    </xf>
    <xf numFmtId="4" fontId="167" fillId="0" borderId="56" xfId="1446" applyNumberFormat="1" applyFont="1" applyBorder="1" applyAlignment="1">
      <alignment horizontal="left"/>
    </xf>
    <xf numFmtId="4" fontId="167" fillId="0" borderId="90" xfId="1446" applyNumberFormat="1" applyFont="1" applyBorder="1" applyAlignment="1">
      <alignment horizontal="left" indent="1"/>
    </xf>
    <xf numFmtId="4" fontId="167" fillId="0" borderId="90" xfId="1446" applyNumberFormat="1" applyFont="1" applyBorder="1"/>
    <xf numFmtId="4" fontId="168" fillId="0" borderId="274" xfId="1446" applyNumberFormat="1" applyFont="1" applyBorder="1"/>
    <xf numFmtId="4" fontId="168" fillId="0" borderId="311" xfId="1446" applyNumberFormat="1" applyFont="1" applyBorder="1" applyAlignment="1">
      <alignment horizontal="left"/>
    </xf>
    <xf numFmtId="2" fontId="172" fillId="0" borderId="0" xfId="122" applyNumberFormat="1" applyFont="1"/>
    <xf numFmtId="0" fontId="167" fillId="0" borderId="0" xfId="182" applyFont="1" applyAlignment="1">
      <alignment horizontal="center"/>
    </xf>
    <xf numFmtId="171" fontId="170" fillId="0" borderId="0" xfId="149" applyNumberFormat="1" applyFont="1" applyBorder="1" applyAlignment="1">
      <alignment horizontal="center"/>
    </xf>
    <xf numFmtId="171" fontId="170" fillId="0" borderId="285" xfId="149" applyNumberFormat="1" applyFont="1" applyBorder="1" applyAlignment="1">
      <alignment horizontal="center"/>
    </xf>
    <xf numFmtId="0" fontId="167" fillId="0" borderId="285" xfId="182" applyFont="1" applyBorder="1" applyAlignment="1">
      <alignment horizontal="center"/>
    </xf>
    <xf numFmtId="10" fontId="167" fillId="0" borderId="0" xfId="0" applyNumberFormat="1" applyFont="1"/>
    <xf numFmtId="0" fontId="167" fillId="0" borderId="0" xfId="0" applyFont="1"/>
    <xf numFmtId="0" fontId="167" fillId="0" borderId="10" xfId="0" applyFont="1" applyBorder="1"/>
    <xf numFmtId="43" fontId="167" fillId="0" borderId="10" xfId="57" applyFont="1" applyFill="1" applyBorder="1"/>
    <xf numFmtId="0" fontId="167" fillId="0" borderId="0" xfId="0" applyFont="1" applyAlignment="1">
      <alignment horizontal="center"/>
    </xf>
    <xf numFmtId="0" fontId="173" fillId="0" borderId="0" xfId="0" applyFont="1" applyAlignment="1">
      <alignment horizontal="center"/>
    </xf>
    <xf numFmtId="0" fontId="168" fillId="0" borderId="53" xfId="0" applyFont="1" applyBorder="1" applyAlignment="1">
      <alignment vertical="center"/>
    </xf>
    <xf numFmtId="0" fontId="168" fillId="0" borderId="98" xfId="0" applyFont="1" applyBorder="1" applyAlignment="1">
      <alignment vertical="center"/>
    </xf>
    <xf numFmtId="0" fontId="168" fillId="0" borderId="98" xfId="0" applyFont="1" applyBorder="1" applyAlignment="1">
      <alignment horizontal="center" vertical="center"/>
    </xf>
    <xf numFmtId="0" fontId="168" fillId="0" borderId="100" xfId="0" applyFont="1" applyBorder="1" applyAlignment="1">
      <alignment horizontal="center" vertical="center"/>
    </xf>
    <xf numFmtId="0" fontId="168" fillId="0" borderId="157" xfId="0" applyFont="1" applyBorder="1" applyAlignment="1">
      <alignment horizontal="center" vertical="center"/>
    </xf>
    <xf numFmtId="0" fontId="168" fillId="0" borderId="177" xfId="0" applyFont="1" applyBorder="1" applyAlignment="1">
      <alignment horizontal="center" vertical="center"/>
    </xf>
    <xf numFmtId="0" fontId="168" fillId="0" borderId="173" xfId="0" applyFont="1" applyBorder="1" applyAlignment="1">
      <alignment horizontal="center" vertical="center"/>
    </xf>
    <xf numFmtId="0" fontId="168" fillId="0" borderId="190" xfId="0" applyFont="1" applyBorder="1" applyAlignment="1">
      <alignment horizontal="center" vertical="center"/>
    </xf>
    <xf numFmtId="10" fontId="167" fillId="0" borderId="56" xfId="0" applyNumberFormat="1" applyFont="1" applyBorder="1" applyAlignment="1">
      <alignment vertical="center"/>
    </xf>
    <xf numFmtId="0" fontId="167" fillId="0" borderId="0" xfId="0" applyFont="1" applyAlignment="1">
      <alignment vertical="center"/>
    </xf>
    <xf numFmtId="0" fontId="167" fillId="0" borderId="90" xfId="0" applyFont="1" applyBorder="1"/>
    <xf numFmtId="0" fontId="167" fillId="0" borderId="66" xfId="0" applyFont="1" applyBorder="1"/>
    <xf numFmtId="0" fontId="167" fillId="0" borderId="66" xfId="0" applyFont="1" applyBorder="1" applyAlignment="1">
      <alignment horizontal="center"/>
    </xf>
    <xf numFmtId="2" fontId="167" fillId="0" borderId="66" xfId="0" applyNumberFormat="1" applyFont="1" applyBorder="1" applyAlignment="1">
      <alignment horizontal="center"/>
    </xf>
    <xf numFmtId="0" fontId="167" fillId="0" borderId="63" xfId="0" applyFont="1" applyBorder="1" applyAlignment="1">
      <alignment horizontal="center"/>
    </xf>
    <xf numFmtId="0" fontId="173" fillId="0" borderId="66" xfId="0" applyFont="1" applyBorder="1" applyAlignment="1">
      <alignment horizontal="center"/>
    </xf>
    <xf numFmtId="0" fontId="173" fillId="0" borderId="63" xfId="0" applyFont="1" applyBorder="1" applyAlignment="1">
      <alignment horizontal="center"/>
    </xf>
    <xf numFmtId="171" fontId="173" fillId="0" borderId="11" xfId="149" applyNumberFormat="1" applyFont="1" applyFill="1" applyBorder="1" applyAlignment="1">
      <alignment horizontal="center"/>
    </xf>
    <xf numFmtId="171" fontId="173" fillId="0" borderId="156" xfId="149" applyNumberFormat="1" applyFont="1" applyFill="1" applyBorder="1" applyAlignment="1">
      <alignment horizontal="center"/>
    </xf>
    <xf numFmtId="171" fontId="173" fillId="0" borderId="175" xfId="149" applyNumberFormat="1" applyFont="1" applyFill="1" applyBorder="1" applyAlignment="1">
      <alignment horizontal="center"/>
    </xf>
    <xf numFmtId="171" fontId="167" fillId="0" borderId="292" xfId="149" applyNumberFormat="1" applyFont="1" applyFill="1" applyBorder="1" applyAlignment="1">
      <alignment horizontal="center"/>
    </xf>
    <xf numFmtId="171" fontId="167" fillId="0" borderId="134" xfId="149" applyNumberFormat="1" applyFont="1" applyFill="1" applyBorder="1" applyAlignment="1">
      <alignment horizontal="center"/>
    </xf>
    <xf numFmtId="0" fontId="168" fillId="0" borderId="90" xfId="0" applyFont="1" applyBorder="1"/>
    <xf numFmtId="3" fontId="168" fillId="0" borderId="66" xfId="0" applyNumberFormat="1" applyFont="1" applyBorder="1"/>
    <xf numFmtId="3" fontId="168" fillId="0" borderId="66" xfId="0" applyNumberFormat="1" applyFont="1" applyBorder="1" applyAlignment="1">
      <alignment horizontal="center"/>
    </xf>
    <xf numFmtId="3" fontId="167" fillId="0" borderId="66" xfId="0" applyNumberFormat="1" applyFont="1" applyBorder="1"/>
    <xf numFmtId="3" fontId="167" fillId="0" borderId="66" xfId="0" applyNumberFormat="1" applyFont="1" applyBorder="1" applyAlignment="1">
      <alignment horizontal="center"/>
    </xf>
    <xf numFmtId="171" fontId="167" fillId="0" borderId="66" xfId="0" applyNumberFormat="1" applyFont="1" applyBorder="1" applyAlignment="1">
      <alignment horizontal="center"/>
    </xf>
    <xf numFmtId="3" fontId="167" fillId="0" borderId="66" xfId="57" applyNumberFormat="1" applyFont="1" applyFill="1" applyBorder="1" applyAlignment="1">
      <alignment horizontal="center"/>
    </xf>
    <xf numFmtId="175" fontId="167" fillId="0" borderId="0" xfId="0" applyNumberFormat="1" applyFont="1"/>
    <xf numFmtId="176" fontId="167" fillId="0" borderId="66" xfId="0" applyNumberFormat="1" applyFont="1" applyBorder="1" applyAlignment="1">
      <alignment horizontal="center"/>
    </xf>
    <xf numFmtId="171" fontId="167" fillId="0" borderId="66" xfId="149" applyNumberFormat="1" applyFont="1" applyFill="1" applyBorder="1" applyAlignment="1">
      <alignment horizontal="center"/>
    </xf>
    <xf numFmtId="2" fontId="167" fillId="0" borderId="66" xfId="0" applyNumberFormat="1" applyFont="1" applyBorder="1"/>
    <xf numFmtId="4" fontId="167" fillId="0" borderId="66" xfId="0" applyNumberFormat="1" applyFont="1" applyBorder="1"/>
    <xf numFmtId="4" fontId="167" fillId="0" borderId="66" xfId="0" applyNumberFormat="1" applyFont="1" applyBorder="1" applyAlignment="1">
      <alignment horizontal="center"/>
    </xf>
    <xf numFmtId="172" fontId="167" fillId="0" borderId="66" xfId="0" applyNumberFormat="1" applyFont="1" applyBorder="1" applyAlignment="1">
      <alignment horizontal="center"/>
    </xf>
    <xf numFmtId="175" fontId="167" fillId="0" borderId="66" xfId="0" applyNumberFormat="1" applyFont="1" applyBorder="1"/>
    <xf numFmtId="175" fontId="167" fillId="0" borderId="66" xfId="0" applyNumberFormat="1" applyFont="1" applyBorder="1" applyAlignment="1">
      <alignment horizontal="center"/>
    </xf>
    <xf numFmtId="172" fontId="167" fillId="0" borderId="66" xfId="57" applyNumberFormat="1" applyFont="1" applyFill="1" applyBorder="1" applyAlignment="1">
      <alignment horizontal="center" vertical="center"/>
    </xf>
    <xf numFmtId="0" fontId="172" fillId="0" borderId="0" xfId="0" applyFont="1"/>
    <xf numFmtId="171" fontId="167" fillId="0" borderId="0" xfId="0" applyNumberFormat="1" applyFont="1"/>
    <xf numFmtId="0" fontId="167" fillId="0" borderId="321" xfId="0" applyFont="1" applyBorder="1"/>
    <xf numFmtId="0" fontId="168" fillId="0" borderId="0" xfId="0" applyFont="1" applyAlignment="1">
      <alignment horizontal="center" vertical="center"/>
    </xf>
    <xf numFmtId="10" fontId="168" fillId="0" borderId="0" xfId="0" applyNumberFormat="1" applyFont="1" applyAlignment="1">
      <alignment horizontal="center" vertical="center"/>
    </xf>
    <xf numFmtId="171" fontId="167" fillId="0" borderId="0" xfId="0" applyNumberFormat="1" applyFont="1" applyAlignment="1">
      <alignment horizontal="center" vertical="center"/>
    </xf>
    <xf numFmtId="10" fontId="167" fillId="0" borderId="0" xfId="0" applyNumberFormat="1" applyFont="1" applyAlignment="1">
      <alignment horizontal="center" vertical="center"/>
    </xf>
    <xf numFmtId="171" fontId="171" fillId="0" borderId="0" xfId="0" applyNumberFormat="1" applyFont="1"/>
    <xf numFmtId="0" fontId="172" fillId="0" borderId="0" xfId="0" applyFont="1" applyAlignment="1">
      <alignment horizontal="center"/>
    </xf>
    <xf numFmtId="3" fontId="167" fillId="0" borderId="0" xfId="0" applyNumberFormat="1" applyFont="1"/>
    <xf numFmtId="171" fontId="167" fillId="0" borderId="0" xfId="149" applyNumberFormat="1" applyFont="1" applyFill="1"/>
    <xf numFmtId="0" fontId="168" fillId="0" borderId="0" xfId="0" applyFont="1"/>
    <xf numFmtId="0" fontId="175" fillId="0" borderId="0" xfId="0" applyFont="1"/>
    <xf numFmtId="0" fontId="176" fillId="0" borderId="0" xfId="0" applyFont="1"/>
    <xf numFmtId="0" fontId="150" fillId="0" borderId="0" xfId="0" applyFont="1"/>
    <xf numFmtId="0" fontId="150" fillId="0" borderId="0" xfId="0" applyFont="1" applyAlignment="1">
      <alignment horizontal="center" vertical="center"/>
    </xf>
    <xf numFmtId="0" fontId="150" fillId="0" borderId="56" xfId="0" applyFont="1" applyBorder="1"/>
    <xf numFmtId="0" fontId="150" fillId="0" borderId="172" xfId="0" applyFont="1" applyBorder="1" applyAlignment="1">
      <alignment horizontal="center" vertical="center"/>
    </xf>
    <xf numFmtId="0" fontId="150" fillId="32" borderId="172" xfId="0" applyFont="1" applyFill="1" applyBorder="1" applyAlignment="1">
      <alignment horizontal="center" vertical="center"/>
    </xf>
    <xf numFmtId="175" fontId="150" fillId="0" borderId="330" xfId="0" applyNumberFormat="1" applyFont="1" applyBorder="1" applyAlignment="1">
      <alignment horizontal="center"/>
    </xf>
    <xf numFmtId="0" fontId="150" fillId="0" borderId="24" xfId="0" applyFont="1" applyBorder="1"/>
    <xf numFmtId="2" fontId="150" fillId="0" borderId="0" xfId="0" applyNumberFormat="1" applyFont="1" applyAlignment="1">
      <alignment horizontal="center"/>
    </xf>
    <xf numFmtId="4" fontId="150" fillId="0" borderId="0" xfId="0" applyNumberFormat="1" applyFont="1"/>
    <xf numFmtId="171" fontId="150" fillId="0" borderId="0" xfId="0" applyNumberFormat="1" applyFont="1"/>
    <xf numFmtId="0" fontId="158" fillId="0" borderId="10" xfId="0" applyFont="1" applyBorder="1"/>
    <xf numFmtId="0" fontId="158" fillId="0" borderId="217" xfId="0" applyFont="1" applyBorder="1"/>
    <xf numFmtId="0" fontId="158" fillId="0" borderId="10" xfId="0" applyFont="1" applyBorder="1" applyAlignment="1">
      <alignment horizontal="center"/>
    </xf>
    <xf numFmtId="0" fontId="157" fillId="0" borderId="0" xfId="0" applyFont="1"/>
    <xf numFmtId="0" fontId="180" fillId="0" borderId="0" xfId="0" applyFont="1"/>
    <xf numFmtId="0" fontId="180" fillId="0" borderId="322" xfId="0" applyFont="1" applyBorder="1"/>
    <xf numFmtId="2" fontId="180" fillId="0" borderId="322" xfId="0" applyNumberFormat="1" applyFont="1" applyBorder="1"/>
    <xf numFmtId="0" fontId="180" fillId="0" borderId="322" xfId="0" applyFont="1" applyBorder="1" applyAlignment="1">
      <alignment horizontal="center"/>
    </xf>
    <xf numFmtId="2" fontId="179" fillId="32" borderId="322" xfId="0" applyNumberFormat="1" applyFont="1" applyFill="1" applyBorder="1" applyAlignment="1">
      <alignment horizontal="center" vertical="center"/>
    </xf>
    <xf numFmtId="0" fontId="179" fillId="32" borderId="322" xfId="0" applyFont="1" applyFill="1" applyBorder="1" applyAlignment="1">
      <alignment horizontal="center" vertical="center"/>
    </xf>
    <xf numFmtId="2" fontId="179" fillId="32" borderId="323" xfId="0" applyNumberFormat="1" applyFont="1" applyFill="1" applyBorder="1" applyAlignment="1">
      <alignment horizontal="center" vertical="center"/>
    </xf>
    <xf numFmtId="2" fontId="179" fillId="32" borderId="289" xfId="0" applyNumberFormat="1" applyFont="1" applyFill="1" applyBorder="1" applyAlignment="1">
      <alignment horizontal="center" vertical="center"/>
    </xf>
    <xf numFmtId="2" fontId="179" fillId="32" borderId="329" xfId="0" applyNumberFormat="1" applyFont="1" applyFill="1" applyBorder="1" applyAlignment="1">
      <alignment horizontal="center" vertical="center"/>
    </xf>
    <xf numFmtId="2" fontId="179" fillId="32" borderId="327" xfId="0" applyNumberFormat="1" applyFont="1" applyFill="1" applyBorder="1" applyAlignment="1">
      <alignment horizontal="center" vertical="center"/>
    </xf>
    <xf numFmtId="0" fontId="181" fillId="0" borderId="0" xfId="0" applyFont="1"/>
    <xf numFmtId="2" fontId="180" fillId="0" borderId="0" xfId="0" applyNumberFormat="1" applyFont="1"/>
    <xf numFmtId="10" fontId="180" fillId="0" borderId="0" xfId="0" applyNumberFormat="1" applyFont="1"/>
    <xf numFmtId="175" fontId="180" fillId="0" borderId="0" xfId="0" applyNumberFormat="1" applyFont="1"/>
    <xf numFmtId="0" fontId="180" fillId="0" borderId="0" xfId="0" applyFont="1" applyAlignment="1">
      <alignment horizontal="center"/>
    </xf>
    <xf numFmtId="10" fontId="180" fillId="0" borderId="322" xfId="0" applyNumberFormat="1" applyFont="1" applyBorder="1"/>
    <xf numFmtId="0" fontId="180" fillId="32" borderId="0" xfId="0" applyFont="1" applyFill="1"/>
    <xf numFmtId="2" fontId="180" fillId="32" borderId="0" xfId="0" applyNumberFormat="1" applyFont="1" applyFill="1"/>
    <xf numFmtId="0" fontId="182" fillId="0" borderId="0" xfId="0" applyFont="1"/>
    <xf numFmtId="0" fontId="180" fillId="0" borderId="321" xfId="0" applyFont="1" applyBorder="1"/>
    <xf numFmtId="0" fontId="180" fillId="0" borderId="321" xfId="0" applyFont="1" applyBorder="1" applyAlignment="1">
      <alignment horizontal="center"/>
    </xf>
    <xf numFmtId="171" fontId="180" fillId="0" borderId="0" xfId="149" applyNumberFormat="1" applyFont="1" applyFill="1" applyBorder="1" applyAlignment="1">
      <alignment horizontal="center"/>
    </xf>
    <xf numFmtId="0" fontId="180" fillId="0" borderId="116" xfId="0" applyFont="1" applyBorder="1" applyAlignment="1">
      <alignment horizontal="center"/>
    </xf>
    <xf numFmtId="1" fontId="157" fillId="0" borderId="173" xfId="0" applyNumberFormat="1" applyFont="1" applyBorder="1" applyAlignment="1">
      <alignment horizontal="center"/>
    </xf>
    <xf numFmtId="3" fontId="158" fillId="0" borderId="200" xfId="0" applyNumberFormat="1" applyFont="1" applyBorder="1" applyAlignment="1">
      <alignment horizontal="center"/>
    </xf>
    <xf numFmtId="3" fontId="158" fillId="0" borderId="0" xfId="0" applyNumberFormat="1" applyFont="1" applyAlignment="1">
      <alignment horizontal="center"/>
    </xf>
    <xf numFmtId="3" fontId="158" fillId="0" borderId="56" xfId="0" applyNumberFormat="1" applyFont="1" applyBorder="1"/>
    <xf numFmtId="171" fontId="184" fillId="0" borderId="200" xfId="149" applyNumberFormat="1" applyFont="1" applyFill="1" applyBorder="1" applyAlignment="1">
      <alignment horizontal="center"/>
    </xf>
    <xf numFmtId="2" fontId="156" fillId="0" borderId="0" xfId="0" applyNumberFormat="1" applyFont="1"/>
    <xf numFmtId="0" fontId="156" fillId="0" borderId="0" xfId="122" applyFont="1"/>
    <xf numFmtId="4" fontId="151" fillId="0" borderId="274" xfId="1446" applyNumberFormat="1" applyFont="1" applyBorder="1" applyAlignment="1">
      <alignment horizontal="left"/>
    </xf>
    <xf numFmtId="0" fontId="147" fillId="0" borderId="188" xfId="0" applyFont="1" applyBorder="1" applyAlignment="1">
      <alignment horizontal="center"/>
    </xf>
    <xf numFmtId="0" fontId="147" fillId="0" borderId="291" xfId="0" applyFont="1" applyBorder="1" applyAlignment="1">
      <alignment horizontal="center"/>
    </xf>
    <xf numFmtId="2" fontId="146" fillId="0" borderId="200" xfId="0" applyNumberFormat="1" applyFont="1" applyBorder="1" applyAlignment="1">
      <alignment horizontal="center" vertical="center"/>
    </xf>
    <xf numFmtId="2" fontId="147" fillId="0" borderId="296" xfId="0" applyNumberFormat="1" applyFont="1" applyBorder="1" applyAlignment="1">
      <alignment horizontal="center" vertical="center"/>
    </xf>
    <xf numFmtId="0" fontId="147" fillId="0" borderId="214" xfId="0" applyFont="1" applyBorder="1" applyAlignment="1">
      <alignment horizontal="center"/>
    </xf>
    <xf numFmtId="0" fontId="147" fillId="0" borderId="346" xfId="0" applyFont="1" applyBorder="1" applyAlignment="1">
      <alignment horizontal="center"/>
    </xf>
    <xf numFmtId="0" fontId="147" fillId="0" borderId="347" xfId="0" applyFont="1" applyBorder="1" applyAlignment="1">
      <alignment horizontal="center"/>
    </xf>
    <xf numFmtId="0" fontId="147" fillId="0" borderId="348" xfId="0" applyFont="1" applyBorder="1" applyAlignment="1">
      <alignment horizontal="center"/>
    </xf>
    <xf numFmtId="2" fontId="146" fillId="0" borderId="0" xfId="0" applyNumberFormat="1" applyFont="1" applyAlignment="1">
      <alignment vertical="center"/>
    </xf>
    <xf numFmtId="0" fontId="146" fillId="0" borderId="0" xfId="0" applyFont="1" applyAlignment="1">
      <alignment vertical="center"/>
    </xf>
    <xf numFmtId="175" fontId="146" fillId="0" borderId="0" xfId="0" applyNumberFormat="1" applyFont="1" applyAlignment="1">
      <alignment vertical="center"/>
    </xf>
    <xf numFmtId="175" fontId="146" fillId="0" borderId="200" xfId="0" applyNumberFormat="1" applyFont="1" applyBorder="1" applyAlignment="1">
      <alignment horizontal="center" vertical="center"/>
    </xf>
    <xf numFmtId="175" fontId="146" fillId="0" borderId="198" xfId="0" applyNumberFormat="1" applyFont="1" applyBorder="1" applyAlignment="1">
      <alignment horizontal="center" vertical="center"/>
    </xf>
    <xf numFmtId="2" fontId="146" fillId="0" borderId="0" xfId="0" applyNumberFormat="1" applyFont="1" applyAlignment="1">
      <alignment horizontal="center" vertical="center"/>
    </xf>
    <xf numFmtId="2" fontId="146" fillId="0" borderId="292" xfId="0" applyNumberFormat="1" applyFont="1" applyBorder="1" applyAlignment="1">
      <alignment horizontal="center" vertical="center"/>
    </xf>
    <xf numFmtId="181" fontId="146" fillId="0" borderId="302" xfId="0" applyNumberFormat="1" applyFont="1" applyBorder="1" applyAlignment="1">
      <alignment horizontal="center" vertical="center"/>
    </xf>
    <xf numFmtId="181" fontId="146" fillId="0" borderId="331" xfId="0" applyNumberFormat="1" applyFont="1" applyBorder="1" applyAlignment="1">
      <alignment horizontal="center" vertical="center"/>
    </xf>
    <xf numFmtId="181" fontId="146" fillId="0" borderId="329" xfId="0" applyNumberFormat="1" applyFont="1" applyBorder="1" applyAlignment="1">
      <alignment horizontal="center" vertical="center"/>
    </xf>
    <xf numFmtId="181" fontId="146" fillId="0" borderId="280" xfId="0" applyNumberFormat="1" applyFont="1" applyBorder="1" applyAlignment="1">
      <alignment horizontal="center" vertical="center"/>
    </xf>
    <xf numFmtId="181" fontId="146" fillId="0" borderId="335" xfId="0" applyNumberFormat="1" applyFont="1" applyBorder="1" applyAlignment="1">
      <alignment horizontal="center" vertical="center"/>
    </xf>
    <xf numFmtId="2" fontId="147" fillId="0" borderId="284" xfId="0" applyNumberFormat="1" applyFont="1" applyBorder="1" applyAlignment="1">
      <alignment horizontal="center" vertical="center"/>
    </xf>
    <xf numFmtId="0" fontId="147" fillId="0" borderId="284" xfId="0" applyFont="1" applyBorder="1" applyAlignment="1">
      <alignment horizontal="center" vertical="center"/>
    </xf>
    <xf numFmtId="181" fontId="147" fillId="0" borderId="296" xfId="0" applyNumberFormat="1" applyFont="1" applyBorder="1" applyAlignment="1">
      <alignment horizontal="center"/>
    </xf>
    <xf numFmtId="0" fontId="146" fillId="0" borderId="0" xfId="122" applyFont="1"/>
    <xf numFmtId="0" fontId="146" fillId="0" borderId="0" xfId="122" applyFont="1" applyAlignment="1">
      <alignment horizontal="center"/>
    </xf>
    <xf numFmtId="171" fontId="146" fillId="0" borderId="0" xfId="122" applyNumberFormat="1" applyFont="1" applyAlignment="1">
      <alignment horizontal="center"/>
    </xf>
    <xf numFmtId="10" fontId="146" fillId="0" borderId="0" xfId="122" applyNumberFormat="1" applyFont="1" applyAlignment="1">
      <alignment horizontal="center"/>
    </xf>
    <xf numFmtId="0" fontId="147" fillId="0" borderId="90" xfId="122" applyFont="1" applyBorder="1"/>
    <xf numFmtId="0" fontId="146" fillId="0" borderId="90" xfId="122" applyFont="1" applyBorder="1"/>
    <xf numFmtId="0" fontId="146" fillId="0" borderId="90" xfId="122" applyFont="1" applyBorder="1" applyAlignment="1">
      <alignment horizontal="left" indent="1"/>
    </xf>
    <xf numFmtId="0" fontId="147" fillId="0" borderId="0" xfId="122" applyFont="1"/>
    <xf numFmtId="2" fontId="156" fillId="0" borderId="0" xfId="122" applyNumberFormat="1" applyFont="1"/>
    <xf numFmtId="2" fontId="156" fillId="0" borderId="0" xfId="122" applyNumberFormat="1" applyFont="1" applyAlignment="1">
      <alignment horizontal="center"/>
    </xf>
    <xf numFmtId="0" fontId="156" fillId="0" borderId="0" xfId="122" applyFont="1" applyAlignment="1">
      <alignment horizontal="center"/>
    </xf>
    <xf numFmtId="172" fontId="146" fillId="0" borderId="0" xfId="122" applyNumberFormat="1" applyFont="1" applyAlignment="1">
      <alignment horizontal="center"/>
    </xf>
    <xf numFmtId="43" fontId="146" fillId="0" borderId="0" xfId="57" applyFont="1" applyFill="1"/>
    <xf numFmtId="174" fontId="146" fillId="0" borderId="0" xfId="57" applyNumberFormat="1" applyFont="1" applyFill="1"/>
    <xf numFmtId="174" fontId="146" fillId="0" borderId="0" xfId="57" applyNumberFormat="1" applyFont="1" applyFill="1" applyBorder="1"/>
    <xf numFmtId="174" fontId="146" fillId="0" borderId="0" xfId="57" applyNumberFormat="1" applyFont="1" applyFill="1" applyAlignment="1">
      <alignment horizontal="center"/>
    </xf>
    <xf numFmtId="171" fontId="146" fillId="0" borderId="0" xfId="149" applyNumberFormat="1" applyFont="1" applyFill="1"/>
    <xf numFmtId="0" fontId="146" fillId="0" borderId="329" xfId="122" applyFont="1" applyBorder="1"/>
    <xf numFmtId="171" fontId="150" fillId="0" borderId="0" xfId="149" applyNumberFormat="1" applyFont="1" applyFill="1"/>
    <xf numFmtId="172" fontId="155" fillId="0" borderId="116" xfId="122" applyNumberFormat="1" applyFont="1" applyBorder="1" applyAlignment="1">
      <alignment horizontal="center"/>
    </xf>
    <xf numFmtId="171" fontId="150" fillId="0" borderId="0" xfId="149" applyNumberFormat="1" applyFont="1" applyFill="1" applyAlignment="1">
      <alignment horizontal="center"/>
    </xf>
    <xf numFmtId="171" fontId="146" fillId="0" borderId="329" xfId="122" applyNumberFormat="1" applyFont="1" applyBorder="1" applyAlignment="1">
      <alignment horizontal="center"/>
    </xf>
    <xf numFmtId="3" fontId="183" fillId="0" borderId="66" xfId="0" applyNumberFormat="1" applyFont="1" applyBorder="1" applyAlignment="1">
      <alignment horizontal="center"/>
    </xf>
    <xf numFmtId="171" fontId="183" fillId="0" borderId="134" xfId="149" applyNumberFormat="1" applyFont="1" applyFill="1" applyBorder="1" applyAlignment="1">
      <alignment horizontal="center"/>
    </xf>
    <xf numFmtId="178" fontId="183" fillId="0" borderId="0" xfId="57" applyNumberFormat="1" applyFont="1" applyFill="1" applyBorder="1" applyAlignment="1">
      <alignment horizontal="center"/>
    </xf>
    <xf numFmtId="0" fontId="184" fillId="0" borderId="66" xfId="0" applyFont="1" applyBorder="1" applyAlignment="1">
      <alignment horizontal="center"/>
    </xf>
    <xf numFmtId="3" fontId="184" fillId="0" borderId="66" xfId="0" applyNumberFormat="1" applyFont="1" applyBorder="1" applyAlignment="1">
      <alignment horizontal="center"/>
    </xf>
    <xf numFmtId="3" fontId="184" fillId="0" borderId="63" xfId="0" applyNumberFormat="1" applyFont="1" applyBorder="1" applyAlignment="1">
      <alignment horizontal="center"/>
    </xf>
    <xf numFmtId="171" fontId="184" fillId="0" borderId="11" xfId="149" applyNumberFormat="1" applyFont="1" applyFill="1" applyBorder="1" applyAlignment="1">
      <alignment horizontal="center"/>
    </xf>
    <xf numFmtId="3" fontId="184" fillId="0" borderId="200" xfId="0" applyNumberFormat="1" applyFont="1" applyBorder="1" applyAlignment="1">
      <alignment horizontal="center"/>
    </xf>
    <xf numFmtId="3" fontId="184" fillId="0" borderId="11" xfId="0" applyNumberFormat="1" applyFont="1" applyBorder="1" applyAlignment="1">
      <alignment horizontal="center"/>
    </xf>
    <xf numFmtId="9" fontId="184" fillId="0" borderId="175" xfId="149" applyFont="1" applyFill="1" applyBorder="1" applyAlignment="1">
      <alignment horizontal="center"/>
    </xf>
    <xf numFmtId="3" fontId="184" fillId="0" borderId="156" xfId="0" applyNumberFormat="1" applyFont="1" applyBorder="1" applyAlignment="1">
      <alignment horizontal="center"/>
    </xf>
    <xf numFmtId="3" fontId="184" fillId="0" borderId="175" xfId="0" applyNumberFormat="1" applyFont="1" applyBorder="1" applyAlignment="1">
      <alignment horizontal="center"/>
    </xf>
    <xf numFmtId="171" fontId="191" fillId="0" borderId="156" xfId="149" applyNumberFormat="1" applyFont="1" applyFill="1" applyBorder="1" applyAlignment="1">
      <alignment horizontal="center"/>
    </xf>
    <xf numFmtId="9" fontId="184" fillId="0" borderId="156" xfId="149" applyFont="1" applyFill="1" applyBorder="1" applyAlignment="1">
      <alignment horizontal="center"/>
    </xf>
    <xf numFmtId="178" fontId="183" fillId="0" borderId="56" xfId="57" applyNumberFormat="1" applyFont="1" applyFill="1" applyBorder="1" applyAlignment="1">
      <alignment horizontal="center"/>
    </xf>
    <xf numFmtId="171" fontId="184" fillId="0" borderId="66" xfId="149" applyNumberFormat="1" applyFont="1" applyFill="1" applyBorder="1" applyAlignment="1">
      <alignment horizontal="center"/>
    </xf>
    <xf numFmtId="171" fontId="184" fillId="0" borderId="63" xfId="149" applyNumberFormat="1" applyFont="1" applyFill="1" applyBorder="1" applyAlignment="1">
      <alignment horizontal="center"/>
    </xf>
    <xf numFmtId="171" fontId="184" fillId="0" borderId="156" xfId="149" applyNumberFormat="1" applyFont="1" applyFill="1" applyBorder="1" applyAlignment="1">
      <alignment horizontal="center"/>
    </xf>
    <xf numFmtId="171" fontId="184" fillId="0" borderId="175" xfId="149" applyNumberFormat="1" applyFont="1" applyFill="1" applyBorder="1" applyAlignment="1">
      <alignment horizontal="center"/>
    </xf>
    <xf numFmtId="10" fontId="183" fillId="0" borderId="56" xfId="149" applyNumberFormat="1" applyFont="1" applyFill="1" applyBorder="1" applyAlignment="1">
      <alignment horizontal="center"/>
    </xf>
    <xf numFmtId="2" fontId="184" fillId="0" borderId="66" xfId="0" applyNumberFormat="1" applyFont="1" applyBorder="1" applyAlignment="1">
      <alignment horizontal="center"/>
    </xf>
    <xf numFmtId="2" fontId="184" fillId="0" borderId="200" xfId="0" applyNumberFormat="1" applyFont="1" applyBorder="1" applyAlignment="1">
      <alignment horizontal="center"/>
    </xf>
    <xf numFmtId="172" fontId="184" fillId="0" borderId="66" xfId="0" applyNumberFormat="1" applyFont="1" applyBorder="1" applyAlignment="1">
      <alignment horizontal="center"/>
    </xf>
    <xf numFmtId="172" fontId="184" fillId="0" borderId="63" xfId="0" applyNumberFormat="1" applyFont="1" applyBorder="1" applyAlignment="1">
      <alignment horizontal="center"/>
    </xf>
    <xf numFmtId="172" fontId="184" fillId="0" borderId="11" xfId="0" applyNumberFormat="1" applyFont="1" applyBorder="1" applyAlignment="1">
      <alignment horizontal="center"/>
    </xf>
    <xf numFmtId="172" fontId="184" fillId="0" borderId="156" xfId="0" applyNumberFormat="1" applyFont="1" applyBorder="1" applyAlignment="1">
      <alignment horizontal="center"/>
    </xf>
    <xf numFmtId="172" fontId="184" fillId="0" borderId="175" xfId="0" applyNumberFormat="1" applyFont="1" applyBorder="1" applyAlignment="1">
      <alignment horizontal="center"/>
    </xf>
    <xf numFmtId="172" fontId="184" fillId="0" borderId="200" xfId="0" applyNumberFormat="1" applyFont="1" applyBorder="1" applyAlignment="1">
      <alignment horizontal="center"/>
    </xf>
    <xf numFmtId="172" fontId="184" fillId="0" borderId="66" xfId="57" applyNumberFormat="1" applyFont="1" applyFill="1" applyBorder="1" applyAlignment="1">
      <alignment horizontal="center" vertical="center"/>
    </xf>
    <xf numFmtId="172" fontId="184" fillId="0" borderId="63" xfId="57" applyNumberFormat="1" applyFont="1" applyFill="1" applyBorder="1" applyAlignment="1">
      <alignment horizontal="center" vertical="center"/>
    </xf>
    <xf numFmtId="172" fontId="184" fillId="0" borderId="11" xfId="57" applyNumberFormat="1" applyFont="1" applyFill="1" applyBorder="1" applyAlignment="1">
      <alignment horizontal="center" vertical="center"/>
    </xf>
    <xf numFmtId="172" fontId="184" fillId="0" borderId="156" xfId="57" applyNumberFormat="1" applyFont="1" applyFill="1" applyBorder="1" applyAlignment="1">
      <alignment horizontal="center" vertical="center"/>
    </xf>
    <xf numFmtId="172" fontId="184" fillId="0" borderId="219" xfId="57" applyNumberFormat="1" applyFont="1" applyFill="1" applyBorder="1" applyAlignment="1">
      <alignment horizontal="center" vertical="center"/>
    </xf>
    <xf numFmtId="172" fontId="184" fillId="0" borderId="200" xfId="57" applyNumberFormat="1" applyFont="1" applyFill="1" applyBorder="1" applyAlignment="1">
      <alignment horizontal="center" vertical="center"/>
    </xf>
    <xf numFmtId="171" fontId="184" fillId="0" borderId="66" xfId="149" applyNumberFormat="1" applyFont="1" applyFill="1" applyBorder="1" applyAlignment="1">
      <alignment horizontal="center" vertical="center"/>
    </xf>
    <xf numFmtId="172" fontId="184" fillId="0" borderId="66" xfId="149" applyNumberFormat="1" applyFont="1" applyFill="1" applyBorder="1" applyAlignment="1">
      <alignment horizontal="center" vertical="center"/>
    </xf>
    <xf numFmtId="172" fontId="184" fillId="0" borderId="63" xfId="149" applyNumberFormat="1" applyFont="1" applyFill="1" applyBorder="1" applyAlignment="1">
      <alignment horizontal="center" vertical="center"/>
    </xf>
    <xf numFmtId="172" fontId="191" fillId="0" borderId="66" xfId="149" applyNumberFormat="1" applyFont="1" applyFill="1" applyBorder="1" applyAlignment="1">
      <alignment horizontal="center" vertical="center"/>
    </xf>
    <xf numFmtId="171" fontId="191" fillId="0" borderId="11" xfId="149" applyNumberFormat="1" applyFont="1" applyFill="1" applyBorder="1" applyAlignment="1">
      <alignment horizontal="center" vertical="center"/>
    </xf>
    <xf numFmtId="172" fontId="191" fillId="0" borderId="66" xfId="0" applyNumberFormat="1" applyFont="1" applyBorder="1" applyAlignment="1">
      <alignment horizontal="center"/>
    </xf>
    <xf numFmtId="175" fontId="191" fillId="0" borderId="63" xfId="0" applyNumberFormat="1" applyFont="1" applyBorder="1" applyAlignment="1">
      <alignment horizontal="center"/>
    </xf>
    <xf numFmtId="175" fontId="191" fillId="0" borderId="11" xfId="0" applyNumberFormat="1" applyFont="1" applyBorder="1" applyAlignment="1">
      <alignment horizontal="center"/>
    </xf>
    <xf numFmtId="175" fontId="184" fillId="0" borderId="156" xfId="0" applyNumberFormat="1" applyFont="1" applyBorder="1" applyAlignment="1">
      <alignment horizontal="center"/>
    </xf>
    <xf numFmtId="10" fontId="183" fillId="0" borderId="0" xfId="149" applyNumberFormat="1" applyFont="1" applyFill="1" applyBorder="1" applyAlignment="1">
      <alignment horizontal="center"/>
    </xf>
    <xf numFmtId="172" fontId="185" fillId="0" borderId="63" xfId="0" applyNumberFormat="1" applyFont="1" applyBorder="1" applyAlignment="1">
      <alignment horizontal="center"/>
    </xf>
    <xf numFmtId="172" fontId="185" fillId="0" borderId="66" xfId="0" applyNumberFormat="1" applyFont="1" applyBorder="1" applyAlignment="1">
      <alignment horizontal="center"/>
    </xf>
    <xf numFmtId="172" fontId="185" fillId="0" borderId="11" xfId="0" applyNumberFormat="1" applyFont="1" applyBorder="1" applyAlignment="1">
      <alignment horizontal="center"/>
    </xf>
    <xf numFmtId="172" fontId="191" fillId="0" borderId="63" xfId="0" applyNumberFormat="1" applyFont="1" applyBorder="1" applyAlignment="1">
      <alignment horizontal="center"/>
    </xf>
    <xf numFmtId="172" fontId="191" fillId="0" borderId="11" xfId="0" applyNumberFormat="1" applyFont="1" applyBorder="1" applyAlignment="1">
      <alignment horizontal="center"/>
    </xf>
    <xf numFmtId="172" fontId="191" fillId="0" borderId="156" xfId="0" applyNumberFormat="1" applyFont="1" applyBorder="1" applyAlignment="1">
      <alignment horizontal="center"/>
    </xf>
    <xf numFmtId="172" fontId="191" fillId="0" borderId="175" xfId="0" applyNumberFormat="1" applyFont="1" applyBorder="1" applyAlignment="1">
      <alignment horizontal="center"/>
    </xf>
    <xf numFmtId="0" fontId="157" fillId="0" borderId="173" xfId="0" applyFont="1" applyBorder="1" applyAlignment="1">
      <alignment horizontal="center"/>
    </xf>
    <xf numFmtId="0" fontId="151" fillId="0" borderId="0" xfId="0" applyFont="1" applyAlignment="1">
      <alignment horizontal="center"/>
    </xf>
    <xf numFmtId="0" fontId="151" fillId="0" borderId="90" xfId="0" applyFont="1" applyBorder="1" applyAlignment="1">
      <alignment horizontal="center"/>
    </xf>
    <xf numFmtId="10" fontId="150" fillId="0" borderId="0" xfId="0" applyNumberFormat="1" applyFont="1" applyAlignment="1">
      <alignment horizontal="center"/>
    </xf>
    <xf numFmtId="0" fontId="150" fillId="0" borderId="0" xfId="0" applyFont="1" applyAlignment="1">
      <alignment horizontal="center"/>
    </xf>
    <xf numFmtId="0" fontId="160" fillId="0" borderId="0" xfId="0" applyFont="1"/>
    <xf numFmtId="172" fontId="184" fillId="0" borderId="329" xfId="57" applyNumberFormat="1" applyFont="1" applyFill="1" applyBorder="1" applyAlignment="1">
      <alignment horizontal="center" vertical="center"/>
    </xf>
    <xf numFmtId="4" fontId="154" fillId="0" borderId="0" xfId="1446" applyNumberFormat="1" applyFont="1" applyAlignment="1">
      <alignment horizontal="center"/>
    </xf>
    <xf numFmtId="0" fontId="167" fillId="0" borderId="321" xfId="0" applyFont="1" applyBorder="1" applyAlignment="1">
      <alignment horizontal="center"/>
    </xf>
    <xf numFmtId="0" fontId="186" fillId="0" borderId="0" xfId="0" applyFont="1"/>
    <xf numFmtId="0" fontId="186" fillId="0" borderId="0" xfId="0" applyFont="1" applyAlignment="1">
      <alignment horizontal="center"/>
    </xf>
    <xf numFmtId="0" fontId="186" fillId="0" borderId="56" xfId="0" applyFont="1" applyBorder="1"/>
    <xf numFmtId="0" fontId="194" fillId="0" borderId="0" xfId="0" applyFont="1"/>
    <xf numFmtId="0" fontId="195" fillId="0" borderId="0" xfId="122" applyFont="1"/>
    <xf numFmtId="0" fontId="192" fillId="0" borderId="0" xfId="122" applyFont="1"/>
    <xf numFmtId="0" fontId="192" fillId="0" borderId="10" xfId="122" applyFont="1" applyBorder="1"/>
    <xf numFmtId="0" fontId="192" fillId="0" borderId="60" xfId="122" applyFont="1" applyBorder="1"/>
    <xf numFmtId="0" fontId="192" fillId="0" borderId="96" xfId="122" applyFont="1" applyBorder="1"/>
    <xf numFmtId="0" fontId="192" fillId="0" borderId="146" xfId="122" applyFont="1" applyBorder="1"/>
    <xf numFmtId="0" fontId="192" fillId="0" borderId="178" xfId="122" applyFont="1" applyBorder="1"/>
    <xf numFmtId="0" fontId="192" fillId="0" borderId="354" xfId="122" applyFont="1" applyBorder="1"/>
    <xf numFmtId="175" fontId="192" fillId="0" borderId="0" xfId="122" applyNumberFormat="1" applyFont="1"/>
    <xf numFmtId="0" fontId="195" fillId="0" borderId="56" xfId="122" applyFont="1" applyBorder="1"/>
    <xf numFmtId="0" fontId="195" fillId="0" borderId="63" xfId="122" applyFont="1" applyBorder="1" applyAlignment="1">
      <alignment horizontal="center"/>
    </xf>
    <xf numFmtId="0" fontId="195" fillId="0" borderId="66" xfId="122" applyFont="1" applyBorder="1" applyAlignment="1">
      <alignment horizontal="center"/>
    </xf>
    <xf numFmtId="0" fontId="195" fillId="0" borderId="155" xfId="122" applyFont="1" applyBorder="1" applyAlignment="1">
      <alignment horizontal="center"/>
    </xf>
    <xf numFmtId="0" fontId="195" fillId="0" borderId="329" xfId="122" applyFont="1" applyBorder="1" applyAlignment="1">
      <alignment horizontal="center"/>
    </xf>
    <xf numFmtId="0" fontId="195" fillId="0" borderId="127" xfId="122" applyFont="1" applyBorder="1" applyAlignment="1">
      <alignment horizontal="center"/>
    </xf>
    <xf numFmtId="0" fontId="195" fillId="0" borderId="184" xfId="122" applyFont="1" applyBorder="1" applyAlignment="1">
      <alignment horizontal="center"/>
    </xf>
    <xf numFmtId="0" fontId="195" fillId="33" borderId="331" xfId="122" applyFont="1" applyFill="1" applyBorder="1" applyAlignment="1">
      <alignment horizontal="center"/>
    </xf>
    <xf numFmtId="0" fontId="192" fillId="33" borderId="330" xfId="122" applyFont="1" applyFill="1" applyBorder="1" applyAlignment="1">
      <alignment horizontal="center"/>
    </xf>
    <xf numFmtId="175" fontId="195" fillId="33" borderId="329" xfId="122" applyNumberFormat="1" applyFont="1" applyFill="1" applyBorder="1" applyAlignment="1">
      <alignment horizontal="center"/>
    </xf>
    <xf numFmtId="171" fontId="195" fillId="33" borderId="330" xfId="122" applyNumberFormat="1" applyFont="1" applyFill="1" applyBorder="1" applyAlignment="1">
      <alignment horizontal="center"/>
    </xf>
    <xf numFmtId="171" fontId="192" fillId="0" borderId="0" xfId="149" applyNumberFormat="1" applyFont="1" applyFill="1"/>
    <xf numFmtId="175" fontId="192" fillId="33" borderId="331" xfId="122" applyNumberFormat="1" applyFont="1" applyFill="1" applyBorder="1" applyAlignment="1">
      <alignment horizontal="center"/>
    </xf>
    <xf numFmtId="171" fontId="192" fillId="33" borderId="330" xfId="122" applyNumberFormat="1" applyFont="1" applyFill="1" applyBorder="1" applyAlignment="1">
      <alignment horizontal="center"/>
    </xf>
    <xf numFmtId="0" fontId="197" fillId="0" borderId="0" xfId="122" applyFont="1"/>
    <xf numFmtId="175" fontId="197" fillId="33" borderId="331" xfId="122" applyNumberFormat="1" applyFont="1" applyFill="1" applyBorder="1" applyAlignment="1">
      <alignment horizontal="center"/>
    </xf>
    <xf numFmtId="175" fontId="197" fillId="0" borderId="0" xfId="122" applyNumberFormat="1" applyFont="1"/>
    <xf numFmtId="171" fontId="192" fillId="33" borderId="331" xfId="122" applyNumberFormat="1" applyFont="1" applyFill="1" applyBorder="1" applyAlignment="1">
      <alignment horizontal="center"/>
    </xf>
    <xf numFmtId="175" fontId="192" fillId="33" borderId="331" xfId="149" applyNumberFormat="1" applyFont="1" applyFill="1" applyBorder="1" applyAlignment="1">
      <alignment horizontal="center"/>
    </xf>
    <xf numFmtId="175" fontId="198" fillId="33" borderId="331" xfId="122" applyNumberFormat="1" applyFont="1" applyFill="1" applyBorder="1" applyAlignment="1">
      <alignment horizontal="center"/>
    </xf>
    <xf numFmtId="175" fontId="199" fillId="33" borderId="331" xfId="122" applyNumberFormat="1" applyFont="1" applyFill="1" applyBorder="1" applyAlignment="1">
      <alignment horizontal="center"/>
    </xf>
    <xf numFmtId="171" fontId="197" fillId="33" borderId="330" xfId="122" applyNumberFormat="1" applyFont="1" applyFill="1" applyBorder="1" applyAlignment="1">
      <alignment horizontal="center"/>
    </xf>
    <xf numFmtId="172" fontId="195" fillId="33" borderId="329" xfId="57" applyNumberFormat="1" applyFont="1" applyFill="1" applyBorder="1" applyAlignment="1">
      <alignment horizontal="center"/>
    </xf>
    <xf numFmtId="175" fontId="195" fillId="33" borderId="331" xfId="149" applyNumberFormat="1" applyFont="1" applyFill="1" applyBorder="1" applyAlignment="1">
      <alignment horizontal="center"/>
    </xf>
    <xf numFmtId="175" fontId="196" fillId="33" borderId="329" xfId="122" applyNumberFormat="1" applyFont="1" applyFill="1" applyBorder="1" applyAlignment="1">
      <alignment horizontal="center"/>
    </xf>
    <xf numFmtId="175" fontId="199" fillId="33" borderId="329" xfId="122" applyNumberFormat="1" applyFont="1" applyFill="1" applyBorder="1" applyAlignment="1">
      <alignment horizontal="center"/>
    </xf>
    <xf numFmtId="175" fontId="192" fillId="33" borderId="329" xfId="122" applyNumberFormat="1" applyFont="1" applyFill="1" applyBorder="1" applyAlignment="1">
      <alignment horizontal="center"/>
    </xf>
    <xf numFmtId="175" fontId="192" fillId="33" borderId="309" xfId="122" applyNumberFormat="1" applyFont="1" applyFill="1" applyBorder="1" applyAlignment="1">
      <alignment horizontal="center"/>
    </xf>
    <xf numFmtId="175" fontId="192" fillId="33" borderId="289" xfId="122" applyNumberFormat="1" applyFont="1" applyFill="1" applyBorder="1" applyAlignment="1">
      <alignment horizontal="center"/>
    </xf>
    <xf numFmtId="171" fontId="192" fillId="33" borderId="310" xfId="122" applyNumberFormat="1" applyFont="1" applyFill="1" applyBorder="1" applyAlignment="1">
      <alignment horizontal="center"/>
    </xf>
    <xf numFmtId="179" fontId="200" fillId="33" borderId="214" xfId="57" applyNumberFormat="1" applyFont="1" applyFill="1" applyBorder="1" applyAlignment="1">
      <alignment horizontal="center"/>
    </xf>
    <xf numFmtId="179" fontId="200" fillId="33" borderId="291" xfId="57" applyNumberFormat="1" applyFont="1" applyFill="1" applyBorder="1" applyAlignment="1">
      <alignment horizontal="center"/>
    </xf>
    <xf numFmtId="171" fontId="195" fillId="33" borderId="191" xfId="122" applyNumberFormat="1" applyFont="1" applyFill="1" applyBorder="1" applyAlignment="1">
      <alignment horizontal="center"/>
    </xf>
    <xf numFmtId="175" fontId="195" fillId="0" borderId="0" xfId="122" applyNumberFormat="1" applyFont="1"/>
    <xf numFmtId="179" fontId="201" fillId="33" borderId="309" xfId="57" applyNumberFormat="1" applyFont="1" applyFill="1" applyBorder="1" applyAlignment="1">
      <alignment horizontal="center"/>
    </xf>
    <xf numFmtId="179" fontId="201" fillId="33" borderId="289" xfId="57" applyNumberFormat="1" applyFont="1" applyFill="1" applyBorder="1" applyAlignment="1">
      <alignment horizontal="center"/>
    </xf>
    <xf numFmtId="9" fontId="197" fillId="33" borderId="327" xfId="149" applyFont="1" applyFill="1" applyBorder="1" applyAlignment="1">
      <alignment horizontal="center"/>
    </xf>
    <xf numFmtId="0" fontId="197" fillId="0" borderId="0" xfId="143" applyFont="1" applyAlignment="1">
      <alignment horizontal="left"/>
    </xf>
    <xf numFmtId="2" fontId="197" fillId="0" borderId="0" xfId="122" applyNumberFormat="1" applyFont="1"/>
    <xf numFmtId="2" fontId="197" fillId="0" borderId="0" xfId="122" applyNumberFormat="1" applyFont="1" applyAlignment="1">
      <alignment horizontal="center"/>
    </xf>
    <xf numFmtId="171" fontId="197" fillId="0" borderId="0" xfId="122" applyNumberFormat="1" applyFont="1" applyAlignment="1">
      <alignment horizontal="center"/>
    </xf>
    <xf numFmtId="0" fontId="197" fillId="0" borderId="0" xfId="122" applyFont="1" applyAlignment="1">
      <alignment horizontal="center"/>
    </xf>
    <xf numFmtId="171" fontId="192" fillId="0" borderId="0" xfId="122" applyNumberFormat="1" applyFont="1"/>
    <xf numFmtId="2" fontId="192" fillId="0" borderId="0" xfId="122" applyNumberFormat="1" applyFont="1"/>
    <xf numFmtId="4" fontId="160" fillId="0" borderId="0" xfId="1446" applyNumberFormat="1" applyFont="1" applyAlignment="1">
      <alignment horizontal="left" vertical="center" wrapText="1"/>
    </xf>
    <xf numFmtId="0" fontId="168" fillId="0" borderId="346" xfId="0" applyFont="1" applyBorder="1" applyAlignment="1">
      <alignment horizontal="center" vertical="center"/>
    </xf>
    <xf numFmtId="171" fontId="167" fillId="0" borderId="331" xfId="149" applyNumberFormat="1" applyFont="1" applyFill="1" applyBorder="1" applyAlignment="1">
      <alignment horizontal="center"/>
    </xf>
    <xf numFmtId="3" fontId="184" fillId="0" borderId="331" xfId="0" applyNumberFormat="1" applyFont="1" applyBorder="1" applyAlignment="1">
      <alignment horizontal="center"/>
    </xf>
    <xf numFmtId="171" fontId="184" fillId="0" borderId="331" xfId="149" applyNumberFormat="1" applyFont="1" applyFill="1" applyBorder="1" applyAlignment="1">
      <alignment horizontal="center"/>
    </xf>
    <xf numFmtId="3" fontId="184" fillId="0" borderId="329" xfId="0" applyNumberFormat="1" applyFont="1" applyBorder="1" applyAlignment="1">
      <alignment horizontal="center"/>
    </xf>
    <xf numFmtId="171" fontId="184" fillId="0" borderId="329" xfId="149" applyNumberFormat="1" applyFont="1" applyFill="1" applyBorder="1" applyAlignment="1">
      <alignment horizontal="center"/>
    </xf>
    <xf numFmtId="2" fontId="184" fillId="0" borderId="329" xfId="0" applyNumberFormat="1" applyFont="1" applyBorder="1" applyAlignment="1">
      <alignment horizontal="center"/>
    </xf>
    <xf numFmtId="172" fontId="184" fillId="0" borderId="329" xfId="0" applyNumberFormat="1" applyFont="1" applyBorder="1" applyAlignment="1">
      <alignment horizontal="center"/>
    </xf>
    <xf numFmtId="0" fontId="146" fillId="0" borderId="24" xfId="122" applyFont="1" applyBorder="1"/>
    <xf numFmtId="0" fontId="146" fillId="0" borderId="116" xfId="122" applyFont="1" applyBorder="1" applyAlignment="1">
      <alignment horizontal="center"/>
    </xf>
    <xf numFmtId="0" fontId="173" fillId="0" borderId="0" xfId="0" applyFont="1"/>
    <xf numFmtId="0" fontId="147" fillId="0" borderId="293" xfId="122" applyFont="1" applyBorder="1"/>
    <xf numFmtId="2" fontId="147" fillId="0" borderId="215" xfId="122" applyNumberFormat="1" applyFont="1" applyBorder="1" applyAlignment="1">
      <alignment horizontal="center"/>
    </xf>
    <xf numFmtId="49" fontId="147" fillId="0" borderId="215" xfId="122" applyNumberFormat="1" applyFont="1" applyBorder="1" applyAlignment="1">
      <alignment horizontal="center"/>
    </xf>
    <xf numFmtId="10" fontId="147" fillId="0" borderId="215" xfId="122" applyNumberFormat="1" applyFont="1" applyBorder="1" applyAlignment="1">
      <alignment horizontal="center"/>
    </xf>
    <xf numFmtId="0" fontId="146" fillId="0" borderId="215" xfId="122" applyFont="1" applyBorder="1" applyAlignment="1">
      <alignment horizontal="center"/>
    </xf>
    <xf numFmtId="0" fontId="146" fillId="0" borderId="331" xfId="122" applyFont="1" applyBorder="1"/>
    <xf numFmtId="0" fontId="146" fillId="0" borderId="331" xfId="122" applyFont="1" applyBorder="1" applyAlignment="1">
      <alignment horizontal="center"/>
    </xf>
    <xf numFmtId="0" fontId="146" fillId="0" borderId="215" xfId="122" applyFont="1" applyBorder="1"/>
    <xf numFmtId="171" fontId="147" fillId="0" borderId="329" xfId="122" applyNumberFormat="1" applyFont="1" applyBorder="1" applyAlignment="1">
      <alignment horizontal="center"/>
    </xf>
    <xf numFmtId="171" fontId="147" fillId="32" borderId="329" xfId="122" applyNumberFormat="1" applyFont="1" applyFill="1" applyBorder="1" applyAlignment="1">
      <alignment horizontal="center"/>
    </xf>
    <xf numFmtId="171" fontId="146" fillId="32" borderId="329" xfId="122" applyNumberFormat="1" applyFont="1" applyFill="1" applyBorder="1" applyAlignment="1">
      <alignment horizontal="center"/>
    </xf>
    <xf numFmtId="0" fontId="147" fillId="0" borderId="277" xfId="122" applyFont="1" applyBorder="1"/>
    <xf numFmtId="171" fontId="147" fillId="0" borderId="378" xfId="122" applyNumberFormat="1" applyFont="1" applyBorder="1" applyAlignment="1">
      <alignment horizontal="center"/>
    </xf>
    <xf numFmtId="171" fontId="147" fillId="32" borderId="378" xfId="122" applyNumberFormat="1" applyFont="1" applyFill="1" applyBorder="1" applyAlignment="1">
      <alignment horizontal="center"/>
    </xf>
    <xf numFmtId="0" fontId="147" fillId="0" borderId="113" xfId="122" applyFont="1" applyBorder="1"/>
    <xf numFmtId="10" fontId="147" fillId="0" borderId="351" xfId="122" applyNumberFormat="1" applyFont="1" applyBorder="1" applyAlignment="1">
      <alignment horizontal="center"/>
    </xf>
    <xf numFmtId="0" fontId="146" fillId="32" borderId="329" xfId="122" applyFont="1" applyFill="1" applyBorder="1"/>
    <xf numFmtId="0" fontId="147" fillId="0" borderId="308" xfId="122" applyFont="1" applyBorder="1"/>
    <xf numFmtId="172" fontId="147" fillId="0" borderId="360" xfId="57" applyNumberFormat="1" applyFont="1" applyFill="1" applyBorder="1" applyAlignment="1">
      <alignment horizontal="center"/>
    </xf>
    <xf numFmtId="172" fontId="147" fillId="0" borderId="361" xfId="57" applyNumberFormat="1" applyFont="1" applyFill="1" applyBorder="1" applyAlignment="1">
      <alignment horizontal="center"/>
    </xf>
    <xf numFmtId="181" fontId="180" fillId="0" borderId="0" xfId="0" applyNumberFormat="1" applyFont="1"/>
    <xf numFmtId="0" fontId="166" fillId="0" borderId="321" xfId="0" applyFont="1" applyBorder="1"/>
    <xf numFmtId="0" fontId="158" fillId="0" borderId="252" xfId="0" applyFont="1" applyBorder="1" applyAlignment="1">
      <alignment horizontal="center"/>
    </xf>
    <xf numFmtId="0" fontId="151" fillId="0" borderId="0" xfId="0" applyFont="1" applyAlignment="1">
      <alignment horizontal="center" wrapText="1"/>
    </xf>
    <xf numFmtId="0" fontId="173" fillId="0" borderId="10" xfId="0" applyFont="1" applyBorder="1"/>
    <xf numFmtId="0" fontId="173" fillId="0" borderId="10" xfId="0" applyFont="1" applyBorder="1" applyAlignment="1">
      <alignment horizontal="center"/>
    </xf>
    <xf numFmtId="0" fontId="177" fillId="0" borderId="0" xfId="0" applyFont="1"/>
    <xf numFmtId="3" fontId="173" fillId="0" borderId="0" xfId="0" applyNumberFormat="1" applyFont="1"/>
    <xf numFmtId="171" fontId="173" fillId="0" borderId="0" xfId="149" applyNumberFormat="1" applyFont="1" applyFill="1"/>
    <xf numFmtId="3" fontId="186" fillId="0" borderId="66" xfId="57" applyNumberFormat="1" applyFont="1" applyFill="1" applyBorder="1" applyAlignment="1">
      <alignment horizontal="center"/>
    </xf>
    <xf numFmtId="0" fontId="186" fillId="0" borderId="10" xfId="0" applyFont="1" applyBorder="1"/>
    <xf numFmtId="0" fontId="186" fillId="0" borderId="0" xfId="0" applyFont="1" applyAlignment="1">
      <alignment horizontal="center" vertical="center"/>
    </xf>
    <xf numFmtId="0" fontId="187" fillId="0" borderId="51" xfId="0" applyFont="1" applyBorder="1"/>
    <xf numFmtId="0" fontId="187" fillId="0" borderId="77" xfId="0" applyFont="1" applyBorder="1"/>
    <xf numFmtId="0" fontId="187" fillId="0" borderId="75" xfId="0" applyFont="1" applyBorder="1" applyAlignment="1">
      <alignment horizontal="center"/>
    </xf>
    <xf numFmtId="0" fontId="187" fillId="0" borderId="74" xfId="0" applyFont="1" applyBorder="1" applyAlignment="1">
      <alignment horizontal="center"/>
    </xf>
    <xf numFmtId="0" fontId="187" fillId="0" borderId="166" xfId="0" applyFont="1" applyBorder="1" applyAlignment="1">
      <alignment horizontal="center"/>
    </xf>
    <xf numFmtId="0" fontId="187" fillId="0" borderId="173" xfId="0" applyFont="1" applyBorder="1" applyAlignment="1">
      <alignment horizontal="center" vertical="center"/>
    </xf>
    <xf numFmtId="0" fontId="187" fillId="0" borderId="188" xfId="0" applyFont="1" applyBorder="1" applyAlignment="1">
      <alignment horizontal="center" vertical="center"/>
    </xf>
    <xf numFmtId="0" fontId="187" fillId="0" borderId="213" xfId="0" applyFont="1" applyBorder="1" applyAlignment="1">
      <alignment horizontal="center" vertical="center"/>
    </xf>
    <xf numFmtId="0" fontId="187" fillId="0" borderId="291" xfId="0" applyFont="1" applyBorder="1" applyAlignment="1">
      <alignment horizontal="center" vertical="center"/>
    </xf>
    <xf numFmtId="0" fontId="187" fillId="0" borderId="346" xfId="0" applyFont="1" applyBorder="1" applyAlignment="1">
      <alignment horizontal="center" vertical="center"/>
    </xf>
    <xf numFmtId="0" fontId="187" fillId="0" borderId="190" xfId="0" applyFont="1" applyBorder="1" applyAlignment="1">
      <alignment horizontal="center" vertical="center"/>
    </xf>
    <xf numFmtId="0" fontId="186" fillId="0" borderId="20" xfId="0" applyFont="1" applyBorder="1"/>
    <xf numFmtId="0" fontId="186" fillId="0" borderId="63" xfId="0" applyFont="1" applyBorder="1"/>
    <xf numFmtId="0" fontId="186" fillId="0" borderId="66" xfId="0" applyFont="1" applyBorder="1"/>
    <xf numFmtId="3" fontId="186" fillId="0" borderId="63" xfId="0" applyNumberFormat="1" applyFont="1" applyBorder="1"/>
    <xf numFmtId="3" fontId="186" fillId="0" borderId="66" xfId="0" applyNumberFormat="1" applyFont="1" applyBorder="1"/>
    <xf numFmtId="3" fontId="186" fillId="0" borderId="155" xfId="0" applyNumberFormat="1" applyFont="1" applyBorder="1"/>
    <xf numFmtId="3" fontId="186" fillId="0" borderId="76" xfId="0" applyNumberFormat="1" applyFont="1" applyBorder="1"/>
    <xf numFmtId="0" fontId="186" fillId="0" borderId="63" xfId="0" applyFont="1" applyBorder="1" applyAlignment="1">
      <alignment horizontal="center"/>
    </xf>
    <xf numFmtId="0" fontId="186" fillId="0" borderId="11" xfId="0" applyFont="1" applyBorder="1"/>
    <xf numFmtId="0" fontId="186" fillId="0" borderId="155" xfId="0" applyFont="1" applyBorder="1" applyAlignment="1">
      <alignment horizontal="center"/>
    </xf>
    <xf numFmtId="0" fontId="186" fillId="0" borderId="270" xfId="0" applyFont="1" applyBorder="1" applyAlignment="1">
      <alignment horizontal="center"/>
    </xf>
    <xf numFmtId="0" fontId="186" fillId="0" borderId="186" xfId="0" applyFont="1" applyBorder="1" applyAlignment="1">
      <alignment horizontal="center"/>
    </xf>
    <xf numFmtId="0" fontId="186" fillId="0" borderId="292" xfId="0" applyFont="1" applyBorder="1" applyAlignment="1">
      <alignment horizontal="center"/>
    </xf>
    <xf numFmtId="0" fontId="186" fillId="0" borderId="172" xfId="0" applyFont="1" applyBorder="1" applyAlignment="1">
      <alignment horizontal="center"/>
    </xf>
    <xf numFmtId="3" fontId="186" fillId="0" borderId="0" xfId="0" applyNumberFormat="1" applyFont="1"/>
    <xf numFmtId="3" fontId="186" fillId="0" borderId="63" xfId="0" applyNumberFormat="1" applyFont="1" applyBorder="1" applyAlignment="1">
      <alignment horizontal="center"/>
    </xf>
    <xf numFmtId="3" fontId="186" fillId="0" borderId="66" xfId="0" applyNumberFormat="1" applyFont="1" applyBorder="1" applyAlignment="1">
      <alignment horizontal="center"/>
    </xf>
    <xf numFmtId="3" fontId="186" fillId="0" borderId="155" xfId="0" applyNumberFormat="1" applyFont="1" applyBorder="1" applyAlignment="1">
      <alignment horizontal="center"/>
    </xf>
    <xf numFmtId="3" fontId="186" fillId="0" borderId="63" xfId="57" applyNumberFormat="1" applyFont="1" applyFill="1" applyBorder="1" applyAlignment="1">
      <alignment horizontal="center"/>
    </xf>
    <xf numFmtId="3" fontId="186" fillId="0" borderId="11" xfId="57" applyNumberFormat="1" applyFont="1" applyFill="1" applyBorder="1" applyAlignment="1">
      <alignment horizontal="center"/>
    </xf>
    <xf numFmtId="3" fontId="186" fillId="0" borderId="155" xfId="57" applyNumberFormat="1" applyFont="1" applyFill="1" applyBorder="1" applyAlignment="1">
      <alignment horizontal="center"/>
    </xf>
    <xf numFmtId="3" fontId="186" fillId="0" borderId="0" xfId="57" applyNumberFormat="1" applyFont="1" applyFill="1" applyBorder="1" applyAlignment="1">
      <alignment horizontal="center"/>
    </xf>
    <xf numFmtId="3" fontId="186" fillId="0" borderId="252" xfId="57" applyNumberFormat="1" applyFont="1" applyFill="1" applyBorder="1" applyAlignment="1">
      <alignment horizontal="center"/>
    </xf>
    <xf numFmtId="3" fontId="186" fillId="0" borderId="186" xfId="57" applyNumberFormat="1" applyFont="1" applyFill="1" applyBorder="1" applyAlignment="1">
      <alignment horizontal="center"/>
    </xf>
    <xf numFmtId="3" fontId="186" fillId="0" borderId="200" xfId="57" applyNumberFormat="1" applyFont="1" applyFill="1" applyBorder="1" applyAlignment="1">
      <alignment horizontal="center"/>
    </xf>
    <xf numFmtId="171" fontId="186" fillId="0" borderId="134" xfId="149" applyNumberFormat="1" applyFont="1" applyFill="1" applyBorder="1" applyAlignment="1">
      <alignment horizontal="center"/>
    </xf>
    <xf numFmtId="0" fontId="186" fillId="0" borderId="66" xfId="0" applyFont="1" applyBorder="1" applyAlignment="1">
      <alignment horizontal="center"/>
    </xf>
    <xf numFmtId="171" fontId="186" fillId="0" borderId="0" xfId="149" applyNumberFormat="1" applyFont="1" applyFill="1" applyBorder="1" applyAlignment="1">
      <alignment horizontal="center"/>
    </xf>
    <xf numFmtId="0" fontId="194" fillId="0" borderId="20" xfId="0" applyFont="1" applyBorder="1"/>
    <xf numFmtId="0" fontId="186" fillId="0" borderId="20" xfId="0" applyFont="1" applyBorder="1" applyAlignment="1">
      <alignment horizontal="left"/>
    </xf>
    <xf numFmtId="171" fontId="186" fillId="0" borderId="63" xfId="0" applyNumberFormat="1" applyFont="1" applyBorder="1" applyAlignment="1">
      <alignment horizontal="center"/>
    </xf>
    <xf numFmtId="171" fontId="186" fillId="0" borderId="66" xfId="0" applyNumberFormat="1" applyFont="1" applyBorder="1" applyAlignment="1">
      <alignment horizontal="center"/>
    </xf>
    <xf numFmtId="171" fontId="186" fillId="0" borderId="155" xfId="0" applyNumberFormat="1" applyFont="1" applyBorder="1" applyAlignment="1">
      <alignment horizontal="center"/>
    </xf>
    <xf numFmtId="0" fontId="186" fillId="0" borderId="21" xfId="0" applyFont="1" applyBorder="1"/>
    <xf numFmtId="0" fontId="186" fillId="0" borderId="60" xfId="0" applyFont="1" applyBorder="1"/>
    <xf numFmtId="0" fontId="186" fillId="0" borderId="65" xfId="0" applyFont="1" applyBorder="1"/>
    <xf numFmtId="0" fontId="186" fillId="0" borderId="67" xfId="0" applyFont="1" applyBorder="1"/>
    <xf numFmtId="3" fontId="186" fillId="0" borderId="67" xfId="0" applyNumberFormat="1" applyFont="1" applyBorder="1"/>
    <xf numFmtId="171" fontId="186" fillId="0" borderId="65" xfId="0" applyNumberFormat="1" applyFont="1" applyBorder="1"/>
    <xf numFmtId="171" fontId="186" fillId="0" borderId="67" xfId="0" applyNumberFormat="1" applyFont="1" applyBorder="1"/>
    <xf numFmtId="171" fontId="186" fillId="0" borderId="139" xfId="0" applyNumberFormat="1" applyFont="1" applyBorder="1"/>
    <xf numFmtId="3" fontId="186" fillId="0" borderId="67" xfId="57" applyNumberFormat="1" applyFont="1" applyFill="1" applyBorder="1" applyAlignment="1">
      <alignment horizontal="center"/>
    </xf>
    <xf numFmtId="3" fontId="186" fillId="0" borderId="139" xfId="57" applyNumberFormat="1" applyFont="1" applyFill="1" applyBorder="1" applyAlignment="1">
      <alignment horizontal="center"/>
    </xf>
    <xf numFmtId="3" fontId="186" fillId="0" borderId="196" xfId="57" applyNumberFormat="1" applyFont="1" applyFill="1" applyBorder="1" applyAlignment="1">
      <alignment horizontal="center"/>
    </xf>
    <xf numFmtId="3" fontId="186" fillId="0" borderId="271" xfId="57" applyNumberFormat="1" applyFont="1" applyFill="1" applyBorder="1" applyAlignment="1">
      <alignment horizontal="center"/>
    </xf>
    <xf numFmtId="3" fontId="186" fillId="0" borderId="289" xfId="57" applyNumberFormat="1" applyFont="1" applyFill="1" applyBorder="1" applyAlignment="1">
      <alignment horizontal="center"/>
    </xf>
    <xf numFmtId="3" fontId="186" fillId="0" borderId="345" xfId="57" applyNumberFormat="1" applyFont="1" applyFill="1" applyBorder="1" applyAlignment="1">
      <alignment horizontal="center"/>
    </xf>
    <xf numFmtId="171" fontId="186" fillId="0" borderId="357" xfId="149" applyNumberFormat="1" applyFont="1" applyFill="1" applyBorder="1" applyAlignment="1">
      <alignment horizontal="center"/>
    </xf>
    <xf numFmtId="3" fontId="187" fillId="0" borderId="77" xfId="0" applyNumberFormat="1" applyFont="1" applyBorder="1"/>
    <xf numFmtId="3" fontId="187" fillId="0" borderId="75" xfId="0" applyNumberFormat="1" applyFont="1" applyBorder="1" applyAlignment="1">
      <alignment horizontal="center"/>
    </xf>
    <xf numFmtId="3" fontId="187" fillId="0" borderId="74" xfId="0" applyNumberFormat="1" applyFont="1" applyBorder="1" applyAlignment="1">
      <alignment horizontal="center"/>
    </xf>
    <xf numFmtId="3" fontId="187" fillId="0" borderId="166" xfId="0" applyNumberFormat="1" applyFont="1" applyBorder="1" applyAlignment="1">
      <alignment horizontal="center"/>
    </xf>
    <xf numFmtId="3" fontId="187" fillId="0" borderId="75" xfId="57" applyNumberFormat="1" applyFont="1" applyFill="1" applyBorder="1" applyAlignment="1">
      <alignment horizontal="center"/>
    </xf>
    <xf numFmtId="3" fontId="187" fillId="0" borderId="74" xfId="57" applyNumberFormat="1" applyFont="1" applyFill="1" applyBorder="1" applyAlignment="1">
      <alignment horizontal="center"/>
    </xf>
    <xf numFmtId="3" fontId="187" fillId="0" borderId="100" xfId="57" applyNumberFormat="1" applyFont="1" applyFill="1" applyBorder="1" applyAlignment="1">
      <alignment horizontal="center"/>
    </xf>
    <xf numFmtId="3" fontId="187" fillId="0" borderId="291" xfId="57" applyNumberFormat="1" applyFont="1" applyFill="1" applyBorder="1" applyAlignment="1">
      <alignment horizontal="center"/>
    </xf>
    <xf numFmtId="3" fontId="187" fillId="0" borderId="173" xfId="57" applyNumberFormat="1" applyFont="1" applyFill="1" applyBorder="1" applyAlignment="1">
      <alignment horizontal="center"/>
    </xf>
    <xf numFmtId="3" fontId="187" fillId="0" borderId="347" xfId="57" applyNumberFormat="1" applyFont="1" applyFill="1" applyBorder="1" applyAlignment="1">
      <alignment horizontal="center"/>
    </xf>
    <xf numFmtId="3" fontId="187" fillId="0" borderId="0" xfId="0" applyNumberFormat="1" applyFont="1"/>
    <xf numFmtId="3" fontId="187" fillId="0" borderId="0" xfId="0" applyNumberFormat="1" applyFont="1" applyAlignment="1">
      <alignment horizontal="center"/>
    </xf>
    <xf numFmtId="171" fontId="186" fillId="0" borderId="0" xfId="149" applyNumberFormat="1" applyFont="1" applyFill="1"/>
    <xf numFmtId="0" fontId="224" fillId="0" borderId="0" xfId="0" applyFont="1"/>
    <xf numFmtId="171" fontId="186" fillId="0" borderId="0" xfId="0" applyNumberFormat="1" applyFont="1"/>
    <xf numFmtId="0" fontId="150" fillId="0" borderId="10" xfId="0" applyFont="1" applyBorder="1"/>
    <xf numFmtId="0" fontId="150" fillId="0" borderId="374" xfId="0" applyFont="1" applyBorder="1"/>
    <xf numFmtId="172" fontId="150" fillId="0" borderId="0" xfId="0" applyNumberFormat="1" applyFont="1"/>
    <xf numFmtId="0" fontId="151" fillId="0" borderId="70" xfId="0" applyFont="1" applyBorder="1"/>
    <xf numFmtId="0" fontId="151" fillId="0" borderId="63" xfId="0" applyFont="1" applyBorder="1" applyAlignment="1">
      <alignment horizontal="center"/>
    </xf>
    <xf numFmtId="0" fontId="151" fillId="0" borderId="66" xfId="0" applyFont="1" applyBorder="1" applyAlignment="1">
      <alignment horizontal="center"/>
    </xf>
    <xf numFmtId="0" fontId="151" fillId="0" borderId="32" xfId="0" applyFont="1" applyBorder="1" applyAlignment="1">
      <alignment horizontal="center"/>
    </xf>
    <xf numFmtId="0" fontId="151" fillId="0" borderId="20" xfId="0" applyFont="1" applyBorder="1" applyAlignment="1">
      <alignment horizontal="center"/>
    </xf>
    <xf numFmtId="0" fontId="151" fillId="0" borderId="39" xfId="0" applyFont="1" applyBorder="1" applyAlignment="1">
      <alignment horizontal="center"/>
    </xf>
    <xf numFmtId="0" fontId="151" fillId="0" borderId="11" xfId="0" applyFont="1" applyBorder="1" applyAlignment="1">
      <alignment horizontal="center"/>
    </xf>
    <xf numFmtId="0" fontId="151" fillId="0" borderId="56" xfId="0" applyFont="1" applyBorder="1" applyAlignment="1">
      <alignment horizontal="center"/>
    </xf>
    <xf numFmtId="0" fontId="151" fillId="0" borderId="143" xfId="0" applyFont="1" applyBorder="1" applyAlignment="1">
      <alignment horizontal="center"/>
    </xf>
    <xf numFmtId="0" fontId="151" fillId="29" borderId="293" xfId="0" applyFont="1" applyFill="1" applyBorder="1" applyAlignment="1">
      <alignment horizontal="center"/>
    </xf>
    <xf numFmtId="0" fontId="151" fillId="0" borderId="172" xfId="0" applyFont="1" applyBorder="1" applyAlignment="1">
      <alignment horizontal="center"/>
    </xf>
    <xf numFmtId="172" fontId="151" fillId="29" borderId="57" xfId="0" applyNumberFormat="1" applyFont="1" applyFill="1" applyBorder="1" applyAlignment="1">
      <alignment horizontal="center"/>
    </xf>
    <xf numFmtId="0" fontId="151" fillId="0" borderId="330" xfId="0" applyFont="1" applyBorder="1" applyAlignment="1">
      <alignment horizontal="center"/>
    </xf>
    <xf numFmtId="0" fontId="151" fillId="0" borderId="172" xfId="0" applyFont="1" applyBorder="1" applyAlignment="1">
      <alignment horizontal="center" vertical="center"/>
    </xf>
    <xf numFmtId="0" fontId="151" fillId="29" borderId="56" xfId="0" applyFont="1" applyFill="1" applyBorder="1" applyAlignment="1">
      <alignment horizontal="center" vertical="center"/>
    </xf>
    <xf numFmtId="0" fontId="151" fillId="0" borderId="148" xfId="0" applyFont="1" applyBorder="1" applyAlignment="1">
      <alignment horizontal="center" vertical="center"/>
    </xf>
    <xf numFmtId="0" fontId="151" fillId="0" borderId="330" xfId="0" applyFont="1" applyBorder="1" applyAlignment="1">
      <alignment horizontal="center" vertical="center"/>
    </xf>
    <xf numFmtId="0" fontId="151" fillId="32" borderId="56" xfId="0" applyFont="1" applyFill="1" applyBorder="1" applyAlignment="1">
      <alignment horizontal="center" vertical="center"/>
    </xf>
    <xf numFmtId="0" fontId="151" fillId="32" borderId="148" xfId="0" applyFont="1" applyFill="1" applyBorder="1" applyAlignment="1">
      <alignment horizontal="center" vertical="center"/>
    </xf>
    <xf numFmtId="0" fontId="151" fillId="0" borderId="21" xfId="0" applyFont="1" applyBorder="1"/>
    <xf numFmtId="0" fontId="150" fillId="0" borderId="60" xfId="0" applyFont="1" applyBorder="1"/>
    <xf numFmtId="0" fontId="151" fillId="0" borderId="65" xfId="0" applyFont="1" applyBorder="1" applyAlignment="1">
      <alignment horizontal="center"/>
    </xf>
    <xf numFmtId="0" fontId="151" fillId="0" borderId="67" xfId="0" applyFont="1" applyBorder="1" applyAlignment="1">
      <alignment horizontal="center"/>
    </xf>
    <xf numFmtId="0" fontId="151" fillId="0" borderId="60" xfId="0" applyFont="1" applyBorder="1" applyAlignment="1">
      <alignment horizontal="center"/>
    </xf>
    <xf numFmtId="0" fontId="151" fillId="0" borderId="21" xfId="0" applyFont="1" applyBorder="1" applyAlignment="1">
      <alignment horizontal="center"/>
    </xf>
    <xf numFmtId="0" fontId="151" fillId="0" borderId="22" xfId="0" applyFont="1" applyBorder="1" applyAlignment="1">
      <alignment horizontal="center"/>
    </xf>
    <xf numFmtId="0" fontId="151" fillId="0" borderId="108" xfId="0" applyFont="1" applyBorder="1" applyAlignment="1">
      <alignment horizontal="center"/>
    </xf>
    <xf numFmtId="0" fontId="151" fillId="0" borderId="126" xfId="0" applyFont="1" applyBorder="1" applyAlignment="1">
      <alignment horizontal="center"/>
    </xf>
    <xf numFmtId="0" fontId="151" fillId="0" borderId="140" xfId="0" applyFont="1" applyBorder="1" applyAlignment="1">
      <alignment horizontal="center"/>
    </xf>
    <xf numFmtId="0" fontId="151" fillId="29" borderId="130" xfId="0" applyFont="1" applyFill="1" applyBorder="1" applyAlignment="1">
      <alignment horizontal="center"/>
    </xf>
    <xf numFmtId="0" fontId="151" fillId="0" borderId="147" xfId="0" applyFont="1" applyBorder="1" applyAlignment="1">
      <alignment horizontal="center"/>
    </xf>
    <xf numFmtId="172" fontId="151" fillId="29" borderId="130" xfId="0" applyNumberFormat="1" applyFont="1" applyFill="1" applyBorder="1" applyAlignment="1">
      <alignment horizontal="center"/>
    </xf>
    <xf numFmtId="0" fontId="151" fillId="29" borderId="311" xfId="0" applyFont="1" applyFill="1" applyBorder="1" applyAlignment="1">
      <alignment horizontal="center" vertical="center"/>
    </xf>
    <xf numFmtId="0" fontId="151" fillId="29" borderId="193" xfId="0" applyFont="1" applyFill="1" applyBorder="1" applyAlignment="1">
      <alignment horizontal="center" vertical="center"/>
    </xf>
    <xf numFmtId="0" fontId="151" fillId="29" borderId="308" xfId="0" applyFont="1" applyFill="1" applyBorder="1" applyAlignment="1">
      <alignment horizontal="center" vertical="center"/>
    </xf>
    <xf numFmtId="0" fontId="151" fillId="32" borderId="308" xfId="0" applyFont="1" applyFill="1" applyBorder="1" applyAlignment="1">
      <alignment horizontal="center" vertical="center"/>
    </xf>
    <xf numFmtId="0" fontId="151" fillId="32" borderId="327" xfId="0" applyFont="1" applyFill="1" applyBorder="1" applyAlignment="1">
      <alignment horizontal="center" vertical="center"/>
    </xf>
    <xf numFmtId="0" fontId="151" fillId="32" borderId="193" xfId="0" applyFont="1" applyFill="1" applyBorder="1" applyAlignment="1">
      <alignment horizontal="center" vertical="center"/>
    </xf>
    <xf numFmtId="0" fontId="151" fillId="32" borderId="140" xfId="0" applyFont="1" applyFill="1" applyBorder="1" applyAlignment="1">
      <alignment horizontal="center" vertical="center"/>
    </xf>
    <xf numFmtId="0" fontId="150" fillId="0" borderId="20" xfId="0" applyFont="1" applyBorder="1"/>
    <xf numFmtId="0" fontId="151" fillId="0" borderId="64" xfId="0" applyFont="1" applyBorder="1" applyAlignment="1">
      <alignment horizontal="center"/>
    </xf>
    <xf numFmtId="0" fontId="151" fillId="0" borderId="57" xfId="0" applyFont="1" applyBorder="1" applyAlignment="1">
      <alignment horizontal="center"/>
    </xf>
    <xf numFmtId="0" fontId="151" fillId="0" borderId="61" xfId="0" applyFont="1" applyBorder="1" applyAlignment="1">
      <alignment horizontal="center"/>
    </xf>
    <xf numFmtId="0" fontId="151" fillId="0" borderId="24" xfId="0" applyFont="1" applyBorder="1" applyAlignment="1">
      <alignment horizontal="center"/>
    </xf>
    <xf numFmtId="0" fontId="150" fillId="0" borderId="151" xfId="0" applyFont="1" applyBorder="1"/>
    <xf numFmtId="0" fontId="150" fillId="0" borderId="148" xfId="0" applyFont="1" applyBorder="1"/>
    <xf numFmtId="0" fontId="150" fillId="29" borderId="90" xfId="0" applyFont="1" applyFill="1" applyBorder="1"/>
    <xf numFmtId="172" fontId="150" fillId="29" borderId="105" xfId="0" applyNumberFormat="1" applyFont="1" applyFill="1" applyBorder="1"/>
    <xf numFmtId="0" fontId="150" fillId="29" borderId="293" xfId="0" applyFont="1" applyFill="1" applyBorder="1" applyAlignment="1">
      <alignment horizontal="center" vertical="center"/>
    </xf>
    <xf numFmtId="0" fontId="150" fillId="0" borderId="24" xfId="0" applyFont="1" applyBorder="1" applyAlignment="1">
      <alignment horizontal="center" vertical="center"/>
    </xf>
    <xf numFmtId="0" fontId="150" fillId="29" borderId="56" xfId="0" applyFont="1" applyFill="1" applyBorder="1" applyAlignment="1">
      <alignment horizontal="center" vertical="center"/>
    </xf>
    <xf numFmtId="0" fontId="150" fillId="0" borderId="148" xfId="0" applyFont="1" applyBorder="1" applyAlignment="1">
      <alignment horizontal="center" vertical="center"/>
    </xf>
    <xf numFmtId="0" fontId="150" fillId="29" borderId="168" xfId="0" applyFont="1" applyFill="1" applyBorder="1" applyAlignment="1">
      <alignment horizontal="center" vertical="center"/>
    </xf>
    <xf numFmtId="0" fontId="150" fillId="29" borderId="294" xfId="0" applyFont="1" applyFill="1" applyBorder="1" applyAlignment="1">
      <alignment horizontal="center" vertical="center"/>
    </xf>
    <xf numFmtId="0" fontId="150" fillId="32" borderId="293" xfId="0" applyFont="1" applyFill="1" applyBorder="1" applyAlignment="1">
      <alignment horizontal="center" vertical="center"/>
    </xf>
    <xf numFmtId="0" fontId="150" fillId="32" borderId="321" xfId="0" applyFont="1" applyFill="1" applyBorder="1" applyAlignment="1">
      <alignment horizontal="center" vertical="center"/>
    </xf>
    <xf numFmtId="0" fontId="150" fillId="32" borderId="168" xfId="0" applyFont="1" applyFill="1" applyBorder="1" applyAlignment="1">
      <alignment horizontal="center" vertical="center"/>
    </xf>
    <xf numFmtId="0" fontId="150" fillId="32" borderId="324" xfId="0" applyFont="1" applyFill="1" applyBorder="1"/>
    <xf numFmtId="0" fontId="151" fillId="0" borderId="20" xfId="0" applyFont="1" applyBorder="1" applyAlignment="1">
      <alignment vertical="center"/>
    </xf>
    <xf numFmtId="43" fontId="150" fillId="0" borderId="0" xfId="0" applyNumberFormat="1" applyFont="1" applyAlignment="1">
      <alignment vertical="center"/>
    </xf>
    <xf numFmtId="0" fontId="150" fillId="0" borderId="0" xfId="0" applyFont="1" applyAlignment="1">
      <alignment vertical="center"/>
    </xf>
    <xf numFmtId="39" fontId="150" fillId="0" borderId="63" xfId="0" applyNumberFormat="1" applyFont="1" applyBorder="1" applyAlignment="1">
      <alignment horizontal="center" vertical="center"/>
    </xf>
    <xf numFmtId="173" fontId="150" fillId="0" borderId="66" xfId="0" applyNumberFormat="1" applyFont="1" applyBorder="1" applyAlignment="1">
      <alignment horizontal="center" vertical="center"/>
    </xf>
    <xf numFmtId="4" fontId="150" fillId="0" borderId="0" xfId="0" applyNumberFormat="1" applyFont="1" applyAlignment="1">
      <alignment horizontal="center" vertical="center"/>
    </xf>
    <xf numFmtId="4" fontId="150" fillId="0" borderId="63" xfId="0" applyNumberFormat="1" applyFont="1" applyBorder="1" applyAlignment="1">
      <alignment horizontal="center" vertical="center"/>
    </xf>
    <xf numFmtId="172" fontId="150" fillId="0" borderId="20" xfId="57" applyNumberFormat="1" applyFont="1" applyFill="1" applyBorder="1" applyAlignment="1">
      <alignment horizontal="center" vertical="center"/>
    </xf>
    <xf numFmtId="3" fontId="150" fillId="0" borderId="64" xfId="57" applyNumberFormat="1" applyFont="1" applyFill="1" applyBorder="1" applyAlignment="1">
      <alignment horizontal="center" vertical="center"/>
    </xf>
    <xf numFmtId="172" fontId="150" fillId="0" borderId="0" xfId="57" applyNumberFormat="1" applyFont="1" applyFill="1" applyBorder="1" applyAlignment="1">
      <alignment horizontal="center" vertical="center"/>
    </xf>
    <xf numFmtId="3" fontId="150" fillId="0" borderId="63" xfId="57" applyNumberFormat="1" applyFont="1" applyFill="1" applyBorder="1" applyAlignment="1">
      <alignment horizontal="center" vertical="center"/>
    </xf>
    <xf numFmtId="3" fontId="150" fillId="0" borderId="11" xfId="57" applyNumberFormat="1" applyFont="1" applyFill="1" applyBorder="1" applyAlignment="1">
      <alignment horizontal="center" vertical="center"/>
    </xf>
    <xf numFmtId="172" fontId="150" fillId="0" borderId="11" xfId="57" applyNumberFormat="1" applyFont="1" applyFill="1" applyBorder="1" applyAlignment="1">
      <alignment horizontal="center" vertical="center"/>
    </xf>
    <xf numFmtId="3" fontId="150" fillId="0" borderId="88" xfId="57" applyNumberFormat="1" applyFont="1" applyFill="1" applyBorder="1" applyAlignment="1">
      <alignment horizontal="center" vertical="center"/>
    </xf>
    <xf numFmtId="172" fontId="150" fillId="0" borderId="56" xfId="57" applyNumberFormat="1" applyFont="1" applyFill="1" applyBorder="1" applyAlignment="1">
      <alignment horizontal="center" vertical="center"/>
    </xf>
    <xf numFmtId="3" fontId="150" fillId="0" borderId="151" xfId="57" applyNumberFormat="1" applyFont="1" applyFill="1" applyBorder="1" applyAlignment="1">
      <alignment horizontal="center" vertical="center"/>
    </xf>
    <xf numFmtId="3" fontId="150" fillId="0" borderId="148" xfId="57" applyNumberFormat="1" applyFont="1" applyFill="1" applyBorder="1" applyAlignment="1">
      <alignment horizontal="center" vertical="center"/>
    </xf>
    <xf numFmtId="172" fontId="150" fillId="29" borderId="90" xfId="57" applyNumberFormat="1" applyFont="1" applyFill="1" applyBorder="1" applyAlignment="1">
      <alignment horizontal="center" vertical="center"/>
    </xf>
    <xf numFmtId="175" fontId="150" fillId="0" borderId="0" xfId="0" applyNumberFormat="1" applyFont="1" applyAlignment="1">
      <alignment horizontal="center"/>
    </xf>
    <xf numFmtId="172" fontId="150" fillId="29" borderId="90" xfId="0" applyNumberFormat="1" applyFont="1" applyFill="1" applyBorder="1" applyAlignment="1">
      <alignment horizontal="center" vertical="center"/>
    </xf>
    <xf numFmtId="172" fontId="155" fillId="29" borderId="57" xfId="0" applyNumberFormat="1" applyFont="1" applyFill="1" applyBorder="1" applyAlignment="1">
      <alignment horizontal="center" vertical="center"/>
    </xf>
    <xf numFmtId="175" fontId="150" fillId="29" borderId="57" xfId="0" applyNumberFormat="1" applyFont="1" applyFill="1" applyBorder="1" applyAlignment="1">
      <alignment horizontal="center" vertical="center"/>
    </xf>
    <xf numFmtId="172" fontId="150" fillId="29" borderId="57" xfId="0" applyNumberFormat="1" applyFont="1" applyFill="1" applyBorder="1" applyAlignment="1">
      <alignment horizontal="center" vertical="center"/>
    </xf>
    <xf numFmtId="3" fontId="150" fillId="32" borderId="57" xfId="0" applyNumberFormat="1" applyFont="1" applyFill="1" applyBorder="1" applyAlignment="1">
      <alignment horizontal="center" vertical="center"/>
    </xf>
    <xf numFmtId="3" fontId="150" fillId="32" borderId="0" xfId="0" applyNumberFormat="1" applyFont="1" applyFill="1" applyAlignment="1">
      <alignment horizontal="center" vertical="center"/>
    </xf>
    <xf numFmtId="172" fontId="150" fillId="32" borderId="90" xfId="0" applyNumberFormat="1" applyFont="1" applyFill="1" applyBorder="1" applyAlignment="1">
      <alignment horizontal="center" vertical="center"/>
    </xf>
    <xf numFmtId="3" fontId="150" fillId="32" borderId="134" xfId="0" applyNumberFormat="1" applyFont="1" applyFill="1" applyBorder="1" applyAlignment="1">
      <alignment horizontal="center" vertical="center"/>
    </xf>
    <xf numFmtId="9" fontId="150" fillId="32" borderId="57" xfId="149" applyFont="1" applyFill="1" applyBorder="1" applyAlignment="1">
      <alignment horizontal="center" vertical="center"/>
    </xf>
    <xf numFmtId="9" fontId="150" fillId="32" borderId="24" xfId="149" applyFont="1" applyFill="1" applyBorder="1" applyAlignment="1">
      <alignment horizontal="center" vertical="center"/>
    </xf>
    <xf numFmtId="44" fontId="150" fillId="0" borderId="0" xfId="0" applyNumberFormat="1" applyFont="1" applyAlignment="1">
      <alignment vertical="center"/>
    </xf>
    <xf numFmtId="3" fontId="150" fillId="0" borderId="24" xfId="57" applyNumberFormat="1" applyFont="1" applyFill="1" applyBorder="1" applyAlignment="1">
      <alignment horizontal="center" vertical="center"/>
    </xf>
    <xf numFmtId="3" fontId="150" fillId="0" borderId="148" xfId="0" applyNumberFormat="1" applyFont="1" applyBorder="1" applyAlignment="1">
      <alignment horizontal="center" vertical="center"/>
    </xf>
    <xf numFmtId="3" fontId="150" fillId="0" borderId="24" xfId="0" applyNumberFormat="1" applyFont="1" applyBorder="1" applyAlignment="1">
      <alignment horizontal="center" vertical="center"/>
    </xf>
    <xf numFmtId="3" fontId="150" fillId="0" borderId="134" xfId="0" applyNumberFormat="1" applyFont="1" applyBorder="1" applyAlignment="1">
      <alignment horizontal="center" vertical="center"/>
    </xf>
    <xf numFmtId="172" fontId="150" fillId="0" borderId="24" xfId="0" applyNumberFormat="1" applyFont="1" applyBorder="1" applyAlignment="1">
      <alignment horizontal="center" vertical="center"/>
    </xf>
    <xf numFmtId="0" fontId="150" fillId="32" borderId="57" xfId="0" applyFont="1" applyFill="1" applyBorder="1" applyAlignment="1">
      <alignment vertical="center"/>
    </xf>
    <xf numFmtId="0" fontId="150" fillId="32" borderId="0" xfId="0" applyFont="1" applyFill="1" applyAlignment="1">
      <alignment vertical="center"/>
    </xf>
    <xf numFmtId="0" fontId="150" fillId="32" borderId="134" xfId="0" applyFont="1" applyFill="1" applyBorder="1" applyAlignment="1">
      <alignment vertical="center"/>
    </xf>
    <xf numFmtId="3" fontId="150" fillId="32" borderId="24" xfId="0" applyNumberFormat="1" applyFont="1" applyFill="1" applyBorder="1" applyAlignment="1">
      <alignment horizontal="center" vertical="center"/>
    </xf>
    <xf numFmtId="172" fontId="150" fillId="29" borderId="57" xfId="57" applyNumberFormat="1" applyFont="1" applyFill="1" applyBorder="1" applyAlignment="1">
      <alignment horizontal="center" vertical="center"/>
    </xf>
    <xf numFmtId="172" fontId="150" fillId="29" borderId="56" xfId="0" applyNumberFormat="1" applyFont="1" applyFill="1" applyBorder="1" applyAlignment="1">
      <alignment horizontal="center" vertical="center"/>
    </xf>
    <xf numFmtId="172" fontId="150" fillId="0" borderId="20" xfId="0" applyNumberFormat="1" applyFont="1" applyBorder="1" applyAlignment="1">
      <alignment horizontal="center" vertical="center"/>
    </xf>
    <xf numFmtId="3" fontId="150" fillId="0" borderId="64" xfId="0" applyNumberFormat="1" applyFont="1" applyBorder="1" applyAlignment="1">
      <alignment horizontal="center" vertical="center"/>
    </xf>
    <xf numFmtId="172" fontId="150" fillId="0" borderId="0" xfId="0" applyNumberFormat="1" applyFont="1" applyAlignment="1">
      <alignment horizontal="center" vertical="center"/>
    </xf>
    <xf numFmtId="3" fontId="150" fillId="0" borderId="63" xfId="0" applyNumberFormat="1" applyFont="1" applyBorder="1" applyAlignment="1">
      <alignment horizontal="center" vertical="center"/>
    </xf>
    <xf numFmtId="3" fontId="150" fillId="0" borderId="109" xfId="0" applyNumberFormat="1" applyFont="1" applyBorder="1" applyAlignment="1">
      <alignment horizontal="center" vertical="center"/>
    </xf>
    <xf numFmtId="172" fontId="150" fillId="0" borderId="11" xfId="0" applyNumberFormat="1" applyFont="1" applyBorder="1" applyAlignment="1">
      <alignment horizontal="center" vertical="center"/>
    </xf>
    <xf numFmtId="3" fontId="150" fillId="0" borderId="49" xfId="0" applyNumberFormat="1" applyFont="1" applyBorder="1" applyAlignment="1">
      <alignment horizontal="center" vertical="center"/>
    </xf>
    <xf numFmtId="3" fontId="150" fillId="0" borderId="151" xfId="0" applyNumberFormat="1" applyFont="1" applyBorder="1" applyAlignment="1">
      <alignment vertical="center"/>
    </xf>
    <xf numFmtId="3" fontId="150" fillId="0" borderId="148" xfId="0" applyNumberFormat="1" applyFont="1" applyBorder="1" applyAlignment="1">
      <alignment vertical="center"/>
    </xf>
    <xf numFmtId="0" fontId="150" fillId="29" borderId="56" xfId="0" applyFont="1" applyFill="1" applyBorder="1" applyAlignment="1">
      <alignment vertical="center"/>
    </xf>
    <xf numFmtId="0" fontId="150" fillId="0" borderId="148" xfId="0" applyFont="1" applyBorder="1" applyAlignment="1">
      <alignment vertical="center"/>
    </xf>
    <xf numFmtId="3" fontId="150" fillId="29" borderId="56" xfId="0" applyNumberFormat="1" applyFont="1" applyFill="1" applyBorder="1" applyAlignment="1">
      <alignment horizontal="center" vertical="center"/>
    </xf>
    <xf numFmtId="172" fontId="150" fillId="29" borderId="113" xfId="0" applyNumberFormat="1" applyFont="1" applyFill="1" applyBorder="1" applyAlignment="1">
      <alignment horizontal="center" vertical="center"/>
    </xf>
    <xf numFmtId="0" fontId="150" fillId="0" borderId="85" xfId="0" applyFont="1" applyBorder="1" applyAlignment="1">
      <alignment horizontal="center" vertical="center"/>
    </xf>
    <xf numFmtId="172" fontId="150" fillId="29" borderId="52" xfId="0" applyNumberFormat="1" applyFont="1" applyFill="1" applyBorder="1" applyAlignment="1">
      <alignment horizontal="center" vertical="center"/>
    </xf>
    <xf numFmtId="0" fontId="150" fillId="0" borderId="268" xfId="0" applyFont="1" applyBorder="1" applyAlignment="1">
      <alignment horizontal="center" vertical="center"/>
    </xf>
    <xf numFmtId="0" fontId="150" fillId="29" borderId="138" xfId="0" applyFont="1" applyFill="1" applyBorder="1" applyAlignment="1">
      <alignment horizontal="center" vertical="center"/>
    </xf>
    <xf numFmtId="0" fontId="150" fillId="0" borderId="365" xfId="0" applyFont="1" applyBorder="1" applyAlignment="1">
      <alignment horizontal="center" vertical="center"/>
    </xf>
    <xf numFmtId="0" fontId="150" fillId="32" borderId="138" xfId="0" applyFont="1" applyFill="1" applyBorder="1" applyAlignment="1">
      <alignment horizontal="center" vertical="center"/>
    </xf>
    <xf numFmtId="0" fontId="150" fillId="32" borderId="19" xfId="0" applyFont="1" applyFill="1" applyBorder="1" applyAlignment="1">
      <alignment horizontal="center" vertical="center"/>
    </xf>
    <xf numFmtId="172" fontId="150" fillId="32" borderId="113" xfId="0" applyNumberFormat="1" applyFont="1" applyFill="1" applyBorder="1" applyAlignment="1">
      <alignment horizontal="center" vertical="center"/>
    </xf>
    <xf numFmtId="0" fontId="150" fillId="32" borderId="85" xfId="0" applyFont="1" applyFill="1" applyBorder="1" applyAlignment="1">
      <alignment horizontal="center" vertical="center"/>
    </xf>
    <xf numFmtId="172" fontId="150" fillId="32" borderId="138" xfId="0" applyNumberFormat="1" applyFont="1" applyFill="1" applyBorder="1" applyAlignment="1">
      <alignment horizontal="center" vertical="center"/>
    </xf>
    <xf numFmtId="0" fontId="150" fillId="32" borderId="85" xfId="0" applyFont="1" applyFill="1" applyBorder="1" applyAlignment="1">
      <alignment vertical="center"/>
    </xf>
    <xf numFmtId="43" fontId="151" fillId="0" borderId="14" xfId="0" applyNumberFormat="1" applyFont="1" applyBorder="1" applyAlignment="1">
      <alignment vertical="center"/>
    </xf>
    <xf numFmtId="44" fontId="151" fillId="0" borderId="14" xfId="0" applyNumberFormat="1" applyFont="1" applyBorder="1" applyAlignment="1">
      <alignment vertical="center"/>
    </xf>
    <xf numFmtId="39" fontId="151" fillId="0" borderId="54" xfId="0" applyNumberFormat="1" applyFont="1" applyBorder="1" applyAlignment="1">
      <alignment horizontal="center" vertical="center"/>
    </xf>
    <xf numFmtId="173" fontId="151" fillId="0" borderId="71" xfId="0" applyNumberFormat="1" applyFont="1" applyBorder="1" applyAlignment="1">
      <alignment horizontal="center" vertical="center"/>
    </xf>
    <xf numFmtId="4" fontId="151" fillId="0" borderId="14" xfId="0" applyNumberFormat="1" applyFont="1" applyBorder="1" applyAlignment="1">
      <alignment horizontal="center" vertical="center"/>
    </xf>
    <xf numFmtId="4" fontId="151" fillId="0" borderId="54" xfId="0" applyNumberFormat="1" applyFont="1" applyBorder="1" applyAlignment="1">
      <alignment horizontal="center" vertical="center"/>
    </xf>
    <xf numFmtId="172" fontId="151" fillId="0" borderId="40" xfId="0" applyNumberFormat="1" applyFont="1" applyBorder="1" applyAlignment="1">
      <alignment horizontal="center" vertical="center"/>
    </xf>
    <xf numFmtId="3" fontId="151" fillId="0" borderId="73" xfId="0" applyNumberFormat="1" applyFont="1" applyBorder="1" applyAlignment="1">
      <alignment horizontal="center" vertical="center"/>
    </xf>
    <xf numFmtId="172" fontId="151" fillId="0" borderId="14" xfId="0" applyNumberFormat="1" applyFont="1" applyBorder="1" applyAlignment="1">
      <alignment horizontal="center" vertical="center"/>
    </xf>
    <xf numFmtId="3" fontId="151" fillId="0" borderId="54" xfId="0" applyNumberFormat="1" applyFont="1" applyBorder="1" applyAlignment="1">
      <alignment horizontal="center" vertical="center"/>
    </xf>
    <xf numFmtId="3" fontId="151" fillId="0" borderId="72" xfId="0" applyNumberFormat="1" applyFont="1" applyBorder="1" applyAlignment="1">
      <alignment horizontal="center" vertical="center"/>
    </xf>
    <xf numFmtId="172" fontId="151" fillId="0" borderId="72" xfId="0" applyNumberFormat="1" applyFont="1" applyBorder="1" applyAlignment="1">
      <alignment horizontal="center" vertical="center"/>
    </xf>
    <xf numFmtId="3" fontId="151" fillId="0" borderId="145" xfId="0" applyNumberFormat="1" applyFont="1" applyBorder="1" applyAlignment="1">
      <alignment horizontal="center" vertical="center"/>
    </xf>
    <xf numFmtId="43" fontId="150" fillId="0" borderId="15" xfId="0" applyNumberFormat="1" applyFont="1" applyBorder="1" applyAlignment="1">
      <alignment vertical="center"/>
    </xf>
    <xf numFmtId="44" fontId="150" fillId="0" borderId="15" xfId="0" applyNumberFormat="1" applyFont="1" applyBorder="1" applyAlignment="1">
      <alignment vertical="center"/>
    </xf>
    <xf numFmtId="171" fontId="150" fillId="0" borderId="18" xfId="0" applyNumberFormat="1" applyFont="1" applyBorder="1" applyAlignment="1">
      <alignment horizontal="center" vertical="center"/>
    </xf>
    <xf numFmtId="171" fontId="150" fillId="0" borderId="62" xfId="0" applyNumberFormat="1" applyFont="1" applyBorder="1" applyAlignment="1">
      <alignment horizontal="center" vertical="center"/>
    </xf>
    <xf numFmtId="10" fontId="150" fillId="0" borderId="18" xfId="0" applyNumberFormat="1" applyFont="1" applyBorder="1" applyAlignment="1">
      <alignment horizontal="center" vertical="center"/>
    </xf>
    <xf numFmtId="10" fontId="150" fillId="0" borderId="62" xfId="0" applyNumberFormat="1" applyFont="1" applyBorder="1" applyAlignment="1">
      <alignment horizontal="center" vertical="center"/>
    </xf>
    <xf numFmtId="171" fontId="150" fillId="0" borderId="38" xfId="0" applyNumberFormat="1" applyFont="1" applyBorder="1" applyAlignment="1">
      <alignment horizontal="center" vertical="center"/>
    </xf>
    <xf numFmtId="171" fontId="150" fillId="0" borderId="36" xfId="0" applyNumberFormat="1" applyFont="1" applyBorder="1" applyAlignment="1">
      <alignment horizontal="center" vertical="center"/>
    </xf>
    <xf numFmtId="171" fontId="150" fillId="0" borderId="15" xfId="0" applyNumberFormat="1" applyFont="1" applyBorder="1" applyAlignment="1">
      <alignment horizontal="center" vertical="center"/>
    </xf>
    <xf numFmtId="171" fontId="150" fillId="0" borderId="35" xfId="0" applyNumberFormat="1" applyFont="1" applyBorder="1" applyAlignment="1">
      <alignment horizontal="center" vertical="center"/>
    </xf>
    <xf numFmtId="171" fontId="150" fillId="0" borderId="129" xfId="0" applyNumberFormat="1" applyFont="1" applyBorder="1" applyAlignment="1">
      <alignment horizontal="center" vertical="center"/>
    </xf>
    <xf numFmtId="171" fontId="150" fillId="32" borderId="308" xfId="0" applyNumberFormat="1" applyFont="1" applyFill="1" applyBorder="1" applyAlignment="1">
      <alignment horizontal="center" vertical="center"/>
    </xf>
    <xf numFmtId="171" fontId="150" fillId="32" borderId="322" xfId="0" applyNumberFormat="1" applyFont="1" applyFill="1" applyBorder="1" applyAlignment="1">
      <alignment horizontal="center" vertical="center"/>
    </xf>
    <xf numFmtId="171" fontId="150" fillId="32" borderId="266" xfId="0" applyNumberFormat="1" applyFont="1" applyFill="1" applyBorder="1" applyAlignment="1">
      <alignment horizontal="center" vertical="center"/>
    </xf>
    <xf numFmtId="171" fontId="150" fillId="32" borderId="265" xfId="0" applyNumberFormat="1" applyFont="1" applyFill="1" applyBorder="1" applyAlignment="1">
      <alignment horizontal="center" vertical="center"/>
    </xf>
    <xf numFmtId="0" fontId="150" fillId="32" borderId="300" xfId="0" applyFont="1" applyFill="1" applyBorder="1" applyAlignment="1">
      <alignment vertical="center"/>
    </xf>
    <xf numFmtId="171" fontId="150" fillId="0" borderId="0" xfId="0" applyNumberFormat="1" applyFont="1" applyAlignment="1">
      <alignment horizontal="center"/>
    </xf>
    <xf numFmtId="0" fontId="150" fillId="0" borderId="217" xfId="0" applyFont="1" applyBorder="1"/>
    <xf numFmtId="0" fontId="151" fillId="0" borderId="99" xfId="0" applyFont="1" applyBorder="1"/>
    <xf numFmtId="0" fontId="151" fillId="0" borderId="19" xfId="0" applyFont="1" applyBorder="1" applyAlignment="1">
      <alignment horizontal="center"/>
    </xf>
    <xf numFmtId="0" fontId="151" fillId="0" borderId="151" xfId="0" applyFont="1" applyBorder="1" applyAlignment="1">
      <alignment horizontal="center"/>
    </xf>
    <xf numFmtId="4" fontId="151" fillId="0" borderId="151" xfId="0" applyNumberFormat="1" applyFont="1" applyBorder="1" applyAlignment="1">
      <alignment horizontal="center"/>
    </xf>
    <xf numFmtId="0" fontId="151" fillId="0" borderId="141" xfId="0" applyFont="1" applyBorder="1" applyAlignment="1">
      <alignment horizontal="center"/>
    </xf>
    <xf numFmtId="0" fontId="151" fillId="29" borderId="286" xfId="0" applyFont="1" applyFill="1" applyBorder="1" applyAlignment="1">
      <alignment horizontal="center"/>
    </xf>
    <xf numFmtId="0" fontId="151" fillId="29" borderId="144" xfId="0" applyFont="1" applyFill="1" applyBorder="1" applyAlignment="1">
      <alignment horizontal="center"/>
    </xf>
    <xf numFmtId="0" fontId="151" fillId="29" borderId="90" xfId="0" applyFont="1" applyFill="1" applyBorder="1" applyAlignment="1">
      <alignment horizontal="center" vertical="center"/>
    </xf>
    <xf numFmtId="0" fontId="151" fillId="0" borderId="154" xfId="0" applyFont="1" applyBorder="1"/>
    <xf numFmtId="0" fontId="151" fillId="0" borderId="109" xfId="0" applyFont="1" applyBorder="1" applyAlignment="1">
      <alignment horizontal="center"/>
    </xf>
    <xf numFmtId="0" fontId="151" fillId="0" borderId="42" xfId="0" applyFont="1" applyBorder="1" applyAlignment="1">
      <alignment horizontal="center"/>
    </xf>
    <xf numFmtId="4" fontId="151" fillId="0" borderId="109" xfId="0" applyNumberFormat="1" applyFont="1" applyBorder="1" applyAlignment="1">
      <alignment horizontal="center"/>
    </xf>
    <xf numFmtId="4" fontId="151" fillId="0" borderId="42" xfId="0" applyNumberFormat="1" applyFont="1" applyBorder="1" applyAlignment="1">
      <alignment horizontal="center"/>
    </xf>
    <xf numFmtId="0" fontId="151" fillId="0" borderId="135" xfId="0" applyFont="1" applyBorder="1" applyAlignment="1">
      <alignment horizontal="center"/>
    </xf>
    <xf numFmtId="0" fontId="151" fillId="0" borderId="146" xfId="0" applyFont="1" applyBorder="1" applyAlignment="1">
      <alignment horizontal="center"/>
    </xf>
    <xf numFmtId="0" fontId="151" fillId="0" borderId="130" xfId="0" applyFont="1" applyBorder="1" applyAlignment="1">
      <alignment horizontal="center"/>
    </xf>
    <xf numFmtId="0" fontId="151" fillId="29" borderId="308" xfId="0" applyFont="1" applyFill="1" applyBorder="1" applyAlignment="1">
      <alignment horizontal="center"/>
    </xf>
    <xf numFmtId="0" fontId="151" fillId="29" borderId="130" xfId="0" applyFont="1" applyFill="1" applyBorder="1" applyAlignment="1">
      <alignment horizontal="center" vertical="center"/>
    </xf>
    <xf numFmtId="0" fontId="151" fillId="0" borderId="150" xfId="0" applyFont="1" applyBorder="1" applyAlignment="1">
      <alignment horizontal="center"/>
    </xf>
    <xf numFmtId="4" fontId="151" fillId="0" borderId="150" xfId="0" applyNumberFormat="1" applyFont="1" applyBorder="1" applyAlignment="1">
      <alignment horizontal="center"/>
    </xf>
    <xf numFmtId="4" fontId="151" fillId="0" borderId="0" xfId="0" applyNumberFormat="1" applyFont="1" applyAlignment="1">
      <alignment horizontal="center"/>
    </xf>
    <xf numFmtId="4" fontId="151" fillId="0" borderId="90" xfId="0" applyNumberFormat="1" applyFont="1" applyBorder="1" applyAlignment="1">
      <alignment horizontal="center"/>
    </xf>
    <xf numFmtId="4" fontId="151" fillId="0" borderId="24" xfId="0" applyNumberFormat="1" applyFont="1" applyBorder="1" applyAlignment="1">
      <alignment horizontal="center"/>
    </xf>
    <xf numFmtId="4" fontId="151" fillId="0" borderId="56" xfId="0" applyNumberFormat="1" applyFont="1" applyBorder="1" applyAlignment="1">
      <alignment horizontal="center"/>
    </xf>
    <xf numFmtId="4" fontId="151" fillId="0" borderId="148" xfId="0" applyNumberFormat="1" applyFont="1" applyBorder="1" applyAlignment="1">
      <alignment horizontal="center"/>
    </xf>
    <xf numFmtId="4" fontId="151" fillId="0" borderId="116" xfId="0" applyNumberFormat="1" applyFont="1" applyBorder="1" applyAlignment="1">
      <alignment horizontal="center"/>
    </xf>
    <xf numFmtId="0" fontId="151" fillId="0" borderId="56" xfId="206" applyFont="1" applyBorder="1" applyAlignment="1">
      <alignment horizontal="center"/>
    </xf>
    <xf numFmtId="0" fontId="151" fillId="0" borderId="148" xfId="206" applyFont="1" applyBorder="1" applyAlignment="1">
      <alignment horizontal="center"/>
    </xf>
    <xf numFmtId="0" fontId="151" fillId="0" borderId="105" xfId="206" applyFont="1" applyBorder="1" applyAlignment="1">
      <alignment horizontal="center"/>
    </xf>
    <xf numFmtId="172" fontId="150" fillId="29" borderId="90" xfId="0" applyNumberFormat="1" applyFont="1" applyFill="1" applyBorder="1"/>
    <xf numFmtId="0" fontId="150" fillId="29" borderId="90" xfId="0" applyFont="1" applyFill="1" applyBorder="1" applyAlignment="1">
      <alignment horizontal="center" vertical="center"/>
    </xf>
    <xf numFmtId="0" fontId="151" fillId="0" borderId="56" xfId="0" applyFont="1" applyBorder="1" applyAlignment="1">
      <alignment vertical="center"/>
    </xf>
    <xf numFmtId="174" fontId="150" fillId="0" borderId="0" xfId="0" applyNumberFormat="1" applyFont="1" applyAlignment="1">
      <alignment vertical="center"/>
    </xf>
    <xf numFmtId="175" fontId="150" fillId="0" borderId="151" xfId="0" applyNumberFormat="1" applyFont="1" applyBorder="1" applyAlignment="1">
      <alignment horizontal="center" vertical="center"/>
    </xf>
    <xf numFmtId="173" fontId="150" fillId="0" borderId="150" xfId="0" applyNumberFormat="1" applyFont="1" applyBorder="1" applyAlignment="1">
      <alignment horizontal="center" vertical="center"/>
    </xf>
    <xf numFmtId="4" fontId="150" fillId="0" borderId="151" xfId="0" applyNumberFormat="1" applyFont="1" applyBorder="1" applyAlignment="1">
      <alignment horizontal="center" vertical="center"/>
    </xf>
    <xf numFmtId="4" fontId="150" fillId="0" borderId="150" xfId="0" applyNumberFormat="1" applyFont="1" applyBorder="1" applyAlignment="1">
      <alignment horizontal="center" vertical="center"/>
    </xf>
    <xf numFmtId="175" fontId="150" fillId="0" borderId="150" xfId="0" applyNumberFormat="1" applyFont="1" applyBorder="1" applyAlignment="1">
      <alignment horizontal="center" vertical="center"/>
    </xf>
    <xf numFmtId="3" fontId="150" fillId="0" borderId="0" xfId="0" applyNumberFormat="1" applyFont="1" applyAlignment="1">
      <alignment horizontal="center" vertical="center"/>
    </xf>
    <xf numFmtId="175" fontId="150" fillId="0" borderId="90" xfId="0" applyNumberFormat="1" applyFont="1" applyBorder="1" applyAlignment="1">
      <alignment horizontal="center" vertical="center"/>
    </xf>
    <xf numFmtId="175" fontId="150" fillId="0" borderId="56" xfId="0" applyNumberFormat="1" applyFont="1" applyBorder="1" applyAlignment="1">
      <alignment horizontal="center" vertical="center"/>
    </xf>
    <xf numFmtId="175" fontId="150" fillId="0" borderId="116" xfId="0" applyNumberFormat="1" applyFont="1" applyBorder="1" applyAlignment="1">
      <alignment horizontal="center" vertical="center"/>
    </xf>
    <xf numFmtId="3" fontId="150" fillId="0" borderId="151" xfId="0" applyNumberFormat="1" applyFont="1" applyBorder="1" applyAlignment="1">
      <alignment horizontal="center" vertical="center"/>
    </xf>
    <xf numFmtId="175" fontId="150" fillId="0" borderId="0" xfId="0" applyNumberFormat="1" applyFont="1" applyAlignment="1">
      <alignment horizontal="center" vertical="center"/>
    </xf>
    <xf numFmtId="172" fontId="150" fillId="0" borderId="56" xfId="206" applyNumberFormat="1" applyFont="1" applyBorder="1" applyAlignment="1">
      <alignment horizontal="center" vertical="center"/>
    </xf>
    <xf numFmtId="3" fontId="150" fillId="0" borderId="148" xfId="206" applyNumberFormat="1" applyFont="1" applyBorder="1" applyAlignment="1">
      <alignment horizontal="center" vertical="center"/>
    </xf>
    <xf numFmtId="172" fontId="150" fillId="0" borderId="90" xfId="206" applyNumberFormat="1" applyFont="1" applyBorder="1" applyAlignment="1">
      <alignment horizontal="center" vertical="center"/>
    </xf>
    <xf numFmtId="172" fontId="150" fillId="29" borderId="90" xfId="206" applyNumberFormat="1" applyFont="1" applyFill="1" applyBorder="1" applyAlignment="1">
      <alignment horizontal="center" vertical="center"/>
    </xf>
    <xf numFmtId="0" fontId="150" fillId="32" borderId="24" xfId="0" applyFont="1" applyFill="1" applyBorder="1" applyAlignment="1">
      <alignment vertical="center"/>
    </xf>
    <xf numFmtId="3" fontId="150" fillId="0" borderId="56" xfId="206" applyNumberFormat="1" applyFont="1" applyBorder="1" applyAlignment="1">
      <alignment horizontal="center" vertical="center"/>
    </xf>
    <xf numFmtId="4" fontId="150" fillId="0" borderId="90" xfId="206" applyNumberFormat="1" applyFont="1" applyBorder="1" applyAlignment="1">
      <alignment horizontal="center" vertical="center"/>
    </xf>
    <xf numFmtId="4" fontId="150" fillId="29" borderId="90" xfId="206" applyNumberFormat="1" applyFont="1" applyFill="1" applyBorder="1" applyAlignment="1">
      <alignment horizontal="center" vertical="center"/>
    </xf>
    <xf numFmtId="3" fontId="155" fillId="0" borderId="24" xfId="0" applyNumberFormat="1" applyFont="1" applyBorder="1" applyAlignment="1">
      <alignment horizontal="center" vertical="center"/>
    </xf>
    <xf numFmtId="3" fontId="150" fillId="0" borderId="330" xfId="0" applyNumberFormat="1" applyFont="1" applyBorder="1" applyAlignment="1">
      <alignment horizontal="center" vertical="center"/>
    </xf>
    <xf numFmtId="0" fontId="150" fillId="32" borderId="116" xfId="0" applyFont="1" applyFill="1" applyBorder="1" applyAlignment="1">
      <alignment vertical="center"/>
    </xf>
    <xf numFmtId="175" fontId="150" fillId="0" borderId="56" xfId="206" applyNumberFormat="1" applyFont="1" applyBorder="1" applyAlignment="1">
      <alignment horizontal="center" vertical="center"/>
    </xf>
    <xf numFmtId="3" fontId="150" fillId="32" borderId="116" xfId="0" applyNumberFormat="1" applyFont="1" applyFill="1" applyBorder="1" applyAlignment="1">
      <alignment horizontal="center" vertical="center"/>
    </xf>
    <xf numFmtId="9" fontId="150" fillId="0" borderId="56" xfId="208" applyFont="1" applyFill="1" applyBorder="1" applyAlignment="1">
      <alignment horizontal="center" vertical="center"/>
    </xf>
    <xf numFmtId="3" fontId="150" fillId="0" borderId="148" xfId="208" applyNumberFormat="1" applyFont="1" applyFill="1" applyBorder="1" applyAlignment="1">
      <alignment horizontal="center" vertical="center"/>
    </xf>
    <xf numFmtId="10" fontId="150" fillId="0" borderId="90" xfId="208" applyNumberFormat="1" applyFont="1" applyFill="1" applyBorder="1" applyAlignment="1">
      <alignment horizontal="center" vertical="center"/>
    </xf>
    <xf numFmtId="175" fontId="150" fillId="0" borderId="56" xfId="208" applyNumberFormat="1" applyFont="1" applyFill="1" applyBorder="1" applyAlignment="1">
      <alignment horizontal="center" vertical="center"/>
    </xf>
    <xf numFmtId="3" fontId="150" fillId="0" borderId="148" xfId="209" applyNumberFormat="1" applyFont="1" applyFill="1" applyBorder="1" applyAlignment="1">
      <alignment horizontal="center" vertical="center"/>
    </xf>
    <xf numFmtId="175" fontId="150" fillId="0" borderId="90" xfId="208" applyNumberFormat="1" applyFont="1" applyFill="1" applyBorder="1" applyAlignment="1">
      <alignment horizontal="center" vertical="center"/>
    </xf>
    <xf numFmtId="3" fontId="150" fillId="0" borderId="49" xfId="209" applyNumberFormat="1" applyFont="1" applyFill="1" applyBorder="1" applyAlignment="1">
      <alignment horizontal="center" vertical="center"/>
    </xf>
    <xf numFmtId="172" fontId="155" fillId="29" borderId="138" xfId="0" applyNumberFormat="1" applyFont="1" applyFill="1" applyBorder="1" applyAlignment="1">
      <alignment horizontal="center" vertical="center"/>
    </xf>
    <xf numFmtId="174" fontId="151" fillId="0" borderId="33" xfId="0" applyNumberFormat="1" applyFont="1" applyBorder="1" applyAlignment="1">
      <alignment vertical="center"/>
    </xf>
    <xf numFmtId="44" fontId="151" fillId="0" borderId="33" xfId="0" applyNumberFormat="1" applyFont="1" applyBorder="1" applyAlignment="1">
      <alignment vertical="center"/>
    </xf>
    <xf numFmtId="175" fontId="151" fillId="0" borderId="141" xfId="0" applyNumberFormat="1" applyFont="1" applyBorder="1" applyAlignment="1">
      <alignment horizontal="center" vertical="center"/>
    </xf>
    <xf numFmtId="173" fontId="151" fillId="0" borderId="142" xfId="0" applyNumberFormat="1" applyFont="1" applyBorder="1" applyAlignment="1">
      <alignment horizontal="center" vertical="center"/>
    </xf>
    <xf numFmtId="4" fontId="151" fillId="0" borderId="141" xfId="0" applyNumberFormat="1" applyFont="1" applyBorder="1" applyAlignment="1">
      <alignment horizontal="center" vertical="center"/>
    </xf>
    <xf numFmtId="4" fontId="151" fillId="0" borderId="142" xfId="0" applyNumberFormat="1" applyFont="1" applyBorder="1" applyAlignment="1">
      <alignment horizontal="center" vertical="center"/>
    </xf>
    <xf numFmtId="175" fontId="151" fillId="0" borderId="142" xfId="0" applyNumberFormat="1" applyFont="1" applyBorder="1" applyAlignment="1">
      <alignment horizontal="center" vertical="center"/>
    </xf>
    <xf numFmtId="3" fontId="151" fillId="0" borderId="142" xfId="0" applyNumberFormat="1" applyFont="1" applyBorder="1" applyAlignment="1">
      <alignment horizontal="center" vertical="center"/>
    </xf>
    <xf numFmtId="3" fontId="151" fillId="0" borderId="141" xfId="0" applyNumberFormat="1" applyFont="1" applyBorder="1" applyAlignment="1">
      <alignment horizontal="center" vertical="center"/>
    </xf>
    <xf numFmtId="175" fontId="151" fillId="0" borderId="144" xfId="0" applyNumberFormat="1" applyFont="1" applyBorder="1" applyAlignment="1">
      <alignment horizontal="center" vertical="center"/>
    </xf>
    <xf numFmtId="3" fontId="151" fillId="0" borderId="143" xfId="0" applyNumberFormat="1" applyFont="1" applyBorder="1" applyAlignment="1">
      <alignment horizontal="center" vertical="center"/>
    </xf>
    <xf numFmtId="172" fontId="151" fillId="0" borderId="144" xfId="0" applyNumberFormat="1" applyFont="1" applyBorder="1" applyAlignment="1">
      <alignment horizontal="center" vertical="center"/>
    </xf>
    <xf numFmtId="172" fontId="151" fillId="0" borderId="31" xfId="0" applyNumberFormat="1" applyFont="1" applyBorder="1" applyAlignment="1">
      <alignment horizontal="center" vertical="center"/>
    </xf>
    <xf numFmtId="175" fontId="151" fillId="0" borderId="40" xfId="0" applyNumberFormat="1" applyFont="1" applyBorder="1" applyAlignment="1">
      <alignment horizontal="center" vertical="center"/>
    </xf>
    <xf numFmtId="175" fontId="151" fillId="0" borderId="31" xfId="0" applyNumberFormat="1" applyFont="1" applyBorder="1" applyAlignment="1">
      <alignment horizontal="center" vertical="center"/>
    </xf>
    <xf numFmtId="172" fontId="151" fillId="0" borderId="144" xfId="206" applyNumberFormat="1" applyFont="1" applyBorder="1" applyAlignment="1">
      <alignment horizontal="center" vertical="center"/>
    </xf>
    <xf numFmtId="3" fontId="151" fillId="0" borderId="143" xfId="206" applyNumberFormat="1" applyFont="1" applyBorder="1" applyAlignment="1">
      <alignment horizontal="center" vertical="center"/>
    </xf>
    <xf numFmtId="3" fontId="151" fillId="0" borderId="128" xfId="206" applyNumberFormat="1" applyFont="1" applyBorder="1" applyAlignment="1">
      <alignment horizontal="center" vertical="center"/>
    </xf>
    <xf numFmtId="3" fontId="151" fillId="0" borderId="73" xfId="206" applyNumberFormat="1" applyFont="1" applyBorder="1" applyAlignment="1">
      <alignment horizontal="center" vertical="center"/>
    </xf>
    <xf numFmtId="172" fontId="151" fillId="29" borderId="128" xfId="206" applyNumberFormat="1" applyFont="1" applyFill="1" applyBorder="1" applyAlignment="1">
      <alignment horizontal="center" vertical="center"/>
    </xf>
    <xf numFmtId="172" fontId="151" fillId="0" borderId="73" xfId="206" applyNumberFormat="1" applyFont="1" applyBorder="1" applyAlignment="1">
      <alignment horizontal="center" vertical="center"/>
    </xf>
    <xf numFmtId="175" fontId="150" fillId="0" borderId="379" xfId="0" applyNumberFormat="1" applyFont="1" applyBorder="1" applyAlignment="1">
      <alignment horizontal="center"/>
    </xf>
    <xf numFmtId="172" fontId="152" fillId="29" borderId="277" xfId="206" applyNumberFormat="1" applyFont="1" applyFill="1" applyBorder="1" applyAlignment="1">
      <alignment horizontal="center" vertical="center"/>
    </xf>
    <xf numFmtId="172" fontId="152" fillId="0" borderId="73" xfId="206" applyNumberFormat="1" applyFont="1" applyBorder="1" applyAlignment="1">
      <alignment horizontal="center" vertical="center"/>
    </xf>
    <xf numFmtId="172" fontId="152" fillId="29" borderId="40" xfId="206" applyNumberFormat="1" applyFont="1" applyFill="1" applyBorder="1" applyAlignment="1">
      <alignment horizontal="center" vertical="center"/>
    </xf>
    <xf numFmtId="172" fontId="151" fillId="29" borderId="277" xfId="206" applyNumberFormat="1" applyFont="1" applyFill="1" applyBorder="1" applyAlignment="1">
      <alignment horizontal="center" vertical="center"/>
    </xf>
    <xf numFmtId="0" fontId="150" fillId="0" borderId="378" xfId="0" applyFont="1" applyBorder="1" applyAlignment="1">
      <alignment horizontal="center"/>
    </xf>
    <xf numFmtId="172" fontId="151" fillId="29" borderId="367" xfId="206" applyNumberFormat="1" applyFont="1" applyFill="1" applyBorder="1" applyAlignment="1">
      <alignment horizontal="center" vertical="center"/>
    </xf>
    <xf numFmtId="172" fontId="151" fillId="0" borderId="366" xfId="206" applyNumberFormat="1" applyFont="1" applyBorder="1" applyAlignment="1">
      <alignment horizontal="center" vertical="center"/>
    </xf>
    <xf numFmtId="171" fontId="150" fillId="0" borderId="15" xfId="0" applyNumberFormat="1" applyFont="1" applyBorder="1" applyAlignment="1">
      <alignment vertical="center"/>
    </xf>
    <xf numFmtId="171" fontId="150" fillId="0" borderId="136" xfId="0" applyNumberFormat="1" applyFont="1" applyBorder="1" applyAlignment="1">
      <alignment horizontal="center" vertical="center"/>
    </xf>
    <xf numFmtId="10" fontId="150" fillId="0" borderId="136" xfId="0" applyNumberFormat="1" applyFont="1" applyBorder="1" applyAlignment="1">
      <alignment horizontal="center" vertical="center"/>
    </xf>
    <xf numFmtId="10" fontId="150" fillId="0" borderId="15" xfId="0" applyNumberFormat="1" applyFont="1" applyBorder="1" applyAlignment="1">
      <alignment horizontal="center" vertical="center"/>
    </xf>
    <xf numFmtId="10" fontId="150" fillId="0" borderId="35" xfId="0" applyNumberFormat="1" applyFont="1" applyBorder="1" applyAlignment="1">
      <alignment horizontal="center" vertical="center"/>
    </xf>
    <xf numFmtId="10" fontId="150" fillId="0" borderId="55" xfId="0" applyNumberFormat="1" applyFont="1" applyBorder="1" applyAlignment="1">
      <alignment horizontal="center" vertical="center"/>
    </xf>
    <xf numFmtId="171" fontId="150" fillId="0" borderId="55" xfId="0" applyNumberFormat="1" applyFont="1" applyBorder="1" applyAlignment="1">
      <alignment horizontal="center" vertical="center"/>
    </xf>
    <xf numFmtId="171" fontId="150" fillId="0" borderId="29" xfId="0" applyNumberFormat="1" applyFont="1" applyBorder="1" applyAlignment="1">
      <alignment horizontal="center" vertical="center"/>
    </xf>
    <xf numFmtId="171" fontId="150" fillId="0" borderId="126" xfId="0" applyNumberFormat="1" applyFont="1" applyBorder="1" applyAlignment="1">
      <alignment horizontal="center" vertical="center"/>
    </xf>
    <xf numFmtId="171" fontId="150" fillId="0" borderId="140" xfId="0" applyNumberFormat="1" applyFont="1" applyBorder="1" applyAlignment="1">
      <alignment horizontal="center" vertical="center"/>
    </xf>
    <xf numFmtId="171" fontId="150" fillId="0" borderId="38" xfId="206" applyNumberFormat="1" applyFont="1" applyBorder="1" applyAlignment="1">
      <alignment horizontal="center" vertical="center"/>
    </xf>
    <xf numFmtId="171" fontId="150" fillId="0" borderId="36" xfId="206" applyNumberFormat="1" applyFont="1" applyBorder="1" applyAlignment="1">
      <alignment horizontal="center" vertical="center"/>
    </xf>
    <xf numFmtId="171" fontId="150" fillId="0" borderId="35" xfId="206" applyNumberFormat="1" applyFont="1" applyBorder="1" applyAlignment="1">
      <alignment horizontal="center" vertical="center"/>
    </xf>
    <xf numFmtId="171" fontId="150" fillId="0" borderId="140" xfId="206" applyNumberFormat="1" applyFont="1" applyBorder="1" applyAlignment="1">
      <alignment horizontal="center" vertical="center"/>
    </xf>
    <xf numFmtId="171" fontId="150" fillId="29" borderId="35" xfId="206" applyNumberFormat="1" applyFont="1" applyFill="1" applyBorder="1" applyAlignment="1">
      <alignment horizontal="center" vertical="center"/>
    </xf>
    <xf numFmtId="171" fontId="155" fillId="29" borderId="35" xfId="206" applyNumberFormat="1" applyFont="1" applyFill="1" applyBorder="1" applyAlignment="1">
      <alignment horizontal="center" vertical="center"/>
    </xf>
    <xf numFmtId="171" fontId="155" fillId="0" borderId="36" xfId="206" applyNumberFormat="1" applyFont="1" applyBorder="1" applyAlignment="1">
      <alignment horizontal="center" vertical="center"/>
    </xf>
    <xf numFmtId="171" fontId="155" fillId="29" borderId="185" xfId="206" applyNumberFormat="1" applyFont="1" applyFill="1" applyBorder="1" applyAlignment="1">
      <alignment horizontal="center" vertical="center"/>
    </xf>
    <xf numFmtId="171" fontId="155" fillId="29" borderId="204" xfId="206" applyNumberFormat="1" applyFont="1" applyFill="1" applyBorder="1" applyAlignment="1">
      <alignment horizontal="center" vertical="center"/>
    </xf>
    <xf numFmtId="171" fontId="155" fillId="0" borderId="300" xfId="206" applyNumberFormat="1" applyFont="1" applyBorder="1" applyAlignment="1">
      <alignment horizontal="center" vertical="center"/>
    </xf>
    <xf numFmtId="171" fontId="155" fillId="29" borderId="308" xfId="206" applyNumberFormat="1" applyFont="1" applyFill="1" applyBorder="1" applyAlignment="1">
      <alignment horizontal="center" vertical="center"/>
    </xf>
    <xf numFmtId="171" fontId="155" fillId="0" borderId="359" xfId="206" applyNumberFormat="1" applyFont="1" applyBorder="1" applyAlignment="1">
      <alignment horizontal="center" vertical="center"/>
    </xf>
    <xf numFmtId="172" fontId="151" fillId="32" borderId="381" xfId="0" applyNumberFormat="1" applyFont="1" applyFill="1" applyBorder="1" applyAlignment="1">
      <alignment horizontal="center" vertical="center"/>
    </xf>
    <xf numFmtId="172" fontId="151" fillId="32" borderId="322" xfId="0" applyNumberFormat="1" applyFont="1" applyFill="1" applyBorder="1" applyAlignment="1">
      <alignment horizontal="center" vertical="center"/>
    </xf>
    <xf numFmtId="172" fontId="151" fillId="32" borderId="35" xfId="0" applyNumberFormat="1" applyFont="1" applyFill="1" applyBorder="1" applyAlignment="1">
      <alignment horizontal="center" vertical="center"/>
    </xf>
    <xf numFmtId="172" fontId="151" fillId="32" borderId="265" xfId="0" applyNumberFormat="1" applyFont="1" applyFill="1" applyBorder="1" applyAlignment="1">
      <alignment horizontal="center" vertical="center"/>
    </xf>
    <xf numFmtId="4" fontId="150" fillId="0" borderId="0" xfId="0" applyNumberFormat="1" applyFont="1" applyAlignment="1">
      <alignment horizontal="center"/>
    </xf>
    <xf numFmtId="171" fontId="150" fillId="0" borderId="0" xfId="0" applyNumberFormat="1" applyFont="1" applyAlignment="1">
      <alignment horizontal="center" vertical="center"/>
    </xf>
    <xf numFmtId="171" fontId="150" fillId="0" borderId="328" xfId="0" applyNumberFormat="1" applyFont="1" applyBorder="1" applyAlignment="1">
      <alignment horizontal="center" vertical="center"/>
    </xf>
    <xf numFmtId="0" fontId="150" fillId="0" borderId="328" xfId="0" applyFont="1" applyBorder="1" applyAlignment="1">
      <alignment vertical="center"/>
    </xf>
    <xf numFmtId="0" fontId="189" fillId="0" borderId="0" xfId="0" applyFont="1"/>
    <xf numFmtId="0" fontId="150" fillId="0" borderId="10" xfId="0" applyFont="1" applyBorder="1" applyAlignment="1">
      <alignment horizontal="center"/>
    </xf>
    <xf numFmtId="0" fontId="151" fillId="0" borderId="16" xfId="0" applyFont="1" applyBorder="1" applyAlignment="1">
      <alignment horizontal="center"/>
    </xf>
    <xf numFmtId="0" fontId="151" fillId="0" borderId="10" xfId="0" applyFont="1" applyBorder="1" applyAlignment="1">
      <alignment horizontal="center"/>
    </xf>
    <xf numFmtId="0" fontId="151" fillId="0" borderId="34" xfId="0" applyFont="1" applyBorder="1" applyAlignment="1">
      <alignment horizontal="center"/>
    </xf>
    <xf numFmtId="4" fontId="150" fillId="0" borderId="12" xfId="0" applyNumberFormat="1" applyFont="1" applyBorder="1" applyAlignment="1">
      <alignment horizontal="center"/>
    </xf>
    <xf numFmtId="4" fontId="150" fillId="0" borderId="11" xfId="0" applyNumberFormat="1" applyFont="1" applyBorder="1" applyAlignment="1">
      <alignment horizontal="center"/>
    </xf>
    <xf numFmtId="0" fontId="151" fillId="0" borderId="0" xfId="0" applyFont="1"/>
    <xf numFmtId="0" fontId="151" fillId="0" borderId="13" xfId="0" applyFont="1" applyBorder="1" applyAlignment="1">
      <alignment horizontal="center"/>
    </xf>
    <xf numFmtId="0" fontId="151" fillId="0" borderId="33" xfId="0" applyFont="1" applyBorder="1" applyAlignment="1">
      <alignment horizontal="center"/>
    </xf>
    <xf numFmtId="4" fontId="151" fillId="0" borderId="30" xfId="0" applyNumberFormat="1" applyFont="1" applyBorder="1" applyAlignment="1">
      <alignment horizontal="center"/>
    </xf>
    <xf numFmtId="4" fontId="151" fillId="0" borderId="33" xfId="0" applyNumberFormat="1" applyFont="1" applyBorder="1" applyAlignment="1">
      <alignment horizontal="center"/>
    </xf>
    <xf numFmtId="4" fontId="151" fillId="0" borderId="32" xfId="0" applyNumberFormat="1" applyFont="1" applyBorder="1" applyAlignment="1">
      <alignment horizontal="center"/>
    </xf>
    <xf numFmtId="0" fontId="151" fillId="0" borderId="15" xfId="0" applyFont="1" applyBorder="1" applyAlignment="1">
      <alignment horizontal="center"/>
    </xf>
    <xf numFmtId="0" fontId="150" fillId="0" borderId="18" xfId="0" applyFont="1" applyBorder="1" applyAlignment="1">
      <alignment horizontal="center"/>
    </xf>
    <xf numFmtId="10" fontId="151" fillId="0" borderId="15" xfId="0" applyNumberFormat="1" applyFont="1" applyBorder="1" applyAlignment="1">
      <alignment horizontal="center"/>
    </xf>
    <xf numFmtId="10" fontId="151" fillId="0" borderId="18" xfId="0" applyNumberFormat="1" applyFont="1" applyBorder="1" applyAlignment="1">
      <alignment horizontal="center"/>
    </xf>
    <xf numFmtId="10" fontId="151" fillId="0" borderId="23" xfId="0" applyNumberFormat="1" applyFont="1" applyBorder="1" applyAlignment="1">
      <alignment horizontal="center"/>
    </xf>
    <xf numFmtId="0" fontId="150" fillId="0" borderId="322" xfId="0" applyFont="1" applyBorder="1"/>
    <xf numFmtId="0" fontId="151" fillId="0" borderId="92" xfId="0" applyFont="1" applyBorder="1" applyAlignment="1">
      <alignment horizontal="center" vertical="center"/>
    </xf>
    <xf numFmtId="0" fontId="151" fillId="0" borderId="142" xfId="0" applyFont="1" applyBorder="1" applyAlignment="1">
      <alignment horizontal="center"/>
    </xf>
    <xf numFmtId="0" fontId="151" fillId="0" borderId="333" xfId="0" applyFont="1" applyBorder="1" applyAlignment="1">
      <alignment horizontal="center" vertical="center"/>
    </xf>
    <xf numFmtId="0" fontId="151" fillId="0" borderId="0" xfId="0" applyFont="1" applyAlignment="1">
      <alignment horizontal="center" vertical="center"/>
    </xf>
    <xf numFmtId="0" fontId="151" fillId="0" borderId="126" xfId="0" applyFont="1" applyBorder="1"/>
    <xf numFmtId="0" fontId="151" fillId="0" borderId="146" xfId="0" applyFont="1" applyBorder="1"/>
    <xf numFmtId="0" fontId="151" fillId="0" borderId="139" xfId="0" applyFont="1" applyBorder="1" applyAlignment="1">
      <alignment horizontal="center"/>
    </xf>
    <xf numFmtId="0" fontId="151" fillId="0" borderId="354" xfId="0" applyFont="1" applyBorder="1" applyAlignment="1">
      <alignment horizontal="center" vertical="center"/>
    </xf>
    <xf numFmtId="0" fontId="151" fillId="0" borderId="322" xfId="0" applyFont="1" applyBorder="1" applyAlignment="1">
      <alignment horizontal="center" vertical="center"/>
    </xf>
    <xf numFmtId="0" fontId="151" fillId="0" borderId="56" xfId="0" applyFont="1" applyBorder="1"/>
    <xf numFmtId="0" fontId="151" fillId="0" borderId="148" xfId="0" applyFont="1" applyBorder="1" applyAlignment="1">
      <alignment horizontal="center"/>
    </xf>
    <xf numFmtId="0" fontId="150" fillId="0" borderId="321" xfId="0" applyFont="1" applyBorder="1" applyAlignment="1">
      <alignment horizontal="center" vertical="center"/>
    </xf>
    <xf numFmtId="0" fontId="150" fillId="32" borderId="324" xfId="0" applyFont="1" applyFill="1" applyBorder="1" applyAlignment="1">
      <alignment horizontal="center" vertical="center"/>
    </xf>
    <xf numFmtId="0" fontId="150" fillId="32" borderId="24" xfId="0" applyFont="1" applyFill="1" applyBorder="1"/>
    <xf numFmtId="43" fontId="150" fillId="0" borderId="0" xfId="0" applyNumberFormat="1" applyFont="1"/>
    <xf numFmtId="0" fontId="150" fillId="0" borderId="151" xfId="0" applyFont="1" applyBorder="1" applyAlignment="1">
      <alignment horizontal="center"/>
    </xf>
    <xf numFmtId="3" fontId="150" fillId="0" borderId="150" xfId="0" applyNumberFormat="1" applyFont="1" applyBorder="1" applyAlignment="1">
      <alignment horizontal="center"/>
    </xf>
    <xf numFmtId="172" fontId="150" fillId="0" borderId="151" xfId="0" applyNumberFormat="1" applyFont="1" applyBorder="1" applyAlignment="1">
      <alignment horizontal="center"/>
    </xf>
    <xf numFmtId="3" fontId="150" fillId="0" borderId="151" xfId="0" applyNumberFormat="1" applyFont="1" applyBorder="1" applyAlignment="1">
      <alignment horizontal="center"/>
    </xf>
    <xf numFmtId="172" fontId="150" fillId="0" borderId="56" xfId="0" applyNumberFormat="1" applyFont="1" applyBorder="1" applyAlignment="1">
      <alignment horizontal="center"/>
    </xf>
    <xf numFmtId="3" fontId="150" fillId="0" borderId="148" xfId="0" applyNumberFormat="1" applyFont="1" applyBorder="1" applyAlignment="1">
      <alignment horizontal="center"/>
    </xf>
    <xf numFmtId="172" fontId="150" fillId="0" borderId="0" xfId="0" applyNumberFormat="1" applyFont="1" applyAlignment="1">
      <alignment horizontal="center"/>
    </xf>
    <xf numFmtId="3" fontId="150" fillId="0" borderId="56" xfId="0" applyNumberFormat="1" applyFont="1" applyBorder="1" applyAlignment="1">
      <alignment horizontal="center"/>
    </xf>
    <xf numFmtId="3" fontId="150" fillId="32" borderId="330" xfId="0" applyNumberFormat="1" applyFont="1" applyFill="1" applyBorder="1" applyAlignment="1">
      <alignment horizontal="center" vertical="center"/>
    </xf>
    <xf numFmtId="175" fontId="150" fillId="0" borderId="151" xfId="0" applyNumberFormat="1" applyFont="1" applyBorder="1" applyAlignment="1">
      <alignment horizontal="center"/>
    </xf>
    <xf numFmtId="3" fontId="151" fillId="0" borderId="151" xfId="0" applyNumberFormat="1" applyFont="1" applyBorder="1" applyAlignment="1">
      <alignment horizontal="center"/>
    </xf>
    <xf numFmtId="3" fontId="150" fillId="0" borderId="148" xfId="0" applyNumberFormat="1" applyFont="1" applyBorder="1"/>
    <xf numFmtId="0" fontId="151" fillId="0" borderId="149" xfId="0" applyFont="1" applyBorder="1"/>
    <xf numFmtId="43" fontId="151" fillId="0" borderId="149" xfId="0" applyNumberFormat="1" applyFont="1" applyBorder="1"/>
    <xf numFmtId="174" fontId="151" fillId="0" borderId="145" xfId="57" applyNumberFormat="1" applyFont="1" applyFill="1" applyBorder="1" applyAlignment="1">
      <alignment horizontal="center"/>
    </xf>
    <xf numFmtId="3" fontId="151" fillId="0" borderId="137" xfId="0" applyNumberFormat="1" applyFont="1" applyBorder="1" applyAlignment="1">
      <alignment horizontal="center"/>
    </xf>
    <xf numFmtId="172" fontId="151" fillId="0" borderId="145" xfId="0" applyNumberFormat="1" applyFont="1" applyBorder="1" applyAlignment="1">
      <alignment horizontal="center"/>
    </xf>
    <xf numFmtId="3" fontId="151" fillId="0" borderId="145" xfId="0" applyNumberFormat="1" applyFont="1" applyBorder="1" applyAlignment="1">
      <alignment horizontal="center"/>
    </xf>
    <xf numFmtId="172" fontId="151" fillId="0" borderId="40" xfId="0" applyNumberFormat="1" applyFont="1" applyBorder="1" applyAlignment="1">
      <alignment horizontal="center"/>
    </xf>
    <xf numFmtId="3" fontId="151" fillId="0" borderId="73" xfId="0" applyNumberFormat="1" applyFont="1" applyBorder="1" applyAlignment="1">
      <alignment horizontal="center"/>
    </xf>
    <xf numFmtId="172" fontId="151" fillId="0" borderId="149" xfId="0" applyNumberFormat="1" applyFont="1" applyBorder="1" applyAlignment="1">
      <alignment horizontal="center"/>
    </xf>
    <xf numFmtId="3" fontId="151" fillId="0" borderId="40" xfId="0" applyNumberFormat="1" applyFont="1" applyBorder="1" applyAlignment="1">
      <alignment horizontal="center"/>
    </xf>
    <xf numFmtId="3" fontId="151" fillId="0" borderId="149" xfId="0" applyNumberFormat="1" applyFont="1" applyBorder="1" applyAlignment="1">
      <alignment horizontal="center"/>
    </xf>
    <xf numFmtId="172" fontId="151" fillId="0" borderId="73" xfId="0" applyNumberFormat="1" applyFont="1" applyBorder="1" applyAlignment="1">
      <alignment horizontal="center"/>
    </xf>
    <xf numFmtId="0" fontId="150" fillId="0" borderId="15" xfId="0" applyFont="1" applyBorder="1"/>
    <xf numFmtId="171" fontId="150" fillId="0" borderId="129" xfId="0" applyNumberFormat="1" applyFont="1" applyBorder="1" applyAlignment="1">
      <alignment horizontal="center"/>
    </xf>
    <xf numFmtId="171" fontId="150" fillId="0" borderId="136" xfId="0" applyNumberFormat="1" applyFont="1" applyBorder="1" applyAlignment="1">
      <alignment horizontal="center"/>
    </xf>
    <xf numFmtId="171" fontId="150" fillId="0" borderId="38" xfId="0" applyNumberFormat="1" applyFont="1" applyBorder="1" applyAlignment="1">
      <alignment horizontal="center"/>
    </xf>
    <xf numFmtId="171" fontId="150" fillId="0" borderId="36" xfId="0" applyNumberFormat="1" applyFont="1" applyBorder="1" applyAlignment="1">
      <alignment horizontal="center"/>
    </xf>
    <xf numFmtId="171" fontId="150" fillId="0" borderId="15" xfId="0" applyNumberFormat="1" applyFont="1" applyBorder="1" applyAlignment="1">
      <alignment horizontal="center"/>
    </xf>
    <xf numFmtId="171" fontId="150" fillId="0" borderId="38" xfId="149" applyNumberFormat="1" applyFont="1" applyFill="1" applyBorder="1" applyAlignment="1">
      <alignment horizontal="center"/>
    </xf>
    <xf numFmtId="0" fontId="151" fillId="29" borderId="56" xfId="0" applyFont="1" applyFill="1" applyBorder="1" applyAlignment="1">
      <alignment horizontal="center"/>
    </xf>
    <xf numFmtId="0" fontId="151" fillId="29" borderId="126" xfId="0" applyFont="1" applyFill="1" applyBorder="1" applyAlignment="1">
      <alignment horizontal="center"/>
    </xf>
    <xf numFmtId="172" fontId="151" fillId="29" borderId="40" xfId="0" applyNumberFormat="1" applyFont="1" applyFill="1" applyBorder="1" applyAlignment="1">
      <alignment horizontal="center"/>
    </xf>
    <xf numFmtId="171" fontId="150" fillId="29" borderId="38" xfId="0" applyNumberFormat="1" applyFont="1" applyFill="1" applyBorder="1" applyAlignment="1">
      <alignment horizontal="center"/>
    </xf>
    <xf numFmtId="2" fontId="168" fillId="0" borderId="0" xfId="122" applyNumberFormat="1" applyFont="1" applyAlignment="1">
      <alignment vertical="center"/>
    </xf>
    <xf numFmtId="0" fontId="167" fillId="0" borderId="0" xfId="122" applyFont="1" applyAlignment="1">
      <alignment vertical="center"/>
    </xf>
    <xf numFmtId="2" fontId="167" fillId="0" borderId="0" xfId="122" applyNumberFormat="1" applyFont="1" applyAlignment="1">
      <alignment vertical="center"/>
    </xf>
    <xf numFmtId="0" fontId="168" fillId="0" borderId="176" xfId="122" applyFont="1" applyBorder="1" applyAlignment="1">
      <alignment horizontal="center" vertical="center"/>
    </xf>
    <xf numFmtId="0" fontId="168" fillId="0" borderId="397" xfId="122" applyFont="1" applyBorder="1" applyAlignment="1">
      <alignment horizontal="center" vertical="center"/>
    </xf>
    <xf numFmtId="0" fontId="168" fillId="0" borderId="68" xfId="122" applyFont="1" applyBorder="1" applyAlignment="1">
      <alignment horizontal="center" vertical="center"/>
    </xf>
    <xf numFmtId="0" fontId="167" fillId="0" borderId="0" xfId="122" applyFont="1" applyAlignment="1">
      <alignment horizontal="right" vertical="center"/>
    </xf>
    <xf numFmtId="0" fontId="168" fillId="0" borderId="90" xfId="122" applyFont="1" applyBorder="1" applyAlignment="1">
      <alignment horizontal="center" vertical="center"/>
    </xf>
    <xf numFmtId="0" fontId="168" fillId="0" borderId="56" xfId="122" applyFont="1" applyBorder="1" applyAlignment="1">
      <alignment horizontal="center" vertical="center"/>
    </xf>
    <xf numFmtId="0" fontId="168" fillId="0" borderId="294" xfId="122" applyFont="1" applyBorder="1" applyAlignment="1">
      <alignment horizontal="center" vertical="center"/>
    </xf>
    <xf numFmtId="0" fontId="167" fillId="0" borderId="24" xfId="122" applyFont="1" applyBorder="1" applyAlignment="1">
      <alignment horizontal="right" vertical="center"/>
    </xf>
    <xf numFmtId="3" fontId="167" fillId="0" borderId="0" xfId="122" applyNumberFormat="1" applyFont="1" applyAlignment="1">
      <alignment horizontal="right" vertical="center"/>
    </xf>
    <xf numFmtId="0" fontId="168" fillId="0" borderId="57" xfId="122" applyFont="1" applyBorder="1" applyAlignment="1">
      <alignment horizontal="center" vertical="center"/>
    </xf>
    <xf numFmtId="3" fontId="168" fillId="0" borderId="0" xfId="57" applyNumberFormat="1" applyFont="1" applyFill="1" applyBorder="1" applyAlignment="1" applyProtection="1">
      <alignment horizontal="center" vertical="center"/>
    </xf>
    <xf numFmtId="3" fontId="168" fillId="0" borderId="0" xfId="2882" applyNumberFormat="1" applyFont="1" applyFill="1" applyBorder="1" applyAlignment="1" applyProtection="1">
      <alignment horizontal="center" vertical="center"/>
    </xf>
    <xf numFmtId="171" fontId="167" fillId="0" borderId="0" xfId="149" applyNumberFormat="1" applyFont="1" applyBorder="1" applyAlignment="1">
      <alignment horizontal="right"/>
    </xf>
    <xf numFmtId="0" fontId="168" fillId="0" borderId="308" xfId="122" applyFont="1" applyBorder="1" applyAlignment="1">
      <alignment horizontal="center" vertical="center"/>
    </xf>
    <xf numFmtId="2" fontId="168" fillId="0" borderId="90" xfId="122" applyNumberFormat="1" applyFont="1" applyBorder="1" applyAlignment="1">
      <alignment horizontal="center" vertical="center"/>
    </xf>
    <xf numFmtId="3" fontId="167" fillId="0" borderId="150" xfId="2882" applyNumberFormat="1" applyFont="1" applyFill="1" applyBorder="1" applyAlignment="1" applyProtection="1">
      <alignment horizontal="center" vertical="center"/>
    </xf>
    <xf numFmtId="3" fontId="167" fillId="0" borderId="329" xfId="2882" applyNumberFormat="1" applyFont="1" applyFill="1" applyBorder="1" applyAlignment="1" applyProtection="1">
      <alignment horizontal="center" vertical="center"/>
    </xf>
    <xf numFmtId="3" fontId="167" fillId="0" borderId="155" xfId="2882" applyNumberFormat="1" applyFont="1" applyFill="1" applyBorder="1" applyAlignment="1" applyProtection="1">
      <alignment horizontal="center" vertical="center"/>
    </xf>
    <xf numFmtId="3" fontId="167" fillId="0" borderId="198" xfId="2882" applyNumberFormat="1" applyFont="1" applyFill="1" applyBorder="1" applyAlignment="1" applyProtection="1">
      <alignment horizontal="center" vertical="center"/>
    </xf>
    <xf numFmtId="3" fontId="168" fillId="0" borderId="69" xfId="2882" applyNumberFormat="1" applyFont="1" applyFill="1" applyBorder="1" applyAlignment="1" applyProtection="1">
      <alignment horizontal="center" vertical="center"/>
    </xf>
    <xf numFmtId="2" fontId="168" fillId="0" borderId="281" xfId="122" applyNumberFormat="1" applyFont="1" applyBorder="1" applyAlignment="1">
      <alignment horizontal="center" vertical="center"/>
    </xf>
    <xf numFmtId="3" fontId="167" fillId="0" borderId="282" xfId="2882" applyNumberFormat="1" applyFont="1" applyFill="1" applyBorder="1" applyAlignment="1" applyProtection="1">
      <alignment horizontal="center" vertical="center"/>
    </xf>
    <xf numFmtId="3" fontId="167" fillId="0" borderId="344" xfId="2882" applyNumberFormat="1" applyFont="1" applyFill="1" applyBorder="1" applyAlignment="1" applyProtection="1">
      <alignment horizontal="center" vertical="center"/>
    </xf>
    <xf numFmtId="3" fontId="167" fillId="0" borderId="283" xfId="2882" applyNumberFormat="1" applyFont="1" applyFill="1" applyBorder="1" applyAlignment="1" applyProtection="1">
      <alignment horizontal="center" vertical="center"/>
    </xf>
    <xf numFmtId="3" fontId="168" fillId="0" borderId="114" xfId="2882" applyNumberFormat="1" applyFont="1" applyFill="1" applyBorder="1" applyAlignment="1" applyProtection="1">
      <alignment horizontal="center" vertical="center"/>
    </xf>
    <xf numFmtId="2" fontId="168" fillId="0" borderId="90" xfId="122" applyNumberFormat="1" applyFont="1" applyBorder="1" applyAlignment="1">
      <alignment vertical="center"/>
    </xf>
    <xf numFmtId="3" fontId="167" fillId="0" borderId="132" xfId="2882" applyNumberFormat="1" applyFont="1" applyFill="1" applyBorder="1" applyAlignment="1" applyProtection="1">
      <alignment horizontal="center" vertical="center"/>
    </xf>
    <xf numFmtId="37" fontId="167" fillId="0" borderId="134" xfId="122" applyNumberFormat="1" applyFont="1" applyBorder="1" applyAlignment="1">
      <alignment horizontal="center" vertical="center"/>
    </xf>
    <xf numFmtId="0" fontId="168" fillId="0" borderId="90" xfId="122" applyFont="1" applyBorder="1" applyAlignment="1">
      <alignment horizontal="left" vertical="center"/>
    </xf>
    <xf numFmtId="2" fontId="168" fillId="0" borderId="130" xfId="122" applyNumberFormat="1" applyFont="1" applyBorder="1" applyAlignment="1">
      <alignment horizontal="center" vertical="center"/>
    </xf>
    <xf numFmtId="3" fontId="167" fillId="0" borderId="139" xfId="2882" applyNumberFormat="1" applyFont="1" applyFill="1" applyBorder="1" applyAlignment="1" applyProtection="1">
      <alignment horizontal="center" vertical="center"/>
    </xf>
    <xf numFmtId="3" fontId="167" fillId="0" borderId="183" xfId="2882" applyNumberFormat="1" applyFont="1" applyFill="1" applyBorder="1" applyAlignment="1" applyProtection="1">
      <alignment horizontal="center" vertical="center"/>
    </xf>
    <xf numFmtId="3" fontId="167" fillId="0" borderId="165" xfId="2882" applyNumberFormat="1" applyFont="1" applyFill="1" applyBorder="1" applyAlignment="1" applyProtection="1">
      <alignment horizontal="center" vertical="center"/>
    </xf>
    <xf numFmtId="3" fontId="167" fillId="0" borderId="331" xfId="2882" applyNumberFormat="1" applyFont="1" applyFill="1" applyBorder="1" applyAlignment="1" applyProtection="1">
      <alignment horizontal="center" vertical="center"/>
    </xf>
    <xf numFmtId="37" fontId="167" fillId="0" borderId="114" xfId="122" applyNumberFormat="1" applyFont="1" applyBorder="1" applyAlignment="1">
      <alignment horizontal="center" vertical="center"/>
    </xf>
    <xf numFmtId="0" fontId="172" fillId="0" borderId="321" xfId="0" applyFont="1" applyBorder="1"/>
    <xf numFmtId="0" fontId="167" fillId="0" borderId="321" xfId="122" applyFont="1" applyBorder="1" applyAlignment="1">
      <alignment vertical="center"/>
    </xf>
    <xf numFmtId="2" fontId="172" fillId="0" borderId="0" xfId="122" applyNumberFormat="1" applyFont="1" applyAlignment="1">
      <alignment vertical="center"/>
    </xf>
    <xf numFmtId="171" fontId="167" fillId="0" borderId="0" xfId="149" applyNumberFormat="1" applyFont="1" applyFill="1" applyAlignment="1">
      <alignment vertical="center"/>
    </xf>
    <xf numFmtId="0" fontId="168" fillId="0" borderId="0" xfId="122" applyFont="1" applyAlignment="1">
      <alignment vertical="center"/>
    </xf>
    <xf numFmtId="0" fontId="168" fillId="0" borderId="0" xfId="122" applyFont="1" applyAlignment="1">
      <alignment horizontal="center" vertical="center"/>
    </xf>
    <xf numFmtId="37" fontId="168" fillId="0" borderId="0" xfId="122" applyNumberFormat="1" applyFont="1" applyAlignment="1">
      <alignment horizontal="center" vertical="center"/>
    </xf>
    <xf numFmtId="37" fontId="167" fillId="0" borderId="391" xfId="122" applyNumberFormat="1" applyFont="1" applyBorder="1" applyAlignment="1">
      <alignment horizontal="center" vertical="center"/>
    </xf>
    <xf numFmtId="37" fontId="167" fillId="0" borderId="392" xfId="122" applyNumberFormat="1" applyFont="1" applyBorder="1" applyAlignment="1">
      <alignment horizontal="center" vertical="center"/>
    </xf>
    <xf numFmtId="37" fontId="167" fillId="0" borderId="0" xfId="122" applyNumberFormat="1" applyFont="1" applyAlignment="1">
      <alignment horizontal="center" vertical="center"/>
    </xf>
    <xf numFmtId="37" fontId="168" fillId="0" borderId="393" xfId="122" applyNumberFormat="1" applyFont="1" applyBorder="1" applyAlignment="1">
      <alignment horizontal="center" vertical="center"/>
    </xf>
    <xf numFmtId="1" fontId="167" fillId="0" borderId="252" xfId="122" applyNumberFormat="1" applyFont="1" applyBorder="1" applyAlignment="1">
      <alignment horizontal="center" vertical="center"/>
    </xf>
    <xf numFmtId="1" fontId="167" fillId="0" borderId="0" xfId="122" applyNumberFormat="1" applyFont="1" applyAlignment="1">
      <alignment horizontal="center" vertical="center"/>
    </xf>
    <xf numFmtId="37" fontId="168" fillId="0" borderId="199" xfId="122" applyNumberFormat="1" applyFont="1" applyBorder="1" applyAlignment="1">
      <alignment horizontal="center" vertical="center"/>
    </xf>
    <xf numFmtId="171" fontId="167" fillId="0" borderId="0" xfId="149" applyNumberFormat="1" applyFont="1" applyBorder="1" applyAlignment="1">
      <alignment horizontal="center"/>
    </xf>
    <xf numFmtId="0" fontId="168" fillId="32" borderId="56" xfId="122" applyFont="1" applyFill="1" applyBorder="1" applyAlignment="1">
      <alignment horizontal="center" vertical="center"/>
    </xf>
    <xf numFmtId="1" fontId="167" fillId="32" borderId="252" xfId="122" applyNumberFormat="1" applyFont="1" applyFill="1" applyBorder="1" applyAlignment="1">
      <alignment horizontal="center" vertical="center"/>
    </xf>
    <xf numFmtId="1" fontId="167" fillId="32" borderId="26" xfId="122" applyNumberFormat="1" applyFont="1" applyFill="1" applyBorder="1" applyAlignment="1">
      <alignment horizontal="center" vertical="center"/>
    </xf>
    <xf numFmtId="1" fontId="167" fillId="32" borderId="305" xfId="122" applyNumberFormat="1" applyFont="1" applyFill="1" applyBorder="1" applyAlignment="1">
      <alignment horizontal="center" vertical="center"/>
    </xf>
    <xf numFmtId="1" fontId="167" fillId="32" borderId="0" xfId="122" applyNumberFormat="1" applyFont="1" applyFill="1" applyAlignment="1">
      <alignment horizontal="center" vertical="center"/>
    </xf>
    <xf numFmtId="37" fontId="168" fillId="32" borderId="199" xfId="122" applyNumberFormat="1" applyFont="1" applyFill="1" applyBorder="1" applyAlignment="1">
      <alignment horizontal="center" vertical="center"/>
    </xf>
    <xf numFmtId="1" fontId="167" fillId="32" borderId="289" xfId="122" applyNumberFormat="1" applyFont="1" applyFill="1" applyBorder="1" applyAlignment="1">
      <alignment horizontal="center" vertical="center"/>
    </xf>
    <xf numFmtId="1" fontId="167" fillId="32" borderId="110" xfId="122" applyNumberFormat="1" applyFont="1" applyFill="1" applyBorder="1" applyAlignment="1">
      <alignment horizontal="center" vertical="center"/>
    </xf>
    <xf numFmtId="0" fontId="167" fillId="0" borderId="56" xfId="122" applyFont="1" applyBorder="1" applyAlignment="1">
      <alignment vertical="center"/>
    </xf>
    <xf numFmtId="0" fontId="172" fillId="0" borderId="321" xfId="122" applyFont="1" applyBorder="1" applyAlignment="1">
      <alignment vertical="center"/>
    </xf>
    <xf numFmtId="171" fontId="167" fillId="0" borderId="0" xfId="149" applyNumberFormat="1" applyFont="1" applyFill="1" applyBorder="1" applyAlignment="1" applyProtection="1">
      <alignment horizontal="center" vertical="center"/>
    </xf>
    <xf numFmtId="10" fontId="167" fillId="0" borderId="0" xfId="149" applyNumberFormat="1" applyFont="1" applyFill="1" applyAlignment="1">
      <alignment vertical="center"/>
    </xf>
    <xf numFmtId="0" fontId="168" fillId="0" borderId="290" xfId="122" applyFont="1" applyBorder="1" applyAlignment="1">
      <alignment horizontal="center" vertical="center"/>
    </xf>
    <xf numFmtId="0" fontId="168" fillId="0" borderId="290" xfId="122" applyFont="1" applyBorder="1" applyAlignment="1">
      <alignment vertical="center"/>
    </xf>
    <xf numFmtId="0" fontId="167" fillId="0" borderId="0" xfId="122" applyFont="1" applyAlignment="1">
      <alignment horizontal="center" vertical="center"/>
    </xf>
    <xf numFmtId="180" fontId="167" fillId="0" borderId="0" xfId="122" applyNumberFormat="1" applyFont="1" applyAlignment="1">
      <alignment horizontal="center" vertical="center"/>
    </xf>
    <xf numFmtId="171" fontId="168" fillId="0" borderId="0" xfId="122" applyNumberFormat="1" applyFont="1" applyAlignment="1">
      <alignment horizontal="center" vertical="center"/>
    </xf>
    <xf numFmtId="0" fontId="172" fillId="0" borderId="0" xfId="122" applyFont="1" applyAlignment="1">
      <alignment vertical="center"/>
    </xf>
    <xf numFmtId="0" fontId="158" fillId="0" borderId="0" xfId="128" applyFont="1"/>
    <xf numFmtId="0" fontId="225" fillId="0" borderId="163" xfId="141" applyFont="1" applyBorder="1" applyAlignment="1">
      <alignment horizontal="center"/>
    </xf>
    <xf numFmtId="3" fontId="225" fillId="0" borderId="194" xfId="141" applyNumberFormat="1" applyFont="1" applyBorder="1" applyAlignment="1">
      <alignment horizontal="center"/>
    </xf>
    <xf numFmtId="0" fontId="226" fillId="0" borderId="180" xfId="141" applyFont="1" applyBorder="1" applyAlignment="1">
      <alignment horizontal="center"/>
    </xf>
    <xf numFmtId="3" fontId="225" fillId="0" borderId="207" xfId="141" applyNumberFormat="1" applyFont="1" applyBorder="1" applyAlignment="1">
      <alignment horizontal="center"/>
    </xf>
    <xf numFmtId="0" fontId="158" fillId="0" borderId="26" xfId="141" applyFont="1" applyBorder="1" applyAlignment="1">
      <alignment horizontal="center"/>
    </xf>
    <xf numFmtId="3" fontId="158" fillId="0" borderId="195" xfId="141" applyNumberFormat="1" applyFont="1" applyBorder="1" applyAlignment="1">
      <alignment horizontal="center"/>
    </xf>
    <xf numFmtId="3" fontId="226" fillId="0" borderId="24" xfId="141" applyNumberFormat="1" applyFont="1" applyBorder="1" applyAlignment="1">
      <alignment horizontal="center"/>
    </xf>
    <xf numFmtId="3" fontId="158" fillId="0" borderId="24" xfId="141" applyNumberFormat="1" applyFont="1" applyBorder="1" applyAlignment="1">
      <alignment horizontal="center"/>
    </xf>
    <xf numFmtId="3" fontId="158" fillId="0" borderId="24" xfId="128" applyNumberFormat="1" applyFont="1" applyBorder="1" applyAlignment="1">
      <alignment horizontal="center"/>
    </xf>
    <xf numFmtId="0" fontId="158" fillId="0" borderId="13" xfId="141" applyFont="1" applyBorder="1" applyAlignment="1">
      <alignment horizontal="center"/>
    </xf>
    <xf numFmtId="3" fontId="158" fillId="0" borderId="200" xfId="141" applyNumberFormat="1" applyFont="1" applyBorder="1" applyAlignment="1">
      <alignment horizontal="center"/>
    </xf>
    <xf numFmtId="3" fontId="158" fillId="0" borderId="179" xfId="141" applyNumberFormat="1" applyFont="1" applyBorder="1" applyAlignment="1">
      <alignment horizontal="center"/>
    </xf>
    <xf numFmtId="3" fontId="158" fillId="0" borderId="305" xfId="141" applyNumberFormat="1" applyFont="1" applyBorder="1" applyAlignment="1">
      <alignment horizontal="center"/>
    </xf>
    <xf numFmtId="0" fontId="158" fillId="0" borderId="0" xfId="141" applyFont="1" applyAlignment="1">
      <alignment horizontal="center"/>
    </xf>
    <xf numFmtId="3" fontId="158" fillId="0" borderId="405" xfId="141" applyNumberFormat="1" applyFont="1" applyBorder="1" applyAlignment="1">
      <alignment horizontal="center"/>
    </xf>
    <xf numFmtId="3" fontId="158" fillId="0" borderId="404" xfId="141" applyNumberFormat="1" applyFont="1" applyBorder="1" applyAlignment="1">
      <alignment horizontal="center"/>
    </xf>
    <xf numFmtId="0" fontId="158" fillId="0" borderId="181" xfId="141" applyFont="1" applyBorder="1" applyAlignment="1">
      <alignment horizontal="center"/>
    </xf>
    <xf numFmtId="3" fontId="157" fillId="0" borderId="58" xfId="141" applyNumberFormat="1" applyFont="1" applyBorder="1" applyAlignment="1">
      <alignment horizontal="center"/>
    </xf>
    <xf numFmtId="3" fontId="225" fillId="0" borderId="86" xfId="141" applyNumberFormat="1" applyFont="1" applyBorder="1" applyAlignment="1">
      <alignment horizontal="center"/>
    </xf>
    <xf numFmtId="0" fontId="226" fillId="0" borderId="26" xfId="141" applyFont="1" applyBorder="1" applyAlignment="1">
      <alignment horizontal="center"/>
    </xf>
    <xf numFmtId="3" fontId="226" fillId="0" borderId="195" xfId="141" applyNumberFormat="1" applyFont="1" applyBorder="1" applyAlignment="1">
      <alignment horizontal="center"/>
    </xf>
    <xf numFmtId="0" fontId="158" fillId="0" borderId="24" xfId="141" applyFont="1" applyBorder="1" applyAlignment="1">
      <alignment horizontal="center"/>
    </xf>
    <xf numFmtId="3" fontId="226" fillId="0" borderId="200" xfId="141" applyNumberFormat="1" applyFont="1" applyBorder="1" applyAlignment="1">
      <alignment horizontal="center"/>
    </xf>
    <xf numFmtId="3" fontId="226" fillId="0" borderId="179" xfId="141" applyNumberFormat="1" applyFont="1" applyBorder="1" applyAlignment="1">
      <alignment horizontal="center"/>
    </xf>
    <xf numFmtId="3" fontId="226" fillId="0" borderId="305" xfId="141" applyNumberFormat="1" applyFont="1" applyBorder="1" applyAlignment="1">
      <alignment horizontal="center"/>
    </xf>
    <xf numFmtId="3" fontId="226" fillId="0" borderId="0" xfId="141" applyNumberFormat="1" applyFont="1" applyAlignment="1">
      <alignment horizontal="center"/>
    </xf>
    <xf numFmtId="0" fontId="226" fillId="0" borderId="182" xfId="141" applyFont="1" applyBorder="1" applyAlignment="1">
      <alignment horizontal="center"/>
    </xf>
    <xf numFmtId="3" fontId="225" fillId="0" borderId="59" xfId="141" applyNumberFormat="1" applyFont="1" applyBorder="1" applyAlignment="1">
      <alignment horizontal="center"/>
    </xf>
    <xf numFmtId="3" fontId="225" fillId="0" borderId="87" xfId="141" applyNumberFormat="1" applyFont="1" applyBorder="1" applyAlignment="1">
      <alignment horizontal="center"/>
    </xf>
    <xf numFmtId="3" fontId="157" fillId="0" borderId="195" xfId="141" applyNumberFormat="1" applyFont="1" applyBorder="1" applyAlignment="1">
      <alignment horizontal="center"/>
    </xf>
    <xf numFmtId="3" fontId="157" fillId="0" borderId="24" xfId="141" applyNumberFormat="1" applyFont="1" applyBorder="1" applyAlignment="1">
      <alignment horizontal="center"/>
    </xf>
    <xf numFmtId="0" fontId="227" fillId="0" borderId="0" xfId="128" applyFont="1"/>
    <xf numFmtId="3" fontId="158" fillId="0" borderId="186" xfId="141" applyNumberFormat="1" applyFont="1" applyBorder="1" applyAlignment="1">
      <alignment horizontal="center"/>
    </xf>
    <xf numFmtId="0" fontId="158" fillId="0" borderId="13" xfId="128" applyFont="1" applyBorder="1" applyAlignment="1">
      <alignment horizontal="center"/>
    </xf>
    <xf numFmtId="3" fontId="158" fillId="0" borderId="186" xfId="128" applyNumberFormat="1" applyFont="1" applyBorder="1" applyAlignment="1">
      <alignment horizontal="center"/>
    </xf>
    <xf numFmtId="0" fontId="158" fillId="0" borderId="57" xfId="128" applyFont="1" applyBorder="1" applyAlignment="1">
      <alignment horizontal="center"/>
    </xf>
    <xf numFmtId="0" fontId="158" fillId="0" borderId="406" xfId="128" applyFont="1" applyBorder="1" applyAlignment="1">
      <alignment horizontal="center"/>
    </xf>
    <xf numFmtId="0" fontId="158" fillId="0" borderId="334" xfId="128" applyFont="1" applyBorder="1" applyAlignment="1">
      <alignment horizontal="center"/>
    </xf>
    <xf numFmtId="3" fontId="157" fillId="0" borderId="307" xfId="141" applyNumberFormat="1" applyFont="1" applyBorder="1" applyAlignment="1">
      <alignment horizontal="center" vertical="center"/>
    </xf>
    <xf numFmtId="3" fontId="225" fillId="0" borderId="306" xfId="141" applyNumberFormat="1" applyFont="1" applyBorder="1" applyAlignment="1">
      <alignment horizontal="center" vertical="center"/>
    </xf>
    <xf numFmtId="0" fontId="158" fillId="0" borderId="116" xfId="141" applyFont="1" applyBorder="1" applyAlignment="1">
      <alignment horizontal="center"/>
    </xf>
    <xf numFmtId="3" fontId="158" fillId="0" borderId="394" xfId="141" applyNumberFormat="1" applyFont="1" applyBorder="1" applyAlignment="1">
      <alignment horizontal="center"/>
    </xf>
    <xf numFmtId="0" fontId="157" fillId="0" borderId="182" xfId="141" applyFont="1" applyBorder="1" applyAlignment="1">
      <alignment horizontal="center"/>
    </xf>
    <xf numFmtId="3" fontId="157" fillId="0" borderId="59" xfId="141" applyNumberFormat="1" applyFont="1" applyBorder="1" applyAlignment="1">
      <alignment horizontal="center"/>
    </xf>
    <xf numFmtId="0" fontId="226" fillId="0" borderId="24" xfId="141" applyFont="1" applyBorder="1" applyAlignment="1">
      <alignment horizontal="center"/>
    </xf>
    <xf numFmtId="0" fontId="225" fillId="0" borderId="216" xfId="141" applyFont="1" applyBorder="1" applyAlignment="1">
      <alignment horizontal="center"/>
    </xf>
    <xf numFmtId="0" fontId="225" fillId="0" borderId="334" xfId="141" applyFont="1" applyBorder="1" applyAlignment="1">
      <alignment horizontal="center"/>
    </xf>
    <xf numFmtId="3" fontId="225" fillId="0" borderId="24" xfId="141" applyNumberFormat="1" applyFont="1" applyBorder="1" applyAlignment="1">
      <alignment horizontal="center"/>
    </xf>
    <xf numFmtId="0" fontId="227" fillId="0" borderId="24" xfId="128" applyFont="1" applyBorder="1"/>
    <xf numFmtId="3" fontId="158" fillId="0" borderId="10" xfId="0" applyNumberFormat="1" applyFont="1" applyBorder="1" applyAlignment="1">
      <alignment horizontal="center"/>
    </xf>
    <xf numFmtId="0" fontId="157" fillId="0" borderId="37" xfId="0" applyFont="1" applyBorder="1"/>
    <xf numFmtId="0" fontId="157" fillId="0" borderId="308" xfId="0" applyFont="1" applyBorder="1"/>
    <xf numFmtId="0" fontId="157" fillId="0" borderId="322" xfId="0" applyFont="1" applyBorder="1"/>
    <xf numFmtId="0" fontId="157" fillId="0" borderId="289" xfId="0" applyFont="1" applyBorder="1" applyAlignment="1">
      <alignment horizontal="center"/>
    </xf>
    <xf numFmtId="0" fontId="157" fillId="0" borderId="322" xfId="0" applyFont="1" applyBorder="1" applyAlignment="1">
      <alignment horizontal="center"/>
    </xf>
    <xf numFmtId="0" fontId="157" fillId="0" borderId="325" xfId="0" applyFont="1" applyBorder="1" applyAlignment="1">
      <alignment horizontal="center"/>
    </xf>
    <xf numFmtId="1" fontId="157" fillId="0" borderId="325" xfId="0" applyNumberFormat="1" applyFont="1" applyBorder="1" applyAlignment="1">
      <alignment horizontal="center"/>
    </xf>
    <xf numFmtId="0" fontId="157" fillId="0" borderId="323" xfId="0" applyFont="1" applyBorder="1" applyAlignment="1">
      <alignment horizontal="center"/>
    </xf>
    <xf numFmtId="0" fontId="158" fillId="0" borderId="90" xfId="0" applyFont="1" applyBorder="1"/>
    <xf numFmtId="0" fontId="158" fillId="0" borderId="200" xfId="0" applyFont="1" applyBorder="1" applyAlignment="1">
      <alignment horizontal="center"/>
    </xf>
    <xf numFmtId="0" fontId="158" fillId="0" borderId="156" xfId="0" applyFont="1" applyBorder="1" applyAlignment="1">
      <alignment horizontal="center"/>
    </xf>
    <xf numFmtId="3" fontId="158" fillId="0" borderId="156" xfId="0" applyNumberFormat="1" applyFont="1" applyBorder="1" applyAlignment="1">
      <alignment horizontal="center"/>
    </xf>
    <xf numFmtId="0" fontId="158" fillId="0" borderId="187" xfId="0" applyFont="1" applyBorder="1" applyAlignment="1">
      <alignment horizontal="center"/>
    </xf>
    <xf numFmtId="3" fontId="158" fillId="0" borderId="212" xfId="0" applyNumberFormat="1" applyFont="1" applyBorder="1" applyAlignment="1">
      <alignment horizontal="center"/>
    </xf>
    <xf numFmtId="0" fontId="158" fillId="0" borderId="116" xfId="0" applyFont="1" applyBorder="1" applyAlignment="1">
      <alignment horizontal="center"/>
    </xf>
    <xf numFmtId="0" fontId="158" fillId="0" borderId="289" xfId="0" applyFont="1" applyBorder="1" applyAlignment="1">
      <alignment horizontal="center"/>
    </xf>
    <xf numFmtId="0" fontId="157" fillId="0" borderId="176" xfId="0" applyFont="1" applyBorder="1"/>
    <xf numFmtId="3" fontId="157" fillId="0" borderId="188" xfId="0" applyNumberFormat="1" applyFont="1" applyBorder="1"/>
    <xf numFmtId="0" fontId="157" fillId="0" borderId="188" xfId="0" applyFont="1" applyBorder="1"/>
    <xf numFmtId="3" fontId="157" fillId="0" borderId="188" xfId="0" applyNumberFormat="1" applyFont="1" applyBorder="1" applyAlignment="1">
      <alignment horizontal="center"/>
    </xf>
    <xf numFmtId="3" fontId="157" fillId="0" borderId="173" xfId="0" applyNumberFormat="1" applyFont="1" applyBorder="1" applyAlignment="1">
      <alignment horizontal="center"/>
    </xf>
    <xf numFmtId="3" fontId="157" fillId="0" borderId="189" xfId="0" applyNumberFormat="1" applyFont="1" applyBorder="1" applyAlignment="1">
      <alignment horizontal="center"/>
    </xf>
    <xf numFmtId="0" fontId="157" fillId="0" borderId="174" xfId="0" applyFont="1" applyBorder="1"/>
    <xf numFmtId="3" fontId="157" fillId="0" borderId="347" xfId="0" applyNumberFormat="1" applyFont="1" applyBorder="1" applyAlignment="1">
      <alignment horizontal="center"/>
    </xf>
    <xf numFmtId="1" fontId="157" fillId="0" borderId="188" xfId="0" applyNumberFormat="1" applyFont="1" applyBorder="1"/>
    <xf numFmtId="0" fontId="157" fillId="0" borderId="188" xfId="0" applyFont="1" applyBorder="1" applyAlignment="1">
      <alignment horizontal="center"/>
    </xf>
    <xf numFmtId="1" fontId="157" fillId="0" borderId="189" xfId="0" applyNumberFormat="1" applyFont="1" applyBorder="1" applyAlignment="1">
      <alignment horizontal="center"/>
    </xf>
    <xf numFmtId="0" fontId="157" fillId="0" borderId="102" xfId="0" applyFont="1" applyBorder="1" applyAlignment="1">
      <alignment horizontal="center"/>
    </xf>
    <xf numFmtId="0" fontId="157" fillId="0" borderId="291" xfId="0" applyFont="1" applyBorder="1" applyAlignment="1">
      <alignment horizontal="center"/>
    </xf>
    <xf numFmtId="0" fontId="158" fillId="0" borderId="200" xfId="0" applyFont="1" applyBorder="1"/>
    <xf numFmtId="0" fontId="157" fillId="0" borderId="209" xfId="0" applyFont="1" applyBorder="1"/>
    <xf numFmtId="0" fontId="157" fillId="0" borderId="192" xfId="0" applyFont="1" applyBorder="1" applyAlignment="1">
      <alignment horizontal="center"/>
    </xf>
    <xf numFmtId="0" fontId="157" fillId="0" borderId="209" xfId="0" applyFont="1" applyBorder="1" applyAlignment="1">
      <alignment horizontal="center"/>
    </xf>
    <xf numFmtId="0" fontId="157" fillId="0" borderId="201" xfId="0" applyFont="1" applyBorder="1" applyAlignment="1">
      <alignment horizontal="center"/>
    </xf>
    <xf numFmtId="1" fontId="157" fillId="0" borderId="201" xfId="0" applyNumberFormat="1" applyFont="1" applyBorder="1" applyAlignment="1">
      <alignment horizontal="center"/>
    </xf>
    <xf numFmtId="0" fontId="157" fillId="0" borderId="213" xfId="0" applyFont="1" applyBorder="1" applyAlignment="1">
      <alignment horizontal="center"/>
    </xf>
    <xf numFmtId="0" fontId="158" fillId="0" borderId="156" xfId="0" applyFont="1" applyBorder="1"/>
    <xf numFmtId="0" fontId="158" fillId="0" borderId="187" xfId="0" applyFont="1" applyBorder="1"/>
    <xf numFmtId="0" fontId="158" fillId="0" borderId="212" xfId="0" applyFont="1" applyBorder="1" applyAlignment="1">
      <alignment horizontal="center"/>
    </xf>
    <xf numFmtId="0" fontId="158" fillId="0" borderId="270" xfId="0" applyFont="1" applyBorder="1"/>
    <xf numFmtId="3" fontId="158" fillId="0" borderId="188" xfId="0" applyNumberFormat="1" applyFont="1" applyBorder="1"/>
    <xf numFmtId="3" fontId="158" fillId="0" borderId="188" xfId="0" applyNumberFormat="1" applyFont="1" applyBorder="1" applyAlignment="1">
      <alignment horizontal="center"/>
    </xf>
    <xf numFmtId="3" fontId="157" fillId="0" borderId="213" xfId="0" applyNumberFormat="1" applyFont="1" applyBorder="1" applyAlignment="1">
      <alignment horizontal="center"/>
    </xf>
    <xf numFmtId="3" fontId="157" fillId="0" borderId="291" xfId="0" applyNumberFormat="1" applyFont="1" applyBorder="1" applyAlignment="1">
      <alignment horizontal="center"/>
    </xf>
    <xf numFmtId="0" fontId="159" fillId="0" borderId="162" xfId="0" applyFont="1" applyBorder="1"/>
    <xf numFmtId="0" fontId="159" fillId="0" borderId="0" xfId="0" applyFont="1"/>
    <xf numFmtId="2" fontId="172" fillId="0" borderId="0" xfId="0" applyNumberFormat="1" applyFont="1"/>
    <xf numFmtId="0" fontId="157" fillId="0" borderId="412" xfId="0" applyFont="1" applyBorder="1" applyAlignment="1">
      <alignment horizontal="center"/>
    </xf>
    <xf numFmtId="3" fontId="158" fillId="0" borderId="396" xfId="0" applyNumberFormat="1" applyFont="1" applyBorder="1" applyAlignment="1">
      <alignment horizontal="center"/>
    </xf>
    <xf numFmtId="3" fontId="157" fillId="0" borderId="412" xfId="0" applyNumberFormat="1" applyFont="1" applyBorder="1" applyAlignment="1">
      <alignment horizontal="center"/>
    </xf>
    <xf numFmtId="0" fontId="158" fillId="0" borderId="396" xfId="0" applyFont="1" applyBorder="1" applyAlignment="1">
      <alignment horizontal="center"/>
    </xf>
    <xf numFmtId="0" fontId="158" fillId="0" borderId="345" xfId="0" applyFont="1" applyBorder="1" applyAlignment="1">
      <alignment horizontal="center"/>
    </xf>
    <xf numFmtId="0" fontId="158" fillId="0" borderId="396" xfId="0" applyFont="1" applyBorder="1"/>
    <xf numFmtId="0" fontId="229" fillId="0" borderId="0" xfId="122" applyFont="1"/>
    <xf numFmtId="0" fontId="228" fillId="0" borderId="0" xfId="122" applyFont="1"/>
    <xf numFmtId="0" fontId="229" fillId="0" borderId="0" xfId="122" applyFont="1" applyAlignment="1">
      <alignment vertical="center"/>
    </xf>
    <xf numFmtId="0" fontId="229" fillId="0" borderId="0" xfId="122" applyFont="1" applyAlignment="1">
      <alignment horizontal="center"/>
    </xf>
    <xf numFmtId="0" fontId="230" fillId="0" borderId="0" xfId="122" applyFont="1"/>
    <xf numFmtId="0" fontId="172" fillId="0" borderId="0" xfId="122" applyFont="1"/>
    <xf numFmtId="0" fontId="231" fillId="0" borderId="0" xfId="124" applyFont="1"/>
    <xf numFmtId="173" fontId="232" fillId="26" borderId="293" xfId="124" applyNumberFormat="1" applyFont="1" applyFill="1" applyBorder="1"/>
    <xf numFmtId="171" fontId="232" fillId="26" borderId="215" xfId="124" applyNumberFormat="1" applyFont="1" applyFill="1" applyBorder="1" applyAlignment="1">
      <alignment horizontal="center"/>
    </xf>
    <xf numFmtId="175" fontId="232" fillId="26" borderId="215" xfId="124" applyNumberFormat="1" applyFont="1" applyFill="1" applyBorder="1" applyAlignment="1">
      <alignment horizontal="center"/>
    </xf>
    <xf numFmtId="175" fontId="232" fillId="26" borderId="329" xfId="124" applyNumberFormat="1" applyFont="1" applyFill="1" applyBorder="1" applyAlignment="1">
      <alignment horizontal="center"/>
    </xf>
    <xf numFmtId="173" fontId="232" fillId="26" borderId="90" xfId="124" applyNumberFormat="1" applyFont="1" applyFill="1" applyBorder="1" applyAlignment="1">
      <alignment horizontal="left"/>
    </xf>
    <xf numFmtId="0" fontId="232" fillId="0" borderId="0" xfId="124" applyFont="1"/>
    <xf numFmtId="0" fontId="232" fillId="29" borderId="0" xfId="124" applyFont="1" applyFill="1"/>
    <xf numFmtId="0" fontId="233" fillId="0" borderId="0" xfId="124" applyFont="1"/>
    <xf numFmtId="0" fontId="231" fillId="26" borderId="329" xfId="124" applyFont="1" applyFill="1" applyBorder="1" applyAlignment="1">
      <alignment horizontal="center"/>
    </xf>
    <xf numFmtId="173" fontId="231" fillId="26" borderId="329" xfId="124" applyNumberFormat="1" applyFont="1" applyFill="1" applyBorder="1" applyAlignment="1">
      <alignment horizontal="center"/>
    </xf>
    <xf numFmtId="173" fontId="231" fillId="26" borderId="0" xfId="124" applyNumberFormat="1" applyFont="1" applyFill="1" applyAlignment="1">
      <alignment horizontal="center"/>
    </xf>
    <xf numFmtId="173" fontId="231" fillId="26" borderId="0" xfId="124" applyNumberFormat="1" applyFont="1" applyFill="1" applyAlignment="1">
      <alignment horizontal="center" vertical="center"/>
    </xf>
    <xf numFmtId="10" fontId="231" fillId="26" borderId="0" xfId="124" applyNumberFormat="1" applyFont="1" applyFill="1" applyAlignment="1">
      <alignment horizontal="center" vertical="center"/>
    </xf>
    <xf numFmtId="170" fontId="231" fillId="26" borderId="0" xfId="124" applyNumberFormat="1" applyFont="1" applyFill="1" applyAlignment="1">
      <alignment horizontal="center" vertical="center"/>
    </xf>
    <xf numFmtId="0" fontId="231" fillId="30" borderId="0" xfId="124" applyFont="1" applyFill="1"/>
    <xf numFmtId="0" fontId="231" fillId="0" borderId="0" xfId="124" applyFont="1" applyAlignment="1">
      <alignment horizontal="center"/>
    </xf>
    <xf numFmtId="171" fontId="231" fillId="0" borderId="0" xfId="124" applyNumberFormat="1" applyFont="1" applyAlignment="1">
      <alignment horizontal="center"/>
    </xf>
    <xf numFmtId="175" fontId="231" fillId="0" borderId="0" xfId="124" applyNumberFormat="1" applyFont="1" applyAlignment="1">
      <alignment horizontal="center"/>
    </xf>
    <xf numFmtId="3" fontId="231" fillId="0" borderId="0" xfId="57" applyNumberFormat="1" applyFont="1" applyFill="1" applyAlignment="1">
      <alignment horizontal="center"/>
    </xf>
    <xf numFmtId="173" fontId="232" fillId="26" borderId="329" xfId="124" applyNumberFormat="1" applyFont="1" applyFill="1" applyBorder="1" applyAlignment="1">
      <alignment horizontal="center"/>
    </xf>
    <xf numFmtId="173" fontId="232" fillId="26" borderId="52" xfId="124" applyNumberFormat="1" applyFont="1" applyFill="1" applyBorder="1" applyAlignment="1">
      <alignment horizontal="left"/>
    </xf>
    <xf numFmtId="173" fontId="232" fillId="26" borderId="351" xfId="124" applyNumberFormat="1" applyFont="1" applyFill="1" applyBorder="1" applyAlignment="1">
      <alignment horizontal="center"/>
    </xf>
    <xf numFmtId="171" fontId="232" fillId="26" borderId="28" xfId="124" applyNumberFormat="1" applyFont="1" applyFill="1" applyBorder="1" applyAlignment="1">
      <alignment horizontal="center"/>
    </xf>
    <xf numFmtId="175" fontId="232" fillId="26" borderId="218" xfId="124" applyNumberFormat="1" applyFont="1" applyFill="1" applyBorder="1" applyAlignment="1">
      <alignment horizontal="center"/>
    </xf>
    <xf numFmtId="173" fontId="232" fillId="26" borderId="56" xfId="124" applyNumberFormat="1" applyFont="1" applyFill="1" applyBorder="1" applyAlignment="1">
      <alignment horizontal="left"/>
    </xf>
    <xf numFmtId="171" fontId="232" fillId="26" borderId="363" xfId="124" applyNumberFormat="1" applyFont="1" applyFill="1" applyBorder="1" applyAlignment="1">
      <alignment horizontal="center"/>
    </xf>
    <xf numFmtId="175" fontId="232" fillId="26" borderId="0" xfId="124" applyNumberFormat="1" applyFont="1" applyFill="1" applyAlignment="1">
      <alignment horizontal="center"/>
    </xf>
    <xf numFmtId="166" fontId="232" fillId="26" borderId="329" xfId="918" applyFont="1" applyFill="1" applyBorder="1" applyAlignment="1">
      <alignment horizontal="center"/>
    </xf>
    <xf numFmtId="0" fontId="231" fillId="0" borderId="0" xfId="122" applyFont="1"/>
    <xf numFmtId="173" fontId="231" fillId="26" borderId="329" xfId="124" applyNumberFormat="1" applyFont="1" applyFill="1" applyBorder="1" applyAlignment="1">
      <alignment horizontal="center" vertical="center"/>
    </xf>
    <xf numFmtId="0" fontId="232" fillId="0" borderId="0" xfId="122" applyFont="1"/>
    <xf numFmtId="4" fontId="232" fillId="26" borderId="332" xfId="124" applyNumberFormat="1" applyFont="1" applyFill="1" applyBorder="1" applyAlignment="1">
      <alignment horizontal="center"/>
    </xf>
    <xf numFmtId="173" fontId="232" fillId="26" borderId="302" xfId="124" applyNumberFormat="1" applyFont="1" applyFill="1" applyBorder="1" applyAlignment="1">
      <alignment horizontal="center"/>
    </xf>
    <xf numFmtId="173" fontId="232" fillId="26" borderId="0" xfId="124" applyNumberFormat="1" applyFont="1" applyFill="1" applyAlignment="1">
      <alignment horizontal="left" vertical="center" indent="3"/>
    </xf>
    <xf numFmtId="4" fontId="231" fillId="0" borderId="0" xfId="124" applyNumberFormat="1" applyFont="1"/>
    <xf numFmtId="171" fontId="231" fillId="0" borderId="0" xfId="149" applyNumberFormat="1" applyFont="1" applyFill="1" applyAlignment="1"/>
    <xf numFmtId="230" fontId="231" fillId="0" borderId="0" xfId="57" applyNumberFormat="1" applyFont="1" applyFill="1" applyAlignment="1">
      <alignment horizontal="center"/>
    </xf>
    <xf numFmtId="173" fontId="232" fillId="26" borderId="294" xfId="124" applyNumberFormat="1" applyFont="1" applyFill="1" applyBorder="1" applyAlignment="1">
      <alignment horizontal="left"/>
    </xf>
    <xf numFmtId="173" fontId="232" fillId="26" borderId="292" xfId="124" applyNumberFormat="1" applyFont="1" applyFill="1" applyBorder="1" applyAlignment="1">
      <alignment horizontal="center"/>
    </xf>
    <xf numFmtId="10" fontId="232" fillId="26" borderId="332" xfId="149" applyNumberFormat="1" applyFont="1" applyFill="1" applyBorder="1" applyAlignment="1">
      <alignment horizontal="center"/>
    </xf>
    <xf numFmtId="175" fontId="232" fillId="26" borderId="292" xfId="124" applyNumberFormat="1" applyFont="1" applyFill="1" applyBorder="1" applyAlignment="1">
      <alignment horizontal="center"/>
    </xf>
    <xf numFmtId="10" fontId="232" fillId="26" borderId="116" xfId="149" applyNumberFormat="1" applyFont="1" applyFill="1" applyBorder="1" applyAlignment="1">
      <alignment horizontal="center"/>
    </xf>
    <xf numFmtId="173" fontId="232" fillId="26" borderId="308" xfId="124" applyNumberFormat="1" applyFont="1" applyFill="1" applyBorder="1" applyAlignment="1">
      <alignment horizontal="left"/>
    </xf>
    <xf numFmtId="175" fontId="232" fillId="26" borderId="289" xfId="124" applyNumberFormat="1" applyFont="1" applyFill="1" applyBorder="1" applyAlignment="1">
      <alignment horizontal="center"/>
    </xf>
    <xf numFmtId="228" fontId="232" fillId="26" borderId="329" xfId="918" applyNumberFormat="1" applyFont="1" applyFill="1" applyBorder="1" applyAlignment="1">
      <alignment horizontal="center"/>
    </xf>
    <xf numFmtId="10" fontId="232" fillId="26" borderId="292" xfId="149" applyNumberFormat="1" applyFont="1" applyFill="1" applyBorder="1" applyAlignment="1">
      <alignment horizontal="center"/>
    </xf>
    <xf numFmtId="10" fontId="231" fillId="26" borderId="0" xfId="124" applyNumberFormat="1" applyFont="1" applyFill="1" applyAlignment="1">
      <alignment horizontal="center"/>
    </xf>
    <xf numFmtId="0" fontId="231" fillId="29" borderId="0" xfId="124" applyFont="1" applyFill="1"/>
    <xf numFmtId="0" fontId="231" fillId="0" borderId="289" xfId="124" applyFont="1" applyBorder="1" applyAlignment="1">
      <alignment horizontal="center"/>
    </xf>
    <xf numFmtId="0" fontId="231" fillId="0" borderId="0" xfId="124" applyFont="1" applyAlignment="1">
      <alignment horizontal="left"/>
    </xf>
    <xf numFmtId="10" fontId="231" fillId="0" borderId="0" xfId="149" applyNumberFormat="1" applyFont="1" applyFill="1" applyAlignment="1">
      <alignment horizontal="center"/>
    </xf>
    <xf numFmtId="175" fontId="231" fillId="0" borderId="0" xfId="124" applyNumberFormat="1" applyFont="1"/>
    <xf numFmtId="228" fontId="231" fillId="0" borderId="0" xfId="918" applyNumberFormat="1" applyFont="1" applyFill="1" applyAlignment="1">
      <alignment horizontal="center"/>
    </xf>
    <xf numFmtId="3" fontId="231" fillId="0" borderId="321" xfId="57" applyNumberFormat="1" applyFont="1" applyFill="1" applyBorder="1" applyAlignment="1">
      <alignment horizontal="center"/>
    </xf>
    <xf numFmtId="173" fontId="232" fillId="26" borderId="293" xfId="124" applyNumberFormat="1" applyFont="1" applyFill="1" applyBorder="1" applyAlignment="1">
      <alignment horizontal="left"/>
    </xf>
    <xf numFmtId="10" fontId="232" fillId="26" borderId="329" xfId="149" applyNumberFormat="1" applyFont="1" applyFill="1" applyBorder="1" applyAlignment="1">
      <alignment horizontal="center"/>
    </xf>
    <xf numFmtId="173" fontId="232" fillId="26" borderId="289" xfId="124" applyNumberFormat="1" applyFont="1" applyFill="1" applyBorder="1" applyAlignment="1">
      <alignment horizontal="center"/>
    </xf>
    <xf numFmtId="10" fontId="232" fillId="26" borderId="289" xfId="149" applyNumberFormat="1" applyFont="1" applyFill="1" applyBorder="1" applyAlignment="1">
      <alignment horizontal="center"/>
    </xf>
    <xf numFmtId="166" fontId="232" fillId="26" borderId="289" xfId="918" applyFont="1" applyFill="1" applyBorder="1" applyAlignment="1">
      <alignment horizontal="center"/>
    </xf>
    <xf numFmtId="0" fontId="232" fillId="26" borderId="0" xfId="124" applyFont="1" applyFill="1"/>
    <xf numFmtId="173" fontId="231" fillId="26" borderId="321" xfId="124" applyNumberFormat="1" applyFont="1" applyFill="1" applyBorder="1" applyAlignment="1">
      <alignment horizontal="center"/>
    </xf>
    <xf numFmtId="173" fontId="231" fillId="26" borderId="321" xfId="124" applyNumberFormat="1" applyFont="1" applyFill="1" applyBorder="1" applyAlignment="1">
      <alignment horizontal="center" vertical="center"/>
    </xf>
    <xf numFmtId="10" fontId="231" fillId="26" borderId="321" xfId="124" applyNumberFormat="1" applyFont="1" applyFill="1" applyBorder="1" applyAlignment="1">
      <alignment horizontal="center" vertical="center"/>
    </xf>
    <xf numFmtId="170" fontId="231" fillId="26" borderId="321" xfId="124" applyNumberFormat="1" applyFont="1" applyFill="1" applyBorder="1" applyAlignment="1">
      <alignment horizontal="center" vertical="center"/>
    </xf>
    <xf numFmtId="166" fontId="231" fillId="26" borderId="321" xfId="918" applyFont="1" applyFill="1" applyBorder="1" applyAlignment="1" applyProtection="1">
      <alignment horizontal="center"/>
      <protection locked="0"/>
    </xf>
    <xf numFmtId="178" fontId="231" fillId="26" borderId="321" xfId="57" applyNumberFormat="1" applyFont="1" applyFill="1" applyBorder="1" applyAlignment="1">
      <alignment horizontal="right" vertical="center"/>
    </xf>
    <xf numFmtId="173" fontId="231" fillId="26" borderId="0" xfId="124" applyNumberFormat="1" applyFont="1" applyFill="1" applyAlignment="1">
      <alignment horizontal="left" indent="6"/>
    </xf>
    <xf numFmtId="166" fontId="231" fillId="26" borderId="0" xfId="918" applyFont="1" applyFill="1" applyBorder="1" applyAlignment="1" applyProtection="1">
      <alignment horizontal="center"/>
      <protection locked="0"/>
    </xf>
    <xf numFmtId="178" fontId="231" fillId="26" borderId="0" xfId="57" applyNumberFormat="1" applyFont="1" applyFill="1" applyBorder="1" applyAlignment="1" applyProtection="1">
      <alignment horizontal="right" vertical="center"/>
      <protection locked="0"/>
    </xf>
    <xf numFmtId="170" fontId="231" fillId="26" borderId="0" xfId="124" applyNumberFormat="1" applyFont="1" applyFill="1" applyAlignment="1">
      <alignment horizontal="center"/>
    </xf>
    <xf numFmtId="166" fontId="231" fillId="26" borderId="0" xfId="918" applyFont="1" applyFill="1" applyBorder="1" applyAlignment="1">
      <alignment horizontal="center"/>
    </xf>
    <xf numFmtId="178" fontId="231" fillId="26" borderId="0" xfId="57" applyNumberFormat="1" applyFont="1" applyFill="1" applyBorder="1" applyAlignment="1">
      <alignment horizontal="right"/>
    </xf>
    <xf numFmtId="10" fontId="231" fillId="0" borderId="0" xfId="149" applyNumberFormat="1" applyFont="1" applyFill="1" applyBorder="1" applyAlignment="1">
      <alignment horizontal="center"/>
    </xf>
    <xf numFmtId="166" fontId="231" fillId="0" borderId="0" xfId="918" applyFont="1" applyFill="1" applyBorder="1" applyAlignment="1">
      <alignment horizontal="center"/>
    </xf>
    <xf numFmtId="3" fontId="231" fillId="0" borderId="0" xfId="57" applyNumberFormat="1" applyFont="1" applyFill="1" applyBorder="1" applyAlignment="1">
      <alignment horizontal="center"/>
    </xf>
    <xf numFmtId="166" fontId="231" fillId="0" borderId="0" xfId="918" applyFont="1" applyFill="1" applyAlignment="1">
      <alignment horizontal="center"/>
    </xf>
    <xf numFmtId="173" fontId="232" fillId="0" borderId="293" xfId="124" applyNumberFormat="1" applyFont="1" applyBorder="1" applyAlignment="1">
      <alignment horizontal="left"/>
    </xf>
    <xf numFmtId="173" fontId="232" fillId="0" borderId="292" xfId="124" applyNumberFormat="1" applyFont="1" applyBorder="1" applyAlignment="1">
      <alignment horizontal="center"/>
    </xf>
    <xf numFmtId="173" fontId="232" fillId="0" borderId="332" xfId="124" applyNumberFormat="1" applyFont="1" applyBorder="1" applyAlignment="1">
      <alignment horizontal="center"/>
    </xf>
    <xf numFmtId="175" fontId="232" fillId="0" borderId="292" xfId="124" applyNumberFormat="1" applyFont="1" applyBorder="1" applyAlignment="1">
      <alignment horizontal="center"/>
    </xf>
    <xf numFmtId="173" fontId="232" fillId="0" borderId="90" xfId="124" applyNumberFormat="1" applyFont="1" applyBorder="1" applyAlignment="1">
      <alignment horizontal="left"/>
    </xf>
    <xf numFmtId="173" fontId="232" fillId="0" borderId="329" xfId="124" applyNumberFormat="1" applyFont="1" applyBorder="1" applyAlignment="1">
      <alignment horizontal="center"/>
    </xf>
    <xf numFmtId="173" fontId="232" fillId="0" borderId="116" xfId="124" applyNumberFormat="1" applyFont="1" applyBorder="1" applyAlignment="1">
      <alignment horizontal="center"/>
    </xf>
    <xf numFmtId="175" fontId="232" fillId="0" borderId="329" xfId="124" applyNumberFormat="1" applyFont="1" applyBorder="1" applyAlignment="1">
      <alignment horizontal="center"/>
    </xf>
    <xf numFmtId="3" fontId="232" fillId="0" borderId="329" xfId="124" applyNumberFormat="1" applyFont="1" applyBorder="1" applyAlignment="1">
      <alignment horizontal="center"/>
    </xf>
    <xf numFmtId="3" fontId="231" fillId="0" borderId="0" xfId="124" applyNumberFormat="1" applyFont="1" applyAlignment="1">
      <alignment horizontal="center"/>
    </xf>
    <xf numFmtId="171" fontId="231" fillId="0" borderId="0" xfId="124" applyNumberFormat="1" applyFont="1"/>
    <xf numFmtId="0" fontId="150" fillId="0" borderId="0" xfId="122" applyFont="1"/>
    <xf numFmtId="0" fontId="150" fillId="0" borderId="322" xfId="122" applyFont="1" applyBorder="1"/>
    <xf numFmtId="0" fontId="150" fillId="0" borderId="322" xfId="122" applyFont="1" applyBorder="1" applyAlignment="1">
      <alignment horizontal="center"/>
    </xf>
    <xf numFmtId="171" fontId="150" fillId="0" borderId="322" xfId="149" applyNumberFormat="1" applyFont="1" applyFill="1" applyBorder="1" applyAlignment="1">
      <alignment horizontal="center"/>
    </xf>
    <xf numFmtId="178" fontId="150" fillId="0" borderId="322" xfId="57" applyNumberFormat="1" applyFont="1" applyFill="1" applyBorder="1" applyAlignment="1">
      <alignment horizontal="center"/>
    </xf>
    <xf numFmtId="2" fontId="150" fillId="0" borderId="0" xfId="122" applyNumberFormat="1" applyFont="1"/>
    <xf numFmtId="0" fontId="151" fillId="0" borderId="68" xfId="122" applyFont="1" applyBorder="1" applyAlignment="1">
      <alignment horizontal="center"/>
    </xf>
    <xf numFmtId="3" fontId="150" fillId="0" borderId="329" xfId="57" applyNumberFormat="1" applyFont="1" applyFill="1" applyBorder="1" applyAlignment="1">
      <alignment horizontal="center"/>
    </xf>
    <xf numFmtId="171" fontId="150" fillId="0" borderId="329" xfId="149" applyNumberFormat="1" applyFont="1" applyFill="1" applyBorder="1" applyAlignment="1">
      <alignment horizontal="center"/>
    </xf>
    <xf numFmtId="171" fontId="150" fillId="0" borderId="331" xfId="149" applyNumberFormat="1" applyFont="1" applyFill="1" applyBorder="1" applyAlignment="1">
      <alignment horizontal="center"/>
    </xf>
    <xf numFmtId="3" fontId="150" fillId="0" borderId="56" xfId="122" applyNumberFormat="1" applyFont="1" applyBorder="1" applyAlignment="1">
      <alignment horizontal="center"/>
    </xf>
    <xf numFmtId="171" fontId="150" fillId="0" borderId="330" xfId="149" applyNumberFormat="1" applyFont="1" applyFill="1" applyBorder="1" applyAlignment="1">
      <alignment horizontal="center"/>
    </xf>
    <xf numFmtId="171" fontId="150" fillId="0" borderId="330" xfId="150" applyNumberFormat="1" applyFont="1" applyFill="1" applyBorder="1" applyAlignment="1">
      <alignment horizontal="center"/>
    </xf>
    <xf numFmtId="172" fontId="150" fillId="0" borderId="116" xfId="122" applyNumberFormat="1" applyFont="1" applyBorder="1" applyAlignment="1">
      <alignment horizontal="center"/>
    </xf>
    <xf numFmtId="3" fontId="150" fillId="0" borderId="56" xfId="122" applyNumberFormat="1" applyFont="1" applyBorder="1" applyAlignment="1">
      <alignment horizontal="center" vertical="center"/>
    </xf>
    <xf numFmtId="171" fontId="150" fillId="0" borderId="330" xfId="149" applyNumberFormat="1" applyFont="1" applyFill="1" applyBorder="1" applyAlignment="1">
      <alignment horizontal="center" vertical="center"/>
    </xf>
    <xf numFmtId="171" fontId="150" fillId="0" borderId="330" xfId="150" applyNumberFormat="1" applyFont="1" applyFill="1" applyBorder="1" applyAlignment="1">
      <alignment horizontal="center" vertical="center"/>
    </xf>
    <xf numFmtId="0" fontId="150" fillId="0" borderId="69" xfId="122" applyFont="1" applyBorder="1"/>
    <xf numFmtId="3" fontId="150" fillId="0" borderId="116" xfId="57" applyNumberFormat="1" applyFont="1" applyFill="1" applyBorder="1" applyAlignment="1">
      <alignment horizontal="center"/>
    </xf>
    <xf numFmtId="0" fontId="150" fillId="0" borderId="69" xfId="122" applyFont="1" applyBorder="1" applyAlignment="1">
      <alignment horizontal="left" indent="3"/>
    </xf>
    <xf numFmtId="3" fontId="150" fillId="0" borderId="28" xfId="57" applyNumberFormat="1" applyFont="1" applyFill="1" applyBorder="1" applyAlignment="1">
      <alignment horizontal="center"/>
    </xf>
    <xf numFmtId="171" fontId="150" fillId="0" borderId="269" xfId="149" applyNumberFormat="1" applyFont="1" applyFill="1" applyBorder="1" applyAlignment="1">
      <alignment horizontal="center"/>
    </xf>
    <xf numFmtId="3" fontId="150" fillId="0" borderId="269" xfId="57" applyNumberFormat="1" applyFont="1" applyFill="1" applyBorder="1" applyAlignment="1">
      <alignment horizontal="center"/>
    </xf>
    <xf numFmtId="0" fontId="151" fillId="0" borderId="313" xfId="122" applyFont="1" applyBorder="1"/>
    <xf numFmtId="3" fontId="151" fillId="0" borderId="276" xfId="57" applyNumberFormat="1" applyFont="1" applyFill="1" applyBorder="1" applyAlignment="1">
      <alignment horizontal="center"/>
    </xf>
    <xf numFmtId="171" fontId="151" fillId="0" borderId="275" xfId="149" applyNumberFormat="1" applyFont="1" applyFill="1" applyBorder="1" applyAlignment="1">
      <alignment horizontal="center"/>
    </xf>
    <xf numFmtId="3" fontId="151" fillId="0" borderId="275" xfId="57" applyNumberFormat="1" applyFont="1" applyFill="1" applyBorder="1" applyAlignment="1">
      <alignment horizontal="center"/>
    </xf>
    <xf numFmtId="9" fontId="151" fillId="0" borderId="312" xfId="149" applyFont="1" applyFill="1" applyBorder="1" applyAlignment="1">
      <alignment horizontal="center"/>
    </xf>
    <xf numFmtId="3" fontId="151" fillId="0" borderId="174" xfId="57" applyNumberFormat="1" applyFont="1" applyFill="1" applyBorder="1" applyAlignment="1">
      <alignment horizontal="center"/>
    </xf>
    <xf numFmtId="9" fontId="151" fillId="0" borderId="190" xfId="149" applyFont="1" applyFill="1" applyBorder="1" applyAlignment="1">
      <alignment horizontal="center"/>
    </xf>
    <xf numFmtId="172" fontId="151" fillId="0" borderId="176" xfId="122" applyNumberFormat="1" applyFont="1" applyBorder="1" applyAlignment="1">
      <alignment horizontal="center"/>
    </xf>
    <xf numFmtId="172" fontId="151" fillId="0" borderId="102" xfId="122" applyNumberFormat="1" applyFont="1" applyBorder="1" applyAlignment="1">
      <alignment horizontal="center"/>
    </xf>
    <xf numFmtId="171" fontId="151" fillId="0" borderId="190" xfId="149" applyNumberFormat="1" applyFont="1" applyFill="1" applyBorder="1" applyAlignment="1">
      <alignment horizontal="center"/>
    </xf>
    <xf numFmtId="0" fontId="151" fillId="0" borderId="0" xfId="122" applyFont="1"/>
    <xf numFmtId="3" fontId="150" fillId="0" borderId="90" xfId="122" applyNumberFormat="1" applyFont="1" applyBorder="1" applyAlignment="1">
      <alignment horizontal="center"/>
    </xf>
    <xf numFmtId="172" fontId="150" fillId="0" borderId="0" xfId="122" applyNumberFormat="1" applyFont="1"/>
    <xf numFmtId="0" fontId="151" fillId="0" borderId="384" xfId="122" applyFont="1" applyBorder="1"/>
    <xf numFmtId="3" fontId="151" fillId="0" borderId="380" xfId="57" applyNumberFormat="1" applyFont="1" applyFill="1" applyBorder="1" applyAlignment="1">
      <alignment horizontal="center"/>
    </xf>
    <xf numFmtId="171" fontId="151" fillId="0" borderId="380" xfId="149" applyNumberFormat="1" applyFont="1" applyFill="1" applyBorder="1" applyAlignment="1">
      <alignment horizontal="center"/>
    </xf>
    <xf numFmtId="171" fontId="151" fillId="0" borderId="380" xfId="57" applyNumberFormat="1" applyFont="1" applyFill="1" applyBorder="1" applyAlignment="1">
      <alignment horizontal="center"/>
    </xf>
    <xf numFmtId="171" fontId="151" fillId="0" borderId="385" xfId="122" applyNumberFormat="1" applyFont="1" applyBorder="1" applyAlignment="1">
      <alignment horizontal="center"/>
    </xf>
    <xf numFmtId="3" fontId="151" fillId="0" borderId="384" xfId="57" applyNumberFormat="1" applyFont="1" applyFill="1" applyBorder="1" applyAlignment="1">
      <alignment horizontal="center"/>
    </xf>
    <xf numFmtId="171" fontId="151" fillId="0" borderId="386" xfId="149" applyNumberFormat="1" applyFont="1" applyFill="1" applyBorder="1" applyAlignment="1">
      <alignment horizontal="center"/>
    </xf>
    <xf numFmtId="172" fontId="151" fillId="26" borderId="384" xfId="124" applyNumberFormat="1" applyFont="1" applyFill="1" applyBorder="1"/>
    <xf numFmtId="9" fontId="151" fillId="26" borderId="387" xfId="124" applyNumberFormat="1" applyFont="1" applyFill="1" applyBorder="1" applyAlignment="1">
      <alignment horizontal="center"/>
    </xf>
    <xf numFmtId="172" fontId="151" fillId="0" borderId="384" xfId="122" applyNumberFormat="1" applyFont="1" applyBorder="1" applyAlignment="1">
      <alignment horizontal="center"/>
    </xf>
    <xf numFmtId="0" fontId="151" fillId="0" borderId="114" xfId="122" applyFont="1" applyBorder="1"/>
    <xf numFmtId="178" fontId="151" fillId="0" borderId="381" xfId="57" applyNumberFormat="1" applyFont="1" applyFill="1" applyBorder="1" applyAlignment="1">
      <alignment horizontal="center"/>
    </xf>
    <xf numFmtId="178" fontId="151" fillId="0" borderId="357" xfId="57" applyNumberFormat="1" applyFont="1" applyFill="1" applyBorder="1" applyAlignment="1">
      <alignment horizontal="center"/>
    </xf>
    <xf numFmtId="171" fontId="151" fillId="0" borderId="357" xfId="149" applyNumberFormat="1" applyFont="1" applyFill="1" applyBorder="1" applyAlignment="1">
      <alignment horizontal="center"/>
    </xf>
    <xf numFmtId="0" fontId="150" fillId="0" borderId="358" xfId="122" applyFont="1" applyBorder="1" applyAlignment="1">
      <alignment horizontal="center"/>
    </xf>
    <xf numFmtId="178" fontId="151" fillId="0" borderId="308" xfId="57" applyNumberFormat="1" applyFont="1" applyFill="1" applyBorder="1" applyAlignment="1">
      <alignment horizontal="center"/>
    </xf>
    <xf numFmtId="0" fontId="150" fillId="0" borderId="359" xfId="122" applyFont="1" applyBorder="1"/>
    <xf numFmtId="174" fontId="151" fillId="0" borderId="358" xfId="57" applyNumberFormat="1" applyFont="1" applyFill="1" applyBorder="1" applyAlignment="1">
      <alignment horizontal="center"/>
    </xf>
    <xf numFmtId="4" fontId="151" fillId="0" borderId="359" xfId="122" applyNumberFormat="1" applyFont="1" applyBorder="1" applyAlignment="1">
      <alignment horizontal="center"/>
    </xf>
    <xf numFmtId="172" fontId="151" fillId="0" borderId="308" xfId="122" applyNumberFormat="1" applyFont="1" applyBorder="1" applyAlignment="1">
      <alignment horizontal="center"/>
    </xf>
    <xf numFmtId="171" fontId="150" fillId="0" borderId="355" xfId="149" applyNumberFormat="1" applyFont="1" applyFill="1" applyBorder="1"/>
    <xf numFmtId="0" fontId="190" fillId="0" borderId="0" xfId="122" applyFont="1"/>
    <xf numFmtId="178" fontId="150" fillId="0" borderId="0" xfId="57" applyNumberFormat="1" applyFont="1" applyFill="1" applyAlignment="1">
      <alignment horizontal="center"/>
    </xf>
    <xf numFmtId="0" fontId="150" fillId="0" borderId="0" xfId="122" applyFont="1" applyAlignment="1">
      <alignment horizontal="center"/>
    </xf>
    <xf numFmtId="171" fontId="150" fillId="0" borderId="321" xfId="149" applyNumberFormat="1" applyFont="1" applyFill="1" applyBorder="1"/>
    <xf numFmtId="3" fontId="146" fillId="0" borderId="329" xfId="122" applyNumberFormat="1" applyFont="1" applyBorder="1" applyAlignment="1">
      <alignment horizontal="center"/>
    </xf>
    <xf numFmtId="0" fontId="150" fillId="0" borderId="0" xfId="830" applyFont="1"/>
    <xf numFmtId="0" fontId="151" fillId="0" borderId="0" xfId="830" applyFont="1"/>
    <xf numFmtId="174" fontId="150" fillId="0" borderId="0" xfId="57" applyNumberFormat="1" applyFont="1" applyFill="1"/>
    <xf numFmtId="0" fontId="168" fillId="0" borderId="0" xfId="142" applyFont="1"/>
    <xf numFmtId="0" fontId="167" fillId="0" borderId="0" xfId="830" applyFont="1"/>
    <xf numFmtId="0" fontId="167" fillId="0" borderId="0" xfId="830" applyFont="1" applyAlignment="1">
      <alignment horizontal="center"/>
    </xf>
    <xf numFmtId="174" fontId="168" fillId="0" borderId="0" xfId="57" applyNumberFormat="1" applyFont="1" applyFill="1" applyBorder="1"/>
    <xf numFmtId="0" fontId="168" fillId="0" borderId="0" xfId="830" applyFont="1"/>
    <xf numFmtId="174" fontId="167" fillId="0" borderId="0" xfId="57" applyNumberFormat="1" applyFont="1" applyFill="1" applyBorder="1"/>
    <xf numFmtId="174" fontId="167" fillId="0" borderId="0" xfId="57" applyNumberFormat="1" applyFont="1" applyFill="1"/>
    <xf numFmtId="175" fontId="167" fillId="0" borderId="357" xfId="57" applyNumberFormat="1" applyFont="1" applyFill="1" applyBorder="1" applyAlignment="1">
      <alignment horizontal="center" vertical="center"/>
    </xf>
    <xf numFmtId="175" fontId="235" fillId="0" borderId="329" xfId="57" applyNumberFormat="1" applyFont="1" applyFill="1" applyBorder="1" applyAlignment="1">
      <alignment horizontal="center" vertical="center"/>
    </xf>
    <xf numFmtId="0" fontId="187" fillId="0" borderId="176" xfId="830" applyFont="1" applyBorder="1" applyAlignment="1">
      <alignment horizontal="center"/>
    </xf>
    <xf numFmtId="0" fontId="187" fillId="0" borderId="291" xfId="830" applyFont="1" applyBorder="1" applyAlignment="1">
      <alignment horizontal="center" vertical="center"/>
    </xf>
    <xf numFmtId="0" fontId="167" fillId="0" borderId="57" xfId="124" applyFont="1" applyBorder="1" applyAlignment="1">
      <alignment horizontal="left" vertical="center" indent="1"/>
    </xf>
    <xf numFmtId="0" fontId="167" fillId="0" borderId="57" xfId="124" applyFont="1" applyBorder="1" applyAlignment="1">
      <alignment horizontal="left" vertical="center" indent="2"/>
    </xf>
    <xf numFmtId="0" fontId="167" fillId="0" borderId="57" xfId="124" applyFont="1" applyBorder="1" applyAlignment="1">
      <alignment horizontal="left" vertical="center" wrapText="1" indent="2"/>
    </xf>
    <xf numFmtId="0" fontId="167" fillId="0" borderId="57" xfId="124" applyFont="1" applyBorder="1" applyAlignment="1">
      <alignment horizontal="left" vertical="center" indent="3"/>
    </xf>
    <xf numFmtId="0" fontId="186" fillId="0" borderId="57" xfId="124" applyFont="1" applyBorder="1" applyAlignment="1">
      <alignment horizontal="left" vertical="center" indent="3"/>
    </xf>
    <xf numFmtId="0" fontId="186" fillId="0" borderId="57" xfId="124" applyFont="1" applyBorder="1" applyAlignment="1">
      <alignment horizontal="left" vertical="center" wrapText="1" indent="4"/>
    </xf>
    <xf numFmtId="0" fontId="186" fillId="0" borderId="57" xfId="124" applyFont="1" applyBorder="1" applyAlignment="1">
      <alignment horizontal="left" vertical="center" indent="4"/>
    </xf>
    <xf numFmtId="0" fontId="186" fillId="0" borderId="90" xfId="124" applyFont="1" applyBorder="1" applyAlignment="1">
      <alignment horizontal="left" vertical="center" indent="5"/>
    </xf>
    <xf numFmtId="175" fontId="235" fillId="0" borderId="116" xfId="57" applyNumberFormat="1" applyFont="1" applyFill="1" applyBorder="1" applyAlignment="1">
      <alignment horizontal="center" vertical="center"/>
    </xf>
    <xf numFmtId="175" fontId="235" fillId="0" borderId="132" xfId="57" applyNumberFormat="1" applyFont="1" applyFill="1" applyBorder="1" applyAlignment="1">
      <alignment horizontal="center" vertical="center"/>
    </xf>
    <xf numFmtId="0" fontId="186" fillId="0" borderId="57" xfId="124" applyFont="1" applyBorder="1" applyAlignment="1">
      <alignment horizontal="left" vertical="center" indent="9"/>
    </xf>
    <xf numFmtId="0" fontId="186" fillId="0" borderId="57" xfId="124" applyFont="1" applyBorder="1" applyAlignment="1">
      <alignment horizontal="left" vertical="center" indent="2"/>
    </xf>
    <xf numFmtId="0" fontId="186" fillId="0" borderId="57" xfId="124" applyFont="1" applyBorder="1" applyAlignment="1">
      <alignment horizontal="left" vertical="center" indent="1"/>
    </xf>
    <xf numFmtId="175" fontId="235" fillId="0" borderId="252" xfId="57" applyNumberFormat="1" applyFont="1" applyFill="1" applyBorder="1" applyAlignment="1">
      <alignment horizontal="center" vertical="center"/>
    </xf>
    <xf numFmtId="0" fontId="186" fillId="0" borderId="57" xfId="124" applyFont="1" applyBorder="1" applyAlignment="1">
      <alignment vertical="center"/>
    </xf>
    <xf numFmtId="175" fontId="192" fillId="0" borderId="252" xfId="57" applyNumberFormat="1" applyFont="1" applyFill="1" applyBorder="1" applyAlignment="1">
      <alignment horizontal="center" vertical="center"/>
    </xf>
    <xf numFmtId="0" fontId="235" fillId="0" borderId="0" xfId="0" applyFont="1"/>
    <xf numFmtId="0" fontId="235" fillId="0" borderId="0" xfId="0" applyFont="1" applyAlignment="1">
      <alignment wrapText="1"/>
    </xf>
    <xf numFmtId="0" fontId="235" fillId="0" borderId="0" xfId="57" applyNumberFormat="1" applyFont="1" applyFill="1" applyBorder="1" applyAlignment="1">
      <alignment horizontal="center" vertical="center"/>
    </xf>
    <xf numFmtId="0" fontId="236" fillId="0" borderId="0" xfId="122" applyFont="1"/>
    <xf numFmtId="175" fontId="151" fillId="0" borderId="0" xfId="122" applyNumberFormat="1" applyFont="1"/>
    <xf numFmtId="2" fontId="160" fillId="0" borderId="0" xfId="122" applyNumberFormat="1" applyFont="1" applyAlignment="1">
      <alignment horizontal="center"/>
    </xf>
    <xf numFmtId="171" fontId="160" fillId="0" borderId="0" xfId="122" applyNumberFormat="1" applyFont="1" applyAlignment="1">
      <alignment horizontal="center"/>
    </xf>
    <xf numFmtId="0" fontId="160" fillId="0" borderId="0" xfId="122" applyFont="1" applyAlignment="1">
      <alignment horizontal="center"/>
    </xf>
    <xf numFmtId="0" fontId="160" fillId="0" borderId="0" xfId="122" applyFont="1"/>
    <xf numFmtId="9" fontId="150" fillId="0" borderId="0" xfId="149" applyFont="1" applyFill="1" applyBorder="1"/>
    <xf numFmtId="2" fontId="150" fillId="0" borderId="335" xfId="0" applyNumberFormat="1" applyFont="1" applyBorder="1" applyAlignment="1">
      <alignment horizontal="center" vertical="center"/>
    </xf>
    <xf numFmtId="2" fontId="151" fillId="0" borderId="296" xfId="0" applyNumberFormat="1" applyFont="1" applyBorder="1" applyAlignment="1">
      <alignment horizontal="center"/>
    </xf>
    <xf numFmtId="2" fontId="151" fillId="0" borderId="361" xfId="0" applyNumberFormat="1" applyFont="1" applyBorder="1" applyAlignment="1">
      <alignment horizontal="center"/>
    </xf>
    <xf numFmtId="0" fontId="238" fillId="0" borderId="0" xfId="122" applyFont="1"/>
    <xf numFmtId="0" fontId="238" fillId="0" borderId="0" xfId="122" applyFont="1" applyAlignment="1">
      <alignment horizontal="center"/>
    </xf>
    <xf numFmtId="0" fontId="239" fillId="0" borderId="0" xfId="122" applyFont="1"/>
    <xf numFmtId="0" fontId="187" fillId="0" borderId="293" xfId="122" applyFont="1" applyBorder="1"/>
    <xf numFmtId="0" fontId="187" fillId="0" borderId="0" xfId="122" applyFont="1"/>
    <xf numFmtId="0" fontId="187" fillId="0" borderId="329" xfId="122" applyFont="1" applyBorder="1" applyAlignment="1">
      <alignment horizontal="center"/>
    </xf>
    <xf numFmtId="2" fontId="187" fillId="0" borderId="329" xfId="122" applyNumberFormat="1" applyFont="1" applyBorder="1" applyAlignment="1">
      <alignment horizontal="center"/>
    </xf>
    <xf numFmtId="2" fontId="187" fillId="0" borderId="331" xfId="122" applyNumberFormat="1" applyFont="1" applyBorder="1" applyAlignment="1">
      <alignment horizontal="center"/>
    </xf>
    <xf numFmtId="0" fontId="187" fillId="0" borderId="331" xfId="122" applyFont="1" applyBorder="1" applyAlignment="1">
      <alignment horizontal="center"/>
    </xf>
    <xf numFmtId="0" fontId="187" fillId="32" borderId="329" xfId="122" applyFont="1" applyFill="1" applyBorder="1" applyAlignment="1">
      <alignment horizontal="center"/>
    </xf>
    <xf numFmtId="0" fontId="187" fillId="32" borderId="24" xfId="122" applyFont="1" applyFill="1" applyBorder="1" applyAlignment="1">
      <alignment horizontal="center"/>
    </xf>
    <xf numFmtId="0" fontId="187" fillId="0" borderId="90" xfId="122" applyFont="1" applyBorder="1"/>
    <xf numFmtId="2" fontId="187" fillId="0" borderId="0" xfId="122" applyNumberFormat="1" applyFont="1"/>
    <xf numFmtId="175" fontId="187" fillId="0" borderId="329" xfId="122" applyNumberFormat="1" applyFont="1" applyBorder="1" applyAlignment="1">
      <alignment horizontal="center"/>
    </xf>
    <xf numFmtId="172" fontId="187" fillId="0" borderId="329" xfId="122" applyNumberFormat="1" applyFont="1" applyBorder="1" applyAlignment="1">
      <alignment horizontal="center"/>
    </xf>
    <xf numFmtId="172" fontId="187" fillId="32" borderId="329" xfId="122" applyNumberFormat="1" applyFont="1" applyFill="1" applyBorder="1" applyAlignment="1">
      <alignment horizontal="center"/>
    </xf>
    <xf numFmtId="171" fontId="187" fillId="32" borderId="24" xfId="149" applyNumberFormat="1" applyFont="1" applyFill="1" applyBorder="1" applyAlignment="1">
      <alignment horizontal="center"/>
    </xf>
    <xf numFmtId="0" fontId="186" fillId="0" borderId="90" xfId="122" applyFont="1" applyBorder="1"/>
    <xf numFmtId="2" fontId="186" fillId="0" borderId="0" xfId="122" applyNumberFormat="1" applyFont="1"/>
    <xf numFmtId="2" fontId="186" fillId="0" borderId="329" xfId="122" applyNumberFormat="1" applyFont="1" applyBorder="1" applyAlignment="1">
      <alignment horizontal="center"/>
    </xf>
    <xf numFmtId="175" fontId="186" fillId="0" borderId="329" xfId="122" applyNumberFormat="1" applyFont="1" applyBorder="1" applyAlignment="1">
      <alignment horizontal="center"/>
    </xf>
    <xf numFmtId="175" fontId="186" fillId="0" borderId="331" xfId="122" applyNumberFormat="1" applyFont="1" applyBorder="1" applyAlignment="1">
      <alignment horizontal="center"/>
    </xf>
    <xf numFmtId="175" fontId="186" fillId="32" borderId="329" xfId="122" applyNumberFormat="1" applyFont="1" applyFill="1" applyBorder="1" applyAlignment="1">
      <alignment horizontal="center"/>
    </xf>
    <xf numFmtId="0" fontId="186" fillId="0" borderId="90" xfId="122" applyFont="1" applyBorder="1" applyAlignment="1">
      <alignment horizontal="left" indent="1"/>
    </xf>
    <xf numFmtId="2" fontId="186" fillId="0" borderId="331" xfId="122" applyNumberFormat="1" applyFont="1" applyBorder="1" applyAlignment="1">
      <alignment horizontal="center"/>
    </xf>
    <xf numFmtId="175" fontId="187" fillId="0" borderId="329" xfId="57" applyNumberFormat="1" applyFont="1" applyFill="1" applyBorder="1" applyAlignment="1">
      <alignment horizontal="center"/>
    </xf>
    <xf numFmtId="175" fontId="187" fillId="0" borderId="331" xfId="57" applyNumberFormat="1" applyFont="1" applyFill="1" applyBorder="1" applyAlignment="1">
      <alignment horizontal="center"/>
    </xf>
    <xf numFmtId="175" fontId="187" fillId="32" borderId="329" xfId="57" applyNumberFormat="1" applyFont="1" applyFill="1" applyBorder="1" applyAlignment="1">
      <alignment horizontal="center"/>
    </xf>
    <xf numFmtId="175" fontId="187" fillId="32" borderId="329" xfId="122" applyNumberFormat="1" applyFont="1" applyFill="1" applyBorder="1" applyAlignment="1">
      <alignment horizontal="center"/>
    </xf>
    <xf numFmtId="0" fontId="186" fillId="0" borderId="56" xfId="122" applyFont="1" applyBorder="1" applyAlignment="1">
      <alignment horizontal="left" indent="1"/>
    </xf>
    <xf numFmtId="0" fontId="186" fillId="0" borderId="56" xfId="122" applyFont="1" applyBorder="1"/>
    <xf numFmtId="0" fontId="187" fillId="0" borderId="56" xfId="122" applyFont="1" applyBorder="1"/>
    <xf numFmtId="175" fontId="187" fillId="0" borderId="331" xfId="122" applyNumberFormat="1" applyFont="1" applyBorder="1" applyAlignment="1">
      <alignment horizontal="center"/>
    </xf>
    <xf numFmtId="0" fontId="187" fillId="0" borderId="210" xfId="122" applyFont="1" applyBorder="1"/>
    <xf numFmtId="0" fontId="172" fillId="0" borderId="0" xfId="143" applyFont="1" applyAlignment="1">
      <alignment horizontal="left"/>
    </xf>
    <xf numFmtId="0" fontId="242" fillId="0" borderId="56" xfId="122" applyFont="1" applyBorder="1"/>
    <xf numFmtId="0" fontId="242" fillId="0" borderId="0" xfId="122" applyFont="1"/>
    <xf numFmtId="2" fontId="242" fillId="0" borderId="0" xfId="122" applyNumberFormat="1" applyFont="1"/>
    <xf numFmtId="2" fontId="242" fillId="0" borderId="63" xfId="122" applyNumberFormat="1" applyFont="1" applyBorder="1" applyAlignment="1">
      <alignment horizontal="center"/>
    </xf>
    <xf numFmtId="2" fontId="242" fillId="0" borderId="66" xfId="122" applyNumberFormat="1" applyFont="1" applyBorder="1" applyAlignment="1">
      <alignment horizontal="center"/>
    </xf>
    <xf numFmtId="175" fontId="242" fillId="0" borderId="155" xfId="122" applyNumberFormat="1" applyFont="1" applyBorder="1" applyAlignment="1">
      <alignment horizontal="center"/>
    </xf>
    <xf numFmtId="175" fontId="242" fillId="0" borderId="66" xfId="122" applyNumberFormat="1" applyFont="1" applyBorder="1" applyAlignment="1">
      <alignment horizontal="center"/>
    </xf>
    <xf numFmtId="175" fontId="242" fillId="0" borderId="329" xfId="122" applyNumberFormat="1" applyFont="1" applyBorder="1" applyAlignment="1">
      <alignment horizontal="center"/>
    </xf>
    <xf numFmtId="175" fontId="242" fillId="0" borderId="160" xfId="122" applyNumberFormat="1" applyFont="1" applyBorder="1" applyAlignment="1">
      <alignment horizontal="center"/>
    </xf>
    <xf numFmtId="0" fontId="243" fillId="0" borderId="56" xfId="122" applyFont="1" applyBorder="1"/>
    <xf numFmtId="0" fontId="243" fillId="0" borderId="0" xfId="122" applyFont="1"/>
    <xf numFmtId="2" fontId="243" fillId="0" borderId="0" xfId="122" applyNumberFormat="1" applyFont="1"/>
    <xf numFmtId="2" fontId="243" fillId="0" borderId="63" xfId="122" applyNumberFormat="1" applyFont="1" applyBorder="1" applyAlignment="1">
      <alignment horizontal="center"/>
    </xf>
    <xf numFmtId="2" fontId="243" fillId="0" borderId="66" xfId="122" applyNumberFormat="1" applyFont="1" applyBorder="1" applyAlignment="1">
      <alignment horizontal="center"/>
    </xf>
    <xf numFmtId="175" fontId="243" fillId="0" borderId="155" xfId="122" applyNumberFormat="1" applyFont="1" applyBorder="1" applyAlignment="1">
      <alignment horizontal="center"/>
    </xf>
    <xf numFmtId="175" fontId="243" fillId="0" borderId="66" xfId="122" applyNumberFormat="1" applyFont="1" applyBorder="1" applyAlignment="1">
      <alignment horizontal="center"/>
    </xf>
    <xf numFmtId="175" fontId="243" fillId="0" borderId="329" xfId="122" applyNumberFormat="1" applyFont="1" applyBorder="1" applyAlignment="1">
      <alignment horizontal="center"/>
    </xf>
    <xf numFmtId="175" fontId="243" fillId="0" borderId="63" xfId="122" applyNumberFormat="1" applyFont="1" applyBorder="1" applyAlignment="1">
      <alignment horizontal="center"/>
    </xf>
    <xf numFmtId="175" fontId="243" fillId="0" borderId="127" xfId="122" applyNumberFormat="1" applyFont="1" applyBorder="1" applyAlignment="1">
      <alignment horizontal="center"/>
    </xf>
    <xf numFmtId="175" fontId="243" fillId="0" borderId="184" xfId="122" applyNumberFormat="1" applyFont="1" applyBorder="1" applyAlignment="1">
      <alignment horizontal="center"/>
    </xf>
    <xf numFmtId="0" fontId="244" fillId="0" borderId="56" xfId="122" applyFont="1" applyBorder="1"/>
    <xf numFmtId="0" fontId="244" fillId="0" borderId="0" xfId="122" applyFont="1"/>
    <xf numFmtId="2" fontId="244" fillId="0" borderId="0" xfId="122" applyNumberFormat="1" applyFont="1"/>
    <xf numFmtId="2" fontId="244" fillId="0" borderId="198" xfId="122" applyNumberFormat="1" applyFont="1" applyBorder="1" applyAlignment="1">
      <alignment horizontal="center"/>
    </xf>
    <xf numFmtId="2" fontId="244" fillId="0" borderId="200" xfId="122" applyNumberFormat="1" applyFont="1" applyBorder="1" applyAlignment="1">
      <alignment horizontal="center"/>
    </xf>
    <xf numFmtId="175" fontId="244" fillId="0" borderId="200" xfId="122" applyNumberFormat="1" applyFont="1" applyBorder="1" applyAlignment="1">
      <alignment horizontal="center"/>
    </xf>
    <xf numFmtId="175" fontId="244" fillId="0" borderId="329" xfId="122" applyNumberFormat="1" applyFont="1" applyBorder="1" applyAlignment="1">
      <alignment horizontal="center"/>
    </xf>
    <xf numFmtId="175" fontId="244" fillId="0" borderId="198" xfId="122" applyNumberFormat="1" applyFont="1" applyBorder="1" applyAlignment="1">
      <alignment horizontal="center"/>
    </xf>
    <xf numFmtId="2" fontId="245" fillId="0" borderId="66" xfId="122" applyNumberFormat="1" applyFont="1" applyBorder="1" applyAlignment="1">
      <alignment horizontal="center"/>
    </xf>
    <xf numFmtId="171" fontId="243" fillId="0" borderId="63" xfId="149" applyNumberFormat="1" applyFont="1" applyFill="1" applyBorder="1" applyAlignment="1">
      <alignment horizontal="center"/>
    </xf>
    <xf numFmtId="175" fontId="243" fillId="0" borderId="155" xfId="149" applyNumberFormat="1" applyFont="1" applyFill="1" applyBorder="1" applyAlignment="1">
      <alignment horizontal="center"/>
    </xf>
    <xf numFmtId="175" fontId="243" fillId="0" borderId="63" xfId="149" applyNumberFormat="1" applyFont="1" applyFill="1" applyBorder="1" applyAlignment="1">
      <alignment horizontal="center"/>
    </xf>
    <xf numFmtId="175" fontId="243" fillId="0" borderId="329" xfId="149" applyNumberFormat="1" applyFont="1" applyFill="1" applyBorder="1" applyAlignment="1">
      <alignment horizontal="center"/>
    </xf>
    <xf numFmtId="175" fontId="243" fillId="0" borderId="127" xfId="149" applyNumberFormat="1" applyFont="1" applyFill="1" applyBorder="1" applyAlignment="1">
      <alignment horizontal="center"/>
    </xf>
    <xf numFmtId="175" fontId="243" fillId="0" borderId="184" xfId="149" applyNumberFormat="1" applyFont="1" applyFill="1" applyBorder="1" applyAlignment="1">
      <alignment horizontal="center"/>
    </xf>
    <xf numFmtId="175" fontId="245" fillId="0" borderId="127" xfId="122" applyNumberFormat="1" applyFont="1" applyBorder="1" applyAlignment="1">
      <alignment horizontal="center"/>
    </xf>
    <xf numFmtId="175" fontId="245" fillId="0" borderId="184" xfId="122" applyNumberFormat="1" applyFont="1" applyBorder="1" applyAlignment="1">
      <alignment horizontal="center"/>
    </xf>
    <xf numFmtId="2" fontId="243" fillId="0" borderId="198" xfId="122" applyNumberFormat="1" applyFont="1" applyBorder="1" applyAlignment="1">
      <alignment horizontal="center"/>
    </xf>
    <xf numFmtId="2" fontId="243" fillId="0" borderId="200" xfId="122" applyNumberFormat="1" applyFont="1" applyBorder="1" applyAlignment="1">
      <alignment horizontal="center"/>
    </xf>
    <xf numFmtId="2" fontId="243" fillId="0" borderId="329" xfId="122" applyNumberFormat="1" applyFont="1" applyBorder="1" applyAlignment="1">
      <alignment horizontal="center"/>
    </xf>
    <xf numFmtId="2" fontId="244" fillId="0" borderId="63" xfId="122" applyNumberFormat="1" applyFont="1" applyBorder="1" applyAlignment="1">
      <alignment horizontal="center"/>
    </xf>
    <xf numFmtId="2" fontId="244" fillId="0" borderId="66" xfId="122" applyNumberFormat="1" applyFont="1" applyBorder="1" applyAlignment="1">
      <alignment horizontal="center"/>
    </xf>
    <xf numFmtId="175" fontId="244" fillId="0" borderId="155" xfId="122" applyNumberFormat="1" applyFont="1" applyBorder="1" applyAlignment="1">
      <alignment horizontal="center"/>
    </xf>
    <xf numFmtId="175" fontId="244" fillId="0" borderId="66" xfId="122" applyNumberFormat="1" applyFont="1" applyBorder="1" applyAlignment="1">
      <alignment horizontal="center"/>
    </xf>
    <xf numFmtId="175" fontId="244" fillId="0" borderId="63" xfId="122" applyNumberFormat="1" applyFont="1" applyBorder="1" applyAlignment="1">
      <alignment horizontal="center"/>
    </xf>
    <xf numFmtId="175" fontId="244" fillId="0" borderId="127" xfId="122" applyNumberFormat="1" applyFont="1" applyBorder="1" applyAlignment="1">
      <alignment horizontal="center"/>
    </xf>
    <xf numFmtId="175" fontId="244" fillId="0" borderId="184" xfId="122" applyNumberFormat="1" applyFont="1" applyBorder="1" applyAlignment="1">
      <alignment horizontal="center"/>
    </xf>
    <xf numFmtId="181" fontId="242" fillId="0" borderId="0" xfId="122" applyNumberFormat="1" applyFont="1"/>
    <xf numFmtId="172" fontId="242" fillId="0" borderId="155" xfId="122" applyNumberFormat="1" applyFont="1" applyBorder="1" applyAlignment="1">
      <alignment horizontal="center"/>
    </xf>
    <xf numFmtId="172" fontId="242" fillId="0" borderId="66" xfId="122" applyNumberFormat="1" applyFont="1" applyBorder="1" applyAlignment="1">
      <alignment horizontal="center"/>
    </xf>
    <xf numFmtId="172" fontId="242" fillId="0" borderId="329" xfId="122" applyNumberFormat="1" applyFont="1" applyBorder="1" applyAlignment="1">
      <alignment horizontal="center"/>
    </xf>
    <xf numFmtId="172" fontId="242" fillId="0" borderId="160" xfId="122" applyNumberFormat="1" applyFont="1" applyBorder="1" applyAlignment="1">
      <alignment horizontal="center"/>
    </xf>
    <xf numFmtId="172" fontId="242" fillId="0" borderId="160" xfId="57" applyNumberFormat="1" applyFont="1" applyFill="1" applyBorder="1" applyAlignment="1">
      <alignment horizontal="center"/>
    </xf>
    <xf numFmtId="171" fontId="242" fillId="0" borderId="66" xfId="149" applyNumberFormat="1" applyFont="1" applyFill="1" applyBorder="1" applyAlignment="1">
      <alignment horizontal="center"/>
    </xf>
    <xf numFmtId="175" fontId="242" fillId="0" borderId="155" xfId="149" applyNumberFormat="1" applyFont="1" applyFill="1" applyBorder="1" applyAlignment="1">
      <alignment horizontal="center"/>
    </xf>
    <xf numFmtId="175" fontId="242" fillId="0" borderId="66" xfId="149" applyNumberFormat="1" applyFont="1" applyFill="1" applyBorder="1" applyAlignment="1">
      <alignment horizontal="center"/>
    </xf>
    <xf numFmtId="175" fontId="242" fillId="0" borderId="329" xfId="149" applyNumberFormat="1" applyFont="1" applyFill="1" applyBorder="1" applyAlignment="1">
      <alignment horizontal="center"/>
    </xf>
    <xf numFmtId="175" fontId="242" fillId="0" borderId="63" xfId="149" applyNumberFormat="1" applyFont="1" applyFill="1" applyBorder="1" applyAlignment="1">
      <alignment horizontal="center"/>
    </xf>
    <xf numFmtId="175" fontId="242" fillId="0" borderId="127" xfId="149" applyNumberFormat="1" applyFont="1" applyFill="1" applyBorder="1" applyAlignment="1">
      <alignment horizontal="center"/>
    </xf>
    <xf numFmtId="175" fontId="242" fillId="0" borderId="184" xfId="149" applyNumberFormat="1" applyFont="1" applyFill="1" applyBorder="1" applyAlignment="1">
      <alignment horizontal="center"/>
    </xf>
    <xf numFmtId="175" fontId="243" fillId="0" borderId="219" xfId="122" applyNumberFormat="1" applyFont="1" applyBorder="1" applyAlignment="1">
      <alignment horizontal="center"/>
    </xf>
    <xf numFmtId="0" fontId="242" fillId="0" borderId="174" xfId="122" applyFont="1" applyBorder="1"/>
    <xf numFmtId="181" fontId="242" fillId="0" borderId="15" xfId="122" applyNumberFormat="1" applyFont="1" applyBorder="1"/>
    <xf numFmtId="2" fontId="242" fillId="0" borderId="15" xfId="122" applyNumberFormat="1" applyFont="1" applyBorder="1"/>
    <xf numFmtId="2" fontId="242" fillId="0" borderId="62" xfId="122" applyNumberFormat="1" applyFont="1" applyBorder="1" applyAlignment="1">
      <alignment horizontal="center"/>
    </xf>
    <xf numFmtId="39" fontId="242" fillId="0" borderId="18" xfId="57" applyNumberFormat="1" applyFont="1" applyFill="1" applyBorder="1" applyAlignment="1">
      <alignment horizontal="center"/>
    </xf>
    <xf numFmtId="179" fontId="247" fillId="0" borderId="98" xfId="57" applyNumberFormat="1" applyFont="1" applyFill="1" applyBorder="1" applyAlignment="1">
      <alignment horizontal="center"/>
    </xf>
    <xf numFmtId="179" fontId="247" fillId="0" borderId="169" xfId="57" applyNumberFormat="1" applyFont="1" applyFill="1" applyBorder="1" applyAlignment="1">
      <alignment horizontal="center"/>
    </xf>
    <xf numFmtId="179" fontId="242" fillId="0" borderId="173" xfId="57" applyNumberFormat="1" applyFont="1" applyFill="1" applyBorder="1" applyAlignment="1">
      <alignment horizontal="center"/>
    </xf>
    <xf numFmtId="179" fontId="242" fillId="0" borderId="98" xfId="57" applyNumberFormat="1" applyFont="1" applyFill="1" applyBorder="1" applyAlignment="1">
      <alignment horizontal="center"/>
    </xf>
    <xf numFmtId="179" fontId="242" fillId="0" borderId="100" xfId="57" applyNumberFormat="1" applyFont="1" applyFill="1" applyBorder="1" applyAlignment="1">
      <alignment horizontal="center"/>
    </xf>
    <xf numFmtId="179" fontId="242" fillId="0" borderId="100" xfId="625" applyNumberFormat="1" applyFont="1" applyFill="1" applyBorder="1" applyAlignment="1">
      <alignment horizontal="center"/>
    </xf>
    <xf numFmtId="179" fontId="242" fillId="0" borderId="100" xfId="624" applyNumberFormat="1" applyFont="1" applyFill="1" applyBorder="1" applyAlignment="1">
      <alignment horizontal="center"/>
    </xf>
    <xf numFmtId="179" fontId="242" fillId="0" borderId="157" xfId="57" applyNumberFormat="1" applyFont="1" applyFill="1" applyBorder="1" applyAlignment="1">
      <alignment horizontal="center"/>
    </xf>
    <xf numFmtId="0" fontId="247" fillId="0" borderId="53" xfId="122" applyFont="1" applyBorder="1"/>
    <xf numFmtId="181" fontId="247" fillId="0" borderId="98" xfId="122" applyNumberFormat="1" applyFont="1" applyBorder="1"/>
    <xf numFmtId="2" fontId="247" fillId="0" borderId="98" xfId="122" applyNumberFormat="1" applyFont="1" applyBorder="1"/>
    <xf numFmtId="2" fontId="247" fillId="0" borderId="98" xfId="122" applyNumberFormat="1" applyFont="1" applyBorder="1" applyAlignment="1">
      <alignment horizontal="center"/>
    </xf>
    <xf numFmtId="39" fontId="247" fillId="0" borderId="98" xfId="57" applyNumberFormat="1" applyFont="1" applyFill="1" applyBorder="1" applyAlignment="1">
      <alignment horizontal="center"/>
    </xf>
    <xf numFmtId="179" fontId="248" fillId="0" borderId="157" xfId="57" applyNumberFormat="1" applyFont="1" applyFill="1" applyBorder="1" applyAlignment="1">
      <alignment horizontal="center"/>
    </xf>
    <xf numFmtId="172" fontId="167" fillId="0" borderId="0" xfId="124" applyNumberFormat="1" applyFont="1"/>
    <xf numFmtId="172" fontId="167" fillId="0" borderId="0" xfId="756" applyNumberFormat="1" applyFont="1"/>
    <xf numFmtId="172" fontId="167" fillId="0" borderId="0" xfId="756" applyNumberFormat="1" applyFont="1" applyAlignment="1">
      <alignment horizontal="center"/>
    </xf>
    <xf numFmtId="172" fontId="167" fillId="0" borderId="0" xfId="124" applyNumberFormat="1" applyFont="1" applyAlignment="1">
      <alignment horizontal="center"/>
    </xf>
    <xf numFmtId="172" fontId="167" fillId="0" borderId="294" xfId="1317" applyNumberFormat="1" applyFont="1" applyBorder="1" applyAlignment="1">
      <alignment horizontal="center"/>
    </xf>
    <xf numFmtId="172" fontId="167" fillId="0" borderId="302" xfId="1317" applyNumberFormat="1" applyFont="1" applyBorder="1" applyAlignment="1">
      <alignment horizontal="center"/>
    </xf>
    <xf numFmtId="172" fontId="167" fillId="0" borderId="321" xfId="1317" applyNumberFormat="1" applyFont="1" applyBorder="1" applyAlignment="1">
      <alignment horizontal="center"/>
    </xf>
    <xf numFmtId="172" fontId="168" fillId="0" borderId="332" xfId="1317" applyNumberFormat="1" applyFont="1" applyBorder="1" applyAlignment="1">
      <alignment horizontal="center"/>
    </xf>
    <xf numFmtId="172" fontId="168" fillId="0" borderId="324" xfId="1317" applyNumberFormat="1" applyFont="1" applyBorder="1" applyAlignment="1">
      <alignment horizontal="center"/>
    </xf>
    <xf numFmtId="172" fontId="167" fillId="0" borderId="56" xfId="1317" applyNumberFormat="1" applyFont="1" applyBorder="1" applyAlignment="1">
      <alignment horizontal="center"/>
    </xf>
    <xf numFmtId="172" fontId="168" fillId="0" borderId="24" xfId="1317" applyNumberFormat="1" applyFont="1" applyBorder="1" applyAlignment="1">
      <alignment horizontal="center"/>
    </xf>
    <xf numFmtId="172" fontId="167" fillId="0" borderId="52" xfId="1317" applyNumberFormat="1" applyFont="1" applyBorder="1" applyAlignment="1">
      <alignment horizontal="center"/>
    </xf>
    <xf numFmtId="172" fontId="167" fillId="0" borderId="312" xfId="1317" applyNumberFormat="1" applyFont="1" applyBorder="1" applyAlignment="1">
      <alignment horizontal="center" wrapText="1"/>
    </xf>
    <xf numFmtId="172" fontId="167" fillId="0" borderId="352" xfId="1317" applyNumberFormat="1" applyFont="1" applyBorder="1" applyAlignment="1">
      <alignment horizontal="center" wrapText="1"/>
    </xf>
    <xf numFmtId="172" fontId="168" fillId="0" borderId="353" xfId="1317" applyNumberFormat="1" applyFont="1" applyBorder="1" applyAlignment="1">
      <alignment horizontal="center" wrapText="1"/>
    </xf>
    <xf numFmtId="172" fontId="167" fillId="0" borderId="353" xfId="1317" applyNumberFormat="1" applyFont="1" applyBorder="1" applyAlignment="1">
      <alignment horizontal="center" wrapText="1"/>
    </xf>
    <xf numFmtId="172" fontId="168" fillId="0" borderId="276" xfId="1317" applyNumberFormat="1" applyFont="1" applyBorder="1" applyAlignment="1">
      <alignment horizontal="center" wrapText="1"/>
    </xf>
    <xf numFmtId="172" fontId="167" fillId="0" borderId="278" xfId="1317" applyNumberFormat="1" applyFont="1" applyBorder="1" applyAlignment="1">
      <alignment horizontal="center" wrapText="1"/>
    </xf>
    <xf numFmtId="172" fontId="168" fillId="0" borderId="279" xfId="1317" applyNumberFormat="1" applyFont="1" applyBorder="1" applyAlignment="1">
      <alignment horizontal="center" wrapText="1"/>
    </xf>
    <xf numFmtId="172" fontId="250" fillId="0" borderId="56" xfId="1317" applyNumberFormat="1" applyFont="1" applyBorder="1" applyAlignment="1">
      <alignment horizontal="left"/>
    </xf>
    <xf numFmtId="172" fontId="173" fillId="0" borderId="329" xfId="1317" applyNumberFormat="1" applyFont="1" applyBorder="1" applyAlignment="1">
      <alignment horizontal="center"/>
    </xf>
    <xf numFmtId="172" fontId="177" fillId="0" borderId="329" xfId="1317" applyNumberFormat="1" applyFont="1" applyBorder="1" applyAlignment="1">
      <alignment horizontal="center"/>
    </xf>
    <xf numFmtId="172" fontId="177" fillId="0" borderId="330" xfId="1317" applyNumberFormat="1" applyFont="1" applyBorder="1" applyAlignment="1">
      <alignment horizontal="center"/>
    </xf>
    <xf numFmtId="172" fontId="168" fillId="0" borderId="56" xfId="1317" applyNumberFormat="1" applyFont="1" applyBorder="1" applyAlignment="1">
      <alignment horizontal="left"/>
    </xf>
    <xf numFmtId="172" fontId="167" fillId="0" borderId="56" xfId="1317" applyNumberFormat="1" applyFont="1" applyBorder="1" applyAlignment="1">
      <alignment horizontal="left"/>
    </xf>
    <xf numFmtId="172" fontId="167" fillId="0" borderId="329" xfId="1317" applyNumberFormat="1" applyFont="1" applyBorder="1" applyAlignment="1">
      <alignment horizontal="center"/>
    </xf>
    <xf numFmtId="172" fontId="168" fillId="0" borderId="329" xfId="1317" applyNumberFormat="1" applyFont="1" applyBorder="1" applyAlignment="1">
      <alignment horizontal="center"/>
    </xf>
    <xf numFmtId="172" fontId="168" fillId="0" borderId="330" xfId="1317" applyNumberFormat="1" applyFont="1" applyBorder="1" applyAlignment="1">
      <alignment horizontal="center"/>
    </xf>
    <xf numFmtId="172" fontId="172" fillId="0" borderId="329" xfId="1317" applyNumberFormat="1" applyFont="1" applyBorder="1" applyAlignment="1">
      <alignment horizontal="center" vertical="top" wrapText="1"/>
    </xf>
    <xf numFmtId="172" fontId="251" fillId="0" borderId="56" xfId="1317" applyNumberFormat="1" applyFont="1" applyBorder="1" applyAlignment="1">
      <alignment horizontal="left"/>
    </xf>
    <xf numFmtId="172" fontId="167" fillId="0" borderId="0" xfId="57" applyNumberFormat="1" applyFont="1" applyBorder="1" applyAlignment="1">
      <alignment horizontal="center"/>
    </xf>
    <xf numFmtId="172" fontId="167" fillId="0" borderId="0" xfId="122" applyNumberFormat="1" applyFont="1" applyAlignment="1">
      <alignment horizontal="center"/>
    </xf>
    <xf numFmtId="172" fontId="167" fillId="0" borderId="329" xfId="1317" applyNumberFormat="1" applyFont="1" applyBorder="1" applyAlignment="1">
      <alignment horizontal="center" wrapText="1"/>
    </xf>
    <xf numFmtId="172" fontId="167" fillId="0" borderId="0" xfId="57" applyNumberFormat="1" applyFont="1" applyFill="1" applyBorder="1" applyAlignment="1">
      <alignment horizontal="center"/>
    </xf>
    <xf numFmtId="172" fontId="168" fillId="0" borderId="56" xfId="1317" applyNumberFormat="1" applyFont="1" applyBorder="1" applyAlignment="1">
      <alignment horizontal="left" wrapText="1"/>
    </xf>
    <xf numFmtId="172" fontId="168" fillId="0" borderId="274" xfId="1317" applyNumberFormat="1" applyFont="1" applyBorder="1" applyAlignment="1">
      <alignment horizontal="left"/>
    </xf>
    <xf numFmtId="172" fontId="168" fillId="0" borderId="275" xfId="1317" applyNumberFormat="1" applyFont="1" applyBorder="1" applyAlignment="1">
      <alignment horizontal="center"/>
    </xf>
    <xf numFmtId="172" fontId="168" fillId="0" borderId="202" xfId="1317" applyNumberFormat="1" applyFont="1" applyBorder="1" applyAlignment="1">
      <alignment horizontal="center"/>
    </xf>
    <xf numFmtId="172" fontId="171" fillId="0" borderId="329" xfId="1317" applyNumberFormat="1" applyFont="1" applyBorder="1" applyAlignment="1">
      <alignment horizontal="center"/>
    </xf>
    <xf numFmtId="172" fontId="168" fillId="26" borderId="330" xfId="1317" applyNumberFormat="1" applyFont="1" applyFill="1" applyBorder="1" applyAlignment="1">
      <alignment horizontal="center"/>
    </xf>
    <xf numFmtId="172" fontId="173" fillId="26" borderId="329" xfId="1317" applyNumberFormat="1" applyFont="1" applyFill="1" applyBorder="1" applyAlignment="1">
      <alignment horizontal="center"/>
    </xf>
    <xf numFmtId="172" fontId="167" fillId="0" borderId="56" xfId="1317" quotePrefix="1" applyNumberFormat="1" applyFont="1" applyBorder="1" applyAlignment="1">
      <alignment horizontal="left"/>
    </xf>
    <xf numFmtId="172" fontId="167" fillId="0" borderId="0" xfId="1317" applyNumberFormat="1" applyFont="1" applyAlignment="1">
      <alignment horizontal="center"/>
    </xf>
    <xf numFmtId="172" fontId="168" fillId="0" borderId="0" xfId="124" applyNumberFormat="1" applyFont="1"/>
    <xf numFmtId="172" fontId="168" fillId="0" borderId="210" xfId="1317" applyNumberFormat="1" applyFont="1" applyBorder="1" applyAlignment="1">
      <alignment horizontal="left"/>
    </xf>
    <xf numFmtId="172" fontId="168" fillId="0" borderId="296" xfId="1317" applyNumberFormat="1" applyFont="1" applyBorder="1" applyAlignment="1">
      <alignment horizontal="center"/>
    </xf>
    <xf numFmtId="172" fontId="170" fillId="0" borderId="206" xfId="1317" applyNumberFormat="1" applyFont="1" applyBorder="1" applyAlignment="1">
      <alignment horizontal="center"/>
    </xf>
    <xf numFmtId="172" fontId="172" fillId="0" borderId="0" xfId="128" applyNumberFormat="1" applyFont="1" applyAlignment="1">
      <alignment horizontal="left"/>
    </xf>
    <xf numFmtId="172" fontId="172" fillId="0" borderId="0" xfId="756" applyNumberFormat="1" applyFont="1" applyAlignment="1">
      <alignment horizontal="center"/>
    </xf>
    <xf numFmtId="172" fontId="178" fillId="0" borderId="0" xfId="756" applyNumberFormat="1" applyFont="1" applyAlignment="1">
      <alignment horizontal="center"/>
    </xf>
    <xf numFmtId="172" fontId="172" fillId="0" borderId="0" xfId="124" applyNumberFormat="1" applyFont="1"/>
    <xf numFmtId="172" fontId="172" fillId="0" borderId="0" xfId="756" applyNumberFormat="1" applyFont="1"/>
    <xf numFmtId="172" fontId="167" fillId="0" borderId="0" xfId="748" quotePrefix="1" applyNumberFormat="1" applyFont="1" applyAlignment="1">
      <alignment horizontal="center"/>
    </xf>
    <xf numFmtId="172" fontId="168" fillId="0" borderId="0" xfId="756" applyNumberFormat="1" applyFont="1" applyAlignment="1">
      <alignment horizontal="center"/>
    </xf>
    <xf numFmtId="172" fontId="168" fillId="0" borderId="0" xfId="124" applyNumberFormat="1" applyFont="1" applyAlignment="1">
      <alignment horizontal="center"/>
    </xf>
    <xf numFmtId="172" fontId="151" fillId="0" borderId="0" xfId="122" applyNumberFormat="1" applyFont="1"/>
    <xf numFmtId="171" fontId="252" fillId="0" borderId="0" xfId="149" applyNumberFormat="1" applyFont="1" applyFill="1"/>
    <xf numFmtId="170" fontId="164" fillId="26" borderId="329" xfId="124" applyNumberFormat="1" applyFont="1" applyFill="1" applyBorder="1" applyAlignment="1">
      <alignment horizontal="center"/>
    </xf>
    <xf numFmtId="173" fontId="164" fillId="26" borderId="329" xfId="124" applyNumberFormat="1" applyFont="1" applyFill="1" applyBorder="1" applyAlignment="1">
      <alignment horizontal="center"/>
    </xf>
    <xf numFmtId="173" fontId="149" fillId="26" borderId="293" xfId="124" applyNumberFormat="1" applyFont="1" applyFill="1" applyBorder="1"/>
    <xf numFmtId="173" fontId="149" fillId="26" borderId="332" xfId="124" applyNumberFormat="1" applyFont="1" applyFill="1" applyBorder="1" applyAlignment="1">
      <alignment horizontal="center"/>
    </xf>
    <xf numFmtId="171" fontId="149" fillId="26" borderId="215" xfId="124" applyNumberFormat="1" applyFont="1" applyFill="1" applyBorder="1" applyAlignment="1">
      <alignment horizontal="center"/>
    </xf>
    <xf numFmtId="175" fontId="149" fillId="26" borderId="215" xfId="124" applyNumberFormat="1" applyFont="1" applyFill="1" applyBorder="1" applyAlignment="1">
      <alignment horizontal="center"/>
    </xf>
    <xf numFmtId="173" fontId="149" fillId="26" borderId="90" xfId="124" applyNumberFormat="1" applyFont="1" applyFill="1" applyBorder="1"/>
    <xf numFmtId="173" fontId="149" fillId="26" borderId="116" xfId="124" applyNumberFormat="1" applyFont="1" applyFill="1" applyBorder="1" applyAlignment="1">
      <alignment horizontal="center"/>
    </xf>
    <xf numFmtId="171" fontId="149" fillId="26" borderId="329" xfId="124" applyNumberFormat="1" applyFont="1" applyFill="1" applyBorder="1" applyAlignment="1">
      <alignment horizontal="center"/>
    </xf>
    <xf numFmtId="175" fontId="149" fillId="26" borderId="329" xfId="124" applyNumberFormat="1" applyFont="1" applyFill="1" applyBorder="1" applyAlignment="1">
      <alignment horizontal="center"/>
    </xf>
    <xf numFmtId="173" fontId="149" fillId="26" borderId="138" xfId="124" applyNumberFormat="1" applyFont="1" applyFill="1" applyBorder="1" applyAlignment="1">
      <alignment horizontal="left"/>
    </xf>
    <xf numFmtId="173" fontId="149" fillId="26" borderId="28" xfId="124" applyNumberFormat="1" applyFont="1" applyFill="1" applyBorder="1" applyAlignment="1">
      <alignment horizontal="center"/>
    </xf>
    <xf numFmtId="171" fontId="149" fillId="26" borderId="351" xfId="124" applyNumberFormat="1" applyFont="1" applyFill="1" applyBorder="1" applyAlignment="1">
      <alignment horizontal="center"/>
    </xf>
    <xf numFmtId="175" fontId="149" fillId="26" borderId="351" xfId="124" applyNumberFormat="1" applyFont="1" applyFill="1" applyBorder="1" applyAlignment="1">
      <alignment horizontal="center"/>
    </xf>
    <xf numFmtId="173" fontId="149" fillId="26" borderId="90" xfId="124" applyNumberFormat="1" applyFont="1" applyFill="1" applyBorder="1" applyAlignment="1">
      <alignment horizontal="left"/>
    </xf>
    <xf numFmtId="10" fontId="149" fillId="26" borderId="329" xfId="124" applyNumberFormat="1" applyFont="1" applyFill="1" applyBorder="1" applyAlignment="1">
      <alignment horizontal="center"/>
    </xf>
    <xf numFmtId="170" fontId="148" fillId="26" borderId="329" xfId="124" applyNumberFormat="1" applyFont="1" applyFill="1" applyBorder="1" applyAlignment="1">
      <alignment horizontal="center" vertical="center"/>
    </xf>
    <xf numFmtId="10" fontId="148" fillId="26" borderId="329" xfId="124" applyNumberFormat="1" applyFont="1" applyFill="1" applyBorder="1" applyAlignment="1">
      <alignment horizontal="center"/>
    </xf>
    <xf numFmtId="170" fontId="148" fillId="26" borderId="329" xfId="124" applyNumberFormat="1" applyFont="1" applyFill="1" applyBorder="1" applyAlignment="1">
      <alignment horizontal="center"/>
    </xf>
    <xf numFmtId="0" fontId="148" fillId="26" borderId="329" xfId="124" applyFont="1" applyFill="1" applyBorder="1" applyAlignment="1">
      <alignment horizontal="center"/>
    </xf>
    <xf numFmtId="173" fontId="148" fillId="26" borderId="329" xfId="124" applyNumberFormat="1" applyFont="1" applyFill="1" applyBorder="1" applyAlignment="1">
      <alignment horizontal="center"/>
    </xf>
    <xf numFmtId="0" fontId="164" fillId="0" borderId="0" xfId="124" applyFont="1"/>
    <xf numFmtId="173" fontId="152" fillId="26" borderId="116" xfId="124" applyNumberFormat="1" applyFont="1" applyFill="1" applyBorder="1" applyAlignment="1">
      <alignment horizontal="center" vertical="center"/>
    </xf>
    <xf numFmtId="10" fontId="152" fillId="26" borderId="329" xfId="124" applyNumberFormat="1" applyFont="1" applyFill="1" applyBorder="1" applyAlignment="1">
      <alignment horizontal="center" vertical="center"/>
    </xf>
    <xf numFmtId="170" fontId="152" fillId="26" borderId="329" xfId="124" applyNumberFormat="1" applyFont="1" applyFill="1" applyBorder="1" applyAlignment="1">
      <alignment horizontal="center" vertical="center"/>
    </xf>
    <xf numFmtId="173" fontId="155" fillId="26" borderId="116" xfId="124" applyNumberFormat="1" applyFont="1" applyFill="1" applyBorder="1" applyAlignment="1">
      <alignment horizontal="center" vertical="center"/>
    </xf>
    <xf numFmtId="10" fontId="155" fillId="26" borderId="329" xfId="124" applyNumberFormat="1" applyFont="1" applyFill="1" applyBorder="1" applyAlignment="1">
      <alignment horizontal="center" vertical="center"/>
    </xf>
    <xf numFmtId="170" fontId="155" fillId="26" borderId="329" xfId="124" applyNumberFormat="1" applyFont="1" applyFill="1" applyBorder="1" applyAlignment="1">
      <alignment horizontal="center" vertical="center"/>
    </xf>
    <xf numFmtId="173" fontId="155" fillId="26" borderId="116" xfId="124" applyNumberFormat="1" applyFont="1" applyFill="1" applyBorder="1" applyAlignment="1">
      <alignment horizontal="center"/>
    </xf>
    <xf numFmtId="10" fontId="155" fillId="26" borderId="329" xfId="124" applyNumberFormat="1" applyFont="1" applyFill="1" applyBorder="1" applyAlignment="1">
      <alignment horizontal="center"/>
    </xf>
    <xf numFmtId="170" fontId="155" fillId="26" borderId="329" xfId="124" applyNumberFormat="1" applyFont="1" applyFill="1" applyBorder="1" applyAlignment="1">
      <alignment horizontal="center"/>
    </xf>
    <xf numFmtId="170" fontId="152" fillId="26" borderId="329" xfId="124" applyNumberFormat="1" applyFont="1" applyFill="1" applyBorder="1" applyAlignment="1">
      <alignment horizontal="center"/>
    </xf>
    <xf numFmtId="0" fontId="155" fillId="26" borderId="116" xfId="124" applyFont="1" applyFill="1" applyBorder="1" applyAlignment="1">
      <alignment horizontal="center"/>
    </xf>
    <xf numFmtId="0" fontId="152" fillId="26" borderId="116" xfId="124" applyFont="1" applyFill="1" applyBorder="1" applyAlignment="1">
      <alignment horizontal="center"/>
    </xf>
    <xf numFmtId="173" fontId="152" fillId="26" borderId="116" xfId="124" applyNumberFormat="1" applyFont="1" applyFill="1" applyBorder="1" applyAlignment="1">
      <alignment horizontal="center"/>
    </xf>
    <xf numFmtId="10" fontId="152" fillId="26" borderId="329" xfId="124" applyNumberFormat="1" applyFont="1" applyFill="1" applyBorder="1" applyAlignment="1">
      <alignment horizontal="center"/>
    </xf>
    <xf numFmtId="17" fontId="155" fillId="26" borderId="116" xfId="124" applyNumberFormat="1" applyFont="1" applyFill="1" applyBorder="1" applyAlignment="1">
      <alignment horizontal="center"/>
    </xf>
    <xf numFmtId="17" fontId="152" fillId="26" borderId="116" xfId="124" applyNumberFormat="1" applyFont="1" applyFill="1" applyBorder="1" applyAlignment="1">
      <alignment horizontal="center"/>
    </xf>
    <xf numFmtId="17" fontId="155" fillId="26" borderId="116" xfId="124" applyNumberFormat="1" applyFont="1" applyFill="1" applyBorder="1" applyAlignment="1">
      <alignment horizontal="center" vertical="center"/>
    </xf>
    <xf numFmtId="171" fontId="155" fillId="26" borderId="329" xfId="124" applyNumberFormat="1" applyFont="1" applyFill="1" applyBorder="1" applyAlignment="1">
      <alignment horizontal="center"/>
    </xf>
    <xf numFmtId="0" fontId="155" fillId="26" borderId="329" xfId="124" applyFont="1" applyFill="1" applyBorder="1" applyAlignment="1">
      <alignment horizontal="center"/>
    </xf>
    <xf numFmtId="173" fontId="155" fillId="26" borderId="329" xfId="124" applyNumberFormat="1" applyFont="1" applyFill="1" applyBorder="1" applyAlignment="1">
      <alignment horizontal="center"/>
    </xf>
    <xf numFmtId="173" fontId="155" fillId="26" borderId="0" xfId="124" applyNumberFormat="1" applyFont="1" applyFill="1" applyAlignment="1">
      <alignment horizontal="center"/>
    </xf>
    <xf numFmtId="173" fontId="155" fillId="26" borderId="331" xfId="124" applyNumberFormat="1" applyFont="1" applyFill="1" applyBorder="1" applyAlignment="1">
      <alignment horizontal="center" vertical="center"/>
    </xf>
    <xf numFmtId="173" fontId="155" fillId="26" borderId="0" xfId="124" applyNumberFormat="1" applyFont="1" applyFill="1" applyAlignment="1">
      <alignment horizontal="center" vertical="center"/>
    </xf>
    <xf numFmtId="10" fontId="155" fillId="26" borderId="357" xfId="124" applyNumberFormat="1" applyFont="1" applyFill="1" applyBorder="1" applyAlignment="1">
      <alignment horizontal="center" vertical="center"/>
    </xf>
    <xf numFmtId="173" fontId="148" fillId="26" borderId="329" xfId="124" applyNumberFormat="1" applyFont="1" applyFill="1" applyBorder="1" applyAlignment="1">
      <alignment horizontal="center" vertical="center"/>
    </xf>
    <xf numFmtId="173" fontId="262" fillId="26" borderId="90" xfId="124" applyNumberFormat="1" applyFont="1" applyFill="1" applyBorder="1"/>
    <xf numFmtId="4" fontId="262" fillId="26" borderId="116" xfId="124" applyNumberFormat="1" applyFont="1" applyFill="1" applyBorder="1" applyAlignment="1">
      <alignment horizontal="center"/>
    </xf>
    <xf numFmtId="173" fontId="262" fillId="26" borderId="331" xfId="124" applyNumberFormat="1" applyFont="1" applyFill="1" applyBorder="1" applyAlignment="1">
      <alignment horizontal="center"/>
    </xf>
    <xf numFmtId="171" fontId="262" fillId="26" borderId="329" xfId="124" applyNumberFormat="1" applyFont="1" applyFill="1" applyBorder="1" applyAlignment="1">
      <alignment horizontal="center"/>
    </xf>
    <xf numFmtId="175" fontId="262" fillId="26" borderId="329" xfId="124" applyNumberFormat="1" applyFont="1" applyFill="1" applyBorder="1" applyAlignment="1">
      <alignment horizontal="center"/>
    </xf>
    <xf numFmtId="3" fontId="262" fillId="26" borderId="329" xfId="57" applyNumberFormat="1" applyFont="1" applyFill="1" applyBorder="1" applyAlignment="1">
      <alignment horizontal="center"/>
    </xf>
    <xf numFmtId="0" fontId="263" fillId="0" borderId="0" xfId="122" applyFont="1"/>
    <xf numFmtId="0" fontId="263" fillId="0" borderId="0" xfId="124" applyFont="1"/>
    <xf numFmtId="173" fontId="262" fillId="26" borderId="138" xfId="124" applyNumberFormat="1" applyFont="1" applyFill="1" applyBorder="1" applyAlignment="1">
      <alignment horizontal="left"/>
    </xf>
    <xf numFmtId="4" fontId="262" fillId="26" borderId="28" xfId="124" applyNumberFormat="1" applyFont="1" applyFill="1" applyBorder="1" applyAlignment="1">
      <alignment horizontal="center"/>
    </xf>
    <xf numFmtId="173" fontId="262" fillId="26" borderId="218" xfId="124" applyNumberFormat="1" applyFont="1" applyFill="1" applyBorder="1" applyAlignment="1">
      <alignment horizontal="center"/>
    </xf>
    <xf numFmtId="171" fontId="262" fillId="26" borderId="351" xfId="124" applyNumberFormat="1" applyFont="1" applyFill="1" applyBorder="1" applyAlignment="1">
      <alignment horizontal="center"/>
    </xf>
    <xf numFmtId="175" fontId="262" fillId="26" borderId="351" xfId="124" applyNumberFormat="1" applyFont="1" applyFill="1" applyBorder="1" applyAlignment="1">
      <alignment horizontal="center"/>
    </xf>
    <xf numFmtId="3" fontId="262" fillId="26" borderId="351" xfId="57" applyNumberFormat="1" applyFont="1" applyFill="1" applyBorder="1" applyAlignment="1">
      <alignment horizontal="center"/>
    </xf>
    <xf numFmtId="230" fontId="262" fillId="26" borderId="365" xfId="57" applyNumberFormat="1" applyFont="1" applyFill="1" applyBorder="1" applyAlignment="1">
      <alignment horizontal="center"/>
    </xf>
    <xf numFmtId="0" fontId="262" fillId="0" borderId="0" xfId="122" applyFont="1"/>
    <xf numFmtId="0" fontId="262" fillId="0" borderId="0" xfId="124" applyFont="1"/>
    <xf numFmtId="10" fontId="164" fillId="26" borderId="116" xfId="124" applyNumberFormat="1" applyFont="1" applyFill="1" applyBorder="1" applyAlignment="1">
      <alignment horizontal="center"/>
    </xf>
    <xf numFmtId="173" fontId="164" fillId="26" borderId="90" xfId="124" applyNumberFormat="1" applyFont="1" applyFill="1" applyBorder="1" applyAlignment="1">
      <alignment horizontal="left" indent="6"/>
    </xf>
    <xf numFmtId="170" fontId="148" fillId="26" borderId="357" xfId="124" applyNumberFormat="1" applyFont="1" applyFill="1" applyBorder="1" applyAlignment="1">
      <alignment horizontal="center" vertical="center"/>
    </xf>
    <xf numFmtId="0" fontId="261" fillId="0" borderId="0" xfId="124" applyFont="1"/>
    <xf numFmtId="171" fontId="261" fillId="0" borderId="0" xfId="124" applyNumberFormat="1" applyFont="1"/>
    <xf numFmtId="175" fontId="261" fillId="0" borderId="0" xfId="124" applyNumberFormat="1" applyFont="1"/>
    <xf numFmtId="3" fontId="261" fillId="0" borderId="0" xfId="57" applyNumberFormat="1" applyFont="1" applyFill="1" applyAlignment="1">
      <alignment horizontal="center"/>
    </xf>
    <xf numFmtId="3" fontId="146" fillId="0" borderId="0" xfId="122" applyNumberFormat="1" applyFont="1"/>
    <xf numFmtId="0" fontId="146" fillId="0" borderId="322" xfId="122" applyFont="1" applyBorder="1"/>
    <xf numFmtId="0" fontId="147" fillId="0" borderId="289" xfId="122" applyFont="1" applyBorder="1" applyAlignment="1">
      <alignment horizontal="center" vertical="top" wrapText="1"/>
    </xf>
    <xf numFmtId="0" fontId="147" fillId="0" borderId="291" xfId="122" applyFont="1" applyBorder="1" applyAlignment="1">
      <alignment horizontal="center" vertical="top" wrapText="1"/>
    </xf>
    <xf numFmtId="0" fontId="147" fillId="0" borderId="214" xfId="122" applyFont="1" applyBorder="1" applyAlignment="1">
      <alignment horizontal="center" vertical="top" wrapText="1"/>
    </xf>
    <xf numFmtId="0" fontId="147" fillId="0" borderId="346" xfId="122" applyFont="1" applyBorder="1" applyAlignment="1">
      <alignment horizontal="center" vertical="top" wrapText="1"/>
    </xf>
    <xf numFmtId="0" fontId="147" fillId="0" borderId="102" xfId="122" applyFont="1" applyBorder="1" applyAlignment="1">
      <alignment horizontal="center" vertical="top" wrapText="1"/>
    </xf>
    <xf numFmtId="0" fontId="147" fillId="0" borderId="190" xfId="122" applyFont="1" applyBorder="1" applyAlignment="1">
      <alignment horizontal="center" vertical="top" wrapText="1"/>
    </xf>
    <xf numFmtId="3" fontId="147" fillId="0" borderId="291" xfId="122" applyNumberFormat="1" applyFont="1" applyBorder="1" applyAlignment="1">
      <alignment horizontal="center" vertical="top" wrapText="1"/>
    </xf>
    <xf numFmtId="0" fontId="146" fillId="0" borderId="0" xfId="122" applyFont="1" applyAlignment="1">
      <alignment vertical="top"/>
    </xf>
    <xf numFmtId="0" fontId="146" fillId="0" borderId="292" xfId="122" applyFont="1" applyBorder="1"/>
    <xf numFmtId="0" fontId="146" fillId="0" borderId="292" xfId="122" applyFont="1" applyBorder="1" applyAlignment="1">
      <alignment horizontal="center"/>
    </xf>
    <xf numFmtId="0" fontId="146" fillId="0" borderId="302" xfId="122" applyFont="1" applyBorder="1" applyAlignment="1">
      <alignment horizontal="center"/>
    </xf>
    <xf numFmtId="3" fontId="146" fillId="0" borderId="292" xfId="122" applyNumberFormat="1" applyFont="1" applyBorder="1" applyAlignment="1">
      <alignment horizontal="center"/>
    </xf>
    <xf numFmtId="0" fontId="146" fillId="0" borderId="332" xfId="122" applyFont="1" applyBorder="1" applyAlignment="1">
      <alignment horizontal="center"/>
    </xf>
    <xf numFmtId="0" fontId="146" fillId="0" borderId="172" xfId="122" applyFont="1" applyBorder="1" applyAlignment="1">
      <alignment horizontal="center"/>
    </xf>
    <xf numFmtId="3" fontId="146" fillId="0" borderId="293" xfId="150" applyNumberFormat="1" applyFont="1" applyFill="1" applyBorder="1" applyAlignment="1">
      <alignment horizontal="center"/>
    </xf>
    <xf numFmtId="0" fontId="146" fillId="0" borderId="329" xfId="122" applyFont="1" applyBorder="1" applyAlignment="1">
      <alignment horizontal="center"/>
    </xf>
    <xf numFmtId="0" fontId="146" fillId="0" borderId="330" xfId="122" applyFont="1" applyBorder="1" applyAlignment="1">
      <alignment horizontal="center"/>
    </xf>
    <xf numFmtId="3" fontId="146" fillId="0" borderId="90" xfId="150" applyNumberFormat="1" applyFont="1" applyFill="1" applyBorder="1" applyAlignment="1">
      <alignment horizontal="center"/>
    </xf>
    <xf numFmtId="177" fontId="146" fillId="0" borderId="0" xfId="122" applyNumberFormat="1" applyFont="1" applyAlignment="1">
      <alignment horizontal="center"/>
    </xf>
    <xf numFmtId="171" fontId="146" fillId="0" borderId="321" xfId="149" applyNumberFormat="1" applyFont="1" applyFill="1" applyBorder="1"/>
    <xf numFmtId="43" fontId="146" fillId="0" borderId="0" xfId="72" applyFont="1" applyFill="1"/>
    <xf numFmtId="3" fontId="150" fillId="0" borderId="329" xfId="122" applyNumberFormat="1" applyFont="1" applyBorder="1"/>
    <xf numFmtId="10" fontId="150" fillId="0" borderId="329" xfId="122" applyNumberFormat="1" applyFont="1" applyBorder="1"/>
    <xf numFmtId="178" fontId="150" fillId="0" borderId="329" xfId="72" applyNumberFormat="1" applyFont="1" applyFill="1" applyBorder="1"/>
    <xf numFmtId="41" fontId="150" fillId="0" borderId="329" xfId="72" applyNumberFormat="1" applyFont="1" applyFill="1" applyBorder="1" applyAlignment="1">
      <alignment horizontal="center"/>
    </xf>
    <xf numFmtId="171" fontId="150" fillId="0" borderId="329" xfId="122" applyNumberFormat="1" applyFont="1" applyBorder="1" applyAlignment="1">
      <alignment horizontal="center"/>
    </xf>
    <xf numFmtId="171" fontId="150" fillId="0" borderId="331" xfId="122" applyNumberFormat="1" applyFont="1" applyBorder="1" applyAlignment="1">
      <alignment horizontal="center"/>
    </xf>
    <xf numFmtId="3" fontId="150" fillId="0" borderId="0" xfId="149" applyNumberFormat="1" applyFont="1" applyFill="1" applyBorder="1" applyAlignment="1">
      <alignment horizontal="center"/>
    </xf>
    <xf numFmtId="171" fontId="150" fillId="0" borderId="330" xfId="122" applyNumberFormat="1" applyFont="1" applyBorder="1" applyAlignment="1">
      <alignment horizontal="center"/>
    </xf>
    <xf numFmtId="3" fontId="150" fillId="0" borderId="331" xfId="150" applyNumberFormat="1" applyFont="1" applyFill="1" applyBorder="1" applyAlignment="1">
      <alignment horizontal="center"/>
    </xf>
    <xf numFmtId="0" fontId="150" fillId="0" borderId="329" xfId="122" applyFont="1" applyBorder="1"/>
    <xf numFmtId="41" fontId="150" fillId="0" borderId="329" xfId="122" applyNumberFormat="1" applyFont="1" applyBorder="1" applyAlignment="1">
      <alignment horizontal="center"/>
    </xf>
    <xf numFmtId="3" fontId="150" fillId="0" borderId="329" xfId="122" applyNumberFormat="1" applyFont="1" applyBorder="1" applyAlignment="1">
      <alignment horizontal="center"/>
    </xf>
    <xf numFmtId="3" fontId="150" fillId="0" borderId="252" xfId="57" applyNumberFormat="1" applyFont="1" applyFill="1" applyBorder="1" applyAlignment="1">
      <alignment horizontal="center"/>
    </xf>
    <xf numFmtId="1" fontId="150" fillId="0" borderId="329" xfId="122" applyNumberFormat="1" applyFont="1" applyBorder="1"/>
    <xf numFmtId="10" fontId="150" fillId="0" borderId="330" xfId="122" applyNumberFormat="1" applyFont="1" applyBorder="1" applyAlignment="1">
      <alignment horizontal="center"/>
    </xf>
    <xf numFmtId="0" fontId="150" fillId="0" borderId="308" xfId="122" applyFont="1" applyBorder="1"/>
    <xf numFmtId="3" fontId="150" fillId="0" borderId="289" xfId="122" applyNumberFormat="1" applyFont="1" applyBorder="1"/>
    <xf numFmtId="10" fontId="150" fillId="0" borderId="289" xfId="122" applyNumberFormat="1" applyFont="1" applyBorder="1"/>
    <xf numFmtId="0" fontId="150" fillId="0" borderId="289" xfId="122" applyFont="1" applyBorder="1"/>
    <xf numFmtId="41" fontId="150" fillId="0" borderId="289" xfId="72" applyNumberFormat="1" applyFont="1" applyFill="1" applyBorder="1" applyAlignment="1">
      <alignment horizontal="center"/>
    </xf>
    <xf numFmtId="171" fontId="150" fillId="0" borderId="289" xfId="122" applyNumberFormat="1" applyFont="1" applyBorder="1" applyAlignment="1">
      <alignment horizontal="center"/>
    </xf>
    <xf numFmtId="3" fontId="150" fillId="0" borderId="289" xfId="57" applyNumberFormat="1" applyFont="1" applyFill="1" applyBorder="1" applyAlignment="1">
      <alignment horizontal="center"/>
    </xf>
    <xf numFmtId="3" fontId="150" fillId="0" borderId="289" xfId="122" applyNumberFormat="1" applyFont="1" applyBorder="1" applyAlignment="1">
      <alignment horizontal="center"/>
    </xf>
    <xf numFmtId="171" fontId="150" fillId="0" borderId="325" xfId="122" applyNumberFormat="1" applyFont="1" applyBorder="1" applyAlignment="1">
      <alignment horizontal="center"/>
    </xf>
    <xf numFmtId="171" fontId="150" fillId="0" borderId="356" xfId="122" applyNumberFormat="1" applyFont="1" applyBorder="1" applyAlignment="1">
      <alignment horizontal="center"/>
    </xf>
    <xf numFmtId="3" fontId="150" fillId="0" borderId="354" xfId="149" applyNumberFormat="1" applyFont="1" applyFill="1" applyBorder="1" applyAlignment="1">
      <alignment horizontal="center"/>
    </xf>
    <xf numFmtId="171" fontId="150" fillId="0" borderId="310" xfId="122" applyNumberFormat="1" applyFont="1" applyBorder="1" applyAlignment="1">
      <alignment horizontal="center"/>
    </xf>
    <xf numFmtId="0" fontId="151" fillId="0" borderId="176" xfId="122" applyFont="1" applyBorder="1"/>
    <xf numFmtId="3" fontId="151" fillId="0" borderId="291" xfId="122" applyNumberFormat="1" applyFont="1" applyBorder="1"/>
    <xf numFmtId="10" fontId="151" fillId="0" borderId="291" xfId="122" applyNumberFormat="1" applyFont="1" applyBorder="1"/>
    <xf numFmtId="41" fontId="151" fillId="0" borderId="291" xfId="122" applyNumberFormat="1" applyFont="1" applyBorder="1" applyAlignment="1">
      <alignment horizontal="center"/>
    </xf>
    <xf numFmtId="171" fontId="151" fillId="0" borderId="291" xfId="122" applyNumberFormat="1" applyFont="1" applyBorder="1" applyAlignment="1">
      <alignment horizontal="center"/>
    </xf>
    <xf numFmtId="3" fontId="151" fillId="0" borderId="291" xfId="57" applyNumberFormat="1" applyFont="1" applyFill="1" applyBorder="1" applyAlignment="1">
      <alignment horizontal="center"/>
    </xf>
    <xf numFmtId="3" fontId="151" fillId="0" borderId="291" xfId="122" applyNumberFormat="1" applyFont="1" applyBorder="1" applyAlignment="1">
      <alignment horizontal="center"/>
    </xf>
    <xf numFmtId="171" fontId="151" fillId="0" borderId="214" xfId="122" applyNumberFormat="1" applyFont="1" applyBorder="1" applyAlignment="1">
      <alignment horizontal="center"/>
    </xf>
    <xf numFmtId="171" fontId="151" fillId="0" borderId="346" xfId="122" applyNumberFormat="1" applyFont="1" applyBorder="1" applyAlignment="1">
      <alignment horizontal="center"/>
    </xf>
    <xf numFmtId="3" fontId="151" fillId="0" borderId="102" xfId="122" applyNumberFormat="1" applyFont="1" applyBorder="1" applyAlignment="1">
      <alignment horizontal="center"/>
    </xf>
    <xf numFmtId="171" fontId="151" fillId="0" borderId="190" xfId="122" applyNumberFormat="1" applyFont="1" applyBorder="1" applyAlignment="1">
      <alignment horizontal="center"/>
    </xf>
    <xf numFmtId="0" fontId="256" fillId="0" borderId="102" xfId="830" applyFont="1" applyBorder="1" applyAlignment="1">
      <alignment horizontal="center" vertical="center"/>
    </xf>
    <xf numFmtId="0" fontId="256" fillId="0" borderId="291" xfId="830" applyFont="1" applyBorder="1" applyAlignment="1">
      <alignment horizontal="center" vertical="center"/>
    </xf>
    <xf numFmtId="0" fontId="255" fillId="0" borderId="0" xfId="0" applyFont="1"/>
    <xf numFmtId="0" fontId="255" fillId="0" borderId="0" xfId="0" applyFont="1" applyAlignment="1">
      <alignment wrapText="1"/>
    </xf>
    <xf numFmtId="172" fontId="255" fillId="0" borderId="329" xfId="57" applyNumberFormat="1" applyFont="1" applyFill="1" applyBorder="1" applyAlignment="1">
      <alignment horizontal="center" vertical="center"/>
    </xf>
    <xf numFmtId="0" fontId="253" fillId="0" borderId="0" xfId="122" applyFont="1"/>
    <xf numFmtId="0" fontId="141" fillId="0" borderId="0" xfId="830" applyFont="1"/>
    <xf numFmtId="0" fontId="253" fillId="0" borderId="0" xfId="830" applyFont="1"/>
    <xf numFmtId="49" fontId="158" fillId="0" borderId="57" xfId="830" applyNumberFormat="1" applyFont="1" applyBorder="1" applyAlignment="1">
      <alignment horizontal="left" wrapText="1" indent="1"/>
    </xf>
    <xf numFmtId="178" fontId="267" fillId="0" borderId="0" xfId="1070" applyNumberFormat="1" applyFont="1" applyFill="1" applyBorder="1" applyAlignment="1"/>
    <xf numFmtId="0" fontId="146" fillId="0" borderId="0" xfId="830" applyFont="1"/>
    <xf numFmtId="17" fontId="147" fillId="0" borderId="291" xfId="830" applyNumberFormat="1" applyFont="1" applyBorder="1" applyAlignment="1">
      <alignment horizontal="center" vertical="center"/>
    </xf>
    <xf numFmtId="178" fontId="146" fillId="0" borderId="292" xfId="1070" applyNumberFormat="1" applyFont="1" applyFill="1" applyBorder="1" applyAlignment="1">
      <alignment horizontal="center" vertical="center"/>
    </xf>
    <xf numFmtId="172" fontId="147" fillId="0" borderId="252" xfId="57" applyNumberFormat="1" applyFont="1" applyFill="1" applyBorder="1" applyAlignment="1">
      <alignment horizontal="center" vertical="center"/>
    </xf>
    <xf numFmtId="172" fontId="146" fillId="0" borderId="252" xfId="57" applyNumberFormat="1" applyFont="1" applyFill="1" applyBorder="1" applyAlignment="1">
      <alignment horizontal="center" vertical="center"/>
    </xf>
    <xf numFmtId="172" fontId="147" fillId="0" borderId="345" xfId="57" applyNumberFormat="1" applyFont="1" applyFill="1" applyBorder="1" applyAlignment="1">
      <alignment horizontal="center" vertical="center"/>
    </xf>
    <xf numFmtId="172" fontId="146" fillId="0" borderId="401" xfId="57" applyNumberFormat="1" applyFont="1" applyFill="1" applyBorder="1" applyAlignment="1">
      <alignment horizontal="center" vertical="center"/>
    </xf>
    <xf numFmtId="172" fontId="146" fillId="0" borderId="0" xfId="57" applyNumberFormat="1" applyFont="1" applyFill="1" applyBorder="1" applyAlignment="1">
      <alignment horizontal="center" vertical="center"/>
    </xf>
    <xf numFmtId="172" fontId="147" fillId="0" borderId="0" xfId="57" applyNumberFormat="1" applyFont="1" applyFill="1" applyBorder="1" applyAlignment="1">
      <alignment horizontal="center" vertical="center"/>
    </xf>
    <xf numFmtId="178" fontId="146" fillId="0" borderId="0" xfId="1070" applyNumberFormat="1" applyFont="1" applyFill="1" applyBorder="1" applyAlignment="1"/>
    <xf numFmtId="178" fontId="146" fillId="0" borderId="0" xfId="830" applyNumberFormat="1" applyFont="1"/>
    <xf numFmtId="0" fontId="264" fillId="0" borderId="0" xfId="5088" applyFont="1"/>
    <xf numFmtId="0" fontId="264" fillId="0" borderId="176" xfId="4807" applyFont="1" applyBorder="1" applyAlignment="1">
      <alignment horizontal="right"/>
    </xf>
    <xf numFmtId="49" fontId="268" fillId="0" borderId="293" xfId="830" applyNumberFormat="1" applyFont="1" applyBorder="1" applyAlignment="1">
      <alignment wrapText="1"/>
    </xf>
    <xf numFmtId="49" fontId="268" fillId="0" borderId="57" xfId="830" applyNumberFormat="1" applyFont="1" applyBorder="1" applyAlignment="1">
      <alignment wrapText="1"/>
    </xf>
    <xf numFmtId="49" fontId="264" fillId="0" borderId="57" xfId="830" applyNumberFormat="1" applyFont="1" applyBorder="1" applyAlignment="1">
      <alignment horizontal="left" wrapText="1" indent="1"/>
    </xf>
    <xf numFmtId="49" fontId="264" fillId="0" borderId="57" xfId="830" applyNumberFormat="1" applyFont="1" applyBorder="1" applyAlignment="1">
      <alignment horizontal="left" wrapText="1" indent="2"/>
    </xf>
    <xf numFmtId="0" fontId="264" fillId="0" borderId="57" xfId="830" applyFont="1" applyBorder="1"/>
    <xf numFmtId="49" fontId="264" fillId="0" borderId="57" xfId="830" applyNumberFormat="1" applyFont="1" applyBorder="1" applyAlignment="1">
      <alignment horizontal="left" wrapText="1" indent="3"/>
    </xf>
    <xf numFmtId="49" fontId="268" fillId="0" borderId="57" xfId="830" applyNumberFormat="1" applyFont="1" applyBorder="1" applyAlignment="1">
      <alignment horizontal="left" wrapText="1" indent="2"/>
    </xf>
    <xf numFmtId="49" fontId="264" fillId="0" borderId="57" xfId="830" applyNumberFormat="1" applyFont="1" applyBorder="1" applyAlignment="1">
      <alignment wrapText="1"/>
    </xf>
    <xf numFmtId="49" fontId="268" fillId="0" borderId="57" xfId="830" applyNumberFormat="1" applyFont="1" applyBorder="1" applyAlignment="1">
      <alignment horizontal="left" wrapText="1" indent="1"/>
    </xf>
    <xf numFmtId="49" fontId="268" fillId="0" borderId="308" xfId="830" applyNumberFormat="1" applyFont="1" applyBorder="1" applyAlignment="1">
      <alignment horizontal="left" wrapText="1" indent="1"/>
    </xf>
    <xf numFmtId="49" fontId="269" fillId="0" borderId="401" xfId="830" applyNumberFormat="1" applyFont="1" applyBorder="1" applyAlignment="1">
      <alignment horizontal="left" wrapText="1" indent="1"/>
    </xf>
    <xf numFmtId="49" fontId="264" fillId="0" borderId="0" xfId="830" applyNumberFormat="1" applyFont="1" applyAlignment="1">
      <alignment horizontal="left" wrapText="1" indent="1"/>
    </xf>
    <xf numFmtId="49" fontId="268" fillId="0" borderId="0" xfId="830" applyNumberFormat="1" applyFont="1" applyAlignment="1">
      <alignment wrapText="1"/>
    </xf>
    <xf numFmtId="178" fontId="269" fillId="0" borderId="0" xfId="1070" applyNumberFormat="1" applyFont="1" applyFill="1" applyBorder="1" applyAlignment="1"/>
    <xf numFmtId="15" fontId="269" fillId="0" borderId="0" xfId="1070" applyNumberFormat="1" applyFont="1" applyFill="1" applyBorder="1" applyAlignment="1">
      <alignment horizontal="left"/>
    </xf>
    <xf numFmtId="0" fontId="264" fillId="0" borderId="0" xfId="830" applyFont="1"/>
    <xf numFmtId="172" fontId="158" fillId="0" borderId="329" xfId="57" applyNumberFormat="1" applyFont="1" applyFill="1" applyBorder="1" applyAlignment="1">
      <alignment horizontal="center"/>
    </xf>
    <xf numFmtId="0" fontId="234" fillId="0" borderId="0" xfId="122" applyFont="1" applyAlignment="1">
      <alignment wrapText="1"/>
    </xf>
    <xf numFmtId="0" fontId="235" fillId="0" borderId="0" xfId="830" applyFont="1"/>
    <xf numFmtId="0" fontId="234" fillId="0" borderId="0" xfId="122" applyFont="1"/>
    <xf numFmtId="0" fontId="234" fillId="0" borderId="291" xfId="830" applyFont="1" applyBorder="1" applyAlignment="1">
      <alignment horizontal="center"/>
    </xf>
    <xf numFmtId="172" fontId="258" fillId="0" borderId="252" xfId="57" applyNumberFormat="1" applyFont="1" applyFill="1" applyBorder="1" applyAlignment="1">
      <alignment horizontal="center"/>
    </xf>
    <xf numFmtId="4" fontId="258" fillId="0" borderId="252" xfId="57" applyNumberFormat="1" applyFont="1" applyFill="1" applyBorder="1" applyAlignment="1">
      <alignment horizontal="center"/>
    </xf>
    <xf numFmtId="3" fontId="258" fillId="0" borderId="252" xfId="57" applyNumberFormat="1" applyFont="1" applyFill="1" applyBorder="1" applyAlignment="1">
      <alignment horizontal="center"/>
    </xf>
    <xf numFmtId="175" fontId="259" fillId="0" borderId="252" xfId="122" applyNumberFormat="1" applyFont="1" applyBorder="1" applyAlignment="1">
      <alignment wrapText="1"/>
    </xf>
    <xf numFmtId="172" fontId="258" fillId="0" borderId="289" xfId="57" applyNumberFormat="1" applyFont="1" applyFill="1" applyBorder="1" applyAlignment="1">
      <alignment horizontal="center"/>
    </xf>
    <xf numFmtId="0" fontId="270" fillId="0" borderId="176" xfId="4807" applyFont="1" applyBorder="1" applyAlignment="1">
      <alignment horizontal="right"/>
    </xf>
    <xf numFmtId="49" fontId="270" fillId="0" borderId="57" xfId="830" applyNumberFormat="1" applyFont="1" applyBorder="1"/>
    <xf numFmtId="49" fontId="270" fillId="0" borderId="57" xfId="830" applyNumberFormat="1" applyFont="1" applyBorder="1" applyAlignment="1">
      <alignment wrapText="1"/>
    </xf>
    <xf numFmtId="49" fontId="270" fillId="0" borderId="308" xfId="830" applyNumberFormat="1" applyFont="1" applyBorder="1"/>
    <xf numFmtId="0" fontId="270" fillId="0" borderId="0" xfId="830" applyFont="1"/>
    <xf numFmtId="0" fontId="187" fillId="0" borderId="0" xfId="122" applyFont="1" applyAlignment="1">
      <alignment wrapText="1"/>
    </xf>
    <xf numFmtId="0" fontId="186" fillId="0" borderId="0" xfId="830" applyFont="1"/>
    <xf numFmtId="0" fontId="186" fillId="0" borderId="0" xfId="830" applyFont="1" applyAlignment="1">
      <alignment horizontal="right"/>
    </xf>
    <xf numFmtId="0" fontId="192" fillId="0" borderId="176" xfId="4807" applyFont="1" applyBorder="1" applyAlignment="1">
      <alignment horizontal="right"/>
    </xf>
    <xf numFmtId="0" fontId="195" fillId="0" borderId="291" xfId="830" applyFont="1" applyBorder="1" applyAlignment="1">
      <alignment horizontal="center"/>
    </xf>
    <xf numFmtId="49" fontId="192" fillId="0" borderId="57" xfId="830" applyNumberFormat="1" applyFont="1" applyBorder="1"/>
    <xf numFmtId="175" fontId="192" fillId="0" borderId="329" xfId="1070" applyNumberFormat="1" applyFont="1" applyFill="1" applyBorder="1" applyAlignment="1">
      <alignment horizontal="center"/>
    </xf>
    <xf numFmtId="49" fontId="192" fillId="0" borderId="308" xfId="830" applyNumberFormat="1" applyFont="1" applyBorder="1"/>
    <xf numFmtId="175" fontId="192" fillId="0" borderId="357" xfId="1070" applyNumberFormat="1" applyFont="1" applyFill="1" applyBorder="1" applyAlignment="1">
      <alignment horizontal="center"/>
    </xf>
    <xf numFmtId="0" fontId="195" fillId="0" borderId="0" xfId="4807" applyFont="1" applyAlignment="1">
      <alignment horizontal="center"/>
    </xf>
    <xf numFmtId="180" fontId="192" fillId="0" borderId="0" xfId="4808" applyFont="1" applyAlignment="1">
      <alignment horizontal="right"/>
    </xf>
    <xf numFmtId="178" fontId="197" fillId="0" borderId="0" xfId="1070" applyNumberFormat="1" applyFont="1" applyFill="1" applyBorder="1" applyAlignment="1"/>
    <xf numFmtId="0" fontId="192" fillId="0" borderId="0" xfId="830" applyFont="1" applyAlignment="1">
      <alignment horizontal="right"/>
    </xf>
    <xf numFmtId="0" fontId="192" fillId="0" borderId="0" xfId="830" applyFont="1"/>
    <xf numFmtId="37" fontId="141" fillId="0" borderId="0" xfId="5091" applyFont="1"/>
    <xf numFmtId="178" fontId="141" fillId="0" borderId="0" xfId="1277" applyNumberFormat="1" applyFont="1" applyFill="1" applyBorder="1"/>
    <xf numFmtId="0" fontId="253" fillId="0" borderId="176" xfId="830" applyFont="1" applyBorder="1" applyAlignment="1">
      <alignment horizontal="center"/>
    </xf>
    <xf numFmtId="0" fontId="157" fillId="0" borderId="291" xfId="830" applyFont="1" applyBorder="1" applyAlignment="1">
      <alignment horizontal="center"/>
    </xf>
    <xf numFmtId="14" fontId="157" fillId="0" borderId="293" xfId="830" applyNumberFormat="1" applyFont="1" applyBorder="1"/>
    <xf numFmtId="174" fontId="157" fillId="0" borderId="396" xfId="57" applyNumberFormat="1" applyFont="1" applyFill="1" applyBorder="1" applyAlignment="1">
      <alignment horizontal="center"/>
    </xf>
    <xf numFmtId="174" fontId="157" fillId="0" borderId="396" xfId="57" applyNumberFormat="1" applyFont="1" applyFill="1" applyBorder="1" applyAlignment="1"/>
    <xf numFmtId="37" fontId="271" fillId="0" borderId="0" xfId="5091" applyFont="1"/>
    <xf numFmtId="49" fontId="157" fillId="0" borderId="57" xfId="124" applyNumberFormat="1" applyFont="1" applyBorder="1"/>
    <xf numFmtId="235" fontId="141" fillId="0" borderId="252" xfId="5091" applyNumberFormat="1" applyFont="1" applyBorder="1" applyAlignment="1">
      <alignment horizontal="center"/>
    </xf>
    <xf numFmtId="174" fontId="157" fillId="0" borderId="252" xfId="57" applyNumberFormat="1" applyFont="1" applyFill="1" applyBorder="1" applyAlignment="1">
      <alignment horizontal="center"/>
    </xf>
    <xf numFmtId="39" fontId="141" fillId="0" borderId="252" xfId="5091" applyNumberFormat="1" applyFont="1" applyBorder="1" applyAlignment="1">
      <alignment horizontal="center"/>
    </xf>
    <xf numFmtId="175" fontId="157" fillId="0" borderId="252" xfId="57" applyNumberFormat="1" applyFont="1" applyFill="1" applyBorder="1" applyAlignment="1">
      <alignment horizontal="center"/>
    </xf>
    <xf numFmtId="49" fontId="158" fillId="0" borderId="57" xfId="124" applyNumberFormat="1" applyFont="1" applyBorder="1"/>
    <xf numFmtId="175" fontId="158" fillId="0" borderId="252" xfId="57" applyNumberFormat="1" applyFont="1" applyFill="1" applyBorder="1" applyAlignment="1">
      <alignment horizontal="center"/>
    </xf>
    <xf numFmtId="37" fontId="254" fillId="0" borderId="0" xfId="5091" applyFont="1"/>
    <xf numFmtId="49" fontId="158" fillId="0" borderId="57" xfId="124" applyNumberFormat="1" applyFont="1" applyBorder="1" applyAlignment="1">
      <alignment horizontal="left" indent="2"/>
    </xf>
    <xf numFmtId="49" fontId="158" fillId="0" borderId="57" xfId="124" applyNumberFormat="1" applyFont="1" applyBorder="1" applyAlignment="1">
      <alignment horizontal="left" indent="3"/>
    </xf>
    <xf numFmtId="0" fontId="158" fillId="0" borderId="57" xfId="830" applyFont="1" applyBorder="1" applyAlignment="1">
      <alignment horizontal="left" vertical="center" indent="4"/>
    </xf>
    <xf numFmtId="174" fontId="158" fillId="0" borderId="252" xfId="57" applyNumberFormat="1" applyFont="1" applyFill="1" applyBorder="1" applyAlignment="1">
      <alignment horizontal="center"/>
    </xf>
    <xf numFmtId="37" fontId="253" fillId="0" borderId="0" xfId="5091" applyFont="1"/>
    <xf numFmtId="49" fontId="157" fillId="0" borderId="57" xfId="124" applyNumberFormat="1" applyFont="1" applyBorder="1" applyAlignment="1">
      <alignment horizontal="left" indent="3"/>
    </xf>
    <xf numFmtId="235" fontId="253" fillId="0" borderId="252" xfId="5091" applyNumberFormat="1" applyFont="1" applyBorder="1" applyAlignment="1">
      <alignment horizontal="center"/>
    </xf>
    <xf numFmtId="39" fontId="253" fillId="0" borderId="252" xfId="5091" applyNumberFormat="1" applyFont="1" applyBorder="1" applyAlignment="1">
      <alignment horizontal="center"/>
    </xf>
    <xf numFmtId="245" fontId="253" fillId="0" borderId="252" xfId="5091" applyNumberFormat="1" applyFont="1" applyBorder="1" applyAlignment="1">
      <alignment horizontal="center"/>
    </xf>
    <xf numFmtId="49" fontId="158" fillId="0" borderId="308" xfId="124" applyNumberFormat="1" applyFont="1" applyBorder="1" applyAlignment="1">
      <alignment horizontal="left" indent="2"/>
    </xf>
    <xf numFmtId="174" fontId="158" fillId="0" borderId="357" xfId="57" applyNumberFormat="1" applyFont="1" applyFill="1" applyBorder="1" applyAlignment="1">
      <alignment horizontal="center"/>
    </xf>
    <xf numFmtId="43" fontId="141" fillId="0" borderId="0" xfId="1277" applyFont="1" applyFill="1" applyBorder="1"/>
    <xf numFmtId="15" fontId="141" fillId="0" borderId="0" xfId="1070" applyNumberFormat="1" applyFont="1" applyFill="1" applyBorder="1" applyAlignment="1">
      <alignment horizontal="left"/>
    </xf>
    <xf numFmtId="0" fontId="266" fillId="0" borderId="0" xfId="0" applyFont="1"/>
    <xf numFmtId="0" fontId="265" fillId="0" borderId="176" xfId="830" applyFont="1" applyBorder="1" applyAlignment="1">
      <alignment horizontal="center"/>
    </xf>
    <xf numFmtId="0" fontId="265" fillId="0" borderId="291" xfId="830" applyFont="1" applyBorder="1" applyAlignment="1">
      <alignment horizontal="center"/>
    </xf>
    <xf numFmtId="49" fontId="265" fillId="0" borderId="57" xfId="124" applyNumberFormat="1" applyFont="1" applyBorder="1"/>
    <xf numFmtId="0" fontId="265" fillId="0" borderId="0" xfId="0" applyFont="1"/>
    <xf numFmtId="49" fontId="266" fillId="0" borderId="57" xfId="124" applyNumberFormat="1" applyFont="1" applyBorder="1" applyAlignment="1">
      <alignment horizontal="left" indent="2"/>
    </xf>
    <xf numFmtId="172" fontId="266" fillId="0" borderId="252" xfId="57" applyNumberFormat="1" applyFont="1" applyFill="1" applyBorder="1" applyAlignment="1">
      <alignment horizontal="center"/>
    </xf>
    <xf numFmtId="175" fontId="266" fillId="0" borderId="252" xfId="57" applyNumberFormat="1" applyFont="1" applyFill="1" applyBorder="1" applyAlignment="1">
      <alignment horizontal="center"/>
    </xf>
    <xf numFmtId="175" fontId="266" fillId="0" borderId="252" xfId="0" applyNumberFormat="1" applyFont="1" applyBorder="1" applyAlignment="1">
      <alignment horizontal="center"/>
    </xf>
    <xf numFmtId="0" fontId="266" fillId="0" borderId="252" xfId="0" applyFont="1" applyBorder="1" applyAlignment="1">
      <alignment horizontal="center"/>
    </xf>
    <xf numFmtId="0" fontId="265" fillId="0" borderId="57" xfId="830" applyFont="1" applyBorder="1" applyAlignment="1">
      <alignment vertical="center"/>
    </xf>
    <xf numFmtId="49" fontId="266" fillId="0" borderId="57" xfId="124" applyNumberFormat="1" applyFont="1" applyBorder="1" applyAlignment="1">
      <alignment horizontal="left" indent="3"/>
    </xf>
    <xf numFmtId="175" fontId="265" fillId="0" borderId="252" xfId="57" applyNumberFormat="1" applyFont="1" applyFill="1" applyBorder="1" applyAlignment="1">
      <alignment horizontal="center"/>
    </xf>
    <xf numFmtId="178" fontId="267" fillId="0" borderId="308" xfId="1070" applyNumberFormat="1" applyFont="1" applyFill="1" applyBorder="1" applyAlignment="1"/>
    <xf numFmtId="175" fontId="266" fillId="0" borderId="357" xfId="57" applyNumberFormat="1" applyFont="1" applyFill="1" applyBorder="1" applyAlignment="1">
      <alignment horizontal="center"/>
    </xf>
    <xf numFmtId="175" fontId="266" fillId="0" borderId="0" xfId="57" applyNumberFormat="1" applyFont="1" applyFill="1" applyBorder="1" applyAlignment="1">
      <alignment horizontal="center"/>
    </xf>
    <xf numFmtId="172" fontId="142" fillId="0" borderId="360" xfId="57" applyNumberFormat="1" applyFont="1" applyFill="1" applyBorder="1" applyAlignment="1">
      <alignment horizontal="center"/>
    </xf>
    <xf numFmtId="171" fontId="140" fillId="0" borderId="0" xfId="149" applyNumberFormat="1" applyFont="1" applyFill="1" applyBorder="1"/>
    <xf numFmtId="171" fontId="121" fillId="0" borderId="0" xfId="149" applyNumberFormat="1" applyFont="1" applyFill="1" applyBorder="1"/>
    <xf numFmtId="171" fontId="121" fillId="0" borderId="0" xfId="149" applyNumberFormat="1" applyFont="1" applyFill="1"/>
    <xf numFmtId="9" fontId="140" fillId="0" borderId="0" xfId="149" applyFont="1" applyFill="1"/>
    <xf numFmtId="171" fontId="120" fillId="0" borderId="329" xfId="149" applyNumberFormat="1" applyFont="1" applyFill="1" applyBorder="1" applyAlignment="1">
      <alignment horizontal="center"/>
    </xf>
    <xf numFmtId="171" fontId="120" fillId="0" borderId="347" xfId="149" applyNumberFormat="1" applyFont="1" applyFill="1" applyBorder="1" applyAlignment="1">
      <alignment horizontal="center"/>
    </xf>
    <xf numFmtId="171" fontId="225" fillId="0" borderId="346" xfId="149" applyNumberFormat="1" applyFont="1" applyFill="1" applyBorder="1" applyAlignment="1">
      <alignment horizontal="center"/>
    </xf>
    <xf numFmtId="0" fontId="243" fillId="0" borderId="0" xfId="0" applyFont="1"/>
    <xf numFmtId="0" fontId="243" fillId="0" borderId="178" xfId="0" applyFont="1" applyBorder="1" applyAlignment="1">
      <alignment horizontal="center"/>
    </xf>
    <xf numFmtId="0" fontId="243" fillId="0" borderId="0" xfId="0" applyFont="1" applyAlignment="1">
      <alignment horizontal="center"/>
    </xf>
    <xf numFmtId="0" fontId="255" fillId="0" borderId="178" xfId="0" applyFont="1" applyBorder="1" applyAlignment="1">
      <alignment horizontal="center"/>
    </xf>
    <xf numFmtId="0" fontId="256" fillId="0" borderId="178" xfId="0" applyFont="1" applyBorder="1"/>
    <xf numFmtId="0" fontId="256" fillId="0" borderId="178" xfId="0" applyFont="1" applyBorder="1" applyAlignment="1">
      <alignment horizontal="center"/>
    </xf>
    <xf numFmtId="0" fontId="256" fillId="0" borderId="116" xfId="0" applyFont="1" applyBorder="1" applyAlignment="1">
      <alignment horizontal="center"/>
    </xf>
    <xf numFmtId="3" fontId="255" fillId="0" borderId="24" xfId="0" applyNumberFormat="1" applyFont="1" applyBorder="1" applyAlignment="1">
      <alignment horizontal="center"/>
    </xf>
    <xf numFmtId="3" fontId="255" fillId="0" borderId="116" xfId="0" applyNumberFormat="1" applyFont="1" applyBorder="1" applyAlignment="1">
      <alignment horizontal="center"/>
    </xf>
    <xf numFmtId="0" fontId="255" fillId="0" borderId="116" xfId="0" applyFont="1" applyBorder="1" applyAlignment="1">
      <alignment horizontal="center"/>
    </xf>
    <xf numFmtId="0" fontId="255" fillId="0" borderId="0" xfId="0" applyFont="1" applyAlignment="1">
      <alignment horizontal="center"/>
    </xf>
    <xf numFmtId="3" fontId="255" fillId="0" borderId="0" xfId="0" applyNumberFormat="1" applyFont="1" applyAlignment="1">
      <alignment horizontal="center"/>
    </xf>
    <xf numFmtId="0" fontId="258" fillId="0" borderId="0" xfId="0" applyFont="1"/>
    <xf numFmtId="3" fontId="272" fillId="0" borderId="116" xfId="0" applyNumberFormat="1" applyFont="1" applyBorder="1" applyAlignment="1">
      <alignment horizontal="center"/>
    </xf>
    <xf numFmtId="0" fontId="272" fillId="0" borderId="116" xfId="0" applyFont="1" applyBorder="1" applyAlignment="1">
      <alignment horizontal="center"/>
    </xf>
    <xf numFmtId="3" fontId="272" fillId="0" borderId="24" xfId="0" applyNumberFormat="1" applyFont="1" applyBorder="1" applyAlignment="1">
      <alignment horizontal="center"/>
    </xf>
    <xf numFmtId="0" fontId="272" fillId="0" borderId="0" xfId="0" applyFont="1"/>
    <xf numFmtId="3" fontId="272" fillId="0" borderId="0" xfId="0" applyNumberFormat="1" applyFont="1" applyAlignment="1">
      <alignment horizontal="center"/>
    </xf>
    <xf numFmtId="0" fontId="272" fillId="0" borderId="56" xfId="0" applyFont="1" applyBorder="1" applyAlignment="1">
      <alignment horizontal="center"/>
    </xf>
    <xf numFmtId="0" fontId="272" fillId="0" borderId="0" xfId="0" applyFont="1" applyAlignment="1">
      <alignment horizontal="center"/>
    </xf>
    <xf numFmtId="2" fontId="272" fillId="0" borderId="56" xfId="0" applyNumberFormat="1" applyFont="1" applyBorder="1" applyAlignment="1">
      <alignment horizontal="center"/>
    </xf>
    <xf numFmtId="0" fontId="272" fillId="0" borderId="90" xfId="0" applyFont="1" applyBorder="1" applyAlignment="1">
      <alignment horizontal="center"/>
    </xf>
    <xf numFmtId="0" fontId="272" fillId="0" borderId="24" xfId="0" applyFont="1" applyBorder="1"/>
    <xf numFmtId="0" fontId="272" fillId="0" borderId="219" xfId="124" applyFont="1" applyBorder="1" applyAlignment="1">
      <alignment horizontal="center"/>
    </xf>
    <xf numFmtId="3" fontId="272" fillId="0" borderId="219" xfId="124" applyNumberFormat="1" applyFont="1" applyBorder="1" applyAlignment="1">
      <alignment horizontal="center"/>
    </xf>
    <xf numFmtId="3" fontId="272" fillId="0" borderId="219" xfId="0" applyNumberFormat="1" applyFont="1" applyBorder="1" applyAlignment="1">
      <alignment horizontal="center"/>
    </xf>
    <xf numFmtId="0" fontId="272" fillId="0" borderId="116" xfId="124" applyFont="1" applyBorder="1" applyAlignment="1">
      <alignment horizontal="center"/>
    </xf>
    <xf numFmtId="3" fontId="272" fillId="0" borderId="0" xfId="124" applyNumberFormat="1" applyFont="1" applyAlignment="1">
      <alignment horizontal="center"/>
    </xf>
    <xf numFmtId="0" fontId="273" fillId="0" borderId="407" xfId="0" applyFont="1" applyBorder="1"/>
    <xf numFmtId="0" fontId="272" fillId="0" borderId="321" xfId="0" applyFont="1" applyBorder="1"/>
    <xf numFmtId="0" fontId="272" fillId="0" borderId="321" xfId="0" applyFont="1" applyBorder="1" applyAlignment="1">
      <alignment horizontal="center"/>
    </xf>
    <xf numFmtId="0" fontId="272" fillId="0" borderId="407" xfId="0" applyFont="1" applyBorder="1" applyAlignment="1">
      <alignment horizontal="center"/>
    </xf>
    <xf numFmtId="0" fontId="150" fillId="0" borderId="0" xfId="128" applyFont="1"/>
    <xf numFmtId="0" fontId="151" fillId="0" borderId="178" xfId="128" applyFont="1" applyBorder="1" applyAlignment="1">
      <alignment horizontal="center"/>
    </xf>
    <xf numFmtId="0" fontId="151" fillId="0" borderId="178" xfId="128" applyFont="1" applyBorder="1"/>
    <xf numFmtId="0" fontId="150" fillId="0" borderId="178" xfId="128" applyFont="1" applyBorder="1" applyAlignment="1">
      <alignment horizontal="center"/>
    </xf>
    <xf numFmtId="0" fontId="151" fillId="0" borderId="158" xfId="128" applyFont="1" applyBorder="1" applyAlignment="1">
      <alignment horizontal="center"/>
    </xf>
    <xf numFmtId="0" fontId="151" fillId="0" borderId="92" xfId="128" applyFont="1" applyBorder="1" applyAlignment="1">
      <alignment horizontal="center"/>
    </xf>
    <xf numFmtId="0" fontId="151" fillId="0" borderId="107" xfId="128" applyFont="1" applyBorder="1" applyAlignment="1">
      <alignment horizontal="center"/>
    </xf>
    <xf numFmtId="0" fontId="151" fillId="0" borderId="164" xfId="128" applyFont="1" applyBorder="1" applyAlignment="1">
      <alignment horizontal="center"/>
    </xf>
    <xf numFmtId="0" fontId="151" fillId="0" borderId="56" xfId="128" applyFont="1" applyBorder="1" applyAlignment="1">
      <alignment horizontal="center"/>
    </xf>
    <xf numFmtId="0" fontId="150" fillId="0" borderId="116" xfId="128" applyFont="1" applyBorder="1" applyAlignment="1">
      <alignment horizontal="center"/>
    </xf>
    <xf numFmtId="0" fontId="150" fillId="0" borderId="24" xfId="128" applyFont="1" applyBorder="1" applyAlignment="1">
      <alignment horizontal="center"/>
    </xf>
    <xf numFmtId="0" fontId="150" fillId="0" borderId="116" xfId="128" applyFont="1" applyBorder="1" applyAlignment="1">
      <alignment horizontal="center" vertical="center"/>
    </xf>
    <xf numFmtId="3" fontId="150" fillId="0" borderId="116" xfId="128" applyNumberFormat="1" applyFont="1" applyBorder="1" applyAlignment="1">
      <alignment horizontal="center" vertical="center"/>
    </xf>
    <xf numFmtId="3" fontId="150" fillId="0" borderId="0" xfId="128" applyNumberFormat="1" applyFont="1" applyAlignment="1">
      <alignment horizontal="center" vertical="center"/>
    </xf>
    <xf numFmtId="0" fontId="150" fillId="0" borderId="116" xfId="124" applyFont="1" applyBorder="1" applyAlignment="1">
      <alignment horizontal="center" vertical="center"/>
    </xf>
    <xf numFmtId="3" fontId="150" fillId="0" borderId="24" xfId="128" applyNumberFormat="1" applyFont="1" applyBorder="1" applyAlignment="1">
      <alignment horizontal="center" vertical="center"/>
    </xf>
    <xf numFmtId="0" fontId="150" fillId="0" borderId="90" xfId="128" applyFont="1" applyBorder="1" applyAlignment="1">
      <alignment horizontal="center"/>
    </xf>
    <xf numFmtId="0" fontId="150" fillId="0" borderId="24" xfId="128" applyFont="1" applyBorder="1"/>
    <xf numFmtId="0" fontId="150" fillId="0" borderId="0" xfId="128" applyFont="1" applyAlignment="1">
      <alignment horizontal="center" vertical="center"/>
    </xf>
    <xf numFmtId="3" fontId="150" fillId="0" borderId="219" xfId="128" applyNumberFormat="1" applyFont="1" applyBorder="1" applyAlignment="1">
      <alignment horizontal="center" vertical="center"/>
    </xf>
    <xf numFmtId="0" fontId="150" fillId="0" borderId="219" xfId="128" applyFont="1" applyBorder="1" applyAlignment="1">
      <alignment horizontal="center" vertical="center"/>
    </xf>
    <xf numFmtId="0" fontId="150" fillId="0" borderId="56" xfId="128" applyFont="1" applyBorder="1"/>
    <xf numFmtId="0" fontId="150" fillId="0" borderId="308" xfId="128" applyFont="1" applyBorder="1" applyAlignment="1">
      <alignment horizontal="center"/>
    </xf>
    <xf numFmtId="0" fontId="150" fillId="0" borderId="0" xfId="128" applyFont="1" applyAlignment="1">
      <alignment horizontal="center"/>
    </xf>
    <xf numFmtId="175" fontId="243" fillId="0" borderId="0" xfId="0" applyNumberFormat="1" applyFont="1" applyAlignment="1">
      <alignment horizontal="center"/>
    </xf>
    <xf numFmtId="175" fontId="243" fillId="0" borderId="116" xfId="0" applyNumberFormat="1" applyFont="1" applyBorder="1" applyAlignment="1">
      <alignment horizontal="center"/>
    </xf>
    <xf numFmtId="0" fontId="243" fillId="0" borderId="311" xfId="0" applyFont="1" applyBorder="1"/>
    <xf numFmtId="0" fontId="243" fillId="0" borderId="357" xfId="0" applyFont="1" applyBorder="1" applyAlignment="1">
      <alignment horizontal="center"/>
    </xf>
    <xf numFmtId="175" fontId="243" fillId="0" borderId="357" xfId="0" applyNumberFormat="1" applyFont="1" applyBorder="1" applyAlignment="1">
      <alignment horizontal="center"/>
    </xf>
    <xf numFmtId="0" fontId="243" fillId="0" borderId="381" xfId="0" applyFont="1" applyBorder="1" applyAlignment="1">
      <alignment horizontal="center"/>
    </xf>
    <xf numFmtId="0" fontId="244" fillId="0" borderId="0" xfId="0" applyFont="1"/>
    <xf numFmtId="0" fontId="244" fillId="0" borderId="0" xfId="0" applyFont="1" applyAlignment="1">
      <alignment horizontal="center"/>
    </xf>
    <xf numFmtId="0" fontId="244" fillId="0" borderId="217" xfId="0" applyFont="1" applyBorder="1"/>
    <xf numFmtId="0" fontId="243" fillId="0" borderId="178" xfId="0" applyFont="1" applyBorder="1"/>
    <xf numFmtId="0" fontId="242" fillId="0" borderId="56" xfId="0" applyFont="1" applyBorder="1"/>
    <xf numFmtId="0" fontId="242" fillId="0" borderId="0" xfId="0" applyFont="1"/>
    <xf numFmtId="0" fontId="242" fillId="0" borderId="56" xfId="0" applyFont="1" applyBorder="1" applyAlignment="1">
      <alignment vertical="center" wrapText="1"/>
    </xf>
    <xf numFmtId="4" fontId="151" fillId="0" borderId="0" xfId="1446" applyNumberFormat="1" applyFont="1" applyAlignment="1">
      <alignment horizontal="center"/>
    </xf>
    <xf numFmtId="4" fontId="172" fillId="0" borderId="0" xfId="1446" applyNumberFormat="1" applyFont="1" applyAlignment="1">
      <alignment horizontal="left" wrapText="1"/>
    </xf>
    <xf numFmtId="4" fontId="160" fillId="0" borderId="407" xfId="1446" applyNumberFormat="1" applyFont="1" applyBorder="1" applyAlignment="1">
      <alignment horizontal="left"/>
    </xf>
    <xf numFmtId="4" fontId="151" fillId="0" borderId="116" xfId="1446" applyNumberFormat="1" applyFont="1" applyBorder="1" applyAlignment="1">
      <alignment horizontal="center"/>
    </xf>
    <xf numFmtId="4" fontId="151" fillId="0" borderId="90" xfId="1446" applyNumberFormat="1" applyFont="1" applyBorder="1" applyAlignment="1">
      <alignment horizontal="center"/>
    </xf>
    <xf numFmtId="172" fontId="150" fillId="0" borderId="116" xfId="1446" applyNumberFormat="1" applyFont="1" applyBorder="1" applyAlignment="1">
      <alignment horizontal="left"/>
    </xf>
    <xf numFmtId="172" fontId="150" fillId="0" borderId="252" xfId="1446" applyNumberFormat="1" applyFont="1" applyBorder="1" applyAlignment="1">
      <alignment horizontal="center" vertical="center"/>
    </xf>
    <xf numFmtId="4" fontId="150" fillId="0" borderId="90" xfId="1446" applyNumberFormat="1" applyFont="1" applyBorder="1" applyAlignment="1">
      <alignment horizontal="left" vertical="center"/>
    </xf>
    <xf numFmtId="172" fontId="150" fillId="0" borderId="116" xfId="1446" applyNumberFormat="1" applyFont="1" applyBorder="1" applyAlignment="1">
      <alignment horizontal="center" vertical="center"/>
    </xf>
    <xf numFmtId="4" fontId="151" fillId="0" borderId="411" xfId="1446" applyNumberFormat="1" applyFont="1" applyBorder="1" applyAlignment="1">
      <alignment horizontal="left"/>
    </xf>
    <xf numFmtId="172" fontId="0" fillId="0" borderId="116" xfId="0" applyNumberFormat="1" applyBorder="1"/>
    <xf numFmtId="172" fontId="0" fillId="0" borderId="331" xfId="0" applyNumberFormat="1" applyBorder="1"/>
    <xf numFmtId="0" fontId="167" fillId="0" borderId="56" xfId="182" applyFont="1" applyBorder="1"/>
    <xf numFmtId="0" fontId="168" fillId="32" borderId="311" xfId="122" applyFont="1" applyFill="1" applyBorder="1" applyAlignment="1">
      <alignment horizontal="center" vertical="center"/>
    </xf>
    <xf numFmtId="0" fontId="168" fillId="0" borderId="346" xfId="122" applyFont="1" applyBorder="1" applyAlignment="1">
      <alignment horizontal="center" vertical="center"/>
    </xf>
    <xf numFmtId="171" fontId="150" fillId="0" borderId="24" xfId="149" applyNumberFormat="1" applyFont="1" applyFill="1" applyBorder="1" applyAlignment="1">
      <alignment horizontal="left"/>
    </xf>
    <xf numFmtId="171" fontId="150" fillId="0" borderId="0" xfId="149" applyNumberFormat="1" applyFont="1" applyFill="1" applyBorder="1" applyAlignment="1">
      <alignment horizontal="left"/>
    </xf>
    <xf numFmtId="171" fontId="150" fillId="0" borderId="90" xfId="149" applyNumberFormat="1" applyFont="1" applyFill="1" applyBorder="1" applyAlignment="1">
      <alignment horizontal="left"/>
    </xf>
    <xf numFmtId="172" fontId="0" fillId="0" borderId="252" xfId="0" applyNumberFormat="1" applyBorder="1"/>
    <xf numFmtId="0" fontId="138" fillId="0" borderId="0" xfId="122" applyFont="1"/>
    <xf numFmtId="1" fontId="167" fillId="0" borderId="116" xfId="122" applyNumberFormat="1" applyFont="1" applyBorder="1" applyAlignment="1">
      <alignment horizontal="center" vertical="center"/>
    </xf>
    <xf numFmtId="3" fontId="167" fillId="0" borderId="292" xfId="57" applyNumberFormat="1" applyFont="1" applyFill="1" applyBorder="1" applyAlignment="1" applyProtection="1">
      <alignment horizontal="center" vertical="center"/>
    </xf>
    <xf numFmtId="3" fontId="167" fillId="0" borderId="0" xfId="57" applyNumberFormat="1" applyFont="1" applyBorder="1" applyAlignment="1">
      <alignment horizontal="center"/>
    </xf>
    <xf numFmtId="3" fontId="168" fillId="0" borderId="167" xfId="57" applyNumberFormat="1" applyFont="1" applyFill="1" applyBorder="1" applyAlignment="1" applyProtection="1">
      <alignment horizontal="center" vertical="center"/>
    </xf>
    <xf numFmtId="3" fontId="167" fillId="0" borderId="252" xfId="57" applyNumberFormat="1" applyFont="1" applyFill="1" applyBorder="1" applyAlignment="1" applyProtection="1">
      <alignment horizontal="center" vertical="center"/>
    </xf>
    <xf numFmtId="3" fontId="168" fillId="0" borderId="69" xfId="57" applyNumberFormat="1" applyFont="1" applyFill="1" applyBorder="1" applyAlignment="1" applyProtection="1">
      <alignment horizontal="center" vertical="center"/>
    </xf>
    <xf numFmtId="3" fontId="167" fillId="0" borderId="116" xfId="57" applyNumberFormat="1" applyFont="1" applyFill="1" applyBorder="1" applyAlignment="1" applyProtection="1">
      <alignment horizontal="center" vertical="center"/>
    </xf>
    <xf numFmtId="3" fontId="167" fillId="0" borderId="116" xfId="57" applyNumberFormat="1" applyFont="1" applyBorder="1" applyAlignment="1">
      <alignment horizontal="center"/>
    </xf>
    <xf numFmtId="3" fontId="167" fillId="0" borderId="0" xfId="57" applyNumberFormat="1" applyFont="1" applyFill="1" applyBorder="1" applyAlignment="1" applyProtection="1">
      <alignment horizontal="center" vertical="center"/>
    </xf>
    <xf numFmtId="3" fontId="173" fillId="0" borderId="0" xfId="57" applyNumberFormat="1" applyFont="1" applyFill="1" applyBorder="1" applyAlignment="1" applyProtection="1">
      <alignment horizontal="center" vertical="center"/>
    </xf>
    <xf numFmtId="3" fontId="173" fillId="0" borderId="116" xfId="57" applyNumberFormat="1" applyFont="1" applyFill="1" applyBorder="1" applyAlignment="1" applyProtection="1">
      <alignment horizontal="center" vertical="center"/>
    </xf>
    <xf numFmtId="3" fontId="173" fillId="0" borderId="116" xfId="57" applyNumberFormat="1" applyFont="1" applyBorder="1" applyAlignment="1">
      <alignment horizontal="center"/>
    </xf>
    <xf numFmtId="3" fontId="177" fillId="0" borderId="24" xfId="57" applyNumberFormat="1" applyFont="1" applyFill="1" applyBorder="1" applyAlignment="1" applyProtection="1">
      <alignment horizontal="center" vertical="center"/>
    </xf>
    <xf numFmtId="3" fontId="168" fillId="0" borderId="396" xfId="57" applyNumberFormat="1" applyFont="1" applyFill="1" applyBorder="1" applyAlignment="1" applyProtection="1">
      <alignment horizontal="center" vertical="center"/>
    </xf>
    <xf numFmtId="3" fontId="167" fillId="0" borderId="329" xfId="57" applyNumberFormat="1" applyFont="1" applyFill="1" applyBorder="1" applyAlignment="1" applyProtection="1">
      <alignment horizontal="center" vertical="center"/>
    </xf>
    <xf numFmtId="3" fontId="167" fillId="0" borderId="330" xfId="57" applyNumberFormat="1" applyFont="1" applyFill="1" applyBorder="1" applyAlignment="1" applyProtection="1">
      <alignment horizontal="center" vertical="center"/>
    </xf>
    <xf numFmtId="3" fontId="168" fillId="0" borderId="24" xfId="57" applyNumberFormat="1" applyFont="1" applyFill="1" applyBorder="1" applyAlignment="1" applyProtection="1">
      <alignment horizontal="center" vertical="center"/>
    </xf>
    <xf numFmtId="3" fontId="167" fillId="0" borderId="116" xfId="2882" applyNumberFormat="1" applyFont="1" applyFill="1" applyBorder="1" applyAlignment="1" applyProtection="1">
      <alignment horizontal="center" vertical="center"/>
    </xf>
    <xf numFmtId="3" fontId="167" fillId="0" borderId="252" xfId="2882" applyNumberFormat="1" applyFont="1" applyFill="1" applyBorder="1" applyAlignment="1" applyProtection="1">
      <alignment horizontal="center" vertical="center"/>
    </xf>
    <xf numFmtId="3" fontId="167" fillId="0" borderId="357" xfId="2882" applyNumberFormat="1" applyFont="1" applyFill="1" applyBorder="1" applyAlignment="1" applyProtection="1">
      <alignment horizontal="center" vertical="center"/>
    </xf>
    <xf numFmtId="3" fontId="168" fillId="0" borderId="114" xfId="57" applyNumberFormat="1" applyFont="1" applyFill="1" applyBorder="1" applyAlignment="1" applyProtection="1">
      <alignment horizontal="center" vertical="center"/>
    </xf>
    <xf numFmtId="0" fontId="151" fillId="0" borderId="359" xfId="0" applyFont="1" applyBorder="1" applyAlignment="1">
      <alignment horizontal="center"/>
    </xf>
    <xf numFmtId="172" fontId="150" fillId="29" borderId="57" xfId="1277" applyNumberFormat="1" applyFont="1" applyFill="1" applyBorder="1" applyAlignment="1">
      <alignment horizontal="center" vertical="center"/>
    </xf>
    <xf numFmtId="175" fontId="150" fillId="0" borderId="0" xfId="1317" applyNumberFormat="1" applyFont="1" applyAlignment="1">
      <alignment horizontal="center"/>
    </xf>
    <xf numFmtId="172" fontId="150" fillId="29" borderId="57" xfId="1317" applyNumberFormat="1" applyFont="1" applyFill="1" applyBorder="1" applyAlignment="1">
      <alignment horizontal="center" vertical="center"/>
    </xf>
    <xf numFmtId="175" fontId="150" fillId="0" borderId="330" xfId="1317" applyNumberFormat="1" applyFont="1" applyBorder="1" applyAlignment="1">
      <alignment horizontal="center"/>
    </xf>
    <xf numFmtId="172" fontId="150" fillId="29" borderId="56" xfId="1317" applyNumberFormat="1" applyFont="1" applyFill="1" applyBorder="1" applyAlignment="1">
      <alignment horizontal="center" vertical="center"/>
    </xf>
    <xf numFmtId="10" fontId="150" fillId="0" borderId="0" xfId="0" applyNumberFormat="1" applyFont="1" applyAlignment="1">
      <alignment horizontal="center" vertical="center"/>
    </xf>
    <xf numFmtId="171" fontId="150" fillId="32" borderId="0" xfId="0" applyNumberFormat="1" applyFont="1" applyFill="1" applyAlignment="1">
      <alignment horizontal="center" vertical="center"/>
    </xf>
    <xf numFmtId="43" fontId="150" fillId="0" borderId="407" xfId="1317" applyNumberFormat="1" applyFont="1" applyBorder="1" applyAlignment="1">
      <alignment vertical="center"/>
    </xf>
    <xf numFmtId="44" fontId="150" fillId="0" borderId="407" xfId="1317" applyNumberFormat="1" applyFont="1" applyBorder="1" applyAlignment="1">
      <alignment vertical="center"/>
    </xf>
    <xf numFmtId="171" fontId="150" fillId="0" borderId="407" xfId="1317" applyNumberFormat="1" applyFont="1" applyBorder="1" applyAlignment="1">
      <alignment horizontal="center" vertical="center"/>
    </xf>
    <xf numFmtId="10" fontId="150" fillId="0" borderId="407" xfId="1317" applyNumberFormat="1" applyFont="1" applyBorder="1" applyAlignment="1">
      <alignment horizontal="center" vertical="center"/>
    </xf>
    <xf numFmtId="175" fontId="150" fillId="0" borderId="359" xfId="1317" applyNumberFormat="1" applyFont="1" applyBorder="1" applyAlignment="1">
      <alignment horizontal="center"/>
    </xf>
    <xf numFmtId="172" fontId="155" fillId="29" borderId="308" xfId="1317" applyNumberFormat="1" applyFont="1" applyFill="1" applyBorder="1" applyAlignment="1">
      <alignment horizontal="center" vertical="center"/>
    </xf>
    <xf numFmtId="172" fontId="150" fillId="29" borderId="308" xfId="1317" applyNumberFormat="1" applyFont="1" applyFill="1" applyBorder="1" applyAlignment="1">
      <alignment horizontal="center" vertical="center"/>
    </xf>
    <xf numFmtId="175" fontId="150" fillId="29" borderId="308" xfId="1317" applyNumberFormat="1" applyFont="1" applyFill="1" applyBorder="1" applyAlignment="1">
      <alignment horizontal="center" vertical="center"/>
    </xf>
    <xf numFmtId="171" fontId="150" fillId="29" borderId="56" xfId="0" applyNumberFormat="1" applyFont="1" applyFill="1" applyBorder="1" applyAlignment="1">
      <alignment horizontal="center" vertical="center"/>
    </xf>
    <xf numFmtId="171" fontId="150" fillId="0" borderId="330" xfId="0" applyNumberFormat="1" applyFont="1" applyBorder="1" applyAlignment="1">
      <alignment horizontal="center" vertical="center"/>
    </xf>
    <xf numFmtId="0" fontId="160" fillId="0" borderId="56" xfId="1317" applyFont="1" applyBorder="1" applyAlignment="1">
      <alignment vertical="center"/>
    </xf>
    <xf numFmtId="43" fontId="151" fillId="0" borderId="0" xfId="1317" applyNumberFormat="1" applyFont="1" applyAlignment="1">
      <alignment vertical="center"/>
    </xf>
    <xf numFmtId="44" fontId="151" fillId="0" borderId="0" xfId="1317" applyNumberFormat="1" applyFont="1" applyAlignment="1">
      <alignment vertical="center"/>
    </xf>
    <xf numFmtId="171" fontId="151" fillId="0" borderId="0" xfId="1317" applyNumberFormat="1" applyFont="1" applyAlignment="1">
      <alignment horizontal="center" vertical="center"/>
    </xf>
    <xf numFmtId="10" fontId="151" fillId="0" borderId="0" xfId="1317" applyNumberFormat="1" applyFont="1" applyAlignment="1">
      <alignment horizontal="center" vertical="center"/>
    </xf>
    <xf numFmtId="172" fontId="155" fillId="29" borderId="116" xfId="1317" applyNumberFormat="1" applyFont="1" applyFill="1" applyBorder="1" applyAlignment="1">
      <alignment horizontal="center" vertical="center"/>
    </xf>
    <xf numFmtId="0" fontId="189" fillId="0" borderId="68" xfId="1317" applyFont="1" applyBorder="1" applyAlignment="1">
      <alignment vertical="center"/>
    </xf>
    <xf numFmtId="172" fontId="151" fillId="29" borderId="176" xfId="1277" applyNumberFormat="1" applyFont="1" applyFill="1" applyBorder="1" applyAlignment="1">
      <alignment horizontal="center" vertical="center"/>
    </xf>
    <xf numFmtId="175" fontId="151" fillId="0" borderId="347" xfId="1317" applyNumberFormat="1" applyFont="1" applyBorder="1" applyAlignment="1">
      <alignment horizontal="center"/>
    </xf>
    <xf numFmtId="172" fontId="151" fillId="29" borderId="174" xfId="1317" applyNumberFormat="1" applyFont="1" applyFill="1" applyBorder="1" applyAlignment="1">
      <alignment horizontal="center" vertical="center"/>
    </xf>
    <xf numFmtId="175" fontId="151" fillId="0" borderId="190" xfId="1317" applyNumberFormat="1" applyFont="1" applyBorder="1" applyAlignment="1">
      <alignment horizontal="center"/>
    </xf>
    <xf numFmtId="172" fontId="152" fillId="29" borderId="176" xfId="1317" applyNumberFormat="1" applyFont="1" applyFill="1" applyBorder="1" applyAlignment="1">
      <alignment horizontal="center" vertical="center"/>
    </xf>
    <xf numFmtId="172" fontId="151" fillId="29" borderId="176" xfId="1317" applyNumberFormat="1" applyFont="1" applyFill="1" applyBorder="1" applyAlignment="1">
      <alignment horizontal="center" vertical="center"/>
    </xf>
    <xf numFmtId="171" fontId="150" fillId="0" borderId="410" xfId="0" applyNumberFormat="1" applyFont="1" applyBorder="1" applyAlignment="1">
      <alignment horizontal="center" vertical="center"/>
    </xf>
    <xf numFmtId="171" fontId="150" fillId="29" borderId="293" xfId="0" applyNumberFormat="1" applyFont="1" applyFill="1" applyBorder="1" applyAlignment="1">
      <alignment horizontal="center" vertical="center"/>
    </xf>
    <xf numFmtId="171" fontId="150" fillId="0" borderId="190" xfId="0" applyNumberFormat="1" applyFont="1" applyBorder="1" applyAlignment="1">
      <alignment horizontal="center" vertical="center"/>
    </xf>
    <xf numFmtId="0" fontId="151" fillId="0" borderId="210" xfId="0" applyFont="1" applyBorder="1" applyAlignment="1">
      <alignment vertical="center"/>
    </xf>
    <xf numFmtId="172" fontId="151" fillId="29" borderId="421" xfId="0" applyNumberFormat="1" applyFont="1" applyFill="1" applyBorder="1" applyAlignment="1">
      <alignment horizontal="center" vertical="center"/>
    </xf>
    <xf numFmtId="172" fontId="151" fillId="0" borderId="422" xfId="0" applyNumberFormat="1" applyFont="1" applyBorder="1" applyAlignment="1">
      <alignment horizontal="center" vertical="center"/>
    </xf>
    <xf numFmtId="172" fontId="151" fillId="29" borderId="411" xfId="0" applyNumberFormat="1" applyFont="1" applyFill="1" applyBorder="1" applyAlignment="1">
      <alignment horizontal="center" vertical="center"/>
    </xf>
    <xf numFmtId="172" fontId="151" fillId="0" borderId="423" xfId="0" applyNumberFormat="1" applyFont="1" applyBorder="1" applyAlignment="1">
      <alignment horizontal="center" vertical="center"/>
    </xf>
    <xf numFmtId="171" fontId="150" fillId="29" borderId="174" xfId="0" applyNumberFormat="1" applyFont="1" applyFill="1" applyBorder="1" applyAlignment="1">
      <alignment horizontal="center" vertical="center"/>
    </xf>
    <xf numFmtId="171" fontId="150" fillId="29" borderId="102" xfId="0" applyNumberFormat="1" applyFont="1" applyFill="1" applyBorder="1" applyAlignment="1">
      <alignment horizontal="center" vertical="center"/>
    </xf>
    <xf numFmtId="171" fontId="150" fillId="0" borderId="348" xfId="0" applyNumberFormat="1" applyFont="1" applyBorder="1" applyAlignment="1">
      <alignment horizontal="center" vertical="center"/>
    </xf>
    <xf numFmtId="171" fontId="150" fillId="0" borderId="424" xfId="0" applyNumberFormat="1" applyFont="1" applyBorder="1" applyAlignment="1">
      <alignment horizontal="center" vertical="center"/>
    </xf>
    <xf numFmtId="172" fontId="151" fillId="32" borderId="0" xfId="0" applyNumberFormat="1" applyFont="1" applyFill="1" applyAlignment="1">
      <alignment horizontal="center" vertical="center"/>
    </xf>
    <xf numFmtId="172" fontId="151" fillId="32" borderId="423" xfId="0" applyNumberFormat="1" applyFont="1" applyFill="1" applyBorder="1" applyAlignment="1">
      <alignment horizontal="center" vertical="center"/>
    </xf>
    <xf numFmtId="171" fontId="150" fillId="0" borderId="0" xfId="149" applyNumberFormat="1" applyFont="1" applyFill="1" applyBorder="1" applyAlignment="1">
      <alignment horizontal="center"/>
    </xf>
    <xf numFmtId="9" fontId="150" fillId="0" borderId="0" xfId="149" applyFont="1" applyFill="1" applyBorder="1" applyAlignment="1">
      <alignment horizontal="center" vertical="center"/>
    </xf>
    <xf numFmtId="9" fontId="123" fillId="0" borderId="0" xfId="149" applyFont="1" applyFill="1" applyBorder="1"/>
    <xf numFmtId="39" fontId="150" fillId="0" borderId="63" xfId="0" applyNumberFormat="1" applyFont="1" applyBorder="1" applyAlignment="1">
      <alignment vertical="center"/>
    </xf>
    <xf numFmtId="173" fontId="150" fillId="0" borderId="66" xfId="0" applyNumberFormat="1" applyFont="1" applyBorder="1" applyAlignment="1">
      <alignment vertical="center"/>
    </xf>
    <xf numFmtId="4" fontId="150" fillId="0" borderId="0" xfId="0" applyNumberFormat="1" applyFont="1" applyAlignment="1">
      <alignment vertical="center"/>
    </xf>
    <xf numFmtId="4" fontId="150" fillId="0" borderId="63" xfId="0" applyNumberFormat="1" applyFont="1" applyBorder="1" applyAlignment="1">
      <alignment vertical="center"/>
    </xf>
    <xf numFmtId="172" fontId="150" fillId="0" borderId="20" xfId="57" applyNumberFormat="1" applyFont="1" applyFill="1" applyBorder="1" applyAlignment="1">
      <alignment vertical="center"/>
    </xf>
    <xf numFmtId="3" fontId="150" fillId="0" borderId="64" xfId="57" applyNumberFormat="1" applyFont="1" applyFill="1" applyBorder="1" applyAlignment="1">
      <alignment vertical="center"/>
    </xf>
    <xf numFmtId="172" fontId="150" fillId="0" borderId="0" xfId="57" applyNumberFormat="1" applyFont="1" applyFill="1" applyBorder="1" applyAlignment="1">
      <alignment vertical="center"/>
    </xf>
    <xf numFmtId="3" fontId="150" fillId="0" borderId="63" xfId="57" applyNumberFormat="1" applyFont="1" applyFill="1" applyBorder="1" applyAlignment="1">
      <alignment vertical="center"/>
    </xf>
    <xf numFmtId="3" fontId="150" fillId="0" borderId="11" xfId="57" applyNumberFormat="1" applyFont="1" applyFill="1" applyBorder="1" applyAlignment="1">
      <alignment vertical="center"/>
    </xf>
    <xf numFmtId="172" fontId="150" fillId="0" borderId="11" xfId="57" applyNumberFormat="1" applyFont="1" applyFill="1" applyBorder="1" applyAlignment="1">
      <alignment vertical="center"/>
    </xf>
    <xf numFmtId="3" fontId="150" fillId="0" borderId="88" xfId="57" applyNumberFormat="1" applyFont="1" applyFill="1" applyBorder="1" applyAlignment="1">
      <alignment vertical="center"/>
    </xf>
    <xf numFmtId="172" fontId="150" fillId="0" borderId="56" xfId="57" applyNumberFormat="1" applyFont="1" applyFill="1" applyBorder="1" applyAlignment="1">
      <alignment vertical="center"/>
    </xf>
    <xf numFmtId="3" fontId="150" fillId="0" borderId="151" xfId="57" applyNumberFormat="1" applyFont="1" applyFill="1" applyBorder="1" applyAlignment="1">
      <alignment vertical="center"/>
    </xf>
    <xf numFmtId="3" fontId="150" fillId="0" borderId="148" xfId="57" applyNumberFormat="1" applyFont="1" applyFill="1" applyBorder="1" applyAlignment="1">
      <alignment vertical="center"/>
    </xf>
    <xf numFmtId="3" fontId="150" fillId="32" borderId="57" xfId="0" applyNumberFormat="1" applyFont="1" applyFill="1" applyBorder="1" applyAlignment="1">
      <alignment vertical="center"/>
    </xf>
    <xf numFmtId="3" fontId="150" fillId="32" borderId="0" xfId="0" applyNumberFormat="1" applyFont="1" applyFill="1" applyAlignment="1">
      <alignment vertical="center"/>
    </xf>
    <xf numFmtId="172" fontId="150" fillId="32" borderId="90" xfId="0" applyNumberFormat="1" applyFont="1" applyFill="1" applyBorder="1" applyAlignment="1">
      <alignment vertical="center"/>
    </xf>
    <xf numFmtId="3" fontId="150" fillId="32" borderId="134" xfId="0" applyNumberFormat="1" applyFont="1" applyFill="1" applyBorder="1" applyAlignment="1">
      <alignment vertical="center"/>
    </xf>
    <xf numFmtId="9" fontId="150" fillId="32" borderId="57" xfId="149" applyFont="1" applyFill="1" applyBorder="1" applyAlignment="1">
      <alignment vertical="center"/>
    </xf>
    <xf numFmtId="9" fontId="150" fillId="32" borderId="24" xfId="149" applyFont="1" applyFill="1" applyBorder="1" applyAlignment="1">
      <alignment vertical="center"/>
    </xf>
    <xf numFmtId="175" fontId="150" fillId="0" borderId="330" xfId="0" applyNumberFormat="1" applyFont="1" applyBorder="1" applyAlignment="1">
      <alignment horizontal="center" vertical="center"/>
    </xf>
    <xf numFmtId="49" fontId="157" fillId="0" borderId="57" xfId="124" applyNumberFormat="1" applyFont="1" applyBorder="1" applyAlignment="1">
      <alignment wrapText="1"/>
    </xf>
    <xf numFmtId="235" fontId="253" fillId="0" borderId="252" xfId="5091" applyNumberFormat="1" applyFont="1" applyBorder="1" applyAlignment="1">
      <alignment horizontal="center" vertical="center"/>
    </xf>
    <xf numFmtId="37" fontId="271" fillId="0" borderId="0" xfId="5091" applyFont="1" applyAlignment="1">
      <alignment horizontal="center" vertical="center"/>
    </xf>
    <xf numFmtId="49" fontId="157" fillId="0" borderId="57" xfId="124" applyNumberFormat="1" applyFont="1" applyBorder="1" applyAlignment="1">
      <alignment horizontal="left" vertical="center" wrapText="1"/>
    </xf>
    <xf numFmtId="228" fontId="164" fillId="26" borderId="329" xfId="57" applyNumberFormat="1" applyFont="1" applyFill="1" applyBorder="1" applyAlignment="1">
      <alignment horizontal="center"/>
    </xf>
    <xf numFmtId="3" fontId="231" fillId="0" borderId="407" xfId="57" applyNumberFormat="1" applyFont="1" applyFill="1" applyBorder="1" applyAlignment="1">
      <alignment horizontal="center"/>
    </xf>
    <xf numFmtId="0" fontId="243" fillId="0" borderId="0" xfId="122" applyFont="1" applyAlignment="1">
      <alignment horizontal="center"/>
    </xf>
    <xf numFmtId="0" fontId="248" fillId="0" borderId="10" xfId="122" applyFont="1" applyBorder="1" applyAlignment="1">
      <alignment horizontal="center"/>
    </xf>
    <xf numFmtId="0" fontId="242" fillId="0" borderId="10" xfId="122" applyFont="1" applyBorder="1" applyAlignment="1">
      <alignment horizontal="center"/>
    </xf>
    <xf numFmtId="43" fontId="242" fillId="0" borderId="10" xfId="57" applyFont="1" applyFill="1" applyBorder="1" applyAlignment="1">
      <alignment horizontal="center"/>
    </xf>
    <xf numFmtId="43" fontId="242" fillId="0" borderId="60" xfId="57" applyFont="1" applyFill="1" applyBorder="1" applyAlignment="1">
      <alignment horizontal="center"/>
    </xf>
    <xf numFmtId="43" fontId="242" fillId="0" borderId="146" xfId="57" applyFont="1" applyFill="1" applyBorder="1" applyAlignment="1">
      <alignment horizontal="center"/>
    </xf>
    <xf numFmtId="43" fontId="242" fillId="0" borderId="178" xfId="57" applyFont="1" applyFill="1" applyBorder="1" applyAlignment="1">
      <alignment horizontal="center"/>
    </xf>
    <xf numFmtId="43" fontId="242" fillId="0" borderId="209" xfId="57" applyFont="1" applyFill="1" applyBorder="1" applyAlignment="1">
      <alignment horizontal="center"/>
    </xf>
    <xf numFmtId="43" fontId="242" fillId="0" borderId="290" xfId="57" applyFont="1" applyFill="1" applyBorder="1" applyAlignment="1">
      <alignment horizontal="center"/>
    </xf>
    <xf numFmtId="0" fontId="248" fillId="0" borderId="90" xfId="122" applyFont="1" applyBorder="1"/>
    <xf numFmtId="2" fontId="242" fillId="0" borderId="252" xfId="122" applyNumberFormat="1" applyFont="1" applyBorder="1"/>
    <xf numFmtId="49" fontId="242" fillId="0" borderId="252" xfId="122" applyNumberFormat="1" applyFont="1" applyBorder="1"/>
    <xf numFmtId="2" fontId="242" fillId="0" borderId="252" xfId="122" applyNumberFormat="1" applyFont="1" applyBorder="1" applyAlignment="1">
      <alignment horizontal="center"/>
    </xf>
    <xf numFmtId="49" fontId="242" fillId="0" borderId="215" xfId="122" applyNumberFormat="1" applyFont="1" applyBorder="1" applyAlignment="1">
      <alignment horizontal="center"/>
    </xf>
    <xf numFmtId="2" fontId="242" fillId="0" borderId="215" xfId="122" applyNumberFormat="1" applyFont="1" applyBorder="1" applyAlignment="1">
      <alignment horizontal="center"/>
    </xf>
    <xf numFmtId="2" fontId="242" fillId="0" borderId="331" xfId="122" applyNumberFormat="1" applyFont="1" applyBorder="1" applyAlignment="1">
      <alignment horizontal="center"/>
    </xf>
    <xf numFmtId="2" fontId="242" fillId="32" borderId="252" xfId="122" applyNumberFormat="1" applyFont="1" applyFill="1" applyBorder="1" applyAlignment="1">
      <alignment horizontal="center"/>
    </xf>
    <xf numFmtId="2" fontId="242" fillId="32" borderId="0" xfId="122" applyNumberFormat="1" applyFont="1" applyFill="1" applyAlignment="1">
      <alignment horizontal="center"/>
    </xf>
    <xf numFmtId="2" fontId="242" fillId="32" borderId="24" xfId="122" applyNumberFormat="1" applyFont="1" applyFill="1" applyBorder="1" applyAlignment="1">
      <alignment horizontal="center"/>
    </xf>
    <xf numFmtId="0" fontId="248" fillId="0" borderId="90" xfId="143" applyFont="1" applyBorder="1"/>
    <xf numFmtId="172" fontId="242" fillId="0" borderId="252" xfId="57" applyNumberFormat="1" applyFont="1" applyFill="1" applyBorder="1" applyAlignment="1">
      <alignment horizontal="center"/>
    </xf>
    <xf numFmtId="172" fontId="248" fillId="0" borderId="252" xfId="57" applyNumberFormat="1" applyFont="1" applyFill="1" applyBorder="1" applyAlignment="1">
      <alignment horizontal="center"/>
    </xf>
    <xf numFmtId="172" fontId="248" fillId="0" borderId="331" xfId="57" applyNumberFormat="1" applyFont="1" applyFill="1" applyBorder="1" applyAlignment="1">
      <alignment horizontal="center"/>
    </xf>
    <xf numFmtId="172" fontId="242" fillId="32" borderId="252" xfId="57" applyNumberFormat="1" applyFont="1" applyFill="1" applyBorder="1" applyAlignment="1">
      <alignment horizontal="center"/>
    </xf>
    <xf numFmtId="171" fontId="242" fillId="32" borderId="24" xfId="149" applyNumberFormat="1" applyFont="1" applyFill="1" applyBorder="1" applyAlignment="1">
      <alignment horizontal="center"/>
    </xf>
    <xf numFmtId="2" fontId="243" fillId="0" borderId="0" xfId="122" applyNumberFormat="1" applyFont="1" applyAlignment="1">
      <alignment horizontal="center"/>
    </xf>
    <xf numFmtId="171" fontId="243" fillId="0" borderId="0" xfId="149" applyNumberFormat="1" applyFont="1" applyFill="1" applyBorder="1" applyAlignment="1">
      <alignment horizontal="center"/>
    </xf>
    <xf numFmtId="172" fontId="243" fillId="0" borderId="0" xfId="122" applyNumberFormat="1" applyFont="1"/>
    <xf numFmtId="0" fontId="245" fillId="0" borderId="90" xfId="143" applyFont="1" applyBorder="1" applyAlignment="1">
      <alignment horizontal="left" indent="2"/>
    </xf>
    <xf numFmtId="2" fontId="245" fillId="0" borderId="252" xfId="122" applyNumberFormat="1" applyFont="1" applyBorder="1"/>
    <xf numFmtId="2" fontId="245" fillId="0" borderId="252" xfId="122" applyNumberFormat="1" applyFont="1" applyBorder="1" applyAlignment="1">
      <alignment horizontal="center"/>
    </xf>
    <xf numFmtId="172" fontId="245" fillId="0" borderId="252" xfId="122" applyNumberFormat="1" applyFont="1" applyBorder="1" applyAlignment="1">
      <alignment horizontal="center"/>
    </xf>
    <xf numFmtId="172" fontId="245" fillId="0" borderId="331" xfId="122" applyNumberFormat="1" applyFont="1" applyBorder="1" applyAlignment="1">
      <alignment horizontal="center"/>
    </xf>
    <xf numFmtId="172" fontId="243" fillId="32" borderId="331" xfId="122" applyNumberFormat="1" applyFont="1" applyFill="1" applyBorder="1" applyAlignment="1">
      <alignment horizontal="center"/>
    </xf>
    <xf numFmtId="2" fontId="243" fillId="0" borderId="252" xfId="122" applyNumberFormat="1" applyFont="1" applyBorder="1"/>
    <xf numFmtId="2" fontId="243" fillId="0" borderId="252" xfId="122" applyNumberFormat="1" applyFont="1" applyBorder="1" applyAlignment="1">
      <alignment horizontal="center"/>
    </xf>
    <xf numFmtId="172" fontId="243" fillId="0" borderId="252" xfId="122" applyNumberFormat="1" applyFont="1" applyBorder="1" applyAlignment="1">
      <alignment horizontal="center"/>
    </xf>
    <xf numFmtId="172" fontId="243" fillId="32" borderId="252" xfId="122" applyNumberFormat="1" applyFont="1" applyFill="1" applyBorder="1" applyAlignment="1">
      <alignment horizontal="center"/>
    </xf>
    <xf numFmtId="172" fontId="242" fillId="0" borderId="331" xfId="57" applyNumberFormat="1" applyFont="1" applyFill="1" applyBorder="1" applyAlignment="1">
      <alignment horizontal="center"/>
    </xf>
    <xf numFmtId="172" fontId="242" fillId="0" borderId="252" xfId="122" applyNumberFormat="1" applyFont="1" applyBorder="1" applyAlignment="1">
      <alignment horizontal="center"/>
    </xf>
    <xf numFmtId="172" fontId="248" fillId="0" borderId="252" xfId="122" applyNumberFormat="1" applyFont="1" applyBorder="1" applyAlignment="1">
      <alignment horizontal="center"/>
    </xf>
    <xf numFmtId="172" fontId="248" fillId="0" borderId="331" xfId="122" applyNumberFormat="1" applyFont="1" applyBorder="1" applyAlignment="1">
      <alignment horizontal="center"/>
    </xf>
    <xf numFmtId="9" fontId="248" fillId="0" borderId="331" xfId="149" applyFont="1" applyFill="1" applyBorder="1" applyAlignment="1">
      <alignment horizontal="center"/>
    </xf>
    <xf numFmtId="172" fontId="242" fillId="32" borderId="252" xfId="122" applyNumberFormat="1" applyFont="1" applyFill="1" applyBorder="1" applyAlignment="1">
      <alignment horizontal="center"/>
    </xf>
    <xf numFmtId="0" fontId="275" fillId="0" borderId="90" xfId="143" applyFont="1" applyBorder="1"/>
    <xf numFmtId="172" fontId="243" fillId="0" borderId="0" xfId="122" applyNumberFormat="1" applyFont="1" applyAlignment="1">
      <alignment horizontal="center"/>
    </xf>
    <xf numFmtId="2" fontId="244" fillId="0" borderId="116" xfId="122" applyNumberFormat="1" applyFont="1" applyBorder="1"/>
    <xf numFmtId="2" fontId="244" fillId="0" borderId="252" xfId="122" applyNumberFormat="1" applyFont="1" applyBorder="1"/>
    <xf numFmtId="2" fontId="244" fillId="0" borderId="252" xfId="122" applyNumberFormat="1" applyFont="1" applyBorder="1" applyAlignment="1">
      <alignment horizontal="center"/>
    </xf>
    <xf numFmtId="2" fontId="244" fillId="0" borderId="331" xfId="122" applyNumberFormat="1" applyFont="1" applyBorder="1" applyAlignment="1">
      <alignment horizontal="center"/>
    </xf>
    <xf numFmtId="172" fontId="244" fillId="0" borderId="331" xfId="57" applyNumberFormat="1" applyFont="1" applyFill="1" applyBorder="1" applyAlignment="1">
      <alignment horizontal="center"/>
    </xf>
    <xf numFmtId="172" fontId="249" fillId="0" borderId="331" xfId="57" applyNumberFormat="1" applyFont="1" applyFill="1" applyBorder="1" applyAlignment="1">
      <alignment horizontal="center"/>
    </xf>
    <xf numFmtId="172" fontId="244" fillId="32" borderId="252" xfId="57" applyNumberFormat="1" applyFont="1" applyFill="1" applyBorder="1" applyAlignment="1">
      <alignment horizontal="center"/>
    </xf>
    <xf numFmtId="172" fontId="244" fillId="0" borderId="0" xfId="122" applyNumberFormat="1" applyFont="1"/>
    <xf numFmtId="2" fontId="243" fillId="0" borderId="116" xfId="122" applyNumberFormat="1" applyFont="1" applyBorder="1"/>
    <xf numFmtId="172" fontId="244" fillId="0" borderId="252" xfId="122" applyNumberFormat="1" applyFont="1" applyBorder="1" applyAlignment="1">
      <alignment horizontal="center"/>
    </xf>
    <xf numFmtId="172" fontId="249" fillId="0" borderId="252" xfId="122" applyNumberFormat="1" applyFont="1" applyBorder="1" applyAlignment="1">
      <alignment horizontal="center"/>
    </xf>
    <xf numFmtId="172" fontId="249" fillId="0" borderId="331" xfId="122" applyNumberFormat="1" applyFont="1" applyBorder="1" applyAlignment="1">
      <alignment horizontal="center"/>
    </xf>
    <xf numFmtId="172" fontId="244" fillId="32" borderId="252" xfId="122" applyNumberFormat="1" applyFont="1" applyFill="1" applyBorder="1" applyAlignment="1">
      <alignment horizontal="center"/>
    </xf>
    <xf numFmtId="0" fontId="245" fillId="0" borderId="56" xfId="143" applyFont="1" applyBorder="1" applyAlignment="1">
      <alignment horizontal="left" indent="2"/>
    </xf>
    <xf numFmtId="172" fontId="242" fillId="0" borderId="0" xfId="122" applyNumberFormat="1" applyFont="1"/>
    <xf numFmtId="0" fontId="243" fillId="0" borderId="252" xfId="122" applyFont="1" applyBorder="1" applyAlignment="1">
      <alignment horizontal="center"/>
    </xf>
    <xf numFmtId="0" fontId="275" fillId="0" borderId="90" xfId="143" applyFont="1" applyBorder="1" applyAlignment="1">
      <alignment wrapText="1"/>
    </xf>
    <xf numFmtId="0" fontId="243" fillId="0" borderId="90" xfId="143" applyFont="1" applyBorder="1" applyAlignment="1">
      <alignment horizontal="left" indent="2"/>
    </xf>
    <xf numFmtId="172" fontId="243" fillId="0" borderId="331" xfId="122" applyNumberFormat="1" applyFont="1" applyBorder="1" applyAlignment="1">
      <alignment horizontal="center"/>
    </xf>
    <xf numFmtId="0" fontId="246" fillId="0" borderId="0" xfId="122" applyFont="1"/>
    <xf numFmtId="2" fontId="246" fillId="0" borderId="252" xfId="122" applyNumberFormat="1" applyFont="1" applyBorder="1"/>
    <xf numFmtId="2" fontId="246" fillId="0" borderId="252" xfId="122" applyNumberFormat="1" applyFont="1" applyBorder="1" applyAlignment="1">
      <alignment horizontal="center"/>
    </xf>
    <xf numFmtId="172" fontId="246" fillId="0" borderId="252" xfId="122" applyNumberFormat="1" applyFont="1" applyBorder="1" applyAlignment="1">
      <alignment horizontal="center"/>
    </xf>
    <xf numFmtId="172" fontId="246" fillId="0" borderId="0" xfId="122" applyNumberFormat="1" applyFont="1"/>
    <xf numFmtId="172" fontId="243" fillId="32" borderId="329" xfId="122" applyNumberFormat="1" applyFont="1" applyFill="1" applyBorder="1" applyAlignment="1">
      <alignment horizontal="center"/>
    </xf>
    <xf numFmtId="172" fontId="243" fillId="32" borderId="116" xfId="122" applyNumberFormat="1" applyFont="1" applyFill="1" applyBorder="1" applyAlignment="1">
      <alignment horizontal="center"/>
    </xf>
    <xf numFmtId="2" fontId="243" fillId="0" borderId="357" xfId="122" applyNumberFormat="1" applyFont="1" applyBorder="1"/>
    <xf numFmtId="0" fontId="243" fillId="0" borderId="24" xfId="122" applyFont="1" applyBorder="1"/>
    <xf numFmtId="2" fontId="243" fillId="0" borderId="351" xfId="122" applyNumberFormat="1" applyFont="1" applyBorder="1"/>
    <xf numFmtId="2" fontId="243" fillId="0" borderId="351" xfId="122" applyNumberFormat="1" applyFont="1" applyBorder="1" applyAlignment="1">
      <alignment horizontal="center"/>
    </xf>
    <xf numFmtId="172" fontId="243" fillId="0" borderId="351" xfId="122" applyNumberFormat="1" applyFont="1" applyBorder="1" applyAlignment="1">
      <alignment horizontal="center"/>
    </xf>
    <xf numFmtId="172" fontId="245" fillId="0" borderId="351" xfId="122" applyNumberFormat="1" applyFont="1" applyBorder="1" applyAlignment="1">
      <alignment horizontal="center"/>
    </xf>
    <xf numFmtId="172" fontId="245" fillId="0" borderId="116" xfId="122" applyNumberFormat="1" applyFont="1" applyBorder="1" applyAlignment="1">
      <alignment horizontal="center"/>
    </xf>
    <xf numFmtId="172" fontId="245" fillId="0" borderId="0" xfId="122" applyNumberFormat="1" applyFont="1" applyAlignment="1">
      <alignment horizontal="center"/>
    </xf>
    <xf numFmtId="172" fontId="243" fillId="0" borderId="116" xfId="122" applyNumberFormat="1" applyFont="1" applyBorder="1" applyAlignment="1">
      <alignment horizontal="center"/>
    </xf>
    <xf numFmtId="0" fontId="243" fillId="0" borderId="116" xfId="122" applyFont="1" applyBorder="1" applyAlignment="1">
      <alignment horizontal="center"/>
    </xf>
    <xf numFmtId="0" fontId="243" fillId="0" borderId="274" xfId="122" applyFont="1" applyBorder="1"/>
    <xf numFmtId="2" fontId="243" fillId="0" borderId="378" xfId="122" applyNumberFormat="1" applyFont="1" applyBorder="1"/>
    <xf numFmtId="2" fontId="243" fillId="0" borderId="378" xfId="122" applyNumberFormat="1" applyFont="1" applyBorder="1" applyAlignment="1">
      <alignment horizontal="center"/>
    </xf>
    <xf numFmtId="172" fontId="243" fillId="0" borderId="378" xfId="122" applyNumberFormat="1" applyFont="1" applyBorder="1" applyAlignment="1">
      <alignment horizontal="center"/>
    </xf>
    <xf numFmtId="172" fontId="245" fillId="0" borderId="378" xfId="122" applyNumberFormat="1" applyFont="1" applyBorder="1" applyAlignment="1">
      <alignment horizontal="center"/>
    </xf>
    <xf numFmtId="172" fontId="245" fillId="0" borderId="379" xfId="122" applyNumberFormat="1" applyFont="1" applyBorder="1" applyAlignment="1">
      <alignment horizontal="center"/>
    </xf>
    <xf numFmtId="172" fontId="245" fillId="0" borderId="367" xfId="122" applyNumberFormat="1" applyFont="1" applyBorder="1" applyAlignment="1">
      <alignment horizontal="center"/>
    </xf>
    <xf numFmtId="172" fontId="243" fillId="32" borderId="367" xfId="122" applyNumberFormat="1" applyFont="1" applyFill="1" applyBorder="1" applyAlignment="1">
      <alignment horizontal="center"/>
    </xf>
    <xf numFmtId="0" fontId="249" fillId="0" borderId="204" xfId="143" applyFont="1" applyBorder="1" applyAlignment="1">
      <alignment horizontal="left" indent="2"/>
    </xf>
    <xf numFmtId="2" fontId="244" fillId="0" borderId="361" xfId="122" applyNumberFormat="1" applyFont="1" applyBorder="1"/>
    <xf numFmtId="2" fontId="244" fillId="0" borderId="361" xfId="122" applyNumberFormat="1" applyFont="1" applyBorder="1" applyAlignment="1">
      <alignment horizontal="center"/>
    </xf>
    <xf numFmtId="172" fontId="244" fillId="0" borderId="361" xfId="122" applyNumberFormat="1" applyFont="1" applyBorder="1" applyAlignment="1">
      <alignment horizontal="center"/>
    </xf>
    <xf numFmtId="172" fontId="249" fillId="0" borderId="361" xfId="122" applyNumberFormat="1" applyFont="1" applyBorder="1" applyAlignment="1">
      <alignment horizontal="center"/>
    </xf>
    <xf numFmtId="172" fontId="249" fillId="0" borderId="360" xfId="122" applyNumberFormat="1" applyFont="1" applyBorder="1" applyAlignment="1">
      <alignment horizontal="center"/>
    </xf>
    <xf numFmtId="172" fontId="244" fillId="32" borderId="361" xfId="122" applyNumberFormat="1" applyFont="1" applyFill="1" applyBorder="1" applyAlignment="1">
      <alignment horizontal="center"/>
    </xf>
    <xf numFmtId="0" fontId="245" fillId="0" borderId="0" xfId="122" applyFont="1"/>
    <xf numFmtId="0" fontId="234" fillId="0" borderId="291" xfId="830" applyFont="1" applyBorder="1" applyAlignment="1">
      <alignment horizontal="center" vertical="center"/>
    </xf>
    <xf numFmtId="0" fontId="224" fillId="0" borderId="0" xfId="830" applyFont="1" applyAlignment="1">
      <alignment horizontal="left"/>
    </xf>
    <xf numFmtId="49" fontId="187" fillId="0" borderId="57" xfId="124" applyNumberFormat="1" applyFont="1" applyBorder="1"/>
    <xf numFmtId="49" fontId="186" fillId="0" borderId="57" xfId="124" applyNumberFormat="1" applyFont="1" applyBorder="1" applyAlignment="1">
      <alignment horizontal="left" indent="2"/>
    </xf>
    <xf numFmtId="49" fontId="186" fillId="0" borderId="57" xfId="124" applyNumberFormat="1" applyFont="1" applyBorder="1" applyAlignment="1">
      <alignment horizontal="left" indent="3"/>
    </xf>
    <xf numFmtId="0" fontId="186" fillId="0" borderId="57" xfId="124" applyFont="1" applyBorder="1" applyAlignment="1">
      <alignment horizontal="left" vertical="center" indent="6"/>
    </xf>
    <xf numFmtId="0" fontId="187" fillId="0" borderId="57" xfId="124" applyFont="1" applyBorder="1" applyAlignment="1">
      <alignment vertical="center"/>
    </xf>
    <xf numFmtId="0" fontId="187" fillId="0" borderId="57" xfId="124" applyFont="1" applyBorder="1" applyAlignment="1">
      <alignment horizontal="left" vertical="center" indent="4"/>
    </xf>
    <xf numFmtId="0" fontId="186" fillId="0" borderId="57" xfId="124" applyFont="1" applyBorder="1" applyAlignment="1">
      <alignment horizontal="left" vertical="center" indent="8"/>
    </xf>
    <xf numFmtId="0" fontId="186" fillId="0" borderId="57" xfId="124" applyFont="1" applyBorder="1" applyAlignment="1">
      <alignment horizontal="left" vertical="center" indent="5"/>
    </xf>
    <xf numFmtId="0" fontId="186" fillId="0" borderId="57" xfId="124" applyFont="1" applyBorder="1" applyAlignment="1">
      <alignment horizontal="left" vertical="center" indent="7"/>
    </xf>
    <xf numFmtId="0" fontId="186" fillId="0" borderId="57" xfId="124" applyFont="1" applyBorder="1" applyAlignment="1">
      <alignment horizontal="left" vertical="center" wrapText="1" indent="7"/>
    </xf>
    <xf numFmtId="0" fontId="186" fillId="0" borderId="57" xfId="124" applyFont="1" applyBorder="1" applyAlignment="1">
      <alignment horizontal="left" vertical="center" wrapText="1" indent="8"/>
    </xf>
    <xf numFmtId="0" fontId="186" fillId="0" borderId="308" xfId="124" applyFont="1" applyBorder="1" applyAlignment="1">
      <alignment horizontal="left" vertical="center" wrapText="1" indent="8"/>
    </xf>
    <xf numFmtId="0" fontId="187" fillId="0" borderId="0" xfId="830" applyFont="1"/>
    <xf numFmtId="15" fontId="186" fillId="0" borderId="0" xfId="1070" applyNumberFormat="1" applyFont="1" applyFill="1" applyBorder="1" applyAlignment="1">
      <alignment horizontal="left"/>
    </xf>
    <xf numFmtId="178" fontId="186" fillId="0" borderId="0" xfId="1070" applyNumberFormat="1" applyFont="1" applyFill="1" applyBorder="1" applyAlignment="1"/>
    <xf numFmtId="175" fontId="242" fillId="0" borderId="63" xfId="122" applyNumberFormat="1" applyFont="1" applyBorder="1" applyAlignment="1">
      <alignment horizontal="center"/>
    </xf>
    <xf numFmtId="175" fontId="242" fillId="0" borderId="127" xfId="122" applyNumberFormat="1" applyFont="1" applyBorder="1" applyAlignment="1">
      <alignment horizontal="center"/>
    </xf>
    <xf numFmtId="175" fontId="242" fillId="0" borderId="184" xfId="122" applyNumberFormat="1" applyFont="1" applyBorder="1" applyAlignment="1">
      <alignment horizontal="center"/>
    </xf>
    <xf numFmtId="175" fontId="195" fillId="33" borderId="331" xfId="122" applyNumberFormat="1" applyFont="1" applyFill="1" applyBorder="1" applyAlignment="1">
      <alignment horizontal="center"/>
    </xf>
    <xf numFmtId="49" fontId="195" fillId="0" borderId="57" xfId="830" applyNumberFormat="1" applyFont="1" applyBorder="1"/>
    <xf numFmtId="175" fontId="195" fillId="0" borderId="329" xfId="1070" applyNumberFormat="1" applyFont="1" applyFill="1" applyBorder="1" applyAlignment="1">
      <alignment horizontal="center"/>
    </xf>
    <xf numFmtId="174" fontId="195" fillId="0" borderId="329" xfId="1070" applyNumberFormat="1" applyFont="1" applyFill="1" applyBorder="1" applyAlignment="1">
      <alignment horizontal="right"/>
    </xf>
    <xf numFmtId="0" fontId="167" fillId="0" borderId="0" xfId="1451" applyFont="1"/>
    <xf numFmtId="0" fontId="168" fillId="0" borderId="0" xfId="127" applyFont="1"/>
    <xf numFmtId="4" fontId="167" fillId="0" borderId="0" xfId="1446" applyNumberFormat="1" applyFont="1" applyAlignment="1">
      <alignment horizontal="left"/>
    </xf>
    <xf numFmtId="4" fontId="167" fillId="0" borderId="322" xfId="1446" applyNumberFormat="1" applyFont="1" applyBorder="1" applyAlignment="1">
      <alignment horizontal="center"/>
    </xf>
    <xf numFmtId="4" fontId="169" fillId="0" borderId="354" xfId="1446" applyNumberFormat="1" applyFont="1" applyBorder="1" applyAlignment="1">
      <alignment horizontal="left"/>
    </xf>
    <xf numFmtId="4" fontId="168" fillId="0" borderId="170" xfId="1446" applyNumberFormat="1" applyFont="1" applyBorder="1" applyAlignment="1">
      <alignment horizontal="left"/>
    </xf>
    <xf numFmtId="4" fontId="168" fillId="0" borderId="107" xfId="1446" applyNumberFormat="1" applyFont="1" applyBorder="1" applyAlignment="1">
      <alignment horizontal="center"/>
    </xf>
    <xf numFmtId="4" fontId="168" fillId="0" borderId="171" xfId="1446" applyNumberFormat="1" applyFont="1" applyBorder="1" applyAlignment="1">
      <alignment horizontal="center"/>
    </xf>
    <xf numFmtId="172" fontId="168" fillId="0" borderId="116" xfId="1446" applyNumberFormat="1" applyFont="1" applyBorder="1" applyAlignment="1">
      <alignment horizontal="center"/>
    </xf>
    <xf numFmtId="172" fontId="168" fillId="0" borderId="329" xfId="1446" applyNumberFormat="1" applyFont="1" applyBorder="1" applyAlignment="1">
      <alignment horizontal="center" vertical="center"/>
    </xf>
    <xf numFmtId="4" fontId="167" fillId="0" borderId="90" xfId="1446" applyNumberFormat="1" applyFont="1" applyBorder="1" applyAlignment="1">
      <alignment horizontal="left" vertical="center"/>
    </xf>
    <xf numFmtId="172" fontId="167" fillId="0" borderId="329" xfId="1446" applyNumberFormat="1" applyFont="1" applyBorder="1" applyAlignment="1">
      <alignment horizontal="center"/>
    </xf>
    <xf numFmtId="172" fontId="167" fillId="0" borderId="116" xfId="1446" applyNumberFormat="1" applyFont="1" applyBorder="1" applyAlignment="1">
      <alignment horizontal="center" vertical="center"/>
    </xf>
    <xf numFmtId="172" fontId="167" fillId="0" borderId="329" xfId="1446" applyNumberFormat="1" applyFont="1" applyBorder="1" applyAlignment="1">
      <alignment horizontal="center" vertical="center"/>
    </xf>
    <xf numFmtId="172" fontId="167" fillId="0" borderId="116" xfId="1446" applyNumberFormat="1" applyFont="1" applyBorder="1" applyAlignment="1">
      <alignment horizontal="left"/>
    </xf>
    <xf numFmtId="172" fontId="276" fillId="0" borderId="329" xfId="0" applyNumberFormat="1" applyFont="1" applyBorder="1"/>
    <xf numFmtId="172" fontId="276" fillId="0" borderId="116" xfId="0" applyNumberFormat="1" applyFont="1" applyBorder="1"/>
    <xf numFmtId="172" fontId="167" fillId="0" borderId="116" xfId="1446" applyNumberFormat="1" applyFont="1" applyBorder="1" applyAlignment="1">
      <alignment horizontal="center"/>
    </xf>
    <xf numFmtId="172" fontId="276" fillId="0" borderId="331" xfId="0" applyNumberFormat="1" applyFont="1" applyBorder="1"/>
    <xf numFmtId="172" fontId="168" fillId="0" borderId="416" xfId="1446" applyNumberFormat="1" applyFont="1" applyBorder="1" applyAlignment="1">
      <alignment horizontal="center"/>
    </xf>
    <xf numFmtId="172" fontId="168" fillId="0" borderId="417" xfId="1446" applyNumberFormat="1" applyFont="1" applyBorder="1" applyAlignment="1">
      <alignment horizontal="center"/>
    </xf>
    <xf numFmtId="172" fontId="167" fillId="0" borderId="418" xfId="1446" applyNumberFormat="1" applyFont="1" applyBorder="1" applyAlignment="1">
      <alignment horizontal="center" vertical="center"/>
    </xf>
    <xf numFmtId="172" fontId="167" fillId="0" borderId="331" xfId="1446" applyNumberFormat="1" applyFont="1" applyBorder="1" applyAlignment="1">
      <alignment horizontal="center" vertical="center"/>
    </xf>
    <xf numFmtId="4" fontId="168" fillId="0" borderId="204" xfId="1446" applyNumberFormat="1" applyFont="1" applyBorder="1" applyAlignment="1">
      <alignment horizontal="left"/>
    </xf>
    <xf numFmtId="172" fontId="168" fillId="0" borderId="364" xfId="1446" applyNumberFormat="1" applyFont="1" applyBorder="1" applyAlignment="1">
      <alignment horizontal="left"/>
    </xf>
    <xf numFmtId="171" fontId="168" fillId="0" borderId="415" xfId="149" applyNumberFormat="1" applyFont="1" applyFill="1" applyBorder="1" applyAlignment="1">
      <alignment horizontal="center" vertical="center"/>
    </xf>
    <xf numFmtId="4" fontId="172" fillId="0" borderId="0" xfId="1446" applyNumberFormat="1" applyFont="1" applyAlignment="1">
      <alignment horizontal="left"/>
    </xf>
    <xf numFmtId="174" fontId="277" fillId="0" borderId="0" xfId="57" applyNumberFormat="1" applyFont="1"/>
    <xf numFmtId="174" fontId="276" fillId="0" borderId="0" xfId="57" applyNumberFormat="1" applyFont="1"/>
    <xf numFmtId="174" fontId="277" fillId="0" borderId="0" xfId="57" applyNumberFormat="1" applyFont="1" applyFill="1"/>
    <xf numFmtId="0" fontId="167" fillId="0" borderId="0" xfId="182" applyFont="1" applyAlignment="1">
      <alignment vertical="center"/>
    </xf>
    <xf numFmtId="4" fontId="167" fillId="0" borderId="0" xfId="1446" applyNumberFormat="1" applyFont="1" applyAlignment="1">
      <alignment horizontal="center"/>
    </xf>
    <xf numFmtId="4" fontId="169" fillId="0" borderId="0" xfId="1446" applyNumberFormat="1" applyFont="1" applyAlignment="1">
      <alignment horizontal="left"/>
    </xf>
    <xf numFmtId="0" fontId="223" fillId="0" borderId="0" xfId="1451" applyFont="1"/>
    <xf numFmtId="174" fontId="173" fillId="0" borderId="0" xfId="57" applyNumberFormat="1" applyFont="1" applyAlignment="1"/>
    <xf numFmtId="174" fontId="171" fillId="0" borderId="0" xfId="57" applyNumberFormat="1" applyFont="1" applyAlignment="1"/>
    <xf numFmtId="4" fontId="167" fillId="0" borderId="0" xfId="182" applyNumberFormat="1" applyFont="1"/>
    <xf numFmtId="175" fontId="167" fillId="0" borderId="0" xfId="182" applyNumberFormat="1" applyFont="1"/>
    <xf numFmtId="175" fontId="173" fillId="0" borderId="0" xfId="182" applyNumberFormat="1" applyFont="1"/>
    <xf numFmtId="172" fontId="173" fillId="0" borderId="0" xfId="182" applyNumberFormat="1" applyFont="1"/>
    <xf numFmtId="175" fontId="168" fillId="0" borderId="0" xfId="127" applyNumberFormat="1" applyFont="1"/>
    <xf numFmtId="175" fontId="167" fillId="26" borderId="0" xfId="182" applyNumberFormat="1" applyFont="1" applyFill="1"/>
    <xf numFmtId="175" fontId="167" fillId="26" borderId="0" xfId="149" applyNumberFormat="1" applyFont="1" applyFill="1" applyBorder="1"/>
    <xf numFmtId="0" fontId="184" fillId="0" borderId="420" xfId="182" applyFont="1" applyBorder="1"/>
    <xf numFmtId="171" fontId="183" fillId="0" borderId="331" xfId="149" applyNumberFormat="1" applyFont="1" applyBorder="1" applyAlignment="1">
      <alignment horizontal="center"/>
    </xf>
    <xf numFmtId="171" fontId="183" fillId="0" borderId="0" xfId="149" applyNumberFormat="1" applyFont="1" applyBorder="1" applyAlignment="1">
      <alignment horizontal="center"/>
    </xf>
    <xf numFmtId="171" fontId="183" fillId="0" borderId="418" xfId="149" applyNumberFormat="1" applyFont="1" applyBorder="1" applyAlignment="1">
      <alignment horizontal="center"/>
    </xf>
    <xf numFmtId="171" fontId="278" fillId="0" borderId="357" xfId="149" applyNumberFormat="1" applyFont="1" applyBorder="1" applyAlignment="1">
      <alignment horizontal="center"/>
    </xf>
    <xf numFmtId="0" fontId="148" fillId="0" borderId="0" xfId="124" applyFont="1"/>
    <xf numFmtId="173" fontId="149" fillId="0" borderId="294" xfId="124" applyNumberFormat="1" applyFont="1" applyBorder="1"/>
    <xf numFmtId="173" fontId="149" fillId="0" borderId="56" xfId="124" applyNumberFormat="1" applyFont="1" applyBorder="1"/>
    <xf numFmtId="173" fontId="149" fillId="26" borderId="56" xfId="124" applyNumberFormat="1" applyFont="1" applyFill="1" applyBorder="1" applyAlignment="1">
      <alignment horizontal="center"/>
    </xf>
    <xf numFmtId="173" fontId="148" fillId="26" borderId="293" xfId="124" applyNumberFormat="1" applyFont="1" applyFill="1" applyBorder="1" applyAlignment="1">
      <alignment horizontal="left"/>
    </xf>
    <xf numFmtId="4" fontId="148" fillId="0" borderId="0" xfId="124" applyNumberFormat="1" applyFont="1"/>
    <xf numFmtId="170" fontId="149" fillId="26" borderId="329" xfId="124" applyNumberFormat="1" applyFont="1" applyFill="1" applyBorder="1" applyAlignment="1">
      <alignment horizontal="center" vertical="center"/>
    </xf>
    <xf numFmtId="0" fontId="149" fillId="0" borderId="0" xfId="124" applyFont="1"/>
    <xf numFmtId="0" fontId="148" fillId="0" borderId="24" xfId="124" applyFont="1" applyBorder="1"/>
    <xf numFmtId="171" fontId="148" fillId="0" borderId="0" xfId="124" applyNumberFormat="1" applyFont="1"/>
    <xf numFmtId="175" fontId="148" fillId="0" borderId="0" xfId="124" applyNumberFormat="1" applyFont="1"/>
    <xf numFmtId="3" fontId="148" fillId="0" borderId="0" xfId="57" applyNumberFormat="1" applyFont="1" applyFill="1" applyAlignment="1">
      <alignment horizontal="center"/>
    </xf>
    <xf numFmtId="0" fontId="186" fillId="0" borderId="308" xfId="124" applyFont="1" applyBorder="1" applyAlignment="1">
      <alignment horizontal="left" vertical="center" indent="2"/>
    </xf>
    <xf numFmtId="175" fontId="235" fillId="0" borderId="357" xfId="57" applyNumberFormat="1" applyFont="1" applyFill="1" applyBorder="1" applyAlignment="1">
      <alignment horizontal="center" vertical="center"/>
    </xf>
    <xf numFmtId="175" fontId="265" fillId="0" borderId="396" xfId="0" applyNumberFormat="1" applyFont="1" applyBorder="1" applyAlignment="1">
      <alignment horizontal="center"/>
    </xf>
    <xf numFmtId="175" fontId="265" fillId="0" borderId="252" xfId="0" applyNumberFormat="1" applyFont="1" applyBorder="1" applyAlignment="1">
      <alignment horizontal="center"/>
    </xf>
    <xf numFmtId="2" fontId="201" fillId="0" borderId="0" xfId="0" applyNumberFormat="1" applyFont="1" applyAlignment="1">
      <alignment horizontal="left"/>
    </xf>
    <xf numFmtId="2" fontId="197" fillId="0" borderId="0" xfId="122" applyNumberFormat="1" applyFont="1" applyAlignment="1">
      <alignment horizontal="left"/>
    </xf>
    <xf numFmtId="0" fontId="197" fillId="0" borderId="0" xfId="122" applyFont="1" applyAlignment="1">
      <alignment horizontal="left"/>
    </xf>
    <xf numFmtId="2" fontId="196" fillId="0" borderId="0" xfId="122" applyNumberFormat="1" applyFont="1" applyAlignment="1">
      <alignment horizontal="left"/>
    </xf>
    <xf numFmtId="2" fontId="199" fillId="0" borderId="0" xfId="122" applyNumberFormat="1" applyFont="1" applyAlignment="1">
      <alignment horizontal="left"/>
    </xf>
    <xf numFmtId="0" fontId="199" fillId="0" borderId="0" xfId="122" applyFont="1" applyAlignment="1">
      <alignment horizontal="left"/>
    </xf>
    <xf numFmtId="172" fontId="199" fillId="0" borderId="0" xfId="122" applyNumberFormat="1" applyFont="1" applyAlignment="1">
      <alignment horizontal="left"/>
    </xf>
    <xf numFmtId="171" fontId="192" fillId="0" borderId="0" xfId="149" applyNumberFormat="1" applyFont="1" applyFill="1" applyAlignment="1">
      <alignment horizontal="center"/>
    </xf>
    <xf numFmtId="2" fontId="192" fillId="0" borderId="0" xfId="122" applyNumberFormat="1" applyFont="1" applyAlignment="1">
      <alignment horizontal="left"/>
    </xf>
    <xf numFmtId="0" fontId="192" fillId="0" borderId="0" xfId="122" applyFont="1" applyAlignment="1">
      <alignment horizontal="left"/>
    </xf>
    <xf numFmtId="171" fontId="192" fillId="0" borderId="0" xfId="149" applyNumberFormat="1" applyFont="1" applyFill="1" applyAlignment="1">
      <alignment horizontal="left"/>
    </xf>
    <xf numFmtId="0" fontId="192" fillId="0" borderId="0" xfId="122" applyFont="1" applyAlignment="1">
      <alignment horizontal="center"/>
    </xf>
    <xf numFmtId="172" fontId="120" fillId="0" borderId="360" xfId="57" applyNumberFormat="1" applyFont="1" applyFill="1" applyBorder="1" applyAlignment="1">
      <alignment horizontal="center"/>
    </xf>
    <xf numFmtId="0" fontId="242" fillId="0" borderId="0" xfId="0" applyFont="1" applyAlignment="1">
      <alignment horizontal="center"/>
    </xf>
    <xf numFmtId="2" fontId="242" fillId="0" borderId="0" xfId="0" applyNumberFormat="1" applyFont="1" applyAlignment="1">
      <alignment horizontal="center"/>
    </xf>
    <xf numFmtId="175" fontId="242" fillId="0" borderId="0" xfId="0" applyNumberFormat="1" applyFont="1" applyAlignment="1">
      <alignment horizontal="center"/>
    </xf>
    <xf numFmtId="0" fontId="242" fillId="0" borderId="347" xfId="0" applyFont="1" applyBorder="1"/>
    <xf numFmtId="171" fontId="184" fillId="0" borderId="134" xfId="149" applyNumberFormat="1" applyFont="1" applyFill="1" applyBorder="1" applyAlignment="1">
      <alignment horizontal="center"/>
    </xf>
    <xf numFmtId="171" fontId="243" fillId="32" borderId="0" xfId="149" applyNumberFormat="1" applyFont="1" applyFill="1" applyBorder="1" applyAlignment="1">
      <alignment horizontal="center"/>
    </xf>
    <xf numFmtId="175" fontId="243" fillId="0" borderId="0" xfId="122" applyNumberFormat="1" applyFont="1" applyAlignment="1">
      <alignment horizontal="center"/>
    </xf>
    <xf numFmtId="43" fontId="243" fillId="0" borderId="0" xfId="57" applyFont="1" applyFill="1" applyBorder="1" applyAlignment="1">
      <alignment horizontal="center"/>
    </xf>
    <xf numFmtId="175" fontId="151" fillId="0" borderId="379" xfId="0" applyNumberFormat="1" applyFont="1" applyBorder="1" applyAlignment="1">
      <alignment horizontal="center"/>
    </xf>
    <xf numFmtId="175" fontId="151" fillId="0" borderId="0" xfId="1317" applyNumberFormat="1" applyFont="1" applyAlignment="1">
      <alignment horizontal="center"/>
    </xf>
    <xf numFmtId="175" fontId="151" fillId="0" borderId="330" xfId="1317" applyNumberFormat="1" applyFont="1" applyBorder="1" applyAlignment="1">
      <alignment horizontal="center"/>
    </xf>
    <xf numFmtId="172" fontId="151" fillId="29" borderId="56" xfId="1317" applyNumberFormat="1" applyFont="1" applyFill="1" applyBorder="1" applyAlignment="1">
      <alignment horizontal="center" vertical="center"/>
    </xf>
    <xf numFmtId="0" fontId="151" fillId="0" borderId="422" xfId="0" applyFont="1" applyBorder="1" applyAlignment="1">
      <alignment horizontal="center" vertical="center"/>
    </xf>
    <xf numFmtId="0" fontId="150" fillId="0" borderId="409" xfId="0" applyFont="1" applyBorder="1" applyAlignment="1">
      <alignment horizontal="center" vertical="center"/>
    </xf>
    <xf numFmtId="175" fontId="150" fillId="0" borderId="24" xfId="0" applyNumberFormat="1" applyFont="1" applyBorder="1" applyAlignment="1">
      <alignment horizontal="center"/>
    </xf>
    <xf numFmtId="172" fontId="151" fillId="29" borderId="274" xfId="0" applyNumberFormat="1" applyFont="1" applyFill="1" applyBorder="1" applyAlignment="1">
      <alignment horizontal="center"/>
    </xf>
    <xf numFmtId="172" fontId="151" fillId="0" borderId="408" xfId="0" applyNumberFormat="1" applyFont="1" applyBorder="1" applyAlignment="1">
      <alignment horizontal="center"/>
    </xf>
    <xf numFmtId="171" fontId="150" fillId="29" borderId="210" xfId="0" applyNumberFormat="1" applyFont="1" applyFill="1" applyBorder="1" applyAlignment="1">
      <alignment horizontal="center"/>
    </xf>
    <xf numFmtId="171" fontId="150" fillId="0" borderId="414" xfId="0" applyNumberFormat="1" applyFont="1" applyBorder="1" applyAlignment="1">
      <alignment horizontal="center"/>
    </xf>
    <xf numFmtId="171" fontId="150" fillId="0" borderId="172" xfId="0" applyNumberFormat="1" applyFont="1" applyBorder="1" applyAlignment="1">
      <alignment horizontal="center" vertical="center"/>
    </xf>
    <xf numFmtId="175" fontId="150" fillId="0" borderId="24" xfId="1317" applyNumberFormat="1" applyFont="1" applyBorder="1" applyAlignment="1">
      <alignment horizontal="center"/>
    </xf>
    <xf numFmtId="175" fontId="151" fillId="0" borderId="348" xfId="1317" applyNumberFormat="1" applyFont="1" applyBorder="1" applyAlignment="1">
      <alignment horizontal="center"/>
    </xf>
    <xf numFmtId="0" fontId="151" fillId="29" borderId="294" xfId="0" applyFont="1" applyFill="1" applyBorder="1" applyAlignment="1">
      <alignment horizontal="center" vertical="center"/>
    </xf>
    <xf numFmtId="0" fontId="151" fillId="0" borderId="422" xfId="0" applyFont="1" applyBorder="1" applyAlignment="1">
      <alignment horizontal="center"/>
    </xf>
    <xf numFmtId="172" fontId="156" fillId="0" borderId="0" xfId="122" applyNumberFormat="1" applyFont="1" applyAlignment="1">
      <alignment horizontal="center"/>
    </xf>
    <xf numFmtId="172" fontId="276" fillId="0" borderId="0" xfId="0" applyNumberFormat="1" applyFont="1"/>
    <xf numFmtId="172" fontId="168" fillId="0" borderId="426" xfId="1446" applyNumberFormat="1" applyFont="1" applyBorder="1" applyAlignment="1">
      <alignment horizontal="center"/>
    </xf>
    <xf numFmtId="172" fontId="168" fillId="0" borderId="427" xfId="1446" applyNumberFormat="1" applyFont="1" applyBorder="1" applyAlignment="1">
      <alignment horizontal="center"/>
    </xf>
    <xf numFmtId="0" fontId="146" fillId="0" borderId="0" xfId="182" applyFont="1"/>
    <xf numFmtId="172" fontId="255" fillId="0" borderId="132" xfId="57" applyNumberFormat="1" applyFont="1" applyFill="1" applyBorder="1" applyAlignment="1">
      <alignment horizontal="center" vertical="center"/>
    </xf>
    <xf numFmtId="172" fontId="255" fillId="0" borderId="329" xfId="57" applyNumberFormat="1" applyFont="1" applyFill="1" applyBorder="1" applyAlignment="1">
      <alignment horizontal="center" vertical="center" wrapText="1"/>
    </xf>
    <xf numFmtId="172" fontId="255" fillId="0" borderId="252" xfId="57" applyNumberFormat="1" applyFont="1" applyBorder="1" applyAlignment="1">
      <alignment horizontal="center" vertical="center"/>
    </xf>
    <xf numFmtId="172" fontId="255" fillId="0" borderId="331" xfId="57" applyNumberFormat="1" applyFont="1" applyFill="1" applyBorder="1" applyAlignment="1">
      <alignment horizontal="center" vertical="center"/>
    </xf>
    <xf numFmtId="172" fontId="255" fillId="0" borderId="289" xfId="57" applyNumberFormat="1" applyFont="1" applyFill="1" applyBorder="1" applyAlignment="1">
      <alignment horizontal="center" vertical="center"/>
    </xf>
    <xf numFmtId="0" fontId="163" fillId="0" borderId="0" xfId="128" applyFont="1"/>
    <xf numFmtId="0" fontId="163" fillId="0" borderId="0" xfId="128" applyFont="1" applyAlignment="1">
      <alignment horizontal="center"/>
    </xf>
    <xf numFmtId="3" fontId="163" fillId="0" borderId="0" xfId="128" applyNumberFormat="1" applyFont="1" applyAlignment="1">
      <alignment horizontal="center"/>
    </xf>
    <xf numFmtId="171" fontId="163" fillId="0" borderId="0" xfId="149" applyNumberFormat="1" applyFont="1" applyFill="1" applyAlignment="1">
      <alignment horizontal="center"/>
    </xf>
    <xf numFmtId="172" fontId="0" fillId="0" borderId="0" xfId="0" applyNumberFormat="1"/>
    <xf numFmtId="172" fontId="150" fillId="0" borderId="161" xfId="1446" applyNumberFormat="1" applyFont="1" applyBorder="1" applyAlignment="1">
      <alignment horizontal="center" vertical="center"/>
    </xf>
    <xf numFmtId="172" fontId="151" fillId="0" borderId="426" xfId="1446" applyNumberFormat="1" applyFont="1" applyBorder="1" applyAlignment="1">
      <alignment horizontal="left"/>
    </xf>
    <xf numFmtId="172" fontId="151" fillId="0" borderId="417" xfId="149" applyNumberFormat="1" applyFont="1" applyFill="1" applyBorder="1" applyAlignment="1">
      <alignment horizontal="center" vertical="center"/>
    </xf>
    <xf numFmtId="172" fontId="151" fillId="0" borderId="408" xfId="149" applyNumberFormat="1" applyFont="1" applyFill="1" applyBorder="1" applyAlignment="1">
      <alignment horizontal="center" vertical="center"/>
    </xf>
    <xf numFmtId="4" fontId="150" fillId="0" borderId="411" xfId="1446" applyNumberFormat="1" applyFont="1" applyBorder="1" applyAlignment="1">
      <alignment horizontal="left"/>
    </xf>
    <xf numFmtId="172" fontId="150" fillId="0" borderId="428" xfId="1446" applyNumberFormat="1" applyFont="1" applyBorder="1" applyAlignment="1">
      <alignment horizontal="left"/>
    </xf>
    <xf numFmtId="172" fontId="150" fillId="0" borderId="428" xfId="1446" applyNumberFormat="1" applyFont="1" applyBorder="1" applyAlignment="1">
      <alignment horizontal="center" vertical="center"/>
    </xf>
    <xf numFmtId="0" fontId="234" fillId="0" borderId="94" xfId="0" applyFont="1" applyBorder="1"/>
    <xf numFmtId="0" fontId="234" fillId="0" borderId="99" xfId="0" applyFont="1" applyBorder="1"/>
    <xf numFmtId="0" fontId="234" fillId="0" borderId="92" xfId="0" applyFont="1" applyBorder="1"/>
    <xf numFmtId="0" fontId="234" fillId="0" borderId="56" xfId="0" applyFont="1" applyBorder="1"/>
    <xf numFmtId="0" fontId="234" fillId="0" borderId="0" xfId="0" applyFont="1"/>
    <xf numFmtId="0" fontId="234" fillId="0" borderId="56" xfId="0" applyFont="1" applyBorder="1" applyAlignment="1">
      <alignment horizontal="center"/>
    </xf>
    <xf numFmtId="0" fontId="234" fillId="0" borderId="142" xfId="0" applyFont="1" applyBorder="1" applyAlignment="1">
      <alignment horizontal="center"/>
    </xf>
    <xf numFmtId="0" fontId="234" fillId="0" borderId="0" xfId="0" applyFont="1" applyAlignment="1">
      <alignment horizontal="center"/>
    </xf>
    <xf numFmtId="0" fontId="234" fillId="0" borderId="24" xfId="0" applyFont="1" applyBorder="1" applyAlignment="1">
      <alignment horizontal="center"/>
    </xf>
    <xf numFmtId="2" fontId="234" fillId="0" borderId="56" xfId="0" applyNumberFormat="1" applyFont="1" applyBorder="1" applyAlignment="1">
      <alignment horizontal="center"/>
    </xf>
    <xf numFmtId="2" fontId="234" fillId="0" borderId="142" xfId="0" applyNumberFormat="1" applyFont="1" applyBorder="1" applyAlignment="1">
      <alignment horizontal="center"/>
    </xf>
    <xf numFmtId="2" fontId="234" fillId="0" borderId="0" xfId="0" applyNumberFormat="1" applyFont="1" applyAlignment="1">
      <alignment horizontal="center"/>
    </xf>
    <xf numFmtId="2" fontId="234" fillId="0" borderId="24" xfId="0" applyNumberFormat="1" applyFont="1" applyBorder="1" applyAlignment="1">
      <alignment horizontal="center"/>
    </xf>
    <xf numFmtId="2" fontId="234" fillId="0" borderId="141" xfId="0" applyNumberFormat="1" applyFont="1" applyBorder="1" applyAlignment="1">
      <alignment horizontal="center"/>
    </xf>
    <xf numFmtId="2" fontId="234" fillId="0" borderId="90" xfId="0" applyNumberFormat="1" applyFont="1" applyBorder="1" applyAlignment="1">
      <alignment horizontal="center"/>
    </xf>
    <xf numFmtId="2" fontId="234" fillId="0" borderId="133" xfId="0" applyNumberFormat="1" applyFont="1" applyBorder="1" applyAlignment="1">
      <alignment horizontal="center"/>
    </xf>
    <xf numFmtId="0" fontId="234" fillId="0" borderId="126" xfId="0" applyFont="1" applyBorder="1"/>
    <xf numFmtId="0" fontId="235" fillId="0" borderId="146" xfId="0" applyFont="1" applyBorder="1"/>
    <xf numFmtId="3" fontId="235" fillId="0" borderId="146" xfId="0" applyNumberFormat="1" applyFont="1" applyBorder="1"/>
    <xf numFmtId="0" fontId="235" fillId="0" borderId="126" xfId="0" applyFont="1" applyBorder="1" applyAlignment="1">
      <alignment horizontal="center"/>
    </xf>
    <xf numFmtId="0" fontId="235" fillId="0" borderId="139" xfId="0" applyFont="1" applyBorder="1" applyAlignment="1">
      <alignment horizontal="center"/>
    </xf>
    <xf numFmtId="0" fontId="235" fillId="0" borderId="146" xfId="0" applyFont="1" applyBorder="1" applyAlignment="1">
      <alignment horizontal="center"/>
    </xf>
    <xf numFmtId="0" fontId="235" fillId="0" borderId="147" xfId="0" applyFont="1" applyBorder="1" applyAlignment="1">
      <alignment horizontal="center"/>
    </xf>
    <xf numFmtId="2" fontId="235" fillId="0" borderId="126" xfId="0" applyNumberFormat="1" applyFont="1" applyBorder="1" applyAlignment="1">
      <alignment horizontal="center"/>
    </xf>
    <xf numFmtId="2" fontId="235" fillId="0" borderId="139" xfId="0" applyNumberFormat="1" applyFont="1" applyBorder="1" applyAlignment="1">
      <alignment horizontal="center"/>
    </xf>
    <xf numFmtId="2" fontId="235" fillId="0" borderId="146" xfId="0" applyNumberFormat="1" applyFont="1" applyBorder="1" applyAlignment="1">
      <alignment horizontal="center"/>
    </xf>
    <xf numFmtId="2" fontId="235" fillId="0" borderId="147" xfId="0" applyNumberFormat="1" applyFont="1" applyBorder="1" applyAlignment="1">
      <alignment horizontal="center"/>
    </xf>
    <xf numFmtId="2" fontId="235" fillId="0" borderId="131" xfId="0" applyNumberFormat="1" applyFont="1" applyBorder="1" applyAlignment="1">
      <alignment horizontal="center"/>
    </xf>
    <xf numFmtId="2" fontId="235" fillId="0" borderId="130" xfId="0" applyNumberFormat="1" applyFont="1" applyBorder="1" applyAlignment="1">
      <alignment horizontal="center"/>
    </xf>
    <xf numFmtId="2" fontId="234" fillId="0" borderId="131" xfId="0" applyNumberFormat="1" applyFont="1" applyBorder="1" applyAlignment="1">
      <alignment horizontal="center"/>
    </xf>
    <xf numFmtId="0" fontId="234" fillId="0" borderId="163" xfId="0" applyFont="1" applyBorder="1"/>
    <xf numFmtId="3" fontId="235" fillId="0" borderId="0" xfId="0" applyNumberFormat="1" applyFont="1"/>
    <xf numFmtId="0" fontId="235" fillId="0" borderId="56" xfId="0" applyFont="1" applyBorder="1" applyAlignment="1">
      <alignment horizontal="center"/>
    </xf>
    <xf numFmtId="0" fontId="235" fillId="0" borderId="132" xfId="0" applyFont="1" applyBorder="1" applyAlignment="1">
      <alignment horizontal="center"/>
    </xf>
    <xf numFmtId="0" fontId="235" fillId="0" borderId="0" xfId="0" applyFont="1" applyAlignment="1">
      <alignment horizontal="center"/>
    </xf>
    <xf numFmtId="0" fontId="235" fillId="0" borderId="24" xfId="0" applyFont="1" applyBorder="1" applyAlignment="1">
      <alignment horizontal="center"/>
    </xf>
    <xf numFmtId="2" fontId="235" fillId="0" borderId="56" xfId="0" applyNumberFormat="1" applyFont="1" applyBorder="1" applyAlignment="1">
      <alignment horizontal="center"/>
    </xf>
    <xf numFmtId="2" fontId="235" fillId="0" borderId="132" xfId="0" applyNumberFormat="1" applyFont="1" applyBorder="1" applyAlignment="1">
      <alignment horizontal="center"/>
    </xf>
    <xf numFmtId="2" fontId="235" fillId="0" borderId="0" xfId="0" applyNumberFormat="1" applyFont="1" applyAlignment="1">
      <alignment horizontal="center"/>
    </xf>
    <xf numFmtId="2" fontId="235" fillId="0" borderId="24" xfId="0" applyNumberFormat="1" applyFont="1" applyBorder="1" applyAlignment="1">
      <alignment horizontal="center"/>
    </xf>
    <xf numFmtId="2" fontId="235" fillId="0" borderId="133" xfId="0" applyNumberFormat="1" applyFont="1" applyBorder="1" applyAlignment="1">
      <alignment horizontal="center"/>
    </xf>
    <xf numFmtId="0" fontId="235" fillId="0" borderId="90" xfId="0" applyFont="1" applyBorder="1"/>
    <xf numFmtId="0" fontId="235" fillId="0" borderId="132" xfId="0" applyFont="1" applyBorder="1"/>
    <xf numFmtId="0" fontId="235" fillId="0" borderId="133" xfId="0" applyFont="1" applyBorder="1"/>
    <xf numFmtId="0" fontId="234" fillId="0" borderId="133" xfId="0" applyFont="1" applyBorder="1"/>
    <xf numFmtId="0" fontId="235" fillId="0" borderId="105" xfId="0" applyFont="1" applyBorder="1"/>
    <xf numFmtId="0" fontId="235" fillId="0" borderId="95" xfId="0" applyFont="1" applyBorder="1"/>
    <xf numFmtId="0" fontId="235" fillId="0" borderId="101" xfId="0" applyFont="1" applyBorder="1"/>
    <xf numFmtId="3" fontId="235" fillId="0" borderId="90" xfId="57" applyNumberFormat="1" applyFont="1" applyFill="1" applyBorder="1" applyAlignment="1">
      <alignment horizontal="center"/>
    </xf>
    <xf numFmtId="3" fontId="235" fillId="0" borderId="132" xfId="57" applyNumberFormat="1" applyFont="1" applyFill="1" applyBorder="1" applyAlignment="1">
      <alignment horizontal="center"/>
    </xf>
    <xf numFmtId="3" fontId="235" fillId="0" borderId="134" xfId="57" applyNumberFormat="1" applyFont="1" applyFill="1" applyBorder="1" applyAlignment="1">
      <alignment horizontal="center"/>
    </xf>
    <xf numFmtId="3" fontId="235" fillId="0" borderId="159" xfId="57" applyNumberFormat="1" applyFont="1" applyFill="1" applyBorder="1" applyAlignment="1">
      <alignment horizontal="center"/>
    </xf>
    <xf numFmtId="3" fontId="235" fillId="0" borderId="116" xfId="57" applyNumberFormat="1" applyFont="1" applyFill="1" applyBorder="1" applyAlignment="1">
      <alignment horizontal="center"/>
    </xf>
    <xf numFmtId="3" fontId="235" fillId="0" borderId="168" xfId="57" applyNumberFormat="1" applyFont="1" applyFill="1" applyBorder="1" applyAlignment="1">
      <alignment horizontal="center"/>
    </xf>
    <xf numFmtId="3" fontId="235" fillId="0" borderId="212" xfId="57" applyNumberFormat="1" applyFont="1" applyFill="1" applyBorder="1" applyAlignment="1">
      <alignment horizontal="center"/>
    </xf>
    <xf numFmtId="3" fontId="235" fillId="0" borderId="200" xfId="57" applyNumberFormat="1" applyFont="1" applyFill="1" applyBorder="1" applyAlignment="1">
      <alignment horizontal="center"/>
    </xf>
    <xf numFmtId="3" fontId="235" fillId="0" borderId="303" xfId="57" applyNumberFormat="1" applyFont="1" applyFill="1" applyBorder="1" applyAlignment="1">
      <alignment horizontal="center"/>
    </xf>
    <xf numFmtId="3" fontId="235" fillId="0" borderId="198" xfId="57" applyNumberFormat="1" applyFont="1" applyFill="1" applyBorder="1" applyAlignment="1">
      <alignment horizontal="center"/>
    </xf>
    <xf numFmtId="3" fontId="235" fillId="0" borderId="270" xfId="57" applyNumberFormat="1" applyFont="1" applyFill="1" applyBorder="1" applyAlignment="1">
      <alignment horizontal="center"/>
    </xf>
    <xf numFmtId="0" fontId="235" fillId="0" borderId="56" xfId="0" applyFont="1" applyBorder="1"/>
    <xf numFmtId="3" fontId="235" fillId="0" borderId="56" xfId="0" applyNumberFormat="1" applyFont="1" applyBorder="1" applyAlignment="1">
      <alignment horizontal="center"/>
    </xf>
    <xf numFmtId="3" fontId="235" fillId="0" borderId="132" xfId="0" applyNumberFormat="1" applyFont="1" applyBorder="1" applyAlignment="1">
      <alignment horizontal="center"/>
    </xf>
    <xf numFmtId="3" fontId="235" fillId="0" borderId="0" xfId="0" applyNumberFormat="1" applyFont="1" applyAlignment="1">
      <alignment horizontal="center"/>
    </xf>
    <xf numFmtId="3" fontId="235" fillId="0" borderId="24" xfId="0" applyNumberFormat="1" applyFont="1" applyBorder="1" applyAlignment="1">
      <alignment horizontal="center"/>
    </xf>
    <xf numFmtId="3" fontId="235" fillId="0" borderId="133" xfId="0" applyNumberFormat="1" applyFont="1" applyBorder="1" applyAlignment="1">
      <alignment horizontal="center"/>
    </xf>
    <xf numFmtId="3" fontId="235" fillId="0" borderId="90" xfId="0" applyNumberFormat="1" applyFont="1" applyBorder="1" applyAlignment="1">
      <alignment horizontal="center"/>
    </xf>
    <xf numFmtId="3" fontId="235" fillId="0" borderId="155" xfId="0" applyNumberFormat="1" applyFont="1" applyBorder="1" applyAlignment="1">
      <alignment horizontal="center"/>
    </xf>
    <xf numFmtId="3" fontId="235" fillId="0" borderId="56" xfId="57" applyNumberFormat="1" applyFont="1" applyFill="1" applyBorder="1" applyAlignment="1">
      <alignment horizontal="center"/>
    </xf>
    <xf numFmtId="3" fontId="235" fillId="0" borderId="219" xfId="57" applyNumberFormat="1" applyFont="1" applyFill="1" applyBorder="1" applyAlignment="1">
      <alignment horizontal="center"/>
    </xf>
    <xf numFmtId="3" fontId="235" fillId="0" borderId="24" xfId="57" applyNumberFormat="1" applyFont="1" applyFill="1" applyBorder="1" applyAlignment="1">
      <alignment horizontal="center"/>
    </xf>
    <xf numFmtId="3" fontId="235" fillId="0" borderId="0" xfId="57" applyNumberFormat="1" applyFont="1" applyFill="1" applyBorder="1" applyAlignment="1">
      <alignment horizontal="center"/>
    </xf>
    <xf numFmtId="0" fontId="234" fillId="0" borderId="132" xfId="0" applyFont="1" applyBorder="1" applyAlignment="1">
      <alignment horizontal="center"/>
    </xf>
    <xf numFmtId="0" fontId="235" fillId="0" borderId="133" xfId="0" applyFont="1" applyBorder="1" applyAlignment="1">
      <alignment horizontal="center"/>
    </xf>
    <xf numFmtId="0" fontId="235" fillId="0" borderId="90" xfId="0" applyFont="1" applyBorder="1" applyAlignment="1">
      <alignment horizontal="center"/>
    </xf>
    <xf numFmtId="0" fontId="234" fillId="0" borderId="133" xfId="0" applyFont="1" applyBorder="1" applyAlignment="1">
      <alignment horizontal="center"/>
    </xf>
    <xf numFmtId="3" fontId="234" fillId="0" borderId="0" xfId="0" applyNumberFormat="1" applyFont="1"/>
    <xf numFmtId="3" fontId="234" fillId="0" borderId="56" xfId="0" applyNumberFormat="1" applyFont="1" applyBorder="1" applyAlignment="1">
      <alignment horizontal="center"/>
    </xf>
    <xf numFmtId="3" fontId="234" fillId="0" borderId="132" xfId="0" applyNumberFormat="1" applyFont="1" applyBorder="1" applyAlignment="1">
      <alignment horizontal="center"/>
    </xf>
    <xf numFmtId="3" fontId="234" fillId="0" borderId="0" xfId="0" applyNumberFormat="1" applyFont="1" applyAlignment="1">
      <alignment horizontal="center"/>
    </xf>
    <xf numFmtId="3" fontId="234" fillId="0" borderId="24" xfId="0" applyNumberFormat="1" applyFont="1" applyBorder="1" applyAlignment="1">
      <alignment horizontal="center"/>
    </xf>
    <xf numFmtId="3" fontId="234" fillId="0" borderId="133" xfId="0" applyNumberFormat="1" applyFont="1" applyBorder="1" applyAlignment="1">
      <alignment horizontal="center"/>
    </xf>
    <xf numFmtId="3" fontId="234" fillId="0" borderId="90" xfId="0" applyNumberFormat="1" applyFont="1" applyBorder="1" applyAlignment="1">
      <alignment horizontal="center"/>
    </xf>
    <xf numFmtId="3" fontId="234" fillId="0" borderId="155" xfId="0" applyNumberFormat="1" applyFont="1" applyBorder="1" applyAlignment="1">
      <alignment horizontal="center"/>
    </xf>
    <xf numFmtId="3" fontId="234" fillId="0" borderId="90" xfId="57" applyNumberFormat="1" applyFont="1" applyFill="1" applyBorder="1" applyAlignment="1">
      <alignment horizontal="center"/>
    </xf>
    <xf numFmtId="3" fontId="234" fillId="0" borderId="0" xfId="57" applyNumberFormat="1" applyFont="1" applyFill="1" applyBorder="1" applyAlignment="1">
      <alignment horizontal="center"/>
    </xf>
    <xf numFmtId="3" fontId="234" fillId="0" borderId="132" xfId="57" applyNumberFormat="1" applyFont="1" applyFill="1" applyBorder="1" applyAlignment="1">
      <alignment horizontal="center"/>
    </xf>
    <xf numFmtId="3" fontId="234" fillId="0" borderId="134" xfId="57" applyNumberFormat="1" applyFont="1" applyFill="1" applyBorder="1" applyAlignment="1">
      <alignment horizontal="center"/>
    </xf>
    <xf numFmtId="3" fontId="234" fillId="0" borderId="212" xfId="57" applyNumberFormat="1" applyFont="1" applyFill="1" applyBorder="1" applyAlignment="1">
      <alignment horizontal="center"/>
    </xf>
    <xf numFmtId="3" fontId="234" fillId="0" borderId="200" xfId="57" applyNumberFormat="1" applyFont="1" applyFill="1" applyBorder="1" applyAlignment="1">
      <alignment horizontal="center"/>
    </xf>
    <xf numFmtId="3" fontId="234" fillId="0" borderId="198" xfId="57" applyNumberFormat="1" applyFont="1" applyFill="1" applyBorder="1" applyAlignment="1">
      <alignment horizontal="center"/>
    </xf>
    <xf numFmtId="3" fontId="234" fillId="0" borderId="24" xfId="57" applyNumberFormat="1" applyFont="1" applyFill="1" applyBorder="1" applyAlignment="1">
      <alignment horizontal="center"/>
    </xf>
    <xf numFmtId="1" fontId="235" fillId="0" borderId="132" xfId="0" applyNumberFormat="1" applyFont="1" applyBorder="1" applyAlignment="1">
      <alignment horizontal="center"/>
    </xf>
    <xf numFmtId="3" fontId="279" fillId="0" borderId="56" xfId="0" applyNumberFormat="1" applyFont="1" applyBorder="1" applyAlignment="1">
      <alignment horizontal="center"/>
    </xf>
    <xf numFmtId="3" fontId="279" fillId="0" borderId="132" xfId="0" applyNumberFormat="1" applyFont="1" applyBorder="1" applyAlignment="1">
      <alignment horizontal="center"/>
    </xf>
    <xf numFmtId="3" fontId="279" fillId="0" borderId="90" xfId="0" applyNumberFormat="1" applyFont="1" applyBorder="1" applyAlignment="1">
      <alignment horizontal="center"/>
    </xf>
    <xf numFmtId="3" fontId="279" fillId="0" borderId="133" xfId="0" applyNumberFormat="1" applyFont="1" applyBorder="1" applyAlignment="1">
      <alignment horizontal="center"/>
    </xf>
    <xf numFmtId="171" fontId="235" fillId="0" borderId="56" xfId="0" applyNumberFormat="1" applyFont="1" applyBorder="1" applyAlignment="1">
      <alignment horizontal="center"/>
    </xf>
    <xf numFmtId="171" fontId="235" fillId="0" borderId="90" xfId="0" applyNumberFormat="1" applyFont="1" applyBorder="1" applyAlignment="1">
      <alignment horizontal="center"/>
    </xf>
    <xf numFmtId="171" fontId="235" fillId="0" borderId="133" xfId="0" applyNumberFormat="1" applyFont="1" applyBorder="1" applyAlignment="1">
      <alignment horizontal="center"/>
    </xf>
    <xf numFmtId="171" fontId="234" fillId="0" borderId="133" xfId="0" applyNumberFormat="1" applyFont="1" applyBorder="1" applyAlignment="1">
      <alignment horizontal="center"/>
    </xf>
    <xf numFmtId="37" fontId="235" fillId="0" borderId="0" xfId="0" applyNumberFormat="1" applyFont="1"/>
    <xf numFmtId="3" fontId="235" fillId="0" borderId="132" xfId="149" applyNumberFormat="1" applyFont="1" applyFill="1" applyBorder="1" applyAlignment="1">
      <alignment horizontal="center"/>
    </xf>
    <xf numFmtId="177" fontId="235" fillId="0" borderId="24" xfId="0" applyNumberFormat="1" applyFont="1" applyBorder="1" applyAlignment="1">
      <alignment horizontal="center"/>
    </xf>
    <xf numFmtId="177" fontId="235" fillId="0" borderId="0" xfId="0" applyNumberFormat="1" applyFont="1" applyAlignment="1">
      <alignment horizontal="center"/>
    </xf>
    <xf numFmtId="177" fontId="235" fillId="0" borderId="133" xfId="0" applyNumberFormat="1" applyFont="1" applyBorder="1" applyAlignment="1">
      <alignment horizontal="center"/>
    </xf>
    <xf numFmtId="177" fontId="235" fillId="0" borderId="132" xfId="0" applyNumberFormat="1" applyFont="1" applyBorder="1" applyAlignment="1">
      <alignment horizontal="center"/>
    </xf>
    <xf numFmtId="3" fontId="280" fillId="0" borderId="90" xfId="57" applyNumberFormat="1" applyFont="1" applyFill="1" applyBorder="1" applyAlignment="1">
      <alignment horizontal="center"/>
    </xf>
    <xf numFmtId="3" fontId="280" fillId="0" borderId="0" xfId="57" applyNumberFormat="1" applyFont="1" applyFill="1" applyBorder="1" applyAlignment="1">
      <alignment horizontal="center"/>
    </xf>
    <xf numFmtId="3" fontId="281" fillId="0" borderId="56" xfId="0" applyNumberFormat="1" applyFont="1" applyBorder="1" applyAlignment="1">
      <alignment horizontal="center"/>
    </xf>
    <xf numFmtId="3" fontId="281" fillId="0" borderId="132" xfId="0" applyNumberFormat="1" applyFont="1" applyBorder="1" applyAlignment="1">
      <alignment horizontal="center"/>
    </xf>
    <xf numFmtId="3" fontId="281" fillId="0" borderId="90" xfId="0" applyNumberFormat="1" applyFont="1" applyBorder="1" applyAlignment="1">
      <alignment horizontal="center"/>
    </xf>
    <xf numFmtId="3" fontId="281" fillId="0" borderId="133" xfId="0" applyNumberFormat="1" applyFont="1" applyBorder="1" applyAlignment="1">
      <alignment horizontal="center"/>
    </xf>
    <xf numFmtId="3" fontId="282" fillId="0" borderId="200" xfId="57" applyNumberFormat="1" applyFont="1" applyFill="1" applyBorder="1" applyAlignment="1">
      <alignment horizontal="center"/>
    </xf>
    <xf numFmtId="171" fontId="283" fillId="0" borderId="56" xfId="0" applyNumberFormat="1" applyFont="1" applyBorder="1" applyAlignment="1">
      <alignment horizontal="center"/>
    </xf>
    <xf numFmtId="3" fontId="283" fillId="0" borderId="132" xfId="0" applyNumberFormat="1" applyFont="1" applyBorder="1" applyAlignment="1">
      <alignment horizontal="center"/>
    </xf>
    <xf numFmtId="171" fontId="283" fillId="0" borderId="90" xfId="0" applyNumberFormat="1" applyFont="1" applyBorder="1" applyAlignment="1">
      <alignment horizontal="center"/>
    </xf>
    <xf numFmtId="171" fontId="283" fillId="0" borderId="133" xfId="0" applyNumberFormat="1" applyFont="1" applyBorder="1" applyAlignment="1">
      <alignment horizontal="center"/>
    </xf>
    <xf numFmtId="3" fontId="235" fillId="0" borderId="130" xfId="57" applyNumberFormat="1" applyFont="1" applyFill="1" applyBorder="1" applyAlignment="1">
      <alignment horizontal="center"/>
    </xf>
    <xf numFmtId="3" fontId="235" fillId="0" borderId="193" xfId="57" applyNumberFormat="1" applyFont="1" applyFill="1" applyBorder="1" applyAlignment="1">
      <alignment horizontal="center"/>
    </xf>
    <xf numFmtId="0" fontId="234" fillId="0" borderId="174" xfId="0" applyFont="1" applyBorder="1"/>
    <xf numFmtId="3" fontId="234" fillId="0" borderId="188" xfId="0" applyNumberFormat="1" applyFont="1" applyBorder="1"/>
    <xf numFmtId="3" fontId="234" fillId="0" borderId="174" xfId="0" applyNumberFormat="1" applyFont="1" applyBorder="1" applyAlignment="1">
      <alignment horizontal="center"/>
    </xf>
    <xf numFmtId="3" fontId="234" fillId="0" borderId="173" xfId="0" applyNumberFormat="1" applyFont="1" applyBorder="1" applyAlignment="1">
      <alignment horizontal="center"/>
    </xf>
    <xf numFmtId="3" fontId="234" fillId="0" borderId="188" xfId="0" applyNumberFormat="1" applyFont="1" applyBorder="1" applyAlignment="1">
      <alignment horizontal="center"/>
    </xf>
    <xf numFmtId="3" fontId="234" fillId="0" borderId="191" xfId="0" applyNumberFormat="1" applyFont="1" applyBorder="1" applyAlignment="1">
      <alignment horizontal="center"/>
    </xf>
    <xf numFmtId="3" fontId="234" fillId="0" borderId="189" xfId="0" applyNumberFormat="1" applyFont="1" applyBorder="1" applyAlignment="1">
      <alignment horizontal="center"/>
    </xf>
    <xf numFmtId="3" fontId="234" fillId="0" borderId="176" xfId="0" applyNumberFormat="1" applyFont="1" applyBorder="1" applyAlignment="1">
      <alignment horizontal="center"/>
    </xf>
    <xf numFmtId="3" fontId="234" fillId="0" borderId="176" xfId="57" applyNumberFormat="1" applyFont="1" applyFill="1" applyBorder="1" applyAlignment="1">
      <alignment horizontal="center"/>
    </xf>
    <xf numFmtId="3" fontId="234" fillId="0" borderId="173" xfId="57" applyNumberFormat="1" applyFont="1" applyFill="1" applyBorder="1" applyAlignment="1">
      <alignment horizontal="center"/>
    </xf>
    <xf numFmtId="3" fontId="234" fillId="0" borderId="190" xfId="57" applyNumberFormat="1" applyFont="1" applyFill="1" applyBorder="1" applyAlignment="1">
      <alignment horizontal="center"/>
    </xf>
    <xf numFmtId="3" fontId="234" fillId="0" borderId="188" xfId="57" applyNumberFormat="1" applyFont="1" applyFill="1" applyBorder="1" applyAlignment="1">
      <alignment horizontal="center"/>
    </xf>
    <xf numFmtId="3" fontId="234" fillId="0" borderId="291" xfId="57" applyNumberFormat="1" applyFont="1" applyFill="1" applyBorder="1" applyAlignment="1">
      <alignment horizontal="center"/>
    </xf>
    <xf numFmtId="3" fontId="234" fillId="0" borderId="214" xfId="57" applyNumberFormat="1" applyFont="1" applyFill="1" applyBorder="1" applyAlignment="1">
      <alignment horizontal="center"/>
    </xf>
    <xf numFmtId="3" fontId="234" fillId="0" borderId="191" xfId="57" applyNumberFormat="1" applyFont="1" applyFill="1" applyBorder="1" applyAlignment="1">
      <alignment horizontal="center"/>
    </xf>
    <xf numFmtId="0" fontId="284" fillId="0" borderId="176" xfId="122" applyFont="1" applyBorder="1" applyAlignment="1">
      <alignment horizontal="center"/>
    </xf>
    <xf numFmtId="0" fontId="286" fillId="0" borderId="68" xfId="122" applyFont="1" applyBorder="1" applyAlignment="1">
      <alignment horizontal="center"/>
    </xf>
    <xf numFmtId="0" fontId="284" fillId="0" borderId="346" xfId="122" applyFont="1" applyBorder="1" applyAlignment="1">
      <alignment horizontal="center" vertical="center"/>
    </xf>
    <xf numFmtId="0" fontId="285" fillId="0" borderId="0" xfId="122" applyFont="1"/>
    <xf numFmtId="0" fontId="287" fillId="0" borderId="69" xfId="122" applyFont="1" applyBorder="1"/>
    <xf numFmtId="175" fontId="286" fillId="0" borderId="69" xfId="122" applyNumberFormat="1" applyFont="1" applyBorder="1" applyAlignment="1">
      <alignment horizontal="center"/>
    </xf>
    <xf numFmtId="2" fontId="287" fillId="0" borderId="69" xfId="122" applyNumberFormat="1" applyFont="1" applyBorder="1" applyAlignment="1">
      <alignment horizontal="center"/>
    </xf>
    <xf numFmtId="171" fontId="285" fillId="0" borderId="252" xfId="122" applyNumberFormat="1" applyFont="1" applyBorder="1" applyAlignment="1">
      <alignment horizontal="center"/>
    </xf>
    <xf numFmtId="171" fontId="285" fillId="0" borderId="252" xfId="149" applyNumberFormat="1" applyFont="1" applyFill="1" applyBorder="1" applyAlignment="1">
      <alignment horizontal="center"/>
    </xf>
    <xf numFmtId="175" fontId="287" fillId="0" borderId="69" xfId="122" applyNumberFormat="1" applyFont="1" applyBorder="1" applyAlignment="1">
      <alignment horizontal="center"/>
    </xf>
    <xf numFmtId="0" fontId="287" fillId="0" borderId="114" xfId="122" applyFont="1" applyBorder="1"/>
    <xf numFmtId="175" fontId="285" fillId="0" borderId="357" xfId="122" applyNumberFormat="1" applyFont="1" applyBorder="1" applyAlignment="1">
      <alignment horizontal="center"/>
    </xf>
    <xf numFmtId="0" fontId="285" fillId="0" borderId="90" xfId="122" applyFont="1" applyBorder="1"/>
    <xf numFmtId="0" fontId="285" fillId="0" borderId="252" xfId="122" applyFont="1" applyBorder="1"/>
    <xf numFmtId="0" fontId="285" fillId="0" borderId="331" xfId="122" applyFont="1" applyBorder="1" applyAlignment="1">
      <alignment horizontal="center"/>
    </xf>
    <xf numFmtId="175" fontId="286" fillId="0" borderId="252" xfId="122" applyNumberFormat="1" applyFont="1" applyBorder="1" applyAlignment="1">
      <alignment horizontal="center"/>
    </xf>
    <xf numFmtId="175" fontId="285" fillId="0" borderId="252" xfId="122" applyNumberFormat="1" applyFont="1" applyBorder="1" applyAlignment="1">
      <alignment horizontal="center"/>
    </xf>
    <xf numFmtId="175" fontId="285" fillId="0" borderId="331" xfId="122" applyNumberFormat="1" applyFont="1" applyBorder="1" applyAlignment="1">
      <alignment horizontal="center" vertical="center"/>
    </xf>
    <xf numFmtId="175" fontId="285" fillId="0" borderId="252" xfId="122" applyNumberFormat="1" applyFont="1" applyBorder="1" applyAlignment="1">
      <alignment horizontal="center" vertical="center"/>
    </xf>
    <xf numFmtId="175" fontId="290" fillId="0" borderId="331" xfId="122" applyNumberFormat="1" applyFont="1" applyBorder="1" applyAlignment="1">
      <alignment horizontal="center" vertical="center"/>
    </xf>
    <xf numFmtId="2" fontId="285" fillId="0" borderId="357" xfId="122" applyNumberFormat="1" applyFont="1" applyBorder="1" applyAlignment="1">
      <alignment horizontal="center" vertical="center"/>
    </xf>
    <xf numFmtId="0" fontId="291" fillId="0" borderId="57" xfId="124" applyFont="1" applyBorder="1" applyAlignment="1">
      <alignment horizontal="left" vertical="center" indent="4"/>
    </xf>
    <xf numFmtId="0" fontId="291" fillId="0" borderId="57" xfId="124" applyFont="1" applyBorder="1" applyAlignment="1">
      <alignment horizontal="left" vertical="center" indent="6"/>
    </xf>
    <xf numFmtId="0" fontId="291" fillId="0" borderId="57" xfId="124" applyFont="1" applyBorder="1" applyAlignment="1">
      <alignment horizontal="left" vertical="center" wrapText="1" indent="4"/>
    </xf>
    <xf numFmtId="0" fontId="291" fillId="0" borderId="57" xfId="124" applyFont="1" applyBorder="1" applyAlignment="1">
      <alignment horizontal="left" vertical="center" wrapText="1" indent="5"/>
    </xf>
    <xf numFmtId="0" fontId="291" fillId="0" borderId="57" xfId="124" applyFont="1" applyBorder="1" applyAlignment="1">
      <alignment horizontal="left" vertical="center" wrapText="1"/>
    </xf>
    <xf numFmtId="0" fontId="291" fillId="0" borderId="176" xfId="0" applyFont="1" applyBorder="1"/>
    <xf numFmtId="0" fontId="291" fillId="0" borderId="57" xfId="124" applyFont="1" applyBorder="1" applyAlignment="1">
      <alignment horizontal="left" vertical="center" indent="3"/>
    </xf>
    <xf numFmtId="49" fontId="291" fillId="0" borderId="57" xfId="124" applyNumberFormat="1" applyFont="1" applyBorder="1" applyAlignment="1">
      <alignment horizontal="left" wrapText="1" indent="2"/>
    </xf>
    <xf numFmtId="0" fontId="291" fillId="0" borderId="57" xfId="124" applyFont="1" applyBorder="1" applyAlignment="1">
      <alignment horizontal="left" vertical="center" wrapText="1" indent="3"/>
    </xf>
    <xf numFmtId="0" fontId="292" fillId="0" borderId="0" xfId="0" applyFont="1"/>
    <xf numFmtId="0" fontId="291" fillId="0" borderId="0" xfId="0" applyFont="1"/>
    <xf numFmtId="0" fontId="168" fillId="0" borderId="425" xfId="183" applyFont="1" applyFill="1" applyBorder="1" applyAlignment="1">
      <alignment horizontal="center" vertical="center"/>
    </xf>
    <xf numFmtId="1" fontId="168" fillId="0" borderId="425" xfId="183" applyNumberFormat="1" applyFont="1" applyFill="1" applyBorder="1" applyAlignment="1">
      <alignment horizontal="center" vertical="center"/>
    </xf>
    <xf numFmtId="1" fontId="168" fillId="0" borderId="346" xfId="183" applyNumberFormat="1" applyFont="1" applyFill="1" applyBorder="1" applyAlignment="1">
      <alignment horizontal="center" vertical="center"/>
    </xf>
    <xf numFmtId="0" fontId="183" fillId="0" borderId="252" xfId="127" quotePrefix="1" applyFont="1" applyBorder="1" applyAlignment="1">
      <alignment horizontal="center"/>
    </xf>
    <xf numFmtId="0" fontId="183" fillId="0" borderId="252" xfId="127" applyFont="1" applyBorder="1" applyAlignment="1">
      <alignment horizontal="center"/>
    </xf>
    <xf numFmtId="0" fontId="184" fillId="0" borderId="292" xfId="182" applyFont="1" applyBorder="1" applyAlignment="1">
      <alignment horizontal="center"/>
    </xf>
    <xf numFmtId="0" fontId="184" fillId="0" borderId="252" xfId="182" applyFont="1" applyBorder="1" applyAlignment="1">
      <alignment horizontal="center"/>
    </xf>
    <xf numFmtId="171" fontId="278" fillId="0" borderId="252" xfId="149" applyNumberFormat="1" applyFont="1" applyBorder="1" applyAlignment="1">
      <alignment horizontal="center"/>
    </xf>
    <xf numFmtId="171" fontId="183" fillId="0" borderId="252" xfId="149" applyNumberFormat="1" applyFont="1" applyBorder="1" applyAlignment="1">
      <alignment horizontal="center"/>
    </xf>
    <xf numFmtId="171" fontId="185" fillId="0" borderId="252" xfId="149" applyNumberFormat="1" applyFont="1" applyBorder="1" applyAlignment="1">
      <alignment horizontal="center"/>
    </xf>
    <xf numFmtId="171" fontId="184" fillId="0" borderId="252" xfId="149" applyNumberFormat="1" applyFont="1" applyBorder="1" applyAlignment="1">
      <alignment horizontal="center"/>
    </xf>
    <xf numFmtId="0" fontId="167" fillId="0" borderId="138" xfId="182" applyFont="1" applyBorder="1"/>
    <xf numFmtId="171" fontId="278" fillId="0" borderId="417" xfId="149" applyNumberFormat="1" applyFont="1" applyBorder="1" applyAlignment="1">
      <alignment horizontal="center"/>
    </xf>
    <xf numFmtId="171" fontId="183" fillId="0" borderId="428" xfId="149" applyNumberFormat="1" applyFont="1" applyBorder="1" applyAlignment="1">
      <alignment horizontal="center"/>
    </xf>
    <xf numFmtId="0" fontId="192" fillId="0" borderId="176" xfId="0" applyFont="1" applyBorder="1"/>
    <xf numFmtId="0" fontId="192" fillId="0" borderId="57" xfId="124" applyFont="1" applyBorder="1" applyAlignment="1">
      <alignment horizontal="left" vertical="center" indent="4"/>
    </xf>
    <xf numFmtId="0" fontId="192" fillId="0" borderId="57" xfId="124" applyFont="1" applyBorder="1" applyAlignment="1">
      <alignment horizontal="left" vertical="center" indent="5"/>
    </xf>
    <xf numFmtId="0" fontId="192" fillId="0" borderId="57" xfId="124" applyFont="1" applyBorder="1" applyAlignment="1">
      <alignment horizontal="left" vertical="center" wrapText="1" indent="6"/>
    </xf>
    <xf numFmtId="0" fontId="192" fillId="0" borderId="57" xfId="124" applyFont="1" applyBorder="1" applyAlignment="1">
      <alignment horizontal="left" vertical="center" indent="6"/>
    </xf>
    <xf numFmtId="0" fontId="192" fillId="0" borderId="57" xfId="124" applyFont="1" applyBorder="1" applyAlignment="1">
      <alignment horizontal="left" vertical="center" indent="10"/>
    </xf>
    <xf numFmtId="0" fontId="192" fillId="0" borderId="57" xfId="124" applyFont="1" applyBorder="1" applyAlignment="1">
      <alignment horizontal="left" vertical="center" wrapText="1" indent="4"/>
    </xf>
    <xf numFmtId="0" fontId="192" fillId="0" borderId="57" xfId="124" applyFont="1" applyBorder="1" applyAlignment="1">
      <alignment horizontal="left" vertical="center" wrapText="1" indent="5"/>
    </xf>
    <xf numFmtId="0" fontId="192" fillId="0" borderId="57" xfId="124" applyFont="1" applyBorder="1" applyAlignment="1">
      <alignment horizontal="left" vertical="center" wrapText="1" indent="10"/>
    </xf>
    <xf numFmtId="0" fontId="192" fillId="0" borderId="57" xfId="0" applyFont="1" applyBorder="1"/>
    <xf numFmtId="0" fontId="192" fillId="0" borderId="90" xfId="124" applyFont="1" applyBorder="1" applyAlignment="1">
      <alignment horizontal="left" vertical="center" wrapText="1" indent="6"/>
    </xf>
    <xf numFmtId="0" fontId="192" fillId="0" borderId="57" xfId="124" applyFont="1" applyBorder="1" applyAlignment="1">
      <alignment horizontal="left" vertical="center" wrapText="1"/>
    </xf>
    <xf numFmtId="49" fontId="192" fillId="0" borderId="57" xfId="124" applyNumberFormat="1" applyFont="1" applyBorder="1" applyAlignment="1">
      <alignment horizontal="left" indent="2"/>
    </xf>
    <xf numFmtId="0" fontId="192" fillId="0" borderId="0" xfId="0" applyFont="1"/>
    <xf numFmtId="0" fontId="244" fillId="0" borderId="56" xfId="143" applyFont="1" applyBorder="1" applyAlignment="1">
      <alignment horizontal="left"/>
    </xf>
    <xf numFmtId="0" fontId="243" fillId="0" borderId="374" xfId="0" applyFont="1" applyBorder="1"/>
    <xf numFmtId="0" fontId="242" fillId="0" borderId="357" xfId="0" applyFont="1" applyBorder="1"/>
    <xf numFmtId="0" fontId="242" fillId="0" borderId="357" xfId="0" applyFont="1" applyBorder="1" applyAlignment="1">
      <alignment horizontal="center"/>
    </xf>
    <xf numFmtId="0" fontId="242" fillId="0" borderId="358" xfId="0" applyFont="1" applyBorder="1" applyAlignment="1">
      <alignment horizontal="center"/>
    </xf>
    <xf numFmtId="0" fontId="242" fillId="0" borderId="374" xfId="0" applyFont="1" applyBorder="1" applyAlignment="1">
      <alignment horizontal="center"/>
    </xf>
    <xf numFmtId="0" fontId="242" fillId="0" borderId="381" xfId="0" applyFont="1" applyBorder="1" applyAlignment="1">
      <alignment horizontal="center"/>
    </xf>
    <xf numFmtId="171" fontId="225" fillId="0" borderId="425" xfId="149" applyNumberFormat="1" applyFont="1" applyFill="1" applyBorder="1" applyAlignment="1">
      <alignment horizontal="center"/>
    </xf>
    <xf numFmtId="179" fontId="157" fillId="0" borderId="425" xfId="57" applyNumberFormat="1" applyFont="1" applyFill="1" applyBorder="1" applyAlignment="1">
      <alignment horizontal="center"/>
    </xf>
    <xf numFmtId="171" fontId="121" fillId="0" borderId="329" xfId="149" applyNumberFormat="1" applyFont="1" applyFill="1" applyBorder="1" applyAlignment="1">
      <alignment horizontal="center"/>
    </xf>
    <xf numFmtId="171" fontId="120" fillId="0" borderId="425" xfId="149" applyNumberFormat="1" applyFont="1" applyFill="1" applyBorder="1" applyAlignment="1">
      <alignment horizontal="center"/>
    </xf>
    <xf numFmtId="171" fontId="122" fillId="0" borderId="329" xfId="149" applyNumberFormat="1" applyFont="1" applyFill="1" applyBorder="1" applyAlignment="1">
      <alignment horizontal="center"/>
    </xf>
    <xf numFmtId="171" fontId="123" fillId="0" borderId="329" xfId="149" applyNumberFormat="1" applyFont="1" applyFill="1" applyBorder="1" applyAlignment="1">
      <alignment horizontal="center"/>
    </xf>
    <xf numFmtId="172" fontId="120" fillId="0" borderId="415" xfId="57" applyNumberFormat="1" applyFont="1" applyFill="1" applyBorder="1" applyAlignment="1">
      <alignment horizontal="center"/>
    </xf>
    <xf numFmtId="43" fontId="242" fillId="0" borderId="374" xfId="57" applyFont="1" applyFill="1" applyBorder="1" applyAlignment="1">
      <alignment horizontal="center"/>
    </xf>
    <xf numFmtId="172" fontId="242" fillId="32" borderId="329" xfId="122" applyNumberFormat="1" applyFont="1" applyFill="1" applyBorder="1" applyAlignment="1">
      <alignment horizontal="center"/>
    </xf>
    <xf numFmtId="172" fontId="243" fillId="32" borderId="426" xfId="122" applyNumberFormat="1" applyFont="1" applyFill="1" applyBorder="1" applyAlignment="1">
      <alignment horizontal="center"/>
    </xf>
    <xf numFmtId="172" fontId="244" fillId="32" borderId="415" xfId="122" applyNumberFormat="1" applyFont="1" applyFill="1" applyBorder="1" applyAlignment="1">
      <alignment horizontal="center"/>
    </xf>
    <xf numFmtId="179" fontId="200" fillId="33" borderId="347" xfId="57" applyNumberFormat="1" applyFont="1" applyFill="1" applyBorder="1" applyAlignment="1">
      <alignment horizontal="center"/>
    </xf>
    <xf numFmtId="179" fontId="201" fillId="33" borderId="374" xfId="57" applyNumberFormat="1" applyFont="1" applyFill="1" applyBorder="1" applyAlignment="1">
      <alignment horizontal="center"/>
    </xf>
    <xf numFmtId="171" fontId="285" fillId="0" borderId="0" xfId="149" applyNumberFormat="1" applyFont="1" applyFill="1" applyBorder="1" applyAlignment="1">
      <alignment horizontal="center"/>
    </xf>
    <xf numFmtId="0" fontId="285" fillId="0" borderId="292" xfId="122" applyFont="1" applyBorder="1"/>
    <xf numFmtId="2" fontId="184" fillId="0" borderId="331" xfId="0" applyNumberFormat="1" applyFont="1" applyBorder="1" applyAlignment="1">
      <alignment horizontal="center"/>
    </xf>
    <xf numFmtId="172" fontId="184" fillId="0" borderId="331" xfId="0" applyNumberFormat="1" applyFont="1" applyBorder="1" applyAlignment="1">
      <alignment horizontal="center"/>
    </xf>
    <xf numFmtId="172" fontId="184" fillId="0" borderId="331" xfId="57" applyNumberFormat="1" applyFont="1" applyFill="1" applyBorder="1" applyAlignment="1">
      <alignment horizontal="center" vertical="center"/>
    </xf>
    <xf numFmtId="3" fontId="234" fillId="0" borderId="331" xfId="57" applyNumberFormat="1" applyFont="1" applyFill="1" applyBorder="1" applyAlignment="1">
      <alignment horizontal="center"/>
    </xf>
    <xf numFmtId="0" fontId="167" fillId="0" borderId="407" xfId="0" applyFont="1" applyBorder="1"/>
    <xf numFmtId="171" fontId="186" fillId="0" borderId="252" xfId="149" applyNumberFormat="1" applyFont="1" applyFill="1" applyBorder="1" applyAlignment="1">
      <alignment horizontal="center"/>
    </xf>
    <xf numFmtId="0" fontId="180" fillId="0" borderId="407" xfId="0" applyFont="1" applyBorder="1"/>
    <xf numFmtId="0" fontId="147" fillId="0" borderId="425" xfId="0" applyFont="1" applyBorder="1" applyAlignment="1">
      <alignment horizontal="center"/>
    </xf>
    <xf numFmtId="2" fontId="150" fillId="0" borderId="418" xfId="1331" applyNumberFormat="1" applyFont="1" applyBorder="1" applyAlignment="1">
      <alignment horizontal="center"/>
    </xf>
    <xf numFmtId="2" fontId="151" fillId="0" borderId="415" xfId="0" applyNumberFormat="1" applyFont="1" applyBorder="1" applyAlignment="1">
      <alignment horizontal="center"/>
    </xf>
    <xf numFmtId="10" fontId="243" fillId="0" borderId="0" xfId="149" applyNumberFormat="1" applyFont="1" applyFill="1"/>
    <xf numFmtId="175" fontId="141" fillId="0" borderId="0" xfId="122" applyNumberFormat="1" applyFont="1"/>
    <xf numFmtId="0" fontId="151" fillId="0" borderId="425" xfId="122" applyFont="1" applyBorder="1" applyAlignment="1">
      <alignment horizontal="center"/>
    </xf>
    <xf numFmtId="2" fontId="151" fillId="0" borderId="425" xfId="122" applyNumberFormat="1" applyFont="1" applyBorder="1" applyAlignment="1">
      <alignment horizontal="center"/>
    </xf>
    <xf numFmtId="49" fontId="151" fillId="0" borderId="425" xfId="122" applyNumberFormat="1" applyFont="1" applyBorder="1" applyAlignment="1">
      <alignment horizontal="center"/>
    </xf>
    <xf numFmtId="49" fontId="168" fillId="0" borderId="425" xfId="122" applyNumberFormat="1" applyFont="1" applyBorder="1" applyAlignment="1">
      <alignment horizontal="center"/>
    </xf>
    <xf numFmtId="0" fontId="187" fillId="0" borderId="424" xfId="122" applyFont="1" applyBorder="1" applyAlignment="1">
      <alignment horizontal="center"/>
    </xf>
    <xf numFmtId="2" fontId="187" fillId="0" borderId="362" xfId="122" applyNumberFormat="1" applyFont="1" applyBorder="1"/>
    <xf numFmtId="2" fontId="187" fillId="0" borderId="415" xfId="122" applyNumberFormat="1" applyFont="1" applyBorder="1" applyAlignment="1">
      <alignment horizontal="center"/>
    </xf>
    <xf numFmtId="175" fontId="187" fillId="0" borderId="415" xfId="122" applyNumberFormat="1" applyFont="1" applyBorder="1" applyAlignment="1">
      <alignment horizontal="center"/>
    </xf>
    <xf numFmtId="175" fontId="187" fillId="32" borderId="415" xfId="122" applyNumberFormat="1" applyFont="1" applyFill="1" applyBorder="1" applyAlignment="1">
      <alignment horizontal="center"/>
    </xf>
    <xf numFmtId="0" fontId="121" fillId="0" borderId="0" xfId="124" applyFont="1"/>
    <xf numFmtId="0" fontId="121" fillId="0" borderId="354" xfId="124" applyFont="1" applyBorder="1"/>
    <xf numFmtId="0" fontId="140" fillId="0" borderId="354" xfId="124" applyFont="1" applyBorder="1"/>
    <xf numFmtId="0" fontId="120" fillId="0" borderId="176" xfId="124" applyFont="1" applyBorder="1"/>
    <xf numFmtId="0" fontId="120" fillId="0" borderId="425" xfId="124" applyFont="1" applyBorder="1" applyAlignment="1">
      <alignment horizontal="center"/>
    </xf>
    <xf numFmtId="0" fontId="120" fillId="0" borderId="347" xfId="124" applyFont="1" applyBorder="1" applyAlignment="1">
      <alignment horizontal="center"/>
    </xf>
    <xf numFmtId="0" fontId="120" fillId="0" borderId="90" xfId="124" applyFont="1" applyBorder="1"/>
    <xf numFmtId="0" fontId="121" fillId="0" borderId="292" xfId="124" applyFont="1" applyBorder="1"/>
    <xf numFmtId="0" fontId="121" fillId="0" borderId="292" xfId="124" applyFont="1" applyBorder="1" applyAlignment="1">
      <alignment horizontal="center"/>
    </xf>
    <xf numFmtId="175" fontId="120" fillId="0" borderId="329" xfId="124" applyNumberFormat="1" applyFont="1" applyBorder="1" applyAlignment="1">
      <alignment horizontal="center"/>
    </xf>
    <xf numFmtId="172" fontId="121" fillId="0" borderId="0" xfId="124" applyNumberFormat="1" applyFont="1"/>
    <xf numFmtId="175" fontId="120" fillId="0" borderId="0" xfId="124" applyNumberFormat="1" applyFont="1"/>
    <xf numFmtId="0" fontId="121" fillId="0" borderId="90" xfId="124" applyFont="1" applyBorder="1"/>
    <xf numFmtId="175" fontId="121" fillId="0" borderId="0" xfId="124" applyNumberFormat="1" applyFont="1"/>
    <xf numFmtId="175" fontId="121" fillId="0" borderId="329" xfId="124" applyNumberFormat="1" applyFont="1" applyBorder="1" applyAlignment="1">
      <alignment horizontal="center"/>
    </xf>
    <xf numFmtId="175" fontId="142" fillId="0" borderId="329" xfId="124" applyNumberFormat="1" applyFont="1" applyBorder="1" applyAlignment="1">
      <alignment horizontal="center"/>
    </xf>
    <xf numFmtId="0" fontId="140" fillId="0" borderId="329" xfId="124" applyFont="1" applyBorder="1"/>
    <xf numFmtId="175" fontId="140" fillId="0" borderId="418" xfId="124" applyNumberFormat="1" applyFont="1" applyBorder="1"/>
    <xf numFmtId="175" fontId="121" fillId="0" borderId="418" xfId="124" applyNumberFormat="1" applyFont="1" applyBorder="1"/>
    <xf numFmtId="0" fontId="120" fillId="0" borderId="204" xfId="124" applyFont="1" applyBorder="1"/>
    <xf numFmtId="0" fontId="134" fillId="0" borderId="0" xfId="124" applyFont="1"/>
    <xf numFmtId="0" fontId="142" fillId="0" borderId="425" xfId="124" applyFont="1" applyBorder="1" applyAlignment="1">
      <alignment horizontal="center"/>
    </xf>
    <xf numFmtId="0" fontId="121" fillId="0" borderId="329" xfId="124" applyFont="1" applyBorder="1"/>
    <xf numFmtId="0" fontId="121" fillId="0" borderId="329" xfId="124" applyFont="1" applyBorder="1" applyAlignment="1">
      <alignment horizontal="center"/>
    </xf>
    <xf numFmtId="172" fontId="142" fillId="0" borderId="329" xfId="124" applyNumberFormat="1" applyFont="1" applyBorder="1" applyAlignment="1">
      <alignment horizontal="center"/>
    </xf>
    <xf numFmtId="172" fontId="142" fillId="0" borderId="331" xfId="124" applyNumberFormat="1" applyFont="1" applyBorder="1" applyAlignment="1">
      <alignment horizontal="center"/>
    </xf>
    <xf numFmtId="172" fontId="120" fillId="0" borderId="329" xfId="124" applyNumberFormat="1" applyFont="1" applyBorder="1" applyAlignment="1">
      <alignment horizontal="center"/>
    </xf>
    <xf numFmtId="172" fontId="121" fillId="0" borderId="329" xfId="124" applyNumberFormat="1" applyFont="1" applyBorder="1"/>
    <xf numFmtId="172" fontId="121" fillId="0" borderId="329" xfId="124" applyNumberFormat="1" applyFont="1" applyBorder="1" applyAlignment="1">
      <alignment horizontal="center"/>
    </xf>
    <xf numFmtId="172" fontId="121" fillId="0" borderId="331" xfId="124" applyNumberFormat="1" applyFont="1" applyBorder="1" applyAlignment="1">
      <alignment horizontal="center"/>
    </xf>
    <xf numFmtId="172" fontId="120" fillId="0" borderId="331" xfId="124" applyNumberFormat="1" applyFont="1" applyBorder="1" applyAlignment="1">
      <alignment horizontal="center"/>
    </xf>
    <xf numFmtId="172" fontId="120" fillId="0" borderId="0" xfId="124" applyNumberFormat="1" applyFont="1" applyAlignment="1">
      <alignment horizontal="center"/>
    </xf>
    <xf numFmtId="172" fontId="142" fillId="0" borderId="415" xfId="57" applyNumberFormat="1" applyFont="1" applyFill="1" applyBorder="1" applyAlignment="1">
      <alignment horizontal="center"/>
    </xf>
    <xf numFmtId="0" fontId="140" fillId="0" borderId="0" xfId="124" applyFont="1"/>
    <xf numFmtId="0" fontId="123" fillId="0" borderId="0" xfId="1317" applyFont="1"/>
    <xf numFmtId="0" fontId="123" fillId="0" borderId="354" xfId="1317" applyFont="1" applyBorder="1"/>
    <xf numFmtId="0" fontId="122" fillId="0" borderId="293" xfId="1317" applyFont="1" applyBorder="1"/>
    <xf numFmtId="0" fontId="122" fillId="0" borderId="400" xfId="1317" applyFont="1" applyBorder="1" applyAlignment="1">
      <alignment horizontal="center"/>
    </xf>
    <xf numFmtId="0" fontId="122" fillId="0" borderId="425" xfId="124" applyFont="1" applyBorder="1" applyAlignment="1">
      <alignment horizontal="center"/>
    </xf>
    <xf numFmtId="0" fontId="122" fillId="0" borderId="425" xfId="1317" applyFont="1" applyBorder="1" applyAlignment="1">
      <alignment horizontal="center"/>
    </xf>
    <xf numFmtId="0" fontId="123" fillId="0" borderId="411" xfId="1317" applyFont="1" applyBorder="1"/>
    <xf numFmtId="0" fontId="123" fillId="0" borderId="428" xfId="1317" applyFont="1" applyBorder="1"/>
    <xf numFmtId="0" fontId="123" fillId="0" borderId="329" xfId="1317" applyFont="1" applyBorder="1"/>
    <xf numFmtId="0" fontId="122" fillId="0" borderId="90" xfId="1317" applyFont="1" applyBorder="1"/>
    <xf numFmtId="0" fontId="122" fillId="0" borderId="329" xfId="1317" applyFont="1" applyBorder="1"/>
    <xf numFmtId="0" fontId="123" fillId="0" borderId="90" xfId="1317" applyFont="1" applyBorder="1"/>
    <xf numFmtId="171" fontId="122" fillId="0" borderId="176" xfId="1317" applyNumberFormat="1" applyFont="1" applyBorder="1"/>
    <xf numFmtId="171" fontId="122" fillId="0" borderId="425" xfId="1317" applyNumberFormat="1" applyFont="1" applyBorder="1" applyAlignment="1">
      <alignment horizontal="center"/>
    </xf>
    <xf numFmtId="0" fontId="135" fillId="0" borderId="0" xfId="124" applyFont="1"/>
    <xf numFmtId="0" fontId="135" fillId="0" borderId="0" xfId="1317" applyFont="1"/>
    <xf numFmtId="0" fontId="122" fillId="0" borderId="0" xfId="124" applyFont="1"/>
    <xf numFmtId="0" fontId="122" fillId="0" borderId="0" xfId="1317" applyFont="1"/>
    <xf numFmtId="0" fontId="122" fillId="0" borderId="176" xfId="1317" applyFont="1" applyBorder="1"/>
    <xf numFmtId="171" fontId="122" fillId="0" borderId="329" xfId="1317" applyNumberFormat="1" applyFont="1" applyBorder="1" applyAlignment="1">
      <alignment horizontal="center"/>
    </xf>
    <xf numFmtId="171" fontId="123" fillId="0" borderId="329" xfId="1317" applyNumberFormat="1" applyFont="1" applyBorder="1" applyAlignment="1">
      <alignment horizontal="center"/>
    </xf>
    <xf numFmtId="171" fontId="123" fillId="0" borderId="329" xfId="149" applyNumberFormat="1" applyFont="1" applyFill="1" applyBorder="1"/>
    <xf numFmtId="0" fontId="123" fillId="0" borderId="357" xfId="1317" applyFont="1" applyBorder="1"/>
    <xf numFmtId="0" fontId="123" fillId="0" borderId="0" xfId="124" applyFont="1"/>
    <xf numFmtId="0" fontId="122" fillId="0" borderId="354" xfId="124" applyFont="1" applyBorder="1" applyAlignment="1">
      <alignment horizontal="center"/>
    </xf>
    <xf numFmtId="0" fontId="123" fillId="0" borderId="354" xfId="124" applyFont="1" applyBorder="1"/>
    <xf numFmtId="0" fontId="122" fillId="0" borderId="176" xfId="124" applyFont="1" applyBorder="1"/>
    <xf numFmtId="0" fontId="122" fillId="0" borderId="90" xfId="124" applyFont="1" applyBorder="1"/>
    <xf numFmtId="0" fontId="123" fillId="0" borderId="90" xfId="124" applyFont="1" applyBorder="1"/>
    <xf numFmtId="0" fontId="121" fillId="0" borderId="331" xfId="124" applyFont="1" applyBorder="1"/>
    <xf numFmtId="0" fontId="122" fillId="0" borderId="0" xfId="124" applyFont="1" applyAlignment="1">
      <alignment horizontal="center"/>
    </xf>
    <xf numFmtId="0" fontId="121" fillId="0" borderId="0" xfId="124" applyFont="1" applyAlignment="1">
      <alignment horizontal="center"/>
    </xf>
    <xf numFmtId="0" fontId="120" fillId="0" borderId="102" xfId="124" applyFont="1" applyBorder="1"/>
    <xf numFmtId="0" fontId="120" fillId="0" borderId="354" xfId="124" applyFont="1" applyBorder="1" applyAlignment="1">
      <alignment horizontal="center"/>
    </xf>
    <xf numFmtId="0" fontId="120" fillId="0" borderId="116" xfId="124" applyFont="1" applyBorder="1"/>
    <xf numFmtId="171" fontId="120" fillId="0" borderId="329" xfId="124" applyNumberFormat="1" applyFont="1" applyBorder="1" applyAlignment="1">
      <alignment horizontal="center"/>
    </xf>
    <xf numFmtId="171" fontId="120" fillId="0" borderId="331" xfId="124" applyNumberFormat="1" applyFont="1" applyBorder="1" applyAlignment="1">
      <alignment horizontal="center"/>
    </xf>
    <xf numFmtId="171" fontId="121" fillId="0" borderId="329" xfId="124" applyNumberFormat="1" applyFont="1" applyBorder="1" applyAlignment="1">
      <alignment horizontal="center"/>
    </xf>
    <xf numFmtId="171" fontId="121" fillId="0" borderId="331" xfId="124" applyNumberFormat="1" applyFont="1" applyBorder="1" applyAlignment="1">
      <alignment horizontal="center"/>
    </xf>
    <xf numFmtId="0" fontId="121" fillId="0" borderId="116" xfId="124" applyFont="1" applyBorder="1"/>
    <xf numFmtId="0" fontId="121" fillId="0" borderId="357" xfId="124" applyFont="1" applyBorder="1"/>
    <xf numFmtId="171" fontId="121" fillId="0" borderId="0" xfId="124" applyNumberFormat="1" applyFont="1" applyAlignment="1">
      <alignment horizontal="center"/>
    </xf>
    <xf numFmtId="0" fontId="122" fillId="0" borderId="354" xfId="122" applyFont="1" applyBorder="1" applyAlignment="1">
      <alignment horizontal="center"/>
    </xf>
    <xf numFmtId="0" fontId="120" fillId="0" borderId="0" xfId="122" applyFont="1" applyAlignment="1">
      <alignment horizontal="center"/>
    </xf>
    <xf numFmtId="0" fontId="120" fillId="0" borderId="354" xfId="122" applyFont="1" applyBorder="1" applyAlignment="1">
      <alignment horizontal="center"/>
    </xf>
    <xf numFmtId="0" fontId="122" fillId="0" borderId="176" xfId="122" applyFont="1" applyBorder="1"/>
    <xf numFmtId="0" fontId="120" fillId="0" borderId="425" xfId="122" applyFont="1" applyBorder="1" applyAlignment="1">
      <alignment horizontal="center"/>
    </xf>
    <xf numFmtId="0" fontId="120" fillId="0" borderId="346" xfId="122" applyFont="1" applyBorder="1" applyAlignment="1">
      <alignment horizontal="center"/>
    </xf>
    <xf numFmtId="0" fontId="123" fillId="0" borderId="90" xfId="122" applyFont="1" applyBorder="1"/>
    <xf numFmtId="0" fontId="121" fillId="0" borderId="292" xfId="122" applyFont="1" applyBorder="1"/>
    <xf numFmtId="0" fontId="121" fillId="0" borderId="400" xfId="122" applyFont="1" applyBorder="1" applyAlignment="1">
      <alignment horizontal="center"/>
    </xf>
    <xf numFmtId="0" fontId="121" fillId="0" borderId="292" xfId="122" applyFont="1" applyBorder="1" applyAlignment="1">
      <alignment horizontal="center"/>
    </xf>
    <xf numFmtId="0" fontId="122" fillId="0" borderId="90" xfId="122" applyFont="1" applyBorder="1"/>
    <xf numFmtId="175" fontId="120" fillId="0" borderId="329" xfId="122" applyNumberFormat="1" applyFont="1" applyBorder="1" applyAlignment="1">
      <alignment horizontal="center"/>
    </xf>
    <xf numFmtId="175" fontId="123" fillId="0" borderId="0" xfId="124" applyNumberFormat="1" applyFont="1"/>
    <xf numFmtId="175" fontId="120" fillId="0" borderId="329" xfId="122" applyNumberFormat="1" applyFont="1" applyBorder="1"/>
    <xf numFmtId="175" fontId="121" fillId="0" borderId="329" xfId="122" applyNumberFormat="1" applyFont="1" applyBorder="1"/>
    <xf numFmtId="0" fontId="121" fillId="0" borderId="116" xfId="122" applyFont="1" applyBorder="1" applyAlignment="1">
      <alignment horizontal="center"/>
    </xf>
    <xf numFmtId="0" fontId="121" fillId="0" borderId="329" xfId="122" applyFont="1" applyBorder="1" applyAlignment="1">
      <alignment horizontal="center"/>
    </xf>
    <xf numFmtId="175" fontId="121" fillId="0" borderId="329" xfId="122" applyNumberFormat="1" applyFont="1" applyBorder="1" applyAlignment="1">
      <alignment horizontal="center"/>
    </xf>
    <xf numFmtId="0" fontId="122" fillId="0" borderId="204" xfId="122" applyFont="1" applyBorder="1"/>
    <xf numFmtId="175" fontId="120" fillId="0" borderId="415" xfId="122" applyNumberFormat="1" applyFont="1" applyBorder="1" applyAlignment="1">
      <alignment horizontal="center"/>
    </xf>
    <xf numFmtId="175" fontId="120" fillId="0" borderId="364" xfId="122" applyNumberFormat="1" applyFont="1" applyBorder="1" applyAlignment="1">
      <alignment horizontal="center"/>
    </xf>
    <xf numFmtId="0" fontId="123" fillId="0" borderId="0" xfId="122" applyFont="1"/>
    <xf numFmtId="0" fontId="137" fillId="0" borderId="0" xfId="122" applyFont="1" applyAlignment="1">
      <alignment horizontal="center"/>
    </xf>
    <xf numFmtId="0" fontId="253" fillId="0" borderId="176" xfId="122" applyFont="1" applyBorder="1"/>
    <xf numFmtId="0" fontId="137" fillId="0" borderId="425" xfId="122" applyFont="1" applyBorder="1" applyAlignment="1">
      <alignment horizontal="center"/>
    </xf>
    <xf numFmtId="0" fontId="157" fillId="0" borderId="346" xfId="122" applyFont="1" applyBorder="1" applyAlignment="1">
      <alignment horizontal="center"/>
    </xf>
    <xf numFmtId="0" fontId="157" fillId="0" borderId="425" xfId="122" applyFont="1" applyBorder="1" applyAlignment="1">
      <alignment horizontal="center"/>
    </xf>
    <xf numFmtId="175" fontId="137" fillId="0" borderId="0" xfId="122" applyNumberFormat="1" applyFont="1"/>
    <xf numFmtId="0" fontId="137" fillId="0" borderId="0" xfId="122" applyFont="1"/>
    <xf numFmtId="175" fontId="138" fillId="0" borderId="0" xfId="122" applyNumberFormat="1" applyFont="1"/>
    <xf numFmtId="0" fontId="141" fillId="0" borderId="293" xfId="122" applyFont="1" applyBorder="1"/>
    <xf numFmtId="0" fontId="138" fillId="0" borderId="292" xfId="122" applyFont="1" applyBorder="1"/>
    <xf numFmtId="0" fontId="158" fillId="0" borderId="424" xfId="122" applyFont="1" applyBorder="1"/>
    <xf numFmtId="0" fontId="158" fillId="0" borderId="292" xfId="122" applyFont="1" applyBorder="1" applyAlignment="1">
      <alignment horizontal="center"/>
    </xf>
    <xf numFmtId="0" fontId="253" fillId="0" borderId="90" xfId="122" applyFont="1" applyBorder="1"/>
    <xf numFmtId="175" fontId="137" fillId="0" borderId="329" xfId="122" applyNumberFormat="1" applyFont="1" applyBorder="1" applyAlignment="1">
      <alignment horizontal="center"/>
    </xf>
    <xf numFmtId="0" fontId="141" fillId="0" borderId="90" xfId="122" applyFont="1" applyBorder="1"/>
    <xf numFmtId="175" fontId="138" fillId="0" borderId="329" xfId="122" applyNumberFormat="1" applyFont="1" applyBorder="1"/>
    <xf numFmtId="175" fontId="138" fillId="0" borderId="331" xfId="122" applyNumberFormat="1" applyFont="1" applyBorder="1" applyAlignment="1">
      <alignment horizontal="center"/>
    </xf>
    <xf numFmtId="175" fontId="158" fillId="0" borderId="329" xfId="122" applyNumberFormat="1" applyFont="1" applyBorder="1" applyAlignment="1">
      <alignment horizontal="center"/>
    </xf>
    <xf numFmtId="0" fontId="139" fillId="0" borderId="0" xfId="122" applyFont="1"/>
    <xf numFmtId="0" fontId="141" fillId="0" borderId="308" xfId="122" applyFont="1" applyBorder="1"/>
    <xf numFmtId="175" fontId="138" fillId="0" borderId="357" xfId="122" applyNumberFormat="1" applyFont="1" applyBorder="1"/>
    <xf numFmtId="175" fontId="158" fillId="0" borderId="358" xfId="122" applyNumberFormat="1" applyFont="1" applyBorder="1"/>
    <xf numFmtId="0" fontId="158" fillId="0" borderId="357" xfId="122" applyFont="1" applyBorder="1" applyAlignment="1">
      <alignment horizontal="center"/>
    </xf>
    <xf numFmtId="175" fontId="136" fillId="0" borderId="425" xfId="122" applyNumberFormat="1" applyFont="1" applyBorder="1" applyAlignment="1">
      <alignment horizontal="center"/>
    </xf>
    <xf numFmtId="175" fontId="225" fillId="0" borderId="346" xfId="122" applyNumberFormat="1" applyFont="1" applyBorder="1" applyAlignment="1">
      <alignment horizontal="center"/>
    </xf>
    <xf numFmtId="175" fontId="225" fillId="0" borderId="425" xfId="122" applyNumberFormat="1" applyFont="1" applyBorder="1" applyAlignment="1">
      <alignment horizontal="center"/>
    </xf>
    <xf numFmtId="171" fontId="136" fillId="0" borderId="425" xfId="149" applyNumberFormat="1" applyFont="1" applyFill="1" applyBorder="1" applyAlignment="1">
      <alignment horizontal="center"/>
    </xf>
    <xf numFmtId="0" fontId="139" fillId="0" borderId="0" xfId="124" applyFont="1"/>
    <xf numFmtId="0" fontId="138" fillId="0" borderId="176" xfId="122" applyFont="1" applyBorder="1"/>
    <xf numFmtId="0" fontId="138" fillId="0" borderId="90" xfId="122" applyFont="1" applyBorder="1"/>
    <xf numFmtId="172" fontId="138" fillId="0" borderId="329" xfId="57" applyNumberFormat="1" applyFont="1" applyFill="1" applyBorder="1" applyAlignment="1">
      <alignment horizontal="center"/>
    </xf>
    <xf numFmtId="175" fontId="138" fillId="0" borderId="329" xfId="122" applyNumberFormat="1" applyFont="1" applyBorder="1" applyAlignment="1">
      <alignment horizontal="center"/>
    </xf>
    <xf numFmtId="0" fontId="137" fillId="0" borderId="176" xfId="122" applyFont="1" applyBorder="1"/>
    <xf numFmtId="179" fontId="137" fillId="0" borderId="425" xfId="57" applyNumberFormat="1" applyFont="1" applyFill="1" applyBorder="1" applyAlignment="1">
      <alignment horizontal="center"/>
    </xf>
    <xf numFmtId="174" fontId="139" fillId="0" borderId="0" xfId="122" applyNumberFormat="1" applyFont="1" applyAlignment="1">
      <alignment horizontal="center"/>
    </xf>
    <xf numFmtId="175" fontId="138" fillId="0" borderId="0" xfId="122" applyNumberFormat="1" applyFont="1" applyAlignment="1">
      <alignment horizontal="center"/>
    </xf>
    <xf numFmtId="0" fontId="167" fillId="0" borderId="0" xfId="122" applyFont="1"/>
    <xf numFmtId="0" fontId="285" fillId="0" borderId="252" xfId="122" applyFont="1" applyBorder="1" applyAlignment="1">
      <alignment horizontal="center"/>
    </xf>
    <xf numFmtId="0" fontId="289" fillId="0" borderId="252" xfId="122" applyFont="1" applyBorder="1"/>
    <xf numFmtId="0" fontId="284" fillId="0" borderId="90" xfId="122" applyFont="1" applyBorder="1"/>
    <xf numFmtId="175" fontId="284" fillId="0" borderId="252" xfId="122" applyNumberFormat="1" applyFont="1" applyBorder="1" applyAlignment="1">
      <alignment horizontal="center"/>
    </xf>
    <xf numFmtId="175" fontId="287" fillId="0" borderId="252" xfId="122" applyNumberFormat="1" applyFont="1" applyBorder="1" applyAlignment="1">
      <alignment horizontal="center"/>
    </xf>
    <xf numFmtId="175" fontId="287" fillId="0" borderId="252" xfId="122" applyNumberFormat="1" applyFont="1" applyBorder="1" applyAlignment="1">
      <alignment horizontal="center" vertical="center"/>
    </xf>
    <xf numFmtId="0" fontId="285" fillId="0" borderId="90" xfId="122" applyFont="1" applyBorder="1" applyAlignment="1">
      <alignment vertical="center" wrapText="1"/>
    </xf>
    <xf numFmtId="0" fontId="285" fillId="0" borderId="308" xfId="122" applyFont="1" applyBorder="1"/>
    <xf numFmtId="0" fontId="285" fillId="0" borderId="357" xfId="122" applyFont="1" applyBorder="1"/>
    <xf numFmtId="2" fontId="285" fillId="0" borderId="358" xfId="122" applyNumberFormat="1" applyFont="1" applyBorder="1" applyAlignment="1">
      <alignment horizontal="center" vertical="center"/>
    </xf>
    <xf numFmtId="2" fontId="289" fillId="0" borderId="357" xfId="122" applyNumberFormat="1" applyFont="1" applyBorder="1" applyAlignment="1">
      <alignment horizontal="center" vertical="center"/>
    </xf>
    <xf numFmtId="0" fontId="284" fillId="0" borderId="346" xfId="122" applyFont="1" applyBorder="1" applyAlignment="1">
      <alignment horizontal="center"/>
    </xf>
    <xf numFmtId="0" fontId="284" fillId="0" borderId="425" xfId="122" applyFont="1" applyBorder="1" applyAlignment="1">
      <alignment horizontal="center"/>
    </xf>
    <xf numFmtId="171" fontId="284" fillId="0" borderId="252" xfId="122" applyNumberFormat="1" applyFont="1" applyBorder="1" applyAlignment="1">
      <alignment horizontal="center"/>
    </xf>
    <xf numFmtId="0" fontId="288" fillId="0" borderId="357" xfId="122" applyFont="1" applyBorder="1"/>
    <xf numFmtId="175" fontId="285" fillId="0" borderId="354" xfId="122" applyNumberFormat="1" applyFont="1" applyBorder="1" applyAlignment="1">
      <alignment horizontal="center"/>
    </xf>
    <xf numFmtId="2" fontId="230" fillId="0" borderId="0" xfId="122" applyNumberFormat="1" applyFont="1"/>
    <xf numFmtId="2" fontId="230" fillId="0" borderId="407" xfId="122" applyNumberFormat="1" applyFont="1" applyBorder="1"/>
    <xf numFmtId="173" fontId="149" fillId="26" borderId="329" xfId="124" applyNumberFormat="1" applyFont="1" applyFill="1" applyBorder="1" applyAlignment="1">
      <alignment horizontal="center"/>
    </xf>
    <xf numFmtId="170" fontId="149" fillId="26" borderId="329" xfId="124" applyNumberFormat="1" applyFont="1" applyFill="1" applyBorder="1" applyAlignment="1">
      <alignment horizontal="center"/>
    </xf>
    <xf numFmtId="0" fontId="152" fillId="0" borderId="0" xfId="122" applyFont="1"/>
    <xf numFmtId="0" fontId="152" fillId="0" borderId="0" xfId="124" applyFont="1"/>
    <xf numFmtId="173" fontId="149" fillId="26" borderId="292" xfId="124" applyNumberFormat="1" applyFont="1" applyFill="1" applyBorder="1" applyAlignment="1">
      <alignment horizontal="center"/>
    </xf>
    <xf numFmtId="0" fontId="151" fillId="0" borderId="24" xfId="0" applyFont="1" applyBorder="1" applyAlignment="1">
      <alignment horizontal="center" vertical="center"/>
    </xf>
    <xf numFmtId="0" fontId="151" fillId="29" borderId="411" xfId="0" applyFont="1" applyFill="1" applyBorder="1" applyAlignment="1">
      <alignment horizontal="center" vertical="center"/>
    </xf>
    <xf numFmtId="37" fontId="167" fillId="0" borderId="431" xfId="122" applyNumberFormat="1" applyFont="1" applyBorder="1" applyAlignment="1">
      <alignment horizontal="center" vertical="center"/>
    </xf>
    <xf numFmtId="3" fontId="167" fillId="0" borderId="161" xfId="57" applyNumberFormat="1" applyFont="1" applyFill="1" applyBorder="1" applyAlignment="1" applyProtection="1">
      <alignment horizontal="center" vertical="center"/>
    </xf>
    <xf numFmtId="0" fontId="256" fillId="0" borderId="436" xfId="830" applyFont="1" applyBorder="1" applyAlignment="1">
      <alignment horizontal="center" vertical="center"/>
    </xf>
    <xf numFmtId="172" fontId="255" fillId="0" borderId="438" xfId="57" applyNumberFormat="1" applyFont="1" applyFill="1" applyBorder="1" applyAlignment="1">
      <alignment horizontal="center" vertical="center"/>
    </xf>
    <xf numFmtId="172" fontId="255" fillId="0" borderId="331" xfId="57" applyNumberFormat="1" applyFont="1" applyFill="1" applyBorder="1" applyAlignment="1">
      <alignment horizontal="center" vertical="center" wrapText="1"/>
    </xf>
    <xf numFmtId="172" fontId="255" fillId="0" borderId="331" xfId="57" applyNumberFormat="1" applyFont="1" applyBorder="1" applyAlignment="1">
      <alignment horizontal="center" vertical="center"/>
    </xf>
    <xf numFmtId="0" fontId="293" fillId="0" borderId="57" xfId="124" applyFont="1" applyBorder="1" applyAlignment="1">
      <alignment horizontal="left" vertical="center" indent="5"/>
    </xf>
    <xf numFmtId="0" fontId="256" fillId="0" borderId="435" xfId="830" applyFont="1" applyBorder="1" applyAlignment="1">
      <alignment horizontal="center" vertical="center"/>
    </xf>
    <xf numFmtId="172" fontId="255" fillId="0" borderId="357" xfId="57" applyNumberFormat="1" applyFont="1" applyFill="1" applyBorder="1" applyAlignment="1">
      <alignment horizontal="center" vertical="center"/>
    </xf>
    <xf numFmtId="17" fontId="147" fillId="0" borderId="435" xfId="830" applyNumberFormat="1" applyFont="1" applyBorder="1" applyAlignment="1">
      <alignment horizontal="center" vertical="center"/>
    </xf>
    <xf numFmtId="178" fontId="146" fillId="0" borderId="439" xfId="1070" applyNumberFormat="1" applyFont="1" applyFill="1" applyBorder="1" applyAlignment="1">
      <alignment horizontal="center" vertical="center"/>
    </xf>
    <xf numFmtId="172" fontId="147" fillId="0" borderId="329" xfId="57" applyNumberFormat="1" applyFont="1" applyFill="1" applyBorder="1" applyAlignment="1">
      <alignment horizontal="center" vertical="center"/>
    </xf>
    <xf numFmtId="172" fontId="146" fillId="0" borderId="329" xfId="57" applyNumberFormat="1" applyFont="1" applyFill="1" applyBorder="1" applyAlignment="1">
      <alignment horizontal="center" vertical="center"/>
    </xf>
    <xf numFmtId="0" fontId="234" fillId="0" borderId="436" xfId="830" applyFont="1" applyBorder="1" applyAlignment="1">
      <alignment horizontal="center"/>
    </xf>
    <xf numFmtId="172" fontId="258" fillId="0" borderId="438" xfId="57" applyNumberFormat="1" applyFont="1" applyFill="1" applyBorder="1" applyAlignment="1">
      <alignment horizontal="center"/>
    </xf>
    <xf numFmtId="172" fontId="258" fillId="0" borderId="331" xfId="57" applyNumberFormat="1" applyFont="1" applyFill="1" applyBorder="1" applyAlignment="1">
      <alignment horizontal="center"/>
    </xf>
    <xf numFmtId="4" fontId="258" fillId="0" borderId="331" xfId="57" applyNumberFormat="1" applyFont="1" applyFill="1" applyBorder="1" applyAlignment="1">
      <alignment horizontal="center"/>
    </xf>
    <xf numFmtId="3" fontId="258" fillId="0" borderId="331" xfId="57" applyNumberFormat="1" applyFont="1" applyFill="1" applyBorder="1" applyAlignment="1">
      <alignment horizontal="center"/>
    </xf>
    <xf numFmtId="175" fontId="259" fillId="0" borderId="331" xfId="122" applyNumberFormat="1" applyFont="1" applyBorder="1" applyAlignment="1">
      <alignment wrapText="1"/>
    </xf>
    <xf numFmtId="172" fontId="258" fillId="0" borderId="358" xfId="57" applyNumberFormat="1" applyFont="1" applyFill="1" applyBorder="1" applyAlignment="1">
      <alignment horizontal="center"/>
    </xf>
    <xf numFmtId="172" fontId="258" fillId="0" borderId="359" xfId="57" applyNumberFormat="1" applyFont="1" applyFill="1" applyBorder="1" applyAlignment="1">
      <alignment horizontal="center"/>
    </xf>
    <xf numFmtId="0" fontId="195" fillId="0" borderId="436" xfId="830" applyFont="1" applyBorder="1" applyAlignment="1">
      <alignment horizontal="center"/>
    </xf>
    <xf numFmtId="174" fontId="195" fillId="0" borderId="331" xfId="1070" applyNumberFormat="1" applyFont="1" applyFill="1" applyBorder="1" applyAlignment="1">
      <alignment horizontal="right"/>
    </xf>
    <xf numFmtId="175" fontId="192" fillId="0" borderId="331" xfId="1070" applyNumberFormat="1" applyFont="1" applyFill="1" applyBorder="1" applyAlignment="1">
      <alignment horizontal="center"/>
    </xf>
    <xf numFmtId="175" fontId="195" fillId="0" borderId="331" xfId="1070" applyNumberFormat="1" applyFont="1" applyFill="1" applyBorder="1" applyAlignment="1">
      <alignment horizontal="center"/>
    </xf>
    <xf numFmtId="175" fontId="192" fillId="0" borderId="358" xfId="1070" applyNumberFormat="1" applyFont="1" applyFill="1" applyBorder="1" applyAlignment="1">
      <alignment horizontal="center"/>
    </xf>
    <xf numFmtId="172" fontId="244" fillId="32" borderId="329" xfId="57" applyNumberFormat="1" applyFont="1" applyFill="1" applyBorder="1" applyAlignment="1">
      <alignment horizontal="center"/>
    </xf>
    <xf numFmtId="172" fontId="244" fillId="32" borderId="329" xfId="122" applyNumberFormat="1" applyFont="1" applyFill="1" applyBorder="1" applyAlignment="1">
      <alignment horizontal="center"/>
    </xf>
    <xf numFmtId="10" fontId="155" fillId="26" borderId="329" xfId="149" applyNumberFormat="1" applyFont="1" applyFill="1" applyBorder="1" applyAlignment="1">
      <alignment horizontal="center"/>
    </xf>
    <xf numFmtId="228" fontId="231" fillId="0" borderId="443" xfId="918" applyNumberFormat="1" applyFont="1" applyFill="1" applyBorder="1" applyAlignment="1">
      <alignment horizontal="center"/>
    </xf>
    <xf numFmtId="0" fontId="123" fillId="0" borderId="439" xfId="1317" applyFont="1" applyBorder="1"/>
    <xf numFmtId="0" fontId="123" fillId="0" borderId="443" xfId="1317" applyFont="1" applyBorder="1"/>
    <xf numFmtId="0" fontId="123" fillId="0" borderId="439" xfId="124" applyFont="1" applyBorder="1"/>
    <xf numFmtId="171" fontId="122" fillId="0" borderId="374" xfId="149" applyNumberFormat="1" applyFont="1" applyFill="1" applyBorder="1" applyAlignment="1">
      <alignment horizontal="center"/>
    </xf>
    <xf numFmtId="0" fontId="123" fillId="0" borderId="438" xfId="1317" applyFont="1" applyBorder="1"/>
    <xf numFmtId="171" fontId="123" fillId="0" borderId="357" xfId="149" applyNumberFormat="1" applyFont="1" applyFill="1" applyBorder="1"/>
    <xf numFmtId="0" fontId="121" fillId="0" borderId="439" xfId="124" applyFont="1" applyBorder="1"/>
    <xf numFmtId="0" fontId="121" fillId="0" borderId="443" xfId="124" applyFont="1" applyBorder="1"/>
    <xf numFmtId="0" fontId="121" fillId="0" borderId="374" xfId="124" applyFont="1" applyBorder="1"/>
    <xf numFmtId="171" fontId="138" fillId="0" borderId="0" xfId="149" applyNumberFormat="1" applyFont="1"/>
    <xf numFmtId="171" fontId="121" fillId="0" borderId="0" xfId="149" applyNumberFormat="1" applyFont="1"/>
    <xf numFmtId="0" fontId="244" fillId="0" borderId="0" xfId="0" applyFont="1" applyAlignment="1">
      <alignment horizontal="left"/>
    </xf>
    <xf numFmtId="0" fontId="150" fillId="0" borderId="357" xfId="128" applyFont="1" applyBorder="1" applyAlignment="1">
      <alignment horizontal="center"/>
    </xf>
    <xf numFmtId="3" fontId="150" fillId="0" borderId="357" xfId="128" applyNumberFormat="1" applyFont="1" applyBorder="1" applyAlignment="1">
      <alignment horizontal="center"/>
    </xf>
    <xf numFmtId="3" fontId="150" fillId="0" borderId="355" xfId="128" applyNumberFormat="1" applyFont="1" applyBorder="1" applyAlignment="1">
      <alignment horizontal="center"/>
    </xf>
    <xf numFmtId="0" fontId="242" fillId="0" borderId="347" xfId="0" applyFont="1" applyBorder="1" applyAlignment="1">
      <alignment horizontal="center" vertical="center"/>
    </xf>
    <xf numFmtId="171" fontId="257" fillId="0" borderId="331" xfId="149" applyNumberFormat="1" applyFont="1" applyFill="1" applyBorder="1" applyAlignment="1">
      <alignment horizontal="center"/>
    </xf>
    <xf numFmtId="172" fontId="150" fillId="0" borderId="329" xfId="1446" applyNumberFormat="1" applyFont="1" applyBorder="1" applyAlignment="1">
      <alignment horizontal="center" vertical="center"/>
    </xf>
    <xf numFmtId="4" fontId="168" fillId="0" borderId="92" xfId="1446" applyNumberFormat="1" applyFont="1" applyBorder="1" applyAlignment="1">
      <alignment horizontal="center"/>
    </xf>
    <xf numFmtId="172" fontId="167" fillId="0" borderId="417" xfId="1446" applyNumberFormat="1" applyFont="1" applyBorder="1" applyAlignment="1">
      <alignment horizontal="center" vertical="center"/>
    </xf>
    <xf numFmtId="171" fontId="168" fillId="0" borderId="440" xfId="149" applyNumberFormat="1" applyFont="1" applyFill="1" applyBorder="1" applyAlignment="1">
      <alignment horizontal="center" vertical="center"/>
    </xf>
    <xf numFmtId="0" fontId="244" fillId="0" borderId="56" xfId="143" applyFont="1" applyBorder="1" applyAlignment="1">
      <alignment horizontal="left" indent="4"/>
    </xf>
    <xf numFmtId="0" fontId="249" fillId="0" borderId="56" xfId="143" applyFont="1" applyBorder="1" applyAlignment="1">
      <alignment horizontal="left" indent="4"/>
    </xf>
    <xf numFmtId="3" fontId="158" fillId="0" borderId="0" xfId="141" applyNumberFormat="1" applyFont="1" applyAlignment="1">
      <alignment horizontal="center"/>
    </xf>
    <xf numFmtId="0" fontId="158" fillId="0" borderId="0" xfId="128" applyFont="1" applyAlignment="1">
      <alignment horizontal="center"/>
    </xf>
    <xf numFmtId="3" fontId="158" fillId="0" borderId="13" xfId="141" applyNumberFormat="1" applyFont="1" applyBorder="1" applyAlignment="1">
      <alignment horizontal="center"/>
    </xf>
    <xf numFmtId="3" fontId="225" fillId="0" borderId="87" xfId="141" applyNumberFormat="1" applyFont="1" applyBorder="1" applyAlignment="1">
      <alignment horizontal="center" vertical="center"/>
    </xf>
    <xf numFmtId="3" fontId="158" fillId="0" borderId="26" xfId="141" applyNumberFormat="1" applyFont="1" applyBorder="1" applyAlignment="1">
      <alignment horizontal="center"/>
    </xf>
    <xf numFmtId="3" fontId="226" fillId="0" borderId="26" xfId="141" applyNumberFormat="1" applyFont="1" applyBorder="1" applyAlignment="1">
      <alignment horizontal="center"/>
    </xf>
    <xf numFmtId="3" fontId="157" fillId="0" borderId="182" xfId="141" applyNumberFormat="1" applyFont="1" applyBorder="1" applyAlignment="1">
      <alignment horizontal="center"/>
    </xf>
    <xf numFmtId="3" fontId="225" fillId="0" borderId="182" xfId="141" applyNumberFormat="1" applyFont="1" applyBorder="1" applyAlignment="1">
      <alignment horizontal="center"/>
    </xf>
    <xf numFmtId="3" fontId="157" fillId="0" borderId="26" xfId="141" applyNumberFormat="1" applyFont="1" applyBorder="1" applyAlignment="1">
      <alignment horizontal="center"/>
    </xf>
    <xf numFmtId="3" fontId="158" fillId="0" borderId="445" xfId="141" applyNumberFormat="1" applyFont="1" applyBorder="1" applyAlignment="1">
      <alignment horizontal="center"/>
    </xf>
    <xf numFmtId="0" fontId="158" fillId="0" borderId="57" xfId="141" applyFont="1" applyBorder="1" applyAlignment="1">
      <alignment horizontal="center"/>
    </xf>
    <xf numFmtId="1" fontId="158" fillId="0" borderId="57" xfId="141" applyNumberFormat="1" applyFont="1" applyBorder="1" applyAlignment="1">
      <alignment horizontal="center"/>
    </xf>
    <xf numFmtId="0" fontId="157" fillId="0" borderId="334" xfId="141" applyFont="1" applyBorder="1" applyAlignment="1">
      <alignment horizontal="center"/>
    </xf>
    <xf numFmtId="0" fontId="158" fillId="0" borderId="293" xfId="141" applyFont="1" applyBorder="1" applyAlignment="1">
      <alignment horizontal="center"/>
    </xf>
    <xf numFmtId="0" fontId="159" fillId="0" borderId="443" xfId="141" applyFont="1" applyBorder="1" applyAlignment="1">
      <alignment horizontal="left"/>
    </xf>
    <xf numFmtId="0" fontId="158" fillId="0" borderId="0" xfId="128" applyFont="1" applyAlignment="1">
      <alignment horizontal="center" vertical="center"/>
    </xf>
    <xf numFmtId="0" fontId="158" fillId="0" borderId="446" xfId="128" applyFont="1" applyBorder="1" applyAlignment="1">
      <alignment horizontal="center"/>
    </xf>
    <xf numFmtId="3" fontId="158" fillId="0" borderId="13" xfId="141" applyNumberFormat="1" applyFont="1" applyBorder="1" applyAlignment="1">
      <alignment horizontal="center" vertical="center"/>
    </xf>
    <xf numFmtId="3" fontId="158" fillId="0" borderId="24" xfId="141" applyNumberFormat="1" applyFont="1" applyBorder="1" applyAlignment="1">
      <alignment horizontal="center" vertical="center"/>
    </xf>
    <xf numFmtId="0" fontId="151" fillId="32" borderId="294" xfId="182" applyFont="1" applyFill="1" applyBorder="1" applyAlignment="1">
      <alignment horizontal="center" vertical="center"/>
    </xf>
    <xf numFmtId="172" fontId="168" fillId="0" borderId="417" xfId="1446" applyNumberFormat="1" applyFont="1" applyBorder="1" applyAlignment="1">
      <alignment horizontal="center" vertical="center"/>
    </xf>
    <xf numFmtId="172" fontId="167" fillId="0" borderId="252" xfId="1446" applyNumberFormat="1" applyFont="1" applyBorder="1" applyAlignment="1">
      <alignment horizontal="center" vertical="center"/>
    </xf>
    <xf numFmtId="171" fontId="152" fillId="0" borderId="0" xfId="149" applyNumberFormat="1" applyFont="1" applyBorder="1" applyAlignment="1">
      <alignment horizontal="center"/>
    </xf>
    <xf numFmtId="0" fontId="168" fillId="0" borderId="102" xfId="1446" applyFont="1" applyBorder="1" applyAlignment="1">
      <alignment horizontal="center" vertical="center"/>
    </xf>
    <xf numFmtId="0" fontId="168" fillId="0" borderId="448" xfId="1446" applyFont="1" applyBorder="1" applyAlignment="1">
      <alignment horizontal="center" vertical="center"/>
    </xf>
    <xf numFmtId="0" fontId="184" fillId="0" borderId="292" xfId="182" applyFont="1" applyBorder="1"/>
    <xf numFmtId="171" fontId="183" fillId="0" borderId="212" xfId="149" applyNumberFormat="1" applyFont="1" applyBorder="1" applyAlignment="1">
      <alignment horizontal="center"/>
    </xf>
    <xf numFmtId="171" fontId="184" fillId="0" borderId="212" xfId="149" applyNumberFormat="1" applyFont="1" applyBorder="1" applyAlignment="1">
      <alignment horizontal="center"/>
    </xf>
    <xf numFmtId="171" fontId="278" fillId="0" borderId="212" xfId="149" applyNumberFormat="1" applyFont="1" applyBorder="1" applyAlignment="1">
      <alignment horizontal="center"/>
    </xf>
    <xf numFmtId="171" fontId="185" fillId="0" borderId="212" xfId="149" applyNumberFormat="1" applyFont="1" applyBorder="1" applyAlignment="1">
      <alignment horizontal="center"/>
    </xf>
    <xf numFmtId="171" fontId="278" fillId="0" borderId="447" xfId="149" applyNumberFormat="1" applyFont="1" applyBorder="1" applyAlignment="1">
      <alignment horizontal="center"/>
    </xf>
    <xf numFmtId="3" fontId="225" fillId="0" borderId="307" xfId="141" applyNumberFormat="1" applyFont="1" applyBorder="1" applyAlignment="1">
      <alignment horizontal="center" vertical="center"/>
    </xf>
    <xf numFmtId="0" fontId="150" fillId="0" borderId="56" xfId="0" applyFont="1" applyBorder="1" applyAlignment="1">
      <alignment vertical="center"/>
    </xf>
    <xf numFmtId="172" fontId="150" fillId="29" borderId="308" xfId="57" applyNumberFormat="1" applyFont="1" applyFill="1" applyBorder="1" applyAlignment="1">
      <alignment horizontal="center" vertical="center"/>
    </xf>
    <xf numFmtId="0" fontId="150" fillId="29" borderId="57" xfId="0" applyFont="1" applyFill="1" applyBorder="1"/>
    <xf numFmtId="175" fontId="150" fillId="29" borderId="57" xfId="0" applyNumberFormat="1" applyFont="1" applyFill="1" applyBorder="1" applyAlignment="1">
      <alignment vertical="center"/>
    </xf>
    <xf numFmtId="171" fontId="150" fillId="29" borderId="436" xfId="0" applyNumberFormat="1" applyFont="1" applyFill="1" applyBorder="1" applyAlignment="1">
      <alignment horizontal="center" vertical="center"/>
    </xf>
    <xf numFmtId="0" fontId="150" fillId="29" borderId="293" xfId="0" applyFont="1" applyFill="1" applyBorder="1"/>
    <xf numFmtId="172" fontId="151" fillId="29" borderId="204" xfId="0" applyNumberFormat="1" applyFont="1" applyFill="1" applyBorder="1" applyAlignment="1">
      <alignment horizontal="center" vertical="center"/>
    </xf>
    <xf numFmtId="0" fontId="150" fillId="29" borderId="400" xfId="0" applyFont="1" applyFill="1" applyBorder="1" applyAlignment="1">
      <alignment vertical="center"/>
    </xf>
    <xf numFmtId="172" fontId="150" fillId="29" borderId="381" xfId="0" applyNumberFormat="1" applyFont="1" applyFill="1" applyBorder="1" applyAlignment="1">
      <alignment horizontal="center" vertical="center"/>
    </xf>
    <xf numFmtId="172" fontId="151" fillId="29" borderId="436" xfId="1317" applyNumberFormat="1" applyFont="1" applyFill="1" applyBorder="1" applyAlignment="1">
      <alignment horizontal="center"/>
    </xf>
    <xf numFmtId="175" fontId="151" fillId="29" borderId="436" xfId="1317" applyNumberFormat="1" applyFont="1" applyFill="1" applyBorder="1" applyAlignment="1">
      <alignment horizontal="center"/>
    </xf>
    <xf numFmtId="175" fontId="150" fillId="0" borderId="116" xfId="0" applyNumberFormat="1" applyFont="1" applyBorder="1" applyAlignment="1">
      <alignment horizontal="center"/>
    </xf>
    <xf numFmtId="0" fontId="150" fillId="0" borderId="410" xfId="0" applyFont="1" applyBorder="1"/>
    <xf numFmtId="175" fontId="150" fillId="0" borderId="161" xfId="0" applyNumberFormat="1" applyFont="1" applyBorder="1" applyAlignment="1">
      <alignment vertical="center"/>
    </xf>
    <xf numFmtId="0" fontId="150" fillId="0" borderId="161" xfId="0" applyFont="1" applyBorder="1" applyAlignment="1">
      <alignment vertical="center"/>
    </xf>
    <xf numFmtId="175" fontId="150" fillId="0" borderId="161" xfId="0" applyNumberFormat="1" applyFont="1" applyBorder="1" applyAlignment="1">
      <alignment horizontal="center" vertical="center"/>
    </xf>
    <xf numFmtId="172" fontId="151" fillId="0" borderId="408" xfId="206" applyNumberFormat="1" applyFont="1" applyBorder="1" applyAlignment="1">
      <alignment horizontal="center" vertical="center"/>
    </xf>
    <xf numFmtId="0" fontId="150" fillId="0" borderId="161" xfId="0" applyFont="1" applyBorder="1"/>
    <xf numFmtId="171" fontId="150" fillId="0" borderId="441" xfId="0" applyNumberFormat="1" applyFont="1" applyBorder="1" applyAlignment="1">
      <alignment horizontal="center"/>
    </xf>
    <xf numFmtId="175" fontId="150" fillId="0" borderId="161" xfId="1317" applyNumberFormat="1" applyFont="1" applyBorder="1" applyAlignment="1">
      <alignment horizontal="center"/>
    </xf>
    <xf numFmtId="175" fontId="150" fillId="29" borderId="0" xfId="0" applyNumberFormat="1" applyFont="1" applyFill="1" applyAlignment="1">
      <alignment horizontal="center" vertical="center"/>
    </xf>
    <xf numFmtId="175" fontId="150" fillId="0" borderId="359" xfId="0" applyNumberFormat="1" applyFont="1" applyBorder="1" applyAlignment="1">
      <alignment horizontal="center" vertical="center"/>
    </xf>
    <xf numFmtId="0" fontId="150" fillId="0" borderId="20" xfId="0" applyFont="1" applyBorder="1" applyAlignment="1">
      <alignment vertical="center"/>
    </xf>
    <xf numFmtId="0" fontId="150" fillId="0" borderId="20" xfId="0" applyFont="1" applyBorder="1" applyAlignment="1">
      <alignment vertical="center" wrapText="1"/>
    </xf>
    <xf numFmtId="0" fontId="150" fillId="0" borderId="56" xfId="0" applyFont="1" applyBorder="1" applyAlignment="1">
      <alignment vertical="center" wrapText="1"/>
    </xf>
    <xf numFmtId="0" fontId="150" fillId="0" borderId="301" xfId="0" applyFont="1" applyBorder="1" applyAlignment="1">
      <alignment vertical="center"/>
    </xf>
    <xf numFmtId="0" fontId="150" fillId="0" borderId="311" xfId="0" applyFont="1" applyBorder="1" applyAlignment="1">
      <alignment vertical="center"/>
    </xf>
    <xf numFmtId="0" fontId="150" fillId="0" borderId="56" xfId="0" applyFont="1" applyBorder="1" applyAlignment="1">
      <alignment wrapText="1"/>
    </xf>
    <xf numFmtId="0" fontId="150" fillId="0" borderId="38" xfId="0" applyFont="1" applyBorder="1"/>
    <xf numFmtId="172" fontId="150" fillId="29" borderId="57" xfId="0" applyNumberFormat="1" applyFont="1" applyFill="1" applyBorder="1" applyAlignment="1">
      <alignment horizontal="center"/>
    </xf>
    <xf numFmtId="0" fontId="167" fillId="32" borderId="69" xfId="122" applyFont="1" applyFill="1" applyBorder="1" applyAlignment="1">
      <alignment vertical="center"/>
    </xf>
    <xf numFmtId="171" fontId="168" fillId="32" borderId="69" xfId="149" applyNumberFormat="1" applyFont="1" applyFill="1" applyBorder="1" applyAlignment="1">
      <alignment horizontal="center" vertical="center"/>
    </xf>
    <xf numFmtId="171" fontId="168" fillId="32" borderId="114" xfId="149" applyNumberFormat="1" applyFont="1" applyFill="1" applyBorder="1" applyAlignment="1">
      <alignment horizontal="center" vertical="center"/>
    </xf>
    <xf numFmtId="0" fontId="168" fillId="0" borderId="348" xfId="122" applyFont="1" applyBorder="1" applyAlignment="1">
      <alignment vertical="center"/>
    </xf>
    <xf numFmtId="49" fontId="192" fillId="0" borderId="57" xfId="830" applyNumberFormat="1" applyFont="1" applyBorder="1" applyAlignment="1">
      <alignment horizontal="left" indent="9"/>
    </xf>
    <xf numFmtId="15" fontId="199" fillId="0" borderId="0" xfId="1070" applyNumberFormat="1" applyFont="1" applyFill="1" applyBorder="1" applyAlignment="1">
      <alignment horizontal="left"/>
    </xf>
    <xf numFmtId="0" fontId="157" fillId="0" borderId="425" xfId="0" applyFont="1" applyBorder="1" applyAlignment="1">
      <alignment horizontal="center"/>
    </xf>
    <xf numFmtId="3" fontId="158" fillId="0" borderId="292" xfId="0" applyNumberFormat="1" applyFont="1" applyBorder="1" applyAlignment="1">
      <alignment horizontal="center"/>
    </xf>
    <xf numFmtId="3" fontId="158" fillId="0" borderId="455" xfId="0" applyNumberFormat="1" applyFont="1" applyBorder="1" applyAlignment="1">
      <alignment horizontal="center"/>
    </xf>
    <xf numFmtId="0" fontId="158" fillId="0" borderId="455" xfId="0" applyFont="1" applyBorder="1" applyAlignment="1">
      <alignment horizontal="center"/>
    </xf>
    <xf numFmtId="3" fontId="157" fillId="0" borderId="425" xfId="0" applyNumberFormat="1" applyFont="1" applyBorder="1" applyAlignment="1">
      <alignment horizontal="center"/>
    </xf>
    <xf numFmtId="0" fontId="158" fillId="0" borderId="381" xfId="0" applyFont="1" applyBorder="1" applyAlignment="1">
      <alignment horizontal="center"/>
    </xf>
    <xf numFmtId="3" fontId="157" fillId="0" borderId="102" xfId="0" applyNumberFormat="1" applyFont="1" applyBorder="1" applyAlignment="1">
      <alignment horizontal="center"/>
    </xf>
    <xf numFmtId="0" fontId="158" fillId="0" borderId="400" xfId="0" applyFont="1" applyBorder="1"/>
    <xf numFmtId="49" fontId="168" fillId="0" borderId="346" xfId="122" applyNumberFormat="1" applyFont="1" applyBorder="1" applyAlignment="1">
      <alignment horizontal="center" vertical="center"/>
    </xf>
    <xf numFmtId="0" fontId="168" fillId="32" borderId="425" xfId="122" applyFont="1" applyFill="1" applyBorder="1" applyAlignment="1">
      <alignment horizontal="center" vertical="center" wrapText="1"/>
    </xf>
    <xf numFmtId="0" fontId="168" fillId="32" borderId="190" xfId="122" applyFont="1" applyFill="1" applyBorder="1" applyAlignment="1">
      <alignment horizontal="center" vertical="center" wrapText="1"/>
    </xf>
    <xf numFmtId="3" fontId="158" fillId="0" borderId="455" xfId="141" applyNumberFormat="1" applyFont="1" applyBorder="1" applyAlignment="1">
      <alignment horizontal="center"/>
    </xf>
    <xf numFmtId="0" fontId="150" fillId="0" borderId="116" xfId="122" applyFont="1" applyBorder="1"/>
    <xf numFmtId="175" fontId="258" fillId="0" borderId="252" xfId="57" applyNumberFormat="1" applyFont="1" applyFill="1" applyBorder="1" applyAlignment="1">
      <alignment horizontal="center"/>
    </xf>
    <xf numFmtId="175" fontId="258" fillId="0" borderId="331" xfId="149" applyNumberFormat="1" applyFont="1" applyFill="1" applyBorder="1" applyAlignment="1">
      <alignment horizontal="center"/>
    </xf>
    <xf numFmtId="175" fontId="192" fillId="0" borderId="455" xfId="1070" applyNumberFormat="1" applyFont="1" applyFill="1" applyBorder="1" applyAlignment="1">
      <alignment horizontal="center"/>
    </xf>
    <xf numFmtId="3" fontId="167" fillId="0" borderId="455" xfId="57" applyNumberFormat="1" applyFont="1" applyFill="1" applyBorder="1" applyAlignment="1" applyProtection="1">
      <alignment horizontal="center" vertical="center"/>
    </xf>
    <xf numFmtId="3" fontId="168" fillId="0" borderId="437" xfId="57" applyNumberFormat="1" applyFont="1" applyFill="1" applyBorder="1" applyAlignment="1" applyProtection="1">
      <alignment horizontal="center" vertical="center"/>
    </xf>
    <xf numFmtId="172" fontId="150" fillId="0" borderId="90" xfId="122" applyNumberFormat="1" applyFont="1" applyBorder="1" applyAlignment="1">
      <alignment horizontal="center" vertical="center"/>
    </xf>
    <xf numFmtId="172" fontId="150" fillId="0" borderId="90" xfId="122" applyNumberFormat="1" applyFont="1" applyBorder="1" applyAlignment="1">
      <alignment horizontal="center"/>
    </xf>
    <xf numFmtId="172" fontId="150" fillId="0" borderId="293" xfId="122" applyNumberFormat="1" applyFont="1" applyBorder="1" applyAlignment="1">
      <alignment horizontal="center"/>
    </xf>
    <xf numFmtId="172" fontId="147" fillId="32" borderId="361" xfId="57" applyNumberFormat="1" applyFont="1" applyFill="1" applyBorder="1" applyAlignment="1">
      <alignment horizontal="center"/>
    </xf>
    <xf numFmtId="0" fontId="155" fillId="0" borderId="69" xfId="122" applyFont="1" applyBorder="1" applyAlignment="1">
      <alignment wrapText="1"/>
    </xf>
    <xf numFmtId="0" fontId="150" fillId="0" borderId="167" xfId="122" applyFont="1" applyBorder="1"/>
    <xf numFmtId="173" fontId="148" fillId="26" borderId="90" xfId="124" applyNumberFormat="1" applyFont="1" applyFill="1" applyBorder="1" applyAlignment="1">
      <alignment horizontal="left" vertical="center" indent="8"/>
    </xf>
    <xf numFmtId="0" fontId="148" fillId="26" borderId="56" xfId="124" applyFont="1" applyFill="1" applyBorder="1" applyAlignment="1">
      <alignment horizontal="left" indent="8"/>
    </xf>
    <xf numFmtId="0" fontId="148" fillId="26" borderId="56" xfId="124" applyFont="1" applyFill="1" applyBorder="1" applyAlignment="1">
      <alignment horizontal="left" indent="9"/>
    </xf>
    <xf numFmtId="173" fontId="148" fillId="26" borderId="56" xfId="124" applyNumberFormat="1" applyFont="1" applyFill="1" applyBorder="1" applyAlignment="1">
      <alignment horizontal="left" indent="8"/>
    </xf>
    <xf numFmtId="173" fontId="148" fillId="26" borderId="56" xfId="124" applyNumberFormat="1" applyFont="1" applyFill="1" applyBorder="1" applyAlignment="1">
      <alignment horizontal="left" vertical="center" indent="8"/>
    </xf>
    <xf numFmtId="0" fontId="149" fillId="0" borderId="90" xfId="124" applyFont="1" applyBorder="1" applyAlignment="1">
      <alignment horizontal="left" indent="4"/>
    </xf>
    <xf numFmtId="0" fontId="186" fillId="0" borderId="57" xfId="124" applyFont="1" applyBorder="1" applyAlignment="1">
      <alignment horizontal="left" vertical="center" indent="25"/>
    </xf>
    <xf numFmtId="0" fontId="157" fillId="0" borderId="57" xfId="830" applyFont="1" applyBorder="1" applyAlignment="1">
      <alignment horizontal="left" vertical="center" indent="3"/>
    </xf>
    <xf numFmtId="0" fontId="266" fillId="0" borderId="57" xfId="830" applyFont="1" applyBorder="1" applyAlignment="1">
      <alignment horizontal="left" vertical="center" indent="3"/>
    </xf>
    <xf numFmtId="49" fontId="266" fillId="0" borderId="57" xfId="124" applyNumberFormat="1" applyFont="1" applyBorder="1" applyAlignment="1">
      <alignment horizontal="left" indent="6"/>
    </xf>
    <xf numFmtId="49" fontId="265" fillId="0" borderId="57" xfId="124" applyNumberFormat="1" applyFont="1" applyBorder="1" applyAlignment="1">
      <alignment horizontal="left" indent="3"/>
    </xf>
    <xf numFmtId="49" fontId="192" fillId="0" borderId="57" xfId="830" applyNumberFormat="1" applyFont="1" applyBorder="1" applyAlignment="1">
      <alignment horizontal="left" indent="2"/>
    </xf>
    <xf numFmtId="0" fontId="268" fillId="0" borderId="57" xfId="830" applyFont="1" applyBorder="1" applyAlignment="1">
      <alignment horizontal="left"/>
    </xf>
    <xf numFmtId="172" fontId="256" fillId="0" borderId="329" xfId="57" applyNumberFormat="1" applyFont="1" applyFill="1" applyBorder="1" applyAlignment="1">
      <alignment horizontal="center" vertical="center"/>
    </xf>
    <xf numFmtId="0" fontId="256" fillId="0" borderId="0" xfId="0" applyFont="1"/>
    <xf numFmtId="0" fontId="293" fillId="0" borderId="57" xfId="124" applyFont="1" applyBorder="1" applyAlignment="1">
      <alignment horizontal="left" vertical="center" wrapText="1"/>
    </xf>
    <xf numFmtId="172" fontId="256" fillId="0" borderId="329" xfId="57" applyNumberFormat="1" applyFont="1" applyFill="1" applyBorder="1" applyAlignment="1">
      <alignment horizontal="center" vertical="center" wrapText="1"/>
    </xf>
    <xf numFmtId="0" fontId="256" fillId="0" borderId="0" xfId="0" applyFont="1" applyAlignment="1">
      <alignment wrapText="1"/>
    </xf>
    <xf numFmtId="0" fontId="293" fillId="0" borderId="57" xfId="124" applyFont="1" applyBorder="1" applyAlignment="1">
      <alignment horizontal="left" vertical="center" indent="2"/>
    </xf>
    <xf numFmtId="0" fontId="291" fillId="0" borderId="57" xfId="124" applyFont="1" applyBorder="1" applyAlignment="1">
      <alignment horizontal="left" vertical="center" indent="7"/>
    </xf>
    <xf numFmtId="0" fontId="291" fillId="0" borderId="57" xfId="124" applyFont="1" applyBorder="1" applyAlignment="1">
      <alignment horizontal="left" vertical="center" indent="8"/>
    </xf>
    <xf numFmtId="0" fontId="291" fillId="0" borderId="57" xfId="124" applyFont="1" applyBorder="1" applyAlignment="1">
      <alignment horizontal="left" vertical="center" indent="9"/>
    </xf>
    <xf numFmtId="0" fontId="291" fillId="0" borderId="308" xfId="124" applyFont="1" applyBorder="1" applyAlignment="1">
      <alignment horizontal="left" vertical="center" indent="8"/>
    </xf>
    <xf numFmtId="172" fontId="256" fillId="0" borderId="455" xfId="57" applyNumberFormat="1" applyFont="1" applyFill="1" applyBorder="1" applyAlignment="1">
      <alignment horizontal="center" vertical="center"/>
    </xf>
    <xf numFmtId="0" fontId="293" fillId="0" borderId="90" xfId="124" applyFont="1" applyBorder="1" applyAlignment="1">
      <alignment horizontal="left" vertical="center" indent="3"/>
    </xf>
    <xf numFmtId="0" fontId="291" fillId="0" borderId="57" xfId="124" applyFont="1" applyBorder="1" applyAlignment="1">
      <alignment horizontal="left" vertical="center" wrapText="1" indent="7"/>
    </xf>
    <xf numFmtId="0" fontId="291" fillId="0" borderId="57" xfId="124" applyFont="1" applyBorder="1" applyAlignment="1">
      <alignment horizontal="left" vertical="center" wrapText="1" indent="8"/>
    </xf>
    <xf numFmtId="0" fontId="293" fillId="0" borderId="57" xfId="124" applyFont="1" applyBorder="1" applyAlignment="1">
      <alignment horizontal="left" vertical="center" wrapText="1" indent="3"/>
    </xf>
    <xf numFmtId="0" fontId="293" fillId="0" borderId="57" xfId="124" applyFont="1" applyBorder="1" applyAlignment="1">
      <alignment horizontal="left" vertical="center" indent="3"/>
    </xf>
    <xf numFmtId="0" fontId="291" fillId="0" borderId="57" xfId="124" applyFont="1" applyBorder="1" applyAlignment="1">
      <alignment horizontal="left" vertical="center" indent="5"/>
    </xf>
    <xf numFmtId="173" fontId="149" fillId="0" borderId="439" xfId="124" applyNumberFormat="1" applyFont="1" applyBorder="1" applyAlignment="1">
      <alignment horizontal="center"/>
    </xf>
    <xf numFmtId="171" fontId="149" fillId="0" borderId="439" xfId="124" applyNumberFormat="1" applyFont="1" applyBorder="1" applyAlignment="1">
      <alignment horizontal="center"/>
    </xf>
    <xf numFmtId="175" fontId="149" fillId="0" borderId="439" xfId="124" applyNumberFormat="1" applyFont="1" applyBorder="1" applyAlignment="1">
      <alignment horizontal="center"/>
    </xf>
    <xf numFmtId="173" fontId="149" fillId="0" borderId="455" xfId="124" applyNumberFormat="1" applyFont="1" applyBorder="1" applyAlignment="1">
      <alignment horizontal="center"/>
    </xf>
    <xf numFmtId="171" fontId="149" fillId="0" borderId="455" xfId="124" applyNumberFormat="1" applyFont="1" applyBorder="1" applyAlignment="1">
      <alignment horizontal="center"/>
    </xf>
    <xf numFmtId="175" fontId="149" fillId="0" borderId="455" xfId="124" applyNumberFormat="1" applyFont="1" applyBorder="1" applyAlignment="1">
      <alignment horizontal="center"/>
    </xf>
    <xf numFmtId="3" fontId="149" fillId="0" borderId="455" xfId="57" applyNumberFormat="1" applyFont="1" applyFill="1" applyBorder="1" applyAlignment="1">
      <alignment horizontal="center"/>
    </xf>
    <xf numFmtId="173" fontId="149" fillId="0" borderId="357" xfId="124" applyNumberFormat="1" applyFont="1" applyBorder="1" applyAlignment="1">
      <alignment horizontal="center"/>
    </xf>
    <xf numFmtId="171" fontId="149" fillId="0" borderId="357" xfId="124" applyNumberFormat="1" applyFont="1" applyBorder="1" applyAlignment="1">
      <alignment horizontal="center"/>
    </xf>
    <xf numFmtId="175" fontId="149" fillId="0" borderId="357" xfId="124" applyNumberFormat="1" applyFont="1" applyBorder="1" applyAlignment="1">
      <alignment horizontal="center"/>
    </xf>
    <xf numFmtId="3" fontId="149" fillId="0" borderId="357" xfId="57" applyNumberFormat="1" applyFont="1" applyFill="1" applyBorder="1" applyAlignment="1">
      <alignment horizontal="center"/>
    </xf>
    <xf numFmtId="0" fontId="148" fillId="26" borderId="455" xfId="124" applyFont="1" applyFill="1" applyBorder="1" applyAlignment="1">
      <alignment horizontal="center" vertical="center"/>
    </xf>
    <xf numFmtId="173" fontId="148" fillId="26" borderId="455" xfId="124" applyNumberFormat="1" applyFont="1" applyFill="1" applyBorder="1" applyAlignment="1">
      <alignment horizontal="center" vertical="center"/>
    </xf>
    <xf numFmtId="10" fontId="148" fillId="26" borderId="455" xfId="124" applyNumberFormat="1" applyFont="1" applyFill="1" applyBorder="1" applyAlignment="1">
      <alignment horizontal="center" vertical="center"/>
    </xf>
    <xf numFmtId="170" fontId="148" fillId="26" borderId="455" xfId="124" applyNumberFormat="1" applyFont="1" applyFill="1" applyBorder="1" applyAlignment="1">
      <alignment horizontal="center" vertical="center"/>
    </xf>
    <xf numFmtId="228" fontId="148" fillId="26" borderId="466" xfId="57" applyNumberFormat="1" applyFont="1" applyFill="1" applyBorder="1" applyAlignment="1">
      <alignment horizontal="center" vertical="center"/>
    </xf>
    <xf numFmtId="173" fontId="148" fillId="26" borderId="455" xfId="124" applyNumberFormat="1" applyFont="1" applyFill="1" applyBorder="1" applyAlignment="1">
      <alignment horizontal="center"/>
    </xf>
    <xf numFmtId="170" fontId="148" fillId="26" borderId="455" xfId="124" applyNumberFormat="1" applyFont="1" applyFill="1" applyBorder="1" applyAlignment="1">
      <alignment horizontal="center"/>
    </xf>
    <xf numFmtId="172" fontId="121" fillId="0" borderId="418" xfId="124" applyNumberFormat="1" applyFont="1" applyBorder="1"/>
    <xf numFmtId="172" fontId="120" fillId="0" borderId="444" xfId="57" applyNumberFormat="1" applyFont="1" applyFill="1" applyBorder="1" applyAlignment="1">
      <alignment horizontal="center"/>
    </xf>
    <xf numFmtId="172" fontId="168" fillId="0" borderId="471" xfId="1446" applyNumberFormat="1" applyFont="1" applyBorder="1" applyAlignment="1">
      <alignment horizontal="center"/>
    </xf>
    <xf numFmtId="4" fontId="168" fillId="0" borderId="473" xfId="1446" applyNumberFormat="1" applyFont="1" applyBorder="1" applyAlignment="1">
      <alignment horizontal="left"/>
    </xf>
    <xf numFmtId="172" fontId="167" fillId="0" borderId="418" xfId="1446" applyNumberFormat="1" applyFont="1" applyBorder="1" applyAlignment="1">
      <alignment horizontal="left"/>
    </xf>
    <xf numFmtId="172" fontId="167" fillId="0" borderId="28" xfId="1446" applyNumberFormat="1" applyFont="1" applyBorder="1" applyAlignment="1">
      <alignment horizontal="center" vertical="center"/>
    </xf>
    <xf numFmtId="172" fontId="167" fillId="0" borderId="280" xfId="1446" applyNumberFormat="1" applyFont="1" applyBorder="1" applyAlignment="1">
      <alignment horizontal="center" vertical="center"/>
    </xf>
    <xf numFmtId="172" fontId="167" fillId="0" borderId="471" xfId="1446" applyNumberFormat="1" applyFont="1" applyBorder="1" applyAlignment="1">
      <alignment horizontal="center" vertical="center"/>
    </xf>
    <xf numFmtId="172" fontId="167" fillId="0" borderId="466" xfId="1446" applyNumberFormat="1" applyFont="1" applyBorder="1" applyAlignment="1">
      <alignment horizontal="center" vertical="center"/>
    </xf>
    <xf numFmtId="4" fontId="168" fillId="0" borderId="476" xfId="1446" applyNumberFormat="1" applyFont="1" applyBorder="1" applyAlignment="1">
      <alignment horizontal="left"/>
    </xf>
    <xf numFmtId="172" fontId="168" fillId="0" borderId="472" xfId="1446" applyNumberFormat="1" applyFont="1" applyBorder="1" applyAlignment="1">
      <alignment horizontal="left"/>
    </xf>
    <xf numFmtId="172" fontId="168" fillId="0" borderId="471" xfId="149" applyNumberFormat="1" applyFont="1" applyFill="1" applyBorder="1" applyAlignment="1">
      <alignment horizontal="center" vertical="center"/>
    </xf>
    <xf numFmtId="172" fontId="168" fillId="0" borderId="477" xfId="149" applyNumberFormat="1" applyFont="1" applyFill="1" applyBorder="1" applyAlignment="1">
      <alignment horizontal="center" vertical="center"/>
    </xf>
    <xf numFmtId="4" fontId="167" fillId="0" borderId="478" xfId="1446" applyNumberFormat="1" applyFont="1" applyBorder="1" applyAlignment="1">
      <alignment horizontal="left"/>
    </xf>
    <xf numFmtId="172" fontId="167" fillId="0" borderId="469" xfId="1446" applyNumberFormat="1" applyFont="1" applyBorder="1" applyAlignment="1">
      <alignment horizontal="left"/>
    </xf>
    <xf numFmtId="172" fontId="167" fillId="0" borderId="469" xfId="1446" applyNumberFormat="1" applyFont="1" applyBorder="1" applyAlignment="1">
      <alignment horizontal="center" vertical="center"/>
    </xf>
    <xf numFmtId="172" fontId="168" fillId="0" borderId="479" xfId="1446" applyNumberFormat="1" applyFont="1" applyBorder="1" applyAlignment="1">
      <alignment horizontal="left"/>
    </xf>
    <xf numFmtId="171" fontId="168" fillId="0" borderId="444" xfId="149" applyNumberFormat="1" applyFont="1" applyFill="1" applyBorder="1" applyAlignment="1">
      <alignment horizontal="center" vertical="center"/>
    </xf>
    <xf numFmtId="172" fontId="184" fillId="0" borderId="156" xfId="149" applyNumberFormat="1" applyFont="1" applyFill="1" applyBorder="1" applyAlignment="1">
      <alignment horizontal="center" vertical="center"/>
    </xf>
    <xf numFmtId="175" fontId="184" fillId="0" borderId="200" xfId="0" applyNumberFormat="1" applyFont="1" applyBorder="1" applyAlignment="1">
      <alignment horizontal="center"/>
    </xf>
    <xf numFmtId="0" fontId="151" fillId="0" borderId="92" xfId="0" applyFont="1" applyBorder="1" applyAlignment="1">
      <alignment horizontal="center"/>
    </xf>
    <xf numFmtId="171" fontId="167" fillId="0" borderId="0" xfId="149" applyNumberFormat="1" applyFont="1" applyFill="1" applyBorder="1"/>
    <xf numFmtId="0" fontId="168" fillId="32" borderId="346" xfId="122" applyFont="1" applyFill="1" applyBorder="1" applyAlignment="1">
      <alignment horizontal="center" vertical="center" wrapText="1"/>
    </xf>
    <xf numFmtId="0" fontId="187" fillId="32" borderId="331" xfId="122" applyFont="1" applyFill="1" applyBorder="1" applyAlignment="1">
      <alignment horizontal="center"/>
    </xf>
    <xf numFmtId="175" fontId="186" fillId="32" borderId="331" xfId="122" applyNumberFormat="1" applyFont="1" applyFill="1" applyBorder="1" applyAlignment="1">
      <alignment horizontal="center"/>
    </xf>
    <xf numFmtId="175" fontId="187" fillId="32" borderId="331" xfId="57" applyNumberFormat="1" applyFont="1" applyFill="1" applyBorder="1" applyAlignment="1">
      <alignment horizontal="center"/>
    </xf>
    <xf numFmtId="175" fontId="187" fillId="32" borderId="331" xfId="122" applyNumberFormat="1" applyFont="1" applyFill="1" applyBorder="1" applyAlignment="1">
      <alignment horizontal="center"/>
    </xf>
    <xf numFmtId="0" fontId="146" fillId="32" borderId="215" xfId="122" applyFont="1" applyFill="1" applyBorder="1"/>
    <xf numFmtId="2" fontId="242" fillId="32" borderId="331" xfId="122" applyNumberFormat="1" applyFont="1" applyFill="1" applyBorder="1" applyAlignment="1">
      <alignment horizontal="center"/>
    </xf>
    <xf numFmtId="172" fontId="242" fillId="32" borderId="331" xfId="57" applyNumberFormat="1" applyFont="1" applyFill="1" applyBorder="1" applyAlignment="1">
      <alignment horizontal="center"/>
    </xf>
    <xf numFmtId="172" fontId="242" fillId="32" borderId="331" xfId="122" applyNumberFormat="1" applyFont="1" applyFill="1" applyBorder="1" applyAlignment="1">
      <alignment horizontal="center"/>
    </xf>
    <xf numFmtId="172" fontId="244" fillId="32" borderId="331" xfId="57" applyNumberFormat="1" applyFont="1" applyFill="1" applyBorder="1" applyAlignment="1">
      <alignment horizontal="center"/>
    </xf>
    <xf numFmtId="172" fontId="244" fillId="32" borderId="331" xfId="122" applyNumberFormat="1" applyFont="1" applyFill="1" applyBorder="1" applyAlignment="1">
      <alignment horizontal="center"/>
    </xf>
    <xf numFmtId="172" fontId="244" fillId="32" borderId="360" xfId="122" applyNumberFormat="1" applyFont="1" applyFill="1" applyBorder="1" applyAlignment="1">
      <alignment horizontal="center"/>
    </xf>
    <xf numFmtId="0" fontId="195" fillId="32" borderId="184" xfId="122" applyFont="1" applyFill="1" applyBorder="1" applyAlignment="1">
      <alignment horizontal="center"/>
    </xf>
    <xf numFmtId="175" fontId="242" fillId="32" borderId="160" xfId="122" applyNumberFormat="1" applyFont="1" applyFill="1" applyBorder="1" applyAlignment="1">
      <alignment horizontal="center"/>
    </xf>
    <xf numFmtId="175" fontId="242" fillId="32" borderId="184" xfId="122" applyNumberFormat="1" applyFont="1" applyFill="1" applyBorder="1" applyAlignment="1">
      <alignment horizontal="center"/>
    </xf>
    <xf numFmtId="175" fontId="244" fillId="32" borderId="198" xfId="122" applyNumberFormat="1" applyFont="1" applyFill="1" applyBorder="1" applyAlignment="1">
      <alignment horizontal="center"/>
    </xf>
    <xf numFmtId="175" fontId="243" fillId="32" borderId="184" xfId="122" applyNumberFormat="1" applyFont="1" applyFill="1" applyBorder="1" applyAlignment="1">
      <alignment horizontal="center"/>
    </xf>
    <xf numFmtId="175" fontId="243" fillId="32" borderId="184" xfId="149" applyNumberFormat="1" applyFont="1" applyFill="1" applyBorder="1" applyAlignment="1">
      <alignment horizontal="center"/>
    </xf>
    <xf numFmtId="175" fontId="245" fillId="32" borderId="184" xfId="122" applyNumberFormat="1" applyFont="1" applyFill="1" applyBorder="1" applyAlignment="1">
      <alignment horizontal="center"/>
    </xf>
    <xf numFmtId="175" fontId="243" fillId="32" borderId="127" xfId="122" applyNumberFormat="1" applyFont="1" applyFill="1" applyBorder="1" applyAlignment="1">
      <alignment horizontal="center"/>
    </xf>
    <xf numFmtId="2" fontId="243" fillId="32" borderId="200" xfId="122" applyNumberFormat="1" applyFont="1" applyFill="1" applyBorder="1" applyAlignment="1">
      <alignment horizontal="center"/>
    </xf>
    <xf numFmtId="175" fontId="244" fillId="32" borderId="184" xfId="122" applyNumberFormat="1" applyFont="1" applyFill="1" applyBorder="1" applyAlignment="1">
      <alignment horizontal="center"/>
    </xf>
    <xf numFmtId="172" fontId="242" fillId="32" borderId="160" xfId="57" applyNumberFormat="1" applyFont="1" applyFill="1" applyBorder="1" applyAlignment="1">
      <alignment horizontal="center"/>
    </xf>
    <xf numFmtId="175" fontId="242" fillId="32" borderId="184" xfId="149" applyNumberFormat="1" applyFont="1" applyFill="1" applyBorder="1" applyAlignment="1">
      <alignment horizontal="center"/>
    </xf>
    <xf numFmtId="175" fontId="243" fillId="32" borderId="219" xfId="122" applyNumberFormat="1" applyFont="1" applyFill="1" applyBorder="1" applyAlignment="1">
      <alignment horizontal="center"/>
    </xf>
    <xf numFmtId="179" fontId="242" fillId="32" borderId="157" xfId="57" applyNumberFormat="1" applyFont="1" applyFill="1" applyBorder="1" applyAlignment="1">
      <alignment horizontal="center"/>
    </xf>
    <xf numFmtId="179" fontId="248" fillId="32" borderId="157" xfId="57" applyNumberFormat="1" applyFont="1" applyFill="1" applyBorder="1" applyAlignment="1">
      <alignment horizontal="center"/>
    </xf>
    <xf numFmtId="175" fontId="167" fillId="0" borderId="252" xfId="122" applyNumberFormat="1" applyFont="1" applyBorder="1" applyAlignment="1">
      <alignment horizontal="center" vertical="center"/>
    </xf>
    <xf numFmtId="175" fontId="167" fillId="0" borderId="116" xfId="122" applyNumberFormat="1" applyFont="1" applyBorder="1" applyAlignment="1">
      <alignment horizontal="center" vertical="center"/>
    </xf>
    <xf numFmtId="175" fontId="167" fillId="0" borderId="0" xfId="122" applyNumberFormat="1" applyFont="1" applyAlignment="1">
      <alignment horizontal="center" vertical="center"/>
    </xf>
    <xf numFmtId="175" fontId="167" fillId="0" borderId="357" xfId="122" applyNumberFormat="1" applyFont="1" applyBorder="1" applyAlignment="1">
      <alignment horizontal="center" vertical="center"/>
    </xf>
    <xf numFmtId="175" fontId="167" fillId="0" borderId="374" xfId="122" applyNumberFormat="1" applyFont="1" applyBorder="1" applyAlignment="1">
      <alignment horizontal="center" vertical="center"/>
    </xf>
    <xf numFmtId="0" fontId="146" fillId="32" borderId="480" xfId="122" applyFont="1" applyFill="1" applyBorder="1"/>
    <xf numFmtId="171" fontId="147" fillId="32" borderId="455" xfId="122" applyNumberFormat="1" applyFont="1" applyFill="1" applyBorder="1" applyAlignment="1">
      <alignment horizontal="center"/>
    </xf>
    <xf numFmtId="171" fontId="146" fillId="32" borderId="455" xfId="122" applyNumberFormat="1" applyFont="1" applyFill="1" applyBorder="1" applyAlignment="1">
      <alignment horizontal="center"/>
    </xf>
    <xf numFmtId="171" fontId="147" fillId="32" borderId="447" xfId="122" applyNumberFormat="1" applyFont="1" applyFill="1" applyBorder="1" applyAlignment="1">
      <alignment horizontal="center"/>
    </xf>
    <xf numFmtId="0" fontId="146" fillId="32" borderId="469" xfId="122" applyFont="1" applyFill="1" applyBorder="1"/>
    <xf numFmtId="172" fontId="147" fillId="32" borderId="444" xfId="57" applyNumberFormat="1" applyFont="1" applyFill="1" applyBorder="1" applyAlignment="1">
      <alignment horizontal="center"/>
    </xf>
    <xf numFmtId="4" fontId="299" fillId="0" borderId="0" xfId="0" applyNumberFormat="1" applyFont="1"/>
    <xf numFmtId="179" fontId="242" fillId="32" borderId="176" xfId="57" applyNumberFormat="1" applyFont="1" applyFill="1" applyBorder="1" applyAlignment="1">
      <alignment horizontal="center"/>
    </xf>
    <xf numFmtId="171" fontId="122" fillId="0" borderId="173" xfId="1317" applyNumberFormat="1" applyFont="1" applyBorder="1"/>
    <xf numFmtId="171" fontId="122" fillId="0" borderId="173" xfId="1317" applyNumberFormat="1" applyFont="1" applyBorder="1" applyAlignment="1">
      <alignment horizontal="center"/>
    </xf>
    <xf numFmtId="171" fontId="122" fillId="0" borderId="173" xfId="149" applyNumberFormat="1" applyFont="1" applyFill="1" applyBorder="1" applyAlignment="1">
      <alignment horizontal="center"/>
    </xf>
    <xf numFmtId="9" fontId="121" fillId="0" borderId="0" xfId="149" applyFont="1"/>
    <xf numFmtId="172" fontId="168" fillId="0" borderId="199" xfId="122" applyNumberFormat="1" applyFont="1" applyBorder="1" applyAlignment="1">
      <alignment horizontal="center" vertical="center"/>
    </xf>
    <xf numFmtId="172" fontId="168" fillId="0" borderId="161" xfId="122" applyNumberFormat="1" applyFont="1" applyBorder="1" applyAlignment="1">
      <alignment horizontal="center" vertical="center"/>
    </xf>
    <xf numFmtId="172" fontId="168" fillId="0" borderId="395" xfId="122" applyNumberFormat="1" applyFont="1" applyBorder="1" applyAlignment="1">
      <alignment horizontal="center" vertical="center"/>
    </xf>
    <xf numFmtId="0" fontId="188" fillId="0" borderId="0" xfId="122" applyFont="1" applyAlignment="1">
      <alignment vertical="center"/>
    </xf>
    <xf numFmtId="171" fontId="150" fillId="0" borderId="219" xfId="149" applyNumberFormat="1" applyFont="1" applyFill="1" applyBorder="1" applyAlignment="1">
      <alignment horizontal="center"/>
    </xf>
    <xf numFmtId="0" fontId="147" fillId="0" borderId="189" xfId="122" applyFont="1" applyBorder="1" applyAlignment="1">
      <alignment horizontal="center" vertical="top" wrapText="1"/>
    </xf>
    <xf numFmtId="0" fontId="146" fillId="0" borderId="438" xfId="122" applyFont="1" applyBorder="1" applyAlignment="1">
      <alignment horizontal="center"/>
    </xf>
    <xf numFmtId="0" fontId="146" fillId="0" borderId="219" xfId="122" applyFont="1" applyBorder="1" applyAlignment="1">
      <alignment horizontal="center"/>
    </xf>
    <xf numFmtId="171" fontId="150" fillId="0" borderId="219" xfId="122" applyNumberFormat="1" applyFont="1" applyBorder="1" applyAlignment="1">
      <alignment horizontal="center"/>
    </xf>
    <xf numFmtId="0" fontId="147" fillId="0" borderId="176" xfId="122" applyFont="1" applyBorder="1" applyAlignment="1">
      <alignment horizontal="center" vertical="top" wrapText="1"/>
    </xf>
    <xf numFmtId="0" fontId="146" fillId="0" borderId="293" xfId="122" applyFont="1" applyBorder="1" applyAlignment="1">
      <alignment horizontal="center"/>
    </xf>
    <xf numFmtId="0" fontId="146" fillId="0" borderId="90" xfId="122" applyFont="1" applyBorder="1" applyAlignment="1">
      <alignment horizontal="center"/>
    </xf>
    <xf numFmtId="3" fontId="150" fillId="0" borderId="56" xfId="150" applyNumberFormat="1" applyFont="1" applyFill="1" applyBorder="1" applyAlignment="1">
      <alignment horizontal="center"/>
    </xf>
    <xf numFmtId="3" fontId="150" fillId="0" borderId="90" xfId="57" applyNumberFormat="1" applyFont="1" applyFill="1" applyBorder="1" applyAlignment="1">
      <alignment horizontal="center"/>
    </xf>
    <xf numFmtId="3" fontId="150" fillId="0" borderId="116" xfId="122" applyNumberFormat="1" applyFont="1" applyBorder="1"/>
    <xf numFmtId="0" fontId="150" fillId="0" borderId="69" xfId="122" applyFont="1" applyBorder="1" applyAlignment="1">
      <alignment horizontal="left" indent="2"/>
    </xf>
    <xf numFmtId="0" fontId="150" fillId="0" borderId="69" xfId="122" applyFont="1" applyBorder="1" applyAlignment="1">
      <alignment wrapText="1"/>
    </xf>
    <xf numFmtId="0" fontId="150" fillId="0" borderId="69" xfId="122" quotePrefix="1" applyFont="1" applyBorder="1" applyAlignment="1">
      <alignment horizontal="left"/>
    </xf>
    <xf numFmtId="3" fontId="150" fillId="0" borderId="90" xfId="150" applyNumberFormat="1" applyFont="1" applyFill="1" applyBorder="1" applyAlignment="1">
      <alignment horizontal="center"/>
    </xf>
    <xf numFmtId="3" fontId="151" fillId="0" borderId="176" xfId="122" applyNumberFormat="1" applyFont="1" applyBorder="1" applyAlignment="1">
      <alignment horizontal="center"/>
    </xf>
    <xf numFmtId="0" fontId="142" fillId="0" borderId="189" xfId="124" applyFont="1" applyBorder="1" applyAlignment="1">
      <alignment horizontal="center"/>
    </xf>
    <xf numFmtId="0" fontId="120" fillId="0" borderId="189" xfId="124" applyFont="1" applyBorder="1" applyAlignment="1">
      <alignment horizontal="center"/>
    </xf>
    <xf numFmtId="0" fontId="120" fillId="0" borderId="173" xfId="124" applyFont="1" applyBorder="1" applyAlignment="1">
      <alignment horizontal="center"/>
    </xf>
    <xf numFmtId="0" fontId="140" fillId="0" borderId="480" xfId="124" applyFont="1" applyBorder="1"/>
    <xf numFmtId="0" fontId="121" fillId="0" borderId="480" xfId="124" applyFont="1" applyBorder="1"/>
    <xf numFmtId="0" fontId="121" fillId="0" borderId="480" xfId="124" applyFont="1" applyBorder="1" applyAlignment="1">
      <alignment horizontal="center"/>
    </xf>
    <xf numFmtId="0" fontId="121" fillId="0" borderId="455" xfId="124" applyFont="1" applyBorder="1"/>
    <xf numFmtId="175" fontId="142" fillId="0" borderId="455" xfId="124" applyNumberFormat="1" applyFont="1" applyBorder="1" applyAlignment="1">
      <alignment horizontal="center"/>
    </xf>
    <xf numFmtId="175" fontId="120" fillId="0" borderId="455" xfId="124" applyNumberFormat="1" applyFont="1" applyBorder="1" applyAlignment="1">
      <alignment horizontal="center"/>
    </xf>
    <xf numFmtId="175" fontId="120" fillId="0" borderId="219" xfId="124" applyNumberFormat="1" applyFont="1" applyBorder="1" applyAlignment="1">
      <alignment horizontal="center"/>
    </xf>
    <xf numFmtId="175" fontId="140" fillId="0" borderId="455" xfId="124" applyNumberFormat="1" applyFont="1" applyBorder="1"/>
    <xf numFmtId="175" fontId="121" fillId="0" borderId="455" xfId="124" applyNumberFormat="1" applyFont="1" applyBorder="1"/>
    <xf numFmtId="175" fontId="140" fillId="0" borderId="455" xfId="124" applyNumberFormat="1" applyFont="1" applyBorder="1" applyAlignment="1">
      <alignment horizontal="center"/>
    </xf>
    <xf numFmtId="175" fontId="121" fillId="0" borderId="455" xfId="124" applyNumberFormat="1" applyFont="1" applyBorder="1" applyAlignment="1">
      <alignment horizontal="center"/>
    </xf>
    <xf numFmtId="175" fontId="121" fillId="0" borderId="0" xfId="124" applyNumberFormat="1" applyFont="1" applyAlignment="1">
      <alignment horizontal="center"/>
    </xf>
    <xf numFmtId="0" fontId="140" fillId="0" borderId="455" xfId="124" applyFont="1" applyBorder="1"/>
    <xf numFmtId="0" fontId="259" fillId="0" borderId="293" xfId="0" applyFont="1" applyBorder="1" applyAlignment="1">
      <alignment horizontal="center"/>
    </xf>
    <xf numFmtId="0" fontId="259" fillId="0" borderId="480" xfId="0" applyFont="1" applyBorder="1" applyAlignment="1">
      <alignment horizontal="center" wrapText="1"/>
    </xf>
    <xf numFmtId="0" fontId="259" fillId="0" borderId="308" xfId="0" applyFont="1" applyBorder="1" applyAlignment="1">
      <alignment horizontal="center"/>
    </xf>
    <xf numFmtId="0" fontId="259" fillId="0" borderId="482" xfId="0" applyFont="1" applyBorder="1" applyAlignment="1">
      <alignment horizontal="center" wrapText="1"/>
    </xf>
    <xf numFmtId="0" fontId="259" fillId="0" borderId="444" xfId="0" applyFont="1" applyBorder="1" applyAlignment="1">
      <alignment horizontal="center"/>
    </xf>
    <xf numFmtId="0" fontId="259" fillId="0" borderId="483" xfId="0" applyFont="1" applyBorder="1" applyAlignment="1">
      <alignment horizontal="center"/>
    </xf>
    <xf numFmtId="0" fontId="256" fillId="0" borderId="90" xfId="0" applyFont="1" applyBorder="1" applyAlignment="1">
      <alignment horizontal="center"/>
    </xf>
    <xf numFmtId="0" fontId="256" fillId="0" borderId="455" xfId="0" applyFont="1" applyBorder="1"/>
    <xf numFmtId="0" fontId="256" fillId="0" borderId="455" xfId="0" applyFont="1" applyBorder="1" applyAlignment="1">
      <alignment horizontal="center"/>
    </xf>
    <xf numFmtId="0" fontId="256" fillId="0" borderId="480" xfId="0" applyFont="1" applyBorder="1" applyAlignment="1">
      <alignment horizontal="center"/>
    </xf>
    <xf numFmtId="0" fontId="255" fillId="0" borderId="90" xfId="0" applyFont="1" applyBorder="1" applyAlignment="1">
      <alignment horizontal="center"/>
    </xf>
    <xf numFmtId="0" fontId="255" fillId="0" borderId="455" xfId="0" applyFont="1" applyBorder="1" applyAlignment="1">
      <alignment horizontal="center"/>
    </xf>
    <xf numFmtId="3" fontId="255" fillId="0" borderId="455" xfId="0" applyNumberFormat="1" applyFont="1" applyBorder="1" applyAlignment="1">
      <alignment horizontal="center"/>
    </xf>
    <xf numFmtId="0" fontId="272" fillId="0" borderId="455" xfId="0" applyFont="1" applyBorder="1" applyAlignment="1">
      <alignment horizontal="center"/>
    </xf>
    <xf numFmtId="3" fontId="272" fillId="0" borderId="455" xfId="0" applyNumberFormat="1" applyFont="1" applyBorder="1" applyAlignment="1">
      <alignment horizontal="center"/>
    </xf>
    <xf numFmtId="3" fontId="272" fillId="0" borderId="466" xfId="0" applyNumberFormat="1" applyFont="1" applyBorder="1" applyAlignment="1">
      <alignment horizontal="center"/>
    </xf>
    <xf numFmtId="0" fontId="272" fillId="0" borderId="455" xfId="124" applyFont="1" applyBorder="1" applyAlignment="1">
      <alignment horizontal="center"/>
    </xf>
    <xf numFmtId="3" fontId="272" fillId="0" borderId="455" xfId="124" applyNumberFormat="1" applyFont="1" applyBorder="1" applyAlignment="1">
      <alignment horizontal="center"/>
    </xf>
    <xf numFmtId="0" fontId="272" fillId="0" borderId="308" xfId="0" applyFont="1" applyBorder="1" applyAlignment="1">
      <alignment horizontal="center"/>
    </xf>
    <xf numFmtId="0" fontId="272" fillId="0" borderId="357" xfId="124" applyFont="1" applyBorder="1" applyAlignment="1">
      <alignment horizontal="center"/>
    </xf>
    <xf numFmtId="3" fontId="272" fillId="0" borderId="357" xfId="124" applyNumberFormat="1" applyFont="1" applyBorder="1" applyAlignment="1">
      <alignment horizontal="center"/>
    </xf>
    <xf numFmtId="3" fontId="272" fillId="0" borderId="357" xfId="0" applyNumberFormat="1" applyFont="1" applyBorder="1" applyAlignment="1">
      <alignment horizontal="center"/>
    </xf>
    <xf numFmtId="0" fontId="242" fillId="0" borderId="173" xfId="0" applyFont="1" applyBorder="1" applyAlignment="1">
      <alignment horizontal="center"/>
    </xf>
    <xf numFmtId="0" fontId="242" fillId="0" borderId="455" xfId="0" applyFont="1" applyBorder="1"/>
    <xf numFmtId="0" fontId="242" fillId="0" borderId="455" xfId="0" applyFont="1" applyBorder="1" applyAlignment="1">
      <alignment horizontal="center"/>
    </xf>
    <xf numFmtId="0" fontId="242" fillId="0" borderId="480" xfId="0" applyFont="1" applyBorder="1" applyAlignment="1">
      <alignment horizontal="center"/>
    </xf>
    <xf numFmtId="0" fontId="242" fillId="0" borderId="455" xfId="0" applyFont="1" applyBorder="1" applyAlignment="1">
      <alignment horizontal="center" wrapText="1"/>
    </xf>
    <xf numFmtId="0" fontId="243" fillId="0" borderId="455" xfId="0" applyFont="1" applyBorder="1"/>
    <xf numFmtId="0" fontId="243" fillId="0" borderId="455" xfId="0" applyFont="1" applyBorder="1" applyAlignment="1">
      <alignment horizontal="center"/>
    </xf>
    <xf numFmtId="0" fontId="274" fillId="0" borderId="455" xfId="0" applyFont="1" applyBorder="1" applyAlignment="1">
      <alignment horizontal="center"/>
    </xf>
    <xf numFmtId="175" fontId="242" fillId="0" borderId="455" xfId="0" applyNumberFormat="1" applyFont="1" applyBorder="1" applyAlignment="1">
      <alignment horizontal="center"/>
    </xf>
    <xf numFmtId="175" fontId="242" fillId="0" borderId="455" xfId="0" applyNumberFormat="1" applyFont="1" applyBorder="1"/>
    <xf numFmtId="175" fontId="242" fillId="0" borderId="455" xfId="124" applyNumberFormat="1" applyFont="1" applyBorder="1"/>
    <xf numFmtId="0" fontId="243" fillId="0" borderId="455" xfId="124" applyFont="1" applyBorder="1"/>
    <xf numFmtId="175" fontId="243" fillId="0" borderId="455" xfId="0" applyNumberFormat="1" applyFont="1" applyBorder="1" applyAlignment="1">
      <alignment horizontal="center"/>
    </xf>
    <xf numFmtId="175" fontId="243" fillId="0" borderId="219" xfId="0" applyNumberFormat="1" applyFont="1" applyBorder="1" applyAlignment="1">
      <alignment horizontal="center"/>
    </xf>
    <xf numFmtId="175" fontId="243" fillId="0" borderId="455" xfId="124" applyNumberFormat="1" applyFont="1" applyBorder="1" applyAlignment="1">
      <alignment horizontal="center"/>
    </xf>
    <xf numFmtId="175" fontId="243" fillId="0" borderId="480" xfId="0" applyNumberFormat="1" applyFont="1" applyBorder="1" applyAlignment="1">
      <alignment horizontal="center"/>
    </xf>
    <xf numFmtId="175" fontId="243" fillId="0" borderId="481" xfId="0" applyNumberFormat="1" applyFont="1" applyBorder="1" applyAlignment="1">
      <alignment horizontal="center"/>
    </xf>
    <xf numFmtId="0" fontId="243" fillId="0" borderId="374" xfId="0" applyFont="1" applyBorder="1" applyAlignment="1">
      <alignment horizontal="center"/>
    </xf>
    <xf numFmtId="0" fontId="243" fillId="0" borderId="357" xfId="0" applyFont="1" applyBorder="1"/>
    <xf numFmtId="0" fontId="242" fillId="0" borderId="358" xfId="0" applyFont="1" applyBorder="1"/>
    <xf numFmtId="0" fontId="151" fillId="0" borderId="294" xfId="128" applyFont="1" applyBorder="1" applyAlignment="1">
      <alignment horizontal="center"/>
    </xf>
    <xf numFmtId="0" fontId="151" fillId="0" borderId="480" xfId="128" applyFont="1" applyBorder="1" applyAlignment="1">
      <alignment horizontal="center"/>
    </xf>
    <xf numFmtId="0" fontId="151" fillId="0" borderId="455" xfId="128" applyFont="1" applyBorder="1" applyAlignment="1">
      <alignment horizontal="center"/>
    </xf>
    <xf numFmtId="0" fontId="150" fillId="0" borderId="474" xfId="128" applyFont="1" applyBorder="1" applyAlignment="1">
      <alignment horizontal="center"/>
    </xf>
    <xf numFmtId="0" fontId="150" fillId="0" borderId="469" xfId="128" applyFont="1" applyBorder="1" applyAlignment="1">
      <alignment horizontal="center"/>
    </xf>
    <xf numFmtId="0" fontId="151" fillId="0" borderId="311" xfId="128" applyFont="1" applyBorder="1" applyAlignment="1">
      <alignment horizontal="center"/>
    </xf>
    <xf numFmtId="0" fontId="151" fillId="0" borderId="357" xfId="128" applyFont="1" applyBorder="1" applyAlignment="1">
      <alignment horizontal="center"/>
    </xf>
    <xf numFmtId="0" fontId="151" fillId="0" borderId="381" xfId="128" applyFont="1" applyBorder="1" applyAlignment="1">
      <alignment horizontal="center"/>
    </xf>
    <xf numFmtId="0" fontId="151" fillId="0" borderId="355" xfId="128" applyFont="1" applyBorder="1" applyAlignment="1">
      <alignment horizontal="center"/>
    </xf>
    <xf numFmtId="0" fontId="150" fillId="0" borderId="90" xfId="128" applyFont="1" applyBorder="1" applyAlignment="1">
      <alignment horizontal="center" vertical="center"/>
    </xf>
    <xf numFmtId="0" fontId="150" fillId="0" borderId="455" xfId="128" applyFont="1" applyBorder="1" applyAlignment="1">
      <alignment horizontal="center" vertical="center"/>
    </xf>
    <xf numFmtId="3" fontId="150" fillId="0" borderId="455" xfId="128" applyNumberFormat="1" applyFont="1" applyBorder="1" applyAlignment="1">
      <alignment horizontal="center" vertical="center"/>
    </xf>
    <xf numFmtId="3" fontId="150" fillId="0" borderId="466" xfId="128" applyNumberFormat="1" applyFont="1" applyBorder="1" applyAlignment="1">
      <alignment horizontal="center" vertical="center"/>
    </xf>
    <xf numFmtId="3" fontId="160" fillId="0" borderId="455" xfId="128" applyNumberFormat="1" applyFont="1" applyBorder="1" applyAlignment="1">
      <alignment horizontal="center" vertical="center"/>
    </xf>
    <xf numFmtId="0" fontId="150" fillId="0" borderId="455" xfId="124" applyFont="1" applyBorder="1" applyAlignment="1">
      <alignment horizontal="center" vertical="center"/>
    </xf>
    <xf numFmtId="3" fontId="150" fillId="0" borderId="455" xfId="124" applyNumberFormat="1" applyFont="1" applyBorder="1" applyAlignment="1">
      <alignment horizontal="center" vertical="center"/>
    </xf>
    <xf numFmtId="0" fontId="155" fillId="0" borderId="461" xfId="122" applyFont="1" applyBorder="1"/>
    <xf numFmtId="3" fontId="155" fillId="0" borderId="116" xfId="57" applyNumberFormat="1" applyFont="1" applyFill="1" applyBorder="1" applyAlignment="1">
      <alignment horizontal="center"/>
    </xf>
    <xf numFmtId="171" fontId="155" fillId="0" borderId="329" xfId="149" applyNumberFormat="1" applyFont="1" applyFill="1" applyBorder="1" applyAlignment="1">
      <alignment horizontal="center"/>
    </xf>
    <xf numFmtId="3" fontId="155" fillId="0" borderId="329" xfId="57" applyNumberFormat="1" applyFont="1" applyFill="1" applyBorder="1" applyAlignment="1">
      <alignment horizontal="center"/>
    </xf>
    <xf numFmtId="171" fontId="155" fillId="0" borderId="331" xfId="149" applyNumberFormat="1" applyFont="1" applyFill="1" applyBorder="1" applyAlignment="1">
      <alignment horizontal="center"/>
    </xf>
    <xf numFmtId="3" fontId="155" fillId="0" borderId="90" xfId="122" applyNumberFormat="1" applyFont="1" applyBorder="1" applyAlignment="1">
      <alignment horizontal="center"/>
    </xf>
    <xf numFmtId="171" fontId="155" fillId="0" borderId="330" xfId="149" applyNumberFormat="1" applyFont="1" applyFill="1" applyBorder="1" applyAlignment="1">
      <alignment horizontal="center"/>
    </xf>
    <xf numFmtId="171" fontId="155" fillId="0" borderId="330" xfId="150" applyNumberFormat="1" applyFont="1" applyFill="1" applyBorder="1" applyAlignment="1">
      <alignment horizontal="center"/>
    </xf>
    <xf numFmtId="0" fontId="155" fillId="0" borderId="0" xfId="122" applyFont="1"/>
    <xf numFmtId="250" fontId="231" fillId="0" borderId="0" xfId="124" applyNumberFormat="1" applyFont="1"/>
    <xf numFmtId="0" fontId="150" fillId="0" borderId="176" xfId="4807" applyFont="1" applyBorder="1" applyAlignment="1">
      <alignment horizontal="right"/>
    </xf>
    <xf numFmtId="17" fontId="151" fillId="0" borderId="291" xfId="830" applyNumberFormat="1" applyFont="1" applyBorder="1" applyAlignment="1">
      <alignment horizontal="center"/>
    </xf>
    <xf numFmtId="17" fontId="151" fillId="0" borderId="436" xfId="830" applyNumberFormat="1" applyFont="1" applyBorder="1" applyAlignment="1">
      <alignment horizontal="center"/>
    </xf>
    <xf numFmtId="17" fontId="151" fillId="0" borderId="435" xfId="830" applyNumberFormat="1" applyFont="1" applyBorder="1" applyAlignment="1">
      <alignment horizontal="center"/>
    </xf>
    <xf numFmtId="49" fontId="151" fillId="0" borderId="57" xfId="830" applyNumberFormat="1" applyFont="1" applyBorder="1" applyAlignment="1">
      <alignment wrapText="1"/>
    </xf>
    <xf numFmtId="172" fontId="151" fillId="0" borderId="329" xfId="57" applyNumberFormat="1" applyFont="1" applyFill="1" applyBorder="1" applyAlignment="1">
      <alignment horizontal="center"/>
    </xf>
    <xf numFmtId="172" fontId="151" fillId="0" borderId="331" xfId="57" applyNumberFormat="1" applyFont="1" applyFill="1" applyBorder="1" applyAlignment="1">
      <alignment horizontal="center"/>
    </xf>
    <xf numFmtId="49" fontId="150" fillId="0" borderId="57" xfId="830" applyNumberFormat="1" applyFont="1" applyBorder="1" applyAlignment="1">
      <alignment wrapText="1"/>
    </xf>
    <xf numFmtId="49" fontId="150" fillId="0" borderId="57" xfId="830" applyNumberFormat="1" applyFont="1" applyBorder="1" applyAlignment="1">
      <alignment horizontal="left" wrapText="1" indent="2"/>
    </xf>
    <xf numFmtId="172" fontId="150" fillId="0" borderId="329" xfId="57" applyNumberFormat="1" applyFont="1" applyFill="1" applyBorder="1" applyAlignment="1">
      <alignment horizontal="center"/>
    </xf>
    <xf numFmtId="172" fontId="150" fillId="0" borderId="331" xfId="57" applyNumberFormat="1" applyFont="1" applyFill="1" applyBorder="1" applyAlignment="1">
      <alignment horizontal="center"/>
    </xf>
    <xf numFmtId="49" fontId="150" fillId="0" borderId="57" xfId="830" applyNumberFormat="1" applyFont="1" applyBorder="1" applyAlignment="1">
      <alignment horizontal="left" wrapText="1" indent="3"/>
    </xf>
    <xf numFmtId="49" fontId="151" fillId="0" borderId="308" xfId="830" applyNumberFormat="1" applyFont="1" applyBorder="1" applyAlignment="1">
      <alignment wrapText="1"/>
    </xf>
    <xf numFmtId="0" fontId="160" fillId="0" borderId="0" xfId="830" applyFont="1"/>
    <xf numFmtId="0" fontId="167" fillId="0" borderId="0" xfId="124" applyFont="1"/>
    <xf numFmtId="180" fontId="167" fillId="0" borderId="0" xfId="184" applyNumberFormat="1" applyFont="1" applyAlignment="1">
      <alignment vertical="center"/>
    </xf>
    <xf numFmtId="3" fontId="167" fillId="0" borderId="167" xfId="184" applyNumberFormat="1" applyFont="1" applyBorder="1"/>
    <xf numFmtId="3" fontId="168" fillId="0" borderId="324" xfId="184" applyNumberFormat="1" applyFont="1" applyBorder="1" applyAlignment="1">
      <alignment vertical="center"/>
    </xf>
    <xf numFmtId="3" fontId="168" fillId="0" borderId="167" xfId="184" applyNumberFormat="1" applyFont="1" applyBorder="1" applyAlignment="1">
      <alignment vertical="center"/>
    </xf>
    <xf numFmtId="3" fontId="167" fillId="0" borderId="69" xfId="124" applyNumberFormat="1" applyFont="1" applyBorder="1"/>
    <xf numFmtId="3" fontId="168" fillId="0" borderId="24" xfId="184" applyNumberFormat="1" applyFont="1" applyBorder="1" applyAlignment="1">
      <alignment horizontal="center" vertical="center"/>
    </xf>
    <xf numFmtId="3" fontId="168" fillId="0" borderId="69" xfId="184" applyNumberFormat="1" applyFont="1" applyBorder="1" applyAlignment="1">
      <alignment horizontal="center" vertical="center"/>
    </xf>
    <xf numFmtId="3" fontId="168" fillId="0" borderId="69" xfId="124" applyNumberFormat="1" applyFont="1" applyBorder="1" applyAlignment="1">
      <alignment horizontal="center" wrapText="1"/>
    </xf>
    <xf numFmtId="3" fontId="167" fillId="0" borderId="114" xfId="124" applyNumberFormat="1" applyFont="1" applyBorder="1"/>
    <xf numFmtId="3" fontId="168" fillId="0" borderId="327" xfId="184" applyNumberFormat="1" applyFont="1" applyBorder="1" applyAlignment="1">
      <alignment horizontal="center"/>
    </xf>
    <xf numFmtId="3" fontId="168" fillId="0" borderId="114" xfId="184" applyNumberFormat="1" applyFont="1" applyBorder="1" applyAlignment="1">
      <alignment horizontal="center"/>
    </xf>
    <xf numFmtId="3" fontId="250" fillId="0" borderId="69" xfId="124" applyNumberFormat="1" applyFont="1" applyBorder="1"/>
    <xf numFmtId="172" fontId="173" fillId="0" borderId="24" xfId="124" applyNumberFormat="1" applyFont="1" applyBorder="1" applyAlignment="1">
      <alignment horizontal="center"/>
    </xf>
    <xf numFmtId="172" fontId="167" fillId="0" borderId="69" xfId="124" applyNumberFormat="1" applyFont="1" applyBorder="1" applyAlignment="1">
      <alignment horizontal="center"/>
    </xf>
    <xf numFmtId="172" fontId="167" fillId="0" borderId="24" xfId="124" applyNumberFormat="1" applyFont="1" applyBorder="1" applyAlignment="1">
      <alignment horizontal="center"/>
    </xf>
    <xf numFmtId="3" fontId="168" fillId="0" borderId="69" xfId="124" applyNumberFormat="1" applyFont="1" applyBorder="1"/>
    <xf numFmtId="172" fontId="168" fillId="0" borderId="24" xfId="124" applyNumberFormat="1" applyFont="1" applyBorder="1" applyAlignment="1">
      <alignment horizontal="center"/>
    </xf>
    <xf numFmtId="172" fontId="168" fillId="0" borderId="69" xfId="124" applyNumberFormat="1" applyFont="1" applyBorder="1" applyAlignment="1">
      <alignment horizontal="center"/>
    </xf>
    <xf numFmtId="3" fontId="167" fillId="0" borderId="69" xfId="124" applyNumberFormat="1" applyFont="1" applyBorder="1" applyAlignment="1">
      <alignment horizontal="left" indent="2"/>
    </xf>
    <xf numFmtId="172" fontId="167" fillId="0" borderId="69" xfId="184" applyNumberFormat="1" applyFont="1" applyBorder="1" applyAlignment="1">
      <alignment horizontal="center"/>
    </xf>
    <xf numFmtId="172" fontId="167" fillId="0" borderId="24" xfId="184" applyNumberFormat="1" applyFont="1" applyBorder="1" applyAlignment="1">
      <alignment horizontal="center"/>
    </xf>
    <xf numFmtId="3" fontId="168" fillId="0" borderId="69" xfId="124" applyNumberFormat="1" applyFont="1" applyBorder="1" applyAlignment="1">
      <alignment horizontal="left"/>
    </xf>
    <xf numFmtId="172" fontId="168" fillId="0" borderId="69" xfId="184" applyNumberFormat="1" applyFont="1" applyBorder="1" applyAlignment="1">
      <alignment horizontal="center"/>
    </xf>
    <xf numFmtId="172" fontId="168" fillId="0" borderId="24" xfId="184" applyNumberFormat="1" applyFont="1" applyBorder="1" applyAlignment="1">
      <alignment horizontal="center"/>
    </xf>
    <xf numFmtId="0" fontId="168" fillId="0" borderId="0" xfId="124" applyFont="1"/>
    <xf numFmtId="3" fontId="168" fillId="0" borderId="313" xfId="124" applyNumberFormat="1" applyFont="1" applyBorder="1"/>
    <xf numFmtId="172" fontId="168" fillId="0" borderId="279" xfId="124" applyNumberFormat="1" applyFont="1" applyBorder="1" applyAlignment="1">
      <alignment horizontal="center"/>
    </xf>
    <xf numFmtId="172" fontId="168" fillId="0" borderId="313" xfId="124" applyNumberFormat="1" applyFont="1" applyBorder="1" applyAlignment="1">
      <alignment horizontal="center"/>
    </xf>
    <xf numFmtId="172" fontId="173" fillId="0" borderId="69" xfId="124" applyNumberFormat="1" applyFont="1" applyBorder="1" applyAlignment="1">
      <alignment horizontal="center"/>
    </xf>
    <xf numFmtId="3" fontId="168" fillId="0" borderId="313" xfId="124" applyNumberFormat="1" applyFont="1" applyBorder="1" applyAlignment="1">
      <alignment horizontal="left" indent="2"/>
    </xf>
    <xf numFmtId="3" fontId="168" fillId="28" borderId="69" xfId="124" applyNumberFormat="1" applyFont="1" applyFill="1" applyBorder="1" applyAlignment="1">
      <alignment horizontal="left" indent="2"/>
    </xf>
    <xf numFmtId="172" fontId="168" fillId="28" borderId="24" xfId="124" applyNumberFormat="1" applyFont="1" applyFill="1" applyBorder="1" applyAlignment="1">
      <alignment horizontal="center"/>
    </xf>
    <xf numFmtId="172" fontId="168" fillId="28" borderId="69" xfId="184" applyNumberFormat="1" applyFont="1" applyFill="1" applyBorder="1" applyAlignment="1">
      <alignment horizontal="center"/>
    </xf>
    <xf numFmtId="172" fontId="168" fillId="28" borderId="24" xfId="184" applyNumberFormat="1" applyFont="1" applyFill="1" applyBorder="1" applyAlignment="1">
      <alignment horizontal="center"/>
    </xf>
    <xf numFmtId="3" fontId="168" fillId="0" borderId="68" xfId="124" applyNumberFormat="1" applyFont="1" applyBorder="1" applyAlignment="1">
      <alignment horizontal="left" indent="2"/>
    </xf>
    <xf numFmtId="172" fontId="168" fillId="0" borderId="191" xfId="124" applyNumberFormat="1" applyFont="1" applyBorder="1" applyAlignment="1">
      <alignment horizontal="center"/>
    </xf>
    <xf numFmtId="172" fontId="168" fillId="0" borderId="68" xfId="124" applyNumberFormat="1" applyFont="1" applyBorder="1" applyAlignment="1">
      <alignment horizontal="center"/>
    </xf>
    <xf numFmtId="0" fontId="172" fillId="0" borderId="0" xfId="128" applyFont="1"/>
    <xf numFmtId="172" fontId="172" fillId="0" borderId="0" xfId="128" applyNumberFormat="1" applyFont="1"/>
    <xf numFmtId="0" fontId="167" fillId="0" borderId="0" xfId="124" applyFont="1" applyAlignment="1">
      <alignment horizontal="center"/>
    </xf>
    <xf numFmtId="4" fontId="167" fillId="0" borderId="0" xfId="124" applyNumberFormat="1" applyFont="1" applyAlignment="1">
      <alignment horizontal="center"/>
    </xf>
    <xf numFmtId="171" fontId="152" fillId="0" borderId="198" xfId="149" applyNumberFormat="1" applyFont="1" applyBorder="1" applyAlignment="1">
      <alignment horizontal="center"/>
    </xf>
    <xf numFmtId="171" fontId="155" fillId="0" borderId="198" xfId="149" applyNumberFormat="1" applyFont="1" applyBorder="1" applyAlignment="1">
      <alignment horizontal="center"/>
    </xf>
    <xf numFmtId="171" fontId="152" fillId="0" borderId="416" xfId="149" applyNumberFormat="1" applyFont="1" applyBorder="1" applyAlignment="1">
      <alignment horizontal="center"/>
    </xf>
    <xf numFmtId="171" fontId="152" fillId="0" borderId="280" xfId="149" applyNumberFormat="1" applyFont="1" applyBorder="1" applyAlignment="1">
      <alignment horizontal="center"/>
    </xf>
    <xf numFmtId="171" fontId="152" fillId="0" borderId="186" xfId="149" applyNumberFormat="1" applyFont="1" applyBorder="1" applyAlignment="1">
      <alignment horizontal="center"/>
    </xf>
    <xf numFmtId="171" fontId="152" fillId="0" borderId="471" xfId="149" applyNumberFormat="1" applyFont="1" applyBorder="1" applyAlignment="1">
      <alignment horizontal="center"/>
    </xf>
    <xf numFmtId="4" fontId="168" fillId="0" borderId="158" xfId="1446" applyNumberFormat="1" applyFont="1" applyBorder="1" applyAlignment="1">
      <alignment horizontal="center"/>
    </xf>
    <xf numFmtId="0" fontId="168" fillId="0" borderId="189" xfId="0" applyFont="1" applyBorder="1" applyAlignment="1">
      <alignment horizontal="center" vertical="center"/>
    </xf>
    <xf numFmtId="171" fontId="167" fillId="0" borderId="198" xfId="149" applyNumberFormat="1" applyFont="1" applyFill="1" applyBorder="1" applyAlignment="1">
      <alignment horizontal="center"/>
    </xf>
    <xf numFmtId="3" fontId="184" fillId="0" borderId="198" xfId="0" applyNumberFormat="1" applyFont="1" applyBorder="1" applyAlignment="1">
      <alignment horizontal="center"/>
    </xf>
    <xf numFmtId="171" fontId="184" fillId="0" borderId="198" xfId="149" applyNumberFormat="1" applyFont="1" applyFill="1" applyBorder="1" applyAlignment="1">
      <alignment horizontal="center"/>
    </xf>
    <xf numFmtId="2" fontId="184" fillId="0" borderId="198" xfId="0" applyNumberFormat="1" applyFont="1" applyBorder="1" applyAlignment="1">
      <alignment horizontal="center"/>
    </xf>
    <xf numFmtId="172" fontId="184" fillId="0" borderId="198" xfId="0" applyNumberFormat="1" applyFont="1" applyBorder="1" applyAlignment="1">
      <alignment horizontal="center"/>
    </xf>
    <xf numFmtId="172" fontId="184" fillId="0" borderId="198" xfId="57" applyNumberFormat="1" applyFont="1" applyFill="1" applyBorder="1" applyAlignment="1">
      <alignment horizontal="center" vertical="center"/>
    </xf>
    <xf numFmtId="175" fontId="184" fillId="0" borderId="198" xfId="0" applyNumberFormat="1" applyFont="1" applyBorder="1" applyAlignment="1">
      <alignment horizontal="center"/>
    </xf>
    <xf numFmtId="0" fontId="167" fillId="0" borderId="443" xfId="0" applyFont="1" applyBorder="1"/>
    <xf numFmtId="0" fontId="167" fillId="0" borderId="56" xfId="0" applyFont="1" applyBorder="1"/>
    <xf numFmtId="0" fontId="175" fillId="0" borderId="292" xfId="0" applyFont="1" applyBorder="1"/>
    <xf numFmtId="0" fontId="167" fillId="0" borderId="292" xfId="0" applyFont="1" applyBorder="1"/>
    <xf numFmtId="0" fontId="187" fillId="0" borderId="189" xfId="0" applyFont="1" applyBorder="1" applyAlignment="1">
      <alignment horizontal="center" vertical="center"/>
    </xf>
    <xf numFmtId="171" fontId="186" fillId="0" borderId="186" xfId="149" applyNumberFormat="1" applyFont="1" applyFill="1" applyBorder="1" applyAlignment="1">
      <alignment horizontal="center"/>
    </xf>
    <xf numFmtId="171" fontId="186" fillId="0" borderId="482" xfId="149" applyNumberFormat="1" applyFont="1" applyFill="1" applyBorder="1" applyAlignment="1">
      <alignment horizontal="center"/>
    </xf>
    <xf numFmtId="171" fontId="186" fillId="0" borderId="359" xfId="149" applyNumberFormat="1" applyFont="1" applyFill="1" applyBorder="1" applyAlignment="1">
      <alignment horizontal="center"/>
    </xf>
    <xf numFmtId="0" fontId="242" fillId="0" borderId="348" xfId="0" applyFont="1" applyBorder="1" applyAlignment="1">
      <alignment horizontal="center"/>
    </xf>
    <xf numFmtId="175" fontId="167" fillId="0" borderId="455" xfId="122" applyNumberFormat="1" applyFont="1" applyBorder="1" applyAlignment="1">
      <alignment horizontal="center" vertical="center"/>
    </xf>
    <xf numFmtId="3" fontId="158" fillId="0" borderId="487" xfId="128" applyNumberFormat="1" applyFont="1" applyBorder="1" applyAlignment="1">
      <alignment horizontal="center" vertical="center"/>
    </xf>
    <xf numFmtId="0" fontId="159" fillId="0" borderId="0" xfId="141" applyFont="1" applyAlignment="1">
      <alignment horizontal="left"/>
    </xf>
    <xf numFmtId="3" fontId="158" fillId="0" borderId="354" xfId="128" applyNumberFormat="1" applyFont="1" applyBorder="1" applyAlignment="1">
      <alignment horizontal="center" vertical="center"/>
    </xf>
    <xf numFmtId="0" fontId="158" fillId="0" borderId="90" xfId="141" applyFont="1" applyBorder="1" applyAlignment="1">
      <alignment horizontal="center"/>
    </xf>
    <xf numFmtId="0" fontId="158" fillId="0" borderId="90" xfId="128" applyFont="1" applyBorder="1" applyAlignment="1">
      <alignment horizontal="center"/>
    </xf>
    <xf numFmtId="3" fontId="158" fillId="0" borderId="116" xfId="141" applyNumberFormat="1" applyFont="1" applyBorder="1" applyAlignment="1">
      <alignment horizontal="center"/>
    </xf>
    <xf numFmtId="3" fontId="158" fillId="0" borderId="466" xfId="141" applyNumberFormat="1" applyFont="1" applyBorder="1" applyAlignment="1">
      <alignment horizontal="center"/>
    </xf>
    <xf numFmtId="3" fontId="158" fillId="0" borderId="487" xfId="128" applyNumberFormat="1" applyFont="1" applyBorder="1" applyAlignment="1">
      <alignment horizontal="center"/>
    </xf>
    <xf numFmtId="3" fontId="158" fillId="0" borderId="466" xfId="128" applyNumberFormat="1" applyFont="1" applyBorder="1" applyAlignment="1">
      <alignment horizontal="center"/>
    </xf>
    <xf numFmtId="0" fontId="158" fillId="0" borderId="56" xfId="141" applyFont="1" applyBorder="1" applyAlignment="1">
      <alignment horizontal="center"/>
    </xf>
    <xf numFmtId="2" fontId="151" fillId="0" borderId="444" xfId="0" applyNumberFormat="1" applyFont="1" applyBorder="1" applyAlignment="1">
      <alignment horizontal="center"/>
    </xf>
    <xf numFmtId="3" fontId="158" fillId="0" borderId="481" xfId="0" applyNumberFormat="1" applyFont="1" applyBorder="1" applyAlignment="1">
      <alignment horizontal="center"/>
    </xf>
    <xf numFmtId="0" fontId="158" fillId="0" borderId="483" xfId="0" applyFont="1" applyBorder="1" applyAlignment="1">
      <alignment horizontal="center"/>
    </xf>
    <xf numFmtId="0" fontId="158" fillId="0" borderId="481" xfId="0" applyFont="1" applyBorder="1"/>
    <xf numFmtId="0" fontId="158" fillId="0" borderId="354" xfId="0" applyFont="1" applyBorder="1"/>
    <xf numFmtId="0" fontId="158" fillId="0" borderId="359" xfId="0" applyFont="1" applyBorder="1"/>
    <xf numFmtId="0" fontId="168" fillId="32" borderId="189" xfId="122" applyFont="1" applyFill="1" applyBorder="1" applyAlignment="1">
      <alignment horizontal="center" vertical="center" wrapText="1"/>
    </xf>
    <xf numFmtId="0" fontId="187" fillId="32" borderId="480" xfId="122" applyFont="1" applyFill="1" applyBorder="1" applyAlignment="1">
      <alignment horizontal="center"/>
    </xf>
    <xf numFmtId="175" fontId="186" fillId="32" borderId="455" xfId="122" applyNumberFormat="1" applyFont="1" applyFill="1" applyBorder="1" applyAlignment="1">
      <alignment horizontal="center"/>
    </xf>
    <xf numFmtId="175" fontId="187" fillId="32" borderId="455" xfId="57" applyNumberFormat="1" applyFont="1" applyFill="1" applyBorder="1" applyAlignment="1">
      <alignment horizontal="center"/>
    </xf>
    <xf numFmtId="175" fontId="187" fillId="32" borderId="455" xfId="122" applyNumberFormat="1" applyFont="1" applyFill="1" applyBorder="1" applyAlignment="1">
      <alignment horizontal="center"/>
    </xf>
    <xf numFmtId="175" fontId="187" fillId="32" borderId="418" xfId="122" applyNumberFormat="1" applyFont="1" applyFill="1" applyBorder="1" applyAlignment="1">
      <alignment horizontal="center"/>
    </xf>
    <xf numFmtId="171" fontId="147" fillId="32" borderId="471" xfId="122" applyNumberFormat="1" applyFont="1" applyFill="1" applyBorder="1" applyAlignment="1">
      <alignment horizontal="center"/>
    </xf>
    <xf numFmtId="0" fontId="146" fillId="32" borderId="455" xfId="122" applyFont="1" applyFill="1" applyBorder="1"/>
    <xf numFmtId="172" fontId="243" fillId="32" borderId="475" xfId="122" applyNumberFormat="1" applyFont="1" applyFill="1" applyBorder="1" applyAlignment="1">
      <alignment horizontal="center"/>
    </xf>
    <xf numFmtId="171" fontId="244" fillId="32" borderId="470" xfId="149" applyNumberFormat="1" applyFont="1" applyFill="1" applyBorder="1" applyAlignment="1">
      <alignment horizontal="center"/>
    </xf>
    <xf numFmtId="0" fontId="195" fillId="32" borderId="487" xfId="122" applyFont="1" applyFill="1" applyBorder="1" applyAlignment="1">
      <alignment horizontal="center"/>
    </xf>
    <xf numFmtId="179" fontId="248" fillId="32" borderId="189" xfId="57" applyNumberFormat="1" applyFont="1" applyFill="1" applyBorder="1" applyAlignment="1">
      <alignment horizontal="center"/>
    </xf>
    <xf numFmtId="0" fontId="234" fillId="0" borderId="189" xfId="830" applyFont="1" applyBorder="1" applyAlignment="1">
      <alignment horizontal="center" vertical="center"/>
    </xf>
    <xf numFmtId="172" fontId="255" fillId="0" borderId="455" xfId="57" applyNumberFormat="1" applyFont="1" applyBorder="1" applyAlignment="1">
      <alignment horizontal="center" vertical="center"/>
    </xf>
    <xf numFmtId="172" fontId="255" fillId="0" borderId="455" xfId="57" applyNumberFormat="1" applyFont="1" applyFill="1" applyBorder="1" applyAlignment="1">
      <alignment horizontal="center" vertical="center"/>
    </xf>
    <xf numFmtId="172" fontId="255" fillId="0" borderId="455" xfId="57" applyNumberFormat="1" applyFont="1" applyFill="1" applyBorder="1" applyAlignment="1">
      <alignment horizontal="center" vertical="center" wrapText="1"/>
    </xf>
    <xf numFmtId="0" fontId="256" fillId="0" borderId="173" xfId="830" applyFont="1" applyBorder="1" applyAlignment="1">
      <alignment horizontal="center" vertical="center"/>
    </xf>
    <xf numFmtId="172" fontId="255" fillId="0" borderId="480" xfId="57" applyNumberFormat="1" applyFont="1" applyFill="1" applyBorder="1" applyAlignment="1">
      <alignment horizontal="center" vertical="center"/>
    </xf>
    <xf numFmtId="172" fontId="256" fillId="0" borderId="455" xfId="57" applyNumberFormat="1" applyFont="1" applyFill="1" applyBorder="1" applyAlignment="1">
      <alignment horizontal="center" vertical="center" wrapText="1"/>
    </xf>
    <xf numFmtId="172" fontId="255" fillId="0" borderId="482" xfId="57" applyNumberFormat="1" applyFont="1" applyFill="1" applyBorder="1" applyAlignment="1">
      <alignment horizontal="center" vertical="center"/>
    </xf>
    <xf numFmtId="0" fontId="141" fillId="0" borderId="480" xfId="830" applyFont="1" applyBorder="1"/>
    <xf numFmtId="0" fontId="253" fillId="0" borderId="455" xfId="830" applyFont="1" applyBorder="1"/>
    <xf numFmtId="17" fontId="151" fillId="0" borderId="173" xfId="830" applyNumberFormat="1" applyFont="1" applyBorder="1" applyAlignment="1">
      <alignment horizontal="center"/>
    </xf>
    <xf numFmtId="172" fontId="151" fillId="0" borderId="455" xfId="57" applyNumberFormat="1" applyFont="1" applyFill="1" applyBorder="1" applyAlignment="1">
      <alignment horizontal="center"/>
    </xf>
    <xf numFmtId="172" fontId="150" fillId="0" borderId="455" xfId="57" applyNumberFormat="1" applyFont="1" applyFill="1" applyBorder="1" applyAlignment="1">
      <alignment horizontal="center"/>
    </xf>
    <xf numFmtId="0" fontId="195" fillId="0" borderId="173" xfId="830" applyFont="1" applyBorder="1" applyAlignment="1">
      <alignment horizontal="center"/>
    </xf>
    <xf numFmtId="174" fontId="195" fillId="0" borderId="455" xfId="1070" applyNumberFormat="1" applyFont="1" applyFill="1" applyBorder="1" applyAlignment="1">
      <alignment horizontal="right"/>
    </xf>
    <xf numFmtId="175" fontId="195" fillId="0" borderId="455" xfId="1070" applyNumberFormat="1" applyFont="1" applyFill="1" applyBorder="1" applyAlignment="1">
      <alignment horizontal="center"/>
    </xf>
    <xf numFmtId="175" fontId="192" fillId="0" borderId="482" xfId="1070" applyNumberFormat="1" applyFont="1" applyFill="1" applyBorder="1" applyAlignment="1">
      <alignment horizontal="center"/>
    </xf>
    <xf numFmtId="174" fontId="157" fillId="0" borderId="480" xfId="57" applyNumberFormat="1" applyFont="1" applyFill="1" applyBorder="1" applyAlignment="1">
      <alignment horizontal="center"/>
    </xf>
    <xf numFmtId="235" fontId="253" fillId="0" borderId="455" xfId="5091" applyNumberFormat="1" applyFont="1" applyBorder="1" applyAlignment="1">
      <alignment horizontal="center"/>
    </xf>
    <xf numFmtId="174" fontId="157" fillId="0" borderId="455" xfId="57" applyNumberFormat="1" applyFont="1" applyFill="1" applyBorder="1" applyAlignment="1">
      <alignment horizontal="center"/>
    </xf>
    <xf numFmtId="235" fontId="141" fillId="0" borderId="455" xfId="5091" applyNumberFormat="1" applyFont="1" applyBorder="1" applyAlignment="1">
      <alignment horizontal="center"/>
    </xf>
    <xf numFmtId="175" fontId="158" fillId="0" borderId="455" xfId="57" applyNumberFormat="1" applyFont="1" applyFill="1" applyBorder="1" applyAlignment="1">
      <alignment horizontal="center"/>
    </xf>
    <xf numFmtId="175" fontId="157" fillId="0" borderId="455" xfId="57" applyNumberFormat="1" applyFont="1" applyFill="1" applyBorder="1" applyAlignment="1">
      <alignment horizontal="center"/>
    </xf>
    <xf numFmtId="39" fontId="253" fillId="0" borderId="455" xfId="5091" applyNumberFormat="1" applyFont="1" applyBorder="1" applyAlignment="1">
      <alignment horizontal="center"/>
    </xf>
    <xf numFmtId="245" fontId="253" fillId="0" borderId="455" xfId="5091" applyNumberFormat="1" applyFont="1" applyBorder="1" applyAlignment="1">
      <alignment horizontal="center"/>
    </xf>
    <xf numFmtId="39" fontId="141" fillId="0" borderId="455" xfId="5091" applyNumberFormat="1" applyFont="1" applyBorder="1" applyAlignment="1">
      <alignment horizontal="center"/>
    </xf>
    <xf numFmtId="174" fontId="158" fillId="0" borderId="455" xfId="57" applyNumberFormat="1" applyFont="1" applyFill="1" applyBorder="1" applyAlignment="1">
      <alignment horizontal="center"/>
    </xf>
    <xf numFmtId="235" fontId="253" fillId="0" borderId="455" xfId="5091" applyNumberFormat="1" applyFont="1" applyBorder="1" applyAlignment="1">
      <alignment horizontal="center" vertical="center"/>
    </xf>
    <xf numFmtId="174" fontId="158" fillId="0" borderId="482" xfId="57" applyNumberFormat="1" applyFont="1" applyFill="1" applyBorder="1" applyAlignment="1">
      <alignment horizontal="center"/>
    </xf>
    <xf numFmtId="0" fontId="157" fillId="0" borderId="190" xfId="830" applyFont="1" applyBorder="1" applyAlignment="1">
      <alignment horizontal="center"/>
    </xf>
    <xf numFmtId="0" fontId="265" fillId="0" borderId="348" xfId="830" applyFont="1" applyBorder="1" applyAlignment="1">
      <alignment horizontal="center"/>
    </xf>
    <xf numFmtId="0" fontId="265" fillId="0" borderId="173" xfId="830" applyFont="1" applyBorder="1" applyAlignment="1">
      <alignment horizontal="center"/>
    </xf>
    <xf numFmtId="175" fontId="265" fillId="0" borderId="480" xfId="0" applyNumberFormat="1" applyFont="1" applyBorder="1" applyAlignment="1">
      <alignment horizontal="center"/>
    </xf>
    <xf numFmtId="172" fontId="266" fillId="0" borderId="455" xfId="57" applyNumberFormat="1" applyFont="1" applyFill="1" applyBorder="1" applyAlignment="1">
      <alignment horizontal="center"/>
    </xf>
    <xf numFmtId="175" fontId="266" fillId="0" borderId="455" xfId="57" applyNumberFormat="1" applyFont="1" applyFill="1" applyBorder="1" applyAlignment="1">
      <alignment horizontal="center"/>
    </xf>
    <xf numFmtId="175" fontId="266" fillId="0" borderId="455" xfId="0" applyNumberFormat="1" applyFont="1" applyBorder="1" applyAlignment="1">
      <alignment horizontal="center"/>
    </xf>
    <xf numFmtId="175" fontId="265" fillId="0" borderId="455" xfId="0" applyNumberFormat="1" applyFont="1" applyBorder="1" applyAlignment="1">
      <alignment horizontal="center"/>
    </xf>
    <xf numFmtId="175" fontId="265" fillId="0" borderId="455" xfId="57" applyNumberFormat="1" applyFont="1" applyFill="1" applyBorder="1" applyAlignment="1">
      <alignment horizontal="center"/>
    </xf>
    <xf numFmtId="175" fontId="266" fillId="0" borderId="482" xfId="57" applyNumberFormat="1" applyFont="1" applyFill="1" applyBorder="1" applyAlignment="1">
      <alignment horizontal="center"/>
    </xf>
    <xf numFmtId="0" fontId="150" fillId="0" borderId="484" xfId="122" applyFont="1" applyBorder="1"/>
    <xf numFmtId="0" fontId="157" fillId="0" borderId="173" xfId="122" applyFont="1" applyBorder="1" applyAlignment="1">
      <alignment horizontal="center"/>
    </xf>
    <xf numFmtId="0" fontId="158" fillId="0" borderId="480" xfId="122" applyFont="1" applyBorder="1" applyAlignment="1">
      <alignment horizontal="center"/>
    </xf>
    <xf numFmtId="0" fontId="272" fillId="0" borderId="487" xfId="124" applyFont="1" applyBorder="1" applyAlignment="1">
      <alignment horizontal="center"/>
    </xf>
    <xf numFmtId="175" fontId="243" fillId="0" borderId="482" xfId="0" applyNumberFormat="1" applyFont="1" applyBorder="1" applyAlignment="1">
      <alignment horizontal="center"/>
    </xf>
    <xf numFmtId="0" fontId="243" fillId="0" borderId="348" xfId="0" applyFont="1" applyBorder="1"/>
    <xf numFmtId="0" fontId="243" fillId="0" borderId="482" xfId="0" applyFont="1" applyBorder="1" applyAlignment="1">
      <alignment horizontal="center"/>
    </xf>
    <xf numFmtId="172" fontId="151" fillId="29" borderId="490" xfId="1317" applyNumberFormat="1" applyFont="1" applyFill="1" applyBorder="1" applyAlignment="1">
      <alignment horizontal="center"/>
    </xf>
    <xf numFmtId="0" fontId="150" fillId="0" borderId="466" xfId="0" applyFont="1" applyBorder="1"/>
    <xf numFmtId="172" fontId="151" fillId="0" borderId="467" xfId="0" applyNumberFormat="1" applyFont="1" applyBorder="1" applyAlignment="1">
      <alignment horizontal="center" vertical="center"/>
    </xf>
    <xf numFmtId="0" fontId="150" fillId="0" borderId="437" xfId="0" applyFont="1" applyBorder="1" applyAlignment="1">
      <alignment vertical="center"/>
    </xf>
    <xf numFmtId="171" fontId="150" fillId="0" borderId="437" xfId="0" applyNumberFormat="1" applyFont="1" applyBorder="1" applyAlignment="1">
      <alignment horizontal="center" vertical="center"/>
    </xf>
    <xf numFmtId="3" fontId="167" fillId="0" borderId="90" xfId="0" applyNumberFormat="1" applyFont="1" applyBorder="1"/>
    <xf numFmtId="3" fontId="175" fillId="0" borderId="116" xfId="0" applyNumberFormat="1" applyFont="1" applyBorder="1"/>
    <xf numFmtId="3" fontId="175" fillId="0" borderId="186" xfId="0" applyNumberFormat="1" applyFont="1" applyBorder="1"/>
    <xf numFmtId="3" fontId="167" fillId="0" borderId="116" xfId="0" applyNumberFormat="1" applyFont="1" applyBorder="1"/>
    <xf numFmtId="3" fontId="167" fillId="0" borderId="308" xfId="0" applyNumberFormat="1" applyFont="1" applyBorder="1"/>
    <xf numFmtId="3" fontId="167" fillId="0" borderId="483" xfId="0" applyNumberFormat="1" applyFont="1" applyBorder="1"/>
    <xf numFmtId="3" fontId="167" fillId="0" borderId="482" xfId="0" applyNumberFormat="1" applyFont="1" applyBorder="1"/>
    <xf numFmtId="3" fontId="234" fillId="0" borderId="116" xfId="0" applyNumberFormat="1" applyFont="1" applyBorder="1" applyAlignment="1">
      <alignment horizontal="center"/>
    </xf>
    <xf numFmtId="3" fontId="234" fillId="0" borderId="186" xfId="0" applyNumberFormat="1" applyFont="1" applyBorder="1" applyAlignment="1">
      <alignment horizontal="center"/>
    </xf>
    <xf numFmtId="3" fontId="235" fillId="0" borderId="116" xfId="0" applyNumberFormat="1" applyFont="1" applyBorder="1" applyAlignment="1">
      <alignment horizontal="center"/>
    </xf>
    <xf numFmtId="3" fontId="301" fillId="0" borderId="116" xfId="0" applyNumberFormat="1" applyFont="1" applyBorder="1" applyAlignment="1">
      <alignment horizontal="center"/>
    </xf>
    <xf numFmtId="3" fontId="167" fillId="0" borderId="90" xfId="0" applyNumberFormat="1" applyFont="1" applyBorder="1" applyAlignment="1">
      <alignment horizontal="center"/>
    </xf>
    <xf numFmtId="3" fontId="175" fillId="0" borderId="186" xfId="0" applyNumberFormat="1" applyFont="1" applyBorder="1" applyAlignment="1">
      <alignment horizontal="center"/>
    </xf>
    <xf numFmtId="3" fontId="301" fillId="0" borderId="186" xfId="0" applyNumberFormat="1" applyFont="1" applyBorder="1" applyAlignment="1">
      <alignment horizontal="center"/>
    </xf>
    <xf numFmtId="3" fontId="235" fillId="0" borderId="186" xfId="0" applyNumberFormat="1" applyFont="1" applyBorder="1" applyAlignment="1">
      <alignment horizontal="center"/>
    </xf>
    <xf numFmtId="3" fontId="167" fillId="0" borderId="186" xfId="0" applyNumberFormat="1" applyFont="1" applyBorder="1" applyAlignment="1">
      <alignment horizontal="center"/>
    </xf>
    <xf numFmtId="3" fontId="301" fillId="0" borderId="186" xfId="0" applyNumberFormat="1" applyFont="1" applyBorder="1"/>
    <xf numFmtId="3" fontId="167" fillId="0" borderId="116" xfId="0" applyNumberFormat="1" applyFont="1" applyBorder="1" applyAlignment="1">
      <alignment horizontal="center"/>
    </xf>
    <xf numFmtId="175" fontId="302" fillId="0" borderId="0" xfId="124" applyNumberFormat="1" applyFont="1"/>
    <xf numFmtId="0" fontId="303" fillId="0" borderId="189" xfId="124" applyFont="1" applyBorder="1" applyAlignment="1">
      <alignment horizontal="center"/>
    </xf>
    <xf numFmtId="0" fontId="303" fillId="0" borderId="425" xfId="124" applyFont="1" applyBorder="1" applyAlignment="1">
      <alignment horizontal="center"/>
    </xf>
    <xf numFmtId="172" fontId="121" fillId="0" borderId="455" xfId="124" applyNumberFormat="1" applyFont="1" applyBorder="1" applyAlignment="1">
      <alignment horizontal="center"/>
    </xf>
    <xf numFmtId="0" fontId="304" fillId="0" borderId="346" xfId="122" applyFont="1" applyBorder="1" applyAlignment="1">
      <alignment horizontal="center"/>
    </xf>
    <xf numFmtId="0" fontId="304" fillId="0" borderId="425" xfId="122" applyFont="1" applyBorder="1" applyAlignment="1">
      <alignment horizontal="center"/>
    </xf>
    <xf numFmtId="174" fontId="242" fillId="0" borderId="354" xfId="57" applyNumberFormat="1" applyFont="1" applyFill="1" applyBorder="1" applyAlignment="1">
      <alignment horizontal="center"/>
    </xf>
    <xf numFmtId="174" fontId="242" fillId="32" borderId="0" xfId="122" applyNumberFormat="1" applyFont="1" applyFill="1" applyAlignment="1">
      <alignment horizontal="center"/>
    </xf>
    <xf numFmtId="174" fontId="243" fillId="32" borderId="329" xfId="122" applyNumberFormat="1" applyFont="1" applyFill="1" applyBorder="1" applyAlignment="1">
      <alignment horizontal="center"/>
    </xf>
    <xf numFmtId="174" fontId="243" fillId="32" borderId="252" xfId="122" applyNumberFormat="1" applyFont="1" applyFill="1" applyBorder="1" applyAlignment="1">
      <alignment horizontal="center"/>
    </xf>
    <xf numFmtId="174" fontId="246" fillId="32" borderId="252" xfId="122" applyNumberFormat="1" applyFont="1" applyFill="1" applyBorder="1" applyAlignment="1">
      <alignment horizontal="center"/>
    </xf>
    <xf numFmtId="174" fontId="243" fillId="32" borderId="367" xfId="122" applyNumberFormat="1" applyFont="1" applyFill="1" applyBorder="1" applyAlignment="1">
      <alignment horizontal="center"/>
    </xf>
    <xf numFmtId="174" fontId="243" fillId="0" borderId="0" xfId="122" applyNumberFormat="1" applyFont="1" applyAlignment="1">
      <alignment horizontal="center"/>
    </xf>
    <xf numFmtId="174" fontId="243" fillId="0" borderId="0" xfId="149" applyNumberFormat="1" applyFont="1" applyFill="1" applyBorder="1" applyAlignment="1">
      <alignment horizontal="center"/>
    </xf>
    <xf numFmtId="174" fontId="242" fillId="0" borderId="0" xfId="122" applyNumberFormat="1" applyFont="1" applyAlignment="1">
      <alignment horizontal="center"/>
    </xf>
    <xf numFmtId="2" fontId="243" fillId="0" borderId="455" xfId="122" applyNumberFormat="1" applyFont="1" applyBorder="1"/>
    <xf numFmtId="2" fontId="243" fillId="0" borderId="455" xfId="122" applyNumberFormat="1" applyFont="1" applyBorder="1" applyAlignment="1">
      <alignment horizontal="center"/>
    </xf>
    <xf numFmtId="172" fontId="243" fillId="0" borderId="455" xfId="122" applyNumberFormat="1" applyFont="1" applyBorder="1" applyAlignment="1">
      <alignment horizontal="center"/>
    </xf>
    <xf numFmtId="172" fontId="245" fillId="0" borderId="455" xfId="122" applyNumberFormat="1" applyFont="1" applyBorder="1" applyAlignment="1">
      <alignment horizontal="center"/>
    </xf>
    <xf numFmtId="172" fontId="245" fillId="0" borderId="487" xfId="122" applyNumberFormat="1" applyFont="1" applyBorder="1" applyAlignment="1">
      <alignment horizontal="center"/>
    </xf>
    <xf numFmtId="172" fontId="243" fillId="32" borderId="487" xfId="122" applyNumberFormat="1" applyFont="1" applyFill="1" applyBorder="1" applyAlignment="1">
      <alignment horizontal="center"/>
    </xf>
    <xf numFmtId="172" fontId="243" fillId="32" borderId="455" xfId="122" applyNumberFormat="1" applyFont="1" applyFill="1" applyBorder="1" applyAlignment="1">
      <alignment horizontal="center"/>
    </xf>
    <xf numFmtId="174" fontId="243" fillId="32" borderId="455" xfId="122" applyNumberFormat="1" applyFont="1" applyFill="1" applyBorder="1" applyAlignment="1">
      <alignment horizontal="center"/>
    </xf>
    <xf numFmtId="175" fontId="146" fillId="0" borderId="455" xfId="830" applyNumberFormat="1" applyFont="1" applyBorder="1" applyAlignment="1">
      <alignment horizontal="center"/>
    </xf>
    <xf numFmtId="175" fontId="147" fillId="0" borderId="455" xfId="830" applyNumberFormat="1" applyFont="1" applyBorder="1" applyAlignment="1">
      <alignment horizontal="center"/>
    </xf>
    <xf numFmtId="0" fontId="245" fillId="0" borderId="56" xfId="143" applyFont="1" applyBorder="1"/>
    <xf numFmtId="4" fontId="245" fillId="0" borderId="56" xfId="0" applyNumberFormat="1" applyFont="1" applyBorder="1"/>
    <xf numFmtId="37" fontId="141" fillId="0" borderId="0" xfId="5091" applyFont="1" applyAlignment="1">
      <alignment horizontal="center"/>
    </xf>
    <xf numFmtId="37" fontId="271" fillId="0" borderId="466" xfId="5091" applyFont="1" applyBorder="1" applyAlignment="1">
      <alignment horizontal="center"/>
    </xf>
    <xf numFmtId="179" fontId="271" fillId="0" borderId="466" xfId="5091" applyNumberFormat="1" applyFont="1" applyBorder="1" applyAlignment="1">
      <alignment horizontal="center"/>
    </xf>
    <xf numFmtId="37" fontId="254" fillId="0" borderId="0" xfId="5091" applyFont="1" applyAlignment="1">
      <alignment horizontal="center"/>
    </xf>
    <xf numFmtId="37" fontId="253" fillId="0" borderId="0" xfId="5091" applyFont="1" applyAlignment="1">
      <alignment horizontal="center"/>
    </xf>
    <xf numFmtId="179" fontId="158" fillId="0" borderId="466" xfId="5091" applyNumberFormat="1" applyFont="1" applyBorder="1" applyAlignment="1">
      <alignment horizontal="center"/>
    </xf>
    <xf numFmtId="179" fontId="253" fillId="0" borderId="466" xfId="5091" applyNumberFormat="1" applyFont="1" applyBorder="1" applyAlignment="1">
      <alignment horizontal="center"/>
    </xf>
    <xf numFmtId="235" fontId="158" fillId="0" borderId="455" xfId="5091" applyNumberFormat="1" applyFont="1" applyBorder="1" applyAlignment="1">
      <alignment horizontal="center"/>
    </xf>
    <xf numFmtId="179" fontId="305" fillId="0" borderId="466" xfId="5091" applyNumberFormat="1" applyFont="1" applyBorder="1" applyAlignment="1">
      <alignment horizontal="center"/>
    </xf>
    <xf numFmtId="179" fontId="157" fillId="0" borderId="466" xfId="5091" applyNumberFormat="1" applyFont="1" applyBorder="1" applyAlignment="1">
      <alignment horizontal="center"/>
    </xf>
    <xf numFmtId="235" fontId="157" fillId="0" borderId="455" xfId="5091" applyNumberFormat="1" applyFont="1" applyBorder="1" applyAlignment="1">
      <alignment horizontal="center"/>
    </xf>
    <xf numFmtId="179" fontId="157" fillId="0" borderId="466" xfId="5091" applyNumberFormat="1" applyFont="1" applyBorder="1" applyAlignment="1">
      <alignment horizontal="center" vertical="center"/>
    </xf>
    <xf numFmtId="179" fontId="158" fillId="0" borderId="359" xfId="5091" applyNumberFormat="1" applyFont="1" applyBorder="1" applyAlignment="1">
      <alignment horizontal="center"/>
    </xf>
    <xf numFmtId="0" fontId="266" fillId="0" borderId="0" xfId="0" applyFont="1" applyAlignment="1">
      <alignment horizontal="center"/>
    </xf>
    <xf numFmtId="0" fontId="266" fillId="0" borderId="24" xfId="0" applyFont="1" applyBorder="1" applyAlignment="1">
      <alignment horizontal="center"/>
    </xf>
    <xf numFmtId="175" fontId="265" fillId="0" borderId="24" xfId="0" applyNumberFormat="1" applyFont="1" applyBorder="1" applyAlignment="1">
      <alignment horizontal="center"/>
    </xf>
    <xf numFmtId="175" fontId="266" fillId="0" borderId="24" xfId="0" applyNumberFormat="1" applyFont="1" applyBorder="1" applyAlignment="1">
      <alignment horizontal="center"/>
    </xf>
    <xf numFmtId="235" fontId="253" fillId="0" borderId="487" xfId="5091" applyNumberFormat="1" applyFont="1" applyBorder="1" applyAlignment="1">
      <alignment horizontal="center"/>
    </xf>
    <xf numFmtId="37" fontId="271" fillId="0" borderId="56" xfId="5091" applyFont="1" applyBorder="1"/>
    <xf numFmtId="175" fontId="158" fillId="0" borderId="466" xfId="57" applyNumberFormat="1" applyFont="1" applyFill="1" applyBorder="1" applyAlignment="1">
      <alignment horizontal="center"/>
    </xf>
    <xf numFmtId="235" fontId="158" fillId="0" borderId="487" xfId="5091" applyNumberFormat="1" applyFont="1" applyBorder="1" applyAlignment="1">
      <alignment horizontal="center"/>
    </xf>
    <xf numFmtId="37" fontId="141" fillId="0" borderId="56" xfId="5091" applyFont="1" applyBorder="1"/>
    <xf numFmtId="0" fontId="195" fillId="0" borderId="488" xfId="830" applyFont="1" applyBorder="1" applyAlignment="1">
      <alignment horizontal="center"/>
    </xf>
    <xf numFmtId="175" fontId="192" fillId="0" borderId="466" xfId="1070" applyNumberFormat="1" applyFont="1" applyFill="1" applyBorder="1" applyAlignment="1">
      <alignment horizontal="center"/>
    </xf>
    <xf numFmtId="0" fontId="186" fillId="0" borderId="491" xfId="830" applyFont="1" applyBorder="1"/>
    <xf numFmtId="0" fontId="168" fillId="0" borderId="0" xfId="830" applyFont="1" applyAlignment="1">
      <alignment horizontal="center"/>
    </xf>
    <xf numFmtId="175" fontId="235" fillId="0" borderId="466" xfId="830" applyNumberFormat="1" applyFont="1" applyBorder="1" applyAlignment="1">
      <alignment horizontal="center"/>
    </xf>
    <xf numFmtId="175" fontId="234" fillId="0" borderId="466" xfId="830" applyNumberFormat="1" applyFont="1" applyBorder="1" applyAlignment="1">
      <alignment horizontal="center"/>
    </xf>
    <xf numFmtId="0" fontId="150" fillId="0" borderId="0" xfId="830" applyFont="1" applyAlignment="1">
      <alignment horizontal="center"/>
    </xf>
    <xf numFmtId="0" fontId="150" fillId="0" borderId="443" xfId="830" applyFont="1" applyBorder="1" applyAlignment="1">
      <alignment horizontal="center"/>
    </xf>
    <xf numFmtId="0" fontId="157" fillId="0" borderId="359" xfId="0" applyFont="1" applyBorder="1" applyAlignment="1">
      <alignment horizontal="center"/>
    </xf>
    <xf numFmtId="3" fontId="234" fillId="0" borderId="329" xfId="0" applyNumberFormat="1" applyFont="1" applyBorder="1" applyAlignment="1">
      <alignment horizontal="center"/>
    </xf>
    <xf numFmtId="3" fontId="175" fillId="0" borderId="329" xfId="0" applyNumberFormat="1" applyFont="1" applyBorder="1"/>
    <xf numFmtId="0" fontId="235" fillId="0" borderId="0" xfId="0" applyFont="1" applyAlignment="1">
      <alignment horizontal="center" vertical="center"/>
    </xf>
    <xf numFmtId="0" fontId="255" fillId="0" borderId="0" xfId="0" applyFont="1" applyAlignment="1">
      <alignment horizontal="center" vertical="center"/>
    </xf>
    <xf numFmtId="3" fontId="150" fillId="0" borderId="455" xfId="57" applyNumberFormat="1" applyFont="1" applyFill="1" applyBorder="1" applyAlignment="1">
      <alignment horizontal="center"/>
    </xf>
    <xf numFmtId="171" fontId="150" fillId="0" borderId="455" xfId="149" applyNumberFormat="1" applyFont="1" applyFill="1" applyBorder="1" applyAlignment="1">
      <alignment horizontal="center"/>
    </xf>
    <xf numFmtId="171" fontId="150" fillId="0" borderId="487" xfId="149" applyNumberFormat="1" applyFont="1" applyFill="1" applyBorder="1" applyAlignment="1">
      <alignment horizontal="center"/>
    </xf>
    <xf numFmtId="171" fontId="150" fillId="0" borderId="466" xfId="149" applyNumberFormat="1" applyFont="1" applyFill="1" applyBorder="1" applyAlignment="1">
      <alignment horizontal="center"/>
    </xf>
    <xf numFmtId="171" fontId="150" fillId="0" borderId="466" xfId="150" applyNumberFormat="1" applyFont="1" applyFill="1" applyBorder="1" applyAlignment="1">
      <alignment horizontal="center"/>
    </xf>
    <xf numFmtId="10" fontId="155" fillId="26" borderId="455" xfId="124" applyNumberFormat="1" applyFont="1" applyFill="1" applyBorder="1" applyAlignment="1">
      <alignment horizontal="center" vertical="center"/>
    </xf>
    <xf numFmtId="170" fontId="155" fillId="26" borderId="455" xfId="124" applyNumberFormat="1" applyFont="1" applyFill="1" applyBorder="1" applyAlignment="1">
      <alignment horizontal="center"/>
    </xf>
    <xf numFmtId="173" fontId="155" fillId="26" borderId="381" xfId="124" applyNumberFormat="1" applyFont="1" applyFill="1" applyBorder="1" applyAlignment="1">
      <alignment horizontal="center" vertical="center"/>
    </xf>
    <xf numFmtId="173" fontId="155" fillId="26" borderId="374" xfId="124" applyNumberFormat="1" applyFont="1" applyFill="1" applyBorder="1" applyAlignment="1">
      <alignment horizontal="center" vertical="center"/>
    </xf>
    <xf numFmtId="170" fontId="155" fillId="26" borderId="357" xfId="124" applyNumberFormat="1" applyFont="1" applyFill="1" applyBorder="1" applyAlignment="1">
      <alignment horizontal="center"/>
    </xf>
    <xf numFmtId="173" fontId="231" fillId="26" borderId="455" xfId="124" applyNumberFormat="1" applyFont="1" applyFill="1" applyBorder="1" applyAlignment="1">
      <alignment horizontal="center"/>
    </xf>
    <xf numFmtId="171" fontId="121" fillId="0" borderId="0" xfId="149" applyNumberFormat="1" applyFont="1" applyFill="1" applyAlignment="1">
      <alignment horizontal="center"/>
    </xf>
    <xf numFmtId="0" fontId="150" fillId="0" borderId="466" xfId="0" applyFont="1" applyBorder="1" applyAlignment="1">
      <alignment horizontal="center" vertical="center"/>
    </xf>
    <xf numFmtId="175" fontId="150" fillId="0" borderId="466" xfId="0" applyNumberFormat="1" applyFont="1" applyBorder="1" applyAlignment="1">
      <alignment horizontal="center" vertical="center"/>
    </xf>
    <xf numFmtId="173" fontId="232" fillId="0" borderId="482" xfId="124" applyNumberFormat="1" applyFont="1" applyBorder="1" applyAlignment="1">
      <alignment horizontal="center"/>
    </xf>
    <xf numFmtId="175" fontId="232" fillId="0" borderId="482" xfId="124" applyNumberFormat="1" applyFont="1" applyBorder="1" applyAlignment="1">
      <alignment horizontal="center"/>
    </xf>
    <xf numFmtId="3" fontId="232" fillId="0" borderId="482" xfId="124" applyNumberFormat="1" applyFont="1" applyBorder="1" applyAlignment="1">
      <alignment horizontal="center"/>
    </xf>
    <xf numFmtId="3" fontId="232" fillId="0" borderId="491" xfId="124" applyNumberFormat="1" applyFont="1" applyBorder="1" applyAlignment="1">
      <alignment horizontal="center"/>
    </xf>
    <xf numFmtId="0" fontId="120" fillId="0" borderId="348" xfId="124" applyFont="1" applyBorder="1" applyAlignment="1">
      <alignment horizontal="center"/>
    </xf>
    <xf numFmtId="0" fontId="121" fillId="0" borderId="442" xfId="124" applyFont="1" applyBorder="1" applyAlignment="1">
      <alignment horizontal="center"/>
    </xf>
    <xf numFmtId="172" fontId="120" fillId="0" borderId="455" xfId="124" applyNumberFormat="1" applyFont="1" applyBorder="1" applyAlignment="1">
      <alignment horizontal="center"/>
    </xf>
    <xf numFmtId="172" fontId="121" fillId="0" borderId="24" xfId="124" applyNumberFormat="1" applyFont="1" applyBorder="1" applyAlignment="1">
      <alignment horizontal="center"/>
    </xf>
    <xf numFmtId="175" fontId="120" fillId="0" borderId="487" xfId="124" applyNumberFormat="1" applyFont="1" applyBorder="1" applyAlignment="1">
      <alignment horizontal="center"/>
    </xf>
    <xf numFmtId="172" fontId="121" fillId="0" borderId="85" xfId="124" applyNumberFormat="1" applyFont="1" applyBorder="1" applyAlignment="1">
      <alignment horizontal="center"/>
    </xf>
    <xf numFmtId="172" fontId="120" fillId="0" borderId="485" xfId="57" applyNumberFormat="1" applyFont="1" applyFill="1" applyBorder="1" applyAlignment="1">
      <alignment horizontal="center"/>
    </xf>
    <xf numFmtId="172" fontId="120" fillId="0" borderId="487" xfId="124" applyNumberFormat="1" applyFont="1" applyBorder="1" applyAlignment="1">
      <alignment horizontal="center"/>
    </xf>
    <xf numFmtId="172" fontId="121" fillId="0" borderId="487" xfId="124" applyNumberFormat="1" applyFont="1" applyBorder="1"/>
    <xf numFmtId="172" fontId="121" fillId="0" borderId="0" xfId="124" applyNumberFormat="1" applyFont="1" applyAlignment="1">
      <alignment horizontal="center"/>
    </xf>
    <xf numFmtId="172" fontId="121" fillId="0" borderId="487" xfId="124" applyNumberFormat="1" applyFont="1" applyBorder="1" applyAlignment="1">
      <alignment horizontal="center"/>
    </xf>
    <xf numFmtId="172" fontId="121" fillId="0" borderId="19" xfId="124" applyNumberFormat="1" applyFont="1" applyBorder="1"/>
    <xf numFmtId="0" fontId="120" fillId="0" borderId="488" xfId="124" applyFont="1" applyBorder="1" applyAlignment="1">
      <alignment horizontal="center"/>
    </xf>
    <xf numFmtId="171" fontId="120" fillId="0" borderId="455" xfId="149" applyNumberFormat="1" applyFont="1" applyFill="1" applyBorder="1" applyAlignment="1">
      <alignment horizontal="center"/>
    </xf>
    <xf numFmtId="171" fontId="121" fillId="0" borderId="455" xfId="149" applyNumberFormat="1" applyFont="1" applyFill="1" applyBorder="1" applyAlignment="1">
      <alignment horizontal="center"/>
    </xf>
    <xf numFmtId="0" fontId="123" fillId="0" borderId="172" xfId="124" applyFont="1" applyBorder="1"/>
    <xf numFmtId="171" fontId="120" fillId="0" borderId="466" xfId="149" applyNumberFormat="1" applyFont="1" applyFill="1" applyBorder="1" applyAlignment="1">
      <alignment horizontal="center"/>
    </xf>
    <xf numFmtId="0" fontId="123" fillId="0" borderId="466" xfId="124" applyFont="1" applyBorder="1"/>
    <xf numFmtId="171" fontId="121" fillId="0" borderId="466" xfId="149" applyNumberFormat="1" applyFont="1" applyFill="1" applyBorder="1" applyAlignment="1">
      <alignment horizontal="center"/>
    </xf>
    <xf numFmtId="0" fontId="121" fillId="0" borderId="482" xfId="124" applyFont="1" applyBorder="1"/>
    <xf numFmtId="0" fontId="123" fillId="0" borderId="359" xfId="124" applyFont="1" applyBorder="1"/>
    <xf numFmtId="171" fontId="120" fillId="0" borderId="173" xfId="149" applyNumberFormat="1" applyFont="1" applyFill="1" applyBorder="1" applyAlignment="1">
      <alignment horizontal="center"/>
    </xf>
    <xf numFmtId="171" fontId="120" fillId="0" borderId="488" xfId="149" applyNumberFormat="1" applyFont="1" applyFill="1" applyBorder="1" applyAlignment="1">
      <alignment horizontal="center"/>
    </xf>
    <xf numFmtId="0" fontId="157" fillId="0" borderId="348" xfId="122" applyFont="1" applyBorder="1" applyAlignment="1">
      <alignment horizontal="center"/>
    </xf>
    <xf numFmtId="175" fontId="138" fillId="0" borderId="466" xfId="122" applyNumberFormat="1" applyFont="1" applyBorder="1"/>
    <xf numFmtId="175" fontId="137" fillId="0" borderId="455" xfId="122" applyNumberFormat="1" applyFont="1" applyBorder="1" applyAlignment="1">
      <alignment horizontal="center"/>
    </xf>
    <xf numFmtId="175" fontId="137" fillId="0" borderId="466" xfId="122" applyNumberFormat="1" applyFont="1" applyBorder="1" applyAlignment="1">
      <alignment horizontal="center"/>
    </xf>
    <xf numFmtId="175" fontId="138" fillId="0" borderId="455" xfId="122" applyNumberFormat="1" applyFont="1" applyBorder="1"/>
    <xf numFmtId="175" fontId="138" fillId="0" borderId="455" xfId="122" applyNumberFormat="1" applyFont="1" applyBorder="1" applyAlignment="1">
      <alignment horizontal="center"/>
    </xf>
    <xf numFmtId="175" fontId="138" fillId="0" borderId="466" xfId="122" applyNumberFormat="1" applyFont="1" applyBorder="1" applyAlignment="1">
      <alignment horizontal="center"/>
    </xf>
    <xf numFmtId="0" fontId="158" fillId="0" borderId="482" xfId="122" applyFont="1" applyBorder="1" applyAlignment="1">
      <alignment horizontal="center"/>
    </xf>
    <xf numFmtId="0" fontId="158" fillId="0" borderId="359" xfId="122" applyFont="1" applyBorder="1" applyAlignment="1">
      <alignment horizontal="center"/>
    </xf>
    <xf numFmtId="175" fontId="157" fillId="0" borderId="173" xfId="122" applyNumberFormat="1" applyFont="1" applyBorder="1" applyAlignment="1">
      <alignment horizontal="center"/>
    </xf>
    <xf numFmtId="175" fontId="157" fillId="0" borderId="488" xfId="122" applyNumberFormat="1" applyFont="1" applyBorder="1" applyAlignment="1">
      <alignment horizontal="center"/>
    </xf>
    <xf numFmtId="171" fontId="157" fillId="0" borderId="173" xfId="149" applyNumberFormat="1" applyFont="1" applyFill="1" applyBorder="1" applyAlignment="1">
      <alignment horizontal="center"/>
    </xf>
    <xf numFmtId="171" fontId="157" fillId="0" borderId="488" xfId="149" applyNumberFormat="1" applyFont="1" applyFill="1" applyBorder="1" applyAlignment="1">
      <alignment horizontal="center"/>
    </xf>
    <xf numFmtId="0" fontId="150" fillId="29" borderId="481" xfId="0" applyFont="1" applyFill="1" applyBorder="1"/>
    <xf numFmtId="175" fontId="150" fillId="29" borderId="116" xfId="0" applyNumberFormat="1" applyFont="1" applyFill="1" applyBorder="1" applyAlignment="1">
      <alignment horizontal="center" vertical="center"/>
    </xf>
    <xf numFmtId="175" fontId="150" fillId="29" borderId="116" xfId="149" applyNumberFormat="1" applyFont="1" applyFill="1" applyBorder="1" applyAlignment="1">
      <alignment horizontal="center" vertical="center"/>
    </xf>
    <xf numFmtId="0" fontId="150" fillId="29" borderId="116" xfId="0" applyFont="1" applyFill="1" applyBorder="1" applyAlignment="1">
      <alignment horizontal="center" vertical="center"/>
    </xf>
    <xf numFmtId="171" fontId="150" fillId="29" borderId="437" xfId="0" applyNumberFormat="1" applyFont="1" applyFill="1" applyBorder="1" applyAlignment="1">
      <alignment horizontal="center" vertical="center"/>
    </xf>
    <xf numFmtId="0" fontId="123" fillId="0" borderId="437" xfId="124" applyFont="1" applyBorder="1"/>
    <xf numFmtId="171" fontId="122" fillId="0" borderId="359" xfId="149" applyNumberFormat="1" applyFont="1" applyFill="1" applyBorder="1" applyAlignment="1">
      <alignment horizontal="center"/>
    </xf>
    <xf numFmtId="171" fontId="121" fillId="0" borderId="0" xfId="124" applyNumberFormat="1" applyFont="1"/>
    <xf numFmtId="0" fontId="120" fillId="0" borderId="346" xfId="124" applyFont="1" applyBorder="1" applyAlignment="1">
      <alignment horizontal="center"/>
    </xf>
    <xf numFmtId="9" fontId="150" fillId="0" borderId="0" xfId="149" applyFont="1" applyFill="1"/>
    <xf numFmtId="171" fontId="150" fillId="0" borderId="56" xfId="149" applyNumberFormat="1" applyFont="1" applyFill="1" applyBorder="1"/>
    <xf numFmtId="171" fontId="150" fillId="0" borderId="0" xfId="0" applyNumberFormat="1" applyFont="1" applyAlignment="1">
      <alignment vertical="center"/>
    </xf>
    <xf numFmtId="171" fontId="151" fillId="0" borderId="0" xfId="0" applyNumberFormat="1" applyFont="1" applyAlignment="1">
      <alignment vertical="center"/>
    </xf>
    <xf numFmtId="171" fontId="150" fillId="0" borderId="56" xfId="0" applyNumberFormat="1" applyFont="1" applyBorder="1" applyAlignment="1">
      <alignment vertical="center"/>
    </xf>
    <xf numFmtId="171" fontId="150" fillId="0" borderId="56" xfId="0" applyNumberFormat="1" applyFont="1" applyBorder="1"/>
    <xf numFmtId="171" fontId="278" fillId="0" borderId="493" xfId="149" applyNumberFormat="1" applyFont="1" applyBorder="1" applyAlignment="1">
      <alignment horizontal="center"/>
    </xf>
    <xf numFmtId="0" fontId="167" fillId="0" borderId="480" xfId="182" applyFont="1" applyBorder="1"/>
    <xf numFmtId="171" fontId="183" fillId="0" borderId="455" xfId="149" applyNumberFormat="1" applyFont="1" applyBorder="1" applyAlignment="1">
      <alignment horizontal="center"/>
    </xf>
    <xf numFmtId="171" fontId="184" fillId="0" borderId="455" xfId="149" applyNumberFormat="1" applyFont="1" applyBorder="1" applyAlignment="1">
      <alignment horizontal="center"/>
    </xf>
    <xf numFmtId="171" fontId="278" fillId="0" borderId="455" xfId="149" applyNumberFormat="1" applyFont="1" applyBorder="1" applyAlignment="1">
      <alignment horizontal="center"/>
    </xf>
    <xf numFmtId="171" fontId="185" fillId="0" borderId="455" xfId="149" applyNumberFormat="1" applyFont="1" applyBorder="1" applyAlignment="1">
      <alignment horizontal="center"/>
    </xf>
    <xf numFmtId="171" fontId="278" fillId="0" borderId="116" xfId="149" applyNumberFormat="1" applyFont="1" applyBorder="1" applyAlignment="1">
      <alignment horizontal="center"/>
    </xf>
    <xf numFmtId="0" fontId="168" fillId="0" borderId="24" xfId="182" applyFont="1" applyBorder="1"/>
    <xf numFmtId="0" fontId="167" fillId="0" borderId="24" xfId="182" applyFont="1" applyBorder="1"/>
    <xf numFmtId="171" fontId="183" fillId="0" borderId="494" xfId="149" applyNumberFormat="1" applyFont="1" applyBorder="1" applyAlignment="1">
      <alignment horizontal="center"/>
    </xf>
    <xf numFmtId="4" fontId="167" fillId="0" borderId="57" xfId="1446" applyNumberFormat="1" applyFont="1" applyBorder="1"/>
    <xf numFmtId="4" fontId="168" fillId="0" borderId="57" xfId="1446" applyNumberFormat="1" applyFont="1" applyBorder="1" applyAlignment="1">
      <alignment horizontal="left"/>
    </xf>
    <xf numFmtId="3" fontId="234" fillId="0" borderId="488" xfId="57" applyNumberFormat="1" applyFont="1" applyFill="1" applyBorder="1" applyAlignment="1">
      <alignment horizontal="center"/>
    </xf>
    <xf numFmtId="0" fontId="150" fillId="0" borderId="443" xfId="0" applyFont="1" applyBorder="1"/>
    <xf numFmtId="171" fontId="306" fillId="0" borderId="0" xfId="149" applyNumberFormat="1" applyFont="1" applyFill="1" applyAlignment="1">
      <alignment vertical="center"/>
    </xf>
    <xf numFmtId="171" fontId="306" fillId="0" borderId="56" xfId="149" applyNumberFormat="1" applyFont="1" applyFill="1" applyBorder="1"/>
    <xf numFmtId="0" fontId="150" fillId="0" borderId="437" xfId="0" applyFont="1" applyBorder="1" applyAlignment="1">
      <alignment horizontal="center"/>
    </xf>
    <xf numFmtId="0" fontId="150" fillId="29" borderId="481" xfId="0" applyFont="1" applyFill="1" applyBorder="1" applyAlignment="1">
      <alignment horizontal="center" vertical="center"/>
    </xf>
    <xf numFmtId="172" fontId="150" fillId="29" borderId="116" xfId="0" applyNumberFormat="1" applyFont="1" applyFill="1" applyBorder="1" applyAlignment="1">
      <alignment horizontal="center"/>
    </xf>
    <xf numFmtId="172" fontId="150" fillId="29" borderId="28" xfId="0" applyNumberFormat="1" applyFont="1" applyFill="1" applyBorder="1" applyAlignment="1">
      <alignment horizontal="center"/>
    </xf>
    <xf numFmtId="0" fontId="150" fillId="0" borderId="437" xfId="0" applyFont="1" applyBorder="1"/>
    <xf numFmtId="175" fontId="150" fillId="0" borderId="466" xfId="0" applyNumberFormat="1" applyFont="1" applyBorder="1" applyAlignment="1">
      <alignment horizontal="center"/>
    </xf>
    <xf numFmtId="175" fontId="150" fillId="0" borderId="419" xfId="0" applyNumberFormat="1" applyFont="1" applyBorder="1" applyAlignment="1">
      <alignment horizontal="center"/>
    </xf>
    <xf numFmtId="171" fontId="306" fillId="0" borderId="0" xfId="0" applyNumberFormat="1" applyFont="1" applyAlignment="1">
      <alignment horizontal="center" vertical="center"/>
    </xf>
    <xf numFmtId="0" fontId="306" fillId="0" borderId="321" xfId="0" applyFont="1" applyBorder="1"/>
    <xf numFmtId="0" fontId="306" fillId="0" borderId="0" xfId="0" applyFont="1"/>
    <xf numFmtId="175" fontId="306" fillId="0" borderId="0" xfId="0" applyNumberFormat="1" applyFont="1"/>
    <xf numFmtId="175" fontId="150" fillId="0" borderId="480" xfId="1331" applyNumberFormat="1" applyFont="1" applyBorder="1" applyAlignment="1">
      <alignment horizontal="center"/>
    </xf>
    <xf numFmtId="175" fontId="150" fillId="0" borderId="487" xfId="1331" applyNumberFormat="1" applyFont="1" applyBorder="1" applyAlignment="1">
      <alignment horizontal="center"/>
    </xf>
    <xf numFmtId="175" fontId="150" fillId="0" borderId="455" xfId="1331" applyNumberFormat="1" applyFont="1" applyBorder="1" applyAlignment="1">
      <alignment horizontal="center"/>
    </xf>
    <xf numFmtId="175" fontId="150" fillId="0" borderId="418" xfId="1331" applyNumberFormat="1" applyFont="1" applyBorder="1" applyAlignment="1">
      <alignment horizontal="center"/>
    </xf>
    <xf numFmtId="2" fontId="150" fillId="0" borderId="0" xfId="0" applyNumberFormat="1" applyFont="1" applyAlignment="1">
      <alignment horizontal="center" vertical="center"/>
    </xf>
    <xf numFmtId="2" fontId="150" fillId="0" borderId="331" xfId="0" applyNumberFormat="1" applyFont="1" applyBorder="1" applyAlignment="1">
      <alignment horizontal="center" vertical="center"/>
    </xf>
    <xf numFmtId="2" fontId="150" fillId="0" borderId="329" xfId="0" applyNumberFormat="1" applyFont="1" applyBorder="1" applyAlignment="1">
      <alignment horizontal="center" vertical="center"/>
    </xf>
    <xf numFmtId="2" fontId="150" fillId="0" borderId="116" xfId="0" applyNumberFormat="1" applyFont="1" applyBorder="1" applyAlignment="1">
      <alignment horizontal="center"/>
    </xf>
    <xf numFmtId="2" fontId="150" fillId="0" borderId="329" xfId="0" applyNumberFormat="1" applyFont="1" applyBorder="1" applyAlignment="1">
      <alignment horizontal="center"/>
    </xf>
    <xf numFmtId="2" fontId="150" fillId="0" borderId="252" xfId="0" applyNumberFormat="1" applyFont="1" applyBorder="1" applyAlignment="1">
      <alignment horizontal="center"/>
    </xf>
    <xf numFmtId="2" fontId="150" fillId="0" borderId="480" xfId="0" applyNumberFormat="1" applyFont="1" applyBorder="1" applyAlignment="1">
      <alignment horizontal="center"/>
    </xf>
    <xf numFmtId="2" fontId="150" fillId="0" borderId="442" xfId="0" applyNumberFormat="1" applyFont="1" applyBorder="1" applyAlignment="1">
      <alignment horizontal="center"/>
    </xf>
    <xf numFmtId="2" fontId="150" fillId="0" borderId="252" xfId="0" applyNumberFormat="1" applyFont="1" applyBorder="1" applyAlignment="1">
      <alignment horizontal="center" vertical="center"/>
    </xf>
    <xf numFmtId="2" fontId="150" fillId="0" borderId="455" xfId="0" applyNumberFormat="1" applyFont="1" applyBorder="1" applyAlignment="1">
      <alignment horizontal="center" vertical="center"/>
    </xf>
    <xf numFmtId="2" fontId="180" fillId="0" borderId="24" xfId="0" applyNumberFormat="1" applyFont="1" applyBorder="1" applyAlignment="1">
      <alignment horizontal="center"/>
    </xf>
    <xf numFmtId="2" fontId="150" fillId="0" borderId="455" xfId="0" applyNumberFormat="1" applyFont="1" applyBorder="1" applyAlignment="1">
      <alignment horizontal="center"/>
    </xf>
    <xf numFmtId="2" fontId="150" fillId="0" borderId="24" xfId="0" applyNumberFormat="1" applyFont="1" applyBorder="1" applyAlignment="1">
      <alignment horizontal="center"/>
    </xf>
    <xf numFmtId="2" fontId="150" fillId="0" borderId="19" xfId="0" applyNumberFormat="1" applyFont="1" applyBorder="1" applyAlignment="1">
      <alignment horizontal="center" vertical="center"/>
    </xf>
    <xf numFmtId="2" fontId="150" fillId="0" borderId="280" xfId="0" applyNumberFormat="1" applyFont="1" applyBorder="1" applyAlignment="1">
      <alignment horizontal="center" vertical="center"/>
    </xf>
    <xf numFmtId="2" fontId="150" fillId="0" borderId="28" xfId="0" applyNumberFormat="1" applyFont="1" applyBorder="1" applyAlignment="1">
      <alignment horizontal="center"/>
    </xf>
    <xf numFmtId="2" fontId="150" fillId="0" borderId="335" xfId="0" applyNumberFormat="1" applyFont="1" applyBorder="1" applyAlignment="1">
      <alignment horizontal="center"/>
    </xf>
    <xf numFmtId="2" fontId="150" fillId="0" borderId="351" xfId="0" applyNumberFormat="1" applyFont="1" applyBorder="1" applyAlignment="1">
      <alignment horizontal="center"/>
    </xf>
    <xf numFmtId="2" fontId="150" fillId="0" borderId="418" xfId="0" applyNumberFormat="1" applyFont="1" applyBorder="1" applyAlignment="1">
      <alignment horizontal="center"/>
    </xf>
    <xf numFmtId="2" fontId="151" fillId="0" borderId="299" xfId="0" applyNumberFormat="1" applyFont="1" applyBorder="1" applyAlignment="1">
      <alignment horizontal="center"/>
    </xf>
    <xf numFmtId="2" fontId="151" fillId="0" borderId="295" xfId="0" applyNumberFormat="1" applyFont="1" applyBorder="1" applyAlignment="1">
      <alignment horizontal="center"/>
    </xf>
    <xf numFmtId="2" fontId="151" fillId="0" borderId="470" xfId="0" applyNumberFormat="1" applyFont="1" applyBorder="1" applyAlignment="1">
      <alignment horizontal="center"/>
    </xf>
    <xf numFmtId="175" fontId="266" fillId="0" borderId="484" xfId="0" applyNumberFormat="1" applyFont="1" applyBorder="1" applyAlignment="1">
      <alignment horizontal="center"/>
    </xf>
    <xf numFmtId="251" fontId="167" fillId="0" borderId="0" xfId="122" applyNumberFormat="1" applyFont="1" applyAlignment="1">
      <alignment horizontal="right" vertical="center"/>
    </xf>
    <xf numFmtId="172" fontId="255" fillId="0" borderId="466" xfId="57" applyNumberFormat="1" applyFont="1" applyFill="1" applyBorder="1" applyAlignment="1">
      <alignment horizontal="center" vertical="center"/>
    </xf>
    <xf numFmtId="252" fontId="242" fillId="0" borderId="354" xfId="57" applyNumberFormat="1" applyFont="1" applyFill="1" applyBorder="1" applyAlignment="1">
      <alignment horizontal="center"/>
    </xf>
    <xf numFmtId="252" fontId="242" fillId="32" borderId="116" xfId="122" applyNumberFormat="1" applyFont="1" applyFill="1" applyBorder="1" applyAlignment="1">
      <alignment horizontal="center"/>
    </xf>
    <xf numFmtId="252" fontId="243" fillId="0" borderId="0" xfId="122" applyNumberFormat="1" applyFont="1" applyAlignment="1">
      <alignment horizontal="center"/>
    </xf>
    <xf numFmtId="252" fontId="243" fillId="0" borderId="0" xfId="149" applyNumberFormat="1" applyFont="1" applyFill="1" applyBorder="1" applyAlignment="1">
      <alignment horizontal="center"/>
    </xf>
    <xf numFmtId="252" fontId="242" fillId="0" borderId="0" xfId="122" applyNumberFormat="1" applyFont="1" applyAlignment="1">
      <alignment horizontal="center"/>
    </xf>
    <xf numFmtId="181" fontId="243" fillId="32" borderId="487" xfId="122" applyNumberFormat="1" applyFont="1" applyFill="1" applyBorder="1" applyAlignment="1">
      <alignment horizontal="center"/>
    </xf>
    <xf numFmtId="175" fontId="243" fillId="0" borderId="466" xfId="0" applyNumberFormat="1" applyFont="1" applyBorder="1" applyAlignment="1">
      <alignment horizontal="center"/>
    </xf>
    <xf numFmtId="0" fontId="151" fillId="0" borderId="174" xfId="122" applyFont="1" applyBorder="1" applyAlignment="1">
      <alignment horizontal="center"/>
    </xf>
    <xf numFmtId="0" fontId="151" fillId="0" borderId="347" xfId="122" applyFont="1" applyBorder="1" applyAlignment="1">
      <alignment horizontal="center"/>
    </xf>
    <xf numFmtId="0" fontId="234" fillId="0" borderId="489" xfId="830" applyFont="1" applyBorder="1" applyAlignment="1">
      <alignment horizontal="center"/>
    </xf>
    <xf numFmtId="172" fontId="258" fillId="0" borderId="487" xfId="57" applyNumberFormat="1" applyFont="1" applyFill="1" applyBorder="1" applyAlignment="1">
      <alignment horizontal="center"/>
    </xf>
    <xf numFmtId="4" fontId="258" fillId="0" borderId="487" xfId="57" applyNumberFormat="1" applyFont="1" applyFill="1" applyBorder="1" applyAlignment="1">
      <alignment horizontal="center"/>
    </xf>
    <xf numFmtId="3" fontId="258" fillId="0" borderId="487" xfId="57" applyNumberFormat="1" applyFont="1" applyFill="1" applyBorder="1" applyAlignment="1">
      <alignment horizontal="center"/>
    </xf>
    <xf numFmtId="175" fontId="259" fillId="0" borderId="487" xfId="122" applyNumberFormat="1" applyFont="1" applyBorder="1" applyAlignment="1">
      <alignment wrapText="1"/>
    </xf>
    <xf numFmtId="175" fontId="258" fillId="0" borderId="487" xfId="149" applyNumberFormat="1" applyFont="1" applyFill="1" applyBorder="1" applyAlignment="1">
      <alignment horizontal="center"/>
    </xf>
    <xf numFmtId="0" fontId="234" fillId="0" borderId="488" xfId="830" applyFont="1" applyBorder="1" applyAlignment="1">
      <alignment horizontal="center"/>
    </xf>
    <xf numFmtId="172" fontId="258" fillId="0" borderId="466" xfId="57" applyNumberFormat="1" applyFont="1" applyFill="1" applyBorder="1" applyAlignment="1">
      <alignment horizontal="center"/>
    </xf>
    <xf numFmtId="175" fontId="258" fillId="0" borderId="466" xfId="149" applyNumberFormat="1" applyFont="1" applyFill="1" applyBorder="1" applyAlignment="1">
      <alignment horizontal="center"/>
    </xf>
    <xf numFmtId="3" fontId="258" fillId="0" borderId="466" xfId="57" applyNumberFormat="1" applyFont="1" applyFill="1" applyBorder="1" applyAlignment="1">
      <alignment horizontal="center"/>
    </xf>
    <xf numFmtId="0" fontId="229" fillId="0" borderId="443" xfId="122" applyFont="1" applyBorder="1"/>
    <xf numFmtId="0" fontId="285" fillId="0" borderId="437" xfId="122" applyFont="1" applyBorder="1"/>
    <xf numFmtId="175" fontId="286" fillId="0" borderId="466" xfId="122" applyNumberFormat="1" applyFont="1" applyBorder="1" applyAlignment="1">
      <alignment horizontal="center"/>
    </xf>
    <xf numFmtId="175" fontId="285" fillId="0" borderId="466" xfId="122" applyNumberFormat="1" applyFont="1" applyBorder="1" applyAlignment="1">
      <alignment horizontal="center"/>
    </xf>
    <xf numFmtId="175" fontId="285" fillId="0" borderId="466" xfId="122" applyNumberFormat="1" applyFont="1" applyBorder="1" applyAlignment="1">
      <alignment horizontal="center" vertical="center"/>
    </xf>
    <xf numFmtId="2" fontId="285" fillId="0" borderId="359" xfId="122" applyNumberFormat="1" applyFont="1" applyBorder="1" applyAlignment="1">
      <alignment horizontal="center" vertical="center"/>
    </xf>
    <xf numFmtId="0" fontId="284" fillId="0" borderId="488" xfId="122" applyFont="1" applyBorder="1" applyAlignment="1">
      <alignment horizontal="center" vertical="center"/>
    </xf>
    <xf numFmtId="171" fontId="285" fillId="0" borderId="466" xfId="149" applyNumberFormat="1" applyFont="1" applyFill="1" applyBorder="1" applyAlignment="1">
      <alignment horizontal="center"/>
    </xf>
    <xf numFmtId="175" fontId="285" fillId="0" borderId="359" xfId="122" applyNumberFormat="1" applyFont="1" applyBorder="1" applyAlignment="1">
      <alignment horizontal="center"/>
    </xf>
    <xf numFmtId="175" fontId="235" fillId="0" borderId="359" xfId="830" applyNumberFormat="1" applyFont="1" applyBorder="1" applyAlignment="1">
      <alignment horizontal="center"/>
    </xf>
    <xf numFmtId="0" fontId="187" fillId="0" borderId="488" xfId="830" applyFont="1" applyBorder="1" applyAlignment="1">
      <alignment horizontal="center" vertical="center"/>
    </xf>
    <xf numFmtId="175" fontId="235" fillId="0" borderId="437" xfId="0" applyNumberFormat="1" applyFont="1" applyBorder="1" applyAlignment="1">
      <alignment horizontal="center"/>
    </xf>
    <xf numFmtId="175" fontId="235" fillId="0" borderId="466" xfId="0" applyNumberFormat="1" applyFont="1" applyBorder="1" applyAlignment="1">
      <alignment horizontal="center"/>
    </xf>
    <xf numFmtId="172" fontId="235" fillId="0" borderId="466" xfId="830" applyNumberFormat="1" applyFont="1" applyBorder="1" applyAlignment="1">
      <alignment horizontal="center"/>
    </xf>
    <xf numFmtId="0" fontId="256" fillId="0" borderId="488" xfId="830" applyFont="1" applyBorder="1" applyAlignment="1">
      <alignment horizontal="center" vertical="center"/>
    </xf>
    <xf numFmtId="174" fontId="235" fillId="0" borderId="437" xfId="57" applyNumberFormat="1" applyFont="1" applyBorder="1" applyAlignment="1">
      <alignment horizontal="center" vertical="center"/>
    </xf>
    <xf numFmtId="175" fontId="235" fillId="0" borderId="466" xfId="0" applyNumberFormat="1" applyFont="1" applyBorder="1" applyAlignment="1">
      <alignment horizontal="center" vertical="center"/>
    </xf>
    <xf numFmtId="172" fontId="256" fillId="0" borderId="466" xfId="57" applyNumberFormat="1" applyFont="1" applyFill="1" applyBorder="1" applyAlignment="1">
      <alignment horizontal="center" vertical="center"/>
    </xf>
    <xf numFmtId="175" fontId="255" fillId="0" borderId="466" xfId="0" applyNumberFormat="1" applyFont="1" applyBorder="1" applyAlignment="1">
      <alignment horizontal="center" vertical="center"/>
    </xf>
    <xf numFmtId="175" fontId="255" fillId="0" borderId="466" xfId="0" applyNumberFormat="1" applyFont="1" applyBorder="1" applyAlignment="1">
      <alignment horizontal="center" vertical="center" wrapText="1"/>
    </xf>
    <xf numFmtId="175" fontId="256" fillId="0" borderId="466" xfId="0" applyNumberFormat="1" applyFont="1" applyBorder="1" applyAlignment="1">
      <alignment horizontal="center" vertical="center" wrapText="1"/>
    </xf>
    <xf numFmtId="175" fontId="256" fillId="0" borderId="466" xfId="0" applyNumberFormat="1" applyFont="1" applyBorder="1" applyAlignment="1">
      <alignment horizontal="center" vertical="center"/>
    </xf>
    <xf numFmtId="175" fontId="255" fillId="0" borderId="359" xfId="0" applyNumberFormat="1" applyFont="1" applyBorder="1" applyAlignment="1">
      <alignment horizontal="center" vertical="center"/>
    </xf>
    <xf numFmtId="17" fontId="147" fillId="0" borderId="489" xfId="830" applyNumberFormat="1" applyFont="1" applyBorder="1" applyAlignment="1">
      <alignment horizontal="center" vertical="center"/>
    </xf>
    <xf numFmtId="178" fontId="146" fillId="0" borderId="492" xfId="1070" applyNumberFormat="1" applyFont="1" applyFill="1" applyBorder="1" applyAlignment="1">
      <alignment horizontal="center" vertical="center"/>
    </xf>
    <xf numFmtId="172" fontId="147" fillId="0" borderId="487" xfId="57" applyNumberFormat="1" applyFont="1" applyFill="1" applyBorder="1" applyAlignment="1">
      <alignment horizontal="center" vertical="center"/>
    </xf>
    <xf numFmtId="172" fontId="146" fillId="0" borderId="487" xfId="57" applyNumberFormat="1" applyFont="1" applyFill="1" applyBorder="1" applyAlignment="1">
      <alignment horizontal="center" vertical="center"/>
    </xf>
    <xf numFmtId="17" fontId="147" fillId="0" borderId="490" xfId="830" applyNumberFormat="1" applyFont="1" applyBorder="1" applyAlignment="1">
      <alignment horizontal="center" vertical="center"/>
    </xf>
    <xf numFmtId="17" fontId="147" fillId="0" borderId="488" xfId="830" applyNumberFormat="1" applyFont="1" applyBorder="1" applyAlignment="1">
      <alignment horizontal="center" vertical="center"/>
    </xf>
    <xf numFmtId="0" fontId="141" fillId="0" borderId="455" xfId="830" applyFont="1" applyBorder="1"/>
    <xf numFmtId="0" fontId="141" fillId="0" borderId="437" xfId="830" applyFont="1" applyBorder="1"/>
    <xf numFmtId="0" fontId="253" fillId="0" borderId="466" xfId="830" applyFont="1" applyBorder="1"/>
    <xf numFmtId="172" fontId="147" fillId="0" borderId="455" xfId="57" applyNumberFormat="1" applyFont="1" applyFill="1" applyBorder="1" applyAlignment="1">
      <alignment horizontal="center" vertical="center"/>
    </xf>
    <xf numFmtId="172" fontId="147" fillId="0" borderId="466" xfId="57" applyNumberFormat="1" applyFont="1" applyFill="1" applyBorder="1" applyAlignment="1">
      <alignment horizontal="center" vertical="center"/>
    </xf>
    <xf numFmtId="172" fontId="146" fillId="0" borderId="455" xfId="57" applyNumberFormat="1" applyFont="1" applyFill="1" applyBorder="1" applyAlignment="1">
      <alignment horizontal="center" vertical="center"/>
    </xf>
    <xf numFmtId="172" fontId="146" fillId="0" borderId="466" xfId="57" applyNumberFormat="1" applyFont="1" applyFill="1" applyBorder="1" applyAlignment="1">
      <alignment horizontal="center" vertical="center"/>
    </xf>
    <xf numFmtId="175" fontId="146" fillId="0" borderId="466" xfId="830" applyNumberFormat="1" applyFont="1" applyBorder="1" applyAlignment="1">
      <alignment horizontal="center"/>
    </xf>
    <xf numFmtId="175" fontId="147" fillId="0" borderId="466" xfId="830" applyNumberFormat="1" applyFont="1" applyBorder="1" applyAlignment="1">
      <alignment horizontal="center"/>
    </xf>
    <xf numFmtId="17" fontId="151" fillId="0" borderId="488" xfId="830" applyNumberFormat="1" applyFont="1" applyBorder="1" applyAlignment="1">
      <alignment horizontal="center"/>
    </xf>
    <xf numFmtId="172" fontId="151" fillId="0" borderId="466" xfId="57" applyNumberFormat="1" applyFont="1" applyFill="1" applyBorder="1" applyAlignment="1">
      <alignment horizontal="center"/>
    </xf>
    <xf numFmtId="0" fontId="121" fillId="0" borderId="492" xfId="124" applyFont="1" applyBorder="1"/>
    <xf numFmtId="172" fontId="120" fillId="0" borderId="362" xfId="57" applyNumberFormat="1" applyFont="1" applyFill="1" applyBorder="1" applyAlignment="1">
      <alignment horizontal="center"/>
    </xf>
    <xf numFmtId="0" fontId="121" fillId="0" borderId="437" xfId="124" applyFont="1" applyBorder="1" applyAlignment="1">
      <alignment horizontal="center"/>
    </xf>
    <xf numFmtId="172" fontId="120" fillId="0" borderId="466" xfId="124" applyNumberFormat="1" applyFont="1" applyBorder="1" applyAlignment="1">
      <alignment horizontal="center"/>
    </xf>
    <xf numFmtId="172" fontId="121" fillId="0" borderId="466" xfId="124" applyNumberFormat="1" applyFont="1" applyBorder="1" applyAlignment="1">
      <alignment horizontal="center"/>
    </xf>
    <xf numFmtId="172" fontId="121" fillId="0" borderId="419" xfId="124" applyNumberFormat="1" applyFont="1" applyBorder="1" applyAlignment="1">
      <alignment horizontal="center"/>
    </xf>
    <xf numFmtId="172" fontId="120" fillId="0" borderId="441" xfId="57" applyNumberFormat="1" applyFont="1" applyFill="1" applyBorder="1" applyAlignment="1">
      <alignment horizontal="center"/>
    </xf>
    <xf numFmtId="0" fontId="122" fillId="0" borderId="347" xfId="1317" applyFont="1" applyBorder="1" applyAlignment="1">
      <alignment horizontal="center"/>
    </xf>
    <xf numFmtId="0" fontId="123" fillId="0" borderId="492" xfId="124" applyFont="1" applyBorder="1"/>
    <xf numFmtId="171" fontId="122" fillId="0" borderId="487" xfId="149" applyNumberFormat="1" applyFont="1" applyFill="1" applyBorder="1" applyAlignment="1">
      <alignment horizontal="center"/>
    </xf>
    <xf numFmtId="171" fontId="123" fillId="0" borderId="487" xfId="149" applyNumberFormat="1" applyFont="1" applyFill="1" applyBorder="1" applyAlignment="1">
      <alignment horizontal="center"/>
    </xf>
    <xf numFmtId="171" fontId="122" fillId="0" borderId="358" xfId="149" applyNumberFormat="1" applyFont="1" applyFill="1" applyBorder="1" applyAlignment="1">
      <alignment horizontal="center"/>
    </xf>
    <xf numFmtId="171" fontId="122" fillId="0" borderId="489" xfId="149" applyNumberFormat="1" applyFont="1" applyFill="1" applyBorder="1" applyAlignment="1">
      <alignment horizontal="center"/>
    </xf>
    <xf numFmtId="0" fontId="122" fillId="0" borderId="488" xfId="1317" applyFont="1" applyBorder="1" applyAlignment="1">
      <alignment horizontal="center"/>
    </xf>
    <xf numFmtId="0" fontId="123" fillId="0" borderId="437" xfId="1317" applyFont="1" applyBorder="1"/>
    <xf numFmtId="171" fontId="122" fillId="0" borderId="466" xfId="149" applyNumberFormat="1" applyFont="1" applyFill="1" applyBorder="1" applyAlignment="1">
      <alignment horizontal="center"/>
    </xf>
    <xf numFmtId="0" fontId="123" fillId="0" borderId="466" xfId="1317" applyFont="1" applyBorder="1"/>
    <xf numFmtId="171" fontId="123" fillId="0" borderId="466" xfId="149" applyNumberFormat="1" applyFont="1" applyFill="1" applyBorder="1" applyAlignment="1">
      <alignment horizontal="center"/>
    </xf>
    <xf numFmtId="0" fontId="123" fillId="0" borderId="359" xfId="1317" applyFont="1" applyBorder="1"/>
    <xf numFmtId="171" fontId="122" fillId="0" borderId="488" xfId="149" applyNumberFormat="1" applyFont="1" applyFill="1" applyBorder="1" applyAlignment="1">
      <alignment horizontal="center"/>
    </xf>
    <xf numFmtId="0" fontId="123" fillId="0" borderId="443" xfId="124" applyFont="1" applyBorder="1"/>
    <xf numFmtId="171" fontId="122" fillId="0" borderId="487" xfId="1317" applyNumberFormat="1" applyFont="1" applyBorder="1" applyAlignment="1">
      <alignment horizontal="center"/>
    </xf>
    <xf numFmtId="171" fontId="123" fillId="0" borderId="487" xfId="1317" applyNumberFormat="1" applyFont="1" applyBorder="1" applyAlignment="1">
      <alignment horizontal="center"/>
    </xf>
    <xf numFmtId="171" fontId="122" fillId="0" borderId="489" xfId="1317" applyNumberFormat="1" applyFont="1" applyBorder="1" applyAlignment="1">
      <alignment horizontal="center"/>
    </xf>
    <xf numFmtId="171" fontId="122" fillId="0" borderId="466" xfId="1317" applyNumberFormat="1" applyFont="1" applyBorder="1" applyAlignment="1">
      <alignment horizontal="center"/>
    </xf>
    <xf numFmtId="171" fontId="123" fillId="0" borderId="466" xfId="1317" applyNumberFormat="1" applyFont="1" applyBorder="1" applyAlignment="1">
      <alignment horizontal="center"/>
    </xf>
    <xf numFmtId="171" fontId="122" fillId="0" borderId="488" xfId="1317" applyNumberFormat="1" applyFont="1" applyBorder="1" applyAlignment="1">
      <alignment horizontal="center"/>
    </xf>
    <xf numFmtId="0" fontId="120" fillId="0" borderId="489" xfId="124" applyFont="1" applyBorder="1" applyAlignment="1">
      <alignment horizontal="center"/>
    </xf>
    <xf numFmtId="0" fontId="121" fillId="0" borderId="492" xfId="122" applyFont="1" applyBorder="1" applyAlignment="1">
      <alignment horizontal="center"/>
    </xf>
    <xf numFmtId="175" fontId="120" fillId="0" borderId="487" xfId="122" applyNumberFormat="1" applyFont="1" applyBorder="1" applyAlignment="1">
      <alignment horizontal="center"/>
    </xf>
    <xf numFmtId="175" fontId="120" fillId="0" borderId="487" xfId="122" applyNumberFormat="1" applyFont="1" applyBorder="1"/>
    <xf numFmtId="175" fontId="121" fillId="0" borderId="487" xfId="122" applyNumberFormat="1" applyFont="1" applyBorder="1" applyAlignment="1">
      <alignment horizontal="center"/>
    </xf>
    <xf numFmtId="0" fontId="121" fillId="0" borderId="487" xfId="122" applyFont="1" applyBorder="1" applyAlignment="1">
      <alignment horizontal="center"/>
    </xf>
    <xf numFmtId="175" fontId="120" fillId="0" borderId="485" xfId="122" applyNumberFormat="1" applyFont="1" applyBorder="1" applyAlignment="1">
      <alignment horizontal="center"/>
    </xf>
    <xf numFmtId="0" fontId="121" fillId="0" borderId="437" xfId="122" applyFont="1" applyBorder="1" applyAlignment="1">
      <alignment horizontal="center"/>
    </xf>
    <xf numFmtId="175" fontId="120" fillId="0" borderId="466" xfId="122" applyNumberFormat="1" applyFont="1" applyBorder="1" applyAlignment="1">
      <alignment horizontal="center"/>
    </xf>
    <xf numFmtId="175" fontId="120" fillId="0" borderId="466" xfId="122" applyNumberFormat="1" applyFont="1" applyBorder="1"/>
    <xf numFmtId="175" fontId="121" fillId="0" borderId="466" xfId="122" applyNumberFormat="1" applyFont="1" applyBorder="1" applyAlignment="1">
      <alignment horizontal="center"/>
    </xf>
    <xf numFmtId="0" fontId="121" fillId="0" borderId="466" xfId="122" applyFont="1" applyBorder="1" applyAlignment="1">
      <alignment horizontal="center"/>
    </xf>
    <xf numFmtId="175" fontId="120" fillId="0" borderId="441" xfId="122" applyNumberFormat="1" applyFont="1" applyBorder="1" applyAlignment="1">
      <alignment horizontal="center"/>
    </xf>
    <xf numFmtId="0" fontId="157" fillId="0" borderId="347" xfId="122" applyFont="1" applyBorder="1" applyAlignment="1">
      <alignment horizontal="center"/>
    </xf>
    <xf numFmtId="179" fontId="157" fillId="0" borderId="347" xfId="57" applyNumberFormat="1" applyFont="1" applyFill="1" applyBorder="1" applyAlignment="1">
      <alignment horizontal="center"/>
    </xf>
    <xf numFmtId="0" fontId="157" fillId="0" borderId="488" xfId="122" applyFont="1" applyBorder="1" applyAlignment="1">
      <alignment horizontal="center"/>
    </xf>
    <xf numFmtId="0" fontId="259" fillId="0" borderId="358" xfId="0" applyFont="1" applyBorder="1" applyAlignment="1">
      <alignment horizontal="center"/>
    </xf>
    <xf numFmtId="0" fontId="259" fillId="0" borderId="374" xfId="0" applyFont="1" applyBorder="1" applyAlignment="1">
      <alignment horizontal="center"/>
    </xf>
    <xf numFmtId="0" fontId="259" fillId="0" borderId="355" xfId="0" applyFont="1" applyBorder="1" applyAlignment="1">
      <alignment horizontal="center"/>
    </xf>
    <xf numFmtId="172" fontId="168" fillId="0" borderId="0" xfId="1446" applyNumberFormat="1" applyFont="1" applyAlignment="1">
      <alignment horizontal="center"/>
    </xf>
    <xf numFmtId="172" fontId="167" fillId="0" borderId="0" xfId="1446" applyNumberFormat="1" applyFont="1" applyAlignment="1">
      <alignment horizontal="center"/>
    </xf>
    <xf numFmtId="172" fontId="167" fillId="0" borderId="487" xfId="1446" applyNumberFormat="1" applyFont="1" applyBorder="1" applyAlignment="1">
      <alignment horizontal="center" vertical="center"/>
    </xf>
    <xf numFmtId="172" fontId="276" fillId="0" borderId="487" xfId="0" applyNumberFormat="1" applyFont="1" applyBorder="1"/>
    <xf numFmtId="172" fontId="167" fillId="0" borderId="487" xfId="1446" applyNumberFormat="1" applyFont="1" applyBorder="1" applyAlignment="1">
      <alignment horizontal="center"/>
    </xf>
    <xf numFmtId="172" fontId="168" fillId="0" borderId="416" xfId="149" applyNumberFormat="1" applyFont="1" applyFill="1" applyBorder="1" applyAlignment="1">
      <alignment horizontal="center" vertical="center"/>
    </xf>
    <xf numFmtId="172" fontId="167" fillId="0" borderId="416" xfId="1446" applyNumberFormat="1" applyFont="1" applyBorder="1" applyAlignment="1">
      <alignment horizontal="center" vertical="center"/>
    </xf>
    <xf numFmtId="171" fontId="168" fillId="0" borderId="485" xfId="149" applyNumberFormat="1" applyFont="1" applyFill="1" applyBorder="1" applyAlignment="1">
      <alignment horizontal="center" vertical="center"/>
    </xf>
    <xf numFmtId="0" fontId="151" fillId="0" borderId="158" xfId="182" applyFont="1" applyBorder="1" applyAlignment="1">
      <alignment horizontal="center" vertical="center"/>
    </xf>
    <xf numFmtId="171" fontId="152" fillId="0" borderId="493" xfId="149" applyNumberFormat="1" applyFont="1" applyBorder="1" applyAlignment="1">
      <alignment horizontal="center"/>
    </xf>
    <xf numFmtId="171" fontId="152" fillId="0" borderId="19" xfId="149" applyNumberFormat="1" applyFont="1" applyBorder="1" applyAlignment="1">
      <alignment horizontal="center"/>
    </xf>
    <xf numFmtId="171" fontId="152" fillId="0" borderId="466" xfId="149" applyNumberFormat="1" applyFont="1" applyBorder="1" applyAlignment="1">
      <alignment horizontal="center"/>
    </xf>
    <xf numFmtId="3" fontId="234" fillId="0" borderId="455" xfId="57" applyNumberFormat="1" applyFont="1" applyFill="1" applyBorder="1" applyAlignment="1">
      <alignment horizontal="center"/>
    </xf>
    <xf numFmtId="3" fontId="234" fillId="0" borderId="466" xfId="57" applyNumberFormat="1" applyFont="1" applyFill="1" applyBorder="1" applyAlignment="1">
      <alignment horizontal="center"/>
    </xf>
    <xf numFmtId="0" fontId="225" fillId="0" borderId="442" xfId="141" applyFont="1" applyBorder="1" applyAlignment="1">
      <alignment horizontal="center"/>
    </xf>
    <xf numFmtId="0" fontId="225" fillId="0" borderId="348" xfId="141" applyFont="1" applyBorder="1" applyAlignment="1">
      <alignment horizontal="center"/>
    </xf>
    <xf numFmtId="3" fontId="158" fillId="0" borderId="430" xfId="141" applyNumberFormat="1" applyFont="1" applyBorder="1" applyAlignment="1">
      <alignment horizontal="center"/>
    </xf>
    <xf numFmtId="3" fontId="226" fillId="0" borderId="430" xfId="141" applyNumberFormat="1" applyFont="1" applyBorder="1" applyAlignment="1">
      <alignment horizontal="center"/>
    </xf>
    <xf numFmtId="3" fontId="226" fillId="0" borderId="330" xfId="141" applyNumberFormat="1" applyFont="1" applyBorder="1" applyAlignment="1">
      <alignment horizontal="center"/>
    </xf>
    <xf numFmtId="3" fontId="158" fillId="0" borderId="330" xfId="141" applyNumberFormat="1" applyFont="1" applyBorder="1" applyAlignment="1">
      <alignment horizontal="center"/>
    </xf>
    <xf numFmtId="3" fontId="158" fillId="0" borderId="330" xfId="128" applyNumberFormat="1" applyFont="1" applyBorder="1" applyAlignment="1">
      <alignment horizontal="center"/>
    </xf>
    <xf numFmtId="3" fontId="226" fillId="0" borderId="442" xfId="141" applyNumberFormat="1" applyFont="1" applyBorder="1" applyAlignment="1">
      <alignment horizontal="center"/>
    </xf>
    <xf numFmtId="3" fontId="158" fillId="0" borderId="330" xfId="128" applyNumberFormat="1" applyFont="1" applyBorder="1" applyAlignment="1">
      <alignment horizontal="center" vertical="center"/>
    </xf>
    <xf numFmtId="3" fontId="158" fillId="0" borderId="359" xfId="128" applyNumberFormat="1" applyFont="1" applyBorder="1" applyAlignment="1">
      <alignment horizontal="center" vertical="center"/>
    </xf>
    <xf numFmtId="0" fontId="158" fillId="0" borderId="443" xfId="0" applyFont="1" applyBorder="1"/>
    <xf numFmtId="0" fontId="157" fillId="0" borderId="348" xfId="0" applyFont="1" applyBorder="1"/>
    <xf numFmtId="3" fontId="157" fillId="0" borderId="348" xfId="0" applyNumberFormat="1" applyFont="1" applyBorder="1" applyAlignment="1">
      <alignment horizontal="center"/>
    </xf>
    <xf numFmtId="0" fontId="157" fillId="0" borderId="488" xfId="0" applyFont="1" applyBorder="1" applyAlignment="1">
      <alignment horizontal="center"/>
    </xf>
    <xf numFmtId="3" fontId="157" fillId="0" borderId="488" xfId="0" applyNumberFormat="1" applyFont="1" applyBorder="1" applyAlignment="1">
      <alignment horizontal="center"/>
    </xf>
    <xf numFmtId="0" fontId="195" fillId="33" borderId="0" xfId="122" applyFont="1" applyFill="1" applyAlignment="1">
      <alignment horizontal="center"/>
    </xf>
    <xf numFmtId="175" fontId="195" fillId="33" borderId="116" xfId="122" applyNumberFormat="1" applyFont="1" applyFill="1" applyBorder="1" applyAlignment="1">
      <alignment horizontal="center"/>
    </xf>
    <xf numFmtId="175" fontId="195" fillId="33" borderId="0" xfId="122" applyNumberFormat="1" applyFont="1" applyFill="1" applyAlignment="1">
      <alignment horizontal="center"/>
    </xf>
    <xf numFmtId="175" fontId="197" fillId="33" borderId="0" xfId="122" applyNumberFormat="1" applyFont="1" applyFill="1" applyAlignment="1">
      <alignment horizontal="center"/>
    </xf>
    <xf numFmtId="175" fontId="192" fillId="33" borderId="0" xfId="122" applyNumberFormat="1" applyFont="1" applyFill="1" applyAlignment="1">
      <alignment horizontal="center"/>
    </xf>
    <xf numFmtId="175" fontId="192" fillId="33" borderId="0" xfId="149" applyNumberFormat="1" applyFont="1" applyFill="1" applyBorder="1" applyAlignment="1">
      <alignment horizontal="center"/>
    </xf>
    <xf numFmtId="175" fontId="198" fillId="33" borderId="0" xfId="122" applyNumberFormat="1" applyFont="1" applyFill="1" applyAlignment="1">
      <alignment horizontal="center"/>
    </xf>
    <xf numFmtId="172" fontId="195" fillId="33" borderId="116" xfId="57" applyNumberFormat="1" applyFont="1" applyFill="1" applyBorder="1" applyAlignment="1">
      <alignment horizontal="center"/>
    </xf>
    <xf numFmtId="175" fontId="195" fillId="33" borderId="0" xfId="149" applyNumberFormat="1" applyFont="1" applyFill="1" applyBorder="1" applyAlignment="1">
      <alignment horizontal="center"/>
    </xf>
    <xf numFmtId="175" fontId="192" fillId="33" borderId="374" xfId="122" applyNumberFormat="1" applyFont="1" applyFill="1" applyBorder="1" applyAlignment="1">
      <alignment horizontal="center"/>
    </xf>
    <xf numFmtId="0" fontId="195" fillId="32" borderId="466" xfId="122" applyFont="1" applyFill="1" applyBorder="1" applyAlignment="1">
      <alignment horizontal="center"/>
    </xf>
    <xf numFmtId="171" fontId="242" fillId="32" borderId="466" xfId="149" applyNumberFormat="1" applyFont="1" applyFill="1" applyBorder="1" applyAlignment="1">
      <alignment horizontal="center"/>
    </xf>
    <xf numFmtId="175" fontId="243" fillId="32" borderId="466" xfId="122" applyNumberFormat="1" applyFont="1" applyFill="1" applyBorder="1" applyAlignment="1">
      <alignment horizontal="center"/>
    </xf>
    <xf numFmtId="171" fontId="242" fillId="32" borderId="488" xfId="149" applyNumberFormat="1" applyFont="1" applyFill="1" applyBorder="1" applyAlignment="1">
      <alignment horizontal="center"/>
    </xf>
    <xf numFmtId="0" fontId="146" fillId="32" borderId="466" xfId="122" applyFont="1" applyFill="1" applyBorder="1"/>
    <xf numFmtId="171" fontId="147" fillId="32" borderId="466" xfId="122" applyNumberFormat="1" applyFont="1" applyFill="1" applyBorder="1" applyAlignment="1">
      <alignment horizontal="center"/>
    </xf>
    <xf numFmtId="171" fontId="146" fillId="32" borderId="466" xfId="122" applyNumberFormat="1" applyFont="1" applyFill="1" applyBorder="1" applyAlignment="1">
      <alignment horizontal="center"/>
    </xf>
    <xf numFmtId="171" fontId="147" fillId="32" borderId="477" xfId="122" applyNumberFormat="1" applyFont="1" applyFill="1" applyBorder="1" applyAlignment="1">
      <alignment horizontal="center"/>
    </xf>
    <xf numFmtId="0" fontId="146" fillId="32" borderId="387" xfId="122" applyFont="1" applyFill="1" applyBorder="1"/>
    <xf numFmtId="0" fontId="121" fillId="34" borderId="0" xfId="0" applyFont="1" applyFill="1"/>
    <xf numFmtId="0" fontId="120" fillId="34" borderId="0" xfId="0" applyFont="1" applyFill="1" applyAlignment="1">
      <alignment horizontal="center"/>
    </xf>
    <xf numFmtId="0" fontId="307" fillId="34" borderId="167" xfId="0" applyFont="1" applyFill="1" applyBorder="1" applyAlignment="1">
      <alignment vertical="center" wrapText="1"/>
    </xf>
    <xf numFmtId="175" fontId="121" fillId="34" borderId="0" xfId="0" applyNumberFormat="1" applyFont="1" applyFill="1" applyAlignment="1">
      <alignment horizontal="center" vertical="center"/>
    </xf>
    <xf numFmtId="175" fontId="121" fillId="34" borderId="292" xfId="0" applyNumberFormat="1" applyFont="1" applyFill="1" applyBorder="1" applyAlignment="1">
      <alignment horizontal="center" vertical="center"/>
    </xf>
    <xf numFmtId="175" fontId="121" fillId="34" borderId="252" xfId="0" applyNumberFormat="1" applyFont="1" applyFill="1" applyBorder="1" applyAlignment="1">
      <alignment horizontal="center" vertical="center"/>
    </xf>
    <xf numFmtId="175" fontId="121" fillId="34" borderId="439" xfId="0" applyNumberFormat="1" applyFont="1" applyFill="1" applyBorder="1" applyAlignment="1">
      <alignment horizontal="center" vertical="center"/>
    </xf>
    <xf numFmtId="175" fontId="121" fillId="34" borderId="443" xfId="0" applyNumberFormat="1" applyFont="1" applyFill="1" applyBorder="1" applyAlignment="1">
      <alignment horizontal="center" vertical="center"/>
    </xf>
    <xf numFmtId="175" fontId="121" fillId="34" borderId="480" xfId="0" applyNumberFormat="1" applyFont="1" applyFill="1" applyBorder="1" applyAlignment="1">
      <alignment horizontal="center" vertical="center"/>
    </xf>
    <xf numFmtId="171" fontId="121" fillId="34" borderId="442" xfId="149" applyNumberFormat="1" applyFont="1" applyFill="1" applyBorder="1" applyAlignment="1">
      <alignment horizontal="center" vertical="center"/>
    </xf>
    <xf numFmtId="0" fontId="307" fillId="34" borderId="69" xfId="0" applyFont="1" applyFill="1" applyBorder="1" applyAlignment="1">
      <alignment vertical="center" wrapText="1"/>
    </xf>
    <xf numFmtId="175" fontId="121" fillId="34" borderId="455" xfId="0" applyNumberFormat="1" applyFont="1" applyFill="1" applyBorder="1" applyAlignment="1">
      <alignment horizontal="center" vertical="center"/>
    </xf>
    <xf numFmtId="171" fontId="121" fillId="34" borderId="24" xfId="149" applyNumberFormat="1" applyFont="1" applyFill="1" applyBorder="1" applyAlignment="1">
      <alignment horizontal="center" vertical="center"/>
    </xf>
    <xf numFmtId="175" fontId="121" fillId="34" borderId="357" xfId="0" applyNumberFormat="1" applyFont="1" applyFill="1" applyBorder="1" applyAlignment="1">
      <alignment horizontal="center" vertical="center"/>
    </xf>
    <xf numFmtId="171" fontId="121" fillId="34" borderId="355" xfId="149" applyNumberFormat="1" applyFont="1" applyFill="1" applyBorder="1" applyAlignment="1">
      <alignment horizontal="center" vertical="center"/>
    </xf>
    <xf numFmtId="0" fontId="307" fillId="34" borderId="68" xfId="0" applyFont="1" applyFill="1" applyBorder="1" applyAlignment="1">
      <alignment vertical="center" wrapText="1"/>
    </xf>
    <xf numFmtId="175" fontId="120" fillId="34" borderId="102" xfId="0" applyNumberFormat="1" applyFont="1" applyFill="1" applyBorder="1" applyAlignment="1">
      <alignment horizontal="center" vertical="center"/>
    </xf>
    <xf numFmtId="175" fontId="120" fillId="34" borderId="425" xfId="0" applyNumberFormat="1" applyFont="1" applyFill="1" applyBorder="1" applyAlignment="1">
      <alignment horizontal="center" vertical="center"/>
    </xf>
    <xf numFmtId="175" fontId="120" fillId="34" borderId="435" xfId="0" applyNumberFormat="1" applyFont="1" applyFill="1" applyBorder="1" applyAlignment="1">
      <alignment horizontal="center" vertical="center"/>
    </xf>
    <xf numFmtId="175" fontId="120" fillId="34" borderId="347" xfId="0" applyNumberFormat="1" applyFont="1" applyFill="1" applyBorder="1" applyAlignment="1">
      <alignment horizontal="center" vertical="center"/>
    </xf>
    <xf numFmtId="175" fontId="120" fillId="34" borderId="490" xfId="0" applyNumberFormat="1" applyFont="1" applyFill="1" applyBorder="1" applyAlignment="1">
      <alignment horizontal="center" vertical="center"/>
    </xf>
    <xf numFmtId="0" fontId="121" fillId="34" borderId="24" xfId="0" applyFont="1" applyFill="1" applyBorder="1"/>
    <xf numFmtId="171" fontId="121" fillId="34" borderId="436" xfId="149" applyNumberFormat="1" applyFont="1" applyFill="1" applyBorder="1" applyAlignment="1">
      <alignment horizontal="center" vertical="center"/>
    </xf>
    <xf numFmtId="171" fontId="121" fillId="34" borderId="425" xfId="149" applyNumberFormat="1" applyFont="1" applyFill="1" applyBorder="1" applyAlignment="1">
      <alignment horizontal="center" vertical="center"/>
    </xf>
    <xf numFmtId="171" fontId="121" fillId="34" borderId="347" xfId="149" applyNumberFormat="1" applyFont="1" applyFill="1" applyBorder="1" applyAlignment="1">
      <alignment horizontal="center" vertical="center"/>
    </xf>
    <xf numFmtId="171" fontId="121" fillId="34" borderId="489" xfId="149" applyNumberFormat="1" applyFont="1" applyFill="1" applyBorder="1" applyAlignment="1">
      <alignment horizontal="center" vertical="center"/>
    </xf>
    <xf numFmtId="0" fontId="121" fillId="34" borderId="56" xfId="0" applyFont="1" applyFill="1" applyBorder="1"/>
    <xf numFmtId="0" fontId="134" fillId="34" borderId="0" xfId="0" applyFont="1" applyFill="1"/>
    <xf numFmtId="0" fontId="121" fillId="34" borderId="443" xfId="0" applyFont="1" applyFill="1" applyBorder="1"/>
    <xf numFmtId="0" fontId="121" fillId="34" borderId="116" xfId="0" applyFont="1" applyFill="1" applyBorder="1"/>
    <xf numFmtId="0" fontId="305" fillId="0" borderId="0" xfId="0" applyFont="1"/>
    <xf numFmtId="0" fontId="158" fillId="0" borderId="45" xfId="0" applyFont="1" applyBorder="1" applyAlignment="1">
      <alignment horizontal="center"/>
    </xf>
    <xf numFmtId="0" fontId="157" fillId="0" borderId="47" xfId="0" applyFont="1" applyBorder="1" applyAlignment="1">
      <alignment horizontal="center"/>
    </xf>
    <xf numFmtId="0" fontId="157" fillId="0" borderId="44" xfId="0" applyFont="1" applyBorder="1" applyAlignment="1">
      <alignment horizontal="center"/>
    </xf>
    <xf numFmtId="0" fontId="157" fillId="0" borderId="43" xfId="0" applyFont="1" applyBorder="1" applyAlignment="1">
      <alignment horizontal="center"/>
    </xf>
    <xf numFmtId="0" fontId="157" fillId="0" borderId="0" xfId="0" applyFont="1" applyAlignment="1">
      <alignment horizontal="center"/>
    </xf>
    <xf numFmtId="0" fontId="157" fillId="0" borderId="45" xfId="0" applyFont="1" applyBorder="1" applyAlignment="1">
      <alignment horizontal="center"/>
    </xf>
    <xf numFmtId="0" fontId="157" fillId="0" borderId="0" xfId="0" applyFont="1" applyAlignment="1">
      <alignment horizontal="left"/>
    </xf>
    <xf numFmtId="4" fontId="158" fillId="0" borderId="0" xfId="0" applyNumberFormat="1" applyFont="1" applyAlignment="1">
      <alignment horizontal="center"/>
    </xf>
    <xf numFmtId="4" fontId="158" fillId="0" borderId="11" xfId="0" applyNumberFormat="1" applyFont="1" applyBorder="1" applyAlignment="1">
      <alignment horizontal="center"/>
    </xf>
    <xf numFmtId="4" fontId="158" fillId="0" borderId="13" xfId="0" applyNumberFormat="1" applyFont="1" applyBorder="1" applyAlignment="1">
      <alignment horizontal="center"/>
    </xf>
    <xf numFmtId="0" fontId="157" fillId="0" borderId="33" xfId="0" applyFont="1" applyBorder="1" applyAlignment="1">
      <alignment horizontal="left"/>
    </xf>
    <xf numFmtId="4" fontId="157" fillId="0" borderId="31" xfId="0" applyNumberFormat="1" applyFont="1" applyBorder="1" applyAlignment="1">
      <alignment horizontal="center"/>
    </xf>
    <xf numFmtId="4" fontId="157" fillId="0" borderId="33" xfId="0" applyNumberFormat="1" applyFont="1" applyBorder="1" applyAlignment="1">
      <alignment horizontal="center"/>
    </xf>
    <xf numFmtId="4" fontId="157" fillId="0" borderId="32" xfId="0" applyNumberFormat="1" applyFont="1" applyBorder="1" applyAlignment="1">
      <alignment horizontal="center"/>
    </xf>
    <xf numFmtId="4" fontId="157" fillId="0" borderId="0" xfId="0" applyNumberFormat="1" applyFont="1" applyAlignment="1">
      <alignment horizontal="center"/>
    </xf>
    <xf numFmtId="0" fontId="157" fillId="0" borderId="10" xfId="0" applyFont="1" applyBorder="1" applyAlignment="1">
      <alignment horizontal="left"/>
    </xf>
    <xf numFmtId="0" fontId="158" fillId="0" borderId="29" xfId="0" applyFont="1" applyBorder="1" applyAlignment="1">
      <alignment horizontal="center"/>
    </xf>
    <xf numFmtId="10" fontId="157" fillId="0" borderId="15" xfId="0" applyNumberFormat="1" applyFont="1" applyBorder="1" applyAlignment="1">
      <alignment horizontal="center"/>
    </xf>
    <xf numFmtId="10" fontId="157" fillId="0" borderId="23" xfId="0" applyNumberFormat="1" applyFont="1" applyBorder="1" applyAlignment="1">
      <alignment horizontal="center"/>
    </xf>
    <xf numFmtId="10" fontId="157" fillId="0" borderId="0" xfId="0" applyNumberFormat="1" applyFont="1" applyAlignment="1">
      <alignment horizontal="center"/>
    </xf>
    <xf numFmtId="0" fontId="159" fillId="0" borderId="48" xfId="0" applyFont="1" applyBorder="1"/>
    <xf numFmtId="0" fontId="159" fillId="0" borderId="0" xfId="0" applyFont="1" applyAlignment="1">
      <alignment horizontal="left"/>
    </xf>
    <xf numFmtId="0" fontId="159" fillId="0" borderId="0" xfId="0" applyFont="1" applyAlignment="1">
      <alignment horizontal="center"/>
    </xf>
    <xf numFmtId="0" fontId="158" fillId="0" borderId="176" xfId="0" applyFont="1" applyBorder="1" applyAlignment="1">
      <alignment horizontal="center"/>
    </xf>
    <xf numFmtId="0" fontId="157" fillId="0" borderId="425" xfId="0" applyFont="1" applyBorder="1" applyAlignment="1">
      <alignment horizontal="center" wrapText="1"/>
    </xf>
    <xf numFmtId="0" fontId="157" fillId="0" borderId="425" xfId="0" applyFont="1" applyBorder="1" applyAlignment="1">
      <alignment horizontal="center" vertical="center"/>
    </xf>
    <xf numFmtId="0" fontId="157" fillId="0" borderId="173" xfId="0" applyFont="1" applyBorder="1" applyAlignment="1">
      <alignment horizontal="center" vertical="center" wrapText="1"/>
    </xf>
    <xf numFmtId="0" fontId="157" fillId="0" borderId="348" xfId="0" applyFont="1" applyBorder="1" applyAlignment="1">
      <alignment horizontal="center" vertical="center"/>
    </xf>
    <xf numFmtId="0" fontId="158" fillId="0" borderId="57" xfId="0" applyFont="1" applyBorder="1" applyAlignment="1">
      <alignment horizontal="center"/>
    </xf>
    <xf numFmtId="0" fontId="157" fillId="0" borderId="252" xfId="0" applyFont="1" applyBorder="1" applyAlignment="1">
      <alignment wrapText="1"/>
    </xf>
    <xf numFmtId="0" fontId="157" fillId="0" borderId="252" xfId="0" applyFont="1" applyBorder="1"/>
    <xf numFmtId="0" fontId="157" fillId="0" borderId="455" xfId="0" applyFont="1" applyBorder="1"/>
    <xf numFmtId="1" fontId="157" fillId="0" borderId="57" xfId="0" applyNumberFormat="1" applyFont="1" applyBorder="1" applyAlignment="1">
      <alignment horizontal="center"/>
    </xf>
    <xf numFmtId="191" fontId="158" fillId="0" borderId="455" xfId="0" applyNumberFormat="1" applyFont="1" applyBorder="1" applyAlignment="1">
      <alignment horizontal="center"/>
    </xf>
    <xf numFmtId="0" fontId="158" fillId="0" borderId="24" xfId="0" applyFont="1" applyBorder="1" applyAlignment="1">
      <alignment horizontal="center"/>
    </xf>
    <xf numFmtId="171" fontId="158" fillId="0" borderId="252" xfId="0" applyNumberFormat="1" applyFont="1" applyBorder="1" applyAlignment="1">
      <alignment horizontal="center"/>
    </xf>
    <xf numFmtId="171" fontId="158" fillId="0" borderId="24" xfId="0" applyNumberFormat="1" applyFont="1" applyBorder="1" applyAlignment="1">
      <alignment horizontal="center"/>
    </xf>
    <xf numFmtId="1" fontId="158" fillId="0" borderId="252" xfId="0" applyNumberFormat="1" applyFont="1" applyBorder="1" applyAlignment="1">
      <alignment horizontal="center"/>
    </xf>
    <xf numFmtId="1" fontId="157" fillId="0" borderId="293" xfId="0" applyNumberFormat="1" applyFont="1" applyBorder="1" applyAlignment="1">
      <alignment horizontal="center"/>
    </xf>
    <xf numFmtId="3" fontId="158" fillId="0" borderId="292" xfId="57" applyNumberFormat="1" applyFont="1" applyFill="1" applyBorder="1" applyAlignment="1">
      <alignment horizontal="center"/>
    </xf>
    <xf numFmtId="171" fontId="158" fillId="0" borderId="292" xfId="0" applyNumberFormat="1" applyFont="1" applyBorder="1" applyAlignment="1">
      <alignment horizontal="center"/>
    </xf>
    <xf numFmtId="191" fontId="158" fillId="0" borderId="480" xfId="0" applyNumberFormat="1" applyFont="1" applyBorder="1" applyAlignment="1">
      <alignment horizontal="center"/>
    </xf>
    <xf numFmtId="3" fontId="158" fillId="0" borderId="252" xfId="57" applyNumberFormat="1" applyFont="1" applyFill="1" applyBorder="1" applyAlignment="1">
      <alignment horizontal="center"/>
    </xf>
    <xf numFmtId="175" fontId="158" fillId="0" borderId="480" xfId="0" applyNumberFormat="1" applyFont="1" applyBorder="1" applyAlignment="1">
      <alignment horizontal="center"/>
    </xf>
    <xf numFmtId="175" fontId="158" fillId="0" borderId="455" xfId="0" applyNumberFormat="1" applyFont="1" applyBorder="1" applyAlignment="1">
      <alignment horizontal="center"/>
    </xf>
    <xf numFmtId="37" fontId="157" fillId="0" borderId="0" xfId="831" applyNumberFormat="1" applyFont="1" applyAlignment="1">
      <alignment horizontal="center"/>
    </xf>
    <xf numFmtId="9" fontId="159" fillId="0" borderId="0" xfId="151" applyFont="1" applyFill="1" applyBorder="1" applyAlignment="1">
      <alignment horizontal="center"/>
    </xf>
    <xf numFmtId="181" fontId="158" fillId="0" borderId="0" xfId="0" applyNumberFormat="1" applyFont="1" applyAlignment="1">
      <alignment horizontal="center"/>
    </xf>
    <xf numFmtId="0" fontId="308" fillId="0" borderId="0" xfId="4932" applyNumberFormat="1" applyFont="1" applyFill="1" applyBorder="1"/>
    <xf numFmtId="181" fontId="308" fillId="0" borderId="116" xfId="831" applyNumberFormat="1" applyFont="1" applyBorder="1" applyAlignment="1">
      <alignment horizontal="center"/>
    </xf>
    <xf numFmtId="0" fontId="308" fillId="0" borderId="0" xfId="0" applyFont="1"/>
    <xf numFmtId="39" fontId="308" fillId="0" borderId="116" xfId="831" applyNumberFormat="1" applyFont="1" applyBorder="1" applyAlignment="1">
      <alignment horizontal="center"/>
    </xf>
    <xf numFmtId="175" fontId="158" fillId="0" borderId="186" xfId="0" applyNumberFormat="1" applyFont="1" applyBorder="1" applyAlignment="1">
      <alignment horizontal="center"/>
    </xf>
    <xf numFmtId="39" fontId="308" fillId="0" borderId="0" xfId="831" applyNumberFormat="1" applyFont="1" applyAlignment="1">
      <alignment horizontal="center"/>
    </xf>
    <xf numFmtId="1" fontId="157" fillId="0" borderId="90" xfId="0" applyNumberFormat="1" applyFont="1" applyBorder="1" applyAlignment="1">
      <alignment horizontal="center"/>
    </xf>
    <xf numFmtId="0" fontId="157" fillId="0" borderId="311" xfId="0" applyFont="1" applyBorder="1" applyAlignment="1">
      <alignment horizontal="center"/>
    </xf>
    <xf numFmtId="2" fontId="308" fillId="0" borderId="0" xfId="0" applyNumberFormat="1" applyFont="1" applyAlignment="1">
      <alignment horizontal="center"/>
    </xf>
    <xf numFmtId="39" fontId="308" fillId="0" borderId="56" xfId="831" applyNumberFormat="1" applyFont="1" applyBorder="1" applyAlignment="1">
      <alignment horizontal="center"/>
    </xf>
    <xf numFmtId="37" fontId="308" fillId="0" borderId="0" xfId="831" applyNumberFormat="1" applyFont="1" applyAlignment="1">
      <alignment horizontal="center"/>
    </xf>
    <xf numFmtId="233" fontId="158" fillId="0" borderId="0" xfId="0" applyNumberFormat="1" applyFont="1" applyAlignment="1">
      <alignment horizontal="center"/>
    </xf>
    <xf numFmtId="1" fontId="157" fillId="32" borderId="294" xfId="0" applyNumberFormat="1" applyFont="1" applyFill="1" applyBorder="1" applyAlignment="1">
      <alignment horizontal="center"/>
    </xf>
    <xf numFmtId="1" fontId="157" fillId="32" borderId="292" xfId="0" applyNumberFormat="1" applyFont="1" applyFill="1" applyBorder="1" applyAlignment="1">
      <alignment horizontal="center"/>
    </xf>
    <xf numFmtId="1" fontId="157" fillId="32" borderId="321" xfId="0" applyNumberFormat="1" applyFont="1" applyFill="1" applyBorder="1" applyAlignment="1">
      <alignment horizontal="center"/>
    </xf>
    <xf numFmtId="229" fontId="158" fillId="32" borderId="292" xfId="0" applyNumberFormat="1" applyFont="1" applyFill="1" applyBorder="1" applyAlignment="1">
      <alignment horizontal="center" vertical="center"/>
    </xf>
    <xf numFmtId="1" fontId="157" fillId="32" borderId="24" xfId="0" applyNumberFormat="1" applyFont="1" applyFill="1" applyBorder="1" applyAlignment="1">
      <alignment horizontal="center"/>
    </xf>
    <xf numFmtId="37" fontId="158" fillId="0" borderId="0" xfId="0" applyNumberFormat="1" applyFont="1"/>
    <xf numFmtId="1" fontId="157" fillId="32" borderId="90" xfId="0" applyNumberFormat="1" applyFont="1" applyFill="1" applyBorder="1" applyAlignment="1">
      <alignment horizontal="center"/>
    </xf>
    <xf numFmtId="3" fontId="227" fillId="32" borderId="252" xfId="124" applyNumberFormat="1" applyFont="1" applyFill="1" applyBorder="1" applyAlignment="1">
      <alignment horizontal="center"/>
    </xf>
    <xf numFmtId="171" fontId="158" fillId="32" borderId="329" xfId="0" applyNumberFormat="1" applyFont="1" applyFill="1" applyBorder="1" applyAlignment="1">
      <alignment horizontal="center"/>
    </xf>
    <xf numFmtId="5" fontId="227" fillId="32" borderId="116" xfId="0" applyNumberFormat="1" applyFont="1" applyFill="1" applyBorder="1" applyAlignment="1">
      <alignment horizontal="center" vertical="center"/>
    </xf>
    <xf numFmtId="171" fontId="158" fillId="32" borderId="24" xfId="0" applyNumberFormat="1" applyFont="1" applyFill="1" applyBorder="1" applyAlignment="1">
      <alignment horizontal="center"/>
    </xf>
    <xf numFmtId="2" fontId="308" fillId="0" borderId="331" xfId="5086" applyNumberFormat="1" applyFont="1" applyBorder="1"/>
    <xf numFmtId="1" fontId="157" fillId="32" borderId="57" xfId="0" applyNumberFormat="1" applyFont="1" applyFill="1" applyBorder="1" applyAlignment="1">
      <alignment horizontal="center"/>
    </xf>
    <xf numFmtId="3" fontId="158" fillId="32" borderId="252" xfId="124" applyNumberFormat="1" applyFont="1" applyFill="1" applyBorder="1" applyAlignment="1">
      <alignment horizontal="center"/>
    </xf>
    <xf numFmtId="5" fontId="158" fillId="32" borderId="116" xfId="0" applyNumberFormat="1" applyFont="1" applyFill="1" applyBorder="1" applyAlignment="1">
      <alignment horizontal="center" vertical="center"/>
    </xf>
    <xf numFmtId="233" fontId="158" fillId="0" borderId="0" xfId="0" applyNumberFormat="1" applyFont="1"/>
    <xf numFmtId="1" fontId="157" fillId="32" borderId="308" xfId="0" applyNumberFormat="1" applyFont="1" applyFill="1" applyBorder="1" applyAlignment="1">
      <alignment horizontal="center"/>
    </xf>
    <xf numFmtId="3" fontId="158" fillId="32" borderId="131" xfId="124" applyNumberFormat="1" applyFont="1" applyFill="1" applyBorder="1" applyAlignment="1">
      <alignment horizontal="center"/>
    </xf>
    <xf numFmtId="171" fontId="158" fillId="32" borderId="252" xfId="0" applyNumberFormat="1" applyFont="1" applyFill="1" applyBorder="1" applyAlignment="1">
      <alignment horizontal="center"/>
    </xf>
    <xf numFmtId="5" fontId="158" fillId="32" borderId="289" xfId="0" applyNumberFormat="1" applyFont="1" applyFill="1" applyBorder="1" applyAlignment="1">
      <alignment horizontal="center" vertical="center"/>
    </xf>
    <xf numFmtId="0" fontId="159" fillId="0" borderId="321" xfId="0" applyFont="1" applyBorder="1"/>
    <xf numFmtId="0" fontId="158" fillId="0" borderId="321" xfId="0" applyFont="1" applyBorder="1" applyAlignment="1">
      <alignment horizontal="center"/>
    </xf>
    <xf numFmtId="0" fontId="227" fillId="0" borderId="0" xfId="0" applyFont="1"/>
    <xf numFmtId="0" fontId="157" fillId="0" borderId="496" xfId="0" applyFont="1" applyBorder="1" applyAlignment="1">
      <alignment horizontal="center"/>
    </xf>
    <xf numFmtId="0" fontId="157" fillId="0" borderId="495" xfId="0" applyFont="1" applyBorder="1" applyAlignment="1">
      <alignment horizontal="center"/>
    </xf>
    <xf numFmtId="172" fontId="157" fillId="0" borderId="204" xfId="0" applyNumberFormat="1" applyFont="1" applyBorder="1" applyAlignment="1">
      <alignment horizontal="center"/>
    </xf>
    <xf numFmtId="172" fontId="157" fillId="0" borderId="441" xfId="0" applyNumberFormat="1" applyFont="1" applyBorder="1" applyAlignment="1">
      <alignment horizontal="center"/>
    </xf>
    <xf numFmtId="172" fontId="157" fillId="0" borderId="496" xfId="0" applyNumberFormat="1" applyFont="1" applyBorder="1" applyAlignment="1">
      <alignment horizontal="center"/>
    </xf>
    <xf numFmtId="172" fontId="157" fillId="0" borderId="24" xfId="0" applyNumberFormat="1" applyFont="1" applyBorder="1" applyAlignment="1">
      <alignment horizontal="center"/>
    </xf>
    <xf numFmtId="0" fontId="157" fillId="0" borderId="69" xfId="0" applyFont="1" applyBorder="1" applyAlignment="1">
      <alignment horizontal="center"/>
    </xf>
    <xf numFmtId="3" fontId="158" fillId="0" borderId="466" xfId="0" applyNumberFormat="1" applyFont="1" applyBorder="1" applyAlignment="1">
      <alignment horizontal="center"/>
    </xf>
    <xf numFmtId="6" fontId="158" fillId="0" borderId="116" xfId="0" applyNumberFormat="1" applyFont="1" applyBorder="1" applyAlignment="1">
      <alignment horizontal="center"/>
    </xf>
    <xf numFmtId="6" fontId="158" fillId="0" borderId="466" xfId="0" applyNumberFormat="1" applyFont="1" applyBorder="1" applyAlignment="1">
      <alignment horizontal="center"/>
    </xf>
    <xf numFmtId="6" fontId="158" fillId="0" borderId="24" xfId="0" applyNumberFormat="1" applyFont="1" applyBorder="1" applyAlignment="1">
      <alignment horizontal="center"/>
    </xf>
    <xf numFmtId="171" fontId="158" fillId="0" borderId="116" xfId="0" applyNumberFormat="1" applyFont="1" applyBorder="1" applyAlignment="1">
      <alignment horizontal="center"/>
    </xf>
    <xf numFmtId="6" fontId="158" fillId="0" borderId="466" xfId="149" applyNumberFormat="1" applyFont="1" applyFill="1" applyBorder="1" applyAlignment="1">
      <alignment horizontal="center"/>
    </xf>
    <xf numFmtId="0" fontId="157" fillId="0" borderId="167" xfId="0" applyFont="1" applyBorder="1" applyAlignment="1">
      <alignment horizontal="center"/>
    </xf>
    <xf numFmtId="172" fontId="158" fillId="0" borderId="293" xfId="0" applyNumberFormat="1" applyFont="1" applyBorder="1" applyAlignment="1">
      <alignment horizontal="center"/>
    </xf>
    <xf numFmtId="172" fontId="158" fillId="0" borderId="172" xfId="0" applyNumberFormat="1" applyFont="1" applyBorder="1" applyAlignment="1">
      <alignment horizontal="center"/>
    </xf>
    <xf numFmtId="191" fontId="158" fillId="0" borderId="293" xfId="0" applyNumberFormat="1" applyFont="1" applyBorder="1" applyAlignment="1">
      <alignment horizontal="center"/>
    </xf>
    <xf numFmtId="191" fontId="158" fillId="0" borderId="172" xfId="149" applyNumberFormat="1" applyFont="1" applyFill="1" applyBorder="1" applyAlignment="1">
      <alignment horizontal="center"/>
    </xf>
    <xf numFmtId="172" fontId="158" fillId="0" borderId="116" xfId="0" applyNumberFormat="1" applyFont="1" applyBorder="1" applyAlignment="1">
      <alignment horizontal="center"/>
    </xf>
    <xf numFmtId="191" fontId="158" fillId="0" borderId="24" xfId="0" applyNumberFormat="1" applyFont="1" applyBorder="1" applyAlignment="1">
      <alignment horizontal="center"/>
    </xf>
    <xf numFmtId="171" fontId="158" fillId="0" borderId="293" xfId="0" applyNumberFormat="1" applyFont="1" applyBorder="1" applyAlignment="1">
      <alignment horizontal="center"/>
    </xf>
    <xf numFmtId="171" fontId="158" fillId="0" borderId="172" xfId="0" applyNumberFormat="1" applyFont="1" applyBorder="1" applyAlignment="1">
      <alignment horizontal="center"/>
    </xf>
    <xf numFmtId="172" fontId="158" fillId="0" borderId="466" xfId="0" applyNumberFormat="1" applyFont="1" applyBorder="1" applyAlignment="1">
      <alignment horizontal="center"/>
    </xf>
    <xf numFmtId="191" fontId="158" fillId="0" borderId="57" xfId="0" applyNumberFormat="1" applyFont="1" applyBorder="1" applyAlignment="1">
      <alignment horizontal="center"/>
    </xf>
    <xf numFmtId="191" fontId="158" fillId="0" borderId="466" xfId="149" applyNumberFormat="1" applyFont="1" applyFill="1" applyBorder="1" applyAlignment="1">
      <alignment horizontal="center"/>
    </xf>
    <xf numFmtId="0" fontId="232" fillId="0" borderId="69" xfId="0" applyFont="1" applyBorder="1" applyAlignment="1">
      <alignment horizontal="center"/>
    </xf>
    <xf numFmtId="172" fontId="231" fillId="0" borderId="116" xfId="149" applyNumberFormat="1" applyFont="1" applyFill="1" applyBorder="1" applyAlignment="1">
      <alignment horizontal="center"/>
    </xf>
    <xf numFmtId="172" fontId="231" fillId="0" borderId="466" xfId="149" applyNumberFormat="1" applyFont="1" applyFill="1" applyBorder="1" applyAlignment="1">
      <alignment horizontal="center"/>
    </xf>
    <xf numFmtId="191" fontId="231" fillId="0" borderId="57" xfId="0" applyNumberFormat="1" applyFont="1" applyBorder="1" applyAlignment="1">
      <alignment horizontal="center"/>
    </xf>
    <xf numFmtId="191" fontId="231" fillId="0" borderId="466" xfId="0" applyNumberFormat="1" applyFont="1" applyBorder="1" applyAlignment="1">
      <alignment horizontal="center"/>
    </xf>
    <xf numFmtId="171" fontId="158" fillId="0" borderId="466" xfId="0" applyNumberFormat="1" applyFont="1" applyBorder="1" applyAlignment="1">
      <alignment horizontal="center"/>
    </xf>
    <xf numFmtId="172" fontId="158" fillId="0" borderId="116" xfId="149" applyNumberFormat="1" applyFont="1" applyFill="1" applyBorder="1" applyAlignment="1">
      <alignment horizontal="center"/>
    </xf>
    <xf numFmtId="172" fontId="158" fillId="0" borderId="487" xfId="149" applyNumberFormat="1" applyFont="1" applyFill="1" applyBorder="1" applyAlignment="1">
      <alignment horizontal="center"/>
    </xf>
    <xf numFmtId="191" fontId="158" fillId="0" borderId="466" xfId="0" applyNumberFormat="1" applyFont="1" applyBorder="1" applyAlignment="1">
      <alignment horizontal="center"/>
    </xf>
    <xf numFmtId="172" fontId="158" fillId="0" borderId="0" xfId="149" applyNumberFormat="1" applyFont="1" applyFill="1" applyBorder="1" applyAlignment="1">
      <alignment horizontal="center"/>
    </xf>
    <xf numFmtId="172" fontId="158" fillId="0" borderId="0" xfId="0" applyNumberFormat="1" applyFont="1" applyAlignment="1">
      <alignment horizontal="center"/>
    </xf>
    <xf numFmtId="0" fontId="157" fillId="0" borderId="114" xfId="0" applyFont="1" applyBorder="1" applyAlignment="1">
      <alignment horizontal="center"/>
    </xf>
    <xf numFmtId="172" fontId="158" fillId="0" borderId="381" xfId="149" applyNumberFormat="1" applyFont="1" applyFill="1" applyBorder="1" applyAlignment="1">
      <alignment horizontal="center"/>
    </xf>
    <xf numFmtId="172" fontId="158" fillId="0" borderId="374" xfId="0" applyNumberFormat="1" applyFont="1" applyBorder="1" applyAlignment="1">
      <alignment horizontal="center"/>
    </xf>
    <xf numFmtId="191" fontId="158" fillId="0" borderId="308" xfId="0" applyNumberFormat="1" applyFont="1" applyBorder="1" applyAlignment="1">
      <alignment horizontal="center"/>
    </xf>
    <xf numFmtId="191" fontId="158" fillId="0" borderId="359" xfId="0" applyNumberFormat="1" applyFont="1" applyBorder="1" applyAlignment="1">
      <alignment horizontal="center"/>
    </xf>
    <xf numFmtId="172" fontId="158" fillId="0" borderId="381" xfId="0" applyNumberFormat="1" applyFont="1" applyBorder="1" applyAlignment="1">
      <alignment horizontal="center"/>
    </xf>
    <xf numFmtId="191" fontId="158" fillId="0" borderId="355" xfId="0" applyNumberFormat="1" applyFont="1" applyBorder="1" applyAlignment="1">
      <alignment horizontal="center"/>
    </xf>
    <xf numFmtId="171" fontId="158" fillId="0" borderId="381" xfId="0" applyNumberFormat="1" applyFont="1" applyBorder="1" applyAlignment="1">
      <alignment horizontal="center"/>
    </xf>
    <xf numFmtId="171" fontId="158" fillId="0" borderId="359" xfId="0" applyNumberFormat="1" applyFont="1" applyBorder="1" applyAlignment="1">
      <alignment horizontal="center"/>
    </xf>
    <xf numFmtId="0" fontId="232" fillId="32" borderId="56" xfId="0" applyFont="1" applyFill="1" applyBorder="1" applyAlignment="1">
      <alignment horizontal="center"/>
    </xf>
    <xf numFmtId="0" fontId="231" fillId="32" borderId="0" xfId="0" applyFont="1" applyFill="1" applyAlignment="1">
      <alignment horizontal="center"/>
    </xf>
    <xf numFmtId="1" fontId="231" fillId="32" borderId="329" xfId="149" applyNumberFormat="1" applyFont="1" applyFill="1" applyBorder="1" applyAlignment="1">
      <alignment horizontal="center"/>
    </xf>
    <xf numFmtId="6" fontId="231" fillId="32" borderId="292" xfId="0" applyNumberFormat="1" applyFont="1" applyFill="1" applyBorder="1" applyAlignment="1">
      <alignment horizontal="center"/>
    </xf>
    <xf numFmtId="6" fontId="231" fillId="32" borderId="329" xfId="0" applyNumberFormat="1" applyFont="1" applyFill="1" applyBorder="1" applyAlignment="1">
      <alignment horizontal="center"/>
    </xf>
    <xf numFmtId="1" fontId="232" fillId="32" borderId="0" xfId="0" applyNumberFormat="1" applyFont="1" applyFill="1" applyAlignment="1">
      <alignment horizontal="center"/>
    </xf>
    <xf numFmtId="6" fontId="232" fillId="32" borderId="0" xfId="0" applyNumberFormat="1" applyFont="1" applyFill="1" applyAlignment="1">
      <alignment horizontal="center"/>
    </xf>
    <xf numFmtId="0" fontId="232" fillId="32" borderId="0" xfId="0" applyFont="1" applyFill="1" applyAlignment="1">
      <alignment horizontal="center"/>
    </xf>
    <xf numFmtId="0" fontId="232" fillId="32" borderId="24" xfId="0" applyFont="1" applyFill="1" applyBorder="1" applyAlignment="1">
      <alignment horizontal="center"/>
    </xf>
    <xf numFmtId="0" fontId="232" fillId="32" borderId="69" xfId="0" applyFont="1" applyFill="1" applyBorder="1" applyAlignment="1">
      <alignment horizontal="center"/>
    </xf>
    <xf numFmtId="3" fontId="231" fillId="32" borderId="13" xfId="149" applyNumberFormat="1" applyFont="1" applyFill="1" applyBorder="1" applyAlignment="1">
      <alignment horizontal="center"/>
    </xf>
    <xf numFmtId="1" fontId="231" fillId="32" borderId="134" xfId="149" applyNumberFormat="1" applyFont="1" applyFill="1" applyBorder="1" applyAlignment="1">
      <alignment horizontal="center"/>
    </xf>
    <xf numFmtId="6" fontId="231" fillId="32" borderId="13" xfId="0" applyNumberFormat="1" applyFont="1" applyFill="1" applyBorder="1" applyAlignment="1">
      <alignment horizontal="center"/>
    </xf>
    <xf numFmtId="6" fontId="231" fillId="32" borderId="134" xfId="0" applyNumberFormat="1" applyFont="1" applyFill="1" applyBorder="1" applyAlignment="1">
      <alignment horizontal="center"/>
    </xf>
    <xf numFmtId="1" fontId="231" fillId="32" borderId="13" xfId="0" applyNumberFormat="1" applyFont="1" applyFill="1" applyBorder="1" applyAlignment="1">
      <alignment horizontal="center"/>
    </xf>
    <xf numFmtId="171" fontId="158" fillId="32" borderId="13" xfId="0" applyNumberFormat="1" applyFont="1" applyFill="1" applyBorder="1" applyAlignment="1">
      <alignment horizontal="center"/>
    </xf>
    <xf numFmtId="0" fontId="232" fillId="32" borderId="114" xfId="0" applyFont="1" applyFill="1" applyBorder="1" applyAlignment="1">
      <alignment horizontal="center"/>
    </xf>
    <xf numFmtId="3" fontId="231" fillId="32" borderId="342" xfId="149" applyNumberFormat="1" applyFont="1" applyFill="1" applyBorder="1" applyAlignment="1">
      <alignment horizontal="center"/>
    </xf>
    <xf numFmtId="1" fontId="231" fillId="32" borderId="343" xfId="149" applyNumberFormat="1" applyFont="1" applyFill="1" applyBorder="1" applyAlignment="1">
      <alignment horizontal="center"/>
    </xf>
    <xf numFmtId="6" fontId="231" fillId="32" borderId="342" xfId="0" applyNumberFormat="1" applyFont="1" applyFill="1" applyBorder="1" applyAlignment="1">
      <alignment horizontal="center"/>
    </xf>
    <xf numFmtId="6" fontId="231" fillId="32" borderId="343" xfId="0" applyNumberFormat="1" applyFont="1" applyFill="1" applyBorder="1" applyAlignment="1">
      <alignment horizontal="center"/>
    </xf>
    <xf numFmtId="0" fontId="159" fillId="0" borderId="388" xfId="0" applyFont="1" applyBorder="1"/>
    <xf numFmtId="171" fontId="158" fillId="0" borderId="0" xfId="149" applyNumberFormat="1" applyFont="1" applyFill="1"/>
    <xf numFmtId="172" fontId="157" fillId="0" borderId="0" xfId="0" applyNumberFormat="1" applyFont="1" applyAlignment="1">
      <alignment horizontal="center"/>
    </xf>
    <xf numFmtId="171" fontId="157" fillId="0" borderId="0" xfId="0" applyNumberFormat="1" applyFont="1" applyAlignment="1">
      <alignment horizontal="center"/>
    </xf>
    <xf numFmtId="8" fontId="158" fillId="0" borderId="0" xfId="0" applyNumberFormat="1" applyFont="1"/>
    <xf numFmtId="3" fontId="167" fillId="0" borderId="466" xfId="57" applyNumberFormat="1" applyFont="1" applyFill="1" applyBorder="1" applyAlignment="1" applyProtection="1">
      <alignment horizontal="center" vertical="center"/>
    </xf>
    <xf numFmtId="0" fontId="183" fillId="0" borderId="174" xfId="122" applyFont="1" applyBorder="1" applyAlignment="1">
      <alignment horizontal="left" vertical="center" wrapText="1"/>
    </xf>
    <xf numFmtId="0" fontId="183" fillId="0" borderId="433" xfId="122" applyFont="1" applyBorder="1" applyAlignment="1">
      <alignment horizontal="center" vertical="center"/>
    </xf>
    <xf numFmtId="0" fontId="183" fillId="0" borderId="434" xfId="122" applyFont="1" applyBorder="1" applyAlignment="1">
      <alignment horizontal="center" vertical="center"/>
    </xf>
    <xf numFmtId="0" fontId="183" fillId="0" borderId="435" xfId="122" applyFont="1" applyBorder="1" applyAlignment="1">
      <alignment horizontal="center" vertical="center"/>
    </xf>
    <xf numFmtId="0" fontId="183" fillId="0" borderId="348" xfId="122" applyFont="1" applyBorder="1" applyAlignment="1">
      <alignment horizontal="center" vertical="center"/>
    </xf>
    <xf numFmtId="0" fontId="184" fillId="0" borderId="84" xfId="122" applyFont="1" applyBorder="1" applyAlignment="1">
      <alignment vertical="center"/>
    </xf>
    <xf numFmtId="180" fontId="184" fillId="0" borderId="398" xfId="122" applyNumberFormat="1" applyFont="1" applyBorder="1" applyAlignment="1">
      <alignment horizontal="center" vertical="center"/>
    </xf>
    <xf numFmtId="180" fontId="184" fillId="0" borderId="292" xfId="122" applyNumberFormat="1" applyFont="1" applyBorder="1" applyAlignment="1">
      <alignment horizontal="center" vertical="center"/>
    </xf>
    <xf numFmtId="180" fontId="184" fillId="0" borderId="252" xfId="122" applyNumberFormat="1" applyFont="1" applyBorder="1" applyAlignment="1">
      <alignment horizontal="center" vertical="center"/>
    </xf>
    <xf numFmtId="175" fontId="184" fillId="0" borderId="455" xfId="149" applyNumberFormat="1" applyFont="1" applyFill="1" applyBorder="1" applyAlignment="1">
      <alignment horizontal="center" vertical="center"/>
    </xf>
    <xf numFmtId="180" fontId="184" fillId="0" borderId="437" xfId="122" applyNumberFormat="1" applyFont="1" applyBorder="1" applyAlignment="1">
      <alignment horizontal="center" vertical="center"/>
    </xf>
    <xf numFmtId="180" fontId="184" fillId="0" borderId="466" xfId="122" applyNumberFormat="1" applyFont="1" applyBorder="1" applyAlignment="1">
      <alignment horizontal="center" vertical="center"/>
    </xf>
    <xf numFmtId="180" fontId="184" fillId="0" borderId="454" xfId="122" applyNumberFormat="1" applyFont="1" applyBorder="1" applyAlignment="1">
      <alignment horizontal="center" vertical="center"/>
    </xf>
    <xf numFmtId="180" fontId="184" fillId="0" borderId="455" xfId="122" applyNumberFormat="1" applyFont="1" applyBorder="1" applyAlignment="1">
      <alignment horizontal="center" vertical="center"/>
    </xf>
    <xf numFmtId="37" fontId="183" fillId="0" borderId="456" xfId="122" applyNumberFormat="1" applyFont="1" applyBorder="1" applyAlignment="1">
      <alignment horizontal="left" vertical="center"/>
    </xf>
    <xf numFmtId="37" fontId="183" fillId="0" borderId="457" xfId="122" applyNumberFormat="1" applyFont="1" applyBorder="1" applyAlignment="1">
      <alignment horizontal="center" vertical="center"/>
    </xf>
    <xf numFmtId="37" fontId="183" fillId="0" borderId="436" xfId="122" applyNumberFormat="1" applyFont="1" applyBorder="1" applyAlignment="1">
      <alignment horizontal="center" vertical="center"/>
    </xf>
    <xf numFmtId="37" fontId="183" fillId="0" borderId="458" xfId="122" applyNumberFormat="1" applyFont="1" applyBorder="1" applyAlignment="1">
      <alignment horizontal="center" vertical="center"/>
    </xf>
    <xf numFmtId="37" fontId="183" fillId="0" borderId="425" xfId="122" applyNumberFormat="1" applyFont="1" applyBorder="1" applyAlignment="1">
      <alignment horizontal="center" vertical="center"/>
    </xf>
    <xf numFmtId="179" fontId="183" fillId="0" borderId="425" xfId="122" applyNumberFormat="1" applyFont="1" applyBorder="1" applyAlignment="1">
      <alignment horizontal="center" vertical="center"/>
    </xf>
    <xf numFmtId="179" fontId="183" fillId="0" borderId="435" xfId="122" applyNumberFormat="1" applyFont="1" applyBorder="1" applyAlignment="1">
      <alignment horizontal="center" vertical="center"/>
    </xf>
    <xf numFmtId="179" fontId="183" fillId="0" borderId="488" xfId="122" applyNumberFormat="1" applyFont="1" applyBorder="1" applyAlignment="1">
      <alignment horizontal="center" vertical="center"/>
    </xf>
    <xf numFmtId="37" fontId="183" fillId="0" borderId="311" xfId="122" applyNumberFormat="1" applyFont="1" applyBorder="1" applyAlignment="1">
      <alignment horizontal="left" vertical="center"/>
    </xf>
    <xf numFmtId="171" fontId="183" fillId="0" borderId="357" xfId="122" applyNumberFormat="1" applyFont="1" applyBorder="1" applyAlignment="1">
      <alignment horizontal="center" vertical="center"/>
    </xf>
    <xf numFmtId="171" fontId="183" fillId="0" borderId="358" xfId="122" applyNumberFormat="1" applyFont="1" applyBorder="1" applyAlignment="1">
      <alignment horizontal="center" vertical="center"/>
    </xf>
    <xf numFmtId="171" fontId="183" fillId="0" borderId="359" xfId="122" applyNumberFormat="1" applyFont="1" applyBorder="1" applyAlignment="1">
      <alignment horizontal="center" vertical="center"/>
    </xf>
    <xf numFmtId="0" fontId="225" fillId="0" borderId="456" xfId="141" applyFont="1" applyBorder="1" applyAlignment="1">
      <alignment horizontal="center"/>
    </xf>
    <xf numFmtId="0" fontId="158" fillId="0" borderId="308" xfId="128" applyFont="1" applyBorder="1" applyAlignment="1">
      <alignment horizontal="center" vertical="center"/>
    </xf>
    <xf numFmtId="0" fontId="309" fillId="26" borderId="0" xfId="122" applyFont="1" applyFill="1"/>
    <xf numFmtId="171" fontId="310" fillId="26" borderId="0" xfId="122" applyNumberFormat="1" applyFont="1" applyFill="1"/>
    <xf numFmtId="171" fontId="309" fillId="26" borderId="0" xfId="149" applyNumberFormat="1" applyFont="1" applyFill="1"/>
    <xf numFmtId="232" fontId="309" fillId="26" borderId="0" xfId="149" applyNumberFormat="1" applyFont="1" applyFill="1"/>
    <xf numFmtId="2" fontId="311" fillId="26" borderId="0" xfId="122" applyNumberFormat="1" applyFont="1" applyFill="1"/>
    <xf numFmtId="0" fontId="285" fillId="0" borderId="480" xfId="122" applyFont="1" applyBorder="1"/>
    <xf numFmtId="175" fontId="286" fillId="0" borderId="455" xfId="122" applyNumberFormat="1" applyFont="1" applyBorder="1" applyAlignment="1">
      <alignment horizontal="center"/>
    </xf>
    <xf numFmtId="175" fontId="285" fillId="0" borderId="455" xfId="122" applyNumberFormat="1" applyFont="1" applyBorder="1" applyAlignment="1">
      <alignment horizontal="center"/>
    </xf>
    <xf numFmtId="175" fontId="285" fillId="0" borderId="455" xfId="122" applyNumberFormat="1" applyFont="1" applyBorder="1" applyAlignment="1">
      <alignment horizontal="center" vertical="center"/>
    </xf>
    <xf numFmtId="171" fontId="285" fillId="0" borderId="455" xfId="149" applyNumberFormat="1" applyFont="1" applyFill="1" applyBorder="1" applyAlignment="1">
      <alignment horizontal="center"/>
    </xf>
    <xf numFmtId="0" fontId="168" fillId="32" borderId="425" xfId="122" applyFont="1" applyFill="1" applyBorder="1" applyAlignment="1">
      <alignment horizontal="center" vertical="center"/>
    </xf>
    <xf numFmtId="171" fontId="186" fillId="32" borderId="24" xfId="149" applyNumberFormat="1" applyFont="1" applyFill="1" applyBorder="1" applyAlignment="1">
      <alignment horizontal="center"/>
    </xf>
    <xf numFmtId="171" fontId="243" fillId="32" borderId="466" xfId="149" applyNumberFormat="1" applyFont="1" applyFill="1" applyBorder="1" applyAlignment="1">
      <alignment horizontal="center"/>
    </xf>
    <xf numFmtId="175" fontId="244" fillId="32" borderId="487" xfId="122" applyNumberFormat="1" applyFont="1" applyFill="1" applyBorder="1" applyAlignment="1">
      <alignment horizontal="center"/>
    </xf>
    <xf numFmtId="175" fontId="243" fillId="32" borderId="487" xfId="122" applyNumberFormat="1" applyFont="1" applyFill="1" applyBorder="1" applyAlignment="1">
      <alignment horizontal="center"/>
    </xf>
    <xf numFmtId="175" fontId="243" fillId="32" borderId="487" xfId="149" applyNumberFormat="1" applyFont="1" applyFill="1" applyBorder="1" applyAlignment="1">
      <alignment horizontal="center"/>
    </xf>
    <xf numFmtId="175" fontId="245" fillId="32" borderId="487" xfId="122" applyNumberFormat="1" applyFont="1" applyFill="1" applyBorder="1" applyAlignment="1">
      <alignment horizontal="center"/>
    </xf>
    <xf numFmtId="175" fontId="242" fillId="32" borderId="487" xfId="149" applyNumberFormat="1" applyFont="1" applyFill="1" applyBorder="1" applyAlignment="1">
      <alignment horizontal="center"/>
    </xf>
    <xf numFmtId="175" fontId="242" fillId="32" borderId="487" xfId="122" applyNumberFormat="1" applyFont="1" applyFill="1" applyBorder="1" applyAlignment="1">
      <alignment horizontal="center"/>
    </xf>
    <xf numFmtId="0" fontId="235" fillId="0" borderId="0" xfId="128" applyFont="1"/>
    <xf numFmtId="0" fontId="312" fillId="0" borderId="0" xfId="128" applyFont="1"/>
    <xf numFmtId="172" fontId="235" fillId="0" borderId="322" xfId="128" applyNumberFormat="1" applyFont="1" applyBorder="1" applyAlignment="1">
      <alignment horizontal="center"/>
    </xf>
    <xf numFmtId="172" fontId="235" fillId="0" borderId="0" xfId="128" applyNumberFormat="1" applyFont="1" applyAlignment="1">
      <alignment horizontal="center"/>
    </xf>
    <xf numFmtId="0" fontId="312" fillId="0" borderId="308" xfId="128" applyFont="1" applyBorder="1"/>
    <xf numFmtId="1" fontId="313" fillId="0" borderId="289" xfId="128" applyNumberFormat="1" applyFont="1" applyBorder="1" applyAlignment="1">
      <alignment horizontal="center"/>
    </xf>
    <xf numFmtId="1" fontId="313" fillId="0" borderId="322" xfId="128" applyNumberFormat="1" applyFont="1" applyBorder="1" applyAlignment="1">
      <alignment horizontal="center"/>
    </xf>
    <xf numFmtId="0" fontId="313" fillId="0" borderId="289" xfId="128" applyFont="1" applyBorder="1" applyAlignment="1">
      <alignment horizontal="center"/>
    </xf>
    <xf numFmtId="0" fontId="313" fillId="0" borderId="291" xfId="128" applyFont="1" applyBorder="1" applyAlignment="1">
      <alignment horizontal="center"/>
    </xf>
    <xf numFmtId="0" fontId="313" fillId="0" borderId="322" xfId="128" applyFont="1" applyBorder="1" applyAlignment="1">
      <alignment horizontal="center"/>
    </xf>
    <xf numFmtId="0" fontId="234" fillId="0" borderId="214" xfId="128" applyFont="1" applyBorder="1" applyAlignment="1">
      <alignment horizontal="center"/>
    </xf>
    <xf numFmtId="0" fontId="313" fillId="0" borderId="157" xfId="128" applyFont="1" applyBorder="1" applyAlignment="1">
      <alignment horizontal="center"/>
    </xf>
    <xf numFmtId="0" fontId="313" fillId="0" borderId="383" xfId="128" applyFont="1" applyBorder="1" applyAlignment="1">
      <alignment horizontal="center"/>
    </xf>
    <xf numFmtId="0" fontId="313" fillId="0" borderId="346" xfId="128" applyFont="1" applyBorder="1" applyAlignment="1">
      <alignment horizontal="center"/>
    </xf>
    <xf numFmtId="0" fontId="313" fillId="0" borderId="189" xfId="128" applyFont="1" applyBorder="1" applyAlignment="1">
      <alignment horizontal="center"/>
    </xf>
    <xf numFmtId="0" fontId="234" fillId="0" borderId="90" xfId="128" applyFont="1" applyBorder="1"/>
    <xf numFmtId="39" fontId="235" fillId="0" borderId="292" xfId="4810" applyNumberFormat="1" applyFont="1" applyFill="1" applyBorder="1" applyAlignment="1">
      <alignment horizontal="center"/>
    </xf>
    <xf numFmtId="172" fontId="235" fillId="0" borderId="292" xfId="128" applyNumberFormat="1" applyFont="1" applyBorder="1" applyAlignment="1">
      <alignment horizontal="center"/>
    </xf>
    <xf numFmtId="172" fontId="235" fillId="0" borderId="382" xfId="128" applyNumberFormat="1" applyFont="1" applyBorder="1" applyAlignment="1">
      <alignment horizontal="center"/>
    </xf>
    <xf numFmtId="172" fontId="235" fillId="0" borderId="270" xfId="128" applyNumberFormat="1" applyFont="1" applyBorder="1" applyAlignment="1">
      <alignment horizontal="center"/>
    </xf>
    <xf numFmtId="172" fontId="235" fillId="0" borderId="331" xfId="128" applyNumberFormat="1" applyFont="1" applyBorder="1" applyAlignment="1">
      <alignment horizontal="center"/>
    </xf>
    <xf numFmtId="172" fontId="235" fillId="0" borderId="487" xfId="128" applyNumberFormat="1" applyFont="1" applyBorder="1" applyAlignment="1">
      <alignment horizontal="center"/>
    </xf>
    <xf numFmtId="172" fontId="235" fillId="32" borderId="330" xfId="128" applyNumberFormat="1" applyFont="1" applyFill="1" applyBorder="1" applyAlignment="1">
      <alignment horizontal="center"/>
    </xf>
    <xf numFmtId="172" fontId="234" fillId="0" borderId="329" xfId="128" applyNumberFormat="1" applyFont="1" applyBorder="1" applyAlignment="1">
      <alignment horizontal="center"/>
    </xf>
    <xf numFmtId="172" fontId="234" fillId="0" borderId="331" xfId="128" applyNumberFormat="1" applyFont="1" applyBorder="1" applyAlignment="1">
      <alignment horizontal="center"/>
    </xf>
    <xf numFmtId="171" fontId="234" fillId="32" borderId="330" xfId="4811" applyNumberFormat="1" applyFont="1" applyFill="1" applyBorder="1" applyAlignment="1">
      <alignment horizontal="center"/>
    </xf>
    <xf numFmtId="178" fontId="314" fillId="0" borderId="0" xfId="128" applyNumberFormat="1" applyFont="1"/>
    <xf numFmtId="172" fontId="235" fillId="0" borderId="329" xfId="4810" applyNumberFormat="1" applyFont="1" applyFill="1" applyBorder="1" applyAlignment="1">
      <alignment horizontal="center"/>
    </xf>
    <xf numFmtId="172" fontId="235" fillId="0" borderId="329" xfId="4809" applyNumberFormat="1" applyFont="1" applyBorder="1" applyAlignment="1">
      <alignment horizontal="center"/>
    </xf>
    <xf numFmtId="171" fontId="234" fillId="0" borderId="329" xfId="149" applyNumberFormat="1" applyFont="1" applyFill="1" applyBorder="1" applyAlignment="1">
      <alignment horizontal="center"/>
    </xf>
    <xf numFmtId="171" fontId="234" fillId="0" borderId="331" xfId="149" applyNumberFormat="1" applyFont="1" applyFill="1" applyBorder="1" applyAlignment="1">
      <alignment horizontal="center"/>
    </xf>
    <xf numFmtId="171" fontId="234" fillId="0" borderId="487" xfId="149" applyNumberFormat="1" applyFont="1" applyFill="1" applyBorder="1" applyAlignment="1">
      <alignment horizontal="center"/>
    </xf>
    <xf numFmtId="172" fontId="235" fillId="0" borderId="0" xfId="128" applyNumberFormat="1" applyFont="1"/>
    <xf numFmtId="0" fontId="235" fillId="0" borderId="90" xfId="128" applyFont="1" applyBorder="1"/>
    <xf numFmtId="172" fontId="235" fillId="0" borderId="329" xfId="4811" applyNumberFormat="1" applyFont="1" applyFill="1" applyBorder="1" applyAlignment="1">
      <alignment horizontal="center"/>
    </xf>
    <xf numFmtId="172" fontId="235" fillId="0" borderId="329" xfId="128" applyNumberFormat="1" applyFont="1" applyBorder="1" applyAlignment="1">
      <alignment horizontal="center"/>
    </xf>
    <xf numFmtId="0" fontId="234" fillId="0" borderId="90" xfId="128" applyFont="1" applyBorder="1" applyAlignment="1">
      <alignment horizontal="left" indent="1"/>
    </xf>
    <xf numFmtId="171" fontId="235" fillId="0" borderId="329" xfId="149" applyNumberFormat="1" applyFont="1" applyFill="1" applyBorder="1" applyAlignment="1">
      <alignment horizontal="center"/>
    </xf>
    <xf numFmtId="171" fontId="235" fillId="0" borderId="331" xfId="149" applyNumberFormat="1" applyFont="1" applyFill="1" applyBorder="1" applyAlignment="1">
      <alignment horizontal="center"/>
    </xf>
    <xf numFmtId="171" fontId="235" fillId="0" borderId="487" xfId="149" applyNumberFormat="1" applyFont="1" applyFill="1" applyBorder="1" applyAlignment="1">
      <alignment horizontal="center"/>
    </xf>
    <xf numFmtId="171" fontId="314" fillId="0" borderId="0" xfId="4811" applyNumberFormat="1" applyFont="1" applyFill="1"/>
    <xf numFmtId="171" fontId="235" fillId="0" borderId="0" xfId="4811" applyNumberFormat="1" applyFont="1" applyFill="1"/>
    <xf numFmtId="0" fontId="234" fillId="0" borderId="90" xfId="128" applyFont="1" applyBorder="1" applyAlignment="1">
      <alignment horizontal="left" indent="2"/>
    </xf>
    <xf numFmtId="172" fontId="234" fillId="0" borderId="329" xfId="4810" applyNumberFormat="1" applyFont="1" applyFill="1" applyBorder="1" applyAlignment="1">
      <alignment horizontal="center"/>
    </xf>
    <xf numFmtId="172" fontId="234" fillId="0" borderId="331" xfId="4810" applyNumberFormat="1" applyFont="1" applyFill="1" applyBorder="1" applyAlignment="1">
      <alignment horizontal="center"/>
    </xf>
    <xf numFmtId="171" fontId="234" fillId="0" borderId="0" xfId="4811" applyNumberFormat="1" applyFont="1" applyFill="1"/>
    <xf numFmtId="172" fontId="234" fillId="0" borderId="0" xfId="128" applyNumberFormat="1" applyFont="1"/>
    <xf numFmtId="0" fontId="234" fillId="0" borderId="0" xfId="128" applyFont="1"/>
    <xf numFmtId="0" fontId="234" fillId="0" borderId="90" xfId="128" applyFont="1" applyBorder="1" applyAlignment="1">
      <alignment horizontal="left" indent="3"/>
    </xf>
    <xf numFmtId="172" fontId="313" fillId="0" borderId="329" xfId="4810" applyNumberFormat="1" applyFont="1" applyFill="1" applyBorder="1" applyAlignment="1">
      <alignment horizontal="center"/>
    </xf>
    <xf numFmtId="172" fontId="313" fillId="0" borderId="331" xfId="4810" applyNumberFormat="1" applyFont="1" applyFill="1" applyBorder="1" applyAlignment="1">
      <alignment horizontal="center"/>
    </xf>
    <xf numFmtId="0" fontId="235" fillId="0" borderId="90" xfId="128" applyFont="1" applyBorder="1" applyAlignment="1">
      <alignment horizontal="left" indent="3"/>
    </xf>
    <xf numFmtId="175" fontId="235" fillId="0" borderId="329" xfId="128" applyNumberFormat="1" applyFont="1" applyBorder="1" applyAlignment="1">
      <alignment horizontal="center"/>
    </xf>
    <xf numFmtId="175" fontId="235" fillId="0" borderId="455" xfId="128" applyNumberFormat="1" applyFont="1" applyBorder="1" applyAlignment="1">
      <alignment horizontal="center"/>
    </xf>
    <xf numFmtId="171" fontId="235" fillId="32" borderId="330" xfId="4811" applyNumberFormat="1" applyFont="1" applyFill="1" applyBorder="1" applyAlignment="1">
      <alignment horizontal="center"/>
    </xf>
    <xf numFmtId="175" fontId="235" fillId="0" borderId="0" xfId="128" applyNumberFormat="1" applyFont="1" applyAlignment="1">
      <alignment horizontal="center"/>
    </xf>
    <xf numFmtId="172" fontId="312" fillId="0" borderId="329" xfId="4810" applyNumberFormat="1" applyFont="1" applyFill="1" applyBorder="1" applyAlignment="1">
      <alignment horizontal="center"/>
    </xf>
    <xf numFmtId="172" fontId="312" fillId="0" borderId="487" xfId="4810" applyNumberFormat="1" applyFont="1" applyFill="1" applyBorder="1" applyAlignment="1">
      <alignment horizontal="center"/>
    </xf>
    <xf numFmtId="178" fontId="282" fillId="0" borderId="0" xfId="128" applyNumberFormat="1" applyFont="1"/>
    <xf numFmtId="175" fontId="235" fillId="0" borderId="331" xfId="128" applyNumberFormat="1" applyFont="1" applyBorder="1" applyAlignment="1">
      <alignment horizontal="center"/>
    </xf>
    <xf numFmtId="175" fontId="235" fillId="0" borderId="487" xfId="128" applyNumberFormat="1" applyFont="1" applyBorder="1" applyAlignment="1">
      <alignment horizontal="center"/>
    </xf>
    <xf numFmtId="0" fontId="315" fillId="0" borderId="90" xfId="128" applyFont="1" applyBorder="1" applyAlignment="1">
      <alignment horizontal="left" indent="3"/>
    </xf>
    <xf numFmtId="171" fontId="314" fillId="0" borderId="329" xfId="149" applyNumberFormat="1" applyFont="1" applyFill="1" applyBorder="1" applyAlignment="1">
      <alignment horizontal="center"/>
    </xf>
    <xf numFmtId="172" fontId="314" fillId="0" borderId="331" xfId="149" applyNumberFormat="1" applyFont="1" applyFill="1" applyBorder="1" applyAlignment="1">
      <alignment horizontal="center"/>
    </xf>
    <xf numFmtId="172" fontId="314" fillId="0" borderId="329" xfId="149" applyNumberFormat="1" applyFont="1" applyFill="1" applyBorder="1" applyAlignment="1">
      <alignment horizontal="center"/>
    </xf>
    <xf numFmtId="172" fontId="314" fillId="0" borderId="487" xfId="149" applyNumberFormat="1" applyFont="1" applyFill="1" applyBorder="1" applyAlignment="1">
      <alignment horizontal="center"/>
    </xf>
    <xf numFmtId="10" fontId="235" fillId="0" borderId="329" xfId="149" applyNumberFormat="1" applyFont="1" applyFill="1" applyBorder="1" applyAlignment="1">
      <alignment horizontal="center"/>
    </xf>
    <xf numFmtId="10" fontId="235" fillId="0" borderId="331" xfId="149" applyNumberFormat="1" applyFont="1" applyFill="1" applyBorder="1" applyAlignment="1">
      <alignment horizontal="center"/>
    </xf>
    <xf numFmtId="10" fontId="235" fillId="0" borderId="487" xfId="149" applyNumberFormat="1" applyFont="1" applyFill="1" applyBorder="1" applyAlignment="1">
      <alignment horizontal="center"/>
    </xf>
    <xf numFmtId="10" fontId="314" fillId="0" borderId="0" xfId="4811" applyNumberFormat="1" applyFont="1" applyFill="1"/>
    <xf numFmtId="175" fontId="234" fillId="0" borderId="0" xfId="128" applyNumberFormat="1" applyFont="1" applyAlignment="1">
      <alignment horizontal="center"/>
    </xf>
    <xf numFmtId="175" fontId="234" fillId="0" borderId="329" xfId="128" applyNumberFormat="1" applyFont="1" applyBorder="1" applyAlignment="1">
      <alignment horizontal="center"/>
    </xf>
    <xf numFmtId="175" fontId="234" fillId="0" borderId="331" xfId="128" applyNumberFormat="1" applyFont="1" applyBorder="1" applyAlignment="1">
      <alignment horizontal="center"/>
    </xf>
    <xf numFmtId="175" fontId="234" fillId="0" borderId="487" xfId="128" applyNumberFormat="1" applyFont="1" applyBorder="1" applyAlignment="1">
      <alignment horizontal="center"/>
    </xf>
    <xf numFmtId="0" fontId="279" fillId="0" borderId="90" xfId="144" applyFont="1" applyBorder="1" applyAlignment="1">
      <alignment horizontal="left" vertical="center"/>
    </xf>
    <xf numFmtId="172" fontId="234" fillId="0" borderId="487" xfId="128" applyNumberFormat="1" applyFont="1" applyBorder="1" applyAlignment="1">
      <alignment horizontal="center"/>
    </xf>
    <xf numFmtId="172" fontId="234" fillId="32" borderId="330" xfId="128" applyNumberFormat="1" applyFont="1" applyFill="1" applyBorder="1" applyAlignment="1">
      <alignment horizontal="center"/>
    </xf>
    <xf numFmtId="0" fontId="235" fillId="0" borderId="57" xfId="128" applyFont="1" applyBorder="1"/>
    <xf numFmtId="0" fontId="235" fillId="0" borderId="293" xfId="128" applyFont="1" applyBorder="1"/>
    <xf numFmtId="0" fontId="235" fillId="0" borderId="292" xfId="128" applyFont="1" applyBorder="1" applyAlignment="1">
      <alignment horizontal="center"/>
    </xf>
    <xf numFmtId="0" fontId="235" fillId="0" borderId="321" xfId="128" applyFont="1" applyBorder="1" applyAlignment="1">
      <alignment horizontal="center"/>
    </xf>
    <xf numFmtId="174" fontId="235" fillId="0" borderId="321" xfId="4810" applyNumberFormat="1" applyFont="1" applyFill="1" applyBorder="1" applyAlignment="1">
      <alignment horizontal="center"/>
    </xf>
    <xf numFmtId="174" fontId="235" fillId="0" borderId="171" xfId="4810" applyNumberFormat="1" applyFont="1" applyFill="1" applyBorder="1" applyAlignment="1">
      <alignment horizontal="center"/>
    </xf>
    <xf numFmtId="174" fontId="235" fillId="0" borderId="292" xfId="4810" applyNumberFormat="1" applyFont="1" applyFill="1" applyBorder="1" applyAlignment="1">
      <alignment horizontal="center"/>
    </xf>
    <xf numFmtId="174" fontId="282" fillId="0" borderId="321" xfId="4810" applyNumberFormat="1" applyFont="1" applyFill="1" applyBorder="1" applyAlignment="1">
      <alignment horizontal="center"/>
    </xf>
    <xf numFmtId="174" fontId="282" fillId="0" borderId="302" xfId="4810" applyNumberFormat="1" applyFont="1" applyFill="1" applyBorder="1" applyAlignment="1">
      <alignment horizontal="center"/>
    </xf>
    <xf numFmtId="174" fontId="282" fillId="0" borderId="382" xfId="4810" applyNumberFormat="1" applyFont="1" applyFill="1" applyBorder="1" applyAlignment="1">
      <alignment horizontal="center"/>
    </xf>
    <xf numFmtId="171" fontId="282" fillId="0" borderId="270" xfId="149" applyNumberFormat="1" applyFont="1" applyFill="1" applyBorder="1" applyAlignment="1">
      <alignment horizontal="center"/>
    </xf>
    <xf numFmtId="171" fontId="282" fillId="0" borderId="438" xfId="149" applyNumberFormat="1" applyFont="1" applyFill="1" applyBorder="1" applyAlignment="1">
      <alignment horizontal="center"/>
    </xf>
    <xf numFmtId="174" fontId="282" fillId="32" borderId="104" xfId="4810" applyNumberFormat="1" applyFont="1" applyFill="1" applyBorder="1" applyAlignment="1">
      <alignment horizontal="center"/>
    </xf>
    <xf numFmtId="0" fontId="234" fillId="0" borderId="204" xfId="128" applyFont="1" applyBorder="1" applyAlignment="1">
      <alignment horizontal="left"/>
    </xf>
    <xf numFmtId="171" fontId="234" fillId="0" borderId="296" xfId="4811" applyNumberFormat="1" applyFont="1" applyFill="1" applyBorder="1" applyAlignment="1">
      <alignment horizontal="center"/>
    </xf>
    <xf numFmtId="171" fontId="234" fillId="0" borderId="360" xfId="4811" applyNumberFormat="1" applyFont="1" applyFill="1" applyBorder="1" applyAlignment="1">
      <alignment horizontal="center"/>
    </xf>
    <xf numFmtId="171" fontId="234" fillId="32" borderId="206" xfId="4811" applyNumberFormat="1" applyFont="1" applyFill="1" applyBorder="1" applyAlignment="1">
      <alignment horizontal="center"/>
    </xf>
    <xf numFmtId="0" fontId="234" fillId="0" borderId="293" xfId="128" applyFont="1" applyBorder="1" applyAlignment="1">
      <alignment horizontal="left"/>
    </xf>
    <xf numFmtId="171" fontId="234" fillId="0" borderId="480" xfId="4811" applyNumberFormat="1" applyFont="1" applyFill="1" applyBorder="1" applyAlignment="1">
      <alignment horizontal="center"/>
    </xf>
    <xf numFmtId="171" fontId="234" fillId="32" borderId="488" xfId="4811" applyNumberFormat="1" applyFont="1" applyFill="1" applyBorder="1" applyAlignment="1">
      <alignment horizontal="center"/>
    </xf>
    <xf numFmtId="0" fontId="235" fillId="0" borderId="293" xfId="128" applyFont="1" applyBorder="1" applyAlignment="1">
      <alignment horizontal="left"/>
    </xf>
    <xf numFmtId="175" fontId="312" fillId="0" borderId="480" xfId="128" applyNumberFormat="1" applyFont="1" applyBorder="1" applyAlignment="1">
      <alignment horizontal="center"/>
    </xf>
    <xf numFmtId="0" fontId="235" fillId="0" borderId="90" xfId="128" applyFont="1" applyBorder="1" applyAlignment="1">
      <alignment horizontal="left"/>
    </xf>
    <xf numFmtId="175" fontId="312" fillId="0" borderId="455" xfId="128" applyNumberFormat="1" applyFont="1" applyBorder="1" applyAlignment="1">
      <alignment horizontal="center"/>
    </xf>
    <xf numFmtId="0" fontId="234" fillId="0" borderId="308" xfId="128" applyFont="1" applyBorder="1" applyAlignment="1">
      <alignment horizontal="left"/>
    </xf>
    <xf numFmtId="175" fontId="313" fillId="0" borderId="357" xfId="128" applyNumberFormat="1" applyFont="1" applyBorder="1" applyAlignment="1">
      <alignment horizontal="center"/>
    </xf>
    <xf numFmtId="171" fontId="234" fillId="32" borderId="359" xfId="4811" applyNumberFormat="1" applyFont="1" applyFill="1" applyBorder="1" applyAlignment="1">
      <alignment horizontal="center"/>
    </xf>
    <xf numFmtId="0" fontId="315" fillId="0" borderId="0" xfId="128" applyFont="1"/>
    <xf numFmtId="0" fontId="315" fillId="0" borderId="0" xfId="128" applyFont="1" applyAlignment="1">
      <alignment horizontal="center"/>
    </xf>
    <xf numFmtId="172" fontId="316" fillId="0" borderId="0" xfId="128" applyNumberFormat="1" applyFont="1" applyAlignment="1">
      <alignment horizontal="center"/>
    </xf>
    <xf numFmtId="0" fontId="317" fillId="0" borderId="0" xfId="128" applyFont="1"/>
    <xf numFmtId="178" fontId="315" fillId="0" borderId="0" xfId="4810" applyNumberFormat="1" applyFont="1" applyFill="1" applyBorder="1" applyAlignment="1">
      <alignment horizontal="center"/>
    </xf>
    <xf numFmtId="9" fontId="316" fillId="0" borderId="0" xfId="4811" applyFont="1" applyFill="1" applyAlignment="1">
      <alignment horizontal="center"/>
    </xf>
    <xf numFmtId="0" fontId="315" fillId="0" borderId="0" xfId="122" applyFont="1"/>
    <xf numFmtId="0" fontId="318" fillId="0" borderId="0" xfId="128" applyFont="1" applyAlignment="1">
      <alignment horizontal="center"/>
    </xf>
    <xf numFmtId="0" fontId="316" fillId="0" borderId="0" xfId="128" applyFont="1" applyAlignment="1">
      <alignment horizontal="center"/>
    </xf>
    <xf numFmtId="3" fontId="316" fillId="0" borderId="0" xfId="128" applyNumberFormat="1" applyFont="1" applyAlignment="1">
      <alignment horizontal="center"/>
    </xf>
    <xf numFmtId="0" fontId="316" fillId="0" borderId="0" xfId="128" applyFont="1"/>
    <xf numFmtId="0" fontId="235" fillId="0" borderId="0" xfId="128" applyFont="1" applyAlignment="1">
      <alignment horizontal="center"/>
    </xf>
    <xf numFmtId="39" fontId="235" fillId="0" borderId="0" xfId="128" applyNumberFormat="1" applyFont="1" applyAlignment="1">
      <alignment horizontal="center"/>
    </xf>
    <xf numFmtId="3" fontId="235" fillId="0" borderId="0" xfId="128" applyNumberFormat="1" applyFont="1" applyAlignment="1">
      <alignment horizontal="center"/>
    </xf>
    <xf numFmtId="172" fontId="234" fillId="0" borderId="0" xfId="128" applyNumberFormat="1" applyFont="1" applyAlignment="1">
      <alignment horizontal="center"/>
    </xf>
    <xf numFmtId="39" fontId="234" fillId="0" borderId="0" xfId="128" applyNumberFormat="1" applyFont="1" applyAlignment="1">
      <alignment horizontal="center"/>
    </xf>
    <xf numFmtId="3" fontId="234" fillId="0" borderId="0" xfId="128" applyNumberFormat="1" applyFont="1" applyAlignment="1">
      <alignment horizontal="center"/>
    </xf>
    <xf numFmtId="3" fontId="319" fillId="0" borderId="0" xfId="128" applyNumberFormat="1" applyFont="1" applyAlignment="1">
      <alignment horizontal="center"/>
    </xf>
    <xf numFmtId="171" fontId="234" fillId="0" borderId="0" xfId="4811" applyNumberFormat="1" applyFont="1" applyFill="1" applyAlignment="1">
      <alignment horizontal="center"/>
    </xf>
    <xf numFmtId="0" fontId="234" fillId="0" borderId="0" xfId="128" applyFont="1" applyAlignment="1">
      <alignment horizontal="center"/>
    </xf>
    <xf numFmtId="0" fontId="281" fillId="0" borderId="0" xfId="128" applyFont="1"/>
    <xf numFmtId="43" fontId="281" fillId="0" borderId="0" xfId="4810" applyFont="1" applyFill="1" applyAlignment="1">
      <alignment horizontal="center"/>
    </xf>
    <xf numFmtId="10" fontId="234" fillId="0" borderId="0" xfId="4811" applyNumberFormat="1" applyFont="1" applyFill="1" applyAlignment="1">
      <alignment horizontal="center"/>
    </xf>
    <xf numFmtId="2" fontId="317" fillId="0" borderId="0" xfId="128" applyNumberFormat="1" applyFont="1"/>
    <xf numFmtId="2" fontId="317" fillId="0" borderId="0" xfId="128" applyNumberFormat="1" applyFont="1" applyAlignment="1">
      <alignment horizontal="center"/>
    </xf>
    <xf numFmtId="171" fontId="235" fillId="0" borderId="0" xfId="4811" applyNumberFormat="1" applyFont="1" applyFill="1" applyAlignment="1">
      <alignment horizontal="center"/>
    </xf>
    <xf numFmtId="3" fontId="235" fillId="0" borderId="0" xfId="4811" applyNumberFormat="1" applyFont="1" applyFill="1" applyAlignment="1">
      <alignment horizontal="center"/>
    </xf>
    <xf numFmtId="3" fontId="316" fillId="0" borderId="0" xfId="4811" applyNumberFormat="1" applyFont="1" applyFill="1" applyAlignment="1">
      <alignment horizontal="center"/>
    </xf>
    <xf numFmtId="9" fontId="235" fillId="0" borderId="0" xfId="4811" applyFont="1" applyFill="1" applyAlignment="1">
      <alignment horizontal="center"/>
    </xf>
    <xf numFmtId="0" fontId="147" fillId="0" borderId="381" xfId="122" applyFont="1" applyBorder="1" applyAlignment="1">
      <alignment horizontal="center" vertical="top" wrapText="1"/>
    </xf>
    <xf numFmtId="0" fontId="146" fillId="0" borderId="497" xfId="122" applyFont="1" applyBorder="1"/>
    <xf numFmtId="0" fontId="146" fillId="0" borderId="116" xfId="122" applyFont="1" applyBorder="1"/>
    <xf numFmtId="0" fontId="146" fillId="0" borderId="167" xfId="122" applyFont="1" applyBorder="1"/>
    <xf numFmtId="0" fontId="147" fillId="0" borderId="114" xfId="122" applyFont="1" applyBorder="1" applyAlignment="1">
      <alignment horizontal="center" vertical="top"/>
    </xf>
    <xf numFmtId="0" fontId="146" fillId="0" borderId="69" xfId="122" applyFont="1" applyBorder="1"/>
    <xf numFmtId="0" fontId="150" fillId="0" borderId="0" xfId="122" applyFont="1" applyAlignment="1">
      <alignment horizontal="left" indent="2"/>
    </xf>
    <xf numFmtId="0" fontId="170" fillId="26" borderId="176" xfId="122" applyFont="1" applyFill="1" applyBorder="1" applyAlignment="1">
      <alignment horizontal="center"/>
    </xf>
    <xf numFmtId="0" fontId="168" fillId="0" borderId="57" xfId="122" applyFont="1" applyBorder="1"/>
    <xf numFmtId="172" fontId="168" fillId="0" borderId="329" xfId="57" applyNumberFormat="1" applyFont="1" applyFill="1" applyBorder="1" applyAlignment="1">
      <alignment horizontal="center" vertical="center"/>
    </xf>
    <xf numFmtId="0" fontId="167" fillId="0" borderId="57" xfId="122" applyFont="1" applyBorder="1" applyAlignment="1">
      <alignment horizontal="left" indent="1"/>
    </xf>
    <xf numFmtId="172" fontId="167" fillId="0" borderId="329" xfId="57" applyNumberFormat="1" applyFont="1" applyFill="1" applyBorder="1" applyAlignment="1">
      <alignment horizontal="center" vertical="center"/>
    </xf>
    <xf numFmtId="0" fontId="171" fillId="0" borderId="0" xfId="5674" applyFont="1"/>
    <xf numFmtId="0" fontId="170" fillId="26" borderId="413" xfId="124" applyFont="1" applyFill="1" applyBorder="1"/>
    <xf numFmtId="0" fontId="167" fillId="26" borderId="413" xfId="124" applyFont="1" applyFill="1" applyBorder="1" applyAlignment="1">
      <alignment horizontal="left" indent="1"/>
    </xf>
    <xf numFmtId="0" fontId="168" fillId="0" borderId="57" xfId="122" applyFont="1" applyBorder="1" applyAlignment="1">
      <alignment horizontal="left" indent="1"/>
    </xf>
    <xf numFmtId="0" fontId="167" fillId="0" borderId="57" xfId="122" applyFont="1" applyBorder="1"/>
    <xf numFmtId="0" fontId="168" fillId="0" borderId="57" xfId="122" applyFont="1" applyBorder="1" applyAlignment="1">
      <alignment horizontal="left" indent="2"/>
    </xf>
    <xf numFmtId="0" fontId="170" fillId="0" borderId="57" xfId="122" applyFont="1" applyBorder="1" applyAlignment="1">
      <alignment horizontal="left" indent="3"/>
    </xf>
    <xf numFmtId="0" fontId="170" fillId="0" borderId="57" xfId="122" applyFont="1" applyBorder="1" applyAlignment="1">
      <alignment horizontal="left" indent="4"/>
    </xf>
    <xf numFmtId="0" fontId="167" fillId="0" borderId="57" xfId="122" applyFont="1" applyBorder="1" applyAlignment="1">
      <alignment horizontal="left" indent="5"/>
    </xf>
    <xf numFmtId="0" fontId="167" fillId="0" borderId="57" xfId="122" applyFont="1" applyBorder="1" applyAlignment="1">
      <alignment horizontal="left" indent="4"/>
    </xf>
    <xf numFmtId="0" fontId="171" fillId="0" borderId="57" xfId="122" applyFont="1" applyBorder="1" applyAlignment="1">
      <alignment horizontal="left" indent="3"/>
    </xf>
    <xf numFmtId="0" fontId="167" fillId="0" borderId="57" xfId="122" applyFont="1" applyBorder="1" applyAlignment="1">
      <alignment horizontal="left" wrapText="1" indent="5"/>
    </xf>
    <xf numFmtId="0" fontId="170" fillId="0" borderId="57" xfId="122" applyFont="1" applyBorder="1" applyAlignment="1">
      <alignment horizontal="left" indent="2"/>
    </xf>
    <xf numFmtId="0" fontId="167" fillId="0" borderId="57" xfId="122" applyFont="1" applyBorder="1" applyAlignment="1">
      <alignment horizontal="left" indent="3"/>
    </xf>
    <xf numFmtId="0" fontId="170" fillId="0" borderId="57" xfId="122" applyFont="1" applyBorder="1" applyAlignment="1">
      <alignment horizontal="left"/>
    </xf>
    <xf numFmtId="4" fontId="167" fillId="0" borderId="329" xfId="57" applyNumberFormat="1" applyFont="1" applyFill="1" applyBorder="1" applyAlignment="1">
      <alignment horizontal="center" vertical="center"/>
    </xf>
    <xf numFmtId="0" fontId="167" fillId="26" borderId="308" xfId="122" applyFont="1" applyFill="1" applyBorder="1"/>
    <xf numFmtId="0" fontId="167" fillId="26" borderId="357" xfId="122" applyFont="1" applyFill="1" applyBorder="1"/>
    <xf numFmtId="0" fontId="167" fillId="26" borderId="0" xfId="122" applyFont="1" applyFill="1"/>
    <xf numFmtId="43" fontId="167" fillId="28" borderId="0" xfId="122" applyNumberFormat="1" applyFont="1" applyFill="1"/>
    <xf numFmtId="0" fontId="170" fillId="26" borderId="413" xfId="124" applyFont="1" applyFill="1" applyBorder="1" applyAlignment="1">
      <alignment horizontal="left" indent="1"/>
    </xf>
    <xf numFmtId="0" fontId="167" fillId="26" borderId="413" xfId="124" applyFont="1" applyFill="1" applyBorder="1"/>
    <xf numFmtId="0" fontId="170" fillId="26" borderId="413" xfId="124" applyFont="1" applyFill="1" applyBorder="1" applyAlignment="1">
      <alignment horizontal="left" indent="2"/>
    </xf>
    <xf numFmtId="0" fontId="170" fillId="26" borderId="413" xfId="124" applyFont="1" applyFill="1" applyBorder="1" applyAlignment="1">
      <alignment horizontal="left" indent="3"/>
    </xf>
    <xf numFmtId="0" fontId="170" fillId="26" borderId="413" xfId="124" applyFont="1" applyFill="1" applyBorder="1" applyAlignment="1">
      <alignment horizontal="left" indent="4"/>
    </xf>
    <xf numFmtId="0" fontId="167" fillId="26" borderId="413" xfId="124" applyFont="1" applyFill="1" applyBorder="1" applyAlignment="1">
      <alignment horizontal="left" indent="5"/>
    </xf>
    <xf numFmtId="0" fontId="167" fillId="26" borderId="413" xfId="124" applyFont="1" applyFill="1" applyBorder="1" applyAlignment="1">
      <alignment horizontal="left" indent="4"/>
    </xf>
    <xf numFmtId="0" fontId="171" fillId="26" borderId="413" xfId="124" applyFont="1" applyFill="1" applyBorder="1" applyAlignment="1">
      <alignment horizontal="left" indent="3"/>
    </xf>
    <xf numFmtId="0" fontId="167" fillId="26" borderId="413" xfId="124" applyFont="1" applyFill="1" applyBorder="1" applyAlignment="1">
      <alignment horizontal="left" indent="3"/>
    </xf>
    <xf numFmtId="0" fontId="170" fillId="26" borderId="413" xfId="124" applyFont="1" applyFill="1" applyBorder="1" applyAlignment="1">
      <alignment horizontal="left"/>
    </xf>
    <xf numFmtId="0" fontId="320" fillId="0" borderId="0" xfId="122" applyFont="1" applyAlignment="1">
      <alignment wrapText="1"/>
    </xf>
    <xf numFmtId="0" fontId="138" fillId="0" borderId="0" xfId="830" applyFont="1"/>
    <xf numFmtId="171" fontId="138" fillId="0" borderId="0" xfId="5090" applyNumberFormat="1" applyFont="1"/>
    <xf numFmtId="0" fontId="323" fillId="0" borderId="174" xfId="4807" applyFont="1" applyBorder="1" applyAlignment="1">
      <alignment horizontal="right"/>
    </xf>
    <xf numFmtId="0" fontId="137" fillId="0" borderId="402" xfId="122" applyFont="1" applyBorder="1" applyAlignment="1">
      <alignment horizontal="center" vertical="center"/>
    </xf>
    <xf numFmtId="0" fontId="137" fillId="0" borderId="189" xfId="122" applyFont="1" applyBorder="1" applyAlignment="1">
      <alignment horizontal="center" vertical="center"/>
    </xf>
    <xf numFmtId="0" fontId="137" fillId="32" borderId="214" xfId="122" applyFont="1" applyFill="1" applyBorder="1" applyAlignment="1">
      <alignment horizontal="center" vertical="center" wrapText="1"/>
    </xf>
    <xf numFmtId="0" fontId="137" fillId="32" borderId="272" xfId="122" applyFont="1" applyFill="1" applyBorder="1" applyAlignment="1">
      <alignment horizontal="center" vertical="center" wrapText="1"/>
    </xf>
    <xf numFmtId="49" fontId="144" fillId="0" borderId="56" xfId="830" applyNumberFormat="1" applyFont="1" applyBorder="1" applyAlignment="1">
      <alignment wrapText="1"/>
    </xf>
    <xf numFmtId="175" fontId="137" fillId="0" borderId="252" xfId="57" applyNumberFormat="1" applyFont="1" applyBorder="1" applyAlignment="1">
      <alignment horizontal="center"/>
    </xf>
    <xf numFmtId="175" fontId="137" fillId="0" borderId="487" xfId="57" applyNumberFormat="1" applyFont="1" applyBorder="1" applyAlignment="1">
      <alignment horizontal="center"/>
    </xf>
    <xf numFmtId="171" fontId="144" fillId="32" borderId="331" xfId="149" applyNumberFormat="1" applyFont="1" applyFill="1" applyBorder="1" applyAlignment="1">
      <alignment horizontal="center"/>
    </xf>
    <xf numFmtId="171" fontId="144" fillId="32" borderId="330" xfId="5090" applyNumberFormat="1" applyFont="1" applyFill="1" applyBorder="1" applyAlignment="1">
      <alignment horizontal="center"/>
    </xf>
    <xf numFmtId="49" fontId="145" fillId="0" borderId="56" xfId="830" applyNumberFormat="1" applyFont="1" applyBorder="1" applyAlignment="1">
      <alignment wrapText="1"/>
    </xf>
    <xf numFmtId="175" fontId="138" fillId="0" borderId="252" xfId="57" applyNumberFormat="1" applyFont="1" applyBorder="1" applyAlignment="1">
      <alignment horizontal="center"/>
    </xf>
    <xf numFmtId="175" fontId="138" fillId="0" borderId="487" xfId="57" applyNumberFormat="1" applyFont="1" applyBorder="1" applyAlignment="1">
      <alignment horizontal="center"/>
    </xf>
    <xf numFmtId="0" fontId="137" fillId="0" borderId="0" xfId="830" applyFont="1"/>
    <xf numFmtId="49" fontId="144" fillId="0" borderId="56" xfId="830" applyNumberFormat="1" applyFont="1" applyBorder="1" applyAlignment="1">
      <alignment vertical="center" wrapText="1"/>
    </xf>
    <xf numFmtId="175" fontId="137" fillId="0" borderId="252" xfId="57" applyNumberFormat="1" applyFont="1" applyBorder="1" applyAlignment="1">
      <alignment horizontal="center" vertical="center"/>
    </xf>
    <xf numFmtId="175" fontId="137" fillId="0" borderId="487" xfId="57" applyNumberFormat="1" applyFont="1" applyBorder="1" applyAlignment="1">
      <alignment horizontal="center" vertical="center"/>
    </xf>
    <xf numFmtId="171" fontId="144" fillId="32" borderId="331" xfId="149" applyNumberFormat="1" applyFont="1" applyFill="1" applyBorder="1" applyAlignment="1">
      <alignment horizontal="center" vertical="center"/>
    </xf>
    <xf numFmtId="171" fontId="144" fillId="32" borderId="330" xfId="5090" applyNumberFormat="1" applyFont="1" applyFill="1" applyBorder="1" applyAlignment="1">
      <alignment horizontal="center" vertical="center"/>
    </xf>
    <xf numFmtId="0" fontId="137" fillId="0" borderId="0" xfId="830" applyFont="1" applyAlignment="1">
      <alignment vertical="center"/>
    </xf>
    <xf numFmtId="49" fontId="144" fillId="0" borderId="174" xfId="830" applyNumberFormat="1" applyFont="1" applyBorder="1" applyAlignment="1">
      <alignment wrapText="1"/>
    </xf>
    <xf numFmtId="174" fontId="137" fillId="0" borderId="402" xfId="57" applyNumberFormat="1" applyFont="1" applyBorder="1" applyAlignment="1">
      <alignment horizontal="center"/>
    </xf>
    <xf numFmtId="174" fontId="137" fillId="0" borderId="402" xfId="57" applyNumberFormat="1" applyFont="1" applyBorder="1" applyAlignment="1">
      <alignment vertical="center"/>
    </xf>
    <xf numFmtId="174" fontId="137" fillId="0" borderId="402" xfId="57" applyNumberFormat="1" applyFont="1" applyBorder="1" applyAlignment="1"/>
    <xf numFmtId="171" fontId="144" fillId="32" borderId="436" xfId="149" applyNumberFormat="1" applyFont="1" applyFill="1" applyBorder="1" applyAlignment="1">
      <alignment horizontal="center"/>
    </xf>
    <xf numFmtId="171" fontId="144" fillId="32" borderId="403" xfId="5090" applyNumberFormat="1" applyFont="1" applyFill="1" applyBorder="1" applyAlignment="1">
      <alignment horizontal="center"/>
    </xf>
    <xf numFmtId="0" fontId="139" fillId="0" borderId="0" xfId="830" applyFont="1"/>
    <xf numFmtId="37" fontId="321" fillId="0" borderId="0" xfId="5091" applyFont="1"/>
    <xf numFmtId="0" fontId="324" fillId="0" borderId="0" xfId="0" applyFont="1"/>
    <xf numFmtId="0" fontId="300" fillId="0" borderId="0" xfId="124" applyFont="1"/>
    <xf numFmtId="171" fontId="300" fillId="0" borderId="56" xfId="149" applyNumberFormat="1" applyFont="1" applyBorder="1"/>
    <xf numFmtId="0" fontId="322" fillId="0" borderId="0" xfId="124" applyFont="1"/>
    <xf numFmtId="0" fontId="326" fillId="0" borderId="0" xfId="124" applyFont="1"/>
    <xf numFmtId="0" fontId="325" fillId="0" borderId="354" xfId="124" applyFont="1" applyBorder="1" applyAlignment="1">
      <alignment horizontal="center"/>
    </xf>
    <xf numFmtId="0" fontId="326" fillId="0" borderId="354" xfId="124" applyFont="1" applyBorder="1"/>
    <xf numFmtId="0" fontId="326" fillId="0" borderId="0" xfId="124" applyFont="1" applyAlignment="1">
      <alignment horizontal="center"/>
    </xf>
    <xf numFmtId="0" fontId="325" fillId="0" borderId="68" xfId="124" applyFont="1" applyBorder="1"/>
    <xf numFmtId="0" fontId="325" fillId="0" borderId="347" xfId="124" applyFont="1" applyBorder="1" applyAlignment="1">
      <alignment horizontal="center"/>
    </xf>
    <xf numFmtId="0" fontId="327" fillId="0" borderId="173" xfId="124" applyFont="1" applyBorder="1" applyAlignment="1">
      <alignment horizontal="center"/>
    </xf>
    <xf numFmtId="0" fontId="325" fillId="0" borderId="173" xfId="124" applyFont="1" applyBorder="1" applyAlignment="1">
      <alignment horizontal="center"/>
    </xf>
    <xf numFmtId="0" fontId="325" fillId="0" borderId="102" xfId="124" applyFont="1" applyBorder="1" applyAlignment="1">
      <alignment horizontal="center"/>
    </xf>
    <xf numFmtId="0" fontId="325" fillId="0" borderId="189" xfId="124" applyFont="1" applyBorder="1" applyAlignment="1">
      <alignment horizontal="center"/>
    </xf>
    <xf numFmtId="0" fontId="325" fillId="0" borderId="488" xfId="124" applyFont="1" applyBorder="1" applyAlignment="1">
      <alignment horizontal="center"/>
    </xf>
    <xf numFmtId="0" fontId="325" fillId="0" borderId="167" xfId="124" applyFont="1" applyBorder="1"/>
    <xf numFmtId="0" fontId="326" fillId="0" borderId="481" xfId="124" applyFont="1" applyBorder="1"/>
    <xf numFmtId="0" fontId="326" fillId="0" borderId="292" xfId="124" applyFont="1" applyBorder="1"/>
    <xf numFmtId="0" fontId="326" fillId="0" borderId="480" xfId="124" applyFont="1" applyBorder="1"/>
    <xf numFmtId="0" fontId="326" fillId="0" borderId="172" xfId="124" applyFont="1" applyBorder="1" applyAlignment="1">
      <alignment horizontal="center"/>
    </xf>
    <xf numFmtId="0" fontId="328" fillId="0" borderId="0" xfId="124" applyFont="1"/>
    <xf numFmtId="0" fontId="325" fillId="0" borderId="69" xfId="124" applyFont="1" applyBorder="1"/>
    <xf numFmtId="175" fontId="325" fillId="0" borderId="116" xfId="124" applyNumberFormat="1" applyFont="1" applyBorder="1" applyAlignment="1">
      <alignment horizontal="center"/>
    </xf>
    <xf numFmtId="175" fontId="325" fillId="0" borderId="455" xfId="124" applyNumberFormat="1" applyFont="1" applyBorder="1" applyAlignment="1">
      <alignment horizontal="center"/>
    </xf>
    <xf numFmtId="175" fontId="325" fillId="0" borderId="0" xfId="124" applyNumberFormat="1" applyFont="1" applyAlignment="1">
      <alignment horizontal="center"/>
    </xf>
    <xf numFmtId="175" fontId="325" fillId="0" borderId="198" xfId="124" applyNumberFormat="1" applyFont="1" applyBorder="1" applyAlignment="1">
      <alignment horizontal="center"/>
    </xf>
    <xf numFmtId="175" fontId="325" fillId="0" borderId="466" xfId="124" applyNumberFormat="1" applyFont="1" applyBorder="1" applyAlignment="1">
      <alignment horizontal="center"/>
    </xf>
    <xf numFmtId="171" fontId="328" fillId="0" borderId="0" xfId="149" applyNumberFormat="1" applyFont="1"/>
    <xf numFmtId="175" fontId="326" fillId="0" borderId="0" xfId="124" applyNumberFormat="1" applyFont="1"/>
    <xf numFmtId="0" fontId="326" fillId="0" borderId="69" xfId="124" applyFont="1" applyBorder="1"/>
    <xf numFmtId="175" fontId="326" fillId="0" borderId="116" xfId="124" applyNumberFormat="1" applyFont="1" applyBorder="1" applyAlignment="1">
      <alignment horizontal="center"/>
    </xf>
    <xf numFmtId="175" fontId="326" fillId="0" borderId="455" xfId="124" applyNumberFormat="1" applyFont="1" applyBorder="1"/>
    <xf numFmtId="0" fontId="326" fillId="0" borderId="455" xfId="124" applyFont="1" applyBorder="1"/>
    <xf numFmtId="175" fontId="326" fillId="0" borderId="466" xfId="122" applyNumberFormat="1" applyFont="1" applyBorder="1" applyAlignment="1">
      <alignment horizontal="center"/>
    </xf>
    <xf numFmtId="175" fontId="326" fillId="0" borderId="455" xfId="124" applyNumberFormat="1" applyFont="1" applyBorder="1" applyAlignment="1">
      <alignment horizontal="center"/>
    </xf>
    <xf numFmtId="171" fontId="328" fillId="0" borderId="0" xfId="149" applyNumberFormat="1" applyFont="1" applyAlignment="1">
      <alignment horizontal="center"/>
    </xf>
    <xf numFmtId="175" fontId="326" fillId="0" borderId="28" xfId="124" applyNumberFormat="1" applyFont="1" applyBorder="1"/>
    <xf numFmtId="175" fontId="326" fillId="0" borderId="418" xfId="124" applyNumberFormat="1" applyFont="1" applyBorder="1"/>
    <xf numFmtId="175" fontId="326" fillId="0" borderId="419" xfId="122" applyNumberFormat="1" applyFont="1" applyBorder="1" applyAlignment="1">
      <alignment horizontal="center"/>
    </xf>
    <xf numFmtId="0" fontId="325" fillId="0" borderId="301" xfId="124" applyFont="1" applyBorder="1"/>
    <xf numFmtId="175" fontId="325" fillId="0" borderId="486" xfId="124" applyNumberFormat="1" applyFont="1" applyBorder="1" applyAlignment="1">
      <alignment horizontal="center"/>
    </xf>
    <xf numFmtId="175" fontId="325" fillId="0" borderId="485" xfId="124" applyNumberFormat="1" applyFont="1" applyBorder="1" applyAlignment="1">
      <alignment horizontal="center"/>
    </xf>
    <xf numFmtId="175" fontId="325" fillId="0" borderId="444" xfId="124" applyNumberFormat="1" applyFont="1" applyBorder="1" applyAlignment="1">
      <alignment horizontal="center"/>
    </xf>
    <xf numFmtId="175" fontId="325" fillId="0" borderId="479" xfId="124" applyNumberFormat="1" applyFont="1" applyBorder="1" applyAlignment="1">
      <alignment horizontal="center"/>
    </xf>
    <xf numFmtId="175" fontId="325" fillId="0" borderId="362" xfId="124" applyNumberFormat="1" applyFont="1" applyBorder="1" applyAlignment="1">
      <alignment horizontal="center"/>
    </xf>
    <xf numFmtId="175" fontId="325" fillId="0" borderId="441" xfId="124" applyNumberFormat="1" applyFont="1" applyBorder="1" applyAlignment="1">
      <alignment horizontal="center"/>
    </xf>
    <xf numFmtId="0" fontId="329" fillId="0" borderId="0" xfId="124" applyFont="1"/>
    <xf numFmtId="175" fontId="325" fillId="0" borderId="0" xfId="122" applyNumberFormat="1" applyFont="1" applyAlignment="1">
      <alignment horizontal="center"/>
    </xf>
    <xf numFmtId="0" fontId="325" fillId="0" borderId="0" xfId="124" applyFont="1" applyAlignment="1">
      <alignment horizontal="center" wrapText="1"/>
    </xf>
    <xf numFmtId="0" fontId="325" fillId="0" borderId="176" xfId="124" applyFont="1" applyBorder="1"/>
    <xf numFmtId="0" fontId="325" fillId="0" borderId="176" xfId="124" applyFont="1" applyBorder="1" applyAlignment="1">
      <alignment horizontal="center"/>
    </xf>
    <xf numFmtId="0" fontId="325" fillId="0" borderId="348" xfId="124" applyFont="1" applyBorder="1" applyAlignment="1">
      <alignment horizontal="center"/>
    </xf>
    <xf numFmtId="0" fontId="325" fillId="0" borderId="293" xfId="124" applyFont="1" applyBorder="1"/>
    <xf numFmtId="0" fontId="325" fillId="0" borderId="407" xfId="124" applyFont="1" applyBorder="1"/>
    <xf numFmtId="0" fontId="326" fillId="0" borderId="293" xfId="124" applyFont="1" applyBorder="1"/>
    <xf numFmtId="0" fontId="326" fillId="0" borderId="407" xfId="124" applyFont="1" applyBorder="1"/>
    <xf numFmtId="0" fontId="328" fillId="0" borderId="56" xfId="124" applyFont="1" applyBorder="1"/>
    <xf numFmtId="0" fontId="325" fillId="0" borderId="90" xfId="124" applyFont="1" applyBorder="1"/>
    <xf numFmtId="0" fontId="325" fillId="0" borderId="0" xfId="124" applyFont="1"/>
    <xf numFmtId="171" fontId="325" fillId="0" borderId="90" xfId="149" applyNumberFormat="1" applyFont="1" applyFill="1" applyBorder="1" applyAlignment="1">
      <alignment horizontal="center"/>
    </xf>
    <xf numFmtId="171" fontId="325" fillId="0" borderId="329" xfId="149" applyNumberFormat="1" applyFont="1" applyFill="1" applyBorder="1" applyAlignment="1">
      <alignment horizontal="center"/>
    </xf>
    <xf numFmtId="171" fontId="325" fillId="0" borderId="331" xfId="149" applyNumberFormat="1" applyFont="1" applyFill="1" applyBorder="1" applyAlignment="1">
      <alignment horizontal="center"/>
    </xf>
    <xf numFmtId="171" fontId="325" fillId="0" borderId="455" xfId="149" applyNumberFormat="1" applyFont="1" applyFill="1" applyBorder="1" applyAlignment="1">
      <alignment horizontal="center"/>
    </xf>
    <xf numFmtId="0" fontId="326" fillId="0" borderId="90" xfId="124" applyFont="1" applyBorder="1"/>
    <xf numFmtId="171" fontId="326" fillId="0" borderId="56" xfId="149" applyNumberFormat="1" applyFont="1" applyFill="1" applyBorder="1" applyAlignment="1">
      <alignment horizontal="center"/>
    </xf>
    <xf numFmtId="171" fontId="326" fillId="0" borderId="331" xfId="149" applyNumberFormat="1" applyFont="1" applyFill="1" applyBorder="1" applyAlignment="1">
      <alignment horizontal="center"/>
    </xf>
    <xf numFmtId="171" fontId="326" fillId="0" borderId="329" xfId="149" applyNumberFormat="1" applyFont="1" applyFill="1" applyBorder="1" applyAlignment="1">
      <alignment horizontal="center"/>
    </xf>
    <xf numFmtId="171" fontId="326" fillId="0" borderId="455" xfId="149" applyNumberFormat="1" applyFont="1" applyFill="1" applyBorder="1" applyAlignment="1">
      <alignment horizontal="center"/>
    </xf>
    <xf numFmtId="171" fontId="326" fillId="0" borderId="90" xfId="149" applyNumberFormat="1" applyFont="1" applyFill="1" applyBorder="1" applyAlignment="1">
      <alignment horizontal="center"/>
    </xf>
    <xf numFmtId="171" fontId="325" fillId="0" borderId="0" xfId="149" applyNumberFormat="1" applyFont="1" applyFill="1" applyBorder="1" applyAlignment="1">
      <alignment horizontal="center"/>
    </xf>
    <xf numFmtId="171" fontId="325" fillId="0" borderId="56" xfId="149" applyNumberFormat="1" applyFont="1" applyFill="1" applyBorder="1" applyAlignment="1">
      <alignment horizontal="center"/>
    </xf>
    <xf numFmtId="0" fontId="326" fillId="0" borderId="56" xfId="124" applyFont="1" applyBorder="1"/>
    <xf numFmtId="0" fontId="326" fillId="0" borderId="329" xfId="124" applyFont="1" applyBorder="1"/>
    <xf numFmtId="0" fontId="326" fillId="0" borderId="331" xfId="124" applyFont="1" applyBorder="1"/>
    <xf numFmtId="0" fontId="326" fillId="0" borderId="138" xfId="124" applyFont="1" applyBorder="1"/>
    <xf numFmtId="0" fontId="326" fillId="0" borderId="19" xfId="124" applyFont="1" applyBorder="1"/>
    <xf numFmtId="171" fontId="326" fillId="0" borderId="52" xfId="149" applyNumberFormat="1" applyFont="1" applyFill="1" applyBorder="1" applyAlignment="1">
      <alignment horizontal="center"/>
    </xf>
    <xf numFmtId="171" fontId="326" fillId="0" borderId="280" xfId="149" applyNumberFormat="1" applyFont="1" applyFill="1" applyBorder="1" applyAlignment="1">
      <alignment horizontal="center"/>
    </xf>
    <xf numFmtId="171" fontId="326" fillId="0" borderId="418" xfId="149" applyNumberFormat="1" applyFont="1" applyFill="1" applyBorder="1" applyAlignment="1">
      <alignment horizontal="center"/>
    </xf>
    <xf numFmtId="0" fontId="326" fillId="0" borderId="280" xfId="124" applyFont="1" applyBorder="1" applyAlignment="1">
      <alignment horizontal="center"/>
    </xf>
    <xf numFmtId="0" fontId="325" fillId="0" borderId="308" xfId="124" applyFont="1" applyBorder="1"/>
    <xf numFmtId="171" fontId="326" fillId="0" borderId="355" xfId="149" applyNumberFormat="1" applyFont="1" applyFill="1" applyBorder="1" applyAlignment="1">
      <alignment horizontal="center"/>
    </xf>
    <xf numFmtId="171" fontId="325" fillId="0" borderId="308" xfId="149" applyNumberFormat="1" applyFont="1" applyFill="1" applyBorder="1" applyAlignment="1">
      <alignment horizontal="center"/>
    </xf>
    <xf numFmtId="171" fontId="325" fillId="0" borderId="357" xfId="149" applyNumberFormat="1" applyFont="1" applyFill="1" applyBorder="1" applyAlignment="1">
      <alignment horizontal="center"/>
    </xf>
    <xf numFmtId="171" fontId="325" fillId="0" borderId="358" xfId="149" applyNumberFormat="1" applyFont="1" applyFill="1" applyBorder="1" applyAlignment="1">
      <alignment horizontal="center"/>
    </xf>
    <xf numFmtId="171" fontId="325" fillId="0" borderId="482" xfId="149" applyNumberFormat="1" applyFont="1" applyFill="1" applyBorder="1" applyAlignment="1">
      <alignment horizontal="center"/>
    </xf>
    <xf numFmtId="171" fontId="326" fillId="0" borderId="0" xfId="149" applyNumberFormat="1" applyFont="1" applyFill="1" applyBorder="1" applyAlignment="1">
      <alignment horizontal="center"/>
    </xf>
    <xf numFmtId="231" fontId="326" fillId="0" borderId="0" xfId="149" applyNumberFormat="1" applyFont="1" applyFill="1" applyBorder="1" applyAlignment="1">
      <alignment horizontal="center"/>
    </xf>
    <xf numFmtId="0" fontId="325" fillId="0" borderId="0" xfId="124" applyFont="1" applyAlignment="1">
      <alignment wrapText="1"/>
    </xf>
    <xf numFmtId="0" fontId="325" fillId="0" borderId="0" xfId="124" applyFont="1" applyAlignment="1">
      <alignment horizontal="center"/>
    </xf>
    <xf numFmtId="171" fontId="322" fillId="0" borderId="0" xfId="149" applyNumberFormat="1" applyFont="1" applyFill="1"/>
    <xf numFmtId="171" fontId="330" fillId="0" borderId="0" xfId="149" applyNumberFormat="1" applyFont="1" applyFill="1"/>
    <xf numFmtId="0" fontId="330" fillId="0" borderId="0" xfId="122" applyFont="1"/>
    <xf numFmtId="171" fontId="161" fillId="0" borderId="0" xfId="149" applyNumberFormat="1" applyFont="1" applyFill="1"/>
    <xf numFmtId="0" fontId="161" fillId="0" borderId="0" xfId="122" applyFont="1"/>
    <xf numFmtId="171" fontId="161" fillId="0" borderId="0" xfId="149" applyNumberFormat="1" applyFont="1" applyFill="1" applyAlignment="1">
      <alignment horizontal="center"/>
    </xf>
    <xf numFmtId="0" fontId="161" fillId="0" borderId="0" xfId="122" applyFont="1" applyAlignment="1">
      <alignment horizontal="center"/>
    </xf>
    <xf numFmtId="171" fontId="161" fillId="0" borderId="0" xfId="149" applyNumberFormat="1" applyFont="1"/>
    <xf numFmtId="175" fontId="161" fillId="0" borderId="0" xfId="122" applyNumberFormat="1" applyFont="1"/>
    <xf numFmtId="0" fontId="272" fillId="0" borderId="56" xfId="0" applyFont="1" applyBorder="1"/>
    <xf numFmtId="0" fontId="272" fillId="0" borderId="24" xfId="0" applyFont="1" applyBorder="1" applyAlignment="1">
      <alignment horizontal="center"/>
    </xf>
    <xf numFmtId="3" fontId="272" fillId="0" borderId="487" xfId="0" applyNumberFormat="1" applyFont="1" applyBorder="1" applyAlignment="1">
      <alignment horizontal="center"/>
    </xf>
    <xf numFmtId="0" fontId="255" fillId="0" borderId="56" xfId="0" applyFont="1" applyBorder="1"/>
    <xf numFmtId="0" fontId="272" fillId="0" borderId="443" xfId="0" applyFont="1" applyBorder="1" applyAlignment="1">
      <alignment horizontal="center"/>
    </xf>
    <xf numFmtId="0" fontId="195" fillId="0" borderId="308" xfId="0" applyFont="1" applyBorder="1"/>
    <xf numFmtId="172" fontId="256" fillId="0" borderId="289" xfId="57" applyNumberFormat="1" applyFont="1" applyBorder="1" applyAlignment="1">
      <alignment horizontal="center" vertical="center"/>
    </xf>
    <xf numFmtId="172" fontId="256" fillId="0" borderId="358" xfId="57" applyNumberFormat="1" applyFont="1" applyBorder="1" applyAlignment="1">
      <alignment horizontal="center" vertical="center"/>
    </xf>
    <xf numFmtId="175" fontId="234" fillId="0" borderId="482" xfId="0" applyNumberFormat="1" applyFont="1" applyBorder="1" applyAlignment="1">
      <alignment horizontal="center"/>
    </xf>
    <xf numFmtId="172" fontId="234" fillId="0" borderId="359" xfId="0" applyNumberFormat="1" applyFont="1" applyBorder="1" applyAlignment="1">
      <alignment horizontal="center" vertical="center"/>
    </xf>
    <xf numFmtId="172" fontId="150" fillId="0" borderId="455" xfId="830" applyNumberFormat="1" applyFont="1" applyBorder="1" applyAlignment="1">
      <alignment horizontal="center"/>
    </xf>
    <xf numFmtId="172" fontId="150" fillId="0" borderId="116" xfId="830" applyNumberFormat="1" applyFont="1" applyBorder="1" applyAlignment="1">
      <alignment horizontal="center"/>
    </xf>
    <xf numFmtId="172" fontId="150" fillId="0" borderId="466" xfId="830" applyNumberFormat="1" applyFont="1" applyBorder="1" applyAlignment="1">
      <alignment horizontal="center"/>
    </xf>
    <xf numFmtId="172" fontId="150" fillId="0" borderId="466" xfId="57" applyNumberFormat="1" applyFont="1" applyFill="1" applyBorder="1" applyAlignment="1">
      <alignment horizontal="center"/>
    </xf>
    <xf numFmtId="172" fontId="151" fillId="0" borderId="116" xfId="830" applyNumberFormat="1" applyFont="1" applyBorder="1" applyAlignment="1">
      <alignment horizontal="center"/>
    </xf>
    <xf numFmtId="172" fontId="151" fillId="0" borderId="466" xfId="830" applyNumberFormat="1" applyFont="1" applyBorder="1" applyAlignment="1">
      <alignment horizontal="center"/>
    </xf>
    <xf numFmtId="172" fontId="151" fillId="0" borderId="455" xfId="830" applyNumberFormat="1" applyFont="1" applyBorder="1" applyAlignment="1">
      <alignment horizontal="center"/>
    </xf>
    <xf numFmtId="172" fontId="151" fillId="0" borderId="345" xfId="57" applyNumberFormat="1" applyFont="1" applyFill="1" applyBorder="1" applyAlignment="1">
      <alignment horizontal="center"/>
    </xf>
    <xf numFmtId="172" fontId="151" fillId="0" borderId="358" xfId="57" applyNumberFormat="1" applyFont="1" applyFill="1" applyBorder="1" applyAlignment="1">
      <alignment horizontal="center"/>
    </xf>
    <xf numFmtId="172" fontId="151" fillId="0" borderId="357" xfId="57" applyNumberFormat="1" applyFont="1" applyFill="1" applyBorder="1" applyAlignment="1">
      <alignment horizontal="center"/>
    </xf>
    <xf numFmtId="172" fontId="151" fillId="0" borderId="482" xfId="57" applyNumberFormat="1" applyFont="1" applyFill="1" applyBorder="1" applyAlignment="1">
      <alignment horizontal="center"/>
    </xf>
    <xf numFmtId="172" fontId="151" fillId="0" borderId="359" xfId="57" applyNumberFormat="1" applyFont="1" applyFill="1" applyBorder="1" applyAlignment="1">
      <alignment horizontal="center"/>
    </xf>
    <xf numFmtId="4" fontId="187" fillId="0" borderId="0" xfId="1446" applyNumberFormat="1" applyFont="1"/>
    <xf numFmtId="3" fontId="226" fillId="0" borderId="455" xfId="141" applyNumberFormat="1" applyFont="1" applyBorder="1" applyAlignment="1">
      <alignment horizontal="center"/>
    </xf>
    <xf numFmtId="0" fontId="225" fillId="0" borderId="354" xfId="141" applyFont="1" applyBorder="1" applyAlignment="1">
      <alignment horizontal="center" vertical="center" wrapText="1"/>
    </xf>
    <xf numFmtId="0" fontId="158" fillId="0" borderId="24" xfId="128" applyFont="1" applyBorder="1"/>
    <xf numFmtId="172" fontId="243" fillId="0" borderId="487" xfId="122" applyNumberFormat="1" applyFont="1" applyBorder="1" applyAlignment="1">
      <alignment horizontal="center"/>
    </xf>
    <xf numFmtId="0" fontId="243" fillId="0" borderId="90" xfId="143" applyFont="1" applyBorder="1" applyAlignment="1">
      <alignment horizontal="left" indent="19"/>
    </xf>
    <xf numFmtId="174" fontId="243" fillId="0" borderId="329" xfId="122" applyNumberFormat="1" applyFont="1" applyBorder="1" applyAlignment="1">
      <alignment horizontal="center"/>
    </xf>
    <xf numFmtId="0" fontId="332" fillId="0" borderId="0" xfId="1452" applyFont="1" applyAlignment="1">
      <alignment horizontal="left"/>
    </xf>
    <xf numFmtId="0" fontId="333" fillId="0" borderId="0" xfId="1452" applyFont="1" applyAlignment="1">
      <alignment horizontal="left"/>
    </xf>
    <xf numFmtId="0" fontId="331" fillId="0" borderId="176" xfId="1452" applyFont="1" applyBorder="1" applyAlignment="1">
      <alignment horizontal="left"/>
    </xf>
    <xf numFmtId="0" fontId="331" fillId="0" borderId="102" xfId="1452" applyFont="1" applyBorder="1" applyAlignment="1">
      <alignment horizontal="left"/>
    </xf>
    <xf numFmtId="0" fontId="331" fillId="0" borderId="102" xfId="1452" applyFont="1" applyBorder="1" applyAlignment="1">
      <alignment horizontal="center"/>
    </xf>
    <xf numFmtId="0" fontId="331" fillId="0" borderId="425" xfId="1452" applyFont="1" applyBorder="1" applyAlignment="1">
      <alignment horizontal="center"/>
    </xf>
    <xf numFmtId="0" fontId="179" fillId="0" borderId="436" xfId="1452" applyFont="1" applyBorder="1" applyAlignment="1">
      <alignment horizontal="center"/>
    </xf>
    <xf numFmtId="0" fontId="331" fillId="0" borderId="347" xfId="1452" applyFont="1" applyBorder="1" applyAlignment="1">
      <alignment horizontal="center"/>
    </xf>
    <xf numFmtId="0" fontId="179" fillId="0" borderId="190" xfId="1452" applyFont="1" applyBorder="1" applyAlignment="1">
      <alignment horizontal="center"/>
    </xf>
    <xf numFmtId="0" fontId="332" fillId="0" borderId="90" xfId="1452" applyFont="1" applyBorder="1" applyAlignment="1">
      <alignment horizontal="left"/>
    </xf>
    <xf numFmtId="0" fontId="332" fillId="0" borderId="116" xfId="1452" applyFont="1" applyBorder="1" applyAlignment="1">
      <alignment horizontal="left"/>
    </xf>
    <xf numFmtId="0" fontId="332" fillId="0" borderId="116" xfId="1452" applyFont="1" applyBorder="1" applyAlignment="1">
      <alignment horizontal="center"/>
    </xf>
    <xf numFmtId="0" fontId="332" fillId="0" borderId="455" xfId="1452" applyFont="1" applyBorder="1" applyAlignment="1">
      <alignment horizontal="center"/>
    </xf>
    <xf numFmtId="178" fontId="180" fillId="0" borderId="175" xfId="1454" applyNumberFormat="1" applyFont="1" applyFill="1" applyBorder="1" applyAlignment="1">
      <alignment horizontal="center"/>
    </xf>
    <xf numFmtId="0" fontId="332" fillId="0" borderId="292" xfId="1452" applyFont="1" applyBorder="1" applyAlignment="1">
      <alignment horizontal="center"/>
    </xf>
    <xf numFmtId="0" fontId="333" fillId="0" borderId="292" xfId="1452" applyFont="1" applyBorder="1" applyAlignment="1">
      <alignment horizontal="center"/>
    </xf>
    <xf numFmtId="0" fontId="333" fillId="0" borderId="480" xfId="1452" applyFont="1" applyBorder="1" applyAlignment="1">
      <alignment horizontal="center"/>
    </xf>
    <xf numFmtId="0" fontId="332" fillId="0" borderId="437" xfId="1452" applyFont="1" applyBorder="1" applyAlignment="1">
      <alignment horizontal="left"/>
    </xf>
    <xf numFmtId="0" fontId="180" fillId="0" borderId="90" xfId="1452" applyFont="1" applyBorder="1" applyAlignment="1">
      <alignment horizontal="left"/>
    </xf>
    <xf numFmtId="3" fontId="332" fillId="0" borderId="116" xfId="1452" applyNumberFormat="1" applyFont="1" applyBorder="1" applyAlignment="1">
      <alignment horizontal="left"/>
    </xf>
    <xf numFmtId="3" fontId="332" fillId="0" borderId="455" xfId="1452" applyNumberFormat="1" applyFont="1" applyBorder="1" applyAlignment="1">
      <alignment horizontal="left"/>
    </xf>
    <xf numFmtId="3" fontId="332" fillId="0" borderId="455" xfId="1452" applyNumberFormat="1" applyFont="1" applyBorder="1" applyAlignment="1">
      <alignment horizontal="center"/>
    </xf>
    <xf numFmtId="178" fontId="180" fillId="0" borderId="455" xfId="82" applyNumberFormat="1" applyFont="1" applyFill="1" applyBorder="1" applyAlignment="1">
      <alignment horizontal="center"/>
    </xf>
    <xf numFmtId="178" fontId="180" fillId="0" borderId="466" xfId="57" applyNumberFormat="1" applyFont="1" applyFill="1" applyBorder="1" applyAlignment="1">
      <alignment horizontal="left"/>
    </xf>
    <xf numFmtId="178" fontId="180" fillId="0" borderId="455" xfId="82" applyNumberFormat="1" applyFont="1" applyBorder="1" applyAlignment="1">
      <alignment horizontal="center"/>
    </xf>
    <xf numFmtId="0" fontId="332" fillId="0" borderId="455" xfId="1452" applyFont="1" applyBorder="1" applyAlignment="1">
      <alignment horizontal="left"/>
    </xf>
    <xf numFmtId="0" fontId="180" fillId="0" borderId="455" xfId="1452" applyFont="1" applyBorder="1" applyAlignment="1">
      <alignment horizontal="center"/>
    </xf>
    <xf numFmtId="171" fontId="332" fillId="0" borderId="455" xfId="149" applyNumberFormat="1" applyFont="1" applyFill="1" applyBorder="1" applyAlignment="1">
      <alignment horizontal="center"/>
    </xf>
    <xf numFmtId="171" fontId="180" fillId="0" borderId="455" xfId="149" applyNumberFormat="1" applyFont="1" applyFill="1" applyBorder="1" applyAlignment="1">
      <alignment horizontal="center"/>
    </xf>
    <xf numFmtId="3" fontId="180" fillId="0" borderId="455" xfId="1452" applyNumberFormat="1" applyFont="1" applyBorder="1" applyAlignment="1">
      <alignment horizontal="center"/>
    </xf>
    <xf numFmtId="37" fontId="180" fillId="0" borderId="466" xfId="57" applyNumberFormat="1" applyFont="1" applyFill="1" applyBorder="1" applyAlignment="1">
      <alignment horizontal="center"/>
    </xf>
    <xf numFmtId="0" fontId="334" fillId="0" borderId="466" xfId="1452" applyFont="1" applyBorder="1" applyAlignment="1">
      <alignment horizontal="left"/>
    </xf>
    <xf numFmtId="171" fontId="332" fillId="0" borderId="116" xfId="1452" applyNumberFormat="1" applyFont="1" applyBorder="1" applyAlignment="1">
      <alignment horizontal="left"/>
    </xf>
    <xf numFmtId="171" fontId="332" fillId="0" borderId="455" xfId="1452" applyNumberFormat="1" applyFont="1" applyBorder="1" applyAlignment="1">
      <alignment horizontal="left"/>
    </xf>
    <xf numFmtId="171" fontId="335" fillId="0" borderId="455" xfId="1452" applyNumberFormat="1" applyFont="1" applyBorder="1" applyAlignment="1">
      <alignment horizontal="center"/>
    </xf>
    <xf numFmtId="171" fontId="332" fillId="0" borderId="455" xfId="1452" applyNumberFormat="1" applyFont="1" applyBorder="1" applyAlignment="1">
      <alignment horizontal="center"/>
    </xf>
    <xf numFmtId="171" fontId="180" fillId="0" borderId="175" xfId="1453" applyNumberFormat="1" applyFont="1" applyFill="1" applyBorder="1" applyAlignment="1">
      <alignment horizontal="center"/>
    </xf>
    <xf numFmtId="171" fontId="180" fillId="0" borderId="455" xfId="124" applyNumberFormat="1" applyFont="1" applyBorder="1" applyAlignment="1">
      <alignment horizontal="center"/>
    </xf>
    <xf numFmtId="171" fontId="180" fillId="0" borderId="466" xfId="149" applyNumberFormat="1" applyFont="1" applyFill="1" applyBorder="1" applyAlignment="1">
      <alignment horizontal="center"/>
    </xf>
    <xf numFmtId="171" fontId="332" fillId="0" borderId="175" xfId="1452" applyNumberFormat="1" applyFont="1" applyBorder="1" applyAlignment="1">
      <alignment horizontal="center"/>
    </xf>
    <xf numFmtId="171" fontId="336" fillId="0" borderId="175" xfId="72" applyNumberFormat="1" applyFont="1" applyFill="1" applyBorder="1" applyAlignment="1">
      <alignment horizontal="center"/>
    </xf>
    <xf numFmtId="178" fontId="336" fillId="0" borderId="175" xfId="72" applyNumberFormat="1" applyFont="1" applyFill="1" applyBorder="1" applyAlignment="1">
      <alignment horizontal="center"/>
    </xf>
    <xf numFmtId="0" fontId="180" fillId="0" borderId="455" xfId="124" applyFont="1" applyBorder="1" applyAlignment="1">
      <alignment horizontal="center"/>
    </xf>
    <xf numFmtId="178" fontId="180" fillId="0" borderId="175" xfId="72" applyNumberFormat="1" applyFont="1" applyFill="1" applyBorder="1" applyAlignment="1">
      <alignment horizontal="center"/>
    </xf>
    <xf numFmtId="171" fontId="180" fillId="0" borderId="175" xfId="124" applyNumberFormat="1" applyFont="1" applyBorder="1" applyAlignment="1">
      <alignment horizontal="center"/>
    </xf>
    <xf numFmtId="0" fontId="180" fillId="0" borderId="175" xfId="124" applyFont="1" applyBorder="1" applyAlignment="1">
      <alignment horizontal="center"/>
    </xf>
    <xf numFmtId="0" fontId="332" fillId="0" borderId="308" xfId="1452" applyFont="1" applyBorder="1" applyAlignment="1">
      <alignment horizontal="left" wrapText="1"/>
    </xf>
    <xf numFmtId="171" fontId="332" fillId="0" borderId="357" xfId="1453" applyNumberFormat="1" applyFont="1" applyFill="1" applyBorder="1" applyAlignment="1">
      <alignment horizontal="left"/>
    </xf>
    <xf numFmtId="171" fontId="332" fillId="0" borderId="357" xfId="1453" applyNumberFormat="1" applyFont="1" applyFill="1" applyBorder="1" applyAlignment="1">
      <alignment horizontal="center"/>
    </xf>
    <xf numFmtId="171" fontId="332" fillId="0" borderId="381" xfId="1452" applyNumberFormat="1" applyFont="1" applyBorder="1" applyAlignment="1">
      <alignment horizontal="center"/>
    </xf>
    <xf numFmtId="171" fontId="180" fillId="0" borderId="357" xfId="124" applyNumberFormat="1" applyFont="1" applyBorder="1" applyAlignment="1">
      <alignment horizontal="center"/>
    </xf>
    <xf numFmtId="171" fontId="180" fillId="0" borderId="374" xfId="124" applyNumberFormat="1" applyFont="1" applyBorder="1" applyAlignment="1">
      <alignment horizontal="center"/>
    </xf>
    <xf numFmtId="171" fontId="332" fillId="0" borderId="357" xfId="124" applyNumberFormat="1" applyFont="1" applyBorder="1" applyAlignment="1">
      <alignment horizontal="center"/>
    </xf>
    <xf numFmtId="171" fontId="180" fillId="0" borderId="482" xfId="124" applyNumberFormat="1" applyFont="1" applyBorder="1" applyAlignment="1">
      <alignment horizontal="center"/>
    </xf>
    <xf numFmtId="171" fontId="180" fillId="0" borderId="359" xfId="149" applyNumberFormat="1" applyFont="1" applyFill="1" applyBorder="1" applyAlignment="1">
      <alignment horizontal="center"/>
    </xf>
    <xf numFmtId="2" fontId="181" fillId="0" borderId="0" xfId="0" applyNumberFormat="1" applyFont="1" applyAlignment="1">
      <alignment horizontal="left"/>
    </xf>
    <xf numFmtId="0" fontId="180" fillId="0" borderId="0" xfId="124" applyFont="1" applyAlignment="1">
      <alignment horizontal="left"/>
    </xf>
    <xf numFmtId="0" fontId="181" fillId="0" borderId="0" xfId="1452" applyFont="1" applyAlignment="1">
      <alignment vertical="center"/>
    </xf>
    <xf numFmtId="0" fontId="337" fillId="0" borderId="0" xfId="1452" applyFont="1" applyAlignment="1">
      <alignment vertical="center"/>
    </xf>
    <xf numFmtId="0" fontId="181" fillId="0" borderId="0" xfId="1452" applyFont="1" applyAlignment="1">
      <alignment vertical="center" wrapText="1"/>
    </xf>
    <xf numFmtId="0" fontId="180" fillId="0" borderId="0" xfId="1452" applyFont="1" applyAlignment="1">
      <alignment horizontal="left"/>
    </xf>
    <xf numFmtId="0" fontId="337" fillId="0" borderId="0" xfId="1452" applyFont="1" applyAlignment="1">
      <alignment horizontal="left"/>
    </xf>
    <xf numFmtId="171" fontId="180" fillId="0" borderId="0" xfId="124" applyNumberFormat="1" applyFont="1" applyAlignment="1">
      <alignment horizontal="left"/>
    </xf>
    <xf numFmtId="175" fontId="158" fillId="0" borderId="482" xfId="0" applyNumberFormat="1" applyFont="1" applyBorder="1" applyAlignment="1">
      <alignment horizontal="center"/>
    </xf>
    <xf numFmtId="0" fontId="147" fillId="0" borderId="0" xfId="122" applyFont="1" applyAlignment="1">
      <alignment horizontal="center"/>
    </xf>
    <xf numFmtId="0" fontId="242" fillId="0" borderId="0" xfId="122" applyFont="1" applyAlignment="1">
      <alignment horizontal="center"/>
    </xf>
    <xf numFmtId="43" fontId="243" fillId="0" borderId="0" xfId="122" applyNumberFormat="1" applyFont="1"/>
    <xf numFmtId="171" fontId="243" fillId="0" borderId="0" xfId="149" applyNumberFormat="1" applyFont="1" applyFill="1"/>
    <xf numFmtId="174" fontId="197" fillId="0" borderId="0" xfId="122" applyNumberFormat="1" applyFont="1" applyAlignment="1">
      <alignment horizontal="center"/>
    </xf>
    <xf numFmtId="174" fontId="199" fillId="0" borderId="0" xfId="122" applyNumberFormat="1" applyFont="1" applyAlignment="1">
      <alignment horizontal="center"/>
    </xf>
    <xf numFmtId="174" fontId="192" fillId="0" borderId="0" xfId="149" applyNumberFormat="1" applyFont="1" applyFill="1" applyAlignment="1">
      <alignment horizontal="center"/>
    </xf>
    <xf numFmtId="0" fontId="192" fillId="0" borderId="178" xfId="122" applyFont="1" applyBorder="1" applyAlignment="1">
      <alignment horizontal="center"/>
    </xf>
    <xf numFmtId="252" fontId="197" fillId="0" borderId="0" xfId="122" applyNumberFormat="1" applyFont="1" applyAlignment="1">
      <alignment horizontal="center"/>
    </xf>
    <xf numFmtId="252" fontId="199" fillId="0" borderId="0" xfId="122" applyNumberFormat="1" applyFont="1" applyAlignment="1">
      <alignment horizontal="center"/>
    </xf>
    <xf numFmtId="252" fontId="192" fillId="0" borderId="0" xfId="149" applyNumberFormat="1" applyFont="1" applyFill="1" applyAlignment="1">
      <alignment horizontal="center"/>
    </xf>
    <xf numFmtId="0" fontId="192" fillId="0" borderId="374" xfId="122" applyFont="1" applyBorder="1" applyAlignment="1">
      <alignment horizontal="center"/>
    </xf>
    <xf numFmtId="2" fontId="199" fillId="0" borderId="0" xfId="122" applyNumberFormat="1" applyFont="1" applyAlignment="1">
      <alignment horizontal="center"/>
    </xf>
    <xf numFmtId="172" fontId="199" fillId="0" borderId="0" xfId="122" applyNumberFormat="1" applyFont="1" applyAlignment="1">
      <alignment horizontal="center"/>
    </xf>
    <xf numFmtId="172" fontId="242" fillId="32" borderId="455" xfId="57" applyNumberFormat="1" applyFont="1" applyFill="1" applyBorder="1" applyAlignment="1">
      <alignment horizontal="center"/>
    </xf>
    <xf numFmtId="172" fontId="244" fillId="32" borderId="455" xfId="57" applyNumberFormat="1" applyFont="1" applyFill="1" applyBorder="1" applyAlignment="1">
      <alignment horizontal="center"/>
    </xf>
    <xf numFmtId="172" fontId="244" fillId="32" borderId="455" xfId="122" applyNumberFormat="1" applyFont="1" applyFill="1" applyBorder="1" applyAlignment="1">
      <alignment horizontal="center"/>
    </xf>
    <xf numFmtId="172" fontId="242" fillId="32" borderId="455" xfId="122" applyNumberFormat="1" applyFont="1" applyFill="1" applyBorder="1" applyAlignment="1">
      <alignment horizontal="center"/>
    </xf>
    <xf numFmtId="174" fontId="246" fillId="32" borderId="455" xfId="122" applyNumberFormat="1" applyFont="1" applyFill="1" applyBorder="1" applyAlignment="1">
      <alignment horizontal="center"/>
    </xf>
    <xf numFmtId="252" fontId="243" fillId="32" borderId="472" xfId="122" applyNumberFormat="1" applyFont="1" applyFill="1" applyBorder="1" applyAlignment="1">
      <alignment horizontal="center"/>
    </xf>
    <xf numFmtId="0" fontId="195" fillId="32" borderId="455" xfId="122" applyFont="1" applyFill="1" applyBorder="1" applyAlignment="1">
      <alignment horizontal="center"/>
    </xf>
    <xf numFmtId="175" fontId="242" fillId="32" borderId="455" xfId="122" applyNumberFormat="1" applyFont="1" applyFill="1" applyBorder="1" applyAlignment="1">
      <alignment horizontal="center"/>
    </xf>
    <xf numFmtId="175" fontId="244" fillId="32" borderId="455" xfId="122" applyNumberFormat="1" applyFont="1" applyFill="1" applyBorder="1" applyAlignment="1">
      <alignment horizontal="center"/>
    </xf>
    <xf numFmtId="175" fontId="243" fillId="32" borderId="455" xfId="122" applyNumberFormat="1" applyFont="1" applyFill="1" applyBorder="1" applyAlignment="1">
      <alignment horizontal="center"/>
    </xf>
    <xf numFmtId="175" fontId="243" fillId="32" borderId="455" xfId="149" applyNumberFormat="1" applyFont="1" applyFill="1" applyBorder="1" applyAlignment="1">
      <alignment horizontal="center"/>
    </xf>
    <xf numFmtId="175" fontId="245" fillId="32" borderId="455" xfId="122" applyNumberFormat="1" applyFont="1" applyFill="1" applyBorder="1" applyAlignment="1">
      <alignment horizontal="center"/>
    </xf>
    <xf numFmtId="2" fontId="243" fillId="32" borderId="455" xfId="122" applyNumberFormat="1" applyFont="1" applyFill="1" applyBorder="1" applyAlignment="1">
      <alignment horizontal="center"/>
    </xf>
    <xf numFmtId="175" fontId="242" fillId="32" borderId="455" xfId="149" applyNumberFormat="1" applyFont="1" applyFill="1" applyBorder="1" applyAlignment="1">
      <alignment horizontal="center"/>
    </xf>
    <xf numFmtId="0" fontId="192" fillId="0" borderId="116" xfId="122" applyFont="1" applyBorder="1"/>
    <xf numFmtId="0" fontId="192" fillId="0" borderId="116" xfId="122" applyFont="1" applyBorder="1" applyAlignment="1">
      <alignment horizontal="center"/>
    </xf>
    <xf numFmtId="172" fontId="244" fillId="32" borderId="444" xfId="122" applyNumberFormat="1" applyFont="1" applyFill="1" applyBorder="1" applyAlignment="1">
      <alignment horizontal="center"/>
    </xf>
    <xf numFmtId="0" fontId="147" fillId="0" borderId="176" xfId="122" applyFont="1" applyBorder="1" applyAlignment="1">
      <alignment vertical="top"/>
    </xf>
    <xf numFmtId="2" fontId="147" fillId="0" borderId="383" xfId="122" applyNumberFormat="1" applyFont="1" applyBorder="1" applyAlignment="1">
      <alignment horizontal="center" vertical="top"/>
    </xf>
    <xf numFmtId="0" fontId="147" fillId="0" borderId="383" xfId="122" applyFont="1" applyBorder="1" applyAlignment="1">
      <alignment horizontal="center" vertical="top"/>
    </xf>
    <xf numFmtId="14" fontId="147" fillId="0" borderId="383" xfId="122" applyNumberFormat="1" applyFont="1" applyBorder="1" applyAlignment="1">
      <alignment horizontal="center" vertical="top"/>
    </xf>
    <xf numFmtId="0" fontId="147" fillId="32" borderId="383" xfId="122" applyFont="1" applyFill="1" applyBorder="1" applyAlignment="1">
      <alignment horizontal="center" vertical="top"/>
    </xf>
    <xf numFmtId="0" fontId="147" fillId="32" borderId="383" xfId="122" applyFont="1" applyFill="1" applyBorder="1" applyAlignment="1">
      <alignment horizontal="center" vertical="top" wrapText="1"/>
    </xf>
    <xf numFmtId="0" fontId="147" fillId="32" borderId="347" xfId="122" applyFont="1" applyFill="1" applyBorder="1" applyAlignment="1">
      <alignment horizontal="center" vertical="top" wrapText="1"/>
    </xf>
    <xf numFmtId="0" fontId="147" fillId="32" borderId="173" xfId="122" applyFont="1" applyFill="1" applyBorder="1" applyAlignment="1">
      <alignment horizontal="center" vertical="top" wrapText="1"/>
    </xf>
    <xf numFmtId="0" fontId="146" fillId="0" borderId="0" xfId="122" applyFont="1" applyAlignment="1">
      <alignment horizontal="center" vertical="top"/>
    </xf>
    <xf numFmtId="0" fontId="195" fillId="0" borderId="89" xfId="122" applyFont="1" applyBorder="1" applyAlignment="1">
      <alignment vertical="top"/>
    </xf>
    <xf numFmtId="0" fontId="195" fillId="0" borderId="97" xfId="122" applyFont="1" applyBorder="1" applyAlignment="1">
      <alignment vertical="top"/>
    </xf>
    <xf numFmtId="0" fontId="195" fillId="0" borderId="100" xfId="122" applyFont="1" applyBorder="1" applyAlignment="1">
      <alignment horizontal="center" vertical="top"/>
    </xf>
    <xf numFmtId="0" fontId="195" fillId="0" borderId="98" xfId="122" applyFont="1" applyBorder="1" applyAlignment="1">
      <alignment horizontal="center" vertical="top"/>
    </xf>
    <xf numFmtId="0" fontId="195" fillId="0" borderId="169" xfId="122" applyFont="1" applyBorder="1" applyAlignment="1">
      <alignment horizontal="center" vertical="top"/>
    </xf>
    <xf numFmtId="0" fontId="195" fillId="0" borderId="173" xfId="122" applyFont="1" applyBorder="1" applyAlignment="1">
      <alignment horizontal="center" vertical="top"/>
    </xf>
    <xf numFmtId="0" fontId="195" fillId="0" borderId="157" xfId="122" applyFont="1" applyBorder="1" applyAlignment="1">
      <alignment horizontal="center" vertical="top"/>
    </xf>
    <xf numFmtId="0" fontId="195" fillId="0" borderId="177" xfId="122" applyFont="1" applyBorder="1" applyAlignment="1">
      <alignment horizontal="center" vertical="top"/>
    </xf>
    <xf numFmtId="0" fontId="195" fillId="32" borderId="177" xfId="122" applyFont="1" applyFill="1" applyBorder="1" applyAlignment="1">
      <alignment horizontal="center" vertical="top"/>
    </xf>
    <xf numFmtId="0" fontId="195" fillId="32" borderId="490" xfId="122" applyFont="1" applyFill="1" applyBorder="1" applyAlignment="1">
      <alignment horizontal="center" vertical="top" wrapText="1"/>
    </xf>
    <xf numFmtId="0" fontId="195" fillId="32" borderId="189" xfId="122" applyFont="1" applyFill="1" applyBorder="1" applyAlignment="1">
      <alignment horizontal="center" vertical="top" wrapText="1"/>
    </xf>
    <xf numFmtId="0" fontId="195" fillId="32" borderId="488" xfId="122" applyFont="1" applyFill="1" applyBorder="1" applyAlignment="1">
      <alignment horizontal="center" vertical="top" wrapText="1"/>
    </xf>
    <xf numFmtId="0" fontId="195" fillId="33" borderId="347" xfId="122" applyFont="1" applyFill="1" applyBorder="1" applyAlignment="1">
      <alignment horizontal="center" vertical="top" wrapText="1"/>
    </xf>
    <xf numFmtId="0" fontId="195" fillId="33" borderId="214" xfId="122" applyFont="1" applyFill="1" applyBorder="1" applyAlignment="1">
      <alignment horizontal="center" vertical="top" wrapText="1"/>
    </xf>
    <xf numFmtId="2" fontId="195" fillId="33" borderId="190" xfId="122" applyNumberFormat="1" applyFont="1" applyFill="1" applyBorder="1" applyAlignment="1">
      <alignment horizontal="center" vertical="top" wrapText="1"/>
    </xf>
    <xf numFmtId="0" fontId="192" fillId="0" borderId="0" xfId="122" applyFont="1" applyAlignment="1">
      <alignment vertical="top"/>
    </xf>
    <xf numFmtId="171" fontId="192" fillId="0" borderId="0" xfId="149" applyNumberFormat="1" applyFont="1" applyFill="1" applyAlignment="1">
      <alignment vertical="top"/>
    </xf>
    <xf numFmtId="0" fontId="248" fillId="0" borderId="176" xfId="122" applyFont="1" applyBorder="1" applyAlignment="1">
      <alignment vertical="top"/>
    </xf>
    <xf numFmtId="2" fontId="242" fillId="0" borderId="173" xfId="122" applyNumberFormat="1" applyFont="1" applyBorder="1" applyAlignment="1">
      <alignment vertical="top"/>
    </xf>
    <xf numFmtId="49" fontId="242" fillId="0" borderId="173" xfId="122" applyNumberFormat="1" applyFont="1" applyBorder="1" applyAlignment="1">
      <alignment vertical="top"/>
    </xf>
    <xf numFmtId="2" fontId="242" fillId="0" borderId="173" xfId="122" applyNumberFormat="1" applyFont="1" applyBorder="1" applyAlignment="1">
      <alignment horizontal="center" vertical="top"/>
    </xf>
    <xf numFmtId="49" fontId="242" fillId="0" borderId="173" xfId="122" applyNumberFormat="1" applyFont="1" applyBorder="1" applyAlignment="1">
      <alignment horizontal="center" vertical="top"/>
    </xf>
    <xf numFmtId="49" fontId="242" fillId="0" borderId="346" xfId="122" applyNumberFormat="1" applyFont="1" applyBorder="1" applyAlignment="1">
      <alignment horizontal="center" vertical="top"/>
    </xf>
    <xf numFmtId="0" fontId="242" fillId="32" borderId="346" xfId="122" applyFont="1" applyFill="1" applyBorder="1" applyAlignment="1">
      <alignment horizontal="center" vertical="top" wrapText="1"/>
    </xf>
    <xf numFmtId="0" fontId="242" fillId="32" borderId="173" xfId="122" applyFont="1" applyFill="1" applyBorder="1" applyAlignment="1">
      <alignment horizontal="center" vertical="top" wrapText="1"/>
    </xf>
    <xf numFmtId="0" fontId="242" fillId="32" borderId="425" xfId="122" applyFont="1" applyFill="1" applyBorder="1" applyAlignment="1">
      <alignment horizontal="center" vertical="top" wrapText="1"/>
    </xf>
    <xf numFmtId="174" fontId="242" fillId="32" borderId="173" xfId="122" applyNumberFormat="1" applyFont="1" applyFill="1" applyBorder="1" applyAlignment="1">
      <alignment horizontal="center" vertical="top" wrapText="1"/>
    </xf>
    <xf numFmtId="252" fontId="242" fillId="32" borderId="102" xfId="122" applyNumberFormat="1" applyFont="1" applyFill="1" applyBorder="1" applyAlignment="1">
      <alignment horizontal="center" vertical="top" wrapText="1"/>
    </xf>
    <xf numFmtId="0" fontId="242" fillId="32" borderId="348" xfId="122" applyFont="1" applyFill="1" applyBorder="1" applyAlignment="1">
      <alignment horizontal="center" vertical="top" wrapText="1"/>
    </xf>
    <xf numFmtId="0" fontId="243" fillId="0" borderId="0" xfId="122" applyFont="1" applyAlignment="1">
      <alignment vertical="top"/>
    </xf>
    <xf numFmtId="0" fontId="151" fillId="0" borderId="0" xfId="122" applyFont="1" applyAlignment="1">
      <alignment horizontal="center" vertical="top"/>
    </xf>
    <xf numFmtId="0" fontId="150" fillId="0" borderId="0" xfId="122" applyFont="1" applyAlignment="1">
      <alignment vertical="top"/>
    </xf>
    <xf numFmtId="179" fontId="242" fillId="32" borderId="490" xfId="57" applyNumberFormat="1" applyFont="1" applyFill="1" applyBorder="1" applyAlignment="1">
      <alignment horizontal="center"/>
    </xf>
    <xf numFmtId="179" fontId="248" fillId="32" borderId="490" xfId="57" applyNumberFormat="1" applyFont="1" applyFill="1" applyBorder="1" applyAlignment="1">
      <alignment horizontal="center"/>
    </xf>
    <xf numFmtId="0" fontId="146" fillId="32" borderId="0" xfId="122" applyFont="1" applyFill="1" applyAlignment="1">
      <alignment horizontal="center"/>
    </xf>
    <xf numFmtId="0" fontId="146" fillId="32" borderId="0" xfId="122" applyFont="1" applyFill="1"/>
    <xf numFmtId="0" fontId="156" fillId="32" borderId="0" xfId="122" applyFont="1" applyFill="1" applyAlignment="1">
      <alignment horizontal="center"/>
    </xf>
    <xf numFmtId="2" fontId="160" fillId="32" borderId="0" xfId="122" applyNumberFormat="1" applyFont="1" applyFill="1" applyAlignment="1">
      <alignment horizontal="center"/>
    </xf>
    <xf numFmtId="0" fontId="150" fillId="32" borderId="0" xfId="122" applyFont="1" applyFill="1"/>
    <xf numFmtId="171" fontId="242" fillId="0" borderId="0" xfId="149" applyNumberFormat="1" applyFont="1" applyFill="1"/>
    <xf numFmtId="175" fontId="274" fillId="0" borderId="63" xfId="122" applyNumberFormat="1" applyFont="1" applyBorder="1" applyAlignment="1">
      <alignment horizontal="center"/>
    </xf>
    <xf numFmtId="0" fontId="274" fillId="0" borderId="0" xfId="122" applyFont="1"/>
    <xf numFmtId="0" fontId="243" fillId="32" borderId="0" xfId="122" applyFont="1" applyFill="1"/>
    <xf numFmtId="172" fontId="150" fillId="0" borderId="0" xfId="1446" applyNumberFormat="1" applyFont="1" applyAlignment="1">
      <alignment horizontal="center"/>
    </xf>
    <xf numFmtId="172" fontId="150" fillId="0" borderId="466" xfId="1446" applyNumberFormat="1" applyFont="1" applyBorder="1" applyAlignment="1">
      <alignment horizontal="center"/>
    </xf>
    <xf numFmtId="172" fontId="150" fillId="0" borderId="443" xfId="1446" applyNumberFormat="1" applyFont="1" applyBorder="1" applyAlignment="1">
      <alignment horizontal="center"/>
    </xf>
    <xf numFmtId="172" fontId="168" fillId="0" borderId="487" xfId="1446" applyNumberFormat="1" applyFont="1" applyBorder="1" applyAlignment="1">
      <alignment horizontal="center" vertical="center"/>
    </xf>
    <xf numFmtId="4" fontId="151" fillId="0" borderId="56" xfId="1446" applyNumberFormat="1" applyFont="1" applyBorder="1" applyAlignment="1">
      <alignment horizontal="left"/>
    </xf>
    <xf numFmtId="4" fontId="150" fillId="0" borderId="56" xfId="1446" applyNumberFormat="1" applyFont="1" applyBorder="1" applyAlignment="1">
      <alignment horizontal="left"/>
    </xf>
    <xf numFmtId="4" fontId="151" fillId="0" borderId="56" xfId="1446" applyNumberFormat="1" applyFont="1" applyBorder="1" applyAlignment="1">
      <alignment horizontal="center"/>
    </xf>
    <xf numFmtId="172" fontId="168" fillId="0" borderId="466" xfId="1446" applyNumberFormat="1" applyFont="1" applyBorder="1" applyAlignment="1">
      <alignment horizontal="center" vertical="center"/>
    </xf>
    <xf numFmtId="172" fontId="167" fillId="0" borderId="0" xfId="182" applyNumberFormat="1" applyFont="1" applyAlignment="1">
      <alignment horizontal="center"/>
    </xf>
    <xf numFmtId="172" fontId="168" fillId="0" borderId="104" xfId="1446" applyNumberFormat="1" applyFont="1" applyBorder="1" applyAlignment="1">
      <alignment horizontal="center"/>
    </xf>
    <xf numFmtId="172" fontId="168" fillId="0" borderId="466" xfId="182" applyNumberFormat="1" applyFont="1" applyBorder="1" applyAlignment="1">
      <alignment horizontal="center"/>
    </xf>
    <xf numFmtId="172" fontId="167" fillId="0" borderId="466" xfId="182" applyNumberFormat="1" applyFont="1" applyBorder="1" applyAlignment="1">
      <alignment horizontal="center"/>
    </xf>
    <xf numFmtId="172" fontId="167" fillId="0" borderId="0" xfId="182" applyNumberFormat="1" applyFont="1" applyAlignment="1">
      <alignment horizontal="center" vertical="center"/>
    </xf>
    <xf numFmtId="172" fontId="167" fillId="0" borderId="0" xfId="1451" applyNumberFormat="1" applyFont="1" applyAlignment="1">
      <alignment horizontal="center"/>
    </xf>
    <xf numFmtId="171" fontId="151" fillId="0" borderId="437" xfId="182" applyNumberFormat="1" applyFont="1" applyBorder="1" applyAlignment="1">
      <alignment horizontal="center" vertical="center"/>
    </xf>
    <xf numFmtId="171" fontId="150" fillId="0" borderId="0" xfId="182" applyNumberFormat="1" applyFont="1" applyAlignment="1">
      <alignment horizontal="center"/>
    </xf>
    <xf numFmtId="171" fontId="151" fillId="0" borderId="419" xfId="182" applyNumberFormat="1" applyFont="1" applyBorder="1" applyAlignment="1">
      <alignment horizontal="center"/>
    </xf>
    <xf numFmtId="171" fontId="146" fillId="0" borderId="0" xfId="182" applyNumberFormat="1" applyFont="1" applyAlignment="1">
      <alignment horizontal="center"/>
    </xf>
    <xf numFmtId="171" fontId="151" fillId="0" borderId="498" xfId="182" applyNumberFormat="1" applyFont="1" applyBorder="1" applyAlignment="1">
      <alignment horizontal="center"/>
    </xf>
    <xf numFmtId="171" fontId="155" fillId="0" borderId="466" xfId="149" applyNumberFormat="1" applyFont="1" applyBorder="1" applyAlignment="1">
      <alignment horizontal="center"/>
    </xf>
    <xf numFmtId="171" fontId="152" fillId="0" borderId="499" xfId="149" applyNumberFormat="1" applyFont="1" applyBorder="1" applyAlignment="1">
      <alignment horizontal="center"/>
    </xf>
    <xf numFmtId="0" fontId="150" fillId="0" borderId="56" xfId="182" applyFont="1" applyBorder="1"/>
    <xf numFmtId="171" fontId="152" fillId="0" borderId="500" xfId="149" applyNumberFormat="1" applyFont="1" applyBorder="1" applyAlignment="1">
      <alignment horizontal="center"/>
    </xf>
    <xf numFmtId="0" fontId="151" fillId="0" borderId="56" xfId="182" applyFont="1" applyBorder="1"/>
    <xf numFmtId="171" fontId="152" fillId="0" borderId="419" xfId="149" applyNumberFormat="1" applyFont="1" applyBorder="1" applyAlignment="1">
      <alignment horizontal="center"/>
    </xf>
    <xf numFmtId="4" fontId="168" fillId="0" borderId="90" xfId="1446" applyNumberFormat="1" applyFont="1" applyBorder="1" applyAlignment="1">
      <alignment horizontal="left" vertical="center"/>
    </xf>
    <xf numFmtId="2" fontId="167" fillId="0" borderId="0" xfId="182" applyNumberFormat="1" applyFont="1"/>
    <xf numFmtId="9" fontId="168" fillId="0" borderId="0" xfId="149" applyFont="1" applyFill="1"/>
    <xf numFmtId="172" fontId="147" fillId="32" borderId="500" xfId="57" applyNumberFormat="1" applyFont="1" applyFill="1" applyBorder="1" applyAlignment="1">
      <alignment horizontal="center"/>
    </xf>
    <xf numFmtId="0" fontId="146" fillId="0" borderId="56" xfId="122" applyFont="1" applyBorder="1"/>
    <xf numFmtId="172" fontId="150" fillId="0" borderId="419" xfId="1446" applyNumberFormat="1" applyFont="1" applyBorder="1" applyAlignment="1">
      <alignment horizontal="center"/>
    </xf>
    <xf numFmtId="172" fontId="167" fillId="0" borderId="466" xfId="1446" applyNumberFormat="1" applyFont="1" applyBorder="1" applyAlignment="1">
      <alignment horizontal="center"/>
    </xf>
    <xf numFmtId="172" fontId="168" fillId="0" borderId="499" xfId="1446" applyNumberFormat="1" applyFont="1" applyBorder="1" applyAlignment="1">
      <alignment horizontal="center" vertical="center"/>
    </xf>
    <xf numFmtId="0" fontId="242" fillId="33" borderId="174" xfId="122" applyFont="1" applyFill="1" applyBorder="1" applyAlignment="1">
      <alignment horizontal="center"/>
    </xf>
    <xf numFmtId="0" fontId="242" fillId="0" borderId="176" xfId="0" applyFont="1" applyBorder="1"/>
    <xf numFmtId="0" fontId="242" fillId="0" borderId="435" xfId="0" applyFont="1" applyBorder="1" applyAlignment="1">
      <alignment horizontal="center"/>
    </xf>
    <xf numFmtId="0" fontId="242" fillId="0" borderId="435" xfId="0" applyFont="1" applyBorder="1" applyAlignment="1">
      <alignment horizontal="center" vertical="center"/>
    </xf>
    <xf numFmtId="0" fontId="242" fillId="0" borderId="490" xfId="0" applyFont="1" applyBorder="1" applyAlignment="1">
      <alignment horizontal="center" vertical="center"/>
    </xf>
    <xf numFmtId="0" fontId="242" fillId="0" borderId="403" xfId="0" applyFont="1" applyBorder="1" applyAlignment="1">
      <alignment horizontal="center" vertical="center"/>
    </xf>
    <xf numFmtId="0" fontId="243" fillId="0" borderId="57" xfId="0" applyFont="1" applyBorder="1"/>
    <xf numFmtId="0" fontId="243" fillId="0" borderId="252" xfId="0" applyFont="1" applyBorder="1" applyAlignment="1">
      <alignment horizontal="center"/>
    </xf>
    <xf numFmtId="175" fontId="242" fillId="0" borderId="439" xfId="0" applyNumberFormat="1" applyFont="1" applyBorder="1" applyAlignment="1">
      <alignment horizontal="center"/>
    </xf>
    <xf numFmtId="175" fontId="242" fillId="0" borderId="252" xfId="0" applyNumberFormat="1" applyFont="1" applyBorder="1" applyAlignment="1">
      <alignment horizontal="center"/>
    </xf>
    <xf numFmtId="175" fontId="242" fillId="0" borderId="480" xfId="0" applyNumberFormat="1" applyFont="1" applyBorder="1" applyAlignment="1">
      <alignment horizontal="center"/>
    </xf>
    <xf numFmtId="0" fontId="243" fillId="0" borderId="437" xfId="0" applyFont="1" applyBorder="1"/>
    <xf numFmtId="172" fontId="243" fillId="0" borderId="252" xfId="0" applyNumberFormat="1" applyFont="1" applyBorder="1" applyAlignment="1">
      <alignment horizontal="center"/>
    </xf>
    <xf numFmtId="175" fontId="243" fillId="0" borderId="252" xfId="0" applyNumberFormat="1" applyFont="1" applyBorder="1" applyAlignment="1">
      <alignment horizontal="center"/>
    </xf>
    <xf numFmtId="0" fontId="243" fillId="0" borderId="57" xfId="0" applyFont="1" applyBorder="1" applyAlignment="1">
      <alignment horizontal="left"/>
    </xf>
    <xf numFmtId="172" fontId="243" fillId="0" borderId="331" xfId="0" applyNumberFormat="1" applyFont="1" applyBorder="1" applyAlignment="1">
      <alignment horizontal="center"/>
    </xf>
    <xf numFmtId="172" fontId="243" fillId="0" borderId="252" xfId="0" applyNumberFormat="1" applyFont="1" applyBorder="1" applyAlignment="1">
      <alignment horizontal="center" vertical="center"/>
    </xf>
    <xf numFmtId="172" fontId="243" fillId="0" borderId="331" xfId="0" applyNumberFormat="1" applyFont="1" applyBorder="1" applyAlignment="1">
      <alignment horizontal="center" vertical="center"/>
    </xf>
    <xf numFmtId="172" fontId="243" fillId="0" borderId="357" xfId="0" applyNumberFormat="1" applyFont="1" applyBorder="1" applyAlignment="1">
      <alignment horizontal="center" vertical="center"/>
    </xf>
    <xf numFmtId="0" fontId="243" fillId="0" borderId="359" xfId="0" applyFont="1" applyBorder="1"/>
    <xf numFmtId="0" fontId="242" fillId="0" borderId="170" xfId="0" applyFont="1" applyBorder="1"/>
    <xf numFmtId="172" fontId="242" fillId="0" borderId="171" xfId="0" applyNumberFormat="1" applyFont="1" applyBorder="1" applyAlignment="1">
      <alignment horizontal="center"/>
    </xf>
    <xf numFmtId="246" fontId="242" fillId="0" borderId="171" xfId="0" applyNumberFormat="1" applyFont="1" applyBorder="1" applyAlignment="1">
      <alignment horizontal="center"/>
    </xf>
    <xf numFmtId="246" fontId="242" fillId="0" borderId="107" xfId="0" applyNumberFormat="1" applyFont="1" applyBorder="1" applyAlignment="1">
      <alignment horizontal="center"/>
    </xf>
    <xf numFmtId="246" fontId="242" fillId="0" borderId="104" xfId="0" applyNumberFormat="1" applyFont="1" applyBorder="1" applyAlignment="1">
      <alignment horizontal="center"/>
    </xf>
    <xf numFmtId="0" fontId="242" fillId="0" borderId="308" xfId="0" applyFont="1" applyBorder="1"/>
    <xf numFmtId="171" fontId="242" fillId="0" borderId="357" xfId="149" applyNumberFormat="1" applyFont="1" applyFill="1" applyBorder="1" applyAlignment="1">
      <alignment horizontal="center"/>
    </xf>
    <xf numFmtId="171" fontId="242" fillId="0" borderId="381" xfId="149" applyNumberFormat="1" applyFont="1" applyFill="1" applyBorder="1" applyAlignment="1">
      <alignment horizontal="center"/>
    </xf>
    <xf numFmtId="171" fontId="242" fillId="0" borderId="444" xfId="149" applyNumberFormat="1" applyFont="1" applyFill="1" applyBorder="1" applyAlignment="1">
      <alignment horizontal="center" vertical="center"/>
    </xf>
    <xf numFmtId="171" fontId="242" fillId="0" borderId="441" xfId="149" applyNumberFormat="1" applyFont="1" applyFill="1" applyBorder="1" applyAlignment="1">
      <alignment horizontal="center" vertical="center"/>
    </xf>
    <xf numFmtId="4" fontId="243" fillId="0" borderId="0" xfId="0" applyNumberFormat="1" applyFont="1" applyAlignment="1">
      <alignment horizontal="center"/>
    </xf>
    <xf numFmtId="0" fontId="243" fillId="0" borderId="321" xfId="0" applyFont="1" applyBorder="1"/>
    <xf numFmtId="0" fontId="243" fillId="0" borderId="399" xfId="0" applyFont="1" applyBorder="1"/>
    <xf numFmtId="0" fontId="243" fillId="0" borderId="443" xfId="0" applyFont="1" applyBorder="1"/>
    <xf numFmtId="4" fontId="246" fillId="0" borderId="0" xfId="0" applyNumberFormat="1" applyFont="1" applyAlignment="1">
      <alignment horizontal="center"/>
    </xf>
    <xf numFmtId="0" fontId="246" fillId="0" borderId="0" xfId="0" applyFont="1" applyAlignment="1">
      <alignment horizontal="center"/>
    </xf>
    <xf numFmtId="0" fontId="246" fillId="0" borderId="0" xfId="0" applyFont="1"/>
    <xf numFmtId="0" fontId="141" fillId="0" borderId="0" xfId="122" applyFont="1"/>
    <xf numFmtId="0" fontId="253" fillId="0" borderId="0" xfId="122" applyFont="1" applyAlignment="1">
      <alignment horizontal="center"/>
    </xf>
    <xf numFmtId="0" fontId="253" fillId="0" borderId="174" xfId="122" applyFont="1" applyBorder="1" applyAlignment="1">
      <alignment horizontal="center"/>
    </xf>
    <xf numFmtId="0" fontId="253" fillId="0" borderId="490" xfId="122" applyFont="1" applyBorder="1" applyAlignment="1">
      <alignment horizontal="center"/>
    </xf>
    <xf numFmtId="0" fontId="253" fillId="0" borderId="347" xfId="122" applyFont="1" applyBorder="1" applyAlignment="1">
      <alignment horizontal="center"/>
    </xf>
    <xf numFmtId="0" fontId="253" fillId="0" borderId="488" xfId="122" applyFont="1" applyBorder="1" applyAlignment="1">
      <alignment horizontal="center"/>
    </xf>
    <xf numFmtId="0" fontId="253" fillId="0" borderId="176" xfId="122" applyFont="1" applyBorder="1" applyAlignment="1">
      <alignment horizontal="center"/>
    </xf>
    <xf numFmtId="0" fontId="253" fillId="0" borderId="348" xfId="122" applyFont="1" applyBorder="1" applyAlignment="1">
      <alignment horizontal="center"/>
    </xf>
    <xf numFmtId="0" fontId="141" fillId="0" borderId="56" xfId="122" applyFont="1" applyBorder="1" applyAlignment="1">
      <alignment horizontal="center"/>
    </xf>
    <xf numFmtId="0" fontId="141" fillId="0" borderId="329" xfId="122" applyFont="1" applyBorder="1"/>
    <xf numFmtId="0" fontId="253" fillId="0" borderId="330" xfId="122" applyFont="1" applyBorder="1"/>
    <xf numFmtId="0" fontId="141" fillId="0" borderId="294" xfId="122" applyFont="1" applyBorder="1"/>
    <xf numFmtId="0" fontId="141" fillId="0" borderId="480" xfId="122" applyFont="1" applyBorder="1"/>
    <xf numFmtId="0" fontId="253" fillId="0" borderId="442" xfId="122" applyFont="1" applyBorder="1"/>
    <xf numFmtId="3" fontId="141" fillId="0" borderId="0" xfId="122" applyNumberFormat="1" applyFont="1"/>
    <xf numFmtId="3" fontId="253" fillId="0" borderId="330" xfId="122" applyNumberFormat="1" applyFont="1" applyBorder="1"/>
    <xf numFmtId="3" fontId="141" fillId="0" borderId="56" xfId="122" applyNumberFormat="1" applyFont="1" applyBorder="1"/>
    <xf numFmtId="3" fontId="141" fillId="0" borderId="329" xfId="122" applyNumberFormat="1" applyFont="1" applyBorder="1"/>
    <xf numFmtId="3" fontId="253" fillId="0" borderId="24" xfId="122" applyNumberFormat="1" applyFont="1" applyBorder="1"/>
    <xf numFmtId="3" fontId="141" fillId="0" borderId="329" xfId="122" applyNumberFormat="1" applyFont="1" applyBorder="1" applyAlignment="1">
      <alignment horizontal="center"/>
    </xf>
    <xf numFmtId="3" fontId="141" fillId="0" borderId="0" xfId="122" applyNumberFormat="1" applyFont="1" applyAlignment="1">
      <alignment horizontal="center"/>
    </xf>
    <xf numFmtId="3" fontId="253" fillId="0" borderId="330" xfId="122" applyNumberFormat="1" applyFont="1" applyBorder="1" applyAlignment="1">
      <alignment horizontal="center"/>
    </xf>
    <xf numFmtId="3" fontId="141" fillId="0" borderId="56" xfId="122" applyNumberFormat="1" applyFont="1" applyBorder="1" applyAlignment="1">
      <alignment horizontal="center"/>
    </xf>
    <xf numFmtId="3" fontId="253" fillId="0" borderId="24" xfId="122" applyNumberFormat="1" applyFont="1" applyBorder="1" applyAlignment="1">
      <alignment horizontal="center"/>
    </xf>
    <xf numFmtId="0" fontId="141" fillId="0" borderId="329" xfId="122" applyFont="1" applyBorder="1" applyAlignment="1">
      <alignment horizontal="center"/>
    </xf>
    <xf numFmtId="0" fontId="253" fillId="0" borderId="56" xfId="122" applyFont="1" applyBorder="1" applyAlignment="1">
      <alignment horizontal="center"/>
    </xf>
    <xf numFmtId="171" fontId="141" fillId="0" borderId="0" xfId="149" applyNumberFormat="1" applyFont="1" applyFill="1" applyBorder="1"/>
    <xf numFmtId="37" fontId="338" fillId="0" borderId="0" xfId="122" applyNumberFormat="1" applyFont="1"/>
    <xf numFmtId="0" fontId="339" fillId="0" borderId="0" xfId="122" applyFont="1"/>
    <xf numFmtId="171" fontId="339" fillId="0" borderId="0" xfId="149" applyNumberFormat="1" applyFont="1" applyFill="1" applyBorder="1"/>
    <xf numFmtId="0" fontId="254" fillId="0" borderId="0" xfId="122" applyFont="1" applyAlignment="1">
      <alignment horizontal="left"/>
    </xf>
    <xf numFmtId="0" fontId="254" fillId="0" borderId="0" xfId="122" applyFont="1" applyAlignment="1">
      <alignment horizontal="center"/>
    </xf>
    <xf numFmtId="0" fontId="271" fillId="0" borderId="0" xfId="122" applyFont="1"/>
    <xf numFmtId="0" fontId="141" fillId="0" borderId="0" xfId="122" applyFont="1" applyAlignment="1">
      <alignment horizontal="center"/>
    </xf>
    <xf numFmtId="3" fontId="253" fillId="0" borderId="0" xfId="122" applyNumberFormat="1" applyFont="1"/>
    <xf numFmtId="171" fontId="253" fillId="0" borderId="0" xfId="149" applyNumberFormat="1" applyFont="1" applyFill="1"/>
    <xf numFmtId="171" fontId="141" fillId="0" borderId="0" xfId="149" applyNumberFormat="1" applyFont="1" applyFill="1"/>
    <xf numFmtId="3" fontId="158" fillId="0" borderId="24" xfId="0" applyNumberFormat="1" applyFont="1" applyBorder="1" applyAlignment="1">
      <alignment horizontal="center"/>
    </xf>
    <xf numFmtId="0" fontId="340" fillId="0" borderId="0" xfId="0" applyFont="1"/>
    <xf numFmtId="182" fontId="341" fillId="0" borderId="0" xfId="0" applyNumberFormat="1" applyFont="1" applyAlignment="1">
      <alignment horizontal="center"/>
    </xf>
    <xf numFmtId="182" fontId="341" fillId="0" borderId="298" xfId="0" applyNumberFormat="1" applyFont="1" applyBorder="1" applyAlignment="1">
      <alignment horizontal="center"/>
    </xf>
    <xf numFmtId="182" fontId="341" fillId="0" borderId="292" xfId="0" applyNumberFormat="1" applyFont="1" applyBorder="1" applyAlignment="1">
      <alignment horizontal="center"/>
    </xf>
    <xf numFmtId="182" fontId="341" fillId="0" borderId="297" xfId="0" applyNumberFormat="1" applyFont="1" applyBorder="1" applyAlignment="1">
      <alignment horizontal="center"/>
    </xf>
    <xf numFmtId="3" fontId="341" fillId="0" borderId="292" xfId="0" applyNumberFormat="1" applyFont="1" applyBorder="1" applyAlignment="1">
      <alignment horizontal="center"/>
    </xf>
    <xf numFmtId="3" fontId="341" fillId="0" borderId="298" xfId="0" applyNumberFormat="1" applyFont="1" applyBorder="1" applyAlignment="1">
      <alignment horizontal="center"/>
    </xf>
    <xf numFmtId="3" fontId="341" fillId="0" borderId="297" xfId="0" applyNumberFormat="1" applyFont="1" applyBorder="1" applyAlignment="1">
      <alignment horizontal="center"/>
    </xf>
    <xf numFmtId="3" fontId="341" fillId="0" borderId="0" xfId="0" applyNumberFormat="1" applyFont="1" applyAlignment="1">
      <alignment horizontal="center"/>
    </xf>
    <xf numFmtId="0" fontId="342" fillId="0" borderId="290" xfId="0" applyFont="1" applyBorder="1" applyAlignment="1">
      <alignment horizontal="center"/>
    </xf>
    <xf numFmtId="0" fontId="342" fillId="0" borderId="0" xfId="0" applyFont="1" applyAlignment="1">
      <alignment horizontal="center"/>
    </xf>
    <xf numFmtId="182" fontId="341" fillId="0" borderId="176" xfId="0" applyNumberFormat="1" applyFont="1" applyBorder="1" applyAlignment="1">
      <alignment horizontal="left" vertical="center"/>
    </xf>
    <xf numFmtId="183" fontId="341" fillId="0" borderId="188" xfId="0" applyNumberFormat="1" applyFont="1" applyBorder="1" applyAlignment="1">
      <alignment horizontal="center" vertical="center"/>
    </xf>
    <xf numFmtId="182" fontId="341" fillId="0" borderId="188" xfId="0" applyNumberFormat="1" applyFont="1" applyBorder="1" applyAlignment="1">
      <alignment horizontal="center" vertical="center"/>
    </xf>
    <xf numFmtId="182" fontId="341" fillId="0" borderId="291" xfId="0" applyNumberFormat="1" applyFont="1" applyBorder="1" applyAlignment="1">
      <alignment horizontal="center" vertical="center"/>
    </xf>
    <xf numFmtId="182" fontId="341" fillId="0" borderId="214" xfId="0" applyNumberFormat="1" applyFont="1" applyBorder="1" applyAlignment="1">
      <alignment horizontal="center" vertical="center"/>
    </xf>
    <xf numFmtId="1" fontId="341" fillId="0" borderId="188" xfId="0" applyNumberFormat="1" applyFont="1" applyBorder="1" applyAlignment="1">
      <alignment horizontal="center" vertical="center"/>
    </xf>
    <xf numFmtId="1" fontId="341" fillId="0" borderId="291" xfId="0" applyNumberFormat="1" applyFont="1" applyBorder="1" applyAlignment="1">
      <alignment horizontal="center" vertical="center"/>
    </xf>
    <xf numFmtId="1" fontId="341" fillId="0" borderId="425" xfId="0" applyNumberFormat="1" applyFont="1" applyBorder="1" applyAlignment="1">
      <alignment horizontal="center" vertical="center"/>
    </xf>
    <xf numFmtId="1" fontId="341" fillId="0" borderId="173" xfId="0" applyNumberFormat="1" applyFont="1" applyBorder="1" applyAlignment="1">
      <alignment horizontal="center" vertical="center"/>
    </xf>
    <xf numFmtId="1" fontId="341" fillId="32" borderId="173" xfId="0" applyNumberFormat="1" applyFont="1" applyFill="1" applyBorder="1" applyAlignment="1">
      <alignment horizontal="center" vertical="center" wrapText="1"/>
    </xf>
    <xf numFmtId="1" fontId="341" fillId="32" borderId="190" xfId="0" applyNumberFormat="1" applyFont="1" applyFill="1" applyBorder="1" applyAlignment="1">
      <alignment horizontal="center" vertical="center" wrapText="1"/>
    </xf>
    <xf numFmtId="182" fontId="340" fillId="0" borderId="90" xfId="0" applyNumberFormat="1" applyFont="1" applyBorder="1"/>
    <xf numFmtId="183" fontId="340" fillId="0" borderId="0" xfId="0" applyNumberFormat="1" applyFont="1"/>
    <xf numFmtId="182" fontId="340" fillId="0" borderId="0" xfId="0" applyNumberFormat="1" applyFont="1"/>
    <xf numFmtId="182" fontId="340" fillId="0" borderId="200" xfId="0" applyNumberFormat="1" applyFont="1" applyBorder="1"/>
    <xf numFmtId="182" fontId="340" fillId="0" borderId="219" xfId="0" applyNumberFormat="1" applyFont="1" applyBorder="1"/>
    <xf numFmtId="3" fontId="340" fillId="0" borderId="292" xfId="0" applyNumberFormat="1" applyFont="1" applyBorder="1"/>
    <xf numFmtId="3" fontId="340" fillId="0" borderId="0" xfId="0" applyNumberFormat="1" applyFont="1"/>
    <xf numFmtId="3" fontId="340" fillId="0" borderId="200" xfId="0" applyNumberFormat="1" applyFont="1" applyBorder="1"/>
    <xf numFmtId="3" fontId="340" fillId="0" borderId="329" xfId="0" applyNumberFormat="1" applyFont="1" applyBorder="1"/>
    <xf numFmtId="182" fontId="340" fillId="0" borderId="292" xfId="0" applyNumberFormat="1" applyFont="1" applyBorder="1"/>
    <xf numFmtId="182" fontId="340" fillId="0" borderId="329" xfId="0" applyNumberFormat="1" applyFont="1" applyBorder="1"/>
    <xf numFmtId="182" fontId="340" fillId="0" borderId="252" xfId="0" applyNumberFormat="1" applyFont="1" applyBorder="1"/>
    <xf numFmtId="182" fontId="340" fillId="0" borderId="455" xfId="0" applyNumberFormat="1" applyFont="1" applyBorder="1"/>
    <xf numFmtId="182" fontId="340" fillId="32" borderId="252" xfId="0" applyNumberFormat="1" applyFont="1" applyFill="1" applyBorder="1"/>
    <xf numFmtId="182" fontId="340" fillId="32" borderId="134" xfId="0" applyNumberFormat="1" applyFont="1" applyFill="1" applyBorder="1"/>
    <xf numFmtId="3" fontId="340" fillId="0" borderId="200" xfId="0" applyNumberFormat="1" applyFont="1" applyBorder="1" applyAlignment="1">
      <alignment horizontal="center"/>
    </xf>
    <xf numFmtId="3" fontId="340" fillId="0" borderId="0" xfId="0" applyNumberFormat="1" applyFont="1" applyAlignment="1">
      <alignment horizontal="center"/>
    </xf>
    <xf numFmtId="3" fontId="340" fillId="0" borderId="198" xfId="0" applyNumberFormat="1" applyFont="1" applyBorder="1" applyAlignment="1">
      <alignment horizontal="center"/>
    </xf>
    <xf numFmtId="172" fontId="340" fillId="0" borderId="329" xfId="0" applyNumberFormat="1" applyFont="1" applyBorder="1" applyAlignment="1">
      <alignment horizontal="center"/>
    </xf>
    <xf numFmtId="172" fontId="340" fillId="0" borderId="455" xfId="0" applyNumberFormat="1" applyFont="1" applyBorder="1" applyAlignment="1">
      <alignment horizontal="center"/>
    </xf>
    <xf numFmtId="171" fontId="340" fillId="32" borderId="252" xfId="149" applyNumberFormat="1" applyFont="1" applyFill="1" applyBorder="1" applyAlignment="1">
      <alignment horizontal="center"/>
    </xf>
    <xf numFmtId="171" fontId="340" fillId="32" borderId="134" xfId="149" applyNumberFormat="1" applyFont="1" applyFill="1" applyBorder="1" applyAlignment="1">
      <alignment horizontal="center"/>
    </xf>
    <xf numFmtId="171" fontId="340" fillId="0" borderId="0" xfId="0" applyNumberFormat="1" applyFont="1" applyAlignment="1">
      <alignment horizontal="center"/>
    </xf>
    <xf numFmtId="3" fontId="340" fillId="0" borderId="329" xfId="0" applyNumberFormat="1" applyFont="1" applyBorder="1" applyAlignment="1">
      <alignment horizontal="center"/>
    </xf>
    <xf numFmtId="3" fontId="340" fillId="0" borderId="329" xfId="57" applyNumberFormat="1" applyFont="1" applyFill="1" applyBorder="1" applyAlignment="1">
      <alignment horizontal="center"/>
    </xf>
    <xf numFmtId="3" fontId="340" fillId="0" borderId="455" xfId="57" applyNumberFormat="1" applyFont="1" applyFill="1" applyBorder="1" applyAlignment="1">
      <alignment horizontal="center"/>
    </xf>
    <xf numFmtId="38" fontId="340" fillId="0" borderId="0" xfId="0" applyNumberFormat="1" applyFont="1"/>
    <xf numFmtId="182" fontId="340" fillId="0" borderId="56" xfId="0" applyNumberFormat="1" applyFont="1" applyBorder="1"/>
    <xf numFmtId="182" fontId="340" fillId="0" borderId="52" xfId="0" applyNumberFormat="1" applyFont="1" applyBorder="1"/>
    <xf numFmtId="3" fontId="340" fillId="0" borderId="278" xfId="0" applyNumberFormat="1" applyFont="1" applyBorder="1"/>
    <xf numFmtId="3" fontId="340" fillId="0" borderId="275" xfId="0" applyNumberFormat="1" applyFont="1" applyBorder="1" applyAlignment="1">
      <alignment horizontal="center"/>
    </xf>
    <xf numFmtId="3" fontId="340" fillId="0" borderId="28" xfId="0" applyNumberFormat="1" applyFont="1" applyBorder="1" applyAlignment="1">
      <alignment horizontal="center"/>
    </xf>
    <xf numFmtId="3" fontId="340" fillId="0" borderId="269" xfId="0" applyNumberFormat="1" applyFont="1" applyBorder="1" applyAlignment="1">
      <alignment horizontal="center"/>
    </xf>
    <xf numFmtId="3" fontId="340" fillId="0" borderId="19" xfId="0" applyNumberFormat="1" applyFont="1" applyBorder="1" applyAlignment="1">
      <alignment horizontal="center"/>
    </xf>
    <xf numFmtId="3" fontId="340" fillId="0" borderId="280" xfId="0" applyNumberFormat="1" applyFont="1" applyBorder="1" applyAlignment="1">
      <alignment horizontal="center"/>
    </xf>
    <xf numFmtId="3" fontId="340" fillId="0" borderId="418" xfId="0" applyNumberFormat="1" applyFont="1" applyBorder="1" applyAlignment="1">
      <alignment horizontal="center"/>
    </xf>
    <xf numFmtId="3" fontId="340" fillId="0" borderId="418" xfId="57" applyNumberFormat="1" applyFont="1" applyFill="1" applyBorder="1" applyAlignment="1">
      <alignment horizontal="center"/>
    </xf>
    <xf numFmtId="3" fontId="340" fillId="0" borderId="252" xfId="0" applyNumberFormat="1" applyFont="1" applyBorder="1" applyAlignment="1">
      <alignment horizontal="center"/>
    </xf>
    <xf numFmtId="3" fontId="340" fillId="0" borderId="455" xfId="0" applyNumberFormat="1" applyFont="1" applyBorder="1" applyAlignment="1">
      <alignment horizontal="center"/>
    </xf>
    <xf numFmtId="3" fontId="340" fillId="32" borderId="268" xfId="0" applyNumberFormat="1" applyFont="1" applyFill="1" applyBorder="1" applyAlignment="1">
      <alignment horizontal="center"/>
    </xf>
    <xf numFmtId="0" fontId="340" fillId="0" borderId="24" xfId="0" applyFont="1" applyBorder="1"/>
    <xf numFmtId="182" fontId="341" fillId="0" borderId="278" xfId="0" applyNumberFormat="1" applyFont="1" applyBorder="1"/>
    <xf numFmtId="3" fontId="341" fillId="0" borderId="19" xfId="0" applyNumberFormat="1" applyFont="1" applyBorder="1"/>
    <xf numFmtId="3" fontId="341" fillId="0" borderId="269" xfId="0" applyNumberFormat="1" applyFont="1" applyBorder="1" applyAlignment="1">
      <alignment horizontal="center"/>
    </xf>
    <xf numFmtId="3" fontId="341" fillId="0" borderId="28" xfId="0" applyNumberFormat="1" applyFont="1" applyBorder="1" applyAlignment="1">
      <alignment horizontal="center"/>
    </xf>
    <xf numFmtId="3" fontId="341" fillId="0" borderId="280" xfId="0" applyNumberFormat="1" applyFont="1" applyBorder="1" applyAlignment="1">
      <alignment horizontal="center"/>
    </xf>
    <xf numFmtId="3" fontId="341" fillId="0" borderId="275" xfId="0" applyNumberFormat="1" applyFont="1" applyBorder="1" applyAlignment="1">
      <alignment horizontal="center"/>
    </xf>
    <xf numFmtId="172" fontId="341" fillId="0" borderId="417" xfId="0" applyNumberFormat="1" applyFont="1" applyBorder="1" applyAlignment="1">
      <alignment horizontal="center"/>
    </xf>
    <xf numFmtId="172" fontId="341" fillId="0" borderId="417" xfId="57" applyNumberFormat="1" applyFont="1" applyFill="1" applyBorder="1" applyAlignment="1">
      <alignment horizontal="center"/>
    </xf>
    <xf numFmtId="171" fontId="341" fillId="32" borderId="304" xfId="149" applyNumberFormat="1" applyFont="1" applyFill="1" applyBorder="1" applyAlignment="1">
      <alignment horizontal="center"/>
    </xf>
    <xf numFmtId="9" fontId="341" fillId="32" borderId="341" xfId="149" applyFont="1" applyFill="1" applyBorder="1" applyAlignment="1">
      <alignment horizontal="center"/>
    </xf>
    <xf numFmtId="9" fontId="340" fillId="0" borderId="0" xfId="149" applyFont="1" applyFill="1" applyBorder="1"/>
    <xf numFmtId="182" fontId="340" fillId="0" borderId="264" xfId="0" applyNumberFormat="1" applyFont="1" applyBorder="1"/>
    <xf numFmtId="3" fontId="340" fillId="0" borderId="116" xfId="0" applyNumberFormat="1" applyFont="1" applyBorder="1" applyAlignment="1">
      <alignment horizontal="center"/>
    </xf>
    <xf numFmtId="3" fontId="340" fillId="32" borderId="252" xfId="0" applyNumberFormat="1" applyFont="1" applyFill="1" applyBorder="1" applyAlignment="1">
      <alignment horizontal="center"/>
    </xf>
    <xf numFmtId="3" fontId="340" fillId="32" borderId="134" xfId="0" applyNumberFormat="1" applyFont="1" applyFill="1" applyBorder="1" applyAlignment="1">
      <alignment horizontal="center"/>
    </xf>
    <xf numFmtId="184" fontId="340" fillId="0" borderId="116" xfId="0" applyNumberFormat="1" applyFont="1" applyBorder="1" applyAlignment="1">
      <alignment horizontal="center"/>
    </xf>
    <xf numFmtId="172" fontId="340" fillId="0" borderId="329" xfId="57" applyNumberFormat="1" applyFont="1" applyFill="1" applyBorder="1" applyAlignment="1">
      <alignment horizontal="center"/>
    </xf>
    <xf numFmtId="172" fontId="340" fillId="0" borderId="455" xfId="57" applyNumberFormat="1" applyFont="1" applyFill="1" applyBorder="1" applyAlignment="1">
      <alignment horizontal="center"/>
    </xf>
    <xf numFmtId="2" fontId="340" fillId="0" borderId="198" xfId="149" applyNumberFormat="1" applyFont="1" applyFill="1" applyBorder="1" applyAlignment="1">
      <alignment horizontal="center"/>
    </xf>
    <xf numFmtId="182" fontId="341" fillId="0" borderId="276" xfId="0" applyNumberFormat="1" applyFont="1" applyBorder="1"/>
    <xf numFmtId="38" fontId="341" fillId="0" borderId="278" xfId="0" applyNumberFormat="1" applyFont="1" applyBorder="1"/>
    <xf numFmtId="3" fontId="341" fillId="0" borderId="278" xfId="0" applyNumberFormat="1" applyFont="1" applyBorder="1"/>
    <xf numFmtId="3" fontId="341" fillId="0" borderId="276" xfId="0" applyNumberFormat="1" applyFont="1" applyBorder="1" applyAlignment="1">
      <alignment horizontal="center"/>
    </xf>
    <xf numFmtId="3" fontId="341" fillId="0" borderId="273" xfId="0" applyNumberFormat="1" applyFont="1" applyBorder="1" applyAlignment="1">
      <alignment horizontal="center"/>
    </xf>
    <xf numFmtId="171" fontId="341" fillId="32" borderId="341" xfId="149" applyNumberFormat="1" applyFont="1" applyFill="1" applyBorder="1" applyAlignment="1">
      <alignment horizontal="center"/>
    </xf>
    <xf numFmtId="3" fontId="340" fillId="0" borderId="56" xfId="0" applyNumberFormat="1" applyFont="1" applyBorder="1"/>
    <xf numFmtId="182" fontId="340" fillId="0" borderId="204" xfId="0" applyNumberFormat="1" applyFont="1" applyBorder="1"/>
    <xf numFmtId="10" fontId="340" fillId="0" borderId="284" xfId="0" applyNumberFormat="1" applyFont="1" applyBorder="1"/>
    <xf numFmtId="2" fontId="340" fillId="0" borderId="284" xfId="0" applyNumberFormat="1" applyFont="1" applyBorder="1"/>
    <xf numFmtId="2" fontId="340" fillId="0" borderId="296" xfId="0" applyNumberFormat="1" applyFont="1" applyBorder="1" applyAlignment="1">
      <alignment horizontal="center"/>
    </xf>
    <xf numFmtId="2" fontId="340" fillId="0" borderId="299" xfId="0" applyNumberFormat="1" applyFont="1" applyBorder="1" applyAlignment="1">
      <alignment horizontal="center"/>
    </xf>
    <xf numFmtId="2" fontId="340" fillId="0" borderId="284" xfId="0" applyNumberFormat="1" applyFont="1" applyBorder="1" applyAlignment="1">
      <alignment horizontal="center"/>
    </xf>
    <xf numFmtId="2" fontId="340" fillId="0" borderId="295" xfId="0" applyNumberFormat="1" applyFont="1" applyBorder="1" applyAlignment="1">
      <alignment horizontal="center"/>
    </xf>
    <xf numFmtId="171" fontId="340" fillId="0" borderId="289" xfId="149" applyNumberFormat="1" applyFont="1" applyFill="1" applyBorder="1" applyAlignment="1">
      <alignment horizontal="center"/>
    </xf>
    <xf numFmtId="171" fontId="340" fillId="0" borderId="283" xfId="149" applyNumberFormat="1" applyFont="1" applyFill="1" applyBorder="1" applyAlignment="1">
      <alignment horizontal="center"/>
    </xf>
    <xf numFmtId="171" fontId="340" fillId="0" borderId="357" xfId="149" applyNumberFormat="1" applyFont="1" applyFill="1" applyBorder="1" applyAlignment="1">
      <alignment horizontal="center"/>
    </xf>
    <xf numFmtId="171" fontId="340" fillId="32" borderId="345" xfId="149" applyNumberFormat="1" applyFont="1" applyFill="1" applyBorder="1" applyAlignment="1">
      <alignment horizontal="center"/>
    </xf>
    <xf numFmtId="3" fontId="340" fillId="32" borderId="343" xfId="149" applyNumberFormat="1" applyFont="1" applyFill="1" applyBorder="1" applyAlignment="1">
      <alignment horizontal="center"/>
    </xf>
    <xf numFmtId="0" fontId="340" fillId="0" borderId="56" xfId="0" applyFont="1" applyBorder="1"/>
    <xf numFmtId="182" fontId="340" fillId="0" borderId="0" xfId="0" applyNumberFormat="1" applyFont="1" applyAlignment="1">
      <alignment horizontal="center"/>
    </xf>
    <xf numFmtId="171" fontId="340" fillId="0" borderId="0" xfId="149" applyNumberFormat="1" applyFont="1" applyFill="1" applyAlignment="1">
      <alignment horizontal="center"/>
    </xf>
    <xf numFmtId="171" fontId="340" fillId="0" borderId="298" xfId="149" applyNumberFormat="1" applyFont="1" applyFill="1" applyBorder="1" applyAlignment="1">
      <alignment horizontal="center"/>
    </xf>
    <xf numFmtId="171" fontId="340" fillId="0" borderId="0" xfId="149" applyNumberFormat="1" applyFont="1" applyFill="1" applyBorder="1" applyAlignment="1">
      <alignment horizontal="center"/>
    </xf>
    <xf numFmtId="2" fontId="340" fillId="0" borderId="0" xfId="149" applyNumberFormat="1" applyFont="1" applyFill="1" applyBorder="1" applyAlignment="1">
      <alignment horizontal="center"/>
    </xf>
    <xf numFmtId="43" fontId="340" fillId="0" borderId="0" xfId="57" applyFont="1" applyFill="1" applyBorder="1" applyAlignment="1">
      <alignment horizontal="center"/>
    </xf>
    <xf numFmtId="184" fontId="340" fillId="0" borderId="0" xfId="0" applyNumberFormat="1" applyFont="1" applyAlignment="1">
      <alignment horizontal="center"/>
    </xf>
    <xf numFmtId="184" fontId="340" fillId="0" borderId="0" xfId="0" applyNumberFormat="1" applyFont="1"/>
    <xf numFmtId="2" fontId="340" fillId="0" borderId="0" xfId="0" applyNumberFormat="1" applyFont="1"/>
    <xf numFmtId="178" fontId="340" fillId="0" borderId="0" xfId="57" applyNumberFormat="1" applyFont="1" applyFill="1"/>
    <xf numFmtId="0" fontId="151" fillId="0" borderId="176" xfId="0" applyFont="1" applyBorder="1" applyAlignment="1">
      <alignment horizontal="center"/>
    </xf>
    <xf numFmtId="0" fontId="151" fillId="0" borderId="293" xfId="0" applyFont="1" applyBorder="1" applyAlignment="1">
      <alignment vertical="center"/>
    </xf>
    <xf numFmtId="0" fontId="151" fillId="0" borderId="90" xfId="0" applyFont="1" applyBorder="1" applyAlignment="1">
      <alignment vertical="center"/>
    </xf>
    <xf numFmtId="0" fontId="151" fillId="0" borderId="411" xfId="0" applyFont="1" applyBorder="1" applyAlignment="1">
      <alignment horizontal="left" vertical="center"/>
    </xf>
    <xf numFmtId="0" fontId="151" fillId="32" borderId="308" xfId="0" applyFont="1" applyFill="1" applyBorder="1" applyAlignment="1">
      <alignment horizontal="left" vertical="center"/>
    </xf>
    <xf numFmtId="0" fontId="160" fillId="0" borderId="321" xfId="0" applyFont="1" applyBorder="1"/>
    <xf numFmtId="0" fontId="151" fillId="0" borderId="176" xfId="0" applyFont="1" applyBorder="1" applyAlignment="1">
      <alignment horizontal="center" vertical="center"/>
    </xf>
    <xf numFmtId="0" fontId="151" fillId="0" borderId="204" xfId="0" applyFont="1" applyBorder="1" applyAlignment="1">
      <alignment horizontal="left" vertical="center" wrapText="1"/>
    </xf>
    <xf numFmtId="0" fontId="160" fillId="0" borderId="407" xfId="0" applyFont="1" applyBorder="1"/>
    <xf numFmtId="0" fontId="147" fillId="0" borderId="490" xfId="0" applyFont="1" applyBorder="1" applyAlignment="1">
      <alignment horizontal="center" vertical="center"/>
    </xf>
    <xf numFmtId="0" fontId="147" fillId="0" borderId="490" xfId="0" applyFont="1" applyBorder="1" applyAlignment="1">
      <alignment horizontal="center"/>
    </xf>
    <xf numFmtId="2" fontId="146" fillId="0" borderId="455" xfId="0" applyNumberFormat="1" applyFont="1" applyBorder="1" applyAlignment="1">
      <alignment vertical="center"/>
    </xf>
    <xf numFmtId="0" fontId="146" fillId="0" borderId="455" xfId="0" applyFont="1" applyBorder="1" applyAlignment="1">
      <alignment vertical="center"/>
    </xf>
    <xf numFmtId="2" fontId="146" fillId="0" borderId="455" xfId="0" applyNumberFormat="1" applyFont="1" applyBorder="1" applyAlignment="1">
      <alignment horizontal="center" vertical="center"/>
    </xf>
    <xf numFmtId="175" fontId="150" fillId="0" borderId="455" xfId="0" applyNumberFormat="1" applyFont="1" applyBorder="1" applyAlignment="1">
      <alignment horizontal="center" vertical="center"/>
    </xf>
    <xf numFmtId="175" fontId="150" fillId="0" borderId="437" xfId="1331" applyNumberFormat="1" applyFont="1" applyBorder="1" applyAlignment="1">
      <alignment horizontal="center"/>
    </xf>
    <xf numFmtId="175" fontId="0" fillId="0" borderId="466" xfId="0" applyNumberFormat="1" applyBorder="1"/>
    <xf numFmtId="175" fontId="150" fillId="0" borderId="466" xfId="1331" applyNumberFormat="1" applyFont="1" applyBorder="1" applyAlignment="1">
      <alignment horizontal="center"/>
    </xf>
    <xf numFmtId="2" fontId="146" fillId="0" borderId="418" xfId="0" applyNumberFormat="1" applyFont="1" applyBorder="1" applyAlignment="1">
      <alignment horizontal="center" vertical="center"/>
    </xf>
    <xf numFmtId="175" fontId="150" fillId="0" borderId="418" xfId="0" applyNumberFormat="1" applyFont="1" applyBorder="1" applyAlignment="1">
      <alignment horizontal="center" vertical="center"/>
    </xf>
    <xf numFmtId="175" fontId="150" fillId="0" borderId="280" xfId="0" applyNumberFormat="1" applyFont="1" applyBorder="1" applyAlignment="1">
      <alignment horizontal="center"/>
    </xf>
    <xf numFmtId="2" fontId="147" fillId="0" borderId="501" xfId="0" applyNumberFormat="1" applyFont="1" applyBorder="1" applyAlignment="1">
      <alignment horizontal="center" vertical="center"/>
    </xf>
    <xf numFmtId="2" fontId="147" fillId="0" borderId="501" xfId="0" applyNumberFormat="1" applyFont="1" applyBorder="1" applyAlignment="1">
      <alignment horizontal="center"/>
    </xf>
    <xf numFmtId="175" fontId="151" fillId="0" borderId="501" xfId="0" applyNumberFormat="1" applyFont="1" applyBorder="1" applyAlignment="1">
      <alignment horizontal="center"/>
    </xf>
    <xf numFmtId="175" fontId="151" fillId="0" borderId="502" xfId="0" applyNumberFormat="1" applyFont="1" applyBorder="1" applyAlignment="1">
      <alignment horizontal="center"/>
    </xf>
    <xf numFmtId="182" fontId="186" fillId="0" borderId="0" xfId="0" applyNumberFormat="1" applyFont="1"/>
    <xf numFmtId="2" fontId="186" fillId="0" borderId="0" xfId="149" applyNumberFormat="1" applyFont="1" applyFill="1" applyAlignment="1">
      <alignment horizontal="center"/>
    </xf>
    <xf numFmtId="182" fontId="187" fillId="0" borderId="174" xfId="0" applyNumberFormat="1" applyFont="1" applyBorder="1" applyAlignment="1">
      <alignment horizontal="center" vertical="center"/>
    </xf>
    <xf numFmtId="182" fontId="187" fillId="0" borderId="425" xfId="0" applyNumberFormat="1" applyFont="1" applyBorder="1" applyAlignment="1">
      <alignment horizontal="center" vertical="center"/>
    </xf>
    <xf numFmtId="182" fontId="187" fillId="0" borderId="346" xfId="0" applyNumberFormat="1" applyFont="1" applyBorder="1" applyAlignment="1">
      <alignment horizontal="center" vertical="center"/>
    </xf>
    <xf numFmtId="182" fontId="187" fillId="0" borderId="347" xfId="0" applyNumberFormat="1" applyFont="1" applyBorder="1" applyAlignment="1">
      <alignment horizontal="center" vertical="center"/>
    </xf>
    <xf numFmtId="2" fontId="187" fillId="0" borderId="489" xfId="149" applyNumberFormat="1" applyFont="1" applyFill="1" applyBorder="1" applyAlignment="1">
      <alignment horizontal="center" vertical="center"/>
    </xf>
    <xf numFmtId="182" fontId="187" fillId="0" borderId="488" xfId="0" applyNumberFormat="1" applyFont="1" applyBorder="1" applyAlignment="1">
      <alignment horizontal="center" vertical="center"/>
    </xf>
    <xf numFmtId="182" fontId="186" fillId="0" borderId="56" xfId="0" applyNumberFormat="1" applyFont="1" applyBorder="1"/>
    <xf numFmtId="3" fontId="186" fillId="0" borderId="329" xfId="0" applyNumberFormat="1" applyFont="1" applyBorder="1" applyAlignment="1">
      <alignment horizontal="center"/>
    </xf>
    <xf numFmtId="3" fontId="186" fillId="0" borderId="331" xfId="0" applyNumberFormat="1" applyFont="1" applyBorder="1" applyAlignment="1">
      <alignment horizontal="center"/>
    </xf>
    <xf numFmtId="3" fontId="186" fillId="0" borderId="480" xfId="0" applyNumberFormat="1" applyFont="1" applyBorder="1" applyAlignment="1">
      <alignment horizontal="center"/>
    </xf>
    <xf numFmtId="3" fontId="186" fillId="0" borderId="0" xfId="0" applyNumberFormat="1" applyFont="1" applyAlignment="1">
      <alignment horizontal="center"/>
    </xf>
    <xf numFmtId="3" fontId="186" fillId="0" borderId="24" xfId="0" applyNumberFormat="1" applyFont="1" applyBorder="1" applyAlignment="1">
      <alignment horizontal="center"/>
    </xf>
    <xf numFmtId="2" fontId="186" fillId="0" borderId="487" xfId="149" applyNumberFormat="1" applyFont="1" applyFill="1" applyBorder="1" applyAlignment="1">
      <alignment horizontal="center"/>
    </xf>
    <xf numFmtId="3" fontId="186" fillId="0" borderId="330" xfId="0" applyNumberFormat="1" applyFont="1" applyBorder="1" applyAlignment="1">
      <alignment horizontal="center"/>
    </xf>
    <xf numFmtId="172" fontId="186" fillId="0" borderId="455" xfId="0" applyNumberFormat="1" applyFont="1" applyBorder="1" applyAlignment="1">
      <alignment horizontal="center"/>
    </xf>
    <xf numFmtId="172" fontId="186" fillId="0" borderId="0" xfId="0" applyNumberFormat="1" applyFont="1" applyAlignment="1">
      <alignment horizontal="center"/>
    </xf>
    <xf numFmtId="175" fontId="186" fillId="0" borderId="487" xfId="149" applyNumberFormat="1" applyFont="1" applyFill="1" applyBorder="1" applyAlignment="1">
      <alignment horizontal="center"/>
    </xf>
    <xf numFmtId="171" fontId="186" fillId="0" borderId="330" xfId="122" applyNumberFormat="1" applyFont="1" applyBorder="1" applyAlignment="1">
      <alignment horizontal="center"/>
    </xf>
    <xf numFmtId="171" fontId="186" fillId="0" borderId="0" xfId="0" applyNumberFormat="1" applyFont="1" applyAlignment="1">
      <alignment horizontal="center"/>
    </xf>
    <xf numFmtId="172" fontId="186" fillId="0" borderId="455" xfId="122" applyNumberFormat="1" applyFont="1" applyBorder="1" applyAlignment="1">
      <alignment horizontal="center"/>
    </xf>
    <xf numFmtId="172" fontId="186" fillId="0" borderId="0" xfId="122" applyNumberFormat="1" applyFont="1" applyAlignment="1">
      <alignment horizontal="center"/>
    </xf>
    <xf numFmtId="3" fontId="186" fillId="0" borderId="418" xfId="0" applyNumberFormat="1" applyFont="1" applyBorder="1" applyAlignment="1">
      <alignment horizontal="center"/>
    </xf>
    <xf numFmtId="171" fontId="186" fillId="0" borderId="330" xfId="0" applyNumberFormat="1" applyFont="1" applyBorder="1" applyAlignment="1">
      <alignment horizontal="center"/>
    </xf>
    <xf numFmtId="182" fontId="187" fillId="0" borderId="210" xfId="0" applyNumberFormat="1" applyFont="1" applyBorder="1"/>
    <xf numFmtId="3" fontId="187" fillId="0" borderId="415" xfId="0" applyNumberFormat="1" applyFont="1" applyBorder="1" applyAlignment="1">
      <alignment horizontal="center"/>
    </xf>
    <xf numFmtId="3" fontId="187" fillId="0" borderId="360" xfId="0" applyNumberFormat="1" applyFont="1" applyBorder="1" applyAlignment="1">
      <alignment horizontal="center"/>
    </xf>
    <xf numFmtId="172" fontId="187" fillId="0" borderId="360" xfId="0" applyNumberFormat="1" applyFont="1" applyBorder="1" applyAlignment="1">
      <alignment horizontal="center"/>
    </xf>
    <xf numFmtId="172" fontId="187" fillId="0" borderId="415" xfId="0" applyNumberFormat="1" applyFont="1" applyBorder="1" applyAlignment="1">
      <alignment horizontal="center"/>
    </xf>
    <xf numFmtId="171" fontId="187" fillId="0" borderId="470" xfId="0" applyNumberFormat="1" applyFont="1" applyBorder="1" applyAlignment="1">
      <alignment horizontal="center"/>
    </xf>
    <xf numFmtId="182" fontId="194" fillId="0" borderId="0" xfId="0" applyNumberFormat="1" applyFont="1" applyAlignment="1">
      <alignment horizontal="left"/>
    </xf>
    <xf numFmtId="171" fontId="186" fillId="0" borderId="0" xfId="149" applyNumberFormat="1" applyFont="1" applyFill="1" applyAlignment="1">
      <alignment horizontal="center"/>
    </xf>
    <xf numFmtId="2" fontId="186" fillId="0" borderId="0" xfId="0" applyNumberFormat="1" applyFont="1" applyAlignment="1">
      <alignment horizontal="center"/>
    </xf>
    <xf numFmtId="182" fontId="187" fillId="0" borderId="0" xfId="0" applyNumberFormat="1" applyFont="1" applyAlignment="1">
      <alignment horizontal="center"/>
    </xf>
    <xf numFmtId="2" fontId="193" fillId="0" borderId="0" xfId="0" applyNumberFormat="1" applyFont="1" applyAlignment="1">
      <alignment horizontal="center"/>
    </xf>
    <xf numFmtId="182" fontId="187" fillId="0" borderId="174" xfId="0" applyNumberFormat="1" applyFont="1" applyBorder="1" applyAlignment="1">
      <alignment horizontal="center"/>
    </xf>
    <xf numFmtId="182" fontId="187" fillId="0" borderId="173" xfId="0" applyNumberFormat="1" applyFont="1" applyBorder="1" applyAlignment="1">
      <alignment horizontal="center"/>
    </xf>
    <xf numFmtId="1" fontId="187" fillId="0" borderId="173" xfId="0" applyNumberFormat="1" applyFont="1" applyBorder="1" applyAlignment="1">
      <alignment horizontal="center"/>
    </xf>
    <xf numFmtId="1" fontId="187" fillId="0" borderId="346" xfId="0" applyNumberFormat="1" applyFont="1" applyBorder="1" applyAlignment="1">
      <alignment horizontal="center"/>
    </xf>
    <xf numFmtId="1" fontId="187" fillId="0" borderId="425" xfId="0" applyNumberFormat="1" applyFont="1" applyBorder="1" applyAlignment="1">
      <alignment horizontal="center"/>
    </xf>
    <xf numFmtId="182" fontId="187" fillId="0" borderId="348" xfId="0" applyNumberFormat="1" applyFont="1" applyBorder="1" applyAlignment="1">
      <alignment horizontal="center"/>
    </xf>
    <xf numFmtId="1" fontId="187" fillId="0" borderId="173" xfId="0" applyNumberFormat="1" applyFont="1" applyBorder="1" applyAlignment="1">
      <alignment horizontal="center" wrapText="1"/>
    </xf>
    <xf numFmtId="182" fontId="186" fillId="0" borderId="200" xfId="0" applyNumberFormat="1" applyFont="1" applyBorder="1"/>
    <xf numFmtId="3" fontId="186" fillId="0" borderId="200" xfId="0" applyNumberFormat="1" applyFont="1" applyBorder="1"/>
    <xf numFmtId="3" fontId="186" fillId="0" borderId="198" xfId="0" applyNumberFormat="1" applyFont="1" applyBorder="1"/>
    <xf numFmtId="3" fontId="186" fillId="0" borderId="480" xfId="0" applyNumberFormat="1" applyFont="1" applyBorder="1"/>
    <xf numFmtId="3" fontId="186" fillId="0" borderId="116" xfId="0" applyNumberFormat="1" applyFont="1" applyBorder="1"/>
    <xf numFmtId="249" fontId="186" fillId="0" borderId="455" xfId="0" applyNumberFormat="1" applyFont="1" applyBorder="1"/>
    <xf numFmtId="228" fontId="186" fillId="0" borderId="200" xfId="0" applyNumberFormat="1" applyFont="1" applyBorder="1" applyAlignment="1">
      <alignment horizontal="center"/>
    </xf>
    <xf numFmtId="249" fontId="186" fillId="0" borderId="455" xfId="0" applyNumberFormat="1" applyFont="1" applyBorder="1" applyAlignment="1">
      <alignment horizontal="center"/>
    </xf>
    <xf numFmtId="249" fontId="186" fillId="0" borderId="116" xfId="0" applyNumberFormat="1" applyFont="1" applyBorder="1" applyAlignment="1">
      <alignment horizontal="center"/>
    </xf>
    <xf numFmtId="249" fontId="186" fillId="0" borderId="0" xfId="0" applyNumberFormat="1" applyFont="1" applyAlignment="1">
      <alignment horizontal="center"/>
    </xf>
    <xf numFmtId="249" fontId="186" fillId="0" borderId="487" xfId="149" applyNumberFormat="1" applyFont="1" applyFill="1" applyBorder="1" applyAlignment="1">
      <alignment horizontal="center"/>
    </xf>
    <xf numFmtId="3" fontId="186" fillId="0" borderId="200" xfId="0" applyNumberFormat="1" applyFont="1" applyBorder="1" applyAlignment="1">
      <alignment horizontal="center"/>
    </xf>
    <xf numFmtId="3" fontId="186" fillId="0" borderId="198" xfId="0" applyNumberFormat="1" applyFont="1" applyBorder="1" applyAlignment="1">
      <alignment horizontal="center"/>
    </xf>
    <xf numFmtId="228" fontId="187" fillId="0" borderId="296" xfId="0" applyNumberFormat="1" applyFont="1" applyBorder="1" applyAlignment="1">
      <alignment horizontal="center"/>
    </xf>
    <xf numFmtId="249" fontId="187" fillId="0" borderId="296" xfId="0" applyNumberFormat="1" applyFont="1" applyBorder="1" applyAlignment="1">
      <alignment horizontal="center"/>
    </xf>
    <xf numFmtId="249" fontId="187" fillId="0" borderId="415" xfId="0" applyNumberFormat="1" applyFont="1" applyBorder="1" applyAlignment="1">
      <alignment horizontal="center"/>
    </xf>
    <xf numFmtId="171" fontId="187" fillId="0" borderId="414" xfId="0" applyNumberFormat="1" applyFont="1" applyBorder="1" applyAlignment="1">
      <alignment horizontal="center"/>
    </xf>
    <xf numFmtId="2" fontId="186" fillId="0" borderId="0" xfId="0" applyNumberFormat="1" applyFont="1"/>
    <xf numFmtId="1" fontId="151" fillId="0" borderId="116" xfId="1446" applyNumberFormat="1" applyFont="1" applyBorder="1" applyAlignment="1">
      <alignment horizontal="left"/>
    </xf>
    <xf numFmtId="1" fontId="151" fillId="0" borderId="170" xfId="1446" applyNumberFormat="1" applyFont="1" applyBorder="1" applyAlignment="1">
      <alignment horizontal="left"/>
    </xf>
    <xf numFmtId="1" fontId="151" fillId="0" borderId="107" xfId="1446" applyNumberFormat="1" applyFont="1" applyBorder="1" applyAlignment="1">
      <alignment horizontal="center"/>
    </xf>
    <xf numFmtId="1" fontId="151" fillId="0" borderId="171" xfId="1446" applyNumberFormat="1" applyFont="1" applyBorder="1" applyAlignment="1">
      <alignment horizontal="center"/>
    </xf>
    <xf numFmtId="1" fontId="151" fillId="0" borderId="92" xfId="1446" applyNumberFormat="1" applyFont="1" applyBorder="1" applyAlignment="1">
      <alignment horizontal="center"/>
    </xf>
    <xf numFmtId="1" fontId="151" fillId="0" borderId="104" xfId="1446" applyNumberFormat="1" applyFont="1" applyBorder="1" applyAlignment="1">
      <alignment horizontal="center"/>
    </xf>
    <xf numFmtId="1" fontId="151" fillId="0" borderId="0" xfId="1446" applyNumberFormat="1" applyFont="1" applyAlignment="1">
      <alignment horizontal="left"/>
    </xf>
    <xf numFmtId="1" fontId="151" fillId="0" borderId="90" xfId="1446" applyNumberFormat="1" applyFont="1" applyBorder="1" applyAlignment="1">
      <alignment horizontal="left"/>
    </xf>
    <xf numFmtId="0" fontId="148" fillId="0" borderId="0" xfId="124" applyFont="1" applyAlignment="1">
      <alignment horizontal="center"/>
    </xf>
    <xf numFmtId="175" fontId="148" fillId="34" borderId="455" xfId="124" applyNumberFormat="1" applyFont="1" applyFill="1" applyBorder="1" applyAlignment="1">
      <alignment horizontal="center"/>
    </xf>
    <xf numFmtId="175" fontId="138" fillId="0" borderId="252" xfId="57" applyNumberFormat="1" applyFont="1" applyFill="1" applyBorder="1" applyAlignment="1">
      <alignment horizontal="center"/>
    </xf>
    <xf numFmtId="171" fontId="161" fillId="0" borderId="56" xfId="149" applyNumberFormat="1" applyFont="1" applyBorder="1"/>
    <xf numFmtId="178" fontId="332" fillId="0" borderId="0" xfId="1452" applyNumberFormat="1" applyFont="1" applyAlignment="1">
      <alignment horizontal="left"/>
    </xf>
    <xf numFmtId="171" fontId="332" fillId="0" borderId="0" xfId="149" applyNumberFormat="1" applyFont="1" applyFill="1" applyAlignment="1">
      <alignment horizontal="left"/>
    </xf>
    <xf numFmtId="0" fontId="344" fillId="0" borderId="0" xfId="124" applyFont="1"/>
    <xf numFmtId="173" fontId="231" fillId="26" borderId="0" xfId="124" applyNumberFormat="1" applyFont="1" applyFill="1" applyAlignment="1">
      <alignment horizontal="left" vertical="center" indent="5"/>
    </xf>
    <xf numFmtId="173" fontId="231" fillId="26" borderId="443" xfId="124" applyNumberFormat="1" applyFont="1" applyFill="1" applyBorder="1" applyAlignment="1">
      <alignment horizontal="left" vertical="center" indent="5"/>
    </xf>
    <xf numFmtId="173" fontId="231" fillId="26" borderId="443" xfId="124" applyNumberFormat="1" applyFont="1" applyFill="1" applyBorder="1" applyAlignment="1">
      <alignment horizontal="center" vertical="center"/>
    </xf>
    <xf numFmtId="0" fontId="170" fillId="26" borderId="0" xfId="124" applyFont="1" applyFill="1"/>
    <xf numFmtId="0" fontId="167" fillId="26" borderId="0" xfId="124" applyFont="1" applyFill="1" applyAlignment="1">
      <alignment horizontal="left" indent="1"/>
    </xf>
    <xf numFmtId="0" fontId="267" fillId="0" borderId="0" xfId="0" applyFont="1"/>
    <xf numFmtId="0" fontId="345" fillId="0" borderId="0" xfId="128" applyFont="1"/>
    <xf numFmtId="0" fontId="167" fillId="0" borderId="443" xfId="122" applyFont="1" applyBorder="1" applyAlignment="1">
      <alignment horizontal="center" vertical="center"/>
    </xf>
    <xf numFmtId="0" fontId="266" fillId="0" borderId="443" xfId="0" applyFont="1" applyBorder="1" applyAlignment="1">
      <alignment horizontal="center"/>
    </xf>
    <xf numFmtId="37" fontId="254" fillId="0" borderId="443" xfId="5091" applyFont="1" applyBorder="1" applyAlignment="1">
      <alignment horizontal="center"/>
    </xf>
    <xf numFmtId="4" fontId="306" fillId="0" borderId="0" xfId="1446" applyNumberFormat="1" applyFont="1" applyAlignment="1">
      <alignment horizontal="left"/>
    </xf>
    <xf numFmtId="0" fontId="346" fillId="0" borderId="0" xfId="182" applyFont="1"/>
    <xf numFmtId="4" fontId="346" fillId="0" borderId="0" xfId="1446" applyNumberFormat="1" applyFont="1" applyAlignment="1">
      <alignment horizontal="left"/>
    </xf>
    <xf numFmtId="172" fontId="150" fillId="0" borderId="487" xfId="1446" applyNumberFormat="1" applyFont="1" applyBorder="1" applyAlignment="1">
      <alignment horizontal="center"/>
    </xf>
    <xf numFmtId="171" fontId="168" fillId="0" borderId="503" xfId="149" applyNumberFormat="1" applyFont="1" applyFill="1" applyBorder="1" applyAlignment="1">
      <alignment horizontal="center" vertical="center"/>
    </xf>
    <xf numFmtId="172" fontId="168" fillId="0" borderId="504" xfId="1446" applyNumberFormat="1" applyFont="1" applyBorder="1" applyAlignment="1">
      <alignment horizontal="center"/>
    </xf>
    <xf numFmtId="4" fontId="306" fillId="0" borderId="56" xfId="1446" applyNumberFormat="1" applyFont="1" applyBorder="1" applyAlignment="1">
      <alignment horizontal="left"/>
    </xf>
    <xf numFmtId="171" fontId="347" fillId="0" borderId="56" xfId="149" applyNumberFormat="1" applyFont="1" applyFill="1" applyBorder="1" applyAlignment="1">
      <alignment horizontal="center" vertical="center"/>
    </xf>
    <xf numFmtId="0" fontId="348" fillId="0" borderId="0" xfId="1451" applyFont="1"/>
    <xf numFmtId="0" fontId="348" fillId="0" borderId="0" xfId="182" applyFont="1"/>
    <xf numFmtId="0" fontId="348" fillId="0" borderId="56" xfId="182" applyFont="1" applyBorder="1"/>
    <xf numFmtId="0" fontId="347" fillId="0" borderId="56" xfId="182" applyFont="1" applyBorder="1"/>
    <xf numFmtId="0" fontId="347" fillId="0" borderId="0" xfId="182" applyFont="1"/>
    <xf numFmtId="0" fontId="348" fillId="0" borderId="0" xfId="182" applyFont="1" applyAlignment="1">
      <alignment vertical="center"/>
    </xf>
    <xf numFmtId="171" fontId="152" fillId="0" borderId="505" xfId="149" applyNumberFormat="1" applyFont="1" applyBorder="1" applyAlignment="1">
      <alignment horizontal="center"/>
    </xf>
    <xf numFmtId="2" fontId="242" fillId="0" borderId="294" xfId="122" applyNumberFormat="1" applyFont="1" applyBorder="1" applyAlignment="1">
      <alignment horizontal="center"/>
    </xf>
    <xf numFmtId="175" fontId="242" fillId="0" borderId="311" xfId="122" applyNumberFormat="1" applyFont="1" applyBorder="1" applyAlignment="1">
      <alignment horizontal="center"/>
    </xf>
    <xf numFmtId="175" fontId="242" fillId="0" borderId="56" xfId="122" applyNumberFormat="1" applyFont="1" applyBorder="1" applyAlignment="1">
      <alignment horizontal="center"/>
    </xf>
    <xf numFmtId="175" fontId="243" fillId="0" borderId="90" xfId="122" applyNumberFormat="1" applyFont="1" applyBorder="1" applyAlignment="1">
      <alignment horizontal="center"/>
    </xf>
    <xf numFmtId="0" fontId="243" fillId="0" borderId="292" xfId="122" applyFont="1" applyBorder="1" applyAlignment="1">
      <alignment horizontal="center"/>
    </xf>
    <xf numFmtId="0" fontId="243" fillId="0" borderId="331" xfId="122" applyFont="1" applyBorder="1" applyAlignment="1">
      <alignment horizontal="center"/>
    </xf>
    <xf numFmtId="2" fontId="243" fillId="0" borderId="492" xfId="122" applyNumberFormat="1" applyFont="1" applyBorder="1"/>
    <xf numFmtId="0" fontId="243" fillId="0" borderId="480" xfId="122" applyFont="1" applyBorder="1" applyAlignment="1">
      <alignment horizontal="center"/>
    </xf>
    <xf numFmtId="0" fontId="243" fillId="0" borderId="424" xfId="122" applyFont="1" applyBorder="1" applyAlignment="1">
      <alignment horizontal="center"/>
    </xf>
    <xf numFmtId="0" fontId="243" fillId="0" borderId="437" xfId="122" applyFont="1" applyBorder="1" applyAlignment="1">
      <alignment horizontal="center"/>
    </xf>
    <xf numFmtId="175" fontId="242" fillId="0" borderId="56" xfId="122" applyNumberFormat="1" applyFont="1" applyBorder="1"/>
    <xf numFmtId="175" fontId="243" fillId="0" borderId="252" xfId="122" applyNumberFormat="1" applyFont="1" applyBorder="1" applyAlignment="1">
      <alignment horizontal="center"/>
    </xf>
    <xf numFmtId="175" fontId="243" fillId="0" borderId="331" xfId="122" applyNumberFormat="1" applyFont="1" applyBorder="1" applyAlignment="1">
      <alignment horizontal="center"/>
    </xf>
    <xf numFmtId="175" fontId="243" fillId="0" borderId="487" xfId="122" applyNumberFormat="1" applyFont="1" applyBorder="1" applyAlignment="1">
      <alignment horizontal="center"/>
    </xf>
    <xf numFmtId="175" fontId="243" fillId="0" borderId="455" xfId="122" applyNumberFormat="1" applyFont="1" applyBorder="1" applyAlignment="1">
      <alignment horizontal="center"/>
    </xf>
    <xf numFmtId="175" fontId="243" fillId="0" borderId="466" xfId="122" applyNumberFormat="1" applyFont="1" applyBorder="1" applyAlignment="1">
      <alignment horizontal="center"/>
    </xf>
    <xf numFmtId="0" fontId="243" fillId="0" borderId="90" xfId="122" applyFont="1" applyBorder="1" applyAlignment="1">
      <alignment horizontal="center"/>
    </xf>
    <xf numFmtId="0" fontId="243" fillId="0" borderId="455" xfId="122" applyFont="1" applyBorder="1" applyAlignment="1">
      <alignment horizontal="center"/>
    </xf>
    <xf numFmtId="0" fontId="243" fillId="0" borderId="466" xfId="122" applyFont="1" applyBorder="1" applyAlignment="1">
      <alignment horizontal="center"/>
    </xf>
    <xf numFmtId="175" fontId="243" fillId="0" borderId="116" xfId="122" applyNumberFormat="1" applyFont="1" applyBorder="1" applyAlignment="1">
      <alignment horizontal="center"/>
    </xf>
    <xf numFmtId="175" fontId="246" fillId="0" borderId="252" xfId="122" applyNumberFormat="1" applyFont="1" applyBorder="1"/>
    <xf numFmtId="175" fontId="243" fillId="0" borderId="0" xfId="122" applyNumberFormat="1" applyFont="1"/>
    <xf numFmtId="175" fontId="242" fillId="0" borderId="473" xfId="122" applyNumberFormat="1" applyFont="1" applyBorder="1"/>
    <xf numFmtId="175" fontId="242" fillId="0" borderId="476" xfId="122" applyNumberFormat="1" applyFont="1" applyBorder="1" applyAlignment="1">
      <alignment horizontal="center"/>
    </xf>
    <xf numFmtId="175" fontId="242" fillId="0" borderId="417" xfId="122" applyNumberFormat="1" applyFont="1" applyBorder="1" applyAlignment="1">
      <alignment horizontal="center"/>
    </xf>
    <xf numFmtId="175" fontId="242" fillId="0" borderId="426" xfId="122" applyNumberFormat="1" applyFont="1" applyBorder="1" applyAlignment="1">
      <alignment horizontal="center"/>
    </xf>
    <xf numFmtId="175" fontId="242" fillId="0" borderId="416" xfId="122" applyNumberFormat="1" applyFont="1" applyBorder="1" applyAlignment="1">
      <alignment horizontal="center"/>
    </xf>
    <xf numFmtId="175" fontId="242" fillId="0" borderId="471" xfId="122" applyNumberFormat="1" applyFont="1" applyBorder="1" applyAlignment="1">
      <alignment horizontal="center"/>
    </xf>
    <xf numFmtId="175" fontId="242" fillId="0" borderId="477" xfId="122" applyNumberFormat="1" applyFont="1" applyBorder="1" applyAlignment="1">
      <alignment horizontal="center"/>
    </xf>
    <xf numFmtId="0" fontId="243" fillId="0" borderId="428" xfId="122" applyFont="1" applyBorder="1" applyAlignment="1">
      <alignment horizontal="center"/>
    </xf>
    <xf numFmtId="0" fontId="243" fillId="0" borderId="252" xfId="122" applyFont="1" applyBorder="1"/>
    <xf numFmtId="0" fontId="243" fillId="0" borderId="428" xfId="122" applyFont="1" applyBorder="1"/>
    <xf numFmtId="0" fontId="349" fillId="0" borderId="428" xfId="122" applyFont="1" applyBorder="1" applyAlignment="1">
      <alignment horizontal="center"/>
    </xf>
    <xf numFmtId="0" fontId="349" fillId="0" borderId="0" xfId="122" applyFont="1" applyAlignment="1">
      <alignment horizontal="center"/>
    </xf>
    <xf numFmtId="0" fontId="349" fillId="0" borderId="455" xfId="122" applyFont="1" applyBorder="1" applyAlignment="1">
      <alignment horizontal="center"/>
    </xf>
    <xf numFmtId="0" fontId="349" fillId="0" borderId="466" xfId="122" applyFont="1" applyBorder="1" applyAlignment="1">
      <alignment horizontal="center"/>
    </xf>
    <xf numFmtId="0" fontId="349" fillId="0" borderId="252" xfId="122" applyFont="1" applyBorder="1" applyAlignment="1">
      <alignment horizontal="center"/>
    </xf>
    <xf numFmtId="2" fontId="242" fillId="0" borderId="313" xfId="122" applyNumberFormat="1" applyFont="1" applyBorder="1"/>
    <xf numFmtId="171" fontId="242" fillId="0" borderId="416" xfId="149" applyNumberFormat="1" applyFont="1" applyFill="1" applyBorder="1" applyAlignment="1">
      <alignment horizontal="center"/>
    </xf>
    <xf numFmtId="171" fontId="242" fillId="0" borderId="277" xfId="149" applyNumberFormat="1" applyFont="1" applyFill="1" applyBorder="1" applyAlignment="1">
      <alignment horizontal="center"/>
    </xf>
    <xf numFmtId="171" fontId="242" fillId="0" borderId="417" xfId="149" applyNumberFormat="1" applyFont="1" applyFill="1" applyBorder="1" applyAlignment="1">
      <alignment horizontal="center"/>
    </xf>
    <xf numFmtId="171" fontId="242" fillId="0" borderId="426" xfId="149" applyNumberFormat="1" applyFont="1" applyFill="1" applyBorder="1" applyAlignment="1">
      <alignment horizontal="center"/>
    </xf>
    <xf numFmtId="171" fontId="242" fillId="0" borderId="471" xfId="149" applyNumberFormat="1" applyFont="1" applyFill="1" applyBorder="1" applyAlignment="1">
      <alignment horizontal="center"/>
    </xf>
    <xf numFmtId="171" fontId="242" fillId="0" borderId="477" xfId="149" applyNumberFormat="1" applyFont="1" applyFill="1" applyBorder="1" applyAlignment="1">
      <alignment horizontal="center"/>
    </xf>
    <xf numFmtId="2" fontId="242" fillId="0" borderId="301" xfId="122" applyNumberFormat="1" applyFont="1" applyBorder="1"/>
    <xf numFmtId="171" fontId="242" fillId="0" borderId="415" xfId="122" applyNumberFormat="1" applyFont="1" applyBorder="1" applyAlignment="1">
      <alignment horizontal="center"/>
    </xf>
    <xf numFmtId="171" fontId="242" fillId="0" borderId="415" xfId="149" applyNumberFormat="1" applyFont="1" applyFill="1" applyBorder="1" applyAlignment="1">
      <alignment horizontal="center"/>
    </xf>
    <xf numFmtId="171" fontId="242" fillId="0" borderId="360" xfId="149" applyNumberFormat="1" applyFont="1" applyFill="1" applyBorder="1" applyAlignment="1">
      <alignment horizontal="center"/>
    </xf>
    <xf numFmtId="171" fontId="242" fillId="0" borderId="204" xfId="149" applyNumberFormat="1" applyFont="1" applyFill="1" applyBorder="1" applyAlignment="1">
      <alignment horizontal="center"/>
    </xf>
    <xf numFmtId="171" fontId="242" fillId="0" borderId="362" xfId="122" applyNumberFormat="1" applyFont="1" applyBorder="1" applyAlignment="1">
      <alignment horizontal="center"/>
    </xf>
    <xf numFmtId="171" fontId="242" fillId="0" borderId="357" xfId="122" applyNumberFormat="1" applyFont="1" applyBorder="1" applyAlignment="1">
      <alignment horizontal="center"/>
    </xf>
    <xf numFmtId="171" fontId="242" fillId="0" borderId="359" xfId="122" applyNumberFormat="1" applyFont="1" applyBorder="1" applyAlignment="1">
      <alignment horizontal="center"/>
    </xf>
    <xf numFmtId="171" fontId="242" fillId="0" borderId="425" xfId="122" applyNumberFormat="1" applyFont="1" applyBorder="1" applyAlignment="1">
      <alignment horizontal="center"/>
    </xf>
    <xf numFmtId="171" fontId="242" fillId="0" borderId="346" xfId="122" applyNumberFormat="1" applyFont="1" applyBorder="1" applyAlignment="1">
      <alignment horizontal="center"/>
    </xf>
    <xf numFmtId="171" fontId="242" fillId="0" borderId="490" xfId="122" applyNumberFormat="1" applyFont="1" applyBorder="1" applyAlignment="1">
      <alignment horizontal="center"/>
    </xf>
    <xf numFmtId="171" fontId="242" fillId="0" borderId="488" xfId="122" applyNumberFormat="1" applyFont="1" applyBorder="1" applyAlignment="1">
      <alignment horizontal="center"/>
    </xf>
    <xf numFmtId="2" fontId="350" fillId="0" borderId="0" xfId="122" applyNumberFormat="1" applyFont="1"/>
    <xf numFmtId="171" fontId="350" fillId="0" borderId="0" xfId="149" applyNumberFormat="1" applyFont="1" applyFill="1" applyBorder="1"/>
    <xf numFmtId="0" fontId="244" fillId="0" borderId="0" xfId="122" applyFont="1" applyAlignment="1">
      <alignment horizontal="center"/>
    </xf>
    <xf numFmtId="0" fontId="350" fillId="0" borderId="0" xfId="122" applyFont="1" applyAlignment="1">
      <alignment horizontal="center"/>
    </xf>
    <xf numFmtId="0" fontId="167" fillId="0" borderId="455" xfId="0" applyFont="1" applyBorder="1"/>
    <xf numFmtId="2" fontId="167" fillId="0" borderId="455" xfId="0" applyNumberFormat="1" applyFont="1" applyBorder="1"/>
    <xf numFmtId="2" fontId="167" fillId="0" borderId="455" xfId="0" applyNumberFormat="1" applyFont="1" applyBorder="1" applyAlignment="1">
      <alignment horizontal="center"/>
    </xf>
    <xf numFmtId="175" fontId="167" fillId="0" borderId="455" xfId="0" applyNumberFormat="1" applyFont="1" applyBorder="1" applyAlignment="1">
      <alignment horizontal="center"/>
    </xf>
    <xf numFmtId="0" fontId="167" fillId="0" borderId="455" xfId="0" applyFont="1" applyBorder="1" applyAlignment="1">
      <alignment horizontal="center"/>
    </xf>
    <xf numFmtId="171" fontId="167" fillId="0" borderId="455" xfId="0" applyNumberFormat="1" applyFont="1" applyBorder="1" applyAlignment="1">
      <alignment horizontal="center"/>
    </xf>
    <xf numFmtId="172" fontId="167" fillId="0" borderId="455" xfId="0" applyNumberFormat="1" applyFont="1" applyBorder="1" applyAlignment="1">
      <alignment horizontal="center"/>
    </xf>
    <xf numFmtId="172" fontId="184" fillId="0" borderId="455" xfId="0" applyNumberFormat="1" applyFont="1" applyBorder="1" applyAlignment="1">
      <alignment horizontal="center"/>
    </xf>
    <xf numFmtId="0" fontId="184" fillId="0" borderId="455" xfId="0" applyFont="1" applyBorder="1" applyAlignment="1">
      <alignment horizontal="center"/>
    </xf>
    <xf numFmtId="172" fontId="184" fillId="0" borderId="487" xfId="0" applyNumberFormat="1" applyFont="1" applyBorder="1" applyAlignment="1">
      <alignment horizontal="center"/>
    </xf>
    <xf numFmtId="171" fontId="184" fillId="0" borderId="466" xfId="149" applyNumberFormat="1" applyFont="1" applyFill="1" applyBorder="1" applyAlignment="1">
      <alignment horizontal="center"/>
    </xf>
    <xf numFmtId="175" fontId="184" fillId="0" borderId="455" xfId="0" applyNumberFormat="1" applyFont="1" applyBorder="1" applyAlignment="1">
      <alignment horizontal="center"/>
    </xf>
    <xf numFmtId="175" fontId="184" fillId="0" borderId="487" xfId="0" applyNumberFormat="1" applyFont="1" applyBorder="1" applyAlignment="1">
      <alignment horizontal="center"/>
    </xf>
    <xf numFmtId="175" fontId="184" fillId="0" borderId="331" xfId="0" applyNumberFormat="1" applyFont="1" applyBorder="1" applyAlignment="1">
      <alignment horizontal="center"/>
    </xf>
    <xf numFmtId="4" fontId="150" fillId="0" borderId="90" xfId="1446" applyNumberFormat="1" applyFont="1" applyBorder="1" applyAlignment="1">
      <alignment horizontal="left" vertical="center" indent="1"/>
    </xf>
    <xf numFmtId="4" fontId="167" fillId="0" borderId="90" xfId="1446" applyNumberFormat="1" applyFont="1" applyBorder="1" applyAlignment="1">
      <alignment horizontal="left" vertical="center" indent="1"/>
    </xf>
    <xf numFmtId="171" fontId="145" fillId="32" borderId="331" xfId="149" applyNumberFormat="1" applyFont="1" applyFill="1" applyBorder="1" applyAlignment="1">
      <alignment horizontal="center"/>
    </xf>
    <xf numFmtId="171" fontId="145" fillId="32" borderId="330" xfId="5090" applyNumberFormat="1" applyFont="1" applyFill="1" applyBorder="1" applyAlignment="1">
      <alignment horizontal="center"/>
    </xf>
    <xf numFmtId="175" fontId="192" fillId="28" borderId="466" xfId="1070" applyNumberFormat="1" applyFont="1" applyFill="1" applyBorder="1" applyAlignment="1">
      <alignment horizontal="center"/>
    </xf>
    <xf numFmtId="175" fontId="192" fillId="28" borderId="329" xfId="1070" applyNumberFormat="1" applyFont="1" applyFill="1" applyBorder="1" applyAlignment="1">
      <alignment horizontal="center"/>
    </xf>
    <xf numFmtId="175" fontId="192" fillId="28" borderId="331" xfId="1070" applyNumberFormat="1" applyFont="1" applyFill="1" applyBorder="1" applyAlignment="1">
      <alignment horizontal="center"/>
    </xf>
    <xf numFmtId="175" fontId="192" fillId="28" borderId="455" xfId="1070" applyNumberFormat="1" applyFont="1" applyFill="1" applyBorder="1" applyAlignment="1">
      <alignment horizontal="center"/>
    </xf>
    <xf numFmtId="171" fontId="243" fillId="32" borderId="24" xfId="149" applyNumberFormat="1" applyFont="1" applyFill="1" applyBorder="1" applyAlignment="1">
      <alignment horizontal="center"/>
    </xf>
    <xf numFmtId="0" fontId="287" fillId="0" borderId="0" xfId="122" applyFont="1"/>
    <xf numFmtId="175" fontId="286" fillId="0" borderId="0" xfId="122" applyNumberFormat="1" applyFont="1" applyAlignment="1">
      <alignment horizontal="center"/>
    </xf>
    <xf numFmtId="2" fontId="287" fillId="0" borderId="0" xfId="122" applyNumberFormat="1" applyFont="1" applyAlignment="1">
      <alignment horizontal="center"/>
    </xf>
    <xf numFmtId="175" fontId="287" fillId="0" borderId="0" xfId="122" applyNumberFormat="1" applyFont="1" applyAlignment="1">
      <alignment horizontal="center" vertical="center"/>
    </xf>
    <xf numFmtId="0" fontId="287" fillId="0" borderId="374" xfId="122" applyFont="1" applyBorder="1" applyAlignment="1">
      <alignment vertical="center"/>
    </xf>
    <xf numFmtId="0" fontId="287" fillId="0" borderId="374" xfId="122" applyFont="1" applyBorder="1"/>
    <xf numFmtId="171" fontId="150" fillId="0" borderId="68" xfId="0" applyNumberFormat="1" applyFont="1" applyBorder="1" applyAlignment="1">
      <alignment horizontal="center" vertical="center"/>
    </xf>
    <xf numFmtId="0" fontId="173" fillId="0" borderId="90" xfId="0" applyFont="1" applyBorder="1"/>
    <xf numFmtId="10" fontId="351" fillId="0" borderId="0" xfId="149" applyNumberFormat="1" applyFont="1" applyFill="1" applyBorder="1" applyAlignment="1">
      <alignment horizontal="center"/>
    </xf>
    <xf numFmtId="175" fontId="173" fillId="0" borderId="455" xfId="0" applyNumberFormat="1" applyFont="1" applyBorder="1"/>
    <xf numFmtId="2" fontId="173" fillId="0" borderId="455" xfId="0" applyNumberFormat="1" applyFont="1" applyBorder="1"/>
    <xf numFmtId="175" fontId="173" fillId="0" borderId="455" xfId="0" applyNumberFormat="1" applyFont="1" applyBorder="1" applyAlignment="1">
      <alignment horizontal="center"/>
    </xf>
    <xf numFmtId="0" fontId="173" fillId="0" borderId="455" xfId="0" applyFont="1" applyBorder="1" applyAlignment="1">
      <alignment horizontal="center"/>
    </xf>
    <xf numFmtId="172" fontId="173" fillId="0" borderId="455" xfId="0" applyNumberFormat="1" applyFont="1" applyBorder="1" applyAlignment="1">
      <alignment horizontal="center"/>
    </xf>
    <xf numFmtId="172" fontId="191" fillId="0" borderId="455" xfId="0" applyNumberFormat="1" applyFont="1" applyBorder="1" applyAlignment="1">
      <alignment horizontal="center"/>
    </xf>
    <xf numFmtId="175" fontId="191" fillId="0" borderId="455" xfId="0" applyNumberFormat="1" applyFont="1" applyBorder="1" applyAlignment="1">
      <alignment horizontal="center"/>
    </xf>
    <xf numFmtId="172" fontId="191" fillId="0" borderId="487" xfId="0" applyNumberFormat="1" applyFont="1" applyBorder="1" applyAlignment="1">
      <alignment horizontal="center"/>
    </xf>
    <xf numFmtId="175" fontId="191" fillId="0" borderId="487" xfId="0" applyNumberFormat="1" applyFont="1" applyBorder="1" applyAlignment="1">
      <alignment horizontal="center"/>
    </xf>
    <xf numFmtId="2" fontId="191" fillId="0" borderId="487" xfId="0" applyNumberFormat="1" applyFont="1" applyBorder="1" applyAlignment="1">
      <alignment horizontal="center"/>
    </xf>
    <xf numFmtId="171" fontId="351" fillId="0" borderId="466" xfId="149" applyNumberFormat="1" applyFont="1" applyFill="1" applyBorder="1" applyAlignment="1">
      <alignment horizontal="center"/>
    </xf>
    <xf numFmtId="0" fontId="173" fillId="0" borderId="455" xfId="0" applyFont="1" applyBorder="1"/>
    <xf numFmtId="2" fontId="173" fillId="0" borderId="455" xfId="0" applyNumberFormat="1" applyFont="1" applyBorder="1" applyAlignment="1">
      <alignment horizontal="center"/>
    </xf>
    <xf numFmtId="171" fontId="173" fillId="0" borderId="455" xfId="0" applyNumberFormat="1" applyFont="1" applyBorder="1" applyAlignment="1">
      <alignment horizontal="center"/>
    </xf>
    <xf numFmtId="2" fontId="191" fillId="0" borderId="455" xfId="0" applyNumberFormat="1" applyFont="1" applyBorder="1" applyAlignment="1">
      <alignment horizontal="center"/>
    </xf>
    <xf numFmtId="171" fontId="191" fillId="0" borderId="466" xfId="149" applyNumberFormat="1" applyFont="1" applyFill="1" applyBorder="1" applyAlignment="1">
      <alignment horizontal="center"/>
    </xf>
    <xf numFmtId="0" fontId="171" fillId="0" borderId="90" xfId="0" applyFont="1" applyBorder="1"/>
    <xf numFmtId="175" fontId="171" fillId="0" borderId="66" xfId="0" applyNumberFormat="1" applyFont="1" applyBorder="1"/>
    <xf numFmtId="2" fontId="171" fillId="0" borderId="66" xfId="0" applyNumberFormat="1" applyFont="1" applyBorder="1"/>
    <xf numFmtId="175" fontId="171" fillId="0" borderId="66" xfId="0" applyNumberFormat="1" applyFont="1" applyBorder="1" applyAlignment="1">
      <alignment horizontal="center"/>
    </xf>
    <xf numFmtId="0" fontId="171" fillId="0" borderId="66" xfId="0" applyFont="1" applyBorder="1" applyAlignment="1">
      <alignment horizontal="center"/>
    </xf>
    <xf numFmtId="172" fontId="171" fillId="0" borderId="66" xfId="0" applyNumberFormat="1" applyFont="1" applyBorder="1" applyAlignment="1">
      <alignment horizontal="center"/>
    </xf>
    <xf numFmtId="175" fontId="185" fillId="0" borderId="66" xfId="0" applyNumberFormat="1" applyFont="1" applyBorder="1" applyAlignment="1">
      <alignment horizontal="center"/>
    </xf>
    <xf numFmtId="175" fontId="185" fillId="0" borderId="63" xfId="0" applyNumberFormat="1" applyFont="1" applyBorder="1" applyAlignment="1">
      <alignment horizontal="center"/>
    </xf>
    <xf numFmtId="175" fontId="185" fillId="0" borderId="11" xfId="0" applyNumberFormat="1" applyFont="1" applyBorder="1" applyAlignment="1">
      <alignment horizontal="center"/>
    </xf>
    <xf numFmtId="2" fontId="185" fillId="0" borderId="66" xfId="0" applyNumberFormat="1" applyFont="1" applyBorder="1" applyAlignment="1">
      <alignment horizontal="center"/>
    </xf>
    <xf numFmtId="171" fontId="185" fillId="0" borderId="134" xfId="149" applyNumberFormat="1" applyFont="1" applyFill="1" applyBorder="1" applyAlignment="1">
      <alignment horizontal="center"/>
    </xf>
    <xf numFmtId="10" fontId="278" fillId="0" borderId="56" xfId="149" applyNumberFormat="1" applyFont="1" applyFill="1" applyBorder="1" applyAlignment="1">
      <alignment horizontal="center"/>
    </xf>
    <xf numFmtId="0" fontId="171" fillId="0" borderId="0" xfId="0" applyFont="1"/>
    <xf numFmtId="171" fontId="171" fillId="0" borderId="66" xfId="0" applyNumberFormat="1" applyFont="1" applyBorder="1" applyAlignment="1">
      <alignment horizontal="center"/>
    </xf>
    <xf numFmtId="2" fontId="171" fillId="0" borderId="66" xfId="0" applyNumberFormat="1" applyFont="1" applyBorder="1" applyAlignment="1">
      <alignment horizontal="center"/>
    </xf>
    <xf numFmtId="175" fontId="185" fillId="0" borderId="156" xfId="0" applyNumberFormat="1" applyFont="1" applyBorder="1" applyAlignment="1">
      <alignment horizontal="center"/>
    </xf>
    <xf numFmtId="171" fontId="278" fillId="0" borderId="134" xfId="149" applyNumberFormat="1" applyFont="1" applyFill="1" applyBorder="1" applyAlignment="1">
      <alignment horizontal="center"/>
    </xf>
    <xf numFmtId="10" fontId="278" fillId="0" borderId="0" xfId="149" applyNumberFormat="1" applyFont="1" applyFill="1" applyBorder="1" applyAlignment="1">
      <alignment horizontal="center"/>
    </xf>
    <xf numFmtId="0" fontId="171" fillId="0" borderId="90" xfId="0" applyFont="1" applyBorder="1" applyAlignment="1">
      <alignment horizontal="left" indent="2"/>
    </xf>
    <xf numFmtId="175" fontId="171" fillId="0" borderId="455" xfId="0" applyNumberFormat="1" applyFont="1" applyBorder="1"/>
    <xf numFmtId="2" fontId="171" fillId="0" borderId="455" xfId="0" applyNumberFormat="1" applyFont="1" applyBorder="1"/>
    <xf numFmtId="175" fontId="171" fillId="0" borderId="455" xfId="0" applyNumberFormat="1" applyFont="1" applyBorder="1" applyAlignment="1">
      <alignment horizontal="center"/>
    </xf>
    <xf numFmtId="0" fontId="171" fillId="0" borderId="455" xfId="0" applyFont="1" applyBorder="1" applyAlignment="1">
      <alignment horizontal="center"/>
    </xf>
    <xf numFmtId="172" fontId="171" fillId="0" borderId="455" xfId="0" applyNumberFormat="1" applyFont="1" applyBorder="1" applyAlignment="1">
      <alignment horizontal="center"/>
    </xf>
    <xf numFmtId="175" fontId="185" fillId="0" borderId="487" xfId="0" applyNumberFormat="1" applyFont="1" applyBorder="1" applyAlignment="1">
      <alignment horizontal="center"/>
    </xf>
    <xf numFmtId="0" fontId="171" fillId="0" borderId="66" xfId="0" applyFont="1" applyBorder="1"/>
    <xf numFmtId="0" fontId="185" fillId="0" borderId="66" xfId="0" applyFont="1" applyBorder="1" applyAlignment="1">
      <alignment horizontal="center"/>
    </xf>
    <xf numFmtId="172" fontId="185" fillId="0" borderId="156" xfId="0" applyNumberFormat="1" applyFont="1" applyBorder="1" applyAlignment="1">
      <alignment horizontal="center"/>
    </xf>
    <xf numFmtId="172" fontId="185" fillId="0" borderId="175" xfId="0" applyNumberFormat="1" applyFont="1" applyBorder="1" applyAlignment="1">
      <alignment horizontal="center"/>
    </xf>
    <xf numFmtId="175" fontId="185" fillId="0" borderId="175" xfId="0" applyNumberFormat="1" applyFont="1" applyBorder="1" applyAlignment="1">
      <alignment horizontal="center"/>
    </xf>
    <xf numFmtId="0" fontId="171" fillId="0" borderId="455" xfId="0" applyFont="1" applyBorder="1"/>
    <xf numFmtId="2" fontId="171" fillId="0" borderId="455" xfId="0" applyNumberFormat="1" applyFont="1" applyBorder="1" applyAlignment="1">
      <alignment horizontal="center"/>
    </xf>
    <xf numFmtId="171" fontId="171" fillId="0" borderId="455" xfId="0" applyNumberFormat="1" applyFont="1" applyBorder="1" applyAlignment="1">
      <alignment horizontal="center"/>
    </xf>
    <xf numFmtId="175" fontId="168" fillId="0" borderId="66" xfId="0" applyNumberFormat="1" applyFont="1" applyBorder="1"/>
    <xf numFmtId="175" fontId="168" fillId="0" borderId="66" xfId="0" applyNumberFormat="1" applyFont="1" applyBorder="1" applyAlignment="1">
      <alignment horizontal="center"/>
    </xf>
    <xf numFmtId="0" fontId="168" fillId="0" borderId="66" xfId="0" applyFont="1" applyBorder="1" applyAlignment="1">
      <alignment horizontal="center"/>
    </xf>
    <xf numFmtId="172" fontId="168" fillId="0" borderId="66" xfId="0" applyNumberFormat="1" applyFont="1" applyBorder="1" applyAlignment="1">
      <alignment horizontal="center"/>
    </xf>
    <xf numFmtId="172" fontId="183" fillId="0" borderId="66" xfId="0" applyNumberFormat="1" applyFont="1" applyBorder="1" applyAlignment="1">
      <alignment horizontal="center"/>
    </xf>
    <xf numFmtId="172" fontId="183" fillId="0" borderId="63" xfId="0" applyNumberFormat="1" applyFont="1" applyBorder="1" applyAlignment="1">
      <alignment horizontal="center"/>
    </xf>
    <xf numFmtId="175" fontId="183" fillId="0" borderId="63" xfId="0" applyNumberFormat="1" applyFont="1" applyBorder="1" applyAlignment="1">
      <alignment horizontal="center"/>
    </xf>
    <xf numFmtId="175" fontId="183" fillId="0" borderId="11" xfId="0" applyNumberFormat="1" applyFont="1" applyBorder="1" applyAlignment="1">
      <alignment horizontal="center"/>
    </xf>
    <xf numFmtId="2" fontId="183" fillId="0" borderId="66" xfId="0" applyNumberFormat="1" applyFont="1" applyBorder="1" applyAlignment="1">
      <alignment horizontal="center"/>
    </xf>
    <xf numFmtId="175" fontId="183" fillId="0" borderId="66" xfId="0" applyNumberFormat="1" applyFont="1" applyBorder="1" applyAlignment="1">
      <alignment horizontal="center"/>
    </xf>
    <xf numFmtId="175" fontId="183" fillId="0" borderId="200" xfId="0" applyNumberFormat="1" applyFont="1" applyBorder="1" applyAlignment="1">
      <alignment horizontal="center"/>
    </xf>
    <xf numFmtId="175" fontId="183" fillId="0" borderId="198" xfId="0" applyNumberFormat="1" applyFont="1" applyBorder="1" applyAlignment="1">
      <alignment horizontal="center"/>
    </xf>
    <xf numFmtId="175" fontId="168" fillId="0" borderId="66" xfId="0" applyNumberFormat="1" applyFont="1" applyBorder="1" applyAlignment="1">
      <alignment horizontal="center" vertical="top"/>
    </xf>
    <xf numFmtId="172" fontId="168" fillId="0" borderId="66" xfId="57" applyNumberFormat="1" applyFont="1" applyFill="1" applyBorder="1" applyAlignment="1">
      <alignment horizontal="center" vertical="center"/>
    </xf>
    <xf numFmtId="172" fontId="183" fillId="0" borderId="66" xfId="57" applyNumberFormat="1" applyFont="1" applyFill="1" applyBorder="1" applyAlignment="1">
      <alignment horizontal="center" vertical="center"/>
    </xf>
    <xf numFmtId="172" fontId="183" fillId="0" borderId="63" xfId="57" applyNumberFormat="1" applyFont="1" applyFill="1" applyBorder="1" applyAlignment="1">
      <alignment horizontal="center" vertical="center"/>
    </xf>
    <xf numFmtId="172" fontId="183" fillId="0" borderId="11" xfId="57" applyNumberFormat="1" applyFont="1" applyFill="1" applyBorder="1" applyAlignment="1">
      <alignment horizontal="center" vertical="center"/>
    </xf>
    <xf numFmtId="172" fontId="183" fillId="0" borderId="156" xfId="57" applyNumberFormat="1" applyFont="1" applyFill="1" applyBorder="1" applyAlignment="1">
      <alignment horizontal="center" vertical="center"/>
    </xf>
    <xf numFmtId="172" fontId="183" fillId="0" borderId="219" xfId="57" applyNumberFormat="1" applyFont="1" applyFill="1" applyBorder="1" applyAlignment="1">
      <alignment horizontal="center" vertical="center"/>
    </xf>
    <xf numFmtId="172" fontId="183" fillId="0" borderId="329" xfId="57" applyNumberFormat="1" applyFont="1" applyFill="1" applyBorder="1" applyAlignment="1">
      <alignment horizontal="center" vertical="center"/>
    </xf>
    <xf numFmtId="172" fontId="183" fillId="0" borderId="331" xfId="57" applyNumberFormat="1" applyFont="1" applyFill="1" applyBorder="1" applyAlignment="1">
      <alignment horizontal="center" vertical="center"/>
    </xf>
    <xf numFmtId="172" fontId="183" fillId="0" borderId="198" xfId="57" applyNumberFormat="1" applyFont="1" applyFill="1" applyBorder="1" applyAlignment="1">
      <alignment horizontal="center" vertical="center"/>
    </xf>
    <xf numFmtId="2" fontId="168" fillId="0" borderId="66" xfId="0" applyNumberFormat="1" applyFont="1" applyBorder="1"/>
    <xf numFmtId="2" fontId="168" fillId="0" borderId="66" xfId="0" applyNumberFormat="1" applyFont="1" applyBorder="1" applyAlignment="1">
      <alignment horizontal="center"/>
    </xf>
    <xf numFmtId="2" fontId="168" fillId="0" borderId="66" xfId="57" applyNumberFormat="1" applyFont="1" applyFill="1" applyBorder="1" applyAlignment="1">
      <alignment horizontal="center"/>
    </xf>
    <xf numFmtId="2" fontId="183" fillId="0" borderId="63" xfId="0" applyNumberFormat="1" applyFont="1" applyBorder="1" applyAlignment="1">
      <alignment horizontal="center"/>
    </xf>
    <xf numFmtId="2" fontId="183" fillId="0" borderId="11" xfId="0" applyNumberFormat="1" applyFont="1" applyBorder="1" applyAlignment="1">
      <alignment horizontal="center"/>
    </xf>
    <xf numFmtId="2" fontId="183" fillId="0" borderId="156" xfId="0" applyNumberFormat="1" applyFont="1" applyBorder="1" applyAlignment="1">
      <alignment horizontal="center"/>
    </xf>
    <xf numFmtId="2" fontId="183" fillId="0" borderId="175" xfId="0" applyNumberFormat="1" applyFont="1" applyBorder="1" applyAlignment="1">
      <alignment horizontal="center"/>
    </xf>
    <xf numFmtId="2" fontId="183" fillId="0" borderId="200" xfId="0" applyNumberFormat="1" applyFont="1" applyBorder="1" applyAlignment="1">
      <alignment horizontal="center"/>
    </xf>
    <xf numFmtId="2" fontId="183" fillId="0" borderId="329" xfId="0" applyNumberFormat="1" applyFont="1" applyBorder="1" applyAlignment="1">
      <alignment horizontal="center"/>
    </xf>
    <xf numFmtId="2" fontId="183" fillId="0" borderId="331" xfId="0" applyNumberFormat="1" applyFont="1" applyBorder="1" applyAlignment="1">
      <alignment horizontal="center"/>
    </xf>
    <xf numFmtId="2" fontId="183" fillId="0" borderId="198" xfId="0" applyNumberFormat="1" applyFont="1" applyBorder="1" applyAlignment="1">
      <alignment horizontal="center"/>
    </xf>
    <xf numFmtId="0" fontId="183" fillId="0" borderId="66" xfId="0" applyFont="1" applyBorder="1" applyAlignment="1">
      <alignment horizontal="center"/>
    </xf>
    <xf numFmtId="172" fontId="278" fillId="0" borderId="63" xfId="0" applyNumberFormat="1" applyFont="1" applyBorder="1" applyAlignment="1">
      <alignment horizontal="center"/>
    </xf>
    <xf numFmtId="172" fontId="278" fillId="0" borderId="66" xfId="0" applyNumberFormat="1" applyFont="1" applyBorder="1" applyAlignment="1">
      <alignment horizontal="center"/>
    </xf>
    <xf numFmtId="172" fontId="278" fillId="0" borderId="11" xfId="0" applyNumberFormat="1" applyFont="1" applyBorder="1" applyAlignment="1">
      <alignment horizontal="center"/>
    </xf>
    <xf numFmtId="172" fontId="183" fillId="0" borderId="156" xfId="0" applyNumberFormat="1" applyFont="1" applyBorder="1" applyAlignment="1">
      <alignment horizontal="center"/>
    </xf>
    <xf numFmtId="172" fontId="183" fillId="0" borderId="175" xfId="0" applyNumberFormat="1" applyFont="1" applyBorder="1" applyAlignment="1">
      <alignment horizontal="center"/>
    </xf>
    <xf numFmtId="175" fontId="183" fillId="0" borderId="175" xfId="0" applyNumberFormat="1" applyFont="1" applyBorder="1" applyAlignment="1">
      <alignment horizontal="center"/>
    </xf>
    <xf numFmtId="175" fontId="183" fillId="0" borderId="329" xfId="0" applyNumberFormat="1" applyFont="1" applyBorder="1" applyAlignment="1">
      <alignment horizontal="center"/>
    </xf>
    <xf numFmtId="175" fontId="183" fillId="0" borderId="331" xfId="0" applyNumberFormat="1" applyFont="1" applyBorder="1" applyAlignment="1">
      <alignment horizontal="center"/>
    </xf>
    <xf numFmtId="0" fontId="168" fillId="0" borderId="27" xfId="0" applyFont="1" applyBorder="1"/>
    <xf numFmtId="0" fontId="168" fillId="0" borderId="67" xfId="0" applyFont="1" applyBorder="1"/>
    <xf numFmtId="3" fontId="168" fillId="0" borderId="67" xfId="0" applyNumberFormat="1" applyFont="1" applyBorder="1"/>
    <xf numFmtId="3" fontId="168" fillId="0" borderId="67" xfId="0" applyNumberFormat="1" applyFont="1" applyBorder="1" applyAlignment="1">
      <alignment horizontal="center"/>
    </xf>
    <xf numFmtId="0" fontId="168" fillId="0" borderId="67" xfId="0" applyFont="1" applyBorder="1" applyAlignment="1">
      <alignment horizontal="center"/>
    </xf>
    <xf numFmtId="1" fontId="168" fillId="0" borderId="67" xfId="0" applyNumberFormat="1" applyFont="1" applyBorder="1" applyAlignment="1">
      <alignment horizontal="center"/>
    </xf>
    <xf numFmtId="3" fontId="183" fillId="0" borderId="67" xfId="0" applyNumberFormat="1" applyFont="1" applyBorder="1" applyAlignment="1">
      <alignment horizontal="center"/>
    </xf>
    <xf numFmtId="37" fontId="183" fillId="0" borderId="67" xfId="0" applyNumberFormat="1" applyFont="1" applyBorder="1" applyAlignment="1">
      <alignment horizontal="center"/>
    </xf>
    <xf numFmtId="3" fontId="183" fillId="0" borderId="65" xfId="0" applyNumberFormat="1" applyFont="1" applyBorder="1" applyAlignment="1">
      <alignment horizontal="center"/>
    </xf>
    <xf numFmtId="3" fontId="183" fillId="0" borderId="108" xfId="0" applyNumberFormat="1" applyFont="1" applyBorder="1" applyAlignment="1">
      <alignment horizontal="center"/>
    </xf>
    <xf numFmtId="3" fontId="183" fillId="0" borderId="135" xfId="0" applyNumberFormat="1" applyFont="1" applyBorder="1" applyAlignment="1">
      <alignment horizontal="center"/>
    </xf>
    <xf numFmtId="3" fontId="183" fillId="0" borderId="345" xfId="0" applyNumberFormat="1" applyFont="1" applyBorder="1" applyAlignment="1">
      <alignment horizontal="center"/>
    </xf>
    <xf numFmtId="3" fontId="183" fillId="0" borderId="357" xfId="0" applyNumberFormat="1" applyFont="1" applyBorder="1" applyAlignment="1">
      <alignment horizontal="center"/>
    </xf>
    <xf numFmtId="3" fontId="183" fillId="0" borderId="331" xfId="0" applyNumberFormat="1" applyFont="1" applyBorder="1" applyAlignment="1">
      <alignment horizontal="center"/>
    </xf>
    <xf numFmtId="3" fontId="183" fillId="0" borderId="198" xfId="0" applyNumberFormat="1" applyFont="1" applyBorder="1" applyAlignment="1">
      <alignment horizontal="center"/>
    </xf>
    <xf numFmtId="0" fontId="307" fillId="34" borderId="347" xfId="0" applyFont="1" applyFill="1" applyBorder="1" applyAlignment="1">
      <alignment vertical="center" wrapText="1"/>
    </xf>
    <xf numFmtId="0" fontId="307" fillId="34" borderId="490" xfId="0" applyFont="1" applyFill="1" applyBorder="1" applyAlignment="1">
      <alignment vertical="center" wrapText="1"/>
    </xf>
    <xf numFmtId="0" fontId="134" fillId="34" borderId="443" xfId="0" applyFont="1" applyFill="1" applyBorder="1"/>
    <xf numFmtId="0" fontId="122" fillId="34" borderId="68" xfId="0" applyFont="1" applyFill="1" applyBorder="1" applyAlignment="1">
      <alignment vertical="center"/>
    </xf>
    <xf numFmtId="0" fontId="122" fillId="34" borderId="174" xfId="0" applyFont="1" applyFill="1" applyBorder="1" applyAlignment="1">
      <alignment horizontal="center" vertical="center"/>
    </xf>
    <xf numFmtId="0" fontId="122" fillId="34" borderId="480" xfId="0" applyFont="1" applyFill="1" applyBorder="1" applyAlignment="1">
      <alignment horizontal="center" vertical="center"/>
    </xf>
    <xf numFmtId="0" fontId="122" fillId="34" borderId="490" xfId="0" applyFont="1" applyFill="1" applyBorder="1" applyAlignment="1">
      <alignment horizontal="center" vertical="center"/>
    </xf>
    <xf numFmtId="0" fontId="122" fillId="34" borderId="292" xfId="0" applyFont="1" applyFill="1" applyBorder="1" applyAlignment="1">
      <alignment horizontal="center" vertical="center"/>
    </xf>
    <xf numFmtId="0" fontId="122" fillId="34" borderId="425" xfId="0" applyFont="1" applyFill="1" applyBorder="1" applyAlignment="1">
      <alignment horizontal="center" vertical="center"/>
    </xf>
    <xf numFmtId="0" fontId="122" fillId="34" borderId="102" xfId="0" applyFont="1" applyFill="1" applyBorder="1" applyAlignment="1">
      <alignment horizontal="center" vertical="center"/>
    </xf>
    <xf numFmtId="0" fontId="122" fillId="34" borderId="435" xfId="0" applyFont="1" applyFill="1" applyBorder="1" applyAlignment="1">
      <alignment horizontal="center" vertical="center"/>
    </xf>
    <xf numFmtId="0" fontId="122" fillId="34" borderId="347" xfId="0" applyFont="1" applyFill="1" applyBorder="1" applyAlignment="1">
      <alignment horizontal="center" vertical="center"/>
    </xf>
    <xf numFmtId="0" fontId="122" fillId="0" borderId="348" xfId="0" applyFont="1" applyBorder="1" applyAlignment="1">
      <alignment horizontal="center" vertical="center" wrapText="1"/>
    </xf>
    <xf numFmtId="0" fontId="285" fillId="0" borderId="482" xfId="122" applyFont="1" applyBorder="1"/>
    <xf numFmtId="2" fontId="287" fillId="0" borderId="455" xfId="122" applyNumberFormat="1" applyFont="1" applyBorder="1" applyAlignment="1">
      <alignment horizontal="center"/>
    </xf>
    <xf numFmtId="175" fontId="287" fillId="0" borderId="455" xfId="122" applyNumberFormat="1" applyFont="1" applyBorder="1" applyAlignment="1">
      <alignment horizontal="center" vertical="center"/>
    </xf>
    <xf numFmtId="175" fontId="286" fillId="0" borderId="56" xfId="122" applyNumberFormat="1" applyFont="1" applyBorder="1" applyAlignment="1">
      <alignment horizontal="center"/>
    </xf>
    <xf numFmtId="2" fontId="287" fillId="0" borderId="56" xfId="122" applyNumberFormat="1" applyFont="1" applyBorder="1" applyAlignment="1">
      <alignment horizontal="center"/>
    </xf>
    <xf numFmtId="175" fontId="287" fillId="0" borderId="56" xfId="122" applyNumberFormat="1" applyFont="1" applyBorder="1" applyAlignment="1">
      <alignment horizontal="center" vertical="center"/>
    </xf>
    <xf numFmtId="0" fontId="287" fillId="0" borderId="311" xfId="122" applyFont="1" applyBorder="1" applyAlignment="1">
      <alignment vertical="center"/>
    </xf>
    <xf numFmtId="0" fontId="287" fillId="0" borderId="455" xfId="122" applyFont="1" applyBorder="1"/>
    <xf numFmtId="0" fontId="287" fillId="0" borderId="480" xfId="122" applyFont="1" applyBorder="1"/>
    <xf numFmtId="0" fontId="287" fillId="0" borderId="455" xfId="122" applyFont="1" applyBorder="1" applyAlignment="1">
      <alignment vertical="center"/>
    </xf>
    <xf numFmtId="0" fontId="238" fillId="0" borderId="443" xfId="122" applyFont="1" applyBorder="1"/>
    <xf numFmtId="0" fontId="287" fillId="0" borderId="56" xfId="122" applyFont="1" applyBorder="1"/>
    <xf numFmtId="2" fontId="230" fillId="0" borderId="443" xfId="122" applyNumberFormat="1" applyFont="1" applyBorder="1"/>
    <xf numFmtId="3" fontId="184" fillId="0" borderId="66" xfId="57" applyNumberFormat="1" applyFont="1" applyFill="1" applyBorder="1" applyAlignment="1">
      <alignment horizontal="center"/>
    </xf>
    <xf numFmtId="2" fontId="183" fillId="0" borderId="66" xfId="57" applyNumberFormat="1" applyFont="1" applyFill="1" applyBorder="1" applyAlignment="1">
      <alignment horizontal="center"/>
    </xf>
    <xf numFmtId="0" fontId="187" fillId="0" borderId="20" xfId="0" applyFont="1" applyBorder="1"/>
    <xf numFmtId="3" fontId="187" fillId="0" borderId="63" xfId="0" applyNumberFormat="1" applyFont="1" applyBorder="1" applyAlignment="1">
      <alignment horizontal="center"/>
    </xf>
    <xf numFmtId="3" fontId="187" fillId="0" borderId="66" xfId="0" applyNumberFormat="1" applyFont="1" applyBorder="1" applyAlignment="1">
      <alignment horizontal="center"/>
    </xf>
    <xf numFmtId="3" fontId="187" fillId="0" borderId="155" xfId="0" applyNumberFormat="1" applyFont="1" applyBorder="1" applyAlignment="1">
      <alignment horizontal="center"/>
    </xf>
    <xf numFmtId="3" fontId="187" fillId="0" borderId="66" xfId="57" applyNumberFormat="1" applyFont="1" applyFill="1" applyBorder="1" applyAlignment="1">
      <alignment horizontal="center"/>
    </xf>
    <xf numFmtId="3" fontId="187" fillId="0" borderId="63" xfId="57" applyNumberFormat="1" applyFont="1" applyFill="1" applyBorder="1" applyAlignment="1">
      <alignment horizontal="center"/>
    </xf>
    <xf numFmtId="3" fontId="187" fillId="0" borderId="11" xfId="57" applyNumberFormat="1" applyFont="1" applyFill="1" applyBorder="1" applyAlignment="1">
      <alignment horizontal="center"/>
    </xf>
    <xf numFmtId="3" fontId="187" fillId="0" borderId="155" xfId="57" applyNumberFormat="1" applyFont="1" applyFill="1" applyBorder="1" applyAlignment="1">
      <alignment horizontal="center"/>
    </xf>
    <xf numFmtId="3" fontId="187" fillId="0" borderId="0" xfId="57" applyNumberFormat="1" applyFont="1" applyFill="1" applyBorder="1" applyAlignment="1">
      <alignment horizontal="center"/>
    </xf>
    <xf numFmtId="3" fontId="187" fillId="0" borderId="252" xfId="57" applyNumberFormat="1" applyFont="1" applyFill="1" applyBorder="1" applyAlignment="1">
      <alignment horizontal="center"/>
    </xf>
    <xf numFmtId="3" fontId="187" fillId="0" borderId="186" xfId="57" applyNumberFormat="1" applyFont="1" applyFill="1" applyBorder="1" applyAlignment="1">
      <alignment horizontal="center"/>
    </xf>
    <xf numFmtId="171" fontId="187" fillId="0" borderId="134" xfId="149" applyNumberFormat="1" applyFont="1" applyFill="1" applyBorder="1" applyAlignment="1">
      <alignment horizontal="center"/>
    </xf>
    <xf numFmtId="0" fontId="187" fillId="0" borderId="0" xfId="0" applyFont="1"/>
    <xf numFmtId="3" fontId="187" fillId="0" borderId="200" xfId="57" applyNumberFormat="1" applyFont="1" applyFill="1" applyBorder="1" applyAlignment="1">
      <alignment horizontal="center"/>
    </xf>
    <xf numFmtId="171" fontId="187" fillId="0" borderId="0" xfId="149" applyNumberFormat="1" applyFont="1" applyFill="1"/>
    <xf numFmtId="0" fontId="242" fillId="0" borderId="439" xfId="0" applyFont="1" applyBorder="1" applyAlignment="1">
      <alignment horizontal="center"/>
    </xf>
    <xf numFmtId="0" fontId="242" fillId="0" borderId="490" xfId="0" applyFont="1" applyBorder="1" applyAlignment="1">
      <alignment horizontal="center"/>
    </xf>
    <xf numFmtId="175" fontId="137" fillId="0" borderId="0" xfId="830" applyNumberFormat="1" applyFont="1"/>
    <xf numFmtId="0" fontId="243" fillId="0" borderId="484" xfId="0" applyFont="1" applyBorder="1"/>
    <xf numFmtId="0" fontId="146" fillId="32" borderId="471" xfId="122" applyFont="1" applyFill="1" applyBorder="1"/>
    <xf numFmtId="3" fontId="231" fillId="0" borderId="0" xfId="124" applyNumberFormat="1" applyFont="1"/>
    <xf numFmtId="3" fontId="149" fillId="26" borderId="363" xfId="57" applyNumberFormat="1" applyFont="1" applyFill="1" applyBorder="1" applyAlignment="1"/>
    <xf numFmtId="3" fontId="149" fillId="26" borderId="351" xfId="57" applyNumberFormat="1" applyFont="1" applyFill="1" applyBorder="1" applyAlignment="1"/>
    <xf numFmtId="230" fontId="231" fillId="26" borderId="116" xfId="310" applyNumberFormat="1" applyFont="1" applyFill="1" applyBorder="1" applyAlignment="1" applyProtection="1">
      <alignment vertical="center"/>
      <protection locked="0"/>
    </xf>
    <xf numFmtId="230" fontId="231" fillId="26" borderId="0" xfId="310" applyNumberFormat="1" applyFont="1" applyFill="1" applyBorder="1" applyAlignment="1" applyProtection="1">
      <alignment vertical="center"/>
      <protection locked="0"/>
    </xf>
    <xf numFmtId="3" fontId="231" fillId="0" borderId="0" xfId="57" applyNumberFormat="1" applyFont="1" applyFill="1" applyAlignment="1"/>
    <xf numFmtId="172" fontId="155" fillId="0" borderId="359" xfId="124" applyNumberFormat="1" applyFont="1" applyBorder="1" applyAlignment="1">
      <alignment horizontal="center"/>
    </xf>
    <xf numFmtId="230" fontId="171" fillId="26" borderId="0" xfId="124" applyNumberFormat="1" applyFont="1" applyFill="1" applyAlignment="1" applyProtection="1">
      <alignment vertical="center"/>
      <protection locked="0"/>
    </xf>
    <xf numFmtId="3" fontId="171" fillId="0" borderId="0" xfId="57" applyNumberFormat="1" applyFont="1" applyFill="1" applyAlignment="1"/>
    <xf numFmtId="172" fontId="155" fillId="0" borderId="357" xfId="124" applyNumberFormat="1" applyFont="1" applyBorder="1" applyAlignment="1">
      <alignment horizontal="center"/>
    </xf>
    <xf numFmtId="3" fontId="170" fillId="26" borderId="24" xfId="57" applyNumberFormat="1" applyFont="1" applyFill="1" applyBorder="1" applyAlignment="1"/>
    <xf numFmtId="3" fontId="149" fillId="26" borderId="506" xfId="57" applyNumberFormat="1" applyFont="1" applyFill="1" applyBorder="1" applyAlignment="1"/>
    <xf numFmtId="175" fontId="152" fillId="26" borderId="329" xfId="124" applyNumberFormat="1" applyFont="1" applyFill="1" applyBorder="1" applyAlignment="1">
      <alignment horizontal="center" vertical="center"/>
    </xf>
    <xf numFmtId="175" fontId="155" fillId="26" borderId="329" xfId="124" applyNumberFormat="1" applyFont="1" applyFill="1" applyBorder="1" applyAlignment="1">
      <alignment horizontal="center" vertical="center"/>
    </xf>
    <xf numFmtId="175" fontId="155" fillId="26" borderId="329" xfId="124" applyNumberFormat="1" applyFont="1" applyFill="1" applyBorder="1" applyAlignment="1">
      <alignment horizontal="center"/>
    </xf>
    <xf numFmtId="175" fontId="152" fillId="26" borderId="329" xfId="124" applyNumberFormat="1" applyFont="1" applyFill="1" applyBorder="1" applyAlignment="1">
      <alignment horizontal="center"/>
    </xf>
    <xf numFmtId="175" fontId="155" fillId="26" borderId="455" xfId="124" applyNumberFormat="1" applyFont="1" applyFill="1" applyBorder="1" applyAlignment="1">
      <alignment horizontal="center"/>
    </xf>
    <xf numFmtId="175" fontId="185" fillId="0" borderId="200" xfId="0" applyNumberFormat="1" applyFont="1" applyBorder="1" applyAlignment="1">
      <alignment horizontal="center"/>
    </xf>
    <xf numFmtId="175" fontId="185" fillId="0" borderId="329" xfId="0" applyNumberFormat="1" applyFont="1" applyBorder="1" applyAlignment="1">
      <alignment horizontal="center"/>
    </xf>
    <xf numFmtId="175" fontId="185" fillId="0" borderId="331" xfId="0" applyNumberFormat="1" applyFont="1" applyBorder="1" applyAlignment="1">
      <alignment horizontal="center"/>
    </xf>
    <xf numFmtId="175" fontId="185" fillId="0" borderId="198" xfId="0" applyNumberFormat="1" applyFont="1" applyBorder="1" applyAlignment="1">
      <alignment horizontal="center"/>
    </xf>
    <xf numFmtId="0" fontId="149" fillId="0" borderId="490" xfId="0" applyFont="1" applyBorder="1" applyAlignment="1">
      <alignment horizontal="center"/>
    </xf>
    <xf numFmtId="0" fontId="149" fillId="0" borderId="173" xfId="0" applyFont="1" applyBorder="1" applyAlignment="1">
      <alignment horizontal="center"/>
    </xf>
    <xf numFmtId="0" fontId="331" fillId="0" borderId="173" xfId="1452" applyFont="1" applyBorder="1" applyAlignment="1">
      <alignment horizontal="center"/>
    </xf>
    <xf numFmtId="3" fontId="187" fillId="0" borderId="329" xfId="57" applyNumberFormat="1" applyFont="1" applyFill="1" applyBorder="1" applyAlignment="1">
      <alignment horizontal="center"/>
    </xf>
    <xf numFmtId="3" fontId="232" fillId="26" borderId="466" xfId="57" applyNumberFormat="1" applyFont="1" applyFill="1" applyBorder="1" applyAlignment="1">
      <alignment horizontal="center"/>
    </xf>
    <xf numFmtId="166" fontId="232" fillId="26" borderId="351" xfId="918" applyFont="1" applyFill="1" applyBorder="1" applyAlignment="1"/>
    <xf numFmtId="3" fontId="232" fillId="26" borderId="419" xfId="57" applyNumberFormat="1" applyFont="1" applyFill="1" applyBorder="1" applyAlignment="1"/>
    <xf numFmtId="166" fontId="232" fillId="26" borderId="329" xfId="918" applyFont="1" applyFill="1" applyBorder="1" applyAlignment="1"/>
    <xf numFmtId="3" fontId="232" fillId="26" borderId="466" xfId="57" applyNumberFormat="1" applyFont="1" applyFill="1" applyBorder="1" applyAlignment="1"/>
    <xf numFmtId="3" fontId="232" fillId="26" borderId="491" xfId="57" applyNumberFormat="1" applyFont="1" applyFill="1" applyBorder="1" applyAlignment="1">
      <alignment horizontal="center"/>
    </xf>
    <xf numFmtId="228" fontId="164" fillId="26" borderId="466" xfId="57" applyNumberFormat="1" applyFont="1" applyFill="1" applyBorder="1" applyAlignment="1">
      <alignment horizontal="center"/>
    </xf>
    <xf numFmtId="3" fontId="149" fillId="0" borderId="491" xfId="57" applyNumberFormat="1" applyFont="1" applyFill="1" applyBorder="1" applyAlignment="1">
      <alignment horizontal="center"/>
    </xf>
    <xf numFmtId="164" fontId="148" fillId="34" borderId="480" xfId="2882" applyNumberFormat="1" applyFont="1" applyFill="1" applyBorder="1" applyAlignment="1">
      <alignment horizontal="center"/>
    </xf>
    <xf numFmtId="175" fontId="148" fillId="34" borderId="466" xfId="124" applyNumberFormat="1" applyFont="1" applyFill="1" applyBorder="1" applyAlignment="1">
      <alignment horizontal="center"/>
    </xf>
    <xf numFmtId="171" fontId="155" fillId="0" borderId="186" xfId="149" applyNumberFormat="1" applyFont="1" applyBorder="1" applyAlignment="1">
      <alignment horizontal="center"/>
    </xf>
    <xf numFmtId="0" fontId="157" fillId="0" borderId="437" xfId="0" applyFont="1" applyBorder="1"/>
    <xf numFmtId="0" fontId="158" fillId="0" borderId="466" xfId="0" applyFont="1" applyBorder="1" applyAlignment="1">
      <alignment horizontal="center"/>
    </xf>
    <xf numFmtId="171" fontId="158" fillId="0" borderId="437" xfId="0" applyNumberFormat="1" applyFont="1" applyBorder="1" applyAlignment="1">
      <alignment horizontal="center"/>
    </xf>
    <xf numFmtId="175" fontId="158" fillId="0" borderId="439" xfId="0" applyNumberFormat="1" applyFont="1" applyBorder="1" applyAlignment="1">
      <alignment horizontal="center"/>
    </xf>
    <xf numFmtId="172" fontId="151" fillId="0" borderId="214" xfId="150" applyNumberFormat="1" applyFont="1" applyFill="1" applyBorder="1" applyAlignment="1">
      <alignment horizontal="center"/>
    </xf>
    <xf numFmtId="171" fontId="120" fillId="34" borderId="488" xfId="149" applyNumberFormat="1" applyFont="1" applyFill="1" applyBorder="1" applyAlignment="1">
      <alignment horizontal="center" vertical="center"/>
    </xf>
    <xf numFmtId="171" fontId="121" fillId="34" borderId="488" xfId="149" applyNumberFormat="1" applyFont="1" applyFill="1" applyBorder="1" applyAlignment="1">
      <alignment horizontal="center" vertical="center"/>
    </xf>
    <xf numFmtId="172" fontId="151" fillId="29" borderId="0" xfId="1277" applyNumberFormat="1" applyFont="1" applyFill="1" applyBorder="1" applyAlignment="1">
      <alignment horizontal="center" vertical="center"/>
    </xf>
    <xf numFmtId="175" fontId="151" fillId="0" borderId="443" xfId="1317" applyNumberFormat="1" applyFont="1" applyBorder="1" applyAlignment="1">
      <alignment horizontal="center"/>
    </xf>
    <xf numFmtId="0" fontId="306" fillId="0" borderId="443" xfId="0" applyFont="1" applyBorder="1"/>
    <xf numFmtId="0" fontId="243" fillId="0" borderId="442" xfId="0" applyFont="1" applyBorder="1" applyAlignment="1">
      <alignment horizontal="center"/>
    </xf>
    <xf numFmtId="0" fontId="243" fillId="0" borderId="24" xfId="0" applyFont="1" applyBorder="1" applyAlignment="1">
      <alignment horizontal="center"/>
    </xf>
    <xf numFmtId="3" fontId="167" fillId="0" borderId="0" xfId="124" applyNumberFormat="1" applyFont="1"/>
    <xf numFmtId="1" fontId="151" fillId="0" borderId="158" xfId="1446" applyNumberFormat="1" applyFont="1" applyBorder="1" applyAlignment="1">
      <alignment horizontal="center"/>
    </xf>
    <xf numFmtId="0" fontId="168" fillId="0" borderId="347" xfId="182" applyFont="1" applyBorder="1" applyAlignment="1">
      <alignment horizontal="center" vertical="center"/>
    </xf>
    <xf numFmtId="0" fontId="168" fillId="0" borderId="488" xfId="182" applyFont="1" applyBorder="1" applyAlignment="1">
      <alignment horizontal="center" vertical="center"/>
    </xf>
    <xf numFmtId="172" fontId="151" fillId="0" borderId="0" xfId="1277" applyNumberFormat="1" applyFont="1" applyFill="1" applyBorder="1" applyAlignment="1">
      <alignment horizontal="center" vertical="center"/>
    </xf>
    <xf numFmtId="0" fontId="137" fillId="0" borderId="56" xfId="122" applyFont="1" applyBorder="1" applyAlignment="1">
      <alignment horizontal="center"/>
    </xf>
    <xf numFmtId="3" fontId="138" fillId="0" borderId="329" xfId="122" applyNumberFormat="1" applyFont="1" applyBorder="1" applyAlignment="1">
      <alignment horizontal="center"/>
    </xf>
    <xf numFmtId="3" fontId="138" fillId="0" borderId="0" xfId="122" applyNumberFormat="1" applyFont="1" applyAlignment="1">
      <alignment horizontal="center"/>
    </xf>
    <xf numFmtId="3" fontId="137" fillId="0" borderId="330" xfId="122" applyNumberFormat="1" applyFont="1" applyBorder="1" applyAlignment="1">
      <alignment horizontal="center"/>
    </xf>
    <xf numFmtId="3" fontId="138" fillId="0" borderId="56" xfId="122" applyNumberFormat="1" applyFont="1" applyBorder="1" applyAlignment="1">
      <alignment horizontal="center"/>
    </xf>
    <xf numFmtId="3" fontId="137" fillId="0" borderId="24" xfId="122" applyNumberFormat="1" applyFont="1" applyBorder="1" applyAlignment="1">
      <alignment horizontal="center"/>
    </xf>
    <xf numFmtId="0" fontId="137" fillId="0" borderId="90" xfId="122" applyFont="1" applyBorder="1" applyAlignment="1">
      <alignment horizontal="center"/>
    </xf>
    <xf numFmtId="3" fontId="138" fillId="0" borderId="90" xfId="122" applyNumberFormat="1" applyFont="1" applyBorder="1" applyAlignment="1">
      <alignment horizontal="center"/>
    </xf>
    <xf numFmtId="37" fontId="353" fillId="0" borderId="84" xfId="122" applyNumberFormat="1" applyFont="1" applyBorder="1" applyAlignment="1">
      <alignment horizontal="center"/>
    </xf>
    <xf numFmtId="37" fontId="353" fillId="0" borderId="394" xfId="122" applyNumberFormat="1" applyFont="1" applyBorder="1" applyAlignment="1">
      <alignment horizontal="center"/>
    </xf>
    <xf numFmtId="37" fontId="136" fillId="0" borderId="430" xfId="122" applyNumberFormat="1" applyFont="1" applyBorder="1" applyAlignment="1">
      <alignment horizontal="center"/>
    </xf>
    <xf numFmtId="3" fontId="138" fillId="0" borderId="455" xfId="122" applyNumberFormat="1" applyFont="1" applyBorder="1" applyAlignment="1">
      <alignment horizontal="center"/>
    </xf>
    <xf numFmtId="3" fontId="137" fillId="0" borderId="466" xfId="122" applyNumberFormat="1" applyFont="1" applyBorder="1" applyAlignment="1">
      <alignment horizontal="center"/>
    </xf>
    <xf numFmtId="37" fontId="353" fillId="0" borderId="90" xfId="122" applyNumberFormat="1" applyFont="1" applyBorder="1" applyAlignment="1">
      <alignment horizontal="center"/>
    </xf>
    <xf numFmtId="37" fontId="353" fillId="0" borderId="455" xfId="122" applyNumberFormat="1" applyFont="1" applyBorder="1" applyAlignment="1">
      <alignment horizontal="center"/>
    </xf>
    <xf numFmtId="37" fontId="136" fillId="0" borderId="24" xfId="122" applyNumberFormat="1" applyFont="1" applyBorder="1" applyAlignment="1">
      <alignment horizontal="center"/>
    </xf>
    <xf numFmtId="37" fontId="136" fillId="0" borderId="466" xfId="122" applyNumberFormat="1" applyFont="1" applyBorder="1" applyAlignment="1">
      <alignment horizontal="center"/>
    </xf>
    <xf numFmtId="3" fontId="138" fillId="0" borderId="487" xfId="122" applyNumberFormat="1" applyFont="1" applyBorder="1" applyAlignment="1">
      <alignment horizontal="center"/>
    </xf>
    <xf numFmtId="3" fontId="137" fillId="0" borderId="487" xfId="122" applyNumberFormat="1" applyFont="1" applyBorder="1" applyAlignment="1">
      <alignment horizontal="center"/>
    </xf>
    <xf numFmtId="37" fontId="353" fillId="0" borderId="487" xfId="122" applyNumberFormat="1" applyFont="1" applyBorder="1" applyAlignment="1">
      <alignment horizontal="center"/>
    </xf>
    <xf numFmtId="0" fontId="137" fillId="0" borderId="308" xfId="122" applyFont="1" applyBorder="1" applyAlignment="1">
      <alignment horizontal="center"/>
    </xf>
    <xf numFmtId="3" fontId="138" fillId="0" borderId="357" xfId="122" applyNumberFormat="1" applyFont="1" applyBorder="1" applyAlignment="1">
      <alignment horizontal="center"/>
    </xf>
    <xf numFmtId="3" fontId="137" fillId="0" borderId="355" xfId="122" applyNumberFormat="1" applyFont="1" applyBorder="1" applyAlignment="1">
      <alignment horizontal="center"/>
    </xf>
    <xf numFmtId="37" fontId="353" fillId="0" borderId="308" xfId="122" applyNumberFormat="1" applyFont="1" applyBorder="1" applyAlignment="1">
      <alignment horizontal="center"/>
    </xf>
    <xf numFmtId="37" fontId="353" fillId="0" borderId="357" xfId="122" applyNumberFormat="1" applyFont="1" applyBorder="1" applyAlignment="1">
      <alignment horizontal="center"/>
    </xf>
    <xf numFmtId="37" fontId="136" fillId="0" borderId="355" xfId="122" applyNumberFormat="1" applyFont="1" applyBorder="1" applyAlignment="1">
      <alignment horizontal="center"/>
    </xf>
    <xf numFmtId="0" fontId="137" fillId="32" borderId="90" xfId="122" applyFont="1" applyFill="1" applyBorder="1" applyAlignment="1">
      <alignment horizontal="center"/>
    </xf>
    <xf numFmtId="3" fontId="138" fillId="32" borderId="455" xfId="122" applyNumberFormat="1" applyFont="1" applyFill="1" applyBorder="1" applyAlignment="1">
      <alignment horizontal="center"/>
    </xf>
    <xf numFmtId="3" fontId="137" fillId="32" borderId="24" xfId="122" applyNumberFormat="1" applyFont="1" applyFill="1" applyBorder="1" applyAlignment="1">
      <alignment horizontal="center"/>
    </xf>
    <xf numFmtId="37" fontId="353" fillId="32" borderId="90" xfId="122" applyNumberFormat="1" applyFont="1" applyFill="1" applyBorder="1" applyAlignment="1">
      <alignment horizontal="center"/>
    </xf>
    <xf numFmtId="37" fontId="353" fillId="32" borderId="455" xfId="122" applyNumberFormat="1" applyFont="1" applyFill="1" applyBorder="1" applyAlignment="1">
      <alignment horizontal="center"/>
    </xf>
    <xf numFmtId="37" fontId="136" fillId="32" borderId="24" xfId="122" applyNumberFormat="1" applyFont="1" applyFill="1" applyBorder="1" applyAlignment="1">
      <alignment horizontal="center"/>
    </xf>
    <xf numFmtId="0" fontId="137" fillId="0" borderId="294" xfId="122" applyFont="1" applyBorder="1" applyAlignment="1">
      <alignment horizontal="center"/>
    </xf>
    <xf numFmtId="3" fontId="138" fillId="0" borderId="443" xfId="122" applyNumberFormat="1" applyFont="1" applyBorder="1" applyAlignment="1">
      <alignment horizontal="center"/>
    </xf>
    <xf numFmtId="3" fontId="137" fillId="0" borderId="443" xfId="122" applyNumberFormat="1" applyFont="1" applyBorder="1" applyAlignment="1">
      <alignment horizontal="center"/>
    </xf>
    <xf numFmtId="37" fontId="353" fillId="0" borderId="443" xfId="122" applyNumberFormat="1" applyFont="1" applyBorder="1" applyAlignment="1">
      <alignment horizontal="center"/>
    </xf>
    <xf numFmtId="37" fontId="136" fillId="0" borderId="442" xfId="122" applyNumberFormat="1" applyFont="1" applyBorder="1" applyAlignment="1">
      <alignment horizontal="center"/>
    </xf>
    <xf numFmtId="0" fontId="137" fillId="0" borderId="311" xfId="122" applyFont="1" applyBorder="1" applyAlignment="1">
      <alignment horizontal="center"/>
    </xf>
    <xf numFmtId="3" fontId="138" fillId="0" borderId="374" xfId="122" applyNumberFormat="1" applyFont="1" applyBorder="1" applyAlignment="1">
      <alignment horizontal="center"/>
    </xf>
    <xf numFmtId="3" fontId="137" fillId="0" borderId="374" xfId="122" applyNumberFormat="1" applyFont="1" applyBorder="1" applyAlignment="1">
      <alignment horizontal="center"/>
    </xf>
    <xf numFmtId="37" fontId="353" fillId="0" borderId="374" xfId="122" applyNumberFormat="1" applyFont="1" applyBorder="1" applyAlignment="1">
      <alignment horizontal="center"/>
    </xf>
    <xf numFmtId="0" fontId="137" fillId="0" borderId="357" xfId="122" applyFont="1" applyBorder="1" applyAlignment="1">
      <alignment horizontal="center"/>
    </xf>
    <xf numFmtId="0" fontId="137" fillId="0" borderId="374" xfId="122" applyFont="1" applyBorder="1" applyAlignment="1">
      <alignment horizontal="center"/>
    </xf>
    <xf numFmtId="0" fontId="137" fillId="0" borderId="358" xfId="122" applyFont="1" applyBorder="1" applyAlignment="1">
      <alignment horizontal="center"/>
    </xf>
    <xf numFmtId="0" fontId="137" fillId="0" borderId="355" xfId="122" applyFont="1" applyBorder="1" applyAlignment="1">
      <alignment horizontal="center"/>
    </xf>
    <xf numFmtId="0" fontId="138" fillId="0" borderId="56" xfId="122" applyFont="1" applyBorder="1" applyAlignment="1">
      <alignment horizontal="center"/>
    </xf>
    <xf numFmtId="0" fontId="138" fillId="0" borderId="455" xfId="122" applyFont="1" applyBorder="1"/>
    <xf numFmtId="0" fontId="137" fillId="0" borderId="437" xfId="122" applyFont="1" applyBorder="1"/>
    <xf numFmtId="0" fontId="138" fillId="0" borderId="294" xfId="122" applyFont="1" applyBorder="1"/>
    <xf numFmtId="0" fontId="138" fillId="0" borderId="480" xfId="122" applyFont="1" applyBorder="1"/>
    <xf numFmtId="0" fontId="137" fillId="0" borderId="442" xfId="122" applyFont="1" applyBorder="1"/>
    <xf numFmtId="3" fontId="138" fillId="0" borderId="455" xfId="122" applyNumberFormat="1" applyFont="1" applyBorder="1"/>
    <xf numFmtId="3" fontId="138" fillId="0" borderId="0" xfId="122" applyNumberFormat="1" applyFont="1"/>
    <xf numFmtId="3" fontId="137" fillId="0" borderId="466" xfId="122" applyNumberFormat="1" applyFont="1" applyBorder="1"/>
    <xf numFmtId="3" fontId="138" fillId="0" borderId="56" xfId="122" applyNumberFormat="1" applyFont="1" applyBorder="1"/>
    <xf numFmtId="3" fontId="137" fillId="0" borderId="24" xfId="122" applyNumberFormat="1" applyFont="1" applyBorder="1"/>
    <xf numFmtId="3" fontId="138" fillId="0" borderId="480" xfId="122" applyNumberFormat="1" applyFont="1" applyBorder="1" applyAlignment="1">
      <alignment horizontal="center"/>
    </xf>
    <xf numFmtId="3" fontId="137" fillId="0" borderId="437" xfId="122" applyNumberFormat="1" applyFont="1" applyBorder="1" applyAlignment="1">
      <alignment horizontal="center"/>
    </xf>
    <xf numFmtId="3" fontId="138" fillId="0" borderId="294" xfId="122" applyNumberFormat="1" applyFont="1" applyBorder="1" applyAlignment="1">
      <alignment horizontal="center"/>
    </xf>
    <xf numFmtId="3" fontId="137" fillId="0" borderId="442" xfId="122" applyNumberFormat="1" applyFont="1" applyBorder="1" applyAlignment="1">
      <alignment horizontal="center"/>
    </xf>
    <xf numFmtId="0" fontId="138" fillId="0" borderId="90" xfId="122" applyFont="1" applyBorder="1" applyAlignment="1">
      <alignment horizontal="center"/>
    </xf>
    <xf numFmtId="3" fontId="138" fillId="0" borderId="116" xfId="122" applyNumberFormat="1" applyFont="1" applyBorder="1" applyAlignment="1">
      <alignment horizontal="center"/>
    </xf>
    <xf numFmtId="3" fontId="137" fillId="0" borderId="0" xfId="122" applyNumberFormat="1" applyFont="1" applyAlignment="1">
      <alignment horizontal="center"/>
    </xf>
    <xf numFmtId="0" fontId="137" fillId="32" borderId="56" xfId="122" applyFont="1" applyFill="1" applyBorder="1" applyAlignment="1">
      <alignment horizontal="center"/>
    </xf>
    <xf numFmtId="3" fontId="138" fillId="32" borderId="0" xfId="122" applyNumberFormat="1" applyFont="1" applyFill="1" applyAlignment="1">
      <alignment horizontal="center"/>
    </xf>
    <xf numFmtId="3" fontId="137" fillId="32" borderId="0" xfId="122" applyNumberFormat="1" applyFont="1" applyFill="1" applyAlignment="1">
      <alignment horizontal="center"/>
    </xf>
    <xf numFmtId="3" fontId="138" fillId="0" borderId="381" xfId="122" applyNumberFormat="1" applyFont="1" applyBorder="1" applyAlignment="1">
      <alignment horizontal="center"/>
    </xf>
    <xf numFmtId="3" fontId="138" fillId="0" borderId="308" xfId="122" applyNumberFormat="1" applyFont="1" applyBorder="1" applyAlignment="1">
      <alignment horizontal="center"/>
    </xf>
    <xf numFmtId="3" fontId="137" fillId="0" borderId="359" xfId="122" applyNumberFormat="1" applyFont="1" applyBorder="1" applyAlignment="1">
      <alignment horizontal="center"/>
    </xf>
    <xf numFmtId="0" fontId="285" fillId="0" borderId="90" xfId="122" applyFont="1" applyBorder="1" applyAlignment="1">
      <alignment vertical="center"/>
    </xf>
    <xf numFmtId="172" fontId="158" fillId="0" borderId="252" xfId="57" applyNumberFormat="1" applyFont="1" applyFill="1" applyBorder="1" applyAlignment="1">
      <alignment horizontal="center"/>
    </xf>
    <xf numFmtId="171" fontId="158" fillId="0" borderId="0" xfId="0" applyNumberFormat="1" applyFont="1" applyAlignment="1">
      <alignment horizontal="center"/>
    </xf>
    <xf numFmtId="0" fontId="237" fillId="0" borderId="0" xfId="122" applyFont="1" applyAlignment="1">
      <alignment horizontal="center" wrapText="1"/>
    </xf>
    <xf numFmtId="0" fontId="234" fillId="0" borderId="0" xfId="142" applyFont="1" applyAlignment="1">
      <alignment horizontal="center"/>
    </xf>
    <xf numFmtId="172" fontId="168" fillId="0" borderId="90" xfId="124" applyNumberFormat="1" applyFont="1" applyBorder="1" applyAlignment="1">
      <alignment horizontal="center"/>
    </xf>
    <xf numFmtId="172" fontId="167" fillId="0" borderId="508" xfId="124" applyNumberFormat="1" applyFont="1" applyBorder="1" applyAlignment="1">
      <alignment horizontal="center"/>
    </xf>
    <xf numFmtId="172" fontId="167" fillId="0" borderId="90" xfId="124" applyNumberFormat="1" applyFont="1" applyBorder="1" applyAlignment="1">
      <alignment horizontal="center"/>
    </xf>
    <xf numFmtId="0" fontId="167" fillId="0" borderId="90" xfId="124" applyFont="1" applyBorder="1"/>
    <xf numFmtId="172" fontId="168" fillId="0" borderId="138" xfId="124" applyNumberFormat="1" applyFont="1" applyBorder="1" applyAlignment="1">
      <alignment horizontal="center"/>
    </xf>
    <xf numFmtId="3" fontId="149" fillId="26" borderId="365" xfId="57" applyNumberFormat="1" applyFont="1" applyFill="1" applyBorder="1" applyAlignment="1">
      <alignment horizontal="left" vertical="center"/>
    </xf>
    <xf numFmtId="0" fontId="261" fillId="0" borderId="0" xfId="124" applyFont="1" applyAlignment="1">
      <alignment horizontal="left"/>
    </xf>
    <xf numFmtId="175" fontId="150" fillId="0" borderId="0" xfId="122" applyNumberFormat="1" applyFont="1" applyAlignment="1">
      <alignment horizontal="center"/>
    </xf>
    <xf numFmtId="175" fontId="146" fillId="0" borderId="0" xfId="122" applyNumberFormat="1" applyFont="1" applyAlignment="1">
      <alignment horizontal="center"/>
    </xf>
    <xf numFmtId="175" fontId="146" fillId="0" borderId="90" xfId="122" applyNumberFormat="1" applyFont="1" applyBorder="1" applyAlignment="1">
      <alignment horizontal="center"/>
    </xf>
    <xf numFmtId="175" fontId="146" fillId="0" borderId="308" xfId="122" applyNumberFormat="1" applyFont="1" applyBorder="1" applyAlignment="1">
      <alignment horizontal="center"/>
    </xf>
    <xf numFmtId="172" fontId="234" fillId="0" borderId="329" xfId="57" applyNumberFormat="1" applyFont="1" applyFill="1" applyBorder="1" applyAlignment="1">
      <alignment horizontal="center"/>
    </xf>
    <xf numFmtId="172" fontId="234" fillId="0" borderId="466" xfId="57" applyNumberFormat="1" applyFont="1" applyFill="1" applyBorder="1" applyAlignment="1">
      <alignment horizontal="center"/>
    </xf>
    <xf numFmtId="175" fontId="235" fillId="0" borderId="329" xfId="57" applyNumberFormat="1" applyFont="1" applyFill="1" applyBorder="1" applyAlignment="1">
      <alignment horizontal="center"/>
    </xf>
    <xf numFmtId="179" fontId="235" fillId="0" borderId="466" xfId="57" applyNumberFormat="1" applyFont="1" applyFill="1" applyBorder="1" applyAlignment="1">
      <alignment horizontal="center"/>
    </xf>
    <xf numFmtId="179" fontId="235" fillId="0" borderId="329" xfId="57" applyNumberFormat="1" applyFont="1" applyFill="1" applyBorder="1" applyAlignment="1">
      <alignment horizontal="center"/>
    </xf>
    <xf numFmtId="179" fontId="234" fillId="0" borderId="329" xfId="57" applyNumberFormat="1" applyFont="1" applyFill="1" applyBorder="1" applyAlignment="1">
      <alignment horizontal="center"/>
    </xf>
    <xf numFmtId="179" fontId="234" fillId="0" borderId="466" xfId="57" applyNumberFormat="1" applyFont="1" applyFill="1" applyBorder="1" applyAlignment="1">
      <alignment horizontal="center"/>
    </xf>
    <xf numFmtId="172" fontId="235" fillId="0" borderId="329" xfId="57" applyNumberFormat="1" applyFont="1" applyFill="1" applyBorder="1" applyAlignment="1">
      <alignment horizontal="center"/>
    </xf>
    <xf numFmtId="49" fontId="266" fillId="0" borderId="57" xfId="124" applyNumberFormat="1" applyFont="1" applyBorder="1" applyAlignment="1">
      <alignment horizontal="left" wrapText="1" indent="6"/>
    </xf>
    <xf numFmtId="49" fontId="266" fillId="0" borderId="57" xfId="124" applyNumberFormat="1" applyFont="1" applyBorder="1" applyAlignment="1">
      <alignment horizontal="left" wrapText="1" indent="4"/>
    </xf>
    <xf numFmtId="0" fontId="242" fillId="0" borderId="176" xfId="0" applyFont="1" applyBorder="1" applyAlignment="1">
      <alignment horizontal="left" vertical="center"/>
    </xf>
    <xf numFmtId="0" fontId="242" fillId="0" borderId="90" xfId="0" applyFont="1" applyBorder="1"/>
    <xf numFmtId="0" fontId="243" fillId="0" borderId="90" xfId="0" applyFont="1" applyBorder="1"/>
    <xf numFmtId="3" fontId="234" fillId="0" borderId="489" xfId="0" applyNumberFormat="1" applyFont="1" applyBorder="1" applyAlignment="1">
      <alignment horizontal="center"/>
    </xf>
    <xf numFmtId="3" fontId="234" fillId="0" borderId="490" xfId="0" applyNumberFormat="1" applyFont="1" applyBorder="1" applyAlignment="1">
      <alignment horizontal="center"/>
    </xf>
    <xf numFmtId="171" fontId="187" fillId="0" borderId="359" xfId="149" applyNumberFormat="1" applyFont="1" applyFill="1" applyBorder="1" applyAlignment="1">
      <alignment horizontal="center"/>
    </xf>
    <xf numFmtId="0" fontId="168" fillId="0" borderId="293" xfId="122" applyFont="1" applyBorder="1" applyAlignment="1">
      <alignment horizontal="center" vertical="center"/>
    </xf>
    <xf numFmtId="0" fontId="242" fillId="0" borderId="0" xfId="122" applyFont="1" applyAlignment="1">
      <alignment horizontal="center" wrapText="1"/>
    </xf>
    <xf numFmtId="0" fontId="237" fillId="0" borderId="354" xfId="122" applyFont="1" applyBorder="1" applyAlignment="1">
      <alignment horizontal="center" wrapText="1"/>
    </xf>
    <xf numFmtId="171" fontId="285" fillId="0" borderId="466" xfId="149" applyNumberFormat="1" applyFont="1" applyFill="1" applyBorder="1" applyAlignment="1">
      <alignment horizontal="center" vertical="center"/>
    </xf>
    <xf numFmtId="171" fontId="284" fillId="0" borderId="252" xfId="122" applyNumberFormat="1" applyFont="1" applyBorder="1" applyAlignment="1">
      <alignment horizontal="center" vertical="center"/>
    </xf>
    <xf numFmtId="171" fontId="284" fillId="0" borderId="252" xfId="149" applyNumberFormat="1" applyFont="1" applyFill="1" applyBorder="1" applyAlignment="1">
      <alignment horizontal="center" vertical="center"/>
    </xf>
    <xf numFmtId="171" fontId="284" fillId="0" borderId="0" xfId="149" applyNumberFormat="1" applyFont="1" applyFill="1" applyBorder="1" applyAlignment="1">
      <alignment horizontal="center" vertical="center"/>
    </xf>
    <xf numFmtId="171" fontId="284" fillId="0" borderId="455" xfId="149" applyNumberFormat="1" applyFont="1" applyFill="1" applyBorder="1" applyAlignment="1">
      <alignment horizontal="center" vertical="center"/>
    </xf>
    <xf numFmtId="171" fontId="284" fillId="0" borderId="466" xfId="149" applyNumberFormat="1" applyFont="1" applyFill="1" applyBorder="1" applyAlignment="1">
      <alignment horizontal="center" vertical="center"/>
    </xf>
    <xf numFmtId="2" fontId="287" fillId="0" borderId="455" xfId="122" applyNumberFormat="1" applyFont="1" applyBorder="1" applyAlignment="1">
      <alignment horizontal="center" vertical="center"/>
    </xf>
    <xf numFmtId="2" fontId="287" fillId="0" borderId="0" xfId="122" applyNumberFormat="1" applyFont="1" applyAlignment="1">
      <alignment horizontal="center" vertical="center"/>
    </xf>
    <xf numFmtId="0" fontId="285" fillId="0" borderId="455" xfId="122" applyFont="1" applyBorder="1" applyAlignment="1">
      <alignment horizontal="center" vertical="center"/>
    </xf>
    <xf numFmtId="171" fontId="285" fillId="0" borderId="252" xfId="122" applyNumberFormat="1" applyFont="1" applyBorder="1" applyAlignment="1">
      <alignment horizontal="center" vertical="center"/>
    </xf>
    <xf numFmtId="171" fontId="285" fillId="0" borderId="252" xfId="149" applyNumberFormat="1" applyFont="1" applyFill="1" applyBorder="1" applyAlignment="1">
      <alignment horizontal="center" vertical="center"/>
    </xf>
    <xf numFmtId="171" fontId="285" fillId="0" borderId="0" xfId="149" applyNumberFormat="1" applyFont="1" applyFill="1" applyBorder="1" applyAlignment="1">
      <alignment horizontal="center" vertical="center"/>
    </xf>
    <xf numFmtId="171" fontId="285" fillId="0" borderId="455" xfId="149" applyNumberFormat="1" applyFont="1" applyFill="1" applyBorder="1" applyAlignment="1">
      <alignment horizontal="center" vertical="center"/>
    </xf>
    <xf numFmtId="175" fontId="287" fillId="0" borderId="69" xfId="122" applyNumberFormat="1" applyFont="1" applyBorder="1" applyAlignment="1">
      <alignment horizontal="center" vertical="center"/>
    </xf>
    <xf numFmtId="171" fontId="332" fillId="0" borderId="455" xfId="1452" applyNumberFormat="1" applyFont="1" applyBorder="1" applyAlignment="1">
      <alignment horizontal="center" vertical="center"/>
    </xf>
    <xf numFmtId="171" fontId="180" fillId="0" borderId="175" xfId="124" applyNumberFormat="1" applyFont="1" applyBorder="1" applyAlignment="1">
      <alignment horizontal="center" vertical="center"/>
    </xf>
    <xf numFmtId="171" fontId="180" fillId="0" borderId="455" xfId="124" applyNumberFormat="1" applyFont="1" applyBorder="1" applyAlignment="1">
      <alignment horizontal="center" vertical="center"/>
    </xf>
    <xf numFmtId="171" fontId="180" fillId="0" borderId="466" xfId="149" applyNumberFormat="1" applyFont="1" applyFill="1" applyBorder="1" applyAlignment="1">
      <alignment horizontal="center" vertical="center"/>
    </xf>
    <xf numFmtId="0" fontId="332" fillId="0" borderId="90" xfId="1452" applyFont="1" applyBorder="1" applyAlignment="1">
      <alignment horizontal="center" vertical="center" wrapText="1"/>
    </xf>
    <xf numFmtId="171" fontId="332" fillId="0" borderId="116" xfId="1452" applyNumberFormat="1" applyFont="1" applyBorder="1" applyAlignment="1">
      <alignment horizontal="center" vertical="center"/>
    </xf>
    <xf numFmtId="0" fontId="332" fillId="0" borderId="0" xfId="1452" applyFont="1" applyAlignment="1">
      <alignment horizontal="center" vertical="center"/>
    </xf>
    <xf numFmtId="0" fontId="147" fillId="32" borderId="348" xfId="122" applyFont="1" applyFill="1" applyBorder="1" applyAlignment="1">
      <alignment horizontal="center" vertical="center" wrapText="1"/>
    </xf>
    <xf numFmtId="0" fontId="313" fillId="32" borderId="190" xfId="128" applyFont="1" applyFill="1" applyBorder="1" applyAlignment="1">
      <alignment horizontal="center" vertical="center" wrapText="1"/>
    </xf>
    <xf numFmtId="3" fontId="168" fillId="0" borderId="0" xfId="124" applyNumberFormat="1" applyFont="1" applyAlignment="1">
      <alignment horizontal="center"/>
    </xf>
    <xf numFmtId="173" fontId="157" fillId="26" borderId="294" xfId="124" applyNumberFormat="1" applyFont="1" applyFill="1" applyBorder="1"/>
    <xf numFmtId="173" fontId="157" fillId="26" borderId="215" xfId="124" applyNumberFormat="1" applyFont="1" applyFill="1" applyBorder="1" applyAlignment="1">
      <alignment horizontal="center"/>
    </xf>
    <xf numFmtId="171" fontId="157" fillId="26" borderId="332" xfId="124" applyNumberFormat="1" applyFont="1" applyFill="1" applyBorder="1" applyAlignment="1">
      <alignment horizontal="center"/>
    </xf>
    <xf numFmtId="175" fontId="157" fillId="26" borderId="215" xfId="124" applyNumberFormat="1" applyFont="1" applyFill="1" applyBorder="1" applyAlignment="1">
      <alignment horizontal="center"/>
    </xf>
    <xf numFmtId="173" fontId="157" fillId="26" borderId="56" xfId="124" applyNumberFormat="1" applyFont="1" applyFill="1" applyBorder="1"/>
    <xf numFmtId="173" fontId="157" fillId="26" borderId="329" xfId="124" applyNumberFormat="1" applyFont="1" applyFill="1" applyBorder="1" applyAlignment="1">
      <alignment horizontal="center"/>
    </xf>
    <xf numFmtId="171" fontId="157" fillId="26" borderId="116" xfId="124" applyNumberFormat="1" applyFont="1" applyFill="1" applyBorder="1" applyAlignment="1">
      <alignment horizontal="center"/>
    </xf>
    <xf numFmtId="175" fontId="157" fillId="26" borderId="331" xfId="124" applyNumberFormat="1" applyFont="1" applyFill="1" applyBorder="1" applyAlignment="1">
      <alignment horizontal="center"/>
    </xf>
    <xf numFmtId="3" fontId="157" fillId="26" borderId="363" xfId="57" applyNumberFormat="1" applyFont="1" applyFill="1" applyBorder="1" applyAlignment="1"/>
    <xf numFmtId="3" fontId="157" fillId="26" borderId="505" xfId="57" applyNumberFormat="1" applyFont="1" applyFill="1" applyBorder="1" applyAlignment="1"/>
    <xf numFmtId="230" fontId="268" fillId="26" borderId="333" xfId="57" applyNumberFormat="1" applyFont="1" applyFill="1" applyBorder="1" applyAlignment="1">
      <alignment horizontal="center"/>
    </xf>
    <xf numFmtId="3" fontId="147" fillId="0" borderId="333" xfId="57" applyNumberFormat="1" applyFont="1" applyFill="1" applyBorder="1" applyAlignment="1"/>
    <xf numFmtId="173" fontId="165" fillId="0" borderId="0" xfId="124" applyNumberFormat="1" applyFont="1" applyAlignment="1">
      <alignment horizontal="center"/>
    </xf>
    <xf numFmtId="228" fontId="157" fillId="26" borderId="287" xfId="918" applyNumberFormat="1" applyFont="1" applyFill="1" applyBorder="1" applyAlignment="1">
      <alignment horizontal="center"/>
    </xf>
    <xf numFmtId="3" fontId="157" fillId="26" borderId="505" xfId="57" applyNumberFormat="1" applyFont="1" applyFill="1" applyBorder="1" applyAlignment="1">
      <alignment horizontal="center"/>
    </xf>
    <xf numFmtId="3" fontId="157" fillId="0" borderId="505" xfId="124" applyNumberFormat="1" applyFont="1" applyBorder="1" applyAlignment="1">
      <alignment horizontal="center"/>
    </xf>
    <xf numFmtId="3" fontId="147" fillId="0" borderId="505" xfId="57" applyNumberFormat="1" applyFont="1" applyFill="1" applyBorder="1" applyAlignment="1">
      <alignment horizontal="center"/>
    </xf>
    <xf numFmtId="0" fontId="187" fillId="0" borderId="354" xfId="142" applyFont="1" applyBorder="1" applyAlignment="1">
      <alignment horizontal="center"/>
    </xf>
    <xf numFmtId="0" fontId="256" fillId="0" borderId="354" xfId="142" applyFont="1" applyBorder="1" applyAlignment="1">
      <alignment horizontal="center"/>
    </xf>
    <xf numFmtId="234" fontId="151" fillId="0" borderId="354" xfId="5089" applyNumberFormat="1" applyFont="1" applyFill="1" applyBorder="1" applyAlignment="1">
      <alignment horizontal="center"/>
    </xf>
    <xf numFmtId="234" fontId="265" fillId="0" borderId="354" xfId="1070" applyNumberFormat="1" applyFont="1" applyFill="1" applyBorder="1" applyAlignment="1">
      <alignment horizontal="center"/>
    </xf>
    <xf numFmtId="175" fontId="158" fillId="0" borderId="466" xfId="0" applyNumberFormat="1" applyFont="1" applyBorder="1" applyAlignment="1">
      <alignment horizontal="center"/>
    </xf>
    <xf numFmtId="0" fontId="168" fillId="0" borderId="0" xfId="0" applyFont="1" applyAlignment="1">
      <alignment wrapText="1"/>
    </xf>
    <xf numFmtId="0" fontId="171" fillId="0" borderId="0" xfId="717" applyFont="1"/>
    <xf numFmtId="0" fontId="168" fillId="0" borderId="0" xfId="0" applyFont="1" applyAlignment="1">
      <alignment horizontal="center" wrapText="1"/>
    </xf>
    <xf numFmtId="0" fontId="171" fillId="0" borderId="0" xfId="717" applyFont="1" applyAlignment="1">
      <alignment horizontal="center"/>
    </xf>
    <xf numFmtId="0" fontId="170" fillId="0" borderId="0" xfId="717" applyFont="1"/>
    <xf numFmtId="0" fontId="173" fillId="0" borderId="0" xfId="717" applyFont="1"/>
    <xf numFmtId="0" fontId="171" fillId="26" borderId="0" xfId="717" applyFont="1" applyFill="1"/>
    <xf numFmtId="0" fontId="171" fillId="0" borderId="293" xfId="717" applyFont="1" applyBorder="1"/>
    <xf numFmtId="0" fontId="170" fillId="0" borderId="0" xfId="717" applyFont="1" applyAlignment="1">
      <alignment horizontal="center"/>
    </xf>
    <xf numFmtId="0" fontId="171" fillId="0" borderId="114" xfId="717" applyFont="1" applyBorder="1"/>
    <xf numFmtId="0" fontId="170" fillId="0" borderId="176" xfId="717" applyFont="1" applyBorder="1" applyAlignment="1">
      <alignment horizontal="center"/>
    </xf>
    <xf numFmtId="0" fontId="170" fillId="0" borderId="425" xfId="717" applyFont="1" applyBorder="1" applyAlignment="1">
      <alignment horizontal="center"/>
    </xf>
    <xf numFmtId="0" fontId="170" fillId="0" borderId="346" xfId="717" applyFont="1" applyBorder="1" applyAlignment="1">
      <alignment horizontal="center"/>
    </xf>
    <xf numFmtId="0" fontId="170" fillId="0" borderId="68" xfId="717" applyFont="1" applyBorder="1" applyAlignment="1">
      <alignment horizontal="center"/>
    </xf>
    <xf numFmtId="0" fontId="170" fillId="0" borderId="347" xfId="717" applyFont="1" applyBorder="1" applyAlignment="1">
      <alignment horizontal="center"/>
    </xf>
    <xf numFmtId="0" fontId="170" fillId="0" borderId="176" xfId="717" applyFont="1" applyBorder="1" applyAlignment="1">
      <alignment horizontal="center" vertical="center"/>
    </xf>
    <xf numFmtId="0" fontId="170" fillId="0" borderId="425" xfId="717" applyFont="1" applyBorder="1" applyAlignment="1">
      <alignment horizontal="center" vertical="center"/>
    </xf>
    <xf numFmtId="0" fontId="170" fillId="0" borderId="348" xfId="717" applyFont="1" applyBorder="1" applyAlignment="1">
      <alignment horizontal="center" vertical="center"/>
    </xf>
    <xf numFmtId="0" fontId="170" fillId="0" borderId="348" xfId="717" applyFont="1" applyBorder="1" applyAlignment="1">
      <alignment horizontal="center"/>
    </xf>
    <xf numFmtId="0" fontId="170" fillId="0" borderId="190" xfId="717" applyFont="1" applyBorder="1" applyAlignment="1">
      <alignment horizontal="center"/>
    </xf>
    <xf numFmtId="0" fontId="170" fillId="0" borderId="435" xfId="717" applyFont="1" applyBorder="1" applyAlignment="1">
      <alignment horizontal="center"/>
    </xf>
    <xf numFmtId="0" fontId="170" fillId="32" borderId="213" xfId="717" applyFont="1" applyFill="1" applyBorder="1" applyAlignment="1">
      <alignment horizontal="center"/>
    </xf>
    <xf numFmtId="0" fontId="170" fillId="32" borderId="191" xfId="717" applyFont="1" applyFill="1" applyBorder="1" applyAlignment="1">
      <alignment horizontal="center"/>
    </xf>
    <xf numFmtId="0" fontId="170" fillId="0" borderId="490" xfId="717" applyFont="1" applyBorder="1" applyAlignment="1">
      <alignment horizontal="center"/>
    </xf>
    <xf numFmtId="0" fontId="170" fillId="0" borderId="488" xfId="717" applyFont="1" applyBorder="1" applyAlignment="1">
      <alignment horizontal="center"/>
    </xf>
    <xf numFmtId="0" fontId="171" fillId="0" borderId="90" xfId="717" applyFont="1" applyBorder="1"/>
    <xf numFmtId="4" fontId="171" fillId="0" borderId="90" xfId="717" applyNumberFormat="1" applyFont="1" applyBorder="1" applyAlignment="1">
      <alignment horizontal="center"/>
    </xf>
    <xf numFmtId="4" fontId="171" fillId="0" borderId="252" xfId="717" applyNumberFormat="1" applyFont="1" applyBorder="1" applyAlignment="1">
      <alignment horizontal="center"/>
    </xf>
    <xf numFmtId="4" fontId="171" fillId="0" borderId="331" xfId="717" applyNumberFormat="1" applyFont="1" applyBorder="1" applyAlignment="1">
      <alignment horizontal="center"/>
    </xf>
    <xf numFmtId="4" fontId="171" fillId="0" borderId="69" xfId="717" applyNumberFormat="1" applyFont="1" applyBorder="1" applyAlignment="1">
      <alignment horizontal="center"/>
    </xf>
    <xf numFmtId="4" fontId="170" fillId="0" borderId="0" xfId="717" applyNumberFormat="1" applyFont="1" applyAlignment="1">
      <alignment horizontal="center"/>
    </xf>
    <xf numFmtId="0" fontId="171" fillId="0" borderId="293" xfId="717" applyFont="1" applyBorder="1" applyAlignment="1">
      <alignment horizontal="center" vertical="center"/>
    </xf>
    <xf numFmtId="0" fontId="171" fillId="0" borderId="292" xfId="717" applyFont="1" applyBorder="1" applyAlignment="1">
      <alignment horizontal="center" vertical="center"/>
    </xf>
    <xf numFmtId="0" fontId="170" fillId="0" borderId="409" xfId="717" applyFont="1" applyBorder="1" applyAlignment="1">
      <alignment horizontal="center" vertical="center"/>
    </xf>
    <xf numFmtId="0" fontId="171" fillId="0" borderId="293" xfId="717" applyFont="1" applyBorder="1" applyAlignment="1">
      <alignment horizontal="center"/>
    </xf>
    <xf numFmtId="0" fontId="171" fillId="0" borderId="292" xfId="717" applyFont="1" applyBorder="1" applyAlignment="1">
      <alignment horizontal="center"/>
    </xf>
    <xf numFmtId="0" fontId="170" fillId="0" borderId="409" xfId="717" applyFont="1" applyBorder="1" applyAlignment="1">
      <alignment horizontal="center"/>
    </xf>
    <xf numFmtId="0" fontId="173" fillId="0" borderId="90" xfId="717" applyFont="1" applyBorder="1" applyAlignment="1">
      <alignment horizontal="center"/>
    </xf>
    <xf numFmtId="0" fontId="171" fillId="0" borderId="252" xfId="717" applyFont="1" applyBorder="1" applyAlignment="1">
      <alignment horizontal="center"/>
    </xf>
    <xf numFmtId="0" fontId="171" fillId="0" borderId="24" xfId="717" applyFont="1" applyBorder="1" applyAlignment="1">
      <alignment horizontal="center"/>
    </xf>
    <xf numFmtId="0" fontId="173" fillId="0" borderId="57" xfId="717" applyFont="1" applyBorder="1" applyAlignment="1">
      <alignment horizontal="center"/>
    </xf>
    <xf numFmtId="0" fontId="171" fillId="32" borderId="212" xfId="717" applyFont="1" applyFill="1" applyBorder="1" applyAlignment="1">
      <alignment horizontal="center"/>
    </xf>
    <xf numFmtId="0" fontId="171" fillId="32" borderId="24" xfId="717" applyFont="1" applyFill="1" applyBorder="1" applyAlignment="1">
      <alignment horizontal="center"/>
    </xf>
    <xf numFmtId="0" fontId="171" fillId="0" borderId="455" xfId="717" applyFont="1" applyBorder="1"/>
    <xf numFmtId="0" fontId="171" fillId="0" borderId="466" xfId="717" applyFont="1" applyBorder="1"/>
    <xf numFmtId="0" fontId="168" fillId="0" borderId="90" xfId="717" applyFont="1" applyBorder="1"/>
    <xf numFmtId="172" fontId="170" fillId="0" borderId="90" xfId="718" applyNumberFormat="1" applyFont="1" applyFill="1" applyBorder="1" applyAlignment="1">
      <alignment horizontal="center"/>
    </xf>
    <xf numFmtId="172" fontId="170" fillId="0" borderId="252" xfId="718" applyNumberFormat="1" applyFont="1" applyFill="1" applyBorder="1" applyAlignment="1">
      <alignment horizontal="center"/>
    </xf>
    <xf numFmtId="172" fontId="170" fillId="0" borderId="331" xfId="718" applyNumberFormat="1" applyFont="1" applyFill="1" applyBorder="1" applyAlignment="1">
      <alignment horizontal="center"/>
    </xf>
    <xf numFmtId="172" fontId="170" fillId="0" borderId="69" xfId="718" applyNumberFormat="1" applyFont="1" applyFill="1" applyBorder="1" applyAlignment="1">
      <alignment horizontal="center"/>
    </xf>
    <xf numFmtId="172" fontId="170" fillId="0" borderId="0" xfId="718" applyNumberFormat="1" applyFont="1" applyFill="1" applyBorder="1" applyAlignment="1">
      <alignment horizontal="center"/>
    </xf>
    <xf numFmtId="172" fontId="170" fillId="0" borderId="90" xfId="770" applyNumberFormat="1" applyFont="1" applyBorder="1" applyAlignment="1">
      <alignment horizontal="center"/>
    </xf>
    <xf numFmtId="172" fontId="170" fillId="0" borderId="252" xfId="770" applyNumberFormat="1" applyFont="1" applyBorder="1" applyAlignment="1">
      <alignment horizontal="center"/>
    </xf>
    <xf numFmtId="172" fontId="170" fillId="0" borderId="24" xfId="770" applyNumberFormat="1" applyFont="1" applyBorder="1" applyAlignment="1">
      <alignment horizontal="center"/>
    </xf>
    <xf numFmtId="172" fontId="168" fillId="0" borderId="90" xfId="770" applyNumberFormat="1" applyFont="1" applyBorder="1" applyAlignment="1">
      <alignment horizontal="center"/>
    </xf>
    <xf numFmtId="172" fontId="168" fillId="0" borderId="252" xfId="770" applyNumberFormat="1" applyFont="1" applyBorder="1" applyAlignment="1">
      <alignment horizontal="center"/>
    </xf>
    <xf numFmtId="172" fontId="168" fillId="0" borderId="24" xfId="770" applyNumberFormat="1" applyFont="1" applyBorder="1" applyAlignment="1">
      <alignment horizontal="center"/>
    </xf>
    <xf numFmtId="172" fontId="168" fillId="0" borderId="90" xfId="717" applyNumberFormat="1" applyFont="1" applyBorder="1" applyAlignment="1">
      <alignment horizontal="center"/>
    </xf>
    <xf numFmtId="172" fontId="168" fillId="0" borderId="252" xfId="149" applyNumberFormat="1" applyFont="1" applyFill="1" applyBorder="1" applyAlignment="1">
      <alignment horizontal="center"/>
    </xf>
    <xf numFmtId="172" fontId="168" fillId="0" borderId="252" xfId="717" applyNumberFormat="1" applyFont="1" applyBorder="1" applyAlignment="1">
      <alignment horizontal="center"/>
    </xf>
    <xf numFmtId="175" fontId="168" fillId="0" borderId="56" xfId="4832" applyNumberFormat="1" applyFont="1" applyFill="1" applyBorder="1" applyAlignment="1">
      <alignment horizontal="center"/>
    </xf>
    <xf numFmtId="172" fontId="168" fillId="0" borderId="0" xfId="149" applyNumberFormat="1" applyFont="1" applyFill="1" applyBorder="1" applyAlignment="1">
      <alignment horizontal="center"/>
    </xf>
    <xf numFmtId="172" fontId="168" fillId="0" borderId="428" xfId="149" applyNumberFormat="1" applyFont="1" applyFill="1" applyBorder="1" applyAlignment="1">
      <alignment horizontal="center"/>
    </xf>
    <xf numFmtId="172" fontId="170" fillId="0" borderId="161" xfId="717" applyNumberFormat="1" applyFont="1" applyBorder="1" applyAlignment="1">
      <alignment horizontal="center"/>
    </xf>
    <xf numFmtId="175" fontId="170" fillId="0" borderId="56" xfId="4832" applyNumberFormat="1" applyFont="1" applyFill="1" applyBorder="1" applyAlignment="1">
      <alignment horizontal="center"/>
    </xf>
    <xf numFmtId="175" fontId="170" fillId="0" borderId="252" xfId="149" applyNumberFormat="1" applyFont="1" applyFill="1" applyBorder="1" applyAlignment="1">
      <alignment horizontal="center"/>
    </xf>
    <xf numFmtId="175" fontId="170" fillId="0" borderId="0" xfId="149" applyNumberFormat="1" applyFont="1" applyFill="1" applyBorder="1" applyAlignment="1">
      <alignment horizontal="center"/>
    </xf>
    <xf numFmtId="172" fontId="170" fillId="0" borderId="161" xfId="149" applyNumberFormat="1" applyFont="1" applyFill="1" applyBorder="1" applyAlignment="1">
      <alignment horizontal="center"/>
    </xf>
    <xf numFmtId="175" fontId="170" fillId="0" borderId="57" xfId="4832" applyNumberFormat="1" applyFont="1" applyFill="1" applyBorder="1" applyAlignment="1">
      <alignment horizontal="center"/>
    </xf>
    <xf numFmtId="172" fontId="170" fillId="0" borderId="24" xfId="149" applyNumberFormat="1" applyFont="1" applyFill="1" applyBorder="1" applyAlignment="1">
      <alignment horizontal="center"/>
    </xf>
    <xf numFmtId="172" fontId="170" fillId="0" borderId="0" xfId="149" applyNumberFormat="1" applyFont="1" applyFill="1" applyBorder="1" applyAlignment="1">
      <alignment horizontal="center"/>
    </xf>
    <xf numFmtId="172" fontId="170" fillId="0" borderId="24" xfId="717" applyNumberFormat="1" applyFont="1" applyBorder="1" applyAlignment="1">
      <alignment horizontal="center"/>
    </xf>
    <xf numFmtId="172" fontId="170" fillId="32" borderId="212" xfId="149" applyNumberFormat="1" applyFont="1" applyFill="1" applyBorder="1" applyAlignment="1">
      <alignment horizontal="center"/>
    </xf>
    <xf numFmtId="172" fontId="170" fillId="32" borderId="212" xfId="717" applyNumberFormat="1" applyFont="1" applyFill="1" applyBorder="1" applyAlignment="1">
      <alignment horizontal="center"/>
    </xf>
    <xf numFmtId="172" fontId="170" fillId="32" borderId="24" xfId="717" applyNumberFormat="1" applyFont="1" applyFill="1" applyBorder="1" applyAlignment="1">
      <alignment horizontal="center"/>
    </xf>
    <xf numFmtId="175" fontId="170" fillId="0" borderId="90" xfId="717" applyNumberFormat="1" applyFont="1" applyBorder="1" applyAlignment="1">
      <alignment horizontal="center"/>
    </xf>
    <xf numFmtId="175" fontId="170" fillId="0" borderId="455" xfId="149" applyNumberFormat="1" applyFont="1" applyFill="1" applyBorder="1" applyAlignment="1">
      <alignment horizontal="center"/>
    </xf>
    <xf numFmtId="175" fontId="170" fillId="0" borderId="455" xfId="717" applyNumberFormat="1" applyFont="1" applyBorder="1" applyAlignment="1">
      <alignment horizontal="center"/>
    </xf>
    <xf numFmtId="172" fontId="170" fillId="0" borderId="466" xfId="149" applyNumberFormat="1" applyFont="1" applyFill="1" applyBorder="1" applyAlignment="1">
      <alignment horizontal="center"/>
    </xf>
    <xf numFmtId="172" fontId="170" fillId="0" borderId="69" xfId="717" applyNumberFormat="1" applyFont="1" applyBorder="1" applyAlignment="1">
      <alignment horizontal="center"/>
    </xf>
    <xf numFmtId="172" fontId="168" fillId="0" borderId="56" xfId="717" applyNumberFormat="1" applyFont="1" applyBorder="1" applyAlignment="1">
      <alignment horizontal="center"/>
    </xf>
    <xf numFmtId="172" fontId="168" fillId="0" borderId="116" xfId="717" applyNumberFormat="1" applyFont="1" applyBorder="1" applyAlignment="1">
      <alignment horizontal="center"/>
    </xf>
    <xf numFmtId="172" fontId="168" fillId="0" borderId="0" xfId="717" applyNumberFormat="1" applyFont="1" applyAlignment="1">
      <alignment horizontal="center"/>
    </xf>
    <xf numFmtId="175" fontId="170" fillId="0" borderId="252" xfId="717" applyNumberFormat="1" applyFont="1" applyBorder="1" applyAlignment="1">
      <alignment horizontal="center"/>
    </xf>
    <xf numFmtId="175" fontId="170" fillId="0" borderId="57" xfId="717" applyNumberFormat="1" applyFont="1" applyBorder="1" applyAlignment="1">
      <alignment horizontal="center"/>
    </xf>
    <xf numFmtId="172" fontId="170" fillId="32" borderId="252" xfId="717" applyNumberFormat="1" applyFont="1" applyFill="1" applyBorder="1" applyAlignment="1">
      <alignment horizontal="center"/>
    </xf>
    <xf numFmtId="0" fontId="167" fillId="0" borderId="90" xfId="717" applyFont="1" applyBorder="1" applyAlignment="1">
      <alignment horizontal="left" indent="2"/>
    </xf>
    <xf numFmtId="172" fontId="171" fillId="0" borderId="90" xfId="717" applyNumberFormat="1" applyFont="1" applyBorder="1" applyAlignment="1">
      <alignment horizontal="center"/>
    </xf>
    <xf numFmtId="172" fontId="171" fillId="0" borderId="252" xfId="717" applyNumberFormat="1" applyFont="1" applyBorder="1" applyAlignment="1">
      <alignment horizontal="center"/>
    </xf>
    <xf numFmtId="172" fontId="171" fillId="0" borderId="331" xfId="717" applyNumberFormat="1" applyFont="1" applyBorder="1" applyAlignment="1">
      <alignment horizontal="center"/>
    </xf>
    <xf numFmtId="172" fontId="171" fillId="0" borderId="69" xfId="718" applyNumberFormat="1" applyFont="1" applyFill="1" applyBorder="1" applyAlignment="1">
      <alignment horizontal="center"/>
    </xf>
    <xf numFmtId="172" fontId="171" fillId="0" borderId="90" xfId="774" applyNumberFormat="1" applyFont="1" applyBorder="1" applyAlignment="1">
      <alignment horizontal="center"/>
    </xf>
    <xf numFmtId="172" fontId="171" fillId="0" borderId="252" xfId="774" applyNumberFormat="1" applyFont="1" applyBorder="1" applyAlignment="1">
      <alignment horizontal="center"/>
    </xf>
    <xf numFmtId="172" fontId="167" fillId="0" borderId="90" xfId="774" applyNumberFormat="1" applyFont="1" applyBorder="1" applyAlignment="1">
      <alignment horizontal="center"/>
    </xf>
    <xf numFmtId="172" fontId="167" fillId="0" borderId="252" xfId="774" applyNumberFormat="1" applyFont="1" applyBorder="1" applyAlignment="1">
      <alignment horizontal="center"/>
    </xf>
    <xf numFmtId="172" fontId="167" fillId="0" borderId="90" xfId="717" applyNumberFormat="1" applyFont="1" applyBorder="1" applyAlignment="1">
      <alignment horizontal="center"/>
    </xf>
    <xf numFmtId="172" fontId="167" fillId="0" borderId="252" xfId="149" applyNumberFormat="1" applyFont="1" applyFill="1" applyBorder="1" applyAlignment="1">
      <alignment horizontal="center"/>
    </xf>
    <xf numFmtId="172" fontId="167" fillId="0" borderId="252" xfId="717" applyNumberFormat="1" applyFont="1" applyBorder="1" applyAlignment="1">
      <alignment horizontal="center"/>
    </xf>
    <xf numFmtId="172" fontId="167" fillId="0" borderId="0" xfId="149" applyNumberFormat="1" applyFont="1" applyFill="1" applyBorder="1" applyAlignment="1">
      <alignment horizontal="center"/>
    </xf>
    <xf numFmtId="175" fontId="171" fillId="0" borderId="90" xfId="717" applyNumberFormat="1" applyFont="1" applyBorder="1" applyAlignment="1">
      <alignment horizontal="center"/>
    </xf>
    <xf numFmtId="175" fontId="171" fillId="0" borderId="252" xfId="149" applyNumberFormat="1" applyFont="1" applyFill="1" applyBorder="1" applyAlignment="1">
      <alignment horizontal="center"/>
    </xf>
    <xf numFmtId="175" fontId="171" fillId="0" borderId="57" xfId="717" applyNumberFormat="1" applyFont="1" applyBorder="1" applyAlignment="1">
      <alignment horizontal="center"/>
    </xf>
    <xf numFmtId="172" fontId="171" fillId="32" borderId="212" xfId="149" applyNumberFormat="1" applyFont="1" applyFill="1" applyBorder="1" applyAlignment="1">
      <alignment horizontal="center"/>
    </xf>
    <xf numFmtId="172" fontId="171" fillId="32" borderId="212" xfId="717" applyNumberFormat="1" applyFont="1" applyFill="1" applyBorder="1" applyAlignment="1">
      <alignment horizontal="center"/>
    </xf>
    <xf numFmtId="172" fontId="171" fillId="32" borderId="24" xfId="717" applyNumberFormat="1" applyFont="1" applyFill="1" applyBorder="1" applyAlignment="1">
      <alignment horizontal="center"/>
    </xf>
    <xf numFmtId="175" fontId="171" fillId="0" borderId="455" xfId="149" applyNumberFormat="1" applyFont="1" applyFill="1" applyBorder="1" applyAlignment="1">
      <alignment horizontal="center"/>
    </xf>
    <xf numFmtId="175" fontId="171" fillId="0" borderId="455" xfId="717" applyNumberFormat="1" applyFont="1" applyBorder="1" applyAlignment="1">
      <alignment horizontal="center"/>
    </xf>
    <xf numFmtId="0" fontId="167" fillId="0" borderId="90" xfId="717" applyFont="1" applyBorder="1" applyAlignment="1">
      <alignment horizontal="left" indent="4"/>
    </xf>
    <xf numFmtId="172" fontId="171" fillId="0" borderId="90" xfId="777" applyNumberFormat="1" applyFont="1" applyBorder="1" applyAlignment="1">
      <alignment horizontal="center"/>
    </xf>
    <xf numFmtId="172" fontId="171" fillId="0" borderId="252" xfId="777" applyNumberFormat="1" applyFont="1" applyBorder="1" applyAlignment="1">
      <alignment horizontal="center"/>
    </xf>
    <xf numFmtId="172" fontId="167" fillId="0" borderId="90" xfId="777" applyNumberFormat="1" applyFont="1" applyBorder="1" applyAlignment="1">
      <alignment horizontal="center"/>
    </xf>
    <xf numFmtId="172" fontId="167" fillId="0" borderId="252" xfId="777" applyNumberFormat="1" applyFont="1" applyBorder="1" applyAlignment="1">
      <alignment horizontal="center"/>
    </xf>
    <xf numFmtId="172" fontId="171" fillId="0" borderId="69" xfId="717" applyNumberFormat="1" applyFont="1" applyBorder="1" applyAlignment="1">
      <alignment horizontal="center"/>
    </xf>
    <xf numFmtId="172" fontId="171" fillId="0" borderId="90" xfId="779" applyNumberFormat="1" applyFont="1" applyBorder="1" applyAlignment="1">
      <alignment horizontal="center"/>
    </xf>
    <xf numFmtId="172" fontId="171" fillId="0" borderId="252" xfId="779" applyNumberFormat="1" applyFont="1" applyBorder="1" applyAlignment="1">
      <alignment horizontal="center"/>
    </xf>
    <xf numFmtId="172" fontId="167" fillId="0" borderId="90" xfId="779" applyNumberFormat="1" applyFont="1" applyBorder="1" applyAlignment="1">
      <alignment horizontal="center"/>
    </xf>
    <xf numFmtId="172" fontId="167" fillId="0" borderId="252" xfId="779" applyNumberFormat="1" applyFont="1" applyBorder="1" applyAlignment="1">
      <alignment horizontal="center"/>
    </xf>
    <xf numFmtId="172" fontId="171" fillId="0" borderId="90" xfId="740" applyNumberFormat="1" applyFont="1" applyBorder="1" applyAlignment="1">
      <alignment horizontal="center"/>
    </xf>
    <xf numFmtId="172" fontId="171" fillId="0" borderId="252" xfId="740" applyNumberFormat="1" applyFont="1" applyBorder="1" applyAlignment="1">
      <alignment horizontal="center"/>
    </xf>
    <xf numFmtId="172" fontId="171" fillId="0" borderId="252" xfId="717" applyNumberFormat="1" applyFont="1" applyBorder="1" applyAlignment="1">
      <alignment horizontal="center" vertical="center"/>
    </xf>
    <xf numFmtId="172" fontId="167" fillId="0" borderId="90" xfId="740" applyNumberFormat="1" applyFont="1" applyBorder="1" applyAlignment="1">
      <alignment horizontal="center"/>
    </xf>
    <xf numFmtId="172" fontId="167" fillId="0" borderId="252" xfId="740" applyNumberFormat="1" applyFont="1" applyBorder="1" applyAlignment="1">
      <alignment horizontal="center"/>
    </xf>
    <xf numFmtId="175" fontId="171" fillId="0" borderId="0" xfId="149" applyNumberFormat="1" applyFont="1" applyFill="1" applyBorder="1" applyAlignment="1">
      <alignment horizontal="center"/>
    </xf>
    <xf numFmtId="172" fontId="171" fillId="32" borderId="252" xfId="717" applyNumberFormat="1" applyFont="1" applyFill="1" applyBorder="1" applyAlignment="1">
      <alignment horizontal="center"/>
    </xf>
    <xf numFmtId="172" fontId="170" fillId="0" borderId="0" xfId="717" applyNumberFormat="1" applyFont="1" applyAlignment="1">
      <alignment horizontal="center"/>
    </xf>
    <xf numFmtId="175" fontId="171" fillId="0" borderId="56" xfId="717" applyNumberFormat="1" applyFont="1" applyBorder="1" applyAlignment="1">
      <alignment horizontal="center"/>
    </xf>
    <xf numFmtId="175" fontId="171" fillId="0" borderId="212" xfId="717" applyNumberFormat="1" applyFont="1" applyBorder="1" applyAlignment="1">
      <alignment horizontal="center"/>
    </xf>
    <xf numFmtId="175" fontId="171" fillId="0" borderId="0" xfId="717" applyNumberFormat="1" applyFont="1" applyAlignment="1">
      <alignment horizontal="center"/>
    </xf>
    <xf numFmtId="4" fontId="171" fillId="0" borderId="455" xfId="717" applyNumberFormat="1" applyFont="1" applyBorder="1" applyAlignment="1">
      <alignment horizontal="center"/>
    </xf>
    <xf numFmtId="172" fontId="171" fillId="0" borderId="487" xfId="717" applyNumberFormat="1" applyFont="1" applyBorder="1" applyAlignment="1">
      <alignment horizontal="center"/>
    </xf>
    <xf numFmtId="172" fontId="171" fillId="0" borderId="455" xfId="717" applyNumberFormat="1" applyFont="1" applyBorder="1" applyAlignment="1">
      <alignment horizontal="center"/>
    </xf>
    <xf numFmtId="172" fontId="171" fillId="0" borderId="455" xfId="740" applyNumberFormat="1" applyFont="1" applyBorder="1" applyAlignment="1">
      <alignment horizontal="center"/>
    </xf>
    <xf numFmtId="172" fontId="171" fillId="0" borderId="455" xfId="717" applyNumberFormat="1" applyFont="1" applyBorder="1" applyAlignment="1">
      <alignment horizontal="center" vertical="center"/>
    </xf>
    <xf numFmtId="172" fontId="167" fillId="0" borderId="455" xfId="740" applyNumberFormat="1" applyFont="1" applyBorder="1" applyAlignment="1">
      <alignment horizontal="center"/>
    </xf>
    <xf numFmtId="172" fontId="167" fillId="0" borderId="455" xfId="717" applyNumberFormat="1" applyFont="1" applyBorder="1" applyAlignment="1">
      <alignment horizontal="center"/>
    </xf>
    <xf numFmtId="172" fontId="167" fillId="0" borderId="455" xfId="149" applyNumberFormat="1" applyFont="1" applyFill="1" applyBorder="1" applyAlignment="1">
      <alignment horizontal="center"/>
    </xf>
    <xf numFmtId="172" fontId="170" fillId="0" borderId="466" xfId="717" applyNumberFormat="1" applyFont="1" applyBorder="1" applyAlignment="1">
      <alignment horizontal="center"/>
    </xf>
    <xf numFmtId="172" fontId="171" fillId="32" borderId="455" xfId="149" applyNumberFormat="1" applyFont="1" applyFill="1" applyBorder="1" applyAlignment="1">
      <alignment horizontal="center"/>
    </xf>
    <xf numFmtId="172" fontId="171" fillId="32" borderId="455" xfId="717" applyNumberFormat="1" applyFont="1" applyFill="1" applyBorder="1" applyAlignment="1">
      <alignment horizontal="center"/>
    </xf>
    <xf numFmtId="0" fontId="168" fillId="0" borderId="90" xfId="717" applyFont="1" applyBorder="1" applyAlignment="1">
      <alignment horizontal="left"/>
    </xf>
    <xf numFmtId="4" fontId="170" fillId="0" borderId="90" xfId="717" applyNumberFormat="1" applyFont="1" applyBorder="1" applyAlignment="1">
      <alignment horizontal="center"/>
    </xf>
    <xf numFmtId="4" fontId="170" fillId="0" borderId="252" xfId="717" applyNumberFormat="1" applyFont="1" applyBorder="1" applyAlignment="1">
      <alignment horizontal="center"/>
    </xf>
    <xf numFmtId="172" fontId="170" fillId="0" borderId="331" xfId="717" applyNumberFormat="1" applyFont="1" applyBorder="1" applyAlignment="1">
      <alignment horizontal="center"/>
    </xf>
    <xf numFmtId="172" fontId="170" fillId="0" borderId="90" xfId="717" applyNumberFormat="1" applyFont="1" applyBorder="1" applyAlignment="1">
      <alignment horizontal="center"/>
    </xf>
    <xf numFmtId="172" fontId="170" fillId="0" borderId="252" xfId="717" applyNumberFormat="1" applyFont="1" applyBorder="1" applyAlignment="1">
      <alignment horizontal="center"/>
    </xf>
    <xf numFmtId="172" fontId="170" fillId="0" borderId="90" xfId="740" applyNumberFormat="1" applyFont="1" applyBorder="1" applyAlignment="1">
      <alignment horizontal="center"/>
    </xf>
    <xf numFmtId="172" fontId="170" fillId="0" borderId="252" xfId="740" applyNumberFormat="1" applyFont="1" applyBorder="1" applyAlignment="1">
      <alignment horizontal="center"/>
    </xf>
    <xf numFmtId="172" fontId="170" fillId="0" borderId="252" xfId="717" applyNumberFormat="1" applyFont="1" applyBorder="1" applyAlignment="1">
      <alignment horizontal="center" vertical="center"/>
    </xf>
    <xf numFmtId="172" fontId="168" fillId="0" borderId="90" xfId="740" applyNumberFormat="1" applyFont="1" applyBorder="1" applyAlignment="1">
      <alignment horizontal="center"/>
    </xf>
    <xf numFmtId="172" fontId="168" fillId="0" borderId="252" xfId="740" applyNumberFormat="1" applyFont="1" applyBorder="1" applyAlignment="1">
      <alignment horizontal="center"/>
    </xf>
    <xf numFmtId="175" fontId="170" fillId="0" borderId="308" xfId="717" applyNumberFormat="1" applyFont="1" applyBorder="1" applyAlignment="1">
      <alignment horizontal="center"/>
    </xf>
    <xf numFmtId="175" fontId="170" fillId="0" borderId="357" xfId="717" applyNumberFormat="1" applyFont="1" applyBorder="1" applyAlignment="1">
      <alignment horizontal="center"/>
    </xf>
    <xf numFmtId="172" fontId="170" fillId="0" borderId="359" xfId="149" applyNumberFormat="1" applyFont="1" applyFill="1" applyBorder="1" applyAlignment="1">
      <alignment horizontal="center"/>
    </xf>
    <xf numFmtId="0" fontId="170" fillId="0" borderId="68" xfId="717" applyFont="1" applyBorder="1"/>
    <xf numFmtId="4" fontId="170" fillId="0" borderId="176" xfId="717" applyNumberFormat="1" applyFont="1" applyBorder="1" applyAlignment="1">
      <alignment horizontal="center"/>
    </xf>
    <xf numFmtId="4" fontId="170" fillId="0" borderId="425" xfId="717" applyNumberFormat="1" applyFont="1" applyBorder="1" applyAlignment="1">
      <alignment horizontal="center"/>
    </xf>
    <xf numFmtId="172" fontId="170" fillId="0" borderId="436" xfId="717" applyNumberFormat="1" applyFont="1" applyBorder="1" applyAlignment="1">
      <alignment horizontal="center"/>
    </xf>
    <xf numFmtId="172" fontId="170" fillId="0" borderId="68" xfId="717" applyNumberFormat="1" applyFont="1" applyBorder="1" applyAlignment="1">
      <alignment horizontal="center"/>
    </xf>
    <xf numFmtId="172" fontId="170" fillId="0" borderId="176" xfId="717" applyNumberFormat="1" applyFont="1" applyBorder="1" applyAlignment="1">
      <alignment horizontal="center"/>
    </xf>
    <xf numFmtId="172" fontId="170" fillId="0" borderId="425" xfId="717" applyNumberFormat="1" applyFont="1" applyBorder="1" applyAlignment="1">
      <alignment horizontal="center"/>
    </xf>
    <xf numFmtId="172" fontId="170" fillId="0" borderId="102" xfId="717" applyNumberFormat="1" applyFont="1" applyBorder="1" applyAlignment="1">
      <alignment horizontal="center"/>
    </xf>
    <xf numFmtId="172" fontId="170" fillId="0" borderId="176" xfId="717" applyNumberFormat="1" applyFont="1" applyBorder="1" applyAlignment="1">
      <alignment horizontal="center" vertical="center"/>
    </xf>
    <xf numFmtId="172" fontId="170" fillId="0" borderId="425" xfId="717" applyNumberFormat="1" applyFont="1" applyBorder="1" applyAlignment="1">
      <alignment horizontal="center" vertical="center"/>
    </xf>
    <xf numFmtId="172" fontId="170" fillId="0" borderId="348" xfId="770" applyNumberFormat="1" applyFont="1" applyBorder="1" applyAlignment="1">
      <alignment horizontal="center" vertical="center"/>
    </xf>
    <xf numFmtId="172" fontId="170" fillId="0" borderId="190" xfId="770" applyNumberFormat="1" applyFont="1" applyBorder="1" applyAlignment="1">
      <alignment horizontal="center"/>
    </xf>
    <xf numFmtId="172" fontId="170" fillId="0" borderId="347" xfId="717" applyNumberFormat="1" applyFont="1" applyBorder="1" applyAlignment="1">
      <alignment horizontal="center"/>
    </xf>
    <xf numFmtId="172" fontId="170" fillId="0" borderId="190" xfId="717" applyNumberFormat="1" applyFont="1" applyBorder="1" applyAlignment="1">
      <alignment horizontal="center"/>
    </xf>
    <xf numFmtId="172" fontId="170" fillId="0" borderId="174" xfId="717" applyNumberFormat="1" applyFont="1" applyBorder="1" applyAlignment="1">
      <alignment horizontal="center"/>
    </xf>
    <xf numFmtId="172" fontId="170" fillId="0" borderId="189" xfId="717" applyNumberFormat="1" applyFont="1" applyBorder="1" applyAlignment="1">
      <alignment horizontal="center"/>
    </xf>
    <xf numFmtId="172" fontId="170" fillId="0" borderId="173" xfId="717" applyNumberFormat="1" applyFont="1" applyBorder="1" applyAlignment="1">
      <alignment horizontal="center"/>
    </xf>
    <xf numFmtId="172" fontId="170" fillId="0" borderId="190" xfId="149" applyNumberFormat="1" applyFont="1" applyFill="1" applyBorder="1" applyAlignment="1">
      <alignment horizontal="center"/>
    </xf>
    <xf numFmtId="172" fontId="170" fillId="0" borderId="355" xfId="717" applyNumberFormat="1" applyFont="1" applyBorder="1" applyAlignment="1">
      <alignment horizontal="center"/>
    </xf>
    <xf numFmtId="172" fontId="170" fillId="32" borderId="289" xfId="149" applyNumberFormat="1" applyFont="1" applyFill="1" applyBorder="1" applyAlignment="1">
      <alignment horizontal="center"/>
    </xf>
    <xf numFmtId="172" fontId="170" fillId="32" borderId="131" xfId="717" applyNumberFormat="1" applyFont="1" applyFill="1" applyBorder="1" applyAlignment="1">
      <alignment horizontal="center"/>
    </xf>
    <xf numFmtId="172" fontId="170" fillId="32" borderId="25" xfId="717" applyNumberFormat="1" applyFont="1" applyFill="1" applyBorder="1" applyAlignment="1">
      <alignment horizontal="center"/>
    </xf>
    <xf numFmtId="0" fontId="171" fillId="0" borderId="56" xfId="717" applyFont="1" applyBorder="1"/>
    <xf numFmtId="0" fontId="172" fillId="0" borderId="0" xfId="717" applyFont="1"/>
    <xf numFmtId="0" fontId="177" fillId="0" borderId="0" xfId="717" applyFont="1"/>
    <xf numFmtId="0" fontId="173" fillId="0" borderId="0" xfId="717" applyFont="1" applyAlignment="1">
      <alignment horizontal="center"/>
    </xf>
    <xf numFmtId="171" fontId="173" fillId="0" borderId="0" xfId="149" applyNumberFormat="1" applyFont="1" applyFill="1" applyAlignment="1">
      <alignment horizontal="center"/>
    </xf>
    <xf numFmtId="172" fontId="173" fillId="0" borderId="0" xfId="717" applyNumberFormat="1" applyFont="1"/>
    <xf numFmtId="171" fontId="173" fillId="0" borderId="0" xfId="149" applyNumberFormat="1" applyFont="1" applyFill="1" applyBorder="1"/>
    <xf numFmtId="0" fontId="173" fillId="26" borderId="0" xfId="717" applyFont="1" applyFill="1"/>
    <xf numFmtId="171" fontId="173" fillId="26" borderId="0" xfId="149" applyNumberFormat="1" applyFont="1" applyFill="1"/>
    <xf numFmtId="172" fontId="171" fillId="0" borderId="0" xfId="717" applyNumberFormat="1" applyFont="1" applyAlignment="1">
      <alignment horizontal="center"/>
    </xf>
    <xf numFmtId="4" fontId="171" fillId="0" borderId="0" xfId="717" applyNumberFormat="1" applyFont="1" applyAlignment="1">
      <alignment horizontal="center"/>
    </xf>
    <xf numFmtId="172" fontId="171" fillId="0" borderId="0" xfId="717" applyNumberFormat="1" applyFont="1"/>
    <xf numFmtId="171" fontId="171" fillId="0" borderId="0" xfId="149" applyNumberFormat="1" applyFont="1" applyFill="1"/>
    <xf numFmtId="0" fontId="171" fillId="0" borderId="354" xfId="717" applyFont="1" applyBorder="1"/>
    <xf numFmtId="0" fontId="171" fillId="26" borderId="354" xfId="717" applyFont="1" applyFill="1" applyBorder="1"/>
    <xf numFmtId="0" fontId="171" fillId="0" borderId="68" xfId="717" applyFont="1" applyBorder="1"/>
    <xf numFmtId="0" fontId="168" fillId="0" borderId="176" xfId="717" applyFont="1" applyBorder="1" applyAlignment="1">
      <alignment horizontal="center"/>
    </xf>
    <xf numFmtId="0" fontId="168" fillId="0" borderId="425" xfId="717" applyFont="1" applyBorder="1" applyAlignment="1">
      <alignment horizontal="center"/>
    </xf>
    <xf numFmtId="0" fontId="168" fillId="0" borderId="190" xfId="717" applyFont="1" applyBorder="1" applyAlignment="1">
      <alignment horizontal="center"/>
    </xf>
    <xf numFmtId="0" fontId="168" fillId="0" borderId="102" xfId="717" applyFont="1" applyBorder="1" applyAlignment="1">
      <alignment horizontal="center"/>
    </xf>
    <xf numFmtId="0" fontId="168" fillId="0" borderId="348" xfId="717" applyFont="1" applyBorder="1" applyAlignment="1">
      <alignment horizontal="center"/>
    </xf>
    <xf numFmtId="0" fontId="168" fillId="0" borderId="0" xfId="717" applyFont="1" applyAlignment="1">
      <alignment horizontal="center"/>
    </xf>
    <xf numFmtId="0" fontId="170" fillId="32" borderId="102" xfId="717" applyFont="1" applyFill="1" applyBorder="1" applyAlignment="1">
      <alignment horizontal="center"/>
    </xf>
    <xf numFmtId="0" fontId="170" fillId="0" borderId="409" xfId="717" applyFont="1" applyBorder="1"/>
    <xf numFmtId="0" fontId="170" fillId="0" borderId="407" xfId="717" applyFont="1" applyBorder="1" applyAlignment="1">
      <alignment horizontal="center"/>
    </xf>
    <xf numFmtId="0" fontId="170" fillId="0" borderId="24" xfId="717" applyFont="1" applyBorder="1" applyAlignment="1">
      <alignment horizontal="center"/>
    </xf>
    <xf numFmtId="0" fontId="170" fillId="0" borderId="90" xfId="717" applyFont="1" applyBorder="1" applyAlignment="1">
      <alignment horizontal="center"/>
    </xf>
    <xf numFmtId="0" fontId="170" fillId="0" borderId="252" xfId="717" applyFont="1" applyBorder="1" applyAlignment="1">
      <alignment horizontal="center"/>
    </xf>
    <xf numFmtId="0" fontId="173" fillId="32" borderId="116" xfId="717" applyFont="1" applyFill="1" applyBorder="1" applyAlignment="1">
      <alignment horizontal="center"/>
    </xf>
    <xf numFmtId="4" fontId="170" fillId="0" borderId="331" xfId="717" applyNumberFormat="1" applyFont="1" applyBorder="1" applyAlignment="1">
      <alignment horizontal="center"/>
    </xf>
    <xf numFmtId="4" fontId="170" fillId="0" borderId="69" xfId="718" applyNumberFormat="1" applyFont="1" applyFill="1" applyBorder="1" applyAlignment="1">
      <alignment horizontal="center"/>
    </xf>
    <xf numFmtId="172" fontId="170" fillId="0" borderId="24" xfId="718" applyNumberFormat="1" applyFont="1" applyFill="1" applyBorder="1" applyAlignment="1">
      <alignment horizontal="center"/>
    </xf>
    <xf numFmtId="172" fontId="170" fillId="0" borderId="90" xfId="743" applyNumberFormat="1" applyFont="1" applyBorder="1" applyAlignment="1">
      <alignment horizontal="center"/>
    </xf>
    <xf numFmtId="172" fontId="170" fillId="0" borderId="252" xfId="743" applyNumberFormat="1" applyFont="1" applyBorder="1" applyAlignment="1">
      <alignment horizontal="center"/>
    </xf>
    <xf numFmtId="172" fontId="170" fillId="0" borderId="24" xfId="739" applyNumberFormat="1" applyFont="1" applyBorder="1" applyAlignment="1">
      <alignment horizontal="center"/>
    </xf>
    <xf numFmtId="172" fontId="170" fillId="0" borderId="428" xfId="717" applyNumberFormat="1" applyFont="1" applyBorder="1" applyAlignment="1">
      <alignment horizontal="center"/>
    </xf>
    <xf numFmtId="172" fontId="170" fillId="0" borderId="116" xfId="717" applyNumberFormat="1" applyFont="1" applyBorder="1" applyAlignment="1">
      <alignment horizontal="center"/>
    </xf>
    <xf numFmtId="172" fontId="170" fillId="32" borderId="116" xfId="717" applyNumberFormat="1" applyFont="1" applyFill="1" applyBorder="1" applyAlignment="1">
      <alignment horizontal="center"/>
    </xf>
    <xf numFmtId="175" fontId="170" fillId="0" borderId="329" xfId="717" applyNumberFormat="1" applyFont="1" applyBorder="1" applyAlignment="1">
      <alignment horizontal="center"/>
    </xf>
    <xf numFmtId="175" fontId="170" fillId="0" borderId="24" xfId="717" applyNumberFormat="1" applyFont="1" applyBorder="1" applyAlignment="1">
      <alignment horizontal="center"/>
    </xf>
    <xf numFmtId="4" fontId="170" fillId="0" borderId="90" xfId="718" applyNumberFormat="1" applyFont="1" applyFill="1" applyBorder="1" applyAlignment="1">
      <alignment horizontal="center"/>
    </xf>
    <xf numFmtId="4" fontId="170" fillId="0" borderId="252" xfId="718" applyNumberFormat="1" applyFont="1" applyFill="1" applyBorder="1" applyAlignment="1">
      <alignment horizontal="center"/>
    </xf>
    <xf numFmtId="4" fontId="170" fillId="0" borderId="331" xfId="718" applyNumberFormat="1" applyFont="1" applyFill="1" applyBorder="1" applyAlignment="1">
      <alignment horizontal="center"/>
    </xf>
    <xf numFmtId="4" fontId="170" fillId="0" borderId="69" xfId="717" applyNumberFormat="1" applyFont="1" applyBorder="1" applyAlignment="1">
      <alignment horizontal="center"/>
    </xf>
    <xf numFmtId="172" fontId="170" fillId="0" borderId="24" xfId="743" applyNumberFormat="1" applyFont="1" applyBorder="1" applyAlignment="1">
      <alignment horizontal="center"/>
    </xf>
    <xf numFmtId="172" fontId="170" fillId="0" borderId="56" xfId="743" applyNumberFormat="1" applyFont="1" applyBorder="1" applyAlignment="1">
      <alignment horizontal="center"/>
    </xf>
    <xf numFmtId="172" fontId="170" fillId="0" borderId="116" xfId="743" applyNumberFormat="1" applyFont="1" applyBorder="1" applyAlignment="1">
      <alignment horizontal="center"/>
    </xf>
    <xf numFmtId="172" fontId="170" fillId="0" borderId="0" xfId="743" applyNumberFormat="1" applyFont="1" applyAlignment="1">
      <alignment horizontal="center"/>
    </xf>
    <xf numFmtId="172" fontId="170" fillId="0" borderId="161" xfId="743" applyNumberFormat="1" applyFont="1" applyBorder="1" applyAlignment="1">
      <alignment horizontal="center"/>
    </xf>
    <xf numFmtId="4" fontId="171" fillId="0" borderId="69" xfId="718" applyNumberFormat="1" applyFont="1" applyFill="1" applyBorder="1" applyAlignment="1">
      <alignment horizontal="center"/>
    </xf>
    <xf numFmtId="172" fontId="171" fillId="0" borderId="90" xfId="743" applyNumberFormat="1" applyFont="1" applyBorder="1" applyAlignment="1">
      <alignment horizontal="center"/>
    </xf>
    <xf numFmtId="172" fontId="171" fillId="0" borderId="252" xfId="743" applyNumberFormat="1" applyFont="1" applyBorder="1" applyAlignment="1">
      <alignment horizontal="center"/>
    </xf>
    <xf numFmtId="172" fontId="171" fillId="0" borderId="116" xfId="717" applyNumberFormat="1" applyFont="1" applyBorder="1" applyAlignment="1">
      <alignment horizontal="center"/>
    </xf>
    <xf numFmtId="172" fontId="171" fillId="32" borderId="116" xfId="717" applyNumberFormat="1" applyFont="1" applyFill="1" applyBorder="1" applyAlignment="1">
      <alignment horizontal="center"/>
    </xf>
    <xf numFmtId="175" fontId="171" fillId="0" borderId="329" xfId="717" applyNumberFormat="1" applyFont="1" applyBorder="1" applyAlignment="1">
      <alignment horizontal="center"/>
    </xf>
    <xf numFmtId="4" fontId="171" fillId="0" borderId="487" xfId="717" applyNumberFormat="1" applyFont="1" applyBorder="1" applyAlignment="1">
      <alignment horizontal="center"/>
    </xf>
    <xf numFmtId="172" fontId="171" fillId="0" borderId="455" xfId="743" applyNumberFormat="1" applyFont="1" applyBorder="1" applyAlignment="1">
      <alignment horizontal="center"/>
    </xf>
    <xf numFmtId="175" fontId="170" fillId="0" borderId="482" xfId="717" applyNumberFormat="1" applyFont="1" applyBorder="1" applyAlignment="1">
      <alignment horizontal="center"/>
    </xf>
    <xf numFmtId="0" fontId="170" fillId="0" borderId="176" xfId="717" applyFont="1" applyBorder="1"/>
    <xf numFmtId="4" fontId="170" fillId="0" borderId="436" xfId="717" applyNumberFormat="1" applyFont="1" applyBorder="1" applyAlignment="1">
      <alignment horizontal="center"/>
    </xf>
    <xf numFmtId="4" fontId="170" fillId="0" borderId="68" xfId="717" applyNumberFormat="1" applyFont="1" applyBorder="1" applyAlignment="1">
      <alignment horizontal="center"/>
    </xf>
    <xf numFmtId="172" fontId="170" fillId="0" borderId="348" xfId="717" applyNumberFormat="1" applyFont="1" applyBorder="1" applyAlignment="1">
      <alignment horizontal="center"/>
    </xf>
    <xf numFmtId="172" fontId="170" fillId="32" borderId="381" xfId="717" applyNumberFormat="1" applyFont="1" applyFill="1" applyBorder="1" applyAlignment="1">
      <alignment horizontal="center"/>
    </xf>
    <xf numFmtId="172" fontId="170" fillId="32" borderId="289" xfId="717" applyNumberFormat="1" applyFont="1" applyFill="1" applyBorder="1" applyAlignment="1">
      <alignment horizontal="center"/>
    </xf>
    <xf numFmtId="175" fontId="170" fillId="0" borderId="176" xfId="717" applyNumberFormat="1" applyFont="1" applyBorder="1" applyAlignment="1">
      <alignment horizontal="center"/>
    </xf>
    <xf numFmtId="175" fontId="170" fillId="0" borderId="425" xfId="717" applyNumberFormat="1" applyFont="1" applyBorder="1" applyAlignment="1">
      <alignment horizontal="center"/>
    </xf>
    <xf numFmtId="175" fontId="170" fillId="0" borderId="348" xfId="717" applyNumberFormat="1" applyFont="1" applyBorder="1" applyAlignment="1">
      <alignment horizontal="center"/>
    </xf>
    <xf numFmtId="0" fontId="172" fillId="0" borderId="0" xfId="134" applyFont="1"/>
    <xf numFmtId="0" fontId="223" fillId="0" borderId="0" xfId="134" applyFont="1"/>
    <xf numFmtId="172" fontId="173" fillId="0" borderId="0" xfId="717" applyNumberFormat="1" applyFont="1" applyAlignment="1">
      <alignment horizontal="center"/>
    </xf>
    <xf numFmtId="172" fontId="177" fillId="0" borderId="0" xfId="717" applyNumberFormat="1" applyFont="1" applyAlignment="1">
      <alignment horizontal="center"/>
    </xf>
    <xf numFmtId="0" fontId="173" fillId="0" borderId="321" xfId="717" applyFont="1" applyBorder="1"/>
    <xf numFmtId="0" fontId="167" fillId="0" borderId="0" xfId="717" applyFont="1"/>
    <xf numFmtId="175" fontId="242" fillId="0" borderId="487" xfId="0" applyNumberFormat="1" applyFont="1" applyBorder="1" applyAlignment="1">
      <alignment horizontal="center"/>
    </xf>
    <xf numFmtId="175" fontId="243" fillId="0" borderId="487" xfId="0" applyNumberFormat="1" applyFont="1" applyBorder="1" applyAlignment="1">
      <alignment horizontal="center"/>
    </xf>
    <xf numFmtId="0" fontId="242" fillId="0" borderId="0" xfId="0" applyFont="1" applyAlignment="1">
      <alignment horizontal="center" wrapText="1"/>
    </xf>
    <xf numFmtId="0" fontId="242" fillId="0" borderId="425" xfId="0" applyFont="1" applyBorder="1"/>
    <xf numFmtId="0" fontId="242" fillId="0" borderId="425" xfId="0" applyFont="1" applyBorder="1" applyAlignment="1">
      <alignment horizontal="center"/>
    </xf>
    <xf numFmtId="0" fontId="242" fillId="0" borderId="425" xfId="0" applyFont="1" applyBorder="1" applyAlignment="1">
      <alignment horizontal="center" vertical="center"/>
    </xf>
    <xf numFmtId="0" fontId="242" fillId="0" borderId="489" xfId="0" applyFont="1" applyBorder="1" applyAlignment="1">
      <alignment horizontal="center" vertical="center"/>
    </xf>
    <xf numFmtId="0" fontId="242" fillId="0" borderId="425" xfId="0" applyFont="1" applyBorder="1" applyAlignment="1">
      <alignment horizontal="center" vertical="center" wrapText="1"/>
    </xf>
    <xf numFmtId="0" fontId="242" fillId="0" borderId="190" xfId="0" applyFont="1" applyBorder="1" applyAlignment="1">
      <alignment horizontal="center" vertical="center" wrapText="1"/>
    </xf>
    <xf numFmtId="0" fontId="242" fillId="0" borderId="487" xfId="0" applyFont="1" applyBorder="1" applyAlignment="1">
      <alignment horizontal="center"/>
    </xf>
    <xf numFmtId="0" fontId="242" fillId="0" borderId="437" xfId="0" applyFont="1" applyBorder="1" applyAlignment="1">
      <alignment horizontal="center" wrapText="1"/>
    </xf>
    <xf numFmtId="175" fontId="242" fillId="0" borderId="487" xfId="0" applyNumberFormat="1" applyFont="1" applyBorder="1"/>
    <xf numFmtId="175" fontId="242" fillId="0" borderId="466" xfId="0" applyNumberFormat="1" applyFont="1" applyBorder="1" applyAlignment="1">
      <alignment horizontal="center"/>
    </xf>
    <xf numFmtId="0" fontId="243" fillId="0" borderId="487" xfId="0" applyFont="1" applyBorder="1" applyAlignment="1">
      <alignment horizontal="center"/>
    </xf>
    <xf numFmtId="0" fontId="243" fillId="0" borderId="487" xfId="0" applyFont="1" applyBorder="1"/>
    <xf numFmtId="0" fontId="242" fillId="0" borderId="487" xfId="0" applyFont="1" applyBorder="1"/>
    <xf numFmtId="0" fontId="242" fillId="0" borderId="507" xfId="0" applyFont="1" applyBorder="1"/>
    <xf numFmtId="0" fontId="242" fillId="0" borderId="354" xfId="0" applyFont="1" applyBorder="1"/>
    <xf numFmtId="175" fontId="243" fillId="0" borderId="491" xfId="0" applyNumberFormat="1" applyFont="1" applyBorder="1" applyAlignment="1">
      <alignment horizontal="center"/>
    </xf>
    <xf numFmtId="0" fontId="355" fillId="0" borderId="0" xfId="0" applyFont="1"/>
    <xf numFmtId="0" fontId="356" fillId="0" borderId="0" xfId="0" applyFont="1"/>
    <xf numFmtId="0" fontId="356" fillId="0" borderId="0" xfId="0" applyFont="1" applyAlignment="1">
      <alignment horizontal="center"/>
    </xf>
    <xf numFmtId="3" fontId="356" fillId="0" borderId="0" xfId="0" applyNumberFormat="1" applyFont="1"/>
    <xf numFmtId="0" fontId="357" fillId="0" borderId="0" xfId="0" applyFont="1"/>
    <xf numFmtId="3" fontId="357" fillId="0" borderId="0" xfId="0" applyNumberFormat="1" applyFont="1"/>
    <xf numFmtId="0" fontId="358" fillId="0" borderId="0" xfId="0" applyFont="1"/>
    <xf numFmtId="10" fontId="359" fillId="0" borderId="0" xfId="0" applyNumberFormat="1" applyFont="1" applyAlignment="1">
      <alignment horizontal="center"/>
    </xf>
    <xf numFmtId="0" fontId="357" fillId="0" borderId="0" xfId="0" applyFont="1" applyAlignment="1">
      <alignment horizontal="center"/>
    </xf>
    <xf numFmtId="171" fontId="355" fillId="0" borderId="0" xfId="149" applyNumberFormat="1" applyFont="1" applyFill="1"/>
    <xf numFmtId="3" fontId="360" fillId="0" borderId="0" xfId="0" applyNumberFormat="1" applyFont="1"/>
    <xf numFmtId="3" fontId="360" fillId="0" borderId="0" xfId="0" applyNumberFormat="1" applyFont="1" applyAlignment="1">
      <alignment horizontal="center"/>
    </xf>
    <xf numFmtId="171" fontId="356" fillId="0" borderId="0" xfId="149" applyNumberFormat="1" applyFont="1" applyFill="1"/>
    <xf numFmtId="224" fontId="360" fillId="0" borderId="0" xfId="0" applyNumberFormat="1" applyFont="1" applyAlignment="1">
      <alignment horizontal="center"/>
    </xf>
    <xf numFmtId="0" fontId="356" fillId="0" borderId="0" xfId="0" applyFont="1" applyAlignment="1">
      <alignment horizontal="center" vertical="center"/>
    </xf>
    <xf numFmtId="0" fontId="134" fillId="34" borderId="68" xfId="0" applyFont="1" applyFill="1" applyBorder="1" applyAlignment="1">
      <alignment vertical="center" wrapText="1"/>
    </xf>
    <xf numFmtId="171" fontId="155" fillId="0" borderId="204" xfId="206" applyNumberFormat="1" applyFont="1" applyBorder="1" applyAlignment="1">
      <alignment horizontal="center" vertical="center"/>
    </xf>
    <xf numFmtId="171" fontId="155" fillId="29" borderId="210" xfId="206" applyNumberFormat="1" applyFont="1" applyFill="1" applyBorder="1" applyAlignment="1">
      <alignment horizontal="center" vertical="center"/>
    </xf>
    <xf numFmtId="171" fontId="155" fillId="0" borderId="502" xfId="206" applyNumberFormat="1" applyFont="1" applyBorder="1" applyAlignment="1">
      <alignment horizontal="center" vertical="center"/>
    </xf>
    <xf numFmtId="182" fontId="343" fillId="0" borderId="0" xfId="0" applyNumberFormat="1" applyFont="1" applyAlignment="1">
      <alignment horizontal="left"/>
    </xf>
    <xf numFmtId="39" fontId="157" fillId="0" borderId="466" xfId="5091" applyNumberFormat="1" applyFont="1" applyBorder="1" applyAlignment="1">
      <alignment horizontal="center"/>
    </xf>
    <xf numFmtId="253" fontId="157" fillId="0" borderId="466" xfId="5091" applyNumberFormat="1" applyFont="1" applyBorder="1" applyAlignment="1">
      <alignment horizontal="center"/>
    </xf>
    <xf numFmtId="173" fontId="232" fillId="34" borderId="293" xfId="124" applyNumberFormat="1" applyFont="1" applyFill="1" applyBorder="1" applyAlignment="1">
      <alignment horizontal="left"/>
    </xf>
    <xf numFmtId="173" fontId="232" fillId="34" borderId="292" xfId="124" applyNumberFormat="1" applyFont="1" applyFill="1" applyBorder="1" applyAlignment="1">
      <alignment horizontal="center"/>
    </xf>
    <xf numFmtId="173" fontId="232" fillId="34" borderId="332" xfId="124" applyNumberFormat="1" applyFont="1" applyFill="1" applyBorder="1" applyAlignment="1">
      <alignment horizontal="center"/>
    </xf>
    <xf numFmtId="175" fontId="232" fillId="34" borderId="292" xfId="124" applyNumberFormat="1" applyFont="1" applyFill="1" applyBorder="1" applyAlignment="1">
      <alignment horizontal="center"/>
    </xf>
    <xf numFmtId="173" fontId="232" fillId="34" borderId="90" xfId="124" applyNumberFormat="1" applyFont="1" applyFill="1" applyBorder="1" applyAlignment="1">
      <alignment horizontal="left"/>
    </xf>
    <xf numFmtId="173" fontId="232" fillId="34" borderId="329" xfId="124" applyNumberFormat="1" applyFont="1" applyFill="1" applyBorder="1" applyAlignment="1">
      <alignment horizontal="center"/>
    </xf>
    <xf numFmtId="173" fontId="232" fillId="34" borderId="116" xfId="124" applyNumberFormat="1" applyFont="1" applyFill="1" applyBorder="1" applyAlignment="1">
      <alignment horizontal="center"/>
    </xf>
    <xf numFmtId="175" fontId="232" fillId="34" borderId="329" xfId="124" applyNumberFormat="1" applyFont="1" applyFill="1" applyBorder="1" applyAlignment="1">
      <alignment horizontal="center"/>
    </xf>
    <xf numFmtId="3" fontId="232" fillId="34" borderId="329" xfId="124" applyNumberFormat="1" applyFont="1" applyFill="1" applyBorder="1" applyAlignment="1">
      <alignment horizontal="center"/>
    </xf>
    <xf numFmtId="3" fontId="157" fillId="34" borderId="203" xfId="124" applyNumberFormat="1" applyFont="1" applyFill="1" applyBorder="1" applyAlignment="1">
      <alignment horizontal="center"/>
    </xf>
    <xf numFmtId="173" fontId="232" fillId="34" borderId="308" xfId="124" applyNumberFormat="1" applyFont="1" applyFill="1" applyBorder="1" applyAlignment="1">
      <alignment horizontal="left"/>
    </xf>
    <xf numFmtId="173" fontId="232" fillId="34" borderId="289" xfId="124" applyNumberFormat="1" applyFont="1" applyFill="1" applyBorder="1" applyAlignment="1">
      <alignment horizontal="center"/>
    </xf>
    <xf numFmtId="175" fontId="232" fillId="34" borderId="357" xfId="124" applyNumberFormat="1" applyFont="1" applyFill="1" applyBorder="1" applyAlignment="1">
      <alignment horizontal="center"/>
    </xf>
    <xf numFmtId="3" fontId="232" fillId="34" borderId="289" xfId="124" applyNumberFormat="1" applyFont="1" applyFill="1" applyBorder="1" applyAlignment="1">
      <alignment horizontal="center"/>
    </xf>
    <xf numFmtId="3" fontId="232" fillId="34" borderId="491" xfId="124" applyNumberFormat="1" applyFont="1" applyFill="1" applyBorder="1" applyAlignment="1">
      <alignment horizontal="center"/>
    </xf>
    <xf numFmtId="173" fontId="149" fillId="34" borderId="293" xfId="124" applyNumberFormat="1" applyFont="1" applyFill="1" applyBorder="1"/>
    <xf numFmtId="173" fontId="149" fillId="34" borderId="292" xfId="124" applyNumberFormat="1" applyFont="1" applyFill="1" applyBorder="1" applyAlignment="1">
      <alignment horizontal="center"/>
    </xf>
    <xf numFmtId="171" fontId="149" fillId="34" borderId="332" xfId="124" applyNumberFormat="1" applyFont="1" applyFill="1" applyBorder="1" applyAlignment="1">
      <alignment horizontal="center"/>
    </xf>
    <xf numFmtId="175" fontId="149" fillId="34" borderId="292" xfId="124" applyNumberFormat="1" applyFont="1" applyFill="1" applyBorder="1" applyAlignment="1">
      <alignment horizontal="center"/>
    </xf>
    <xf numFmtId="173" fontId="149" fillId="34" borderId="90" xfId="124" applyNumberFormat="1" applyFont="1" applyFill="1" applyBorder="1"/>
    <xf numFmtId="173" fontId="149" fillId="34" borderId="329" xfId="124" applyNumberFormat="1" applyFont="1" applyFill="1" applyBorder="1" applyAlignment="1">
      <alignment horizontal="center"/>
    </xf>
    <xf numFmtId="171" fontId="149" fillId="34" borderId="116" xfId="124" applyNumberFormat="1" applyFont="1" applyFill="1" applyBorder="1" applyAlignment="1">
      <alignment horizontal="center"/>
    </xf>
    <xf numFmtId="175" fontId="149" fillId="34" borderId="329" xfId="124" applyNumberFormat="1" applyFont="1" applyFill="1" applyBorder="1" applyAlignment="1">
      <alignment horizontal="center"/>
    </xf>
    <xf numFmtId="3" fontId="149" fillId="34" borderId="329" xfId="57" applyNumberFormat="1" applyFont="1" applyFill="1" applyBorder="1" applyAlignment="1">
      <alignment horizontal="center"/>
    </xf>
    <xf numFmtId="3" fontId="147" fillId="34" borderId="505" xfId="57" applyNumberFormat="1" applyFont="1" applyFill="1" applyBorder="1" applyAlignment="1">
      <alignment horizontal="center"/>
    </xf>
    <xf numFmtId="173" fontId="149" fillId="34" borderId="308" xfId="124" applyNumberFormat="1" applyFont="1" applyFill="1" applyBorder="1" applyAlignment="1">
      <alignment horizontal="left"/>
    </xf>
    <xf numFmtId="173" fontId="149" fillId="34" borderId="289" xfId="124" applyNumberFormat="1" applyFont="1" applyFill="1" applyBorder="1" applyAlignment="1">
      <alignment horizontal="center"/>
    </xf>
    <xf numFmtId="171" fontId="149" fillId="34" borderId="323" xfId="124" applyNumberFormat="1" applyFont="1" applyFill="1" applyBorder="1" applyAlignment="1">
      <alignment horizontal="center"/>
    </xf>
    <xf numFmtId="175" fontId="149" fillId="34" borderId="289" xfId="124" applyNumberFormat="1" applyFont="1" applyFill="1" applyBorder="1" applyAlignment="1">
      <alignment horizontal="center"/>
    </xf>
    <xf numFmtId="3" fontId="149" fillId="34" borderId="289" xfId="57" applyNumberFormat="1" applyFont="1" applyFill="1" applyBorder="1" applyAlignment="1">
      <alignment horizontal="center"/>
    </xf>
    <xf numFmtId="3" fontId="149" fillId="34" borderId="491" xfId="57" applyNumberFormat="1" applyFont="1" applyFill="1" applyBorder="1" applyAlignment="1">
      <alignment horizontal="center"/>
    </xf>
    <xf numFmtId="171" fontId="192" fillId="0" borderId="0" xfId="149" applyNumberFormat="1" applyFont="1" applyFill="1" applyBorder="1"/>
    <xf numFmtId="172" fontId="168" fillId="0" borderId="116" xfId="57" applyNumberFormat="1" applyFont="1" applyFill="1" applyBorder="1" applyAlignment="1">
      <alignment horizontal="center" vertical="center"/>
    </xf>
    <xf numFmtId="172" fontId="167" fillId="0" borderId="116" xfId="57" applyNumberFormat="1" applyFont="1" applyFill="1" applyBorder="1" applyAlignment="1">
      <alignment horizontal="center" vertical="center"/>
    </xf>
    <xf numFmtId="179" fontId="168" fillId="0" borderId="24" xfId="57" applyNumberFormat="1" applyFont="1" applyFill="1" applyBorder="1" applyAlignment="1">
      <alignment horizontal="center" vertical="center"/>
    </xf>
    <xf numFmtId="179" fontId="168" fillId="0" borderId="329" xfId="57" applyNumberFormat="1" applyFont="1" applyFill="1" applyBorder="1" applyAlignment="1">
      <alignment horizontal="center" vertical="center"/>
    </xf>
    <xf numFmtId="0" fontId="170" fillId="26" borderId="348" xfId="122" applyFont="1" applyFill="1" applyBorder="1" applyAlignment="1">
      <alignment horizontal="center" vertical="center"/>
    </xf>
    <xf numFmtId="179" fontId="168" fillId="0" borderId="442" xfId="57" applyNumberFormat="1" applyFont="1" applyFill="1" applyBorder="1" applyAlignment="1">
      <alignment horizontal="center" vertical="center"/>
    </xf>
    <xf numFmtId="179" fontId="167" fillId="0" borderId="24" xfId="57" applyNumberFormat="1" applyFont="1" applyFill="1" applyBorder="1" applyAlignment="1">
      <alignment horizontal="center" vertical="center"/>
    </xf>
    <xf numFmtId="175" fontId="167" fillId="0" borderId="24" xfId="122" applyNumberFormat="1" applyFont="1" applyBorder="1" applyAlignment="1">
      <alignment horizontal="center" vertical="center"/>
    </xf>
    <xf numFmtId="0" fontId="170" fillId="26" borderId="490" xfId="122" applyFont="1" applyFill="1" applyBorder="1" applyAlignment="1">
      <alignment horizontal="center"/>
    </xf>
    <xf numFmtId="0" fontId="167" fillId="0" borderId="329" xfId="122" applyFont="1" applyBorder="1"/>
    <xf numFmtId="0" fontId="167" fillId="0" borderId="357" xfId="122" applyFont="1" applyBorder="1"/>
    <xf numFmtId="0" fontId="170" fillId="26" borderId="486" xfId="122" applyFont="1" applyFill="1" applyBorder="1" applyAlignment="1">
      <alignment horizontal="center"/>
    </xf>
    <xf numFmtId="179" fontId="168" fillId="0" borderId="116" xfId="57" applyNumberFormat="1" applyFont="1" applyFill="1" applyBorder="1" applyAlignment="1">
      <alignment horizontal="center" vertical="center"/>
    </xf>
    <xf numFmtId="4" fontId="167" fillId="0" borderId="116" xfId="57" applyNumberFormat="1" applyFont="1" applyFill="1" applyBorder="1" applyAlignment="1">
      <alignment horizontal="center" vertical="center"/>
    </xf>
    <xf numFmtId="0" fontId="167" fillId="26" borderId="483" xfId="122" applyFont="1" applyFill="1" applyBorder="1"/>
    <xf numFmtId="0" fontId="170" fillId="26" borderId="347" xfId="122" applyFont="1" applyFill="1" applyBorder="1" applyAlignment="1">
      <alignment horizontal="center"/>
    </xf>
    <xf numFmtId="172" fontId="168" fillId="0" borderId="0" xfId="57" applyNumberFormat="1" applyFont="1" applyFill="1" applyBorder="1" applyAlignment="1">
      <alignment horizontal="center" vertical="center"/>
    </xf>
    <xf numFmtId="172" fontId="167" fillId="0" borderId="0" xfId="57" applyNumberFormat="1" applyFont="1" applyFill="1" applyBorder="1" applyAlignment="1">
      <alignment horizontal="center" vertical="center"/>
    </xf>
    <xf numFmtId="179" fontId="168" fillId="0" borderId="0" xfId="57" applyNumberFormat="1" applyFont="1" applyFill="1" applyBorder="1" applyAlignment="1">
      <alignment horizontal="center" vertical="center"/>
    </xf>
    <xf numFmtId="4" fontId="167" fillId="0" borderId="0" xfId="57" applyNumberFormat="1" applyFont="1" applyFill="1" applyBorder="1" applyAlignment="1">
      <alignment horizontal="center" vertical="center"/>
    </xf>
    <xf numFmtId="0" fontId="167" fillId="26" borderId="354" xfId="122" applyFont="1" applyFill="1" applyBorder="1"/>
    <xf numFmtId="0" fontId="170" fillId="26" borderId="489" xfId="122" applyFont="1" applyFill="1" applyBorder="1" applyAlignment="1">
      <alignment horizontal="center"/>
    </xf>
    <xf numFmtId="172" fontId="168" fillId="0" borderId="331" xfId="57" applyNumberFormat="1" applyFont="1" applyFill="1" applyBorder="1" applyAlignment="1">
      <alignment horizontal="center" vertical="center"/>
    </xf>
    <xf numFmtId="172" fontId="167" fillId="0" borderId="331" xfId="57" applyNumberFormat="1" applyFont="1" applyFill="1" applyBorder="1" applyAlignment="1">
      <alignment horizontal="center" vertical="center"/>
    </xf>
    <xf numFmtId="179" fontId="168" fillId="0" borderId="331" xfId="57" applyNumberFormat="1" applyFont="1" applyFill="1" applyBorder="1" applyAlignment="1">
      <alignment horizontal="center" vertical="center"/>
    </xf>
    <xf numFmtId="4" fontId="167" fillId="0" borderId="331" xfId="57" applyNumberFormat="1" applyFont="1" applyFill="1" applyBorder="1" applyAlignment="1">
      <alignment horizontal="center" vertical="center"/>
    </xf>
    <xf numFmtId="0" fontId="167" fillId="26" borderId="325" xfId="122" applyFont="1" applyFill="1" applyBorder="1"/>
    <xf numFmtId="0" fontId="120" fillId="0" borderId="490" xfId="124" applyFont="1" applyBorder="1" applyAlignment="1">
      <alignment horizontal="center"/>
    </xf>
    <xf numFmtId="175" fontId="121" fillId="0" borderId="329" xfId="124" applyNumberFormat="1" applyFont="1" applyBorder="1"/>
    <xf numFmtId="172" fontId="120" fillId="0" borderId="501" xfId="57" applyNumberFormat="1" applyFont="1" applyFill="1" applyBorder="1" applyAlignment="1">
      <alignment horizontal="center"/>
    </xf>
    <xf numFmtId="10" fontId="148" fillId="26" borderId="329" xfId="124" applyNumberFormat="1" applyFont="1" applyFill="1" applyBorder="1" applyAlignment="1">
      <alignment horizontal="center" vertical="center"/>
    </xf>
    <xf numFmtId="0" fontId="152" fillId="26" borderId="90" xfId="124" applyFont="1" applyFill="1" applyBorder="1" applyAlignment="1">
      <alignment horizontal="left"/>
    </xf>
    <xf numFmtId="173" fontId="152" fillId="26" borderId="90" xfId="124" applyNumberFormat="1" applyFont="1" applyFill="1" applyBorder="1" applyAlignment="1">
      <alignment horizontal="left" vertical="center"/>
    </xf>
    <xf numFmtId="173" fontId="152" fillId="26" borderId="90" xfId="124" applyNumberFormat="1" applyFont="1" applyFill="1" applyBorder="1" applyAlignment="1">
      <alignment horizontal="left" vertical="center" indent="8"/>
    </xf>
    <xf numFmtId="173" fontId="155" fillId="26" borderId="90" xfId="124" applyNumberFormat="1" applyFont="1" applyFill="1" applyBorder="1" applyAlignment="1">
      <alignment horizontal="left" vertical="center" indent="10"/>
    </xf>
    <xf numFmtId="0" fontId="155" fillId="26" borderId="90" xfId="124" applyFont="1" applyFill="1" applyBorder="1" applyAlignment="1">
      <alignment horizontal="left" indent="10"/>
    </xf>
    <xf numFmtId="173" fontId="155" fillId="26" borderId="90" xfId="124" applyNumberFormat="1" applyFont="1" applyFill="1" applyBorder="1" applyAlignment="1">
      <alignment horizontal="left" vertical="center" indent="3"/>
    </xf>
    <xf numFmtId="0" fontId="155" fillId="26" borderId="90" xfId="124" applyFont="1" applyFill="1" applyBorder="1" applyAlignment="1">
      <alignment horizontal="left" indent="3"/>
    </xf>
    <xf numFmtId="0" fontId="152" fillId="26" borderId="90" xfId="124" applyFont="1" applyFill="1" applyBorder="1" applyAlignment="1">
      <alignment horizontal="left" indent="8"/>
    </xf>
    <xf numFmtId="0" fontId="152" fillId="26" borderId="90" xfId="124" applyFont="1" applyFill="1" applyBorder="1" applyAlignment="1">
      <alignment horizontal="left" indent="4"/>
    </xf>
    <xf numFmtId="0" fontId="152" fillId="26" borderId="90" xfId="124" applyFont="1" applyFill="1" applyBorder="1" applyAlignment="1">
      <alignment horizontal="left" indent="6"/>
    </xf>
    <xf numFmtId="0" fontId="155" fillId="26" borderId="90" xfId="124" applyFont="1" applyFill="1" applyBorder="1" applyAlignment="1">
      <alignment horizontal="left" indent="9"/>
    </xf>
    <xf numFmtId="173" fontId="155" fillId="26" borderId="90" xfId="124" applyNumberFormat="1" applyFont="1" applyFill="1" applyBorder="1" applyAlignment="1">
      <alignment horizontal="left" vertical="center" indent="9"/>
    </xf>
    <xf numFmtId="0" fontId="155" fillId="26" borderId="90" xfId="124" applyFont="1" applyFill="1" applyBorder="1" applyAlignment="1">
      <alignment horizontal="left"/>
    </xf>
    <xf numFmtId="0" fontId="155" fillId="26" borderId="56" xfId="124" applyFont="1" applyFill="1" applyBorder="1" applyAlignment="1">
      <alignment horizontal="left" indent="9"/>
    </xf>
    <xf numFmtId="173" fontId="155" fillId="26" borderId="308" xfId="124" applyNumberFormat="1" applyFont="1" applyFill="1" applyBorder="1" applyAlignment="1">
      <alignment horizontal="left" vertical="center" indent="9"/>
    </xf>
    <xf numFmtId="173" fontId="148" fillId="0" borderId="56" xfId="124" applyNumberFormat="1" applyFont="1" applyBorder="1" applyAlignment="1">
      <alignment horizontal="left" indent="9"/>
    </xf>
    <xf numFmtId="173" fontId="148" fillId="0" borderId="329" xfId="124" applyNumberFormat="1" applyFont="1" applyBorder="1" applyAlignment="1">
      <alignment horizontal="center" vertical="center"/>
    </xf>
    <xf numFmtId="10" fontId="148" fillId="0" borderId="329" xfId="124" applyNumberFormat="1" applyFont="1" applyBorder="1" applyAlignment="1">
      <alignment horizontal="center" vertical="center"/>
    </xf>
    <xf numFmtId="170" fontId="148" fillId="0" borderId="0" xfId="124" applyNumberFormat="1" applyFont="1" applyAlignment="1">
      <alignment horizontal="center" vertical="center"/>
    </xf>
    <xf numFmtId="165" fontId="148" fillId="26" borderId="329" xfId="918" applyNumberFormat="1" applyFont="1" applyFill="1" applyBorder="1" applyAlignment="1">
      <alignment horizontal="center"/>
    </xf>
    <xf numFmtId="175" fontId="148" fillId="0" borderId="466" xfId="122" applyNumberFormat="1" applyFont="1" applyBorder="1" applyAlignment="1">
      <alignment horizontal="center"/>
    </xf>
    <xf numFmtId="175" fontId="148" fillId="0" borderId="455" xfId="122" applyNumberFormat="1" applyFont="1" applyBorder="1" applyAlignment="1">
      <alignment horizontal="center"/>
    </xf>
    <xf numFmtId="170" fontId="148" fillId="0" borderId="329" xfId="124" applyNumberFormat="1" applyFont="1" applyBorder="1" applyAlignment="1">
      <alignment horizontal="center" vertical="center"/>
    </xf>
    <xf numFmtId="173" fontId="148" fillId="0" borderId="56" xfId="124" applyNumberFormat="1" applyFont="1" applyBorder="1" applyAlignment="1">
      <alignment horizontal="left" vertical="center" indent="9"/>
    </xf>
    <xf numFmtId="173" fontId="148" fillId="0" borderId="329" xfId="124" applyNumberFormat="1" applyFont="1" applyBorder="1" applyAlignment="1">
      <alignment horizontal="center"/>
    </xf>
    <xf numFmtId="10" fontId="148" fillId="0" borderId="329" xfId="124" applyNumberFormat="1" applyFont="1" applyBorder="1" applyAlignment="1">
      <alignment horizontal="center"/>
    </xf>
    <xf numFmtId="170" fontId="148" fillId="0" borderId="329" xfId="124" applyNumberFormat="1" applyFont="1" applyBorder="1" applyAlignment="1">
      <alignment horizontal="center"/>
    </xf>
    <xf numFmtId="0" fontId="148" fillId="0" borderId="56" xfId="124" applyFont="1" applyBorder="1" applyAlignment="1">
      <alignment horizontal="left" indent="9"/>
    </xf>
    <xf numFmtId="0" fontId="148" fillId="0" borderId="56" xfId="124" applyFont="1" applyBorder="1" applyAlignment="1">
      <alignment horizontal="left" wrapText="1" indent="9"/>
    </xf>
    <xf numFmtId="0" fontId="149" fillId="26" borderId="56" xfId="124" applyFont="1" applyFill="1" applyBorder="1" applyAlignment="1">
      <alignment horizontal="left" indent="3"/>
    </xf>
    <xf numFmtId="0" fontId="149" fillId="26" borderId="56" xfId="124" applyFont="1" applyFill="1" applyBorder="1" applyAlignment="1">
      <alignment horizontal="left" indent="6"/>
    </xf>
    <xf numFmtId="0" fontId="148" fillId="26" borderId="56" xfId="124" applyFont="1" applyFill="1" applyBorder="1" applyAlignment="1">
      <alignment horizontal="left"/>
    </xf>
    <xf numFmtId="0" fontId="148" fillId="0" borderId="56" xfId="124" applyFont="1" applyBorder="1" applyAlignment="1">
      <alignment horizontal="left" indent="8"/>
    </xf>
    <xf numFmtId="0" fontId="148" fillId="0" borderId="329" xfId="124" applyFont="1" applyBorder="1" applyAlignment="1">
      <alignment horizontal="center"/>
    </xf>
    <xf numFmtId="14" fontId="148" fillId="26" borderId="329" xfId="124" applyNumberFormat="1" applyFont="1" applyFill="1" applyBorder="1" applyAlignment="1">
      <alignment horizontal="center" vertical="center"/>
    </xf>
    <xf numFmtId="17" fontId="148" fillId="26" borderId="329" xfId="124" applyNumberFormat="1" applyFont="1" applyFill="1" applyBorder="1" applyAlignment="1">
      <alignment horizontal="center" vertical="center"/>
    </xf>
    <xf numFmtId="0" fontId="148" fillId="0" borderId="455" xfId="124" applyFont="1" applyBorder="1" applyAlignment="1">
      <alignment horizontal="center"/>
    </xf>
    <xf numFmtId="10" fontId="148" fillId="0" borderId="455" xfId="124" applyNumberFormat="1" applyFont="1" applyBorder="1" applyAlignment="1">
      <alignment horizontal="center"/>
    </xf>
    <xf numFmtId="0" fontId="148" fillId="0" borderId="56" xfId="124" applyFont="1" applyBorder="1"/>
    <xf numFmtId="171" fontId="148" fillId="0" borderId="329" xfId="124" applyNumberFormat="1" applyFont="1" applyBorder="1" applyAlignment="1">
      <alignment horizontal="center"/>
    </xf>
    <xf numFmtId="0" fontId="149" fillId="0" borderId="56" xfId="124" applyFont="1" applyBorder="1" applyAlignment="1">
      <alignment horizontal="left" indent="6"/>
    </xf>
    <xf numFmtId="0" fontId="149" fillId="0" borderId="329" xfId="124" applyFont="1" applyBorder="1" applyAlignment="1">
      <alignment horizontal="center"/>
    </xf>
    <xf numFmtId="171" fontId="149" fillId="0" borderId="329" xfId="124" applyNumberFormat="1" applyFont="1" applyBorder="1" applyAlignment="1">
      <alignment horizontal="center"/>
    </xf>
    <xf numFmtId="0" fontId="148" fillId="0" borderId="56" xfId="124" applyFont="1" applyBorder="1" applyAlignment="1">
      <alignment horizontal="left" indent="7"/>
    </xf>
    <xf numFmtId="0" fontId="148" fillId="0" borderId="90" xfId="124" applyFont="1" applyBorder="1" applyAlignment="1">
      <alignment horizontal="left" indent="7"/>
    </xf>
    <xf numFmtId="0" fontId="148" fillId="0" borderId="90" xfId="124" applyFont="1" applyBorder="1"/>
    <xf numFmtId="0" fontId="149" fillId="0" borderId="90" xfId="124" applyFont="1" applyBorder="1" applyAlignment="1">
      <alignment horizontal="left" indent="2"/>
    </xf>
    <xf numFmtId="0" fontId="149" fillId="0" borderId="90" xfId="124" applyFont="1" applyBorder="1" applyAlignment="1">
      <alignment horizontal="left" indent="6"/>
    </xf>
    <xf numFmtId="176" fontId="148" fillId="0" borderId="455" xfId="57" applyNumberFormat="1" applyFont="1" applyFill="1" applyBorder="1" applyAlignment="1">
      <alignment horizontal="center"/>
    </xf>
    <xf numFmtId="5" fontId="148" fillId="26" borderId="466" xfId="918" applyNumberFormat="1" applyFont="1" applyFill="1" applyBorder="1" applyAlignment="1">
      <alignment horizontal="center"/>
    </xf>
    <xf numFmtId="0" fontId="148" fillId="0" borderId="308" xfId="124" applyFont="1" applyBorder="1" applyAlignment="1">
      <alignment horizontal="left" indent="7"/>
    </xf>
    <xf numFmtId="0" fontId="148" fillId="0" borderId="357" xfId="124" applyFont="1" applyBorder="1" applyAlignment="1">
      <alignment horizontal="center"/>
    </xf>
    <xf numFmtId="10" fontId="148" fillId="0" borderId="357" xfId="124" applyNumberFormat="1" applyFont="1" applyBorder="1" applyAlignment="1">
      <alignment horizontal="center"/>
    </xf>
    <xf numFmtId="176" fontId="148" fillId="0" borderId="357" xfId="57" applyNumberFormat="1" applyFont="1" applyFill="1" applyBorder="1" applyAlignment="1">
      <alignment horizontal="center"/>
    </xf>
    <xf numFmtId="5" fontId="148" fillId="26" borderId="359" xfId="918" applyNumberFormat="1" applyFont="1" applyFill="1" applyBorder="1" applyAlignment="1">
      <alignment horizontal="center"/>
    </xf>
    <xf numFmtId="173" fontId="171" fillId="26" borderId="56" xfId="124" quotePrefix="1" applyNumberFormat="1" applyFont="1" applyFill="1" applyBorder="1" applyAlignment="1">
      <alignment horizontal="left" vertical="center" indent="3"/>
    </xf>
    <xf numFmtId="0" fontId="171" fillId="26" borderId="329" xfId="124" applyFont="1" applyFill="1" applyBorder="1" applyAlignment="1">
      <alignment horizontal="center"/>
    </xf>
    <xf numFmtId="173" fontId="171" fillId="26" borderId="329" xfId="124" applyNumberFormat="1" applyFont="1" applyFill="1" applyBorder="1" applyAlignment="1">
      <alignment horizontal="center"/>
    </xf>
    <xf numFmtId="10" fontId="171" fillId="26" borderId="116" xfId="124" applyNumberFormat="1" applyFont="1" applyFill="1" applyBorder="1" applyAlignment="1">
      <alignment horizontal="center" vertical="center"/>
    </xf>
    <xf numFmtId="184" fontId="171" fillId="26" borderId="329" xfId="124" applyNumberFormat="1" applyFont="1" applyFill="1" applyBorder="1" applyAlignment="1">
      <alignment horizontal="center" vertical="center"/>
    </xf>
    <xf numFmtId="176" fontId="171" fillId="26" borderId="0" xfId="124" quotePrefix="1" applyNumberFormat="1" applyFont="1" applyFill="1" applyAlignment="1">
      <alignment horizontal="center" vertical="center"/>
    </xf>
    <xf numFmtId="230" fontId="171" fillId="26" borderId="330" xfId="124" applyNumberFormat="1" applyFont="1" applyFill="1" applyBorder="1" applyAlignment="1">
      <alignment horizontal="center" vertical="center"/>
    </xf>
    <xf numFmtId="173" fontId="170" fillId="26" borderId="56" xfId="124" quotePrefix="1" applyNumberFormat="1" applyFont="1" applyFill="1" applyBorder="1" applyAlignment="1">
      <alignment horizontal="left" vertical="center" indent="6"/>
    </xf>
    <xf numFmtId="0" fontId="170" fillId="26" borderId="329" xfId="124" applyFont="1" applyFill="1" applyBorder="1" applyAlignment="1">
      <alignment horizontal="center"/>
    </xf>
    <xf numFmtId="173" fontId="170" fillId="26" borderId="329" xfId="124" applyNumberFormat="1" applyFont="1" applyFill="1" applyBorder="1" applyAlignment="1">
      <alignment horizontal="center"/>
    </xf>
    <xf numFmtId="10" fontId="170" fillId="26" borderId="116" xfId="124" applyNumberFormat="1" applyFont="1" applyFill="1" applyBorder="1" applyAlignment="1">
      <alignment horizontal="center" vertical="center"/>
    </xf>
    <xf numFmtId="184" fontId="170" fillId="26" borderId="329" xfId="124" applyNumberFormat="1" applyFont="1" applyFill="1" applyBorder="1" applyAlignment="1">
      <alignment horizontal="center" vertical="center"/>
    </xf>
    <xf numFmtId="176" fontId="170" fillId="26" borderId="455" xfId="124" quotePrefix="1" applyNumberFormat="1" applyFont="1" applyFill="1" applyBorder="1" applyAlignment="1">
      <alignment horizontal="center" vertical="center"/>
    </xf>
    <xf numFmtId="230" fontId="170" fillId="34" borderId="24" xfId="124" applyNumberFormat="1" applyFont="1" applyFill="1" applyBorder="1" applyAlignment="1">
      <alignment horizontal="center" vertical="center"/>
    </xf>
    <xf numFmtId="173" fontId="171" fillId="26" borderId="56" xfId="124" quotePrefix="1" applyNumberFormat="1" applyFont="1" applyFill="1" applyBorder="1" applyAlignment="1">
      <alignment horizontal="left" vertical="center" indent="9"/>
    </xf>
    <xf numFmtId="176" fontId="171" fillId="26" borderId="455" xfId="124" quotePrefix="1" applyNumberFormat="1" applyFont="1" applyFill="1" applyBorder="1" applyAlignment="1">
      <alignment horizontal="center" vertical="center"/>
    </xf>
    <xf numFmtId="172" fontId="171" fillId="34" borderId="24" xfId="124" applyNumberFormat="1" applyFont="1" applyFill="1" applyBorder="1" applyAlignment="1">
      <alignment horizontal="center"/>
    </xf>
    <xf numFmtId="173" fontId="171" fillId="26" borderId="56" xfId="124" applyNumberFormat="1" applyFont="1" applyFill="1" applyBorder="1" applyAlignment="1">
      <alignment horizontal="left" vertical="center" indent="9"/>
    </xf>
    <xf numFmtId="176" fontId="171" fillId="26" borderId="455" xfId="124" applyNumberFormat="1" applyFont="1" applyFill="1" applyBorder="1" applyAlignment="1">
      <alignment horizontal="center" vertical="center"/>
    </xf>
    <xf numFmtId="10" fontId="171" fillId="26" borderId="116" xfId="149" applyNumberFormat="1" applyFont="1" applyFill="1" applyBorder="1" applyAlignment="1">
      <alignment horizontal="center" vertical="center"/>
    </xf>
    <xf numFmtId="173" fontId="171" fillId="26" borderId="56" xfId="124" applyNumberFormat="1" applyFont="1" applyFill="1" applyBorder="1" applyAlignment="1">
      <alignment horizontal="left" vertical="center" indent="3"/>
    </xf>
    <xf numFmtId="0" fontId="171" fillId="26" borderId="116" xfId="124" applyFont="1" applyFill="1" applyBorder="1" applyAlignment="1">
      <alignment horizontal="center" vertical="center"/>
    </xf>
    <xf numFmtId="173" fontId="170" fillId="26" borderId="56" xfId="124" applyNumberFormat="1" applyFont="1" applyFill="1" applyBorder="1" applyAlignment="1">
      <alignment horizontal="left" vertical="center"/>
    </xf>
    <xf numFmtId="0" fontId="170" fillId="26" borderId="116" xfId="124" applyFont="1" applyFill="1" applyBorder="1" applyAlignment="1">
      <alignment horizontal="center" vertical="center"/>
    </xf>
    <xf numFmtId="176" fontId="170" fillId="26" borderId="455" xfId="124" applyNumberFormat="1" applyFont="1" applyFill="1" applyBorder="1" applyAlignment="1">
      <alignment horizontal="center" vertical="center"/>
    </xf>
    <xf numFmtId="173" fontId="170" fillId="26" borderId="56" xfId="124" applyNumberFormat="1" applyFont="1" applyFill="1" applyBorder="1" applyAlignment="1">
      <alignment horizontal="left" vertical="center" indent="3"/>
    </xf>
    <xf numFmtId="10" fontId="170" fillId="26" borderId="116" xfId="1277" applyNumberFormat="1" applyFont="1" applyFill="1" applyBorder="1" applyAlignment="1">
      <alignment horizontal="center" vertical="center"/>
    </xf>
    <xf numFmtId="173" fontId="170" fillId="26" borderId="56" xfId="124" applyNumberFormat="1" applyFont="1" applyFill="1" applyBorder="1" applyAlignment="1">
      <alignment vertical="center"/>
    </xf>
    <xf numFmtId="173" fontId="170" fillId="26" borderId="56" xfId="124" applyNumberFormat="1" applyFont="1" applyFill="1" applyBorder="1" applyAlignment="1">
      <alignment horizontal="left" vertical="center" indent="5"/>
    </xf>
    <xf numFmtId="173" fontId="171" fillId="26" borderId="56" xfId="124" applyNumberFormat="1" applyFont="1" applyFill="1" applyBorder="1" applyAlignment="1">
      <alignment horizontal="left" vertical="center" indent="8"/>
    </xf>
    <xf numFmtId="0" fontId="171" fillId="26" borderId="329" xfId="2882" applyNumberFormat="1" applyFont="1" applyFill="1" applyBorder="1" applyAlignment="1">
      <alignment horizontal="center"/>
    </xf>
    <xf numFmtId="10" fontId="171" fillId="26" borderId="116" xfId="1277" applyNumberFormat="1" applyFont="1" applyFill="1" applyBorder="1" applyAlignment="1">
      <alignment horizontal="center" vertical="center"/>
    </xf>
    <xf numFmtId="173" fontId="171" fillId="26" borderId="56" xfId="124" applyNumberFormat="1" applyFont="1" applyFill="1" applyBorder="1" applyAlignment="1">
      <alignment horizontal="left" vertical="center" wrapText="1" indent="8"/>
    </xf>
    <xf numFmtId="173" fontId="167" fillId="26" borderId="56" xfId="124" applyNumberFormat="1" applyFont="1" applyFill="1" applyBorder="1" applyAlignment="1">
      <alignment horizontal="left" vertical="center" wrapText="1" indent="8"/>
    </xf>
    <xf numFmtId="173" fontId="167" fillId="26" borderId="56" xfId="122" applyNumberFormat="1" applyFont="1" applyFill="1" applyBorder="1" applyAlignment="1">
      <alignment horizontal="left" vertical="center" wrapText="1" indent="8"/>
    </xf>
    <xf numFmtId="0" fontId="171" fillId="26" borderId="329" xfId="2882" applyNumberFormat="1" applyFont="1" applyFill="1" applyBorder="1" applyAlignment="1">
      <alignment horizontal="center" vertical="center"/>
    </xf>
    <xf numFmtId="10" fontId="171" fillId="26" borderId="116" xfId="122" applyNumberFormat="1" applyFont="1" applyFill="1" applyBorder="1" applyAlignment="1">
      <alignment horizontal="center" vertical="center"/>
    </xf>
    <xf numFmtId="176" fontId="171" fillId="26" borderId="455" xfId="122" applyNumberFormat="1" applyFont="1" applyFill="1" applyBorder="1" applyAlignment="1">
      <alignment horizontal="center" vertical="center"/>
    </xf>
    <xf numFmtId="173" fontId="171" fillId="26" borderId="329" xfId="124" applyNumberFormat="1" applyFont="1" applyFill="1" applyBorder="1" applyAlignment="1">
      <alignment horizontal="center" vertical="center"/>
    </xf>
    <xf numFmtId="173" fontId="171" fillId="26" borderId="56" xfId="124" applyNumberFormat="1" applyFont="1" applyFill="1" applyBorder="1" applyAlignment="1">
      <alignment horizontal="left" vertical="center"/>
    </xf>
    <xf numFmtId="173" fontId="170" fillId="26" borderId="56" xfId="122" applyNumberFormat="1" applyFont="1" applyFill="1" applyBorder="1" applyAlignment="1">
      <alignment horizontal="left" vertical="center"/>
    </xf>
    <xf numFmtId="173" fontId="170" fillId="26" borderId="329" xfId="122" applyNumberFormat="1" applyFont="1" applyFill="1" applyBorder="1" applyAlignment="1">
      <alignment horizontal="center" vertical="center"/>
    </xf>
    <xf numFmtId="10" fontId="170" fillId="26" borderId="116" xfId="122" applyNumberFormat="1" applyFont="1" applyFill="1" applyBorder="1" applyAlignment="1">
      <alignment horizontal="center" vertical="center"/>
    </xf>
    <xf numFmtId="176" fontId="170" fillId="26" borderId="455" xfId="122" applyNumberFormat="1" applyFont="1" applyFill="1" applyBorder="1" applyAlignment="1">
      <alignment horizontal="center" vertical="center"/>
    </xf>
    <xf numFmtId="173" fontId="171" fillId="26" borderId="56" xfId="122" applyNumberFormat="1" applyFont="1" applyFill="1" applyBorder="1" applyAlignment="1">
      <alignment horizontal="left" vertical="center" indent="8"/>
    </xf>
    <xf numFmtId="173" fontId="171" fillId="26" borderId="329" xfId="122" applyNumberFormat="1" applyFont="1" applyFill="1" applyBorder="1" applyAlignment="1">
      <alignment horizontal="center" vertical="center"/>
    </xf>
    <xf numFmtId="173" fontId="171" fillId="26" borderId="455" xfId="122" applyNumberFormat="1" applyFont="1" applyFill="1" applyBorder="1" applyAlignment="1">
      <alignment horizontal="center" vertical="center"/>
    </xf>
    <xf numFmtId="184" fontId="171" fillId="26" borderId="455" xfId="124" applyNumberFormat="1" applyFont="1" applyFill="1" applyBorder="1" applyAlignment="1">
      <alignment horizontal="center" vertical="center"/>
    </xf>
    <xf numFmtId="173" fontId="171" fillId="26" borderId="56" xfId="122" applyNumberFormat="1" applyFont="1" applyFill="1" applyBorder="1" applyAlignment="1">
      <alignment horizontal="left" vertical="center"/>
    </xf>
    <xf numFmtId="0" fontId="171" fillId="26" borderId="329" xfId="122" applyFont="1" applyFill="1" applyBorder="1" applyAlignment="1">
      <alignment horizontal="center"/>
    </xf>
    <xf numFmtId="173" fontId="171" fillId="26" borderId="56" xfId="124" applyNumberFormat="1" applyFont="1" applyFill="1" applyBorder="1" applyAlignment="1">
      <alignment horizontal="left" vertical="center" indent="7"/>
    </xf>
    <xf numFmtId="173" fontId="170" fillId="26" borderId="329" xfId="124" applyNumberFormat="1" applyFont="1" applyFill="1" applyBorder="1" applyAlignment="1">
      <alignment horizontal="center" vertical="center"/>
    </xf>
    <xf numFmtId="173" fontId="171" fillId="26" borderId="56" xfId="124" applyNumberFormat="1" applyFont="1" applyFill="1" applyBorder="1" applyAlignment="1">
      <alignment horizontal="left" indent="7"/>
    </xf>
    <xf numFmtId="176" fontId="361" fillId="26" borderId="455" xfId="124" applyNumberFormat="1" applyFont="1" applyFill="1" applyBorder="1" applyAlignment="1">
      <alignment horizontal="center"/>
    </xf>
    <xf numFmtId="170" fontId="171" fillId="26" borderId="329" xfId="124" applyNumberFormat="1" applyFont="1" applyFill="1" applyBorder="1" applyAlignment="1">
      <alignment horizontal="center" vertical="center"/>
    </xf>
    <xf numFmtId="0" fontId="171" fillId="26" borderId="56" xfId="124" applyFont="1" applyFill="1" applyBorder="1" applyAlignment="1">
      <alignment horizontal="left" indent="7"/>
    </xf>
    <xf numFmtId="4" fontId="171" fillId="26" borderId="329" xfId="124" applyNumberFormat="1" applyFont="1" applyFill="1" applyBorder="1" applyAlignment="1">
      <alignment horizontal="center"/>
    </xf>
    <xf numFmtId="171" fontId="171" fillId="26" borderId="329" xfId="149" applyNumberFormat="1" applyFont="1" applyFill="1" applyBorder="1" applyAlignment="1">
      <alignment horizontal="center" vertical="center"/>
    </xf>
    <xf numFmtId="176" fontId="171" fillId="26" borderId="455" xfId="124" applyNumberFormat="1" applyFont="1" applyFill="1" applyBorder="1" applyAlignment="1">
      <alignment horizontal="center"/>
    </xf>
    <xf numFmtId="0" fontId="170" fillId="0" borderId="90" xfId="124" applyFont="1" applyBorder="1"/>
    <xf numFmtId="4" fontId="171" fillId="0" borderId="329" xfId="124" applyNumberFormat="1" applyFont="1" applyBorder="1"/>
    <xf numFmtId="0" fontId="170" fillId="0" borderId="329" xfId="124" applyFont="1" applyBorder="1" applyAlignment="1">
      <alignment horizontal="center"/>
    </xf>
    <xf numFmtId="176" fontId="170" fillId="0" borderId="455" xfId="124" applyNumberFormat="1" applyFont="1" applyBorder="1" applyAlignment="1">
      <alignment horizontal="center"/>
    </xf>
    <xf numFmtId="173" fontId="171" fillId="26" borderId="56" xfId="122" applyNumberFormat="1" applyFont="1" applyFill="1" applyBorder="1" applyAlignment="1">
      <alignment horizontal="left" vertical="center" indent="6"/>
    </xf>
    <xf numFmtId="172" fontId="170" fillId="34" borderId="24" xfId="124" applyNumberFormat="1" applyFont="1" applyFill="1" applyBorder="1" applyAlignment="1">
      <alignment horizontal="center"/>
    </xf>
    <xf numFmtId="0" fontId="170" fillId="0" borderId="311" xfId="124" applyFont="1" applyBorder="1"/>
    <xf numFmtId="4" fontId="170" fillId="0" borderId="357" xfId="124" applyNumberFormat="1" applyFont="1" applyBorder="1"/>
    <xf numFmtId="0" fontId="170" fillId="0" borderId="357" xfId="124" applyFont="1" applyBorder="1" applyAlignment="1">
      <alignment horizontal="center"/>
    </xf>
    <xf numFmtId="171" fontId="170" fillId="0" borderId="357" xfId="149" applyNumberFormat="1" applyFont="1" applyFill="1" applyBorder="1" applyAlignment="1"/>
    <xf numFmtId="175" fontId="170" fillId="0" borderId="357" xfId="124" applyNumberFormat="1" applyFont="1" applyBorder="1" applyAlignment="1">
      <alignment horizontal="center"/>
    </xf>
    <xf numFmtId="3" fontId="170" fillId="0" borderId="482" xfId="124" applyNumberFormat="1" applyFont="1" applyBorder="1" applyAlignment="1">
      <alignment horizontal="center"/>
    </xf>
    <xf numFmtId="172" fontId="170" fillId="34" borderId="484" xfId="124" applyNumberFormat="1" applyFont="1" applyFill="1" applyBorder="1" applyAlignment="1">
      <alignment horizontal="center"/>
    </xf>
    <xf numFmtId="173" fontId="312" fillId="26" borderId="329" xfId="124" applyNumberFormat="1" applyFont="1" applyFill="1" applyBorder="1" applyAlignment="1">
      <alignment horizontal="center"/>
    </xf>
    <xf numFmtId="173" fontId="313" fillId="26" borderId="56" xfId="124" applyNumberFormat="1" applyFont="1" applyFill="1" applyBorder="1" applyAlignment="1">
      <alignment horizontal="left" vertical="center"/>
    </xf>
    <xf numFmtId="173" fontId="313" fillId="26" borderId="56" xfId="124" applyNumberFormat="1" applyFont="1" applyFill="1" applyBorder="1" applyAlignment="1">
      <alignment vertical="center"/>
    </xf>
    <xf numFmtId="173" fontId="312" fillId="26" borderId="329" xfId="124" applyNumberFormat="1" applyFont="1" applyFill="1" applyBorder="1" applyAlignment="1">
      <alignment horizontal="center" vertical="center"/>
    </xf>
    <xf numFmtId="173" fontId="313" fillId="26" borderId="329" xfId="124" applyNumberFormat="1" applyFont="1" applyFill="1" applyBorder="1" applyAlignment="1">
      <alignment horizontal="center" vertical="center"/>
    </xf>
    <xf numFmtId="170" fontId="312" fillId="26" borderId="329" xfId="124" applyNumberFormat="1" applyFont="1" applyFill="1" applyBorder="1" applyAlignment="1">
      <alignment horizontal="center" vertical="center"/>
    </xf>
    <xf numFmtId="173" fontId="149" fillId="26" borderId="56" xfId="124" applyNumberFormat="1" applyFont="1" applyFill="1" applyBorder="1" applyAlignment="1">
      <alignment horizontal="left"/>
    </xf>
    <xf numFmtId="10" fontId="149" fillId="26" borderId="292" xfId="149" applyNumberFormat="1" applyFont="1" applyFill="1" applyBorder="1" applyAlignment="1">
      <alignment horizontal="center"/>
    </xf>
    <xf numFmtId="228" fontId="149" fillId="26" borderId="292" xfId="918" applyNumberFormat="1" applyFont="1" applyFill="1" applyBorder="1" applyAlignment="1">
      <alignment horizontal="center"/>
    </xf>
    <xf numFmtId="3" fontId="149" fillId="26" borderId="437" xfId="57" applyNumberFormat="1" applyFont="1" applyFill="1" applyBorder="1" applyAlignment="1">
      <alignment horizontal="center"/>
    </xf>
    <xf numFmtId="173" fontId="149" fillId="26" borderId="56" xfId="124" applyNumberFormat="1" applyFont="1" applyFill="1" applyBorder="1" applyAlignment="1">
      <alignment horizontal="left" wrapText="1"/>
    </xf>
    <xf numFmtId="10" fontId="148" fillId="26" borderId="116" xfId="124" applyNumberFormat="1" applyFont="1" applyFill="1" applyBorder="1" applyAlignment="1">
      <alignment horizontal="center"/>
    </xf>
    <xf numFmtId="228" fontId="148" fillId="26" borderId="329" xfId="918" applyNumberFormat="1" applyFont="1" applyFill="1" applyBorder="1" applyAlignment="1" applyProtection="1">
      <protection locked="0"/>
    </xf>
    <xf numFmtId="178" fontId="148" fillId="26" borderId="466" xfId="57" applyNumberFormat="1" applyFont="1" applyFill="1" applyBorder="1" applyAlignment="1"/>
    <xf numFmtId="175" fontId="148" fillId="26" borderId="466" xfId="57" applyNumberFormat="1" applyFont="1" applyFill="1" applyBorder="1" applyAlignment="1">
      <alignment horizontal="center"/>
    </xf>
    <xf numFmtId="10" fontId="149" fillId="26" borderId="116" xfId="124" applyNumberFormat="1" applyFont="1" applyFill="1" applyBorder="1" applyAlignment="1">
      <alignment horizontal="center"/>
    </xf>
    <xf numFmtId="228" fontId="149" fillId="26" borderId="329" xfId="918" applyNumberFormat="1" applyFont="1" applyFill="1" applyBorder="1" applyAlignment="1" applyProtection="1">
      <protection locked="0"/>
    </xf>
    <xf numFmtId="175" fontId="149" fillId="34" borderId="466" xfId="124" applyNumberFormat="1" applyFont="1" applyFill="1" applyBorder="1" applyAlignment="1">
      <alignment horizontal="center"/>
    </xf>
    <xf numFmtId="0" fontId="148" fillId="26" borderId="56" xfId="124" applyFont="1" applyFill="1" applyBorder="1" applyAlignment="1">
      <alignment horizontal="left" wrapText="1"/>
    </xf>
    <xf numFmtId="176" fontId="148" fillId="26" borderId="329" xfId="918" applyNumberFormat="1" applyFont="1" applyFill="1" applyBorder="1" applyAlignment="1" applyProtection="1">
      <protection locked="0"/>
    </xf>
    <xf numFmtId="173" fontId="148" fillId="26" borderId="56" xfId="124" applyNumberFormat="1" applyFont="1" applyFill="1" applyBorder="1" applyAlignment="1">
      <alignment horizontal="left" wrapText="1"/>
    </xf>
    <xf numFmtId="173" fontId="148" fillId="26" borderId="56" xfId="124" applyNumberFormat="1" applyFont="1" applyFill="1" applyBorder="1" applyAlignment="1">
      <alignment horizontal="left" vertical="center" wrapText="1"/>
    </xf>
    <xf numFmtId="10" fontId="148" fillId="26" borderId="116" xfId="124" applyNumberFormat="1" applyFont="1" applyFill="1" applyBorder="1" applyAlignment="1">
      <alignment horizontal="center" vertical="center"/>
    </xf>
    <xf numFmtId="176" fontId="148" fillId="26" borderId="329" xfId="918" applyNumberFormat="1" applyFont="1" applyFill="1" applyBorder="1" applyAlignment="1" applyProtection="1">
      <alignment vertical="center"/>
      <protection locked="0"/>
    </xf>
    <xf numFmtId="176" fontId="148" fillId="26" borderId="329" xfId="918" applyNumberFormat="1" applyFont="1" applyFill="1" applyBorder="1" applyAlignment="1"/>
    <xf numFmtId="176" fontId="148" fillId="34" borderId="329" xfId="57" applyNumberFormat="1" applyFont="1" applyFill="1" applyBorder="1" applyAlignment="1"/>
    <xf numFmtId="10" fontId="148" fillId="26" borderId="0" xfId="124" applyNumberFormat="1" applyFont="1" applyFill="1" applyAlignment="1">
      <alignment horizontal="center"/>
    </xf>
    <xf numFmtId="0" fontId="148" fillId="26" borderId="56" xfId="124" applyFont="1" applyFill="1" applyBorder="1" applyAlignment="1">
      <alignment wrapText="1"/>
    </xf>
    <xf numFmtId="0" fontId="149" fillId="26" borderId="56" xfId="124" applyFont="1" applyFill="1" applyBorder="1" applyAlignment="1">
      <alignment horizontal="left" wrapText="1"/>
    </xf>
    <xf numFmtId="170" fontId="148" fillId="26" borderId="116" xfId="124" applyNumberFormat="1" applyFont="1" applyFill="1" applyBorder="1" applyAlignment="1">
      <alignment horizontal="center"/>
    </xf>
    <xf numFmtId="0" fontId="146" fillId="26" borderId="56" xfId="124" applyFont="1" applyFill="1" applyBorder="1" applyAlignment="1">
      <alignment horizontal="left" wrapText="1"/>
    </xf>
    <xf numFmtId="10" fontId="148" fillId="26" borderId="0" xfId="124" applyNumberFormat="1" applyFont="1" applyFill="1" applyAlignment="1">
      <alignment horizontal="center" vertical="center"/>
    </xf>
    <xf numFmtId="0" fontId="148" fillId="0" borderId="311" xfId="124" applyFont="1" applyBorder="1" applyAlignment="1">
      <alignment horizontal="left" wrapText="1"/>
    </xf>
    <xf numFmtId="0" fontId="148" fillId="0" borderId="289" xfId="124" applyFont="1" applyBorder="1" applyAlignment="1">
      <alignment horizontal="center"/>
    </xf>
    <xf numFmtId="10" fontId="148" fillId="0" borderId="322" xfId="149" applyNumberFormat="1" applyFont="1" applyFill="1" applyBorder="1" applyAlignment="1">
      <alignment horizontal="center"/>
    </xf>
    <xf numFmtId="170" fontId="148" fillId="26" borderId="289" xfId="124" applyNumberFormat="1" applyFont="1" applyFill="1" applyBorder="1" applyAlignment="1">
      <alignment horizontal="center"/>
    </xf>
    <xf numFmtId="175" fontId="148" fillId="34" borderId="482" xfId="124" applyNumberFormat="1" applyFont="1" applyFill="1" applyBorder="1" applyAlignment="1">
      <alignment horizontal="center"/>
    </xf>
    <xf numFmtId="173" fontId="331" fillId="26" borderId="292" xfId="124" applyNumberFormat="1" applyFont="1" applyFill="1" applyBorder="1" applyAlignment="1">
      <alignment horizontal="center"/>
    </xf>
    <xf numFmtId="0" fontId="332" fillId="0" borderId="0" xfId="124" applyFont="1" applyAlignment="1">
      <alignment horizontal="center"/>
    </xf>
    <xf numFmtId="175" fontId="155" fillId="34" borderId="466" xfId="124" applyNumberFormat="1" applyFont="1" applyFill="1" applyBorder="1" applyAlignment="1">
      <alignment horizontal="center"/>
    </xf>
    <xf numFmtId="175" fontId="155" fillId="34" borderId="455" xfId="124" applyNumberFormat="1" applyFont="1" applyFill="1" applyBorder="1" applyAlignment="1">
      <alignment horizontal="center"/>
    </xf>
    <xf numFmtId="173" fontId="148" fillId="26" borderId="292" xfId="124" applyNumberFormat="1" applyFont="1" applyFill="1" applyBorder="1" applyAlignment="1">
      <alignment horizontal="center"/>
    </xf>
    <xf numFmtId="175" fontId="148" fillId="34" borderId="480" xfId="124" applyNumberFormat="1" applyFont="1" applyFill="1" applyBorder="1" applyAlignment="1">
      <alignment horizontal="center"/>
    </xf>
    <xf numFmtId="0" fontId="148" fillId="26" borderId="90" xfId="124" applyFont="1" applyFill="1" applyBorder="1" applyAlignment="1">
      <alignment horizontal="left" indent="8"/>
    </xf>
    <xf numFmtId="4" fontId="148" fillId="26" borderId="329" xfId="124" applyNumberFormat="1" applyFont="1" applyFill="1" applyBorder="1" applyAlignment="1">
      <alignment horizontal="center"/>
    </xf>
    <xf numFmtId="173" fontId="148" fillId="26" borderId="90" xfId="124" applyNumberFormat="1" applyFont="1" applyFill="1" applyBorder="1" applyAlignment="1">
      <alignment horizontal="left" indent="8"/>
    </xf>
    <xf numFmtId="17" fontId="148" fillId="26" borderId="329" xfId="124" applyNumberFormat="1" applyFont="1" applyFill="1" applyBorder="1" applyAlignment="1">
      <alignment horizontal="center"/>
    </xf>
    <xf numFmtId="173" fontId="148" fillId="26" borderId="308" xfId="124" applyNumberFormat="1" applyFont="1" applyFill="1" applyBorder="1" applyAlignment="1">
      <alignment horizontal="left" indent="6"/>
    </xf>
    <xf numFmtId="173" fontId="148" fillId="26" borderId="289" xfId="124" applyNumberFormat="1" applyFont="1" applyFill="1" applyBorder="1" applyAlignment="1">
      <alignment horizontal="center"/>
    </xf>
    <xf numFmtId="173" fontId="148" fillId="26" borderId="289" xfId="124" applyNumberFormat="1" applyFont="1" applyFill="1" applyBorder="1" applyAlignment="1">
      <alignment horizontal="center" vertical="center"/>
    </xf>
    <xf numFmtId="10" fontId="148" fillId="26" borderId="289" xfId="124" applyNumberFormat="1" applyFont="1" applyFill="1" applyBorder="1" applyAlignment="1">
      <alignment horizontal="center" vertical="center"/>
    </xf>
    <xf numFmtId="170" fontId="148" fillId="26" borderId="289" xfId="124" applyNumberFormat="1" applyFont="1" applyFill="1" applyBorder="1" applyAlignment="1">
      <alignment horizontal="center" vertical="center"/>
    </xf>
    <xf numFmtId="5" fontId="148" fillId="26" borderId="357" xfId="57" applyNumberFormat="1" applyFont="1" applyFill="1" applyBorder="1" applyAlignment="1">
      <alignment horizontal="center"/>
    </xf>
    <xf numFmtId="5" fontId="148" fillId="26" borderId="491" xfId="57" applyNumberFormat="1" applyFont="1" applyFill="1" applyBorder="1" applyAlignment="1">
      <alignment horizontal="center" vertical="center"/>
    </xf>
    <xf numFmtId="173" fontId="155" fillId="34" borderId="90" xfId="124" applyNumberFormat="1" applyFont="1" applyFill="1" applyBorder="1" applyAlignment="1">
      <alignment horizontal="left" indent="8"/>
    </xf>
    <xf numFmtId="173" fontId="155" fillId="34" borderId="292" xfId="124" applyNumberFormat="1" applyFont="1" applyFill="1" applyBorder="1" applyAlignment="1">
      <alignment horizontal="center"/>
    </xf>
    <xf numFmtId="173" fontId="155" fillId="34" borderId="329" xfId="124" applyNumberFormat="1" applyFont="1" applyFill="1" applyBorder="1" applyAlignment="1">
      <alignment horizontal="center"/>
    </xf>
    <xf numFmtId="10" fontId="155" fillId="34" borderId="116" xfId="124" applyNumberFormat="1" applyFont="1" applyFill="1" applyBorder="1" applyAlignment="1">
      <alignment horizontal="center"/>
    </xf>
    <xf numFmtId="170" fontId="155" fillId="34" borderId="329" xfId="124" applyNumberFormat="1" applyFont="1" applyFill="1" applyBorder="1" applyAlignment="1">
      <alignment horizontal="center"/>
    </xf>
    <xf numFmtId="175" fontId="155" fillId="34" borderId="0" xfId="124" applyNumberFormat="1" applyFont="1" applyFill="1" applyAlignment="1">
      <alignment horizontal="center"/>
    </xf>
    <xf numFmtId="173" fontId="155" fillId="34" borderId="90" xfId="124" applyNumberFormat="1" applyFont="1" applyFill="1" applyBorder="1" applyAlignment="1">
      <alignment horizontal="left" vertical="center" indent="8"/>
    </xf>
    <xf numFmtId="173" fontId="155" fillId="34" borderId="329" xfId="124" applyNumberFormat="1" applyFont="1" applyFill="1" applyBorder="1" applyAlignment="1">
      <alignment horizontal="center" vertical="center"/>
    </xf>
    <xf numFmtId="10" fontId="155" fillId="34" borderId="116" xfId="124" applyNumberFormat="1" applyFont="1" applyFill="1" applyBorder="1" applyAlignment="1">
      <alignment horizontal="center" vertical="center"/>
    </xf>
    <xf numFmtId="170" fontId="155" fillId="34" borderId="329" xfId="124" applyNumberFormat="1" applyFont="1" applyFill="1" applyBorder="1" applyAlignment="1">
      <alignment horizontal="center" vertical="center"/>
    </xf>
    <xf numFmtId="173" fontId="155" fillId="34" borderId="455" xfId="124" applyNumberFormat="1" applyFont="1" applyFill="1" applyBorder="1" applyAlignment="1">
      <alignment horizontal="center"/>
    </xf>
    <xf numFmtId="170" fontId="155" fillId="34" borderId="455" xfId="124" applyNumberFormat="1" applyFont="1" applyFill="1" applyBorder="1" applyAlignment="1">
      <alignment horizontal="center"/>
    </xf>
    <xf numFmtId="173" fontId="155" fillId="34" borderId="308" xfId="124" applyNumberFormat="1" applyFont="1" applyFill="1" applyBorder="1" applyAlignment="1">
      <alignment horizontal="left" indent="6"/>
    </xf>
    <xf numFmtId="173" fontId="155" fillId="34" borderId="289" xfId="124" applyNumberFormat="1" applyFont="1" applyFill="1" applyBorder="1" applyAlignment="1">
      <alignment horizontal="center"/>
    </xf>
    <xf numFmtId="10" fontId="155" fillId="34" borderId="323" xfId="124" applyNumberFormat="1" applyFont="1" applyFill="1" applyBorder="1" applyAlignment="1">
      <alignment horizontal="center"/>
    </xf>
    <xf numFmtId="170" fontId="155" fillId="34" borderId="289" xfId="124" applyNumberFormat="1" applyFont="1" applyFill="1" applyBorder="1" applyAlignment="1">
      <alignment horizontal="center"/>
    </xf>
    <xf numFmtId="228" fontId="155" fillId="34" borderId="482" xfId="124" applyNumberFormat="1" applyFont="1" applyFill="1" applyBorder="1" applyAlignment="1" applyProtection="1">
      <alignment horizontal="center"/>
      <protection locked="0"/>
    </xf>
    <xf numFmtId="228" fontId="155" fillId="34" borderId="491" xfId="57" applyNumberFormat="1" applyFont="1" applyFill="1" applyBorder="1" applyAlignment="1">
      <alignment horizontal="center"/>
    </xf>
    <xf numFmtId="173" fontId="149" fillId="26" borderId="90" xfId="124" applyNumberFormat="1" applyFont="1" applyFill="1" applyBorder="1" applyAlignment="1">
      <alignment horizontal="left" indent="3"/>
    </xf>
    <xf numFmtId="173" fontId="149" fillId="26" borderId="90" xfId="124" applyNumberFormat="1" applyFont="1" applyFill="1" applyBorder="1" applyAlignment="1">
      <alignment horizontal="left" indent="6"/>
    </xf>
    <xf numFmtId="173" fontId="148" fillId="26" borderId="90" xfId="124" applyNumberFormat="1" applyFont="1" applyFill="1" applyBorder="1" applyAlignment="1">
      <alignment horizontal="left" indent="7"/>
    </xf>
    <xf numFmtId="173" fontId="148" fillId="26" borderId="90" xfId="124" applyNumberFormat="1" applyFont="1" applyFill="1" applyBorder="1" applyAlignment="1">
      <alignment horizontal="left" indent="6"/>
    </xf>
    <xf numFmtId="173" fontId="148" fillId="26" borderId="90" xfId="124" applyNumberFormat="1" applyFont="1" applyFill="1" applyBorder="1" applyAlignment="1">
      <alignment horizontal="left" vertical="center" indent="6"/>
    </xf>
    <xf numFmtId="0" fontId="148" fillId="26" borderId="56" xfId="124" applyFont="1" applyFill="1" applyBorder="1" applyAlignment="1">
      <alignment horizontal="left" indent="6"/>
    </xf>
    <xf numFmtId="10" fontId="148" fillId="26" borderId="116" xfId="149" applyNumberFormat="1" applyFont="1" applyFill="1" applyBorder="1" applyAlignment="1">
      <alignment horizontal="center"/>
    </xf>
    <xf numFmtId="173" fontId="149" fillId="26" borderId="90" xfId="124" applyNumberFormat="1" applyFont="1" applyFill="1" applyBorder="1" applyAlignment="1">
      <alignment horizontal="left" indent="2"/>
    </xf>
    <xf numFmtId="3" fontId="148" fillId="26" borderId="455" xfId="57" applyNumberFormat="1" applyFont="1" applyFill="1" applyBorder="1" applyAlignment="1">
      <alignment horizontal="center"/>
    </xf>
    <xf numFmtId="228" fontId="148" fillId="26" borderId="466" xfId="57" applyNumberFormat="1" applyFont="1" applyFill="1" applyBorder="1" applyAlignment="1">
      <alignment horizontal="center"/>
    </xf>
    <xf numFmtId="10" fontId="148" fillId="26" borderId="323" xfId="124" applyNumberFormat="1" applyFont="1" applyFill="1" applyBorder="1" applyAlignment="1">
      <alignment horizontal="center"/>
    </xf>
    <xf numFmtId="228" fontId="148" fillId="26" borderId="482" xfId="124" applyNumberFormat="1" applyFont="1" applyFill="1" applyBorder="1" applyAlignment="1" applyProtection="1">
      <alignment horizontal="center"/>
      <protection locked="0"/>
    </xf>
    <xf numFmtId="228" fontId="148" fillId="26" borderId="327" xfId="57" applyNumberFormat="1" applyFont="1" applyFill="1" applyBorder="1" applyAlignment="1">
      <alignment horizontal="center"/>
    </xf>
    <xf numFmtId="0" fontId="148" fillId="0" borderId="0" xfId="124" applyFont="1" applyAlignment="1">
      <alignment horizontal="left"/>
    </xf>
    <xf numFmtId="3" fontId="148" fillId="0" borderId="0" xfId="124" applyNumberFormat="1" applyFont="1" applyAlignment="1">
      <alignment horizontal="center"/>
    </xf>
    <xf numFmtId="173" fontId="362" fillId="26" borderId="329" xfId="124" applyNumberFormat="1" applyFont="1" applyFill="1" applyBorder="1" applyAlignment="1">
      <alignment horizontal="center"/>
    </xf>
    <xf numFmtId="173" fontId="363" fillId="26" borderId="329" xfId="124" applyNumberFormat="1" applyFont="1" applyFill="1" applyBorder="1" applyAlignment="1">
      <alignment horizontal="center"/>
    </xf>
    <xf numFmtId="173" fontId="362" fillId="26" borderId="329" xfId="124" applyNumberFormat="1" applyFont="1" applyFill="1" applyBorder="1" applyAlignment="1">
      <alignment horizontal="center" vertical="center"/>
    </xf>
    <xf numFmtId="0" fontId="362" fillId="26" borderId="329" xfId="124" applyFont="1" applyFill="1" applyBorder="1"/>
    <xf numFmtId="0" fontId="362" fillId="26" borderId="329" xfId="2882" applyNumberFormat="1" applyFont="1" applyFill="1" applyBorder="1" applyAlignment="1">
      <alignment horizontal="center"/>
    </xf>
    <xf numFmtId="173" fontId="152" fillId="34" borderId="294" xfId="124" applyNumberFormat="1" applyFont="1" applyFill="1" applyBorder="1" applyAlignment="1">
      <alignment horizontal="left" indent="6"/>
    </xf>
    <xf numFmtId="173" fontId="152" fillId="34" borderId="292" xfId="124" applyNumberFormat="1" applyFont="1" applyFill="1" applyBorder="1" applyAlignment="1">
      <alignment horizontal="center"/>
    </xf>
    <xf numFmtId="10" fontId="152" fillId="34" borderId="329" xfId="124" applyNumberFormat="1" applyFont="1" applyFill="1" applyBorder="1" applyAlignment="1">
      <alignment horizontal="center"/>
    </xf>
    <xf numFmtId="170" fontId="152" fillId="34" borderId="292" xfId="124" applyNumberFormat="1" applyFont="1" applyFill="1" applyBorder="1" applyAlignment="1">
      <alignment horizontal="center"/>
    </xf>
    <xf numFmtId="228" fontId="152" fillId="34" borderId="396" xfId="57" applyNumberFormat="1" applyFont="1" applyFill="1" applyBorder="1" applyAlignment="1"/>
    <xf numFmtId="228" fontId="152" fillId="34" borderId="409" xfId="57" applyNumberFormat="1" applyFont="1" applyFill="1" applyBorder="1" applyAlignment="1">
      <alignment horizontal="center"/>
    </xf>
    <xf numFmtId="173" fontId="155" fillId="34" borderId="56" xfId="124" applyNumberFormat="1" applyFont="1" applyFill="1" applyBorder="1" applyAlignment="1">
      <alignment horizontal="left" indent="8"/>
    </xf>
    <xf numFmtId="10" fontId="155" fillId="34" borderId="329" xfId="124" applyNumberFormat="1" applyFont="1" applyFill="1" applyBorder="1" applyAlignment="1">
      <alignment horizontal="center"/>
    </xf>
    <xf numFmtId="175" fontId="155" fillId="34" borderId="24" xfId="124" applyNumberFormat="1" applyFont="1" applyFill="1" applyBorder="1" applyAlignment="1">
      <alignment horizontal="center"/>
    </xf>
    <xf numFmtId="0" fontId="155" fillId="34" borderId="56" xfId="124" applyFont="1" applyFill="1" applyBorder="1" applyAlignment="1">
      <alignment horizontal="left" indent="8"/>
    </xf>
    <xf numFmtId="0" fontId="155" fillId="34" borderId="329" xfId="124" applyFont="1" applyFill="1" applyBorder="1" applyAlignment="1">
      <alignment horizontal="center"/>
    </xf>
    <xf numFmtId="1" fontId="155" fillId="34" borderId="329" xfId="918" applyNumberFormat="1" applyFont="1" applyFill="1" applyBorder="1" applyAlignment="1">
      <alignment horizontal="center"/>
    </xf>
    <xf numFmtId="1" fontId="155" fillId="34" borderId="329" xfId="124" applyNumberFormat="1" applyFont="1" applyFill="1" applyBorder="1" applyAlignment="1">
      <alignment horizontal="center"/>
    </xf>
    <xf numFmtId="173" fontId="155" fillId="34" borderId="56" xfId="124" applyNumberFormat="1" applyFont="1" applyFill="1" applyBorder="1" applyAlignment="1">
      <alignment horizontal="left"/>
    </xf>
    <xf numFmtId="173" fontId="152" fillId="34" borderId="56" xfId="124" applyNumberFormat="1" applyFont="1" applyFill="1" applyBorder="1" applyAlignment="1">
      <alignment horizontal="left" indent="6"/>
    </xf>
    <xf numFmtId="1" fontId="152" fillId="34" borderId="329" xfId="124" applyNumberFormat="1" applyFont="1" applyFill="1" applyBorder="1" applyAlignment="1">
      <alignment horizontal="center"/>
    </xf>
    <xf numFmtId="173" fontId="152" fillId="34" borderId="329" xfId="124" applyNumberFormat="1" applyFont="1" applyFill="1" applyBorder="1" applyAlignment="1">
      <alignment horizontal="center"/>
    </xf>
    <xf numFmtId="170" fontId="152" fillId="34" borderId="329" xfId="124" applyNumberFormat="1" applyFont="1" applyFill="1" applyBorder="1" applyAlignment="1">
      <alignment horizontal="center"/>
    </xf>
    <xf numFmtId="173" fontId="152" fillId="34" borderId="56" xfId="124" applyNumberFormat="1" applyFont="1" applyFill="1" applyBorder="1"/>
    <xf numFmtId="173" fontId="155" fillId="34" borderId="56" xfId="124" applyNumberFormat="1" applyFont="1" applyFill="1" applyBorder="1"/>
    <xf numFmtId="170" fontId="152" fillId="34" borderId="329" xfId="124" applyNumberFormat="1" applyFont="1" applyFill="1" applyBorder="1" applyAlignment="1">
      <alignment horizontal="center" vertical="center"/>
    </xf>
    <xf numFmtId="173" fontId="155" fillId="34" borderId="56" xfId="124" applyNumberFormat="1" applyFont="1" applyFill="1" applyBorder="1" applyAlignment="1">
      <alignment horizontal="left" indent="6"/>
    </xf>
    <xf numFmtId="173" fontId="152" fillId="34" borderId="56" xfId="124" applyNumberFormat="1" applyFont="1" applyFill="1" applyBorder="1" applyAlignment="1">
      <alignment horizontal="left" indent="5"/>
    </xf>
    <xf numFmtId="173" fontId="155" fillId="34" borderId="56" xfId="124" applyNumberFormat="1" applyFont="1" applyFill="1" applyBorder="1" applyAlignment="1">
      <alignment horizontal="left" indent="7"/>
    </xf>
    <xf numFmtId="173" fontId="155" fillId="34" borderId="56" xfId="124" applyNumberFormat="1" applyFont="1" applyFill="1" applyBorder="1" applyAlignment="1">
      <alignment horizontal="left" vertical="center" indent="7"/>
    </xf>
    <xf numFmtId="1" fontId="155" fillId="34" borderId="329" xfId="124" applyNumberFormat="1" applyFont="1" applyFill="1" applyBorder="1" applyAlignment="1">
      <alignment horizontal="center" vertical="center"/>
    </xf>
    <xf numFmtId="1" fontId="155" fillId="34" borderId="455" xfId="124" applyNumberFormat="1" applyFont="1" applyFill="1" applyBorder="1" applyAlignment="1">
      <alignment horizontal="center" vertical="center"/>
    </xf>
    <xf numFmtId="173" fontId="155" fillId="34" borderId="455" xfId="124" applyNumberFormat="1" applyFont="1" applyFill="1" applyBorder="1" applyAlignment="1">
      <alignment horizontal="center" vertical="center"/>
    </xf>
    <xf numFmtId="10" fontId="155" fillId="34" borderId="455" xfId="124" applyNumberFormat="1" applyFont="1" applyFill="1" applyBorder="1" applyAlignment="1">
      <alignment horizontal="center"/>
    </xf>
    <xf numFmtId="170" fontId="155" fillId="34" borderId="455" xfId="124" applyNumberFormat="1" applyFont="1" applyFill="1" applyBorder="1" applyAlignment="1">
      <alignment horizontal="center" vertical="center"/>
    </xf>
    <xf numFmtId="173" fontId="152" fillId="34" borderId="56" xfId="124" applyNumberFormat="1" applyFont="1" applyFill="1" applyBorder="1" applyAlignment="1">
      <alignment horizontal="left" vertical="center" indent="6"/>
    </xf>
    <xf numFmtId="0" fontId="155" fillId="34" borderId="329" xfId="124" applyFont="1" applyFill="1" applyBorder="1" applyAlignment="1">
      <alignment horizontal="center" vertical="center"/>
    </xf>
    <xf numFmtId="0" fontId="152" fillId="34" borderId="329" xfId="124" applyFont="1" applyFill="1" applyBorder="1" applyAlignment="1">
      <alignment horizontal="center" vertical="center"/>
    </xf>
    <xf numFmtId="173" fontId="152" fillId="34" borderId="329" xfId="124" applyNumberFormat="1" applyFont="1" applyFill="1" applyBorder="1" applyAlignment="1">
      <alignment horizontal="center" vertical="center"/>
    </xf>
    <xf numFmtId="173" fontId="155" fillId="34" borderId="56" xfId="124" applyNumberFormat="1" applyFont="1" applyFill="1" applyBorder="1" applyAlignment="1">
      <alignment horizontal="left" vertical="center"/>
    </xf>
    <xf numFmtId="173" fontId="155" fillId="34" borderId="56" xfId="124" applyNumberFormat="1" applyFont="1" applyFill="1" applyBorder="1" applyAlignment="1">
      <alignment horizontal="left" vertical="center" indent="8"/>
    </xf>
    <xf numFmtId="173" fontId="155" fillId="34" borderId="56" xfId="124" applyNumberFormat="1" applyFont="1" applyFill="1" applyBorder="1" applyAlignment="1">
      <alignment horizontal="left" vertical="justify" indent="8"/>
    </xf>
    <xf numFmtId="173" fontId="155" fillId="34" borderId="56" xfId="124" quotePrefix="1" applyNumberFormat="1" applyFont="1" applyFill="1" applyBorder="1" applyAlignment="1">
      <alignment horizontal="left" vertical="justify" indent="8"/>
    </xf>
    <xf numFmtId="173" fontId="155" fillId="34" borderId="90" xfId="124" quotePrefix="1" applyNumberFormat="1" applyFont="1" applyFill="1" applyBorder="1" applyAlignment="1">
      <alignment horizontal="left" vertical="center" indent="8"/>
    </xf>
    <xf numFmtId="173" fontId="155" fillId="34" borderId="308" xfId="124" applyNumberFormat="1" applyFont="1" applyFill="1" applyBorder="1" applyAlignment="1">
      <alignment horizontal="left" vertical="center" indent="8"/>
    </xf>
    <xf numFmtId="0" fontId="155" fillId="34" borderId="357" xfId="124" applyFont="1" applyFill="1" applyBorder="1" applyAlignment="1">
      <alignment horizontal="center" vertical="center"/>
    </xf>
    <xf numFmtId="173" fontId="155" fillId="34" borderId="357" xfId="124" applyNumberFormat="1" applyFont="1" applyFill="1" applyBorder="1" applyAlignment="1">
      <alignment horizontal="center" vertical="center"/>
    </xf>
    <xf numFmtId="10" fontId="155" fillId="34" borderId="357" xfId="124" applyNumberFormat="1" applyFont="1" applyFill="1" applyBorder="1" applyAlignment="1">
      <alignment horizontal="center"/>
    </xf>
    <xf numFmtId="170" fontId="155" fillId="34" borderId="357" xfId="124" applyNumberFormat="1" applyFont="1" applyFill="1" applyBorder="1" applyAlignment="1">
      <alignment horizontal="center" vertical="center"/>
    </xf>
    <xf numFmtId="164" fontId="155" fillId="34" borderId="482" xfId="57" applyNumberFormat="1" applyFont="1" applyFill="1" applyBorder="1" applyAlignment="1"/>
    <xf numFmtId="228" fontId="155" fillId="34" borderId="484" xfId="57" applyNumberFormat="1" applyFont="1" applyFill="1" applyBorder="1" applyAlignment="1">
      <alignment horizontal="center" vertical="center"/>
    </xf>
    <xf numFmtId="173" fontId="261" fillId="26" borderId="56" xfId="124" applyNumberFormat="1" applyFont="1" applyFill="1" applyBorder="1" applyAlignment="1">
      <alignment horizontal="left" vertical="center" indent="7"/>
    </xf>
    <xf numFmtId="0" fontId="261" fillId="26" borderId="455" xfId="124" applyFont="1" applyFill="1" applyBorder="1" applyAlignment="1">
      <alignment horizontal="center" vertical="center"/>
    </xf>
    <xf numFmtId="173" fontId="261" fillId="26" borderId="455" xfId="124" applyNumberFormat="1" applyFont="1" applyFill="1" applyBorder="1" applyAlignment="1">
      <alignment horizontal="center" vertical="center"/>
    </xf>
    <xf numFmtId="10" fontId="261" fillId="26" borderId="455" xfId="124" applyNumberFormat="1" applyFont="1" applyFill="1" applyBorder="1" applyAlignment="1">
      <alignment horizontal="center" vertical="center"/>
    </xf>
    <xf numFmtId="170" fontId="261" fillId="26" borderId="455" xfId="124" applyNumberFormat="1" applyFont="1" applyFill="1" applyBorder="1" applyAlignment="1">
      <alignment horizontal="center" vertical="center"/>
    </xf>
    <xf numFmtId="175" fontId="261" fillId="34" borderId="455" xfId="124" applyNumberFormat="1" applyFont="1" applyFill="1" applyBorder="1" applyAlignment="1">
      <alignment horizontal="center"/>
    </xf>
    <xf numFmtId="175" fontId="261" fillId="34" borderId="466" xfId="124" applyNumberFormat="1" applyFont="1" applyFill="1" applyBorder="1" applyAlignment="1">
      <alignment horizontal="center"/>
    </xf>
    <xf numFmtId="0" fontId="261" fillId="26" borderId="56" xfId="124" applyFont="1" applyFill="1" applyBorder="1" applyAlignment="1">
      <alignment horizontal="left" indent="7"/>
    </xf>
    <xf numFmtId="173" fontId="261" fillId="26" borderId="56" xfId="124" applyNumberFormat="1" applyFont="1" applyFill="1" applyBorder="1" applyAlignment="1">
      <alignment horizontal="left" indent="7"/>
    </xf>
    <xf numFmtId="173" fontId="261" fillId="26" borderId="455" xfId="124" applyNumberFormat="1" applyFont="1" applyFill="1" applyBorder="1" applyAlignment="1">
      <alignment horizontal="center"/>
    </xf>
    <xf numFmtId="10" fontId="261" fillId="26" borderId="455" xfId="124" applyNumberFormat="1" applyFont="1" applyFill="1" applyBorder="1" applyAlignment="1">
      <alignment horizontal="center"/>
    </xf>
    <xf numFmtId="170" fontId="261" fillId="26" borderId="455" xfId="124" applyNumberFormat="1" applyFont="1" applyFill="1" applyBorder="1" applyAlignment="1">
      <alignment horizontal="center"/>
    </xf>
    <xf numFmtId="0" fontId="261" fillId="0" borderId="455" xfId="2882" applyNumberFormat="1" applyFont="1" applyFill="1" applyBorder="1" applyAlignment="1">
      <alignment horizontal="center" vertical="center"/>
    </xf>
    <xf numFmtId="173" fontId="261" fillId="26" borderId="90" xfId="124" applyNumberFormat="1" applyFont="1" applyFill="1" applyBorder="1" applyAlignment="1">
      <alignment horizontal="left" vertical="center" indent="7"/>
    </xf>
    <xf numFmtId="173" fontId="260" fillId="26" borderId="90" xfId="124" applyNumberFormat="1" applyFont="1" applyFill="1" applyBorder="1" applyAlignment="1">
      <alignment horizontal="left" vertical="center" indent="5"/>
    </xf>
    <xf numFmtId="173" fontId="261" fillId="26" borderId="90" xfId="124" applyNumberFormat="1" applyFont="1" applyFill="1" applyBorder="1" applyAlignment="1">
      <alignment horizontal="left" vertical="center"/>
    </xf>
    <xf numFmtId="173" fontId="260" fillId="26" borderId="90" xfId="124" applyNumberFormat="1" applyFont="1" applyFill="1" applyBorder="1" applyAlignment="1">
      <alignment horizontal="left" vertical="center"/>
    </xf>
    <xf numFmtId="0" fontId="260" fillId="0" borderId="90" xfId="124" applyFont="1" applyBorder="1" applyAlignment="1">
      <alignment horizontal="left" indent="4"/>
    </xf>
    <xf numFmtId="0" fontId="260" fillId="26" borderId="455" xfId="124" applyFont="1" applyFill="1" applyBorder="1" applyAlignment="1">
      <alignment horizontal="center" vertical="center"/>
    </xf>
    <xf numFmtId="0" fontId="260" fillId="26" borderId="455" xfId="124" applyFont="1" applyFill="1" applyBorder="1" applyAlignment="1">
      <alignment horizontal="center"/>
    </xf>
    <xf numFmtId="171" fontId="260" fillId="26" borderId="455" xfId="124" applyNumberFormat="1" applyFont="1" applyFill="1" applyBorder="1"/>
    <xf numFmtId="175" fontId="260" fillId="26" borderId="455" xfId="124" applyNumberFormat="1" applyFont="1" applyFill="1" applyBorder="1"/>
    <xf numFmtId="171" fontId="261" fillId="26" borderId="455" xfId="124" applyNumberFormat="1" applyFont="1" applyFill="1" applyBorder="1" applyAlignment="1">
      <alignment horizontal="center"/>
    </xf>
    <xf numFmtId="0" fontId="261" fillId="34" borderId="90" xfId="122" applyFont="1" applyFill="1" applyBorder="1" applyAlignment="1">
      <alignment horizontal="left" indent="7"/>
    </xf>
    <xf numFmtId="10" fontId="261" fillId="34" borderId="455" xfId="124" applyNumberFormat="1" applyFont="1" applyFill="1" applyBorder="1" applyAlignment="1">
      <alignment horizontal="center" vertical="center"/>
    </xf>
    <xf numFmtId="170" fontId="261" fillId="34" borderId="455" xfId="124" applyNumberFormat="1" applyFont="1" applyFill="1" applyBorder="1" applyAlignment="1">
      <alignment horizontal="center" vertical="center"/>
    </xf>
    <xf numFmtId="0" fontId="261" fillId="34" borderId="90" xfId="124" applyFont="1" applyFill="1" applyBorder="1" applyAlignment="1">
      <alignment horizontal="left" indent="7"/>
    </xf>
    <xf numFmtId="0" fontId="261" fillId="34" borderId="455" xfId="124" applyFont="1" applyFill="1" applyBorder="1" applyAlignment="1">
      <alignment horizontal="center" vertical="center"/>
    </xf>
    <xf numFmtId="0" fontId="261" fillId="34" borderId="455" xfId="124" applyFont="1" applyFill="1" applyBorder="1" applyAlignment="1">
      <alignment horizontal="center"/>
    </xf>
    <xf numFmtId="171" fontId="261" fillId="34" borderId="455" xfId="124" applyNumberFormat="1" applyFont="1" applyFill="1" applyBorder="1"/>
    <xf numFmtId="175" fontId="261" fillId="34" borderId="455" xfId="124" applyNumberFormat="1" applyFont="1" applyFill="1" applyBorder="1"/>
    <xf numFmtId="171" fontId="261" fillId="34" borderId="455" xfId="124" applyNumberFormat="1" applyFont="1" applyFill="1" applyBorder="1" applyAlignment="1">
      <alignment horizontal="center"/>
    </xf>
    <xf numFmtId="0" fontId="261" fillId="34" borderId="56" xfId="124" applyFont="1" applyFill="1" applyBorder="1" applyAlignment="1">
      <alignment horizontal="left" indent="7"/>
    </xf>
    <xf numFmtId="0" fontId="261" fillId="34" borderId="311" xfId="124" applyFont="1" applyFill="1" applyBorder="1"/>
    <xf numFmtId="0" fontId="261" fillId="34" borderId="357" xfId="124" applyFont="1" applyFill="1" applyBorder="1" applyAlignment="1">
      <alignment horizontal="center"/>
    </xf>
    <xf numFmtId="10" fontId="261" fillId="34" borderId="357" xfId="124" applyNumberFormat="1" applyFont="1" applyFill="1" applyBorder="1" applyAlignment="1">
      <alignment horizontal="center" vertical="center"/>
    </xf>
    <xf numFmtId="170" fontId="261" fillId="34" borderId="357" xfId="124" applyNumberFormat="1" applyFont="1" applyFill="1" applyBorder="1" applyAlignment="1">
      <alignment horizontal="center" vertical="center"/>
    </xf>
    <xf numFmtId="166" fontId="261" fillId="34" borderId="482" xfId="2882" applyFont="1" applyFill="1" applyBorder="1" applyAlignment="1">
      <alignment horizontal="center"/>
    </xf>
    <xf numFmtId="3" fontId="261" fillId="34" borderId="491" xfId="57" applyNumberFormat="1" applyFont="1" applyFill="1" applyBorder="1" applyAlignment="1">
      <alignment horizontal="center"/>
    </xf>
    <xf numFmtId="173" fontId="312" fillId="26" borderId="293" xfId="124" applyNumberFormat="1" applyFont="1" applyFill="1" applyBorder="1"/>
    <xf numFmtId="173" fontId="312" fillId="0" borderId="329" xfId="124" applyNumberFormat="1" applyFont="1" applyBorder="1" applyAlignment="1">
      <alignment horizontal="center"/>
    </xf>
    <xf numFmtId="171" fontId="312" fillId="0" borderId="329" xfId="124" applyNumberFormat="1" applyFont="1" applyBorder="1" applyAlignment="1">
      <alignment horizontal="center"/>
    </xf>
    <xf numFmtId="175" fontId="312" fillId="0" borderId="329" xfId="124" applyNumberFormat="1" applyFont="1" applyBorder="1" applyAlignment="1">
      <alignment horizontal="center"/>
    </xf>
    <xf numFmtId="4" fontId="312" fillId="34" borderId="329" xfId="57" applyNumberFormat="1" applyFont="1" applyFill="1" applyBorder="1" applyAlignment="1">
      <alignment horizontal="center"/>
    </xf>
    <xf numFmtId="228" fontId="312" fillId="34" borderId="330" xfId="57" applyNumberFormat="1" applyFont="1" applyFill="1" applyBorder="1" applyAlignment="1">
      <alignment horizontal="center"/>
    </xf>
    <xf numFmtId="173" fontId="312" fillId="26" borderId="56" xfId="124" applyNumberFormat="1" applyFont="1" applyFill="1" applyBorder="1" applyAlignment="1">
      <alignment vertical="center"/>
    </xf>
    <xf numFmtId="0" fontId="312" fillId="26" borderId="329" xfId="124" applyFont="1" applyFill="1" applyBorder="1" applyAlignment="1">
      <alignment horizontal="center" vertical="center"/>
    </xf>
    <xf numFmtId="10" fontId="312" fillId="26" borderId="329" xfId="124" applyNumberFormat="1" applyFont="1" applyFill="1" applyBorder="1" applyAlignment="1">
      <alignment horizontal="center" vertical="center"/>
    </xf>
    <xf numFmtId="172" fontId="312" fillId="34" borderId="455" xfId="124" applyNumberFormat="1" applyFont="1" applyFill="1" applyBorder="1" applyAlignment="1">
      <alignment horizontal="center"/>
    </xf>
    <xf numFmtId="172" fontId="312" fillId="34" borderId="466" xfId="124" applyNumberFormat="1" applyFont="1" applyFill="1" applyBorder="1" applyAlignment="1">
      <alignment horizontal="center"/>
    </xf>
    <xf numFmtId="0" fontId="312" fillId="26" borderId="56" xfId="124" applyFont="1" applyFill="1" applyBorder="1"/>
    <xf numFmtId="173" fontId="312" fillId="26" borderId="56" xfId="124" applyNumberFormat="1" applyFont="1" applyFill="1" applyBorder="1"/>
    <xf numFmtId="10" fontId="312" fillId="26" borderId="329" xfId="124" applyNumberFormat="1" applyFont="1" applyFill="1" applyBorder="1" applyAlignment="1">
      <alignment horizontal="center"/>
    </xf>
    <xf numFmtId="170" fontId="312" fillId="26" borderId="329" xfId="124" applyNumberFormat="1" applyFont="1" applyFill="1" applyBorder="1" applyAlignment="1">
      <alignment horizontal="center"/>
    </xf>
    <xf numFmtId="173" fontId="312" fillId="26" borderId="56" xfId="124" applyNumberFormat="1" applyFont="1" applyFill="1" applyBorder="1" applyAlignment="1">
      <alignment vertical="center" wrapText="1"/>
    </xf>
    <xf numFmtId="0" fontId="312" fillId="0" borderId="329" xfId="2882" applyNumberFormat="1" applyFont="1" applyFill="1" applyBorder="1" applyAlignment="1">
      <alignment horizontal="center" vertical="center"/>
    </xf>
    <xf numFmtId="0" fontId="312" fillId="26" borderId="455" xfId="124" applyFont="1" applyFill="1" applyBorder="1" applyAlignment="1">
      <alignment horizontal="center" vertical="center"/>
    </xf>
    <xf numFmtId="173" fontId="312" fillId="26" borderId="455" xfId="124" applyNumberFormat="1" applyFont="1" applyFill="1" applyBorder="1" applyAlignment="1">
      <alignment horizontal="center" vertical="center"/>
    </xf>
    <xf numFmtId="10" fontId="312" fillId="26" borderId="455" xfId="124" applyNumberFormat="1" applyFont="1" applyFill="1" applyBorder="1" applyAlignment="1">
      <alignment horizontal="center" vertical="center"/>
    </xf>
    <xf numFmtId="170" fontId="312" fillId="26" borderId="455" xfId="124" applyNumberFormat="1" applyFont="1" applyFill="1" applyBorder="1" applyAlignment="1">
      <alignment horizontal="center" vertical="center"/>
    </xf>
    <xf numFmtId="10" fontId="313" fillId="26" borderId="329" xfId="124" applyNumberFormat="1" applyFont="1" applyFill="1" applyBorder="1" applyAlignment="1">
      <alignment horizontal="center" vertical="center"/>
    </xf>
    <xf numFmtId="170" fontId="313" fillId="26" borderId="329" xfId="124" applyNumberFormat="1" applyFont="1" applyFill="1" applyBorder="1" applyAlignment="1">
      <alignment horizontal="center" vertical="center"/>
    </xf>
    <xf numFmtId="172" fontId="313" fillId="34" borderId="455" xfId="124" applyNumberFormat="1" applyFont="1" applyFill="1" applyBorder="1" applyAlignment="1">
      <alignment horizontal="center"/>
    </xf>
    <xf numFmtId="172" fontId="313" fillId="34" borderId="466" xfId="124" applyNumberFormat="1" applyFont="1" applyFill="1" applyBorder="1" applyAlignment="1">
      <alignment horizontal="center"/>
    </xf>
    <xf numFmtId="173" fontId="313" fillId="26" borderId="468" xfId="124" applyNumberFormat="1" applyFont="1" applyFill="1" applyBorder="1" applyAlignment="1">
      <alignment horizontal="left" vertical="center"/>
    </xf>
    <xf numFmtId="173" fontId="313" fillId="26" borderId="469" xfId="124" applyNumberFormat="1" applyFont="1" applyFill="1" applyBorder="1" applyAlignment="1">
      <alignment horizontal="center" vertical="center"/>
    </xf>
    <xf numFmtId="10" fontId="313" fillId="26" borderId="469" xfId="124" applyNumberFormat="1" applyFont="1" applyFill="1" applyBorder="1" applyAlignment="1">
      <alignment horizontal="center" vertical="center"/>
    </xf>
    <xf numFmtId="170" fontId="313" fillId="26" borderId="469" xfId="124" applyNumberFormat="1" applyFont="1" applyFill="1" applyBorder="1" applyAlignment="1">
      <alignment horizontal="center" vertical="center"/>
    </xf>
    <xf numFmtId="0" fontId="313" fillId="34" borderId="468" xfId="124" applyFont="1" applyFill="1" applyBorder="1" applyAlignment="1">
      <alignment horizontal="left"/>
    </xf>
    <xf numFmtId="0" fontId="314" fillId="34" borderId="469" xfId="124" applyFont="1" applyFill="1" applyBorder="1"/>
    <xf numFmtId="171" fontId="314" fillId="34" borderId="469" xfId="124" applyNumberFormat="1" applyFont="1" applyFill="1" applyBorder="1"/>
    <xf numFmtId="175" fontId="314" fillId="34" borderId="469" xfId="124" applyNumberFormat="1" applyFont="1" applyFill="1" applyBorder="1"/>
    <xf numFmtId="0" fontId="313" fillId="34" borderId="56" xfId="124" applyFont="1" applyFill="1" applyBorder="1" applyAlignment="1">
      <alignment horizontal="left"/>
    </xf>
    <xf numFmtId="0" fontId="314" fillId="34" borderId="329" xfId="124" applyFont="1" applyFill="1" applyBorder="1"/>
    <xf numFmtId="171" fontId="314" fillId="34" borderId="329" xfId="124" applyNumberFormat="1" applyFont="1" applyFill="1" applyBorder="1"/>
    <xf numFmtId="175" fontId="314" fillId="34" borderId="329" xfId="124" applyNumberFormat="1" applyFont="1" applyFill="1" applyBorder="1"/>
    <xf numFmtId="0" fontId="312" fillId="34" borderId="56" xfId="124" applyFont="1" applyFill="1" applyBorder="1" applyAlignment="1">
      <alignment horizontal="left"/>
    </xf>
    <xf numFmtId="0" fontId="282" fillId="34" borderId="329" xfId="124" applyFont="1" applyFill="1" applyBorder="1"/>
    <xf numFmtId="171" fontId="282" fillId="34" borderId="329" xfId="124" applyNumberFormat="1" applyFont="1" applyFill="1" applyBorder="1"/>
    <xf numFmtId="175" fontId="282" fillId="34" borderId="329" xfId="124" applyNumberFormat="1" applyFont="1" applyFill="1" applyBorder="1"/>
    <xf numFmtId="0" fontId="312" fillId="34" borderId="311" xfId="124" applyFont="1" applyFill="1" applyBorder="1" applyAlignment="1">
      <alignment horizontal="left"/>
    </xf>
    <xf numFmtId="0" fontId="282" fillId="34" borderId="357" xfId="124" applyFont="1" applyFill="1" applyBorder="1"/>
    <xf numFmtId="171" fontId="282" fillId="34" borderId="357" xfId="124" applyNumberFormat="1" applyFont="1" applyFill="1" applyBorder="1"/>
    <xf numFmtId="175" fontId="282" fillId="34" borderId="357" xfId="124" applyNumberFormat="1" applyFont="1" applyFill="1" applyBorder="1"/>
    <xf numFmtId="172" fontId="312" fillId="34" borderId="357" xfId="124" applyNumberFormat="1" applyFont="1" applyFill="1" applyBorder="1" applyAlignment="1">
      <alignment horizontal="center"/>
    </xf>
    <xf numFmtId="172" fontId="312" fillId="34" borderId="359" xfId="124" applyNumberFormat="1" applyFont="1" applyFill="1" applyBorder="1" applyAlignment="1">
      <alignment horizontal="center"/>
    </xf>
    <xf numFmtId="0" fontId="241" fillId="0" borderId="0" xfId="124" applyFont="1"/>
    <xf numFmtId="4" fontId="241" fillId="0" borderId="0" xfId="124" applyNumberFormat="1" applyFont="1"/>
    <xf numFmtId="0" fontId="240" fillId="0" borderId="0" xfId="124" applyFont="1"/>
    <xf numFmtId="0" fontId="187" fillId="0" borderId="0" xfId="124" applyFont="1"/>
    <xf numFmtId="0" fontId="186" fillId="0" borderId="0" xfId="124" applyFont="1"/>
    <xf numFmtId="173" fontId="313" fillId="34" borderId="294" xfId="124" applyNumberFormat="1" applyFont="1" applyFill="1" applyBorder="1" applyAlignment="1">
      <alignment horizontal="left"/>
    </xf>
    <xf numFmtId="173" fontId="313" fillId="34" borderId="439" xfId="124" applyNumberFormat="1" applyFont="1" applyFill="1" applyBorder="1" applyAlignment="1">
      <alignment horizontal="center"/>
    </xf>
    <xf numFmtId="171" fontId="313" fillId="34" borderId="439" xfId="124" applyNumberFormat="1" applyFont="1" applyFill="1" applyBorder="1" applyAlignment="1">
      <alignment horizontal="center"/>
    </xf>
    <xf numFmtId="175" fontId="313" fillId="34" borderId="439" xfId="124" applyNumberFormat="1" applyFont="1" applyFill="1" applyBorder="1" applyAlignment="1">
      <alignment horizontal="center"/>
    </xf>
    <xf numFmtId="173" fontId="313" fillId="34" borderId="56" xfId="124" applyNumberFormat="1" applyFont="1" applyFill="1" applyBorder="1" applyAlignment="1">
      <alignment horizontal="left"/>
    </xf>
    <xf numFmtId="173" fontId="313" fillId="34" borderId="329" xfId="124" applyNumberFormat="1" applyFont="1" applyFill="1" applyBorder="1" applyAlignment="1">
      <alignment horizontal="center"/>
    </xf>
    <xf numFmtId="171" fontId="313" fillId="34" borderId="329" xfId="124" applyNumberFormat="1" applyFont="1" applyFill="1" applyBorder="1" applyAlignment="1">
      <alignment horizontal="center"/>
    </xf>
    <xf numFmtId="175" fontId="313" fillId="34" borderId="329" xfId="124" applyNumberFormat="1" applyFont="1" applyFill="1" applyBorder="1" applyAlignment="1">
      <alignment horizontal="center"/>
    </xf>
    <xf numFmtId="3" fontId="313" fillId="34" borderId="329" xfId="57" applyNumberFormat="1" applyFont="1" applyFill="1" applyBorder="1" applyAlignment="1">
      <alignment horizontal="center"/>
    </xf>
    <xf numFmtId="3" fontId="313" fillId="34" borderId="330" xfId="57" applyNumberFormat="1" applyFont="1" applyFill="1" applyBorder="1" applyAlignment="1">
      <alignment horizontal="center"/>
    </xf>
    <xf numFmtId="173" fontId="313" fillId="34" borderId="357" xfId="124" applyNumberFormat="1" applyFont="1" applyFill="1" applyBorder="1" applyAlignment="1">
      <alignment horizontal="center"/>
    </xf>
    <xf numFmtId="171" fontId="313" fillId="34" borderId="357" xfId="124" applyNumberFormat="1" applyFont="1" applyFill="1" applyBorder="1" applyAlignment="1">
      <alignment horizontal="center"/>
    </xf>
    <xf numFmtId="175" fontId="313" fillId="34" borderId="357" xfId="124" applyNumberFormat="1" applyFont="1" applyFill="1" applyBorder="1" applyAlignment="1">
      <alignment horizontal="center"/>
    </xf>
    <xf numFmtId="3" fontId="313" fillId="34" borderId="357" xfId="57" applyNumberFormat="1" applyFont="1" applyFill="1" applyBorder="1" applyAlignment="1">
      <alignment horizontal="center"/>
    </xf>
    <xf numFmtId="3" fontId="313" fillId="34" borderId="359" xfId="57" applyNumberFormat="1" applyFont="1" applyFill="1" applyBorder="1" applyAlignment="1">
      <alignment horizontal="center"/>
    </xf>
    <xf numFmtId="172" fontId="313" fillId="34" borderId="418" xfId="124" applyNumberFormat="1" applyFont="1" applyFill="1" applyBorder="1" applyAlignment="1">
      <alignment horizontal="center"/>
    </xf>
    <xf numFmtId="172" fontId="313" fillId="34" borderId="419" xfId="124" applyNumberFormat="1" applyFont="1" applyFill="1" applyBorder="1" applyAlignment="1">
      <alignment horizontal="center"/>
    </xf>
    <xf numFmtId="3" fontId="186" fillId="28" borderId="63" xfId="57" applyNumberFormat="1" applyFont="1" applyFill="1" applyBorder="1" applyAlignment="1">
      <alignment horizontal="center"/>
    </xf>
    <xf numFmtId="3" fontId="187" fillId="28" borderId="63" xfId="57" applyNumberFormat="1" applyFont="1" applyFill="1" applyBorder="1" applyAlignment="1">
      <alignment horizontal="center"/>
    </xf>
    <xf numFmtId="14" fontId="0" fillId="0" borderId="0" xfId="0" applyNumberFormat="1"/>
    <xf numFmtId="4" fontId="160" fillId="0" borderId="0" xfId="1446" applyNumberFormat="1" applyFont="1" applyAlignment="1">
      <alignment horizontal="left" vertical="top" wrapText="1"/>
    </xf>
    <xf numFmtId="4" fontId="187" fillId="0" borderId="0" xfId="1446" applyNumberFormat="1" applyFont="1" applyAlignment="1">
      <alignment horizontal="center"/>
    </xf>
    <xf numFmtId="4" fontId="172" fillId="0" borderId="0" xfId="1446" applyNumberFormat="1" applyFont="1" applyAlignment="1">
      <alignment horizontal="left" vertical="top" wrapText="1"/>
    </xf>
    <xf numFmtId="0" fontId="187" fillId="0" borderId="0" xfId="0" applyFont="1" applyAlignment="1">
      <alignment horizontal="center" vertical="center"/>
    </xf>
    <xf numFmtId="4" fontId="156" fillId="0" borderId="0" xfId="1446" applyNumberFormat="1" applyFont="1" applyAlignment="1">
      <alignment horizontal="left" vertical="center" wrapText="1"/>
    </xf>
    <xf numFmtId="0" fontId="151" fillId="0" borderId="374" xfId="182" applyFont="1" applyBorder="1" applyAlignment="1">
      <alignment horizontal="center"/>
    </xf>
    <xf numFmtId="0" fontId="151" fillId="0" borderId="0" xfId="0" applyFont="1" applyAlignment="1">
      <alignment horizontal="center" vertical="center"/>
    </xf>
    <xf numFmtId="0" fontId="151" fillId="0" borderId="0" xfId="127" applyFont="1" applyAlignment="1">
      <alignment horizontal="center"/>
    </xf>
    <xf numFmtId="0" fontId="151" fillId="0" borderId="0" xfId="127" quotePrefix="1" applyFont="1" applyAlignment="1">
      <alignment horizontal="center"/>
    </xf>
    <xf numFmtId="4" fontId="172" fillId="0" borderId="0" xfId="1446" applyNumberFormat="1" applyFont="1" applyAlignment="1">
      <alignment horizontal="left" wrapText="1"/>
    </xf>
    <xf numFmtId="0" fontId="168" fillId="0" borderId="0" xfId="127" applyFont="1" applyAlignment="1">
      <alignment horizontal="center"/>
    </xf>
    <xf numFmtId="0" fontId="187" fillId="0" borderId="0" xfId="127" applyFont="1" applyAlignment="1">
      <alignment horizontal="center"/>
    </xf>
    <xf numFmtId="0" fontId="187" fillId="0" borderId="0" xfId="127" quotePrefix="1" applyFont="1" applyAlignment="1">
      <alignment horizontal="center"/>
    </xf>
    <xf numFmtId="0" fontId="168" fillId="0" borderId="0" xfId="0" applyFont="1" applyAlignment="1">
      <alignment horizontal="center"/>
    </xf>
    <xf numFmtId="0" fontId="172" fillId="0" borderId="0" xfId="0" applyFont="1"/>
    <xf numFmtId="0" fontId="172" fillId="0" borderId="0" xfId="0" applyFont="1" applyAlignment="1">
      <alignment horizontal="center"/>
    </xf>
    <xf numFmtId="0" fontId="234" fillId="0" borderId="91" xfId="0" applyFont="1" applyBorder="1" applyAlignment="1">
      <alignment horizontal="center" vertical="center"/>
    </xf>
    <xf numFmtId="0" fontId="234" fillId="0" borderId="92" xfId="0" applyFont="1" applyBorder="1" applyAlignment="1">
      <alignment horizontal="center" vertical="center"/>
    </xf>
    <xf numFmtId="0" fontId="234" fillId="0" borderId="164" xfId="0" applyFont="1" applyBorder="1" applyAlignment="1">
      <alignment horizontal="center" vertical="center"/>
    </xf>
    <xf numFmtId="0" fontId="234" fillId="0" borderId="286" xfId="0" applyFont="1" applyBorder="1" applyAlignment="1">
      <alignment horizontal="center" vertical="center"/>
    </xf>
    <xf numFmtId="0" fontId="234" fillId="0" borderId="308" xfId="0" applyFont="1" applyBorder="1" applyAlignment="1">
      <alignment horizontal="center" vertical="center"/>
    </xf>
    <xf numFmtId="0" fontId="234" fillId="0" borderId="326" xfId="0" applyFont="1" applyBorder="1" applyAlignment="1">
      <alignment horizontal="center" vertical="center"/>
    </xf>
    <xf numFmtId="0" fontId="234" fillId="0" borderId="289" xfId="0" applyFont="1" applyBorder="1" applyAlignment="1">
      <alignment horizontal="center" vertical="center"/>
    </xf>
    <xf numFmtId="0" fontId="234" fillId="0" borderId="203" xfId="0" applyFont="1" applyBorder="1" applyAlignment="1">
      <alignment horizontal="center" vertical="center"/>
    </xf>
    <xf numFmtId="0" fontId="234" fillId="0" borderId="310" xfId="0" applyFont="1" applyBorder="1" applyAlignment="1">
      <alignment horizontal="center" vertical="center"/>
    </xf>
    <xf numFmtId="1" fontId="234" fillId="0" borderId="91" xfId="0" applyNumberFormat="1" applyFont="1" applyBorder="1" applyAlignment="1">
      <alignment horizontal="center"/>
    </xf>
    <xf numFmtId="1" fontId="234" fillId="0" borderId="92" xfId="0" applyNumberFormat="1" applyFont="1" applyBorder="1" applyAlignment="1">
      <alignment horizontal="center"/>
    </xf>
    <xf numFmtId="1" fontId="234" fillId="0" borderId="93" xfId="0" applyNumberFormat="1" applyFont="1" applyBorder="1" applyAlignment="1">
      <alignment horizontal="center"/>
    </xf>
    <xf numFmtId="0" fontId="234" fillId="0" borderId="91" xfId="0" applyFont="1" applyBorder="1" applyAlignment="1">
      <alignment horizontal="center"/>
    </xf>
    <xf numFmtId="0" fontId="234" fillId="0" borderId="92" xfId="0" applyFont="1" applyBorder="1" applyAlignment="1">
      <alignment horizontal="center"/>
    </xf>
    <xf numFmtId="0" fontId="234" fillId="0" borderId="93" xfId="0" applyFont="1" applyBorder="1" applyAlignment="1">
      <alignment horizontal="center"/>
    </xf>
    <xf numFmtId="0" fontId="234" fillId="0" borderId="93" xfId="0" applyFont="1" applyBorder="1" applyAlignment="1">
      <alignment horizontal="center" vertical="center"/>
    </xf>
    <xf numFmtId="0" fontId="256" fillId="0" borderId="0" xfId="0" applyFont="1" applyAlignment="1">
      <alignment horizontal="center"/>
    </xf>
    <xf numFmtId="0" fontId="187" fillId="0" borderId="0" xfId="0" applyFont="1" applyAlignment="1">
      <alignment horizontal="center" wrapText="1"/>
    </xf>
    <xf numFmtId="0" fontId="187" fillId="0" borderId="0" xfId="0" applyFont="1" applyAlignment="1">
      <alignment horizontal="center"/>
    </xf>
    <xf numFmtId="0" fontId="120" fillId="34" borderId="0" xfId="0" applyFont="1" applyFill="1" applyAlignment="1">
      <alignment horizontal="center"/>
    </xf>
    <xf numFmtId="0" fontId="168" fillId="0" borderId="0" xfId="0" applyFont="1" applyAlignment="1">
      <alignment horizontal="center" wrapText="1"/>
    </xf>
    <xf numFmtId="0" fontId="170" fillId="32" borderId="374" xfId="717" applyFont="1" applyFill="1" applyBorder="1" applyAlignment="1">
      <alignment horizontal="center"/>
    </xf>
    <xf numFmtId="0" fontId="170" fillId="32" borderId="290" xfId="717" applyFont="1" applyFill="1" applyBorder="1" applyAlignment="1">
      <alignment horizontal="center"/>
    </xf>
    <xf numFmtId="0" fontId="170" fillId="32" borderId="350" xfId="717" applyFont="1" applyFill="1" applyBorder="1" applyAlignment="1">
      <alignment horizontal="center"/>
    </xf>
    <xf numFmtId="172" fontId="170" fillId="32" borderId="507" xfId="717" applyNumberFormat="1" applyFont="1" applyFill="1" applyBorder="1" applyAlignment="1">
      <alignment horizontal="center"/>
    </xf>
    <xf numFmtId="172" fontId="170" fillId="32" borderId="354" xfId="717" applyNumberFormat="1" applyFont="1" applyFill="1" applyBorder="1" applyAlignment="1">
      <alignment horizontal="center"/>
    </xf>
    <xf numFmtId="0" fontId="170" fillId="0" borderId="174" xfId="717" applyFont="1" applyBorder="1" applyAlignment="1">
      <alignment horizontal="center"/>
    </xf>
    <xf numFmtId="0" fontId="170" fillId="0" borderId="347" xfId="717" applyFont="1" applyBorder="1" applyAlignment="1">
      <alignment horizontal="center"/>
    </xf>
    <xf numFmtId="0" fontId="170" fillId="0" borderId="348" xfId="717" applyFont="1" applyBorder="1" applyAlignment="1">
      <alignment horizontal="center"/>
    </xf>
    <xf numFmtId="0" fontId="170" fillId="0" borderId="293" xfId="717" applyFont="1" applyBorder="1" applyAlignment="1">
      <alignment horizontal="center"/>
    </xf>
    <xf numFmtId="0" fontId="170" fillId="0" borderId="292" xfId="717" applyFont="1" applyBorder="1" applyAlignment="1">
      <alignment horizontal="center"/>
    </xf>
    <xf numFmtId="0" fontId="170" fillId="0" borderId="424" xfId="717" applyFont="1" applyBorder="1" applyAlignment="1">
      <alignment horizontal="center"/>
    </xf>
    <xf numFmtId="0" fontId="170" fillId="0" borderId="410" xfId="717" applyFont="1" applyBorder="1" applyAlignment="1">
      <alignment horizontal="center"/>
    </xf>
    <xf numFmtId="0" fontId="170" fillId="32" borderId="347" xfId="717" applyFont="1" applyFill="1" applyBorder="1" applyAlignment="1">
      <alignment horizontal="center"/>
    </xf>
    <xf numFmtId="0" fontId="170" fillId="32" borderId="188" xfId="717" applyFont="1" applyFill="1" applyBorder="1" applyAlignment="1">
      <alignment horizontal="center"/>
    </xf>
    <xf numFmtId="0" fontId="170" fillId="32" borderId="191" xfId="717" applyFont="1" applyFill="1" applyBorder="1" applyAlignment="1">
      <alignment horizontal="center"/>
    </xf>
    <xf numFmtId="0" fontId="170" fillId="32" borderId="0" xfId="717" applyFont="1" applyFill="1" applyAlignment="1">
      <alignment horizontal="center"/>
    </xf>
    <xf numFmtId="0" fontId="170" fillId="0" borderId="174" xfId="717" applyFont="1" applyBorder="1" applyAlignment="1">
      <alignment horizontal="center" vertical="center"/>
    </xf>
    <xf numFmtId="0" fontId="170" fillId="0" borderId="347" xfId="717" applyFont="1" applyBorder="1" applyAlignment="1">
      <alignment horizontal="center" vertical="center"/>
    </xf>
    <xf numFmtId="0" fontId="170" fillId="0" borderId="348" xfId="717" applyFont="1" applyBorder="1" applyAlignment="1">
      <alignment horizontal="center" vertical="center"/>
    </xf>
    <xf numFmtId="0" fontId="170" fillId="0" borderId="176" xfId="717" applyFont="1" applyBorder="1" applyAlignment="1">
      <alignment horizontal="center" vertical="center"/>
    </xf>
    <xf numFmtId="0" fontId="170" fillId="0" borderId="425" xfId="717" applyFont="1" applyBorder="1" applyAlignment="1">
      <alignment horizontal="center" vertical="center"/>
    </xf>
    <xf numFmtId="0" fontId="170" fillId="0" borderId="190" xfId="717" applyFont="1" applyBorder="1" applyAlignment="1">
      <alignment horizontal="center" vertical="center"/>
    </xf>
    <xf numFmtId="0" fontId="170" fillId="0" borderId="176" xfId="717" applyFont="1" applyBorder="1" applyAlignment="1">
      <alignment horizontal="center"/>
    </xf>
    <xf numFmtId="0" fontId="170" fillId="0" borderId="425" xfId="717" applyFont="1" applyBorder="1" applyAlignment="1">
      <alignment horizontal="center"/>
    </xf>
    <xf numFmtId="0" fontId="170" fillId="0" borderId="190" xfId="717" applyFont="1" applyBorder="1" applyAlignment="1">
      <alignment horizontal="center"/>
    </xf>
    <xf numFmtId="0" fontId="151" fillId="0" borderId="91" xfId="0" applyFont="1" applyBorder="1" applyAlignment="1">
      <alignment horizontal="center" vertical="center"/>
    </xf>
    <xf numFmtId="0" fontId="151" fillId="0" borderId="164" xfId="0" applyFont="1" applyBorder="1" applyAlignment="1">
      <alignment horizontal="center" vertical="center"/>
    </xf>
    <xf numFmtId="0" fontId="151" fillId="0" borderId="174" xfId="0" applyFont="1" applyBorder="1" applyAlignment="1">
      <alignment horizontal="center" vertical="center"/>
    </xf>
    <xf numFmtId="0" fontId="151" fillId="0" borderId="348" xfId="0" applyFont="1" applyBorder="1" applyAlignment="1">
      <alignment horizontal="center" vertical="center"/>
    </xf>
    <xf numFmtId="0" fontId="151" fillId="0" borderId="93" xfId="0" applyFont="1" applyBorder="1" applyAlignment="1">
      <alignment horizontal="center" vertical="center"/>
    </xf>
    <xf numFmtId="0" fontId="151" fillId="32" borderId="91" xfId="0" applyFont="1" applyFill="1" applyBorder="1" applyAlignment="1">
      <alignment horizontal="center" vertical="center"/>
    </xf>
    <xf numFmtId="0" fontId="151" fillId="32" borderId="93" xfId="0" applyFont="1" applyFill="1" applyBorder="1" applyAlignment="1">
      <alignment horizontal="center" vertical="center"/>
    </xf>
    <xf numFmtId="0" fontId="151" fillId="32" borderId="294" xfId="0" applyFont="1" applyFill="1" applyBorder="1" applyAlignment="1">
      <alignment horizontal="center"/>
    </xf>
    <xf numFmtId="0" fontId="151" fillId="32" borderId="321" xfId="0" applyFont="1" applyFill="1" applyBorder="1" applyAlignment="1">
      <alignment horizontal="center"/>
    </xf>
    <xf numFmtId="0" fontId="151" fillId="32" borderId="324" xfId="0" applyFont="1" applyFill="1" applyBorder="1" applyAlignment="1">
      <alignment horizontal="center"/>
    </xf>
    <xf numFmtId="0" fontId="151" fillId="0" borderId="91" xfId="0" applyFont="1" applyBorder="1" applyAlignment="1">
      <alignment horizontal="center"/>
    </xf>
    <xf numFmtId="0" fontId="151" fillId="0" borderId="93" xfId="0" applyFont="1" applyBorder="1" applyAlignment="1">
      <alignment horizontal="center"/>
    </xf>
    <xf numFmtId="0" fontId="151" fillId="0" borderId="294" xfId="0" applyFont="1" applyBorder="1" applyAlignment="1">
      <alignment horizontal="center" vertical="center"/>
    </xf>
    <xf numFmtId="0" fontId="151" fillId="0" borderId="409" xfId="0" applyFont="1" applyBorder="1" applyAlignment="1">
      <alignment horizontal="center" vertical="center"/>
    </xf>
    <xf numFmtId="0" fontId="151" fillId="0" borderId="103" xfId="0" applyFont="1" applyBorder="1" applyAlignment="1">
      <alignment horizontal="center" vertical="center"/>
    </xf>
    <xf numFmtId="0" fontId="151" fillId="0" borderId="104" xfId="0" applyFont="1" applyBorder="1" applyAlignment="1">
      <alignment horizontal="center" vertical="center"/>
    </xf>
    <xf numFmtId="0" fontId="151" fillId="0" borderId="0" xfId="0" applyFont="1" applyAlignment="1">
      <alignment horizontal="center" wrapText="1"/>
    </xf>
    <xf numFmtId="0" fontId="151" fillId="0" borderId="0" xfId="0" applyFont="1" applyAlignment="1">
      <alignment horizontal="center"/>
    </xf>
    <xf numFmtId="0" fontId="151" fillId="0" borderId="106" xfId="0" applyFont="1" applyBorder="1" applyAlignment="1">
      <alignment horizontal="center"/>
    </xf>
    <xf numFmtId="0" fontId="151" fillId="0" borderId="107" xfId="0" applyFont="1" applyBorder="1" applyAlignment="1">
      <alignment horizontal="center"/>
    </xf>
    <xf numFmtId="0" fontId="151" fillId="0" borderId="94" xfId="0" applyFont="1" applyBorder="1" applyAlignment="1">
      <alignment horizontal="left"/>
    </xf>
    <xf numFmtId="0" fontId="151" fillId="0" borderId="56" xfId="0" applyFont="1" applyBorder="1" applyAlignment="1">
      <alignment horizontal="left"/>
    </xf>
    <xf numFmtId="0" fontId="151" fillId="0" borderId="92" xfId="0" applyFont="1" applyBorder="1" applyAlignment="1">
      <alignment horizontal="center"/>
    </xf>
    <xf numFmtId="0" fontId="151" fillId="0" borderId="152" xfId="0" applyFont="1" applyBorder="1" applyAlignment="1">
      <alignment horizontal="left"/>
    </xf>
    <xf numFmtId="0" fontId="151" fillId="0" borderId="153" xfId="0" applyFont="1" applyBorder="1" applyAlignment="1">
      <alignment horizontal="left"/>
    </xf>
    <xf numFmtId="0" fontId="151" fillId="0" borderId="103" xfId="206" applyFont="1" applyBorder="1" applyAlignment="1">
      <alignment horizontal="center"/>
    </xf>
    <xf numFmtId="0" fontId="151" fillId="0" borderId="104" xfId="206" applyFont="1" applyBorder="1" applyAlignment="1">
      <alignment horizontal="center"/>
    </xf>
    <xf numFmtId="0" fontId="151" fillId="0" borderId="91" xfId="206" applyFont="1" applyBorder="1" applyAlignment="1">
      <alignment horizontal="center"/>
    </xf>
    <xf numFmtId="0" fontId="151" fillId="0" borderId="93" xfId="206" applyFont="1" applyBorder="1" applyAlignment="1">
      <alignment horizontal="center"/>
    </xf>
    <xf numFmtId="0" fontId="151" fillId="0" borderId="170" xfId="206" applyFont="1" applyBorder="1" applyAlignment="1">
      <alignment horizontal="center"/>
    </xf>
    <xf numFmtId="0" fontId="151" fillId="0" borderId="80" xfId="0" applyFont="1" applyBorder="1" applyAlignment="1">
      <alignment horizontal="center"/>
    </xf>
    <xf numFmtId="0" fontId="151" fillId="0" borderId="81" xfId="0" applyFont="1" applyBorder="1" applyAlignment="1">
      <alignment horizontal="center"/>
    </xf>
    <xf numFmtId="0" fontId="151" fillId="0" borderId="294" xfId="0" applyFont="1" applyBorder="1" applyAlignment="1">
      <alignment horizontal="center"/>
    </xf>
    <xf numFmtId="0" fontId="151" fillId="0" borderId="409" xfId="0" applyFont="1" applyBorder="1" applyAlignment="1">
      <alignment horizontal="center"/>
    </xf>
    <xf numFmtId="0" fontId="151" fillId="0" borderId="174" xfId="0" applyFont="1" applyBorder="1" applyAlignment="1">
      <alignment horizontal="center"/>
    </xf>
    <xf numFmtId="0" fontId="151" fillId="0" borderId="348" xfId="0" applyFont="1" applyBorder="1" applyAlignment="1">
      <alignment horizontal="center"/>
    </xf>
    <xf numFmtId="0" fontId="151" fillId="0" borderId="79" xfId="0" applyFont="1" applyBorder="1" applyAlignment="1">
      <alignment horizontal="center"/>
    </xf>
    <xf numFmtId="0" fontId="151" fillId="32" borderId="174" xfId="0" applyFont="1" applyFill="1" applyBorder="1" applyAlignment="1">
      <alignment horizontal="center"/>
    </xf>
    <xf numFmtId="0" fontId="151" fillId="32" borderId="188" xfId="0" applyFont="1" applyFill="1" applyBorder="1" applyAlignment="1">
      <alignment horizontal="center"/>
    </xf>
    <xf numFmtId="0" fontId="151" fillId="32" borderId="191" xfId="0" applyFont="1" applyFill="1" applyBorder="1" applyAlignment="1">
      <alignment horizontal="center"/>
    </xf>
    <xf numFmtId="0" fontId="151" fillId="0" borderId="78" xfId="0" applyFont="1" applyBorder="1" applyAlignment="1">
      <alignment horizontal="left"/>
    </xf>
    <xf numFmtId="0" fontId="151" fillId="0" borderId="20" xfId="0" applyFont="1" applyBorder="1" applyAlignment="1">
      <alignment horizontal="left"/>
    </xf>
    <xf numFmtId="0" fontId="151" fillId="0" borderId="82" xfId="0" applyFont="1" applyBorder="1" applyAlignment="1">
      <alignment horizontal="center"/>
    </xf>
    <xf numFmtId="0" fontId="151" fillId="0" borderId="83" xfId="0" applyFont="1" applyBorder="1" applyAlignment="1">
      <alignment horizontal="center"/>
    </xf>
    <xf numFmtId="1" fontId="157" fillId="32" borderId="174" xfId="0" applyNumberFormat="1" applyFont="1" applyFill="1" applyBorder="1" applyAlignment="1">
      <alignment horizontal="center"/>
    </xf>
    <xf numFmtId="1" fontId="157" fillId="32" borderId="354" xfId="0" applyNumberFormat="1" applyFont="1" applyFill="1" applyBorder="1" applyAlignment="1">
      <alignment horizontal="center"/>
    </xf>
    <xf numFmtId="1" fontId="157" fillId="32" borderId="484" xfId="0" applyNumberFormat="1" applyFont="1" applyFill="1" applyBorder="1" applyAlignment="1">
      <alignment horizontal="center"/>
    </xf>
    <xf numFmtId="0" fontId="157" fillId="0" borderId="107" xfId="0" applyFont="1" applyBorder="1" applyAlignment="1">
      <alignment horizontal="center"/>
    </xf>
    <xf numFmtId="0" fontId="157" fillId="0" borderId="104" xfId="0" applyFont="1" applyBorder="1" applyAlignment="1">
      <alignment horizontal="center"/>
    </xf>
    <xf numFmtId="0" fontId="157" fillId="0" borderId="170" xfId="0" applyFont="1" applyBorder="1" applyAlignment="1">
      <alignment horizontal="center"/>
    </xf>
    <xf numFmtId="0" fontId="157" fillId="0" borderId="174" xfId="0" applyFont="1" applyBorder="1" applyAlignment="1">
      <alignment horizontal="center"/>
    </xf>
    <xf numFmtId="0" fontId="157" fillId="0" borderId="347" xfId="0" applyFont="1" applyBorder="1" applyAlignment="1">
      <alignment horizontal="center"/>
    </xf>
    <xf numFmtId="0" fontId="157" fillId="0" borderId="348" xfId="0" applyFont="1" applyBorder="1" applyAlignment="1">
      <alignment horizontal="center"/>
    </xf>
    <xf numFmtId="0" fontId="157" fillId="0" borderId="28" xfId="0" applyFont="1" applyBorder="1" applyAlignment="1">
      <alignment horizontal="center"/>
    </xf>
    <xf numFmtId="0" fontId="157" fillId="0" borderId="419" xfId="0" applyFont="1" applyBorder="1" applyAlignment="1">
      <alignment horizontal="center"/>
    </xf>
    <xf numFmtId="0" fontId="157" fillId="0" borderId="167" xfId="0" applyFont="1" applyBorder="1" applyAlignment="1">
      <alignment horizontal="center"/>
    </xf>
    <xf numFmtId="0" fontId="157" fillId="0" borderId="69" xfId="0" applyFont="1" applyBorder="1" applyAlignment="1">
      <alignment horizontal="center"/>
    </xf>
    <xf numFmtId="0" fontId="232" fillId="32" borderId="311" xfId="0" applyFont="1" applyFill="1" applyBorder="1" applyAlignment="1">
      <alignment horizontal="center"/>
    </xf>
    <xf numFmtId="0" fontId="232" fillId="32" borderId="374" xfId="0" applyFont="1" applyFill="1" applyBorder="1" applyAlignment="1">
      <alignment horizontal="center"/>
    </xf>
    <xf numFmtId="0" fontId="232" fillId="32" borderId="355" xfId="0" applyFont="1" applyFill="1" applyBorder="1" applyAlignment="1">
      <alignment horizontal="center"/>
    </xf>
    <xf numFmtId="0" fontId="157" fillId="0" borderId="0" xfId="0" applyFont="1" applyAlignment="1">
      <alignment horizontal="center"/>
    </xf>
    <xf numFmtId="0" fontId="158" fillId="0" borderId="45" xfId="0" applyFont="1" applyBorder="1" applyAlignment="1">
      <alignment horizontal="center"/>
    </xf>
    <xf numFmtId="0" fontId="158" fillId="0" borderId="46" xfId="0" applyFont="1" applyBorder="1" applyAlignment="1">
      <alignment horizontal="center"/>
    </xf>
    <xf numFmtId="0" fontId="157" fillId="0" borderId="0" xfId="0" applyFont="1" applyAlignment="1">
      <alignment horizontal="left"/>
    </xf>
    <xf numFmtId="0" fontId="157" fillId="0" borderId="24" xfId="0" applyFont="1" applyBorder="1" applyAlignment="1">
      <alignment horizontal="left"/>
    </xf>
    <xf numFmtId="0" fontId="157" fillId="0" borderId="14" xfId="0" applyFont="1" applyBorder="1" applyAlignment="1">
      <alignment horizontal="left"/>
    </xf>
    <xf numFmtId="0" fontId="157" fillId="0" borderId="41" xfId="0" applyFont="1" applyBorder="1" applyAlignment="1">
      <alignment horizontal="left"/>
    </xf>
    <xf numFmtId="0" fontId="157" fillId="0" borderId="10" xfId="0" applyFont="1" applyBorder="1" applyAlignment="1">
      <alignment horizontal="left"/>
    </xf>
    <xf numFmtId="0" fontId="157" fillId="0" borderId="25" xfId="0" applyFont="1" applyBorder="1" applyAlignment="1">
      <alignment horizontal="left"/>
    </xf>
    <xf numFmtId="0" fontId="159" fillId="0" borderId="0" xfId="0" applyFont="1" applyAlignment="1">
      <alignment horizontal="left"/>
    </xf>
    <xf numFmtId="2" fontId="168" fillId="0" borderId="0" xfId="122" applyNumberFormat="1" applyFont="1" applyAlignment="1">
      <alignment horizontal="center" vertical="center"/>
    </xf>
    <xf numFmtId="0" fontId="168" fillId="0" borderId="0" xfId="122" applyFont="1" applyAlignment="1">
      <alignment horizontal="center" vertical="center"/>
    </xf>
    <xf numFmtId="0" fontId="168" fillId="0" borderId="293" xfId="122" applyFont="1" applyBorder="1" applyAlignment="1">
      <alignment horizontal="center" vertical="center"/>
    </xf>
    <xf numFmtId="0" fontId="168" fillId="0" borderId="57" xfId="122" applyFont="1" applyBorder="1" applyAlignment="1">
      <alignment horizontal="center" vertical="center"/>
    </xf>
    <xf numFmtId="0" fontId="168" fillId="0" borderId="389" xfId="122" applyFont="1" applyBorder="1" applyAlignment="1">
      <alignment horizontal="center" vertical="center"/>
    </xf>
    <xf numFmtId="0" fontId="168" fillId="32" borderId="311" xfId="122" applyFont="1" applyFill="1" applyBorder="1" applyAlignment="1">
      <alignment horizontal="center" vertical="center"/>
    </xf>
    <xf numFmtId="0" fontId="168" fillId="32" borderId="374" xfId="122" applyFont="1" applyFill="1" applyBorder="1" applyAlignment="1">
      <alignment horizontal="center" vertical="center"/>
    </xf>
    <xf numFmtId="0" fontId="168" fillId="32" borderId="355" xfId="122" applyFont="1" applyFill="1" applyBorder="1" applyAlignment="1">
      <alignment horizontal="center" vertical="center"/>
    </xf>
    <xf numFmtId="0" fontId="168" fillId="0" borderId="346" xfId="122" applyFont="1" applyBorder="1" applyAlignment="1">
      <alignment horizontal="center" vertical="center"/>
    </xf>
    <xf numFmtId="0" fontId="168" fillId="0" borderId="347" xfId="122" applyFont="1" applyBorder="1" applyAlignment="1">
      <alignment horizontal="center" vertical="center"/>
    </xf>
    <xf numFmtId="37" fontId="168" fillId="0" borderId="292" xfId="122" applyNumberFormat="1" applyFont="1" applyBorder="1" applyAlignment="1">
      <alignment horizontal="center" vertical="center"/>
    </xf>
    <xf numFmtId="37" fontId="168" fillId="0" borderId="432" xfId="122" applyNumberFormat="1" applyFont="1" applyBorder="1" applyAlignment="1">
      <alignment horizontal="center" vertical="center"/>
    </xf>
    <xf numFmtId="37" fontId="168" fillId="0" borderId="449" xfId="122" applyNumberFormat="1" applyFont="1" applyBorder="1" applyAlignment="1">
      <alignment horizontal="center" vertical="center"/>
    </xf>
    <xf numFmtId="37" fontId="168" fillId="0" borderId="450" xfId="122" applyNumberFormat="1" applyFont="1" applyBorder="1" applyAlignment="1">
      <alignment horizontal="center" vertical="center"/>
    </xf>
    <xf numFmtId="37" fontId="168" fillId="0" borderId="451" xfId="122" applyNumberFormat="1" applyFont="1" applyBorder="1" applyAlignment="1">
      <alignment horizontal="center" vertical="center"/>
    </xf>
    <xf numFmtId="37" fontId="168" fillId="0" borderId="452" xfId="122" applyNumberFormat="1" applyFont="1" applyBorder="1" applyAlignment="1">
      <alignment horizontal="center" vertical="center"/>
    </xf>
    <xf numFmtId="0" fontId="168" fillId="0" borderId="292" xfId="122" applyFont="1" applyBorder="1" applyAlignment="1">
      <alignment horizontal="center" vertical="center" wrapText="1"/>
    </xf>
    <xf numFmtId="0" fontId="168" fillId="0" borderId="432" xfId="122" applyFont="1" applyBorder="1" applyAlignment="1">
      <alignment horizontal="center" vertical="center" wrapText="1"/>
    </xf>
    <xf numFmtId="37" fontId="168" fillId="0" borderId="453" xfId="122" applyNumberFormat="1" applyFont="1" applyBorder="1" applyAlignment="1">
      <alignment horizontal="center" vertical="center"/>
    </xf>
    <xf numFmtId="37" fontId="168" fillId="0" borderId="390" xfId="122" applyNumberFormat="1" applyFont="1" applyBorder="1" applyAlignment="1">
      <alignment horizontal="center" vertical="center"/>
    </xf>
    <xf numFmtId="0" fontId="168" fillId="32" borderId="167" xfId="122" applyFont="1" applyFill="1" applyBorder="1" applyAlignment="1">
      <alignment horizontal="center" vertical="center"/>
    </xf>
    <xf numFmtId="0" fontId="168" fillId="32" borderId="114" xfId="122" applyFont="1" applyFill="1" applyBorder="1" applyAlignment="1">
      <alignment horizontal="center" vertical="center"/>
    </xf>
    <xf numFmtId="0" fontId="242" fillId="0" borderId="0" xfId="0" applyFont="1" applyAlignment="1">
      <alignment horizontal="center" wrapText="1"/>
    </xf>
    <xf numFmtId="0" fontId="242" fillId="0" borderId="0" xfId="0" applyFont="1" applyAlignment="1">
      <alignment horizontal="center"/>
    </xf>
    <xf numFmtId="0" fontId="225" fillId="0" borderId="0" xfId="141" applyFont="1" applyAlignment="1">
      <alignment horizontal="center" vertical="center" wrapText="1"/>
    </xf>
    <xf numFmtId="0" fontId="158" fillId="0" borderId="0" xfId="141" applyFont="1"/>
    <xf numFmtId="0" fontId="225" fillId="0" borderId="167" xfId="141" applyFont="1" applyBorder="1" applyAlignment="1">
      <alignment horizontal="center" vertical="center" wrapText="1"/>
    </xf>
    <xf numFmtId="0" fontId="225" fillId="0" borderId="69" xfId="141" applyFont="1" applyBorder="1" applyAlignment="1">
      <alignment horizontal="center" vertical="center" wrapText="1"/>
    </xf>
    <xf numFmtId="0" fontId="225" fillId="0" borderId="114" xfId="141" applyFont="1" applyBorder="1" applyAlignment="1">
      <alignment horizontal="center" vertical="center" wrapText="1"/>
    </xf>
    <xf numFmtId="0" fontId="137" fillId="0" borderId="174" xfId="122" applyFont="1" applyBorder="1" applyAlignment="1">
      <alignment horizontal="center"/>
    </xf>
    <xf numFmtId="0" fontId="137" fillId="0" borderId="347" xfId="122" applyFont="1" applyBorder="1" applyAlignment="1">
      <alignment horizontal="center"/>
    </xf>
    <xf numFmtId="0" fontId="137" fillId="0" borderId="348" xfId="122" applyFont="1" applyBorder="1" applyAlignment="1">
      <alignment horizontal="center"/>
    </xf>
    <xf numFmtId="0" fontId="137" fillId="32" borderId="56" xfId="122" applyFont="1" applyFill="1" applyBorder="1" applyAlignment="1">
      <alignment horizontal="center"/>
    </xf>
    <xf numFmtId="0" fontId="137" fillId="32" borderId="0" xfId="122" applyFont="1" applyFill="1" applyAlignment="1">
      <alignment horizontal="center"/>
    </xf>
    <xf numFmtId="0" fontId="137" fillId="32" borderId="24" xfId="122" applyFont="1" applyFill="1" applyBorder="1" applyAlignment="1">
      <alignment horizontal="center"/>
    </xf>
    <xf numFmtId="0" fontId="141" fillId="0" borderId="0" xfId="122" applyFont="1" applyAlignment="1">
      <alignment horizontal="center"/>
    </xf>
    <xf numFmtId="0" fontId="253" fillId="0" borderId="0" xfId="122" applyFont="1" applyAlignment="1">
      <alignment horizontal="center"/>
    </xf>
    <xf numFmtId="0" fontId="253" fillId="0" borderId="174" xfId="122" applyFont="1" applyBorder="1" applyAlignment="1">
      <alignment horizontal="center"/>
    </xf>
    <xf numFmtId="0" fontId="253" fillId="0" borderId="347" xfId="122" applyFont="1" applyBorder="1" applyAlignment="1">
      <alignment horizontal="center"/>
    </xf>
    <xf numFmtId="0" fontId="253" fillId="0" borderId="348" xfId="122" applyFont="1" applyBorder="1" applyAlignment="1">
      <alignment horizontal="center"/>
    </xf>
    <xf numFmtId="0" fontId="253" fillId="0" borderId="473" xfId="122" applyFont="1" applyBorder="1" applyAlignment="1">
      <alignment horizontal="center"/>
    </xf>
    <xf numFmtId="0" fontId="253" fillId="0" borderId="493" xfId="122" applyFont="1" applyBorder="1" applyAlignment="1">
      <alignment horizontal="center"/>
    </xf>
    <xf numFmtId="0" fontId="253" fillId="0" borderId="475" xfId="122" applyFont="1" applyBorder="1" applyAlignment="1">
      <alignment horizontal="center"/>
    </xf>
    <xf numFmtId="0" fontId="137" fillId="32" borderId="174" xfId="122" applyFont="1" applyFill="1" applyBorder="1" applyAlignment="1">
      <alignment horizontal="center"/>
    </xf>
    <xf numFmtId="0" fontId="137" fillId="32" borderId="347" xfId="122" applyFont="1" applyFill="1" applyBorder="1" applyAlignment="1">
      <alignment horizontal="center"/>
    </xf>
    <xf numFmtId="0" fontId="137" fillId="32" borderId="348" xfId="122" applyFont="1" applyFill="1" applyBorder="1" applyAlignment="1">
      <alignment horizontal="center"/>
    </xf>
    <xf numFmtId="0" fontId="157" fillId="0" borderId="0" xfId="0" applyFont="1" applyAlignment="1">
      <alignment horizontal="center" wrapText="1"/>
    </xf>
    <xf numFmtId="0" fontId="157" fillId="0" borderId="174" xfId="0" applyFont="1" applyBorder="1" applyAlignment="1">
      <alignment horizontal="center" wrapText="1"/>
    </xf>
    <xf numFmtId="0" fontId="157" fillId="0" borderId="347" xfId="0" applyFont="1" applyBorder="1" applyAlignment="1">
      <alignment horizontal="center" wrapText="1"/>
    </xf>
    <xf numFmtId="0" fontId="157" fillId="0" borderId="348" xfId="0" applyFont="1" applyBorder="1" applyAlignment="1">
      <alignment horizontal="center" wrapText="1"/>
    </xf>
    <xf numFmtId="0" fontId="157" fillId="0" borderId="174" xfId="0" applyFont="1" applyBorder="1" applyAlignment="1">
      <alignment horizontal="center" vertical="center" wrapText="1"/>
    </xf>
    <xf numFmtId="0" fontId="157" fillId="0" borderId="347" xfId="0" applyFont="1" applyBorder="1" applyAlignment="1">
      <alignment horizontal="center" vertical="center" wrapText="1"/>
    </xf>
    <xf numFmtId="0" fontId="157" fillId="0" borderId="348" xfId="0" applyFont="1" applyBorder="1" applyAlignment="1">
      <alignment horizontal="center" vertical="center" wrapText="1"/>
    </xf>
    <xf numFmtId="3" fontId="157" fillId="0" borderId="174" xfId="0" applyNumberFormat="1" applyFont="1" applyBorder="1" applyAlignment="1">
      <alignment horizontal="center" vertical="center" wrapText="1"/>
    </xf>
    <xf numFmtId="3" fontId="157" fillId="0" borderId="347" xfId="0" applyNumberFormat="1" applyFont="1" applyBorder="1" applyAlignment="1">
      <alignment horizontal="center" vertical="center" wrapText="1"/>
    </xf>
    <xf numFmtId="3" fontId="157" fillId="0" borderId="348" xfId="0" applyNumberFormat="1" applyFont="1" applyBorder="1" applyAlignment="1">
      <alignment horizontal="center" vertical="center" wrapText="1"/>
    </xf>
    <xf numFmtId="182" fontId="343" fillId="0" borderId="321" xfId="0" applyNumberFormat="1" applyFont="1" applyBorder="1" applyAlignment="1">
      <alignment horizontal="left"/>
    </xf>
    <xf numFmtId="182" fontId="343" fillId="0" borderId="92" xfId="0" applyNumberFormat="1" applyFont="1" applyBorder="1" applyAlignment="1">
      <alignment horizontal="left"/>
    </xf>
    <xf numFmtId="182" fontId="343" fillId="0" borderId="107" xfId="0" applyNumberFormat="1" applyFont="1" applyBorder="1" applyAlignment="1">
      <alignment horizontal="left"/>
    </xf>
    <xf numFmtId="182" fontId="341" fillId="0" borderId="0" xfId="0" applyNumberFormat="1" applyFont="1" applyAlignment="1">
      <alignment horizontal="center"/>
    </xf>
    <xf numFmtId="0" fontId="147" fillId="0" borderId="0" xfId="0" applyFont="1" applyAlignment="1">
      <alignment horizontal="center" wrapText="1"/>
    </xf>
    <xf numFmtId="0" fontId="147" fillId="0" borderId="0" xfId="0" applyFont="1" applyAlignment="1">
      <alignment horizontal="center"/>
    </xf>
    <xf numFmtId="182" fontId="187" fillId="0" borderId="0" xfId="0" applyNumberFormat="1" applyFont="1" applyAlignment="1">
      <alignment horizontal="center"/>
    </xf>
    <xf numFmtId="0" fontId="242" fillId="0" borderId="0" xfId="122" applyFont="1" applyAlignment="1">
      <alignment horizontal="center" wrapText="1"/>
    </xf>
    <xf numFmtId="0" fontId="248" fillId="0" borderId="0" xfId="122" applyFont="1" applyAlignment="1">
      <alignment horizontal="center" wrapText="1"/>
    </xf>
    <xf numFmtId="0" fontId="242" fillId="0" borderId="424" xfId="122" applyFont="1" applyBorder="1" applyAlignment="1">
      <alignment horizontal="center" vertical="center"/>
    </xf>
    <xf numFmtId="0" fontId="242" fillId="0" borderId="358" xfId="122" applyFont="1" applyBorder="1" applyAlignment="1">
      <alignment horizontal="center" vertical="center"/>
    </xf>
    <xf numFmtId="0" fontId="242" fillId="0" borderId="437" xfId="122" applyFont="1" applyBorder="1" applyAlignment="1">
      <alignment horizontal="center" vertical="center"/>
    </xf>
    <xf numFmtId="0" fontId="242" fillId="0" borderId="359" xfId="122" applyFont="1" applyBorder="1" applyAlignment="1">
      <alignment horizontal="center" vertical="center"/>
    </xf>
    <xf numFmtId="0" fontId="242" fillId="0" borderId="480" xfId="122" applyFont="1" applyBorder="1" applyAlignment="1">
      <alignment horizontal="center" vertical="center"/>
    </xf>
    <xf numFmtId="0" fontId="242" fillId="0" borderId="357" xfId="122" applyFont="1" applyBorder="1" applyAlignment="1">
      <alignment horizontal="center" vertical="center"/>
    </xf>
    <xf numFmtId="0" fontId="242" fillId="0" borderId="292" xfId="122" applyFont="1" applyBorder="1" applyAlignment="1">
      <alignment horizontal="center" vertical="center"/>
    </xf>
    <xf numFmtId="0" fontId="242" fillId="0" borderId="293" xfId="122" applyFont="1" applyBorder="1" applyAlignment="1">
      <alignment horizontal="center" vertical="center"/>
    </xf>
    <xf numFmtId="0" fontId="242" fillId="0" borderId="308" xfId="122" applyFont="1" applyBorder="1" applyAlignment="1">
      <alignment horizontal="center" vertical="center"/>
    </xf>
    <xf numFmtId="175" fontId="242" fillId="0" borderId="429" xfId="122" applyNumberFormat="1" applyFont="1" applyBorder="1" applyAlignment="1">
      <alignment horizontal="left" vertical="center"/>
    </xf>
    <xf numFmtId="175" fontId="242" fillId="0" borderId="69" xfId="122" applyNumberFormat="1" applyFont="1" applyBorder="1" applyAlignment="1">
      <alignment horizontal="left" vertical="center"/>
    </xf>
    <xf numFmtId="0" fontId="237" fillId="0" borderId="0" xfId="122" applyFont="1" applyAlignment="1">
      <alignment horizontal="center" wrapText="1"/>
    </xf>
    <xf numFmtId="0" fontId="284" fillId="0" borderId="293" xfId="122" applyFont="1" applyBorder="1" applyAlignment="1">
      <alignment horizontal="center" vertical="center"/>
    </xf>
    <xf numFmtId="0" fontId="284" fillId="0" borderId="308" xfId="122" applyFont="1" applyBorder="1" applyAlignment="1">
      <alignment horizontal="center" vertical="center"/>
    </xf>
    <xf numFmtId="0" fontId="284" fillId="0" borderId="292" xfId="122" applyFont="1" applyBorder="1" applyAlignment="1">
      <alignment horizontal="center" vertical="center"/>
    </xf>
    <xf numFmtId="0" fontId="284" fillId="0" borderId="357" xfId="122" applyFont="1" applyBorder="1" applyAlignment="1">
      <alignment horizontal="center" vertical="center"/>
    </xf>
    <xf numFmtId="0" fontId="284" fillId="0" borderId="407" xfId="122" applyFont="1" applyBorder="1" applyAlignment="1">
      <alignment horizontal="center" vertical="center"/>
    </xf>
    <xf numFmtId="0" fontId="284" fillId="0" borderId="354" xfId="122" applyFont="1" applyBorder="1" applyAlignment="1">
      <alignment horizontal="center" vertical="center"/>
    </xf>
    <xf numFmtId="0" fontId="284" fillId="0" borderId="480" xfId="122" applyFont="1" applyBorder="1" applyAlignment="1">
      <alignment horizontal="center" vertical="center"/>
    </xf>
    <xf numFmtId="0" fontId="284" fillId="0" borderId="294" xfId="122" applyFont="1" applyBorder="1" applyAlignment="1">
      <alignment horizontal="center" vertical="center"/>
    </xf>
    <xf numFmtId="0" fontId="284" fillId="0" borderId="311" xfId="122" applyFont="1" applyBorder="1" applyAlignment="1">
      <alignment horizontal="center" vertical="center"/>
    </xf>
    <xf numFmtId="0" fontId="284" fillId="0" borderId="167" xfId="122" applyFont="1" applyBorder="1" applyAlignment="1">
      <alignment horizontal="center" vertical="center"/>
    </xf>
    <xf numFmtId="0" fontId="284" fillId="0" borderId="114" xfId="122" applyFont="1" applyBorder="1" applyAlignment="1">
      <alignment horizontal="center" vertical="center"/>
    </xf>
    <xf numFmtId="0" fontId="284" fillId="0" borderId="424" xfId="122" applyFont="1" applyBorder="1" applyAlignment="1">
      <alignment horizontal="center" vertical="center"/>
    </xf>
    <xf numFmtId="0" fontId="284" fillId="0" borderId="358" xfId="122" applyFont="1" applyBorder="1" applyAlignment="1">
      <alignment horizontal="center" vertical="center"/>
    </xf>
    <xf numFmtId="0" fontId="284" fillId="0" borderId="443" xfId="122" applyFont="1" applyBorder="1" applyAlignment="1">
      <alignment horizontal="center" vertical="center"/>
    </xf>
    <xf numFmtId="0" fontId="284" fillId="0" borderId="0" xfId="122" applyFont="1" applyAlignment="1">
      <alignment horizontal="center" vertical="center"/>
    </xf>
    <xf numFmtId="0" fontId="284" fillId="0" borderId="437" xfId="122" applyFont="1" applyBorder="1" applyAlignment="1">
      <alignment horizontal="center" vertical="center"/>
    </xf>
    <xf numFmtId="0" fontId="284" fillId="0" borderId="359" xfId="122" applyFont="1" applyBorder="1" applyAlignment="1">
      <alignment horizontal="center" vertical="center"/>
    </xf>
    <xf numFmtId="0" fontId="284" fillId="0" borderId="487" xfId="122" applyFont="1" applyBorder="1" applyAlignment="1">
      <alignment horizontal="center" vertical="center"/>
    </xf>
    <xf numFmtId="0" fontId="332" fillId="0" borderId="0" xfId="1452" applyFont="1" applyAlignment="1">
      <alignment horizontal="left" wrapText="1"/>
    </xf>
    <xf numFmtId="0" fontId="331" fillId="0" borderId="0" xfId="1452" applyFont="1" applyAlignment="1">
      <alignment horizontal="center" wrapText="1"/>
    </xf>
    <xf numFmtId="0" fontId="168" fillId="0" borderId="0" xfId="122" applyFont="1" applyAlignment="1">
      <alignment horizontal="center"/>
    </xf>
    <xf numFmtId="0" fontId="147" fillId="0" borderId="0" xfId="122" applyFont="1" applyAlignment="1">
      <alignment horizontal="center" wrapText="1"/>
    </xf>
    <xf numFmtId="0" fontId="147" fillId="0" borderId="0" xfId="122" applyFont="1" applyAlignment="1">
      <alignment horizontal="center"/>
    </xf>
    <xf numFmtId="0" fontId="197" fillId="0" borderId="0" xfId="122" applyFont="1" applyAlignment="1">
      <alignment horizontal="left" wrapText="1"/>
    </xf>
    <xf numFmtId="0" fontId="242" fillId="0" borderId="0" xfId="122" applyFont="1" applyAlignment="1">
      <alignment horizontal="center"/>
    </xf>
    <xf numFmtId="0" fontId="195" fillId="0" borderId="0" xfId="122" applyFont="1" applyAlignment="1">
      <alignment horizontal="center"/>
    </xf>
    <xf numFmtId="0" fontId="195" fillId="33" borderId="174" xfId="122" applyFont="1" applyFill="1" applyBorder="1" applyAlignment="1">
      <alignment horizontal="center"/>
    </xf>
    <xf numFmtId="0" fontId="195" fillId="33" borderId="188" xfId="122" applyFont="1" applyFill="1" applyBorder="1" applyAlignment="1">
      <alignment horizontal="center"/>
    </xf>
    <xf numFmtId="0" fontId="195" fillId="33" borderId="191" xfId="122" applyFont="1" applyFill="1" applyBorder="1" applyAlignment="1">
      <alignment horizontal="center"/>
    </xf>
    <xf numFmtId="0" fontId="234" fillId="0" borderId="0" xfId="128" applyFont="1" applyAlignment="1">
      <alignment horizontal="center" vertical="center"/>
    </xf>
    <xf numFmtId="0" fontId="235" fillId="0" borderId="322" xfId="128" applyFont="1" applyBorder="1"/>
    <xf numFmtId="3" fontId="168" fillId="0" borderId="0" xfId="124" applyNumberFormat="1" applyFont="1" applyAlignment="1">
      <alignment horizontal="center"/>
    </xf>
    <xf numFmtId="3" fontId="174" fillId="0" borderId="0" xfId="124" applyNumberFormat="1" applyFont="1" applyAlignment="1">
      <alignment horizontal="center"/>
    </xf>
    <xf numFmtId="3" fontId="168" fillId="0" borderId="0" xfId="184" applyNumberFormat="1" applyFont="1" applyAlignment="1">
      <alignment horizontal="center" vertical="center"/>
    </xf>
    <xf numFmtId="172" fontId="168" fillId="0" borderId="218" xfId="1317" applyNumberFormat="1" applyFont="1" applyBorder="1" applyAlignment="1">
      <alignment horizontal="center"/>
    </xf>
    <xf numFmtId="172" fontId="168" fillId="0" borderId="19" xfId="1317" applyNumberFormat="1" applyFont="1" applyBorder="1" applyAlignment="1">
      <alignment horizontal="center"/>
    </xf>
    <xf numFmtId="172" fontId="168" fillId="0" borderId="28" xfId="1317" applyNumberFormat="1" applyFont="1" applyBorder="1" applyAlignment="1">
      <alignment horizontal="center"/>
    </xf>
    <xf numFmtId="172" fontId="168" fillId="0" borderId="331" xfId="1317" applyNumberFormat="1" applyFont="1" applyBorder="1" applyAlignment="1">
      <alignment horizontal="center"/>
    </xf>
    <xf numFmtId="172" fontId="168" fillId="0" borderId="0" xfId="1317" applyNumberFormat="1" applyFont="1" applyAlignment="1">
      <alignment horizontal="center"/>
    </xf>
    <xf numFmtId="172" fontId="168" fillId="0" borderId="116" xfId="1317" applyNumberFormat="1" applyFont="1" applyBorder="1" applyAlignment="1">
      <alignment horizontal="center"/>
    </xf>
    <xf numFmtId="172" fontId="168" fillId="0" borderId="0" xfId="124" applyNumberFormat="1" applyFont="1" applyAlignment="1">
      <alignment horizontal="center"/>
    </xf>
    <xf numFmtId="172" fontId="174" fillId="0" borderId="0" xfId="1317" applyNumberFormat="1" applyFont="1" applyAlignment="1">
      <alignment horizontal="center"/>
    </xf>
    <xf numFmtId="172" fontId="168" fillId="0" borderId="322" xfId="122" applyNumberFormat="1" applyFont="1" applyBorder="1" applyAlignment="1">
      <alignment horizontal="center"/>
    </xf>
    <xf numFmtId="173" fontId="165" fillId="0" borderId="0" xfId="124" applyNumberFormat="1" applyFont="1" applyAlignment="1">
      <alignment horizontal="center"/>
    </xf>
    <xf numFmtId="173" fontId="165" fillId="0" borderId="374" xfId="124" applyNumberFormat="1" applyFont="1" applyBorder="1" applyAlignment="1">
      <alignment horizontal="center"/>
    </xf>
    <xf numFmtId="3" fontId="147" fillId="26" borderId="107" xfId="124" applyNumberFormat="1" applyFont="1" applyFill="1" applyBorder="1" applyAlignment="1">
      <alignment horizontal="center" vertical="center"/>
    </xf>
    <xf numFmtId="3" fontId="147" fillId="26" borderId="104" xfId="124" applyNumberFormat="1" applyFont="1" applyFill="1" applyBorder="1" applyAlignment="1">
      <alignment horizontal="center" vertical="center"/>
    </xf>
    <xf numFmtId="173" fontId="232" fillId="0" borderId="0" xfId="124" applyNumberFormat="1" applyFont="1" applyAlignment="1">
      <alignment horizontal="center"/>
    </xf>
    <xf numFmtId="173" fontId="157" fillId="0" borderId="374" xfId="124" applyNumberFormat="1" applyFont="1" applyBorder="1" applyAlignment="1">
      <alignment horizontal="center"/>
    </xf>
    <xf numFmtId="3" fontId="157" fillId="26" borderId="171" xfId="124" applyNumberFormat="1" applyFont="1" applyFill="1" applyBorder="1" applyAlignment="1">
      <alignment vertical="center"/>
    </xf>
    <xf numFmtId="3" fontId="157" fillId="26" borderId="104" xfId="124" applyNumberFormat="1" applyFont="1" applyFill="1" applyBorder="1" applyAlignment="1">
      <alignment vertical="center"/>
    </xf>
    <xf numFmtId="3" fontId="354" fillId="26" borderId="171" xfId="124" applyNumberFormat="1" applyFont="1" applyFill="1" applyBorder="1" applyAlignment="1">
      <alignment horizontal="center" vertical="center"/>
    </xf>
    <xf numFmtId="3" fontId="354" fillId="26" borderId="104" xfId="124" applyNumberFormat="1" applyFont="1" applyFill="1" applyBorder="1" applyAlignment="1">
      <alignment horizontal="center" vertical="center"/>
    </xf>
    <xf numFmtId="173" fontId="232" fillId="0" borderId="322" xfId="124" applyNumberFormat="1" applyFont="1" applyBorder="1" applyAlignment="1">
      <alignment horizontal="center"/>
    </xf>
    <xf numFmtId="3" fontId="157" fillId="26" borderId="171" xfId="57" applyNumberFormat="1" applyFont="1" applyFill="1" applyBorder="1" applyAlignment="1">
      <alignment horizontal="center" vertical="center"/>
    </xf>
    <xf numFmtId="3" fontId="157" fillId="26" borderId="104" xfId="57" applyNumberFormat="1" applyFont="1" applyFill="1" applyBorder="1" applyAlignment="1">
      <alignment horizontal="center" vertical="center"/>
    </xf>
    <xf numFmtId="173" fontId="149" fillId="0" borderId="0" xfId="124" applyNumberFormat="1" applyFont="1" applyAlignment="1">
      <alignment horizontal="center"/>
    </xf>
    <xf numFmtId="3" fontId="157" fillId="34" borderId="171" xfId="124" applyNumberFormat="1" applyFont="1" applyFill="1" applyBorder="1" applyAlignment="1">
      <alignment horizontal="center" vertical="center"/>
    </xf>
    <xf numFmtId="3" fontId="157" fillId="34" borderId="104" xfId="124" applyNumberFormat="1" applyFont="1" applyFill="1" applyBorder="1" applyAlignment="1">
      <alignment horizontal="center" vertical="center"/>
    </xf>
    <xf numFmtId="3" fontId="157" fillId="0" borderId="171" xfId="124" applyNumberFormat="1" applyFont="1" applyBorder="1" applyAlignment="1">
      <alignment horizontal="center" vertical="center"/>
    </xf>
    <xf numFmtId="3" fontId="157" fillId="0" borderId="104" xfId="124" applyNumberFormat="1" applyFont="1" applyBorder="1" applyAlignment="1">
      <alignment horizontal="center" vertical="center"/>
    </xf>
    <xf numFmtId="3" fontId="147" fillId="34" borderId="171" xfId="57" applyNumberFormat="1" applyFont="1" applyFill="1" applyBorder="1" applyAlignment="1">
      <alignment horizontal="center" vertical="center"/>
    </xf>
    <xf numFmtId="3" fontId="147" fillId="34" borderId="104" xfId="57" applyNumberFormat="1" applyFont="1" applyFill="1" applyBorder="1" applyAlignment="1">
      <alignment horizontal="center" vertical="center"/>
    </xf>
    <xf numFmtId="3" fontId="147" fillId="0" borderId="171" xfId="57" applyNumberFormat="1" applyFont="1" applyFill="1" applyBorder="1" applyAlignment="1">
      <alignment horizontal="center" vertical="center"/>
    </xf>
    <xf numFmtId="3" fontId="147" fillId="0" borderId="104" xfId="57" applyNumberFormat="1" applyFont="1" applyFill="1" applyBorder="1" applyAlignment="1">
      <alignment horizontal="center" vertical="center"/>
    </xf>
    <xf numFmtId="173" fontId="313" fillId="0" borderId="0" xfId="124" applyNumberFormat="1" applyFont="1" applyAlignment="1">
      <alignment horizontal="center"/>
    </xf>
    <xf numFmtId="173" fontId="313" fillId="34" borderId="0" xfId="124" applyNumberFormat="1" applyFont="1" applyFill="1" applyAlignment="1">
      <alignment horizontal="center"/>
    </xf>
    <xf numFmtId="3" fontId="313" fillId="34" borderId="171" xfId="57" applyNumberFormat="1" applyFont="1" applyFill="1" applyBorder="1" applyAlignment="1">
      <alignment horizontal="center" vertical="center"/>
    </xf>
    <xf numFmtId="3" fontId="313" fillId="34" borderId="104" xfId="57" applyNumberFormat="1" applyFont="1" applyFill="1" applyBorder="1" applyAlignment="1">
      <alignment horizontal="center" vertical="center"/>
    </xf>
    <xf numFmtId="0" fontId="151" fillId="0" borderId="0" xfId="122" applyFont="1" applyAlignment="1">
      <alignment horizontal="center" wrapText="1"/>
    </xf>
    <xf numFmtId="0" fontId="151" fillId="0" borderId="174" xfId="122" applyFont="1" applyBorder="1" applyAlignment="1">
      <alignment horizontal="center"/>
    </xf>
    <xf numFmtId="0" fontId="151" fillId="0" borderId="348" xfId="122" applyFont="1" applyBorder="1" applyAlignment="1">
      <alignment horizontal="center"/>
    </xf>
    <xf numFmtId="0" fontId="151" fillId="0" borderId="191" xfId="122" applyFont="1" applyBorder="1" applyAlignment="1">
      <alignment horizontal="center"/>
    </xf>
    <xf numFmtId="0" fontId="151" fillId="0" borderId="347" xfId="122" applyFont="1" applyBorder="1" applyAlignment="1">
      <alignment horizontal="center"/>
    </xf>
    <xf numFmtId="0" fontId="151" fillId="0" borderId="176" xfId="122" applyFont="1" applyBorder="1" applyAlignment="1">
      <alignment horizontal="center"/>
    </xf>
    <xf numFmtId="0" fontId="151" fillId="0" borderId="190" xfId="122" applyFont="1" applyBorder="1" applyAlignment="1">
      <alignment horizontal="center"/>
    </xf>
    <xf numFmtId="0" fontId="151" fillId="0" borderId="68" xfId="122" applyFont="1" applyBorder="1" applyAlignment="1">
      <alignment horizontal="center"/>
    </xf>
    <xf numFmtId="0" fontId="147" fillId="0" borderId="214" xfId="122" applyFont="1" applyBorder="1" applyAlignment="1">
      <alignment horizontal="center"/>
    </xf>
    <xf numFmtId="0" fontId="147" fillId="0" borderId="191" xfId="122" applyFont="1" applyBorder="1" applyAlignment="1">
      <alignment horizontal="center"/>
    </xf>
    <xf numFmtId="0" fontId="147" fillId="0" borderId="291" xfId="122" applyFont="1" applyBorder="1" applyAlignment="1">
      <alignment horizontal="center"/>
    </xf>
    <xf numFmtId="0" fontId="147" fillId="0" borderId="497" xfId="122" applyFont="1" applyBorder="1" applyAlignment="1">
      <alignment horizontal="center"/>
    </xf>
    <xf numFmtId="0" fontId="147" fillId="0" borderId="292" xfId="122" applyFont="1" applyBorder="1" applyAlignment="1">
      <alignment horizontal="center"/>
    </xf>
    <xf numFmtId="0" fontId="147" fillId="0" borderId="346" xfId="122" applyFont="1" applyBorder="1" applyAlignment="1">
      <alignment horizontal="center"/>
    </xf>
    <xf numFmtId="0" fontId="147" fillId="0" borderId="347" xfId="122" applyFont="1" applyBorder="1" applyAlignment="1">
      <alignment horizontal="center"/>
    </xf>
    <xf numFmtId="0" fontId="147" fillId="0" borderId="174" xfId="122" applyFont="1" applyBorder="1" applyAlignment="1">
      <alignment horizontal="center"/>
    </xf>
    <xf numFmtId="0" fontId="147" fillId="0" borderId="348" xfId="122" applyFont="1" applyBorder="1" applyAlignment="1">
      <alignment horizontal="center"/>
    </xf>
    <xf numFmtId="0" fontId="120" fillId="0" borderId="0" xfId="122" applyFont="1" applyAlignment="1">
      <alignment horizontal="center"/>
    </xf>
    <xf numFmtId="0" fontId="168" fillId="0" borderId="0" xfId="142" applyFont="1" applyAlignment="1">
      <alignment horizontal="center"/>
    </xf>
    <xf numFmtId="0" fontId="187" fillId="0" borderId="0" xfId="142" applyFont="1" applyAlignment="1">
      <alignment horizontal="center"/>
    </xf>
    <xf numFmtId="0" fontId="234" fillId="0" borderId="0" xfId="142" applyFont="1" applyAlignment="1">
      <alignment horizontal="center"/>
    </xf>
    <xf numFmtId="0" fontId="256" fillId="0" borderId="0" xfId="142" applyFont="1" applyAlignment="1">
      <alignment horizontal="center"/>
    </xf>
    <xf numFmtId="0" fontId="168" fillId="26" borderId="0" xfId="122" applyFont="1" applyFill="1" applyAlignment="1">
      <alignment horizontal="center"/>
    </xf>
    <xf numFmtId="0" fontId="170" fillId="26" borderId="0" xfId="122" applyFont="1" applyFill="1" applyAlignment="1">
      <alignment horizontal="center"/>
    </xf>
    <xf numFmtId="0" fontId="157" fillId="0" borderId="0" xfId="830" applyFont="1" applyAlignment="1">
      <alignment horizontal="center"/>
    </xf>
    <xf numFmtId="234" fontId="157" fillId="0" borderId="0" xfId="1070" applyNumberFormat="1" applyFont="1" applyFill="1" applyBorder="1" applyAlignment="1">
      <alignment horizontal="center"/>
    </xf>
    <xf numFmtId="0" fontId="151" fillId="0" borderId="0" xfId="830" applyFont="1" applyAlignment="1">
      <alignment horizontal="center"/>
    </xf>
    <xf numFmtId="234" fontId="151" fillId="0" borderId="0" xfId="5089" applyNumberFormat="1" applyFont="1" applyFill="1" applyAlignment="1">
      <alignment horizontal="center"/>
    </xf>
    <xf numFmtId="234" fontId="151" fillId="0" borderId="0" xfId="5089" applyNumberFormat="1" applyFont="1" applyFill="1" applyBorder="1" applyAlignment="1">
      <alignment horizontal="center"/>
    </xf>
    <xf numFmtId="0" fontId="234" fillId="0" borderId="0" xfId="122" applyFont="1" applyAlignment="1">
      <alignment horizontal="center" wrapText="1"/>
    </xf>
    <xf numFmtId="234" fontId="234" fillId="0" borderId="0" xfId="5089" applyNumberFormat="1" applyFont="1" applyFill="1" applyAlignment="1">
      <alignment horizontal="center"/>
    </xf>
    <xf numFmtId="180" fontId="234" fillId="0" borderId="374" xfId="4808" applyFont="1" applyBorder="1" applyAlignment="1">
      <alignment horizontal="center"/>
    </xf>
    <xf numFmtId="0" fontId="195" fillId="0" borderId="0" xfId="122" applyFont="1" applyAlignment="1">
      <alignment horizontal="center" wrapText="1"/>
    </xf>
    <xf numFmtId="0" fontId="137" fillId="0" borderId="0" xfId="122" applyFont="1" applyAlignment="1">
      <alignment horizontal="center"/>
    </xf>
    <xf numFmtId="234" fontId="253" fillId="0" borderId="0" xfId="1070" applyNumberFormat="1" applyFont="1" applyFill="1" applyBorder="1" applyAlignment="1">
      <alignment horizontal="center"/>
    </xf>
    <xf numFmtId="234" fontId="265" fillId="0" borderId="0" xfId="1070" applyNumberFormat="1" applyFont="1" applyFill="1" applyBorder="1" applyAlignment="1">
      <alignment horizontal="center"/>
    </xf>
    <xf numFmtId="0" fontId="120" fillId="0" borderId="0" xfId="124" applyFont="1" applyAlignment="1">
      <alignment horizontal="center"/>
    </xf>
    <xf numFmtId="0" fontId="120" fillId="0" borderId="0" xfId="124" applyFont="1" applyAlignment="1">
      <alignment horizontal="center" wrapText="1"/>
    </xf>
    <xf numFmtId="0" fontId="122" fillId="0" borderId="0" xfId="1317" applyFont="1" applyAlignment="1">
      <alignment horizontal="center"/>
    </xf>
    <xf numFmtId="0" fontId="325" fillId="0" borderId="0" xfId="124" applyFont="1" applyAlignment="1">
      <alignment horizontal="center" wrapText="1"/>
    </xf>
    <xf numFmtId="0" fontId="325" fillId="0" borderId="0" xfId="124" applyFont="1" applyAlignment="1">
      <alignment horizontal="center"/>
    </xf>
    <xf numFmtId="0" fontId="122" fillId="0" borderId="0" xfId="124" applyFont="1" applyAlignment="1">
      <alignment horizontal="center" wrapText="1"/>
    </xf>
    <xf numFmtId="0" fontId="259" fillId="0" borderId="158" xfId="0" applyFont="1" applyBorder="1" applyAlignment="1">
      <alignment horizontal="center"/>
    </xf>
    <xf numFmtId="0" fontId="259" fillId="0" borderId="92" xfId="0" applyFont="1" applyBorder="1" applyAlignment="1">
      <alignment horizontal="center"/>
    </xf>
    <xf numFmtId="0" fontId="259" fillId="0" borderId="107" xfId="0" applyFont="1" applyBorder="1" applyAlignment="1">
      <alignment horizontal="center"/>
    </xf>
    <xf numFmtId="0" fontId="259" fillId="0" borderId="164" xfId="0" applyFont="1" applyBorder="1" applyAlignment="1">
      <alignment horizontal="center"/>
    </xf>
    <xf numFmtId="0" fontId="151" fillId="0" borderId="0" xfId="128" applyFont="1" applyAlignment="1">
      <alignment horizontal="center"/>
    </xf>
    <xf numFmtId="0" fontId="244" fillId="0" borderId="0" xfId="0" applyFont="1" applyAlignment="1">
      <alignment horizontal="left"/>
    </xf>
    <xf numFmtId="0" fontId="242" fillId="0" borderId="174" xfId="0" applyFont="1" applyBorder="1" applyAlignment="1">
      <alignment horizontal="center"/>
    </xf>
    <xf numFmtId="0" fontId="242" fillId="0" borderId="347" xfId="0" applyFont="1" applyBorder="1" applyAlignment="1">
      <alignment horizontal="center"/>
    </xf>
    <xf numFmtId="0" fontId="242" fillId="0" borderId="102" xfId="0" applyFont="1" applyBorder="1" applyAlignment="1">
      <alignment horizontal="center"/>
    </xf>
    <xf numFmtId="175" fontId="243" fillId="0" borderId="480" xfId="0" applyNumberFormat="1" applyFont="1" applyBorder="1" applyAlignment="1">
      <alignment horizontal="center" vertical="center"/>
    </xf>
    <xf numFmtId="175" fontId="243" fillId="0" borderId="455" xfId="0" applyNumberFormat="1" applyFont="1" applyBorder="1" applyAlignment="1">
      <alignment horizontal="center" vertical="center"/>
    </xf>
    <xf numFmtId="175" fontId="243" fillId="0" borderId="357" xfId="0" applyNumberFormat="1" applyFont="1" applyBorder="1" applyAlignment="1">
      <alignment horizontal="center" vertical="center"/>
    </xf>
    <xf numFmtId="0" fontId="187" fillId="28" borderId="90" xfId="122" applyFont="1" applyFill="1" applyBorder="1"/>
    <xf numFmtId="2" fontId="187" fillId="28" borderId="0" xfId="122" applyNumberFormat="1" applyFont="1" applyFill="1"/>
    <xf numFmtId="2" fontId="187" fillId="28" borderId="329" xfId="122" applyNumberFormat="1" applyFont="1" applyFill="1" applyBorder="1" applyAlignment="1">
      <alignment horizontal="center"/>
    </xf>
    <xf numFmtId="175" fontId="187" fillId="28" borderId="329" xfId="122" applyNumberFormat="1" applyFont="1" applyFill="1" applyBorder="1" applyAlignment="1">
      <alignment horizontal="center"/>
    </xf>
    <xf numFmtId="172" fontId="187" fillId="28" borderId="329" xfId="122" applyNumberFormat="1" applyFont="1" applyFill="1" applyBorder="1" applyAlignment="1">
      <alignment horizontal="center"/>
    </xf>
    <xf numFmtId="171" fontId="187" fillId="28" borderId="24" xfId="149" applyNumberFormat="1" applyFont="1" applyFill="1" applyBorder="1" applyAlignment="1">
      <alignment horizontal="center"/>
    </xf>
    <xf numFmtId="0" fontId="150" fillId="28" borderId="0" xfId="122" applyFont="1" applyFill="1"/>
    <xf numFmtId="172" fontId="151" fillId="28" borderId="0" xfId="122" applyNumberFormat="1" applyFont="1" applyFill="1"/>
    <xf numFmtId="0" fontId="187" fillId="28" borderId="56" xfId="122" applyFont="1" applyFill="1" applyBorder="1"/>
    <xf numFmtId="39" fontId="187" fillId="28" borderId="329" xfId="57" applyNumberFormat="1" applyFont="1" applyFill="1" applyBorder="1" applyAlignment="1">
      <alignment horizontal="center"/>
    </xf>
    <xf numFmtId="175" fontId="187" fillId="28" borderId="329" xfId="57" applyNumberFormat="1" applyFont="1" applyFill="1" applyBorder="1" applyAlignment="1">
      <alignment horizontal="center"/>
    </xf>
    <xf numFmtId="172" fontId="187" fillId="28" borderId="329" xfId="57" applyNumberFormat="1" applyFont="1" applyFill="1" applyBorder="1" applyAlignment="1">
      <alignment horizontal="center"/>
    </xf>
    <xf numFmtId="0" fontId="236" fillId="28" borderId="0" xfId="122" applyFont="1" applyFill="1"/>
  </cellXfs>
  <cellStyles count="6195">
    <cellStyle name="_x000d__x000a_JournalTemplate=C:\COMFO\CTALK\JOURSTD.TPL_x000d__x000a_LbStateAddress=3 3 0 251 1 89 2 311_x000d__x000a_LbStateJou" xfId="5390" xr:uid="{00000000-0005-0000-0000-000000000000}"/>
    <cellStyle name="1 indent" xfId="424" xr:uid="{00000000-0005-0000-0000-000001000000}"/>
    <cellStyle name="2 indents" xfId="425" xr:uid="{00000000-0005-0000-0000-000002000000}"/>
    <cellStyle name="20% - Accent1 2" xfId="1" xr:uid="{00000000-0005-0000-0000-000003000000}"/>
    <cellStyle name="20% - Accent1 2 2" xfId="846" xr:uid="{00000000-0005-0000-0000-000004000000}"/>
    <cellStyle name="20% - Accent1 2 3" xfId="5240" xr:uid="{00000000-0005-0000-0000-000005000000}"/>
    <cellStyle name="20% - Accent1 3" xfId="2" xr:uid="{00000000-0005-0000-0000-000006000000}"/>
    <cellStyle name="20% - Accent1 3 2" xfId="847" xr:uid="{00000000-0005-0000-0000-000007000000}"/>
    <cellStyle name="20% - Accent1 3 3" xfId="5241" xr:uid="{00000000-0005-0000-0000-000008000000}"/>
    <cellStyle name="20% - Accent1 4" xfId="210" xr:uid="{00000000-0005-0000-0000-000009000000}"/>
    <cellStyle name="20% - Accent1 5" xfId="211" xr:uid="{00000000-0005-0000-0000-00000A000000}"/>
    <cellStyle name="20% - Accent2 2" xfId="3" xr:uid="{00000000-0005-0000-0000-00000B000000}"/>
    <cellStyle name="20% - Accent2 2 2" xfId="848" xr:uid="{00000000-0005-0000-0000-00000C000000}"/>
    <cellStyle name="20% - Accent2 2 3" xfId="5242" xr:uid="{00000000-0005-0000-0000-00000D000000}"/>
    <cellStyle name="20% - Accent2 3" xfId="4" xr:uid="{00000000-0005-0000-0000-00000E000000}"/>
    <cellStyle name="20% - Accent2 3 2" xfId="849" xr:uid="{00000000-0005-0000-0000-00000F000000}"/>
    <cellStyle name="20% - Accent2 3 3" xfId="5243" xr:uid="{00000000-0005-0000-0000-000010000000}"/>
    <cellStyle name="20% - Accent2 4" xfId="212" xr:uid="{00000000-0005-0000-0000-000011000000}"/>
    <cellStyle name="20% - Accent2 5" xfId="213" xr:uid="{00000000-0005-0000-0000-000012000000}"/>
    <cellStyle name="20% - Accent3 2" xfId="5" xr:uid="{00000000-0005-0000-0000-000013000000}"/>
    <cellStyle name="20% - Accent3 2 10" xfId="1450" xr:uid="{00000000-0005-0000-0000-000014000000}"/>
    <cellStyle name="20% - Accent3 2 10 2" xfId="2070" xr:uid="{00000000-0005-0000-0000-000015000000}"/>
    <cellStyle name="20% - Accent3 2 10 2 2" xfId="4014" xr:uid="{00000000-0005-0000-0000-000016000000}"/>
    <cellStyle name="20% - Accent3 2 10 3" xfId="2759" xr:uid="{00000000-0005-0000-0000-000017000000}"/>
    <cellStyle name="20% - Accent3 2 10 3 2" xfId="4685" xr:uid="{00000000-0005-0000-0000-000018000000}"/>
    <cellStyle name="20% - Accent3 2 10 4" xfId="3404" xr:uid="{00000000-0005-0000-0000-000019000000}"/>
    <cellStyle name="20% - Accent3 2 11" xfId="1460" xr:uid="{00000000-0005-0000-0000-00001A000000}"/>
    <cellStyle name="20% - Accent3 2 11 2" xfId="3414" xr:uid="{00000000-0005-0000-0000-00001B000000}"/>
    <cellStyle name="20% - Accent3 2 12" xfId="2152" xr:uid="{00000000-0005-0000-0000-00001C000000}"/>
    <cellStyle name="20% - Accent3 2 12 2" xfId="4096" xr:uid="{00000000-0005-0000-0000-00001D000000}"/>
    <cellStyle name="20% - Accent3 2 13" xfId="2884" xr:uid="{00000000-0005-0000-0000-00001E000000}"/>
    <cellStyle name="20% - Accent3 2 14" xfId="4812" xr:uid="{00000000-0005-0000-0000-00001F000000}"/>
    <cellStyle name="20% - Accent3 2 15" xfId="4887" xr:uid="{00000000-0005-0000-0000-000020000000}"/>
    <cellStyle name="20% - Accent3 2 16" xfId="4956" xr:uid="{00000000-0005-0000-0000-000021000000}"/>
    <cellStyle name="20% - Accent3 2 17" xfId="5030" xr:uid="{00000000-0005-0000-0000-000022000000}"/>
    <cellStyle name="20% - Accent3 2 18" xfId="5059" xr:uid="{00000000-0005-0000-0000-000023000000}"/>
    <cellStyle name="20% - Accent3 2 19" xfId="5102" xr:uid="{00000000-0005-0000-0000-000024000000}"/>
    <cellStyle name="20% - Accent3 2 2" xfId="6" xr:uid="{00000000-0005-0000-0000-000025000000}"/>
    <cellStyle name="20% - Accent3 2 2 10" xfId="4888" xr:uid="{00000000-0005-0000-0000-000026000000}"/>
    <cellStyle name="20% - Accent3 2 2 11" xfId="4957" xr:uid="{00000000-0005-0000-0000-000027000000}"/>
    <cellStyle name="20% - Accent3 2 2 12" xfId="5031" xr:uid="{00000000-0005-0000-0000-000028000000}"/>
    <cellStyle name="20% - Accent3 2 2 13" xfId="5060" xr:uid="{00000000-0005-0000-0000-000029000000}"/>
    <cellStyle name="20% - Accent3 2 2 14" xfId="5103" xr:uid="{00000000-0005-0000-0000-00002A000000}"/>
    <cellStyle name="20% - Accent3 2 2 15" xfId="5209" xr:uid="{00000000-0005-0000-0000-00002B000000}"/>
    <cellStyle name="20% - Accent3 2 2 16" xfId="5727" xr:uid="{00000000-0005-0000-0000-00002C000000}"/>
    <cellStyle name="20% - Accent3 2 2 2" xfId="185" xr:uid="{00000000-0005-0000-0000-00002D000000}"/>
    <cellStyle name="20% - Accent3 2 2 2 2" xfId="972" xr:uid="{00000000-0005-0000-0000-00002E000000}"/>
    <cellStyle name="20% - Accent3 2 2 2 2 2" xfId="1729" xr:uid="{00000000-0005-0000-0000-00002F000000}"/>
    <cellStyle name="20% - Accent3 2 2 2 2 2 2" xfId="3677" xr:uid="{00000000-0005-0000-0000-000030000000}"/>
    <cellStyle name="20% - Accent3 2 2 2 2 3" xfId="2449" xr:uid="{00000000-0005-0000-0000-000031000000}"/>
    <cellStyle name="20% - Accent3 2 2 2 2 3 2" xfId="4378" xr:uid="{00000000-0005-0000-0000-000032000000}"/>
    <cellStyle name="20% - Accent3 2 2 2 2 4" xfId="3076" xr:uid="{00000000-0005-0000-0000-000033000000}"/>
    <cellStyle name="20% - Accent3 2 2 2 2 5" xfId="5998" xr:uid="{00000000-0005-0000-0000-000034000000}"/>
    <cellStyle name="20% - Accent3 2 2 2 3" xfId="1164" xr:uid="{00000000-0005-0000-0000-000035000000}"/>
    <cellStyle name="20% - Accent3 2 2 2 3 2" xfId="1876" xr:uid="{00000000-0005-0000-0000-000036000000}"/>
    <cellStyle name="20% - Accent3 2 2 2 3 2 2" xfId="3821" xr:uid="{00000000-0005-0000-0000-000037000000}"/>
    <cellStyle name="20% - Accent3 2 2 2 3 3" xfId="2581" xr:uid="{00000000-0005-0000-0000-000038000000}"/>
    <cellStyle name="20% - Accent3 2 2 2 3 3 2" xfId="4510" xr:uid="{00000000-0005-0000-0000-000039000000}"/>
    <cellStyle name="20% - Accent3 2 2 2 3 4" xfId="3219" xr:uid="{00000000-0005-0000-0000-00003A000000}"/>
    <cellStyle name="20% - Accent3 2 2 2 4" xfId="1387" xr:uid="{00000000-0005-0000-0000-00003B000000}"/>
    <cellStyle name="20% - Accent3 2 2 2 4 2" xfId="2008" xr:uid="{00000000-0005-0000-0000-00003C000000}"/>
    <cellStyle name="20% - Accent3 2 2 2 4 2 2" xfId="3952" xr:uid="{00000000-0005-0000-0000-00003D000000}"/>
    <cellStyle name="20% - Accent3 2 2 2 4 3" xfId="2697" xr:uid="{00000000-0005-0000-0000-00003E000000}"/>
    <cellStyle name="20% - Accent3 2 2 2 4 3 2" xfId="4623" xr:uid="{00000000-0005-0000-0000-00003F000000}"/>
    <cellStyle name="20% - Accent3 2 2 2 4 4" xfId="3342" xr:uid="{00000000-0005-0000-0000-000040000000}"/>
    <cellStyle name="20% - Accent3 2 2 2 5" xfId="1500" xr:uid="{00000000-0005-0000-0000-000041000000}"/>
    <cellStyle name="20% - Accent3 2 2 2 5 2" xfId="3454" xr:uid="{00000000-0005-0000-0000-000042000000}"/>
    <cellStyle name="20% - Accent3 2 2 2 6" xfId="2184" xr:uid="{00000000-0005-0000-0000-000043000000}"/>
    <cellStyle name="20% - Accent3 2 2 2 6 2" xfId="4126" xr:uid="{00000000-0005-0000-0000-000044000000}"/>
    <cellStyle name="20% - Accent3 2 2 2 7" xfId="2907" xr:uid="{00000000-0005-0000-0000-000045000000}"/>
    <cellStyle name="20% - Accent3 2 2 2 8" xfId="5244" xr:uid="{00000000-0005-0000-0000-000046000000}"/>
    <cellStyle name="20% - Accent3 2 2 2 9" xfId="5751" xr:uid="{00000000-0005-0000-0000-000047000000}"/>
    <cellStyle name="20% - Accent3 2 2 3" xfId="786" xr:uid="{00000000-0005-0000-0000-000048000000}"/>
    <cellStyle name="20% - Accent3 2 2 3 2" xfId="1680" xr:uid="{00000000-0005-0000-0000-000049000000}"/>
    <cellStyle name="20% - Accent3 2 2 3 2 2" xfId="3628" xr:uid="{00000000-0005-0000-0000-00004A000000}"/>
    <cellStyle name="20% - Accent3 2 2 3 3" xfId="2389" xr:uid="{00000000-0005-0000-0000-00004B000000}"/>
    <cellStyle name="20% - Accent3 2 2 3 3 2" xfId="4321" xr:uid="{00000000-0005-0000-0000-00004C000000}"/>
    <cellStyle name="20% - Accent3 2 2 3 4" xfId="3034" xr:uid="{00000000-0005-0000-0000-00004D000000}"/>
    <cellStyle name="20% - Accent3 2 2 3 5" xfId="5974" xr:uid="{00000000-0005-0000-0000-00004E000000}"/>
    <cellStyle name="20% - Accent3 2 2 4" xfId="1127" xr:uid="{00000000-0005-0000-0000-00004F000000}"/>
    <cellStyle name="20% - Accent3 2 2 4 2" xfId="1841" xr:uid="{00000000-0005-0000-0000-000050000000}"/>
    <cellStyle name="20% - Accent3 2 2 4 2 2" xfId="3787" xr:uid="{00000000-0005-0000-0000-000051000000}"/>
    <cellStyle name="20% - Accent3 2 2 4 3" xfId="2555" xr:uid="{00000000-0005-0000-0000-000052000000}"/>
    <cellStyle name="20% - Accent3 2 2 4 3 2" xfId="4484" xr:uid="{00000000-0005-0000-0000-000053000000}"/>
    <cellStyle name="20% - Accent3 2 2 4 4" xfId="3185" xr:uid="{00000000-0005-0000-0000-000054000000}"/>
    <cellStyle name="20% - Accent3 2 2 5" xfId="1365" xr:uid="{00000000-0005-0000-0000-000055000000}"/>
    <cellStyle name="20% - Accent3 2 2 5 2" xfId="1986" xr:uid="{00000000-0005-0000-0000-000056000000}"/>
    <cellStyle name="20% - Accent3 2 2 5 2 2" xfId="3930" xr:uid="{00000000-0005-0000-0000-000057000000}"/>
    <cellStyle name="20% - Accent3 2 2 5 3" xfId="2675" xr:uid="{00000000-0005-0000-0000-000058000000}"/>
    <cellStyle name="20% - Accent3 2 2 5 3 2" xfId="4601" xr:uid="{00000000-0005-0000-0000-000059000000}"/>
    <cellStyle name="20% - Accent3 2 2 5 4" xfId="3320" xr:uid="{00000000-0005-0000-0000-00005A000000}"/>
    <cellStyle name="20% - Accent3 2 2 6" xfId="1461" xr:uid="{00000000-0005-0000-0000-00005B000000}"/>
    <cellStyle name="20% - Accent3 2 2 6 2" xfId="3415" xr:uid="{00000000-0005-0000-0000-00005C000000}"/>
    <cellStyle name="20% - Accent3 2 2 7" xfId="2153" xr:uid="{00000000-0005-0000-0000-00005D000000}"/>
    <cellStyle name="20% - Accent3 2 2 7 2" xfId="4097" xr:uid="{00000000-0005-0000-0000-00005E000000}"/>
    <cellStyle name="20% - Accent3 2 2 8" xfId="2885" xr:uid="{00000000-0005-0000-0000-00005F000000}"/>
    <cellStyle name="20% - Accent3 2 2 9" xfId="4813" xr:uid="{00000000-0005-0000-0000-000060000000}"/>
    <cellStyle name="20% - Accent3 2 20" xfId="5142" xr:uid="{00000000-0005-0000-0000-000061000000}"/>
    <cellStyle name="20% - Accent3 2 21" xfId="5698" xr:uid="{00000000-0005-0000-0000-000062000000}"/>
    <cellStyle name="20% - Accent3 2 3" xfId="7" xr:uid="{00000000-0005-0000-0000-000063000000}"/>
    <cellStyle name="20% - Accent3 2 3 10" xfId="4889" xr:uid="{00000000-0005-0000-0000-000064000000}"/>
    <cellStyle name="20% - Accent3 2 3 11" xfId="4958" xr:uid="{00000000-0005-0000-0000-000065000000}"/>
    <cellStyle name="20% - Accent3 2 3 12" xfId="5032" xr:uid="{00000000-0005-0000-0000-000066000000}"/>
    <cellStyle name="20% - Accent3 2 3 13" xfId="5061" xr:uid="{00000000-0005-0000-0000-000067000000}"/>
    <cellStyle name="20% - Accent3 2 3 14" xfId="5104" xr:uid="{00000000-0005-0000-0000-000068000000}"/>
    <cellStyle name="20% - Accent3 2 3 15" xfId="5245" xr:uid="{00000000-0005-0000-0000-000069000000}"/>
    <cellStyle name="20% - Accent3 2 3 16" xfId="5752" xr:uid="{00000000-0005-0000-0000-00006A000000}"/>
    <cellStyle name="20% - Accent3 2 3 2" xfId="186" xr:uid="{00000000-0005-0000-0000-00006B000000}"/>
    <cellStyle name="20% - Accent3 2 3 2 2" xfId="973" xr:uid="{00000000-0005-0000-0000-00006C000000}"/>
    <cellStyle name="20% - Accent3 2 3 2 2 2" xfId="1730" xr:uid="{00000000-0005-0000-0000-00006D000000}"/>
    <cellStyle name="20% - Accent3 2 3 2 2 2 2" xfId="3678" xr:uid="{00000000-0005-0000-0000-00006E000000}"/>
    <cellStyle name="20% - Accent3 2 3 2 2 3" xfId="2450" xr:uid="{00000000-0005-0000-0000-00006F000000}"/>
    <cellStyle name="20% - Accent3 2 3 2 2 3 2" xfId="4379" xr:uid="{00000000-0005-0000-0000-000070000000}"/>
    <cellStyle name="20% - Accent3 2 3 2 2 4" xfId="3077" xr:uid="{00000000-0005-0000-0000-000071000000}"/>
    <cellStyle name="20% - Accent3 2 3 2 3" xfId="1165" xr:uid="{00000000-0005-0000-0000-000072000000}"/>
    <cellStyle name="20% - Accent3 2 3 2 3 2" xfId="1877" xr:uid="{00000000-0005-0000-0000-000073000000}"/>
    <cellStyle name="20% - Accent3 2 3 2 3 2 2" xfId="3822" xr:uid="{00000000-0005-0000-0000-000074000000}"/>
    <cellStyle name="20% - Accent3 2 3 2 3 3" xfId="2582" xr:uid="{00000000-0005-0000-0000-000075000000}"/>
    <cellStyle name="20% - Accent3 2 3 2 3 3 2" xfId="4511" xr:uid="{00000000-0005-0000-0000-000076000000}"/>
    <cellStyle name="20% - Accent3 2 3 2 3 4" xfId="3220" xr:uid="{00000000-0005-0000-0000-000077000000}"/>
    <cellStyle name="20% - Accent3 2 3 2 4" xfId="1388" xr:uid="{00000000-0005-0000-0000-000078000000}"/>
    <cellStyle name="20% - Accent3 2 3 2 4 2" xfId="2009" xr:uid="{00000000-0005-0000-0000-000079000000}"/>
    <cellStyle name="20% - Accent3 2 3 2 4 2 2" xfId="3953" xr:uid="{00000000-0005-0000-0000-00007A000000}"/>
    <cellStyle name="20% - Accent3 2 3 2 4 3" xfId="2698" xr:uid="{00000000-0005-0000-0000-00007B000000}"/>
    <cellStyle name="20% - Accent3 2 3 2 4 3 2" xfId="4624" xr:uid="{00000000-0005-0000-0000-00007C000000}"/>
    <cellStyle name="20% - Accent3 2 3 2 4 4" xfId="3343" xr:uid="{00000000-0005-0000-0000-00007D000000}"/>
    <cellStyle name="20% - Accent3 2 3 2 5" xfId="1501" xr:uid="{00000000-0005-0000-0000-00007E000000}"/>
    <cellStyle name="20% - Accent3 2 3 2 5 2" xfId="3455" xr:uid="{00000000-0005-0000-0000-00007F000000}"/>
    <cellStyle name="20% - Accent3 2 3 2 6" xfId="2185" xr:uid="{00000000-0005-0000-0000-000080000000}"/>
    <cellStyle name="20% - Accent3 2 3 2 6 2" xfId="4127" xr:uid="{00000000-0005-0000-0000-000081000000}"/>
    <cellStyle name="20% - Accent3 2 3 2 7" xfId="2908" xr:uid="{00000000-0005-0000-0000-000082000000}"/>
    <cellStyle name="20% - Accent3 2 3 2 8" xfId="5999" xr:uid="{00000000-0005-0000-0000-000083000000}"/>
    <cellStyle name="20% - Accent3 2 3 3" xfId="787" xr:uid="{00000000-0005-0000-0000-000084000000}"/>
    <cellStyle name="20% - Accent3 2 3 3 2" xfId="1681" xr:uid="{00000000-0005-0000-0000-000085000000}"/>
    <cellStyle name="20% - Accent3 2 3 3 2 2" xfId="3629" xr:uid="{00000000-0005-0000-0000-000086000000}"/>
    <cellStyle name="20% - Accent3 2 3 3 3" xfId="2390" xr:uid="{00000000-0005-0000-0000-000087000000}"/>
    <cellStyle name="20% - Accent3 2 3 3 3 2" xfId="4322" xr:uid="{00000000-0005-0000-0000-000088000000}"/>
    <cellStyle name="20% - Accent3 2 3 3 4" xfId="3035" xr:uid="{00000000-0005-0000-0000-000089000000}"/>
    <cellStyle name="20% - Accent3 2 3 4" xfId="1128" xr:uid="{00000000-0005-0000-0000-00008A000000}"/>
    <cellStyle name="20% - Accent3 2 3 4 2" xfId="1842" xr:uid="{00000000-0005-0000-0000-00008B000000}"/>
    <cellStyle name="20% - Accent3 2 3 4 2 2" xfId="3788" xr:uid="{00000000-0005-0000-0000-00008C000000}"/>
    <cellStyle name="20% - Accent3 2 3 4 3" xfId="2556" xr:uid="{00000000-0005-0000-0000-00008D000000}"/>
    <cellStyle name="20% - Accent3 2 3 4 3 2" xfId="4485" xr:uid="{00000000-0005-0000-0000-00008E000000}"/>
    <cellStyle name="20% - Accent3 2 3 4 4" xfId="3186" xr:uid="{00000000-0005-0000-0000-00008F000000}"/>
    <cellStyle name="20% - Accent3 2 3 5" xfId="1366" xr:uid="{00000000-0005-0000-0000-000090000000}"/>
    <cellStyle name="20% - Accent3 2 3 5 2" xfId="1987" xr:uid="{00000000-0005-0000-0000-000091000000}"/>
    <cellStyle name="20% - Accent3 2 3 5 2 2" xfId="3931" xr:uid="{00000000-0005-0000-0000-000092000000}"/>
    <cellStyle name="20% - Accent3 2 3 5 3" xfId="2676" xr:uid="{00000000-0005-0000-0000-000093000000}"/>
    <cellStyle name="20% - Accent3 2 3 5 3 2" xfId="4602" xr:uid="{00000000-0005-0000-0000-000094000000}"/>
    <cellStyle name="20% - Accent3 2 3 5 4" xfId="3321" xr:uid="{00000000-0005-0000-0000-000095000000}"/>
    <cellStyle name="20% - Accent3 2 3 6" xfId="1462" xr:uid="{00000000-0005-0000-0000-000096000000}"/>
    <cellStyle name="20% - Accent3 2 3 6 2" xfId="3416" xr:uid="{00000000-0005-0000-0000-000097000000}"/>
    <cellStyle name="20% - Accent3 2 3 7" xfId="2154" xr:uid="{00000000-0005-0000-0000-000098000000}"/>
    <cellStyle name="20% - Accent3 2 3 7 2" xfId="4098" xr:uid="{00000000-0005-0000-0000-000099000000}"/>
    <cellStyle name="20% - Accent3 2 3 8" xfId="2886" xr:uid="{00000000-0005-0000-0000-00009A000000}"/>
    <cellStyle name="20% - Accent3 2 3 9" xfId="4814" xr:uid="{00000000-0005-0000-0000-00009B000000}"/>
    <cellStyle name="20% - Accent3 2 4" xfId="187" xr:uid="{00000000-0005-0000-0000-00009C000000}"/>
    <cellStyle name="20% - Accent3 2 4 10" xfId="4959" xr:uid="{00000000-0005-0000-0000-00009D000000}"/>
    <cellStyle name="20% - Accent3 2 4 11" xfId="5033" xr:uid="{00000000-0005-0000-0000-00009E000000}"/>
    <cellStyle name="20% - Accent3 2 4 12" xfId="5062" xr:uid="{00000000-0005-0000-0000-00009F000000}"/>
    <cellStyle name="20% - Accent3 2 4 13" xfId="5105" xr:uid="{00000000-0005-0000-0000-0000A0000000}"/>
    <cellStyle name="20% - Accent3 2 4 14" xfId="5246" xr:uid="{00000000-0005-0000-0000-0000A1000000}"/>
    <cellStyle name="20% - Accent3 2 4 15" xfId="5753" xr:uid="{00000000-0005-0000-0000-0000A2000000}"/>
    <cellStyle name="20% - Accent3 2 4 2" xfId="974" xr:uid="{00000000-0005-0000-0000-0000A3000000}"/>
    <cellStyle name="20% - Accent3 2 4 2 2" xfId="1731" xr:uid="{00000000-0005-0000-0000-0000A4000000}"/>
    <cellStyle name="20% - Accent3 2 4 2 2 2" xfId="3679" xr:uid="{00000000-0005-0000-0000-0000A5000000}"/>
    <cellStyle name="20% - Accent3 2 4 2 3" xfId="2451" xr:uid="{00000000-0005-0000-0000-0000A6000000}"/>
    <cellStyle name="20% - Accent3 2 4 2 3 2" xfId="4380" xr:uid="{00000000-0005-0000-0000-0000A7000000}"/>
    <cellStyle name="20% - Accent3 2 4 2 4" xfId="3078" xr:uid="{00000000-0005-0000-0000-0000A8000000}"/>
    <cellStyle name="20% - Accent3 2 4 2 5" xfId="6000" xr:uid="{00000000-0005-0000-0000-0000A9000000}"/>
    <cellStyle name="20% - Accent3 2 4 3" xfId="1166" xr:uid="{00000000-0005-0000-0000-0000AA000000}"/>
    <cellStyle name="20% - Accent3 2 4 3 2" xfId="1878" xr:uid="{00000000-0005-0000-0000-0000AB000000}"/>
    <cellStyle name="20% - Accent3 2 4 3 2 2" xfId="3823" xr:uid="{00000000-0005-0000-0000-0000AC000000}"/>
    <cellStyle name="20% - Accent3 2 4 3 3" xfId="2583" xr:uid="{00000000-0005-0000-0000-0000AD000000}"/>
    <cellStyle name="20% - Accent3 2 4 3 3 2" xfId="4512" xr:uid="{00000000-0005-0000-0000-0000AE000000}"/>
    <cellStyle name="20% - Accent3 2 4 3 4" xfId="3221" xr:uid="{00000000-0005-0000-0000-0000AF000000}"/>
    <cellStyle name="20% - Accent3 2 4 4" xfId="1389" xr:uid="{00000000-0005-0000-0000-0000B0000000}"/>
    <cellStyle name="20% - Accent3 2 4 4 2" xfId="2010" xr:uid="{00000000-0005-0000-0000-0000B1000000}"/>
    <cellStyle name="20% - Accent3 2 4 4 2 2" xfId="3954" xr:uid="{00000000-0005-0000-0000-0000B2000000}"/>
    <cellStyle name="20% - Accent3 2 4 4 3" xfId="2699" xr:uid="{00000000-0005-0000-0000-0000B3000000}"/>
    <cellStyle name="20% - Accent3 2 4 4 3 2" xfId="4625" xr:uid="{00000000-0005-0000-0000-0000B4000000}"/>
    <cellStyle name="20% - Accent3 2 4 4 4" xfId="3344" xr:uid="{00000000-0005-0000-0000-0000B5000000}"/>
    <cellStyle name="20% - Accent3 2 4 5" xfId="1502" xr:uid="{00000000-0005-0000-0000-0000B6000000}"/>
    <cellStyle name="20% - Accent3 2 4 5 2" xfId="3456" xr:uid="{00000000-0005-0000-0000-0000B7000000}"/>
    <cellStyle name="20% - Accent3 2 4 6" xfId="2186" xr:uid="{00000000-0005-0000-0000-0000B8000000}"/>
    <cellStyle name="20% - Accent3 2 4 6 2" xfId="4128" xr:uid="{00000000-0005-0000-0000-0000B9000000}"/>
    <cellStyle name="20% - Accent3 2 4 7" xfId="2909" xr:uid="{00000000-0005-0000-0000-0000BA000000}"/>
    <cellStyle name="20% - Accent3 2 4 8" xfId="4815" xr:uid="{00000000-0005-0000-0000-0000BB000000}"/>
    <cellStyle name="20% - Accent3 2 4 9" xfId="4890" xr:uid="{00000000-0005-0000-0000-0000BC000000}"/>
    <cellStyle name="20% - Accent3 2 5" xfId="586" xr:uid="{00000000-0005-0000-0000-0000BD000000}"/>
    <cellStyle name="20% - Accent3 2 5 2" xfId="975" xr:uid="{00000000-0005-0000-0000-0000BE000000}"/>
    <cellStyle name="20% - Accent3 2 5 2 2" xfId="1732" xr:uid="{00000000-0005-0000-0000-0000BF000000}"/>
    <cellStyle name="20% - Accent3 2 5 2 2 2" xfId="3680" xr:uid="{00000000-0005-0000-0000-0000C0000000}"/>
    <cellStyle name="20% - Accent3 2 5 2 3" xfId="2452" xr:uid="{00000000-0005-0000-0000-0000C1000000}"/>
    <cellStyle name="20% - Accent3 2 5 2 3 2" xfId="4381" xr:uid="{00000000-0005-0000-0000-0000C2000000}"/>
    <cellStyle name="20% - Accent3 2 5 2 4" xfId="3079" xr:uid="{00000000-0005-0000-0000-0000C3000000}"/>
    <cellStyle name="20% - Accent3 2 5 3" xfId="1239" xr:uid="{00000000-0005-0000-0000-0000C4000000}"/>
    <cellStyle name="20% - Accent3 2 5 3 2" xfId="1941" xr:uid="{00000000-0005-0000-0000-0000C5000000}"/>
    <cellStyle name="20% - Accent3 2 5 3 2 2" xfId="3885" xr:uid="{00000000-0005-0000-0000-0000C6000000}"/>
    <cellStyle name="20% - Accent3 2 5 3 3" xfId="2637" xr:uid="{00000000-0005-0000-0000-0000C7000000}"/>
    <cellStyle name="20% - Accent3 2 5 3 3 2" xfId="4564" xr:uid="{00000000-0005-0000-0000-0000C8000000}"/>
    <cellStyle name="20% - Accent3 2 5 3 4" xfId="3280" xr:uid="{00000000-0005-0000-0000-0000C9000000}"/>
    <cellStyle name="20% - Accent3 2 5 4" xfId="1433" xr:uid="{00000000-0005-0000-0000-0000CA000000}"/>
    <cellStyle name="20% - Accent3 2 5 4 2" xfId="2054" xr:uid="{00000000-0005-0000-0000-0000CB000000}"/>
    <cellStyle name="20% - Accent3 2 5 4 2 2" xfId="3998" xr:uid="{00000000-0005-0000-0000-0000CC000000}"/>
    <cellStyle name="20% - Accent3 2 5 4 3" xfId="2743" xr:uid="{00000000-0005-0000-0000-0000CD000000}"/>
    <cellStyle name="20% - Accent3 2 5 4 3 2" xfId="4669" xr:uid="{00000000-0005-0000-0000-0000CE000000}"/>
    <cellStyle name="20% - Accent3 2 5 4 4" xfId="3388" xr:uid="{00000000-0005-0000-0000-0000CF000000}"/>
    <cellStyle name="20% - Accent3 2 5 5" xfId="1611" xr:uid="{00000000-0005-0000-0000-0000D0000000}"/>
    <cellStyle name="20% - Accent3 2 5 5 2" xfId="3564" xr:uid="{00000000-0005-0000-0000-0000D1000000}"/>
    <cellStyle name="20% - Accent3 2 5 6" xfId="2315" xr:uid="{00000000-0005-0000-0000-0000D2000000}"/>
    <cellStyle name="20% - Accent3 2 5 6 2" xfId="4250" xr:uid="{00000000-0005-0000-0000-0000D3000000}"/>
    <cellStyle name="20% - Accent3 2 5 7" xfId="2981" xr:uid="{00000000-0005-0000-0000-0000D4000000}"/>
    <cellStyle name="20% - Accent3 2 5 8" xfId="5391" xr:uid="{00000000-0005-0000-0000-0000D5000000}"/>
    <cellStyle name="20% - Accent3 2 6" xfId="722" xr:uid="{00000000-0005-0000-0000-0000D6000000}"/>
    <cellStyle name="20% - Accent3 2 6 2" xfId="1632" xr:uid="{00000000-0005-0000-0000-0000D7000000}"/>
    <cellStyle name="20% - Accent3 2 6 2 2" xfId="3585" xr:uid="{00000000-0005-0000-0000-0000D8000000}"/>
    <cellStyle name="20% - Accent3 2 6 3" xfId="2345" xr:uid="{00000000-0005-0000-0000-0000D9000000}"/>
    <cellStyle name="20% - Accent3 2 6 3 2" xfId="4277" xr:uid="{00000000-0005-0000-0000-0000DA000000}"/>
    <cellStyle name="20% - Accent3 2 6 4" xfId="2993" xr:uid="{00000000-0005-0000-0000-0000DB000000}"/>
    <cellStyle name="20% - Accent3 2 6 5" xfId="5952" xr:uid="{00000000-0005-0000-0000-0000DC000000}"/>
    <cellStyle name="20% - Accent3 2 7" xfId="785" xr:uid="{00000000-0005-0000-0000-0000DD000000}"/>
    <cellStyle name="20% - Accent3 2 7 2" xfId="1679" xr:uid="{00000000-0005-0000-0000-0000DE000000}"/>
    <cellStyle name="20% - Accent3 2 7 2 2" xfId="3627" xr:uid="{00000000-0005-0000-0000-0000DF000000}"/>
    <cellStyle name="20% - Accent3 2 7 3" xfId="2388" xr:uid="{00000000-0005-0000-0000-0000E0000000}"/>
    <cellStyle name="20% - Accent3 2 7 3 2" xfId="4320" xr:uid="{00000000-0005-0000-0000-0000E1000000}"/>
    <cellStyle name="20% - Accent3 2 7 4" xfId="3033" xr:uid="{00000000-0005-0000-0000-0000E2000000}"/>
    <cellStyle name="20% - Accent3 2 8" xfId="1126" xr:uid="{00000000-0005-0000-0000-0000E3000000}"/>
    <cellStyle name="20% - Accent3 2 8 2" xfId="1840" xr:uid="{00000000-0005-0000-0000-0000E4000000}"/>
    <cellStyle name="20% - Accent3 2 8 2 2" xfId="3786" xr:uid="{00000000-0005-0000-0000-0000E5000000}"/>
    <cellStyle name="20% - Accent3 2 8 3" xfId="2554" xr:uid="{00000000-0005-0000-0000-0000E6000000}"/>
    <cellStyle name="20% - Accent3 2 8 3 2" xfId="4483" xr:uid="{00000000-0005-0000-0000-0000E7000000}"/>
    <cellStyle name="20% - Accent3 2 8 4" xfId="3184" xr:uid="{00000000-0005-0000-0000-0000E8000000}"/>
    <cellStyle name="20% - Accent3 2 9" xfId="1364" xr:uid="{00000000-0005-0000-0000-0000E9000000}"/>
    <cellStyle name="20% - Accent3 2 9 2" xfId="1985" xr:uid="{00000000-0005-0000-0000-0000EA000000}"/>
    <cellStyle name="20% - Accent3 2 9 2 2" xfId="3929" xr:uid="{00000000-0005-0000-0000-0000EB000000}"/>
    <cellStyle name="20% - Accent3 2 9 3" xfId="2674" xr:uid="{00000000-0005-0000-0000-0000EC000000}"/>
    <cellStyle name="20% - Accent3 2 9 3 2" xfId="4600" xr:uid="{00000000-0005-0000-0000-0000ED000000}"/>
    <cellStyle name="20% - Accent3 2 9 4" xfId="3319" xr:uid="{00000000-0005-0000-0000-0000EE000000}"/>
    <cellStyle name="20% - Accent3 3" xfId="8" xr:uid="{00000000-0005-0000-0000-0000EF000000}"/>
    <cellStyle name="20% - Accent3 3 2" xfId="850" xr:uid="{00000000-0005-0000-0000-0000F0000000}"/>
    <cellStyle name="20% - Accent3 3 3" xfId="5247" xr:uid="{00000000-0005-0000-0000-0000F1000000}"/>
    <cellStyle name="20% - Accent3 4" xfId="183" xr:uid="{00000000-0005-0000-0000-0000F2000000}"/>
    <cellStyle name="20% - Accent3 4 2" xfId="188" xr:uid="{00000000-0005-0000-0000-0000F3000000}"/>
    <cellStyle name="20% - Accent3 4 2 10" xfId="4962" xr:uid="{00000000-0005-0000-0000-0000F4000000}"/>
    <cellStyle name="20% - Accent3 4 2 11" xfId="5034" xr:uid="{00000000-0005-0000-0000-0000F5000000}"/>
    <cellStyle name="20% - Accent3 4 2 12" xfId="5063" xr:uid="{00000000-0005-0000-0000-0000F6000000}"/>
    <cellStyle name="20% - Accent3 4 2 13" xfId="5106" xr:uid="{00000000-0005-0000-0000-0000F7000000}"/>
    <cellStyle name="20% - Accent3 4 2 2" xfId="977" xr:uid="{00000000-0005-0000-0000-0000F8000000}"/>
    <cellStyle name="20% - Accent3 4 2 2 2" xfId="1734" xr:uid="{00000000-0005-0000-0000-0000F9000000}"/>
    <cellStyle name="20% - Accent3 4 2 2 2 2" xfId="3682" xr:uid="{00000000-0005-0000-0000-0000FA000000}"/>
    <cellStyle name="20% - Accent3 4 2 2 3" xfId="2454" xr:uid="{00000000-0005-0000-0000-0000FB000000}"/>
    <cellStyle name="20% - Accent3 4 2 2 3 2" xfId="4383" xr:uid="{00000000-0005-0000-0000-0000FC000000}"/>
    <cellStyle name="20% - Accent3 4 2 2 4" xfId="3081" xr:uid="{00000000-0005-0000-0000-0000FD000000}"/>
    <cellStyle name="20% - Accent3 4 2 3" xfId="1168" xr:uid="{00000000-0005-0000-0000-0000FE000000}"/>
    <cellStyle name="20% - Accent3 4 2 3 2" xfId="1880" xr:uid="{00000000-0005-0000-0000-0000FF000000}"/>
    <cellStyle name="20% - Accent3 4 2 3 2 2" xfId="3825" xr:uid="{00000000-0005-0000-0000-000000010000}"/>
    <cellStyle name="20% - Accent3 4 2 3 3" xfId="2585" xr:uid="{00000000-0005-0000-0000-000001010000}"/>
    <cellStyle name="20% - Accent3 4 2 3 3 2" xfId="4514" xr:uid="{00000000-0005-0000-0000-000002010000}"/>
    <cellStyle name="20% - Accent3 4 2 3 4" xfId="3223" xr:uid="{00000000-0005-0000-0000-000003010000}"/>
    <cellStyle name="20% - Accent3 4 2 4" xfId="1391" xr:uid="{00000000-0005-0000-0000-000004010000}"/>
    <cellStyle name="20% - Accent3 4 2 4 2" xfId="2012" xr:uid="{00000000-0005-0000-0000-000005010000}"/>
    <cellStyle name="20% - Accent3 4 2 4 2 2" xfId="3956" xr:uid="{00000000-0005-0000-0000-000006010000}"/>
    <cellStyle name="20% - Accent3 4 2 4 3" xfId="2701" xr:uid="{00000000-0005-0000-0000-000007010000}"/>
    <cellStyle name="20% - Accent3 4 2 4 3 2" xfId="4627" xr:uid="{00000000-0005-0000-0000-000008010000}"/>
    <cellStyle name="20% - Accent3 4 2 4 4" xfId="3346" xr:uid="{00000000-0005-0000-0000-000009010000}"/>
    <cellStyle name="20% - Accent3 4 2 5" xfId="1503" xr:uid="{00000000-0005-0000-0000-00000A010000}"/>
    <cellStyle name="20% - Accent3 4 2 5 2" xfId="3457" xr:uid="{00000000-0005-0000-0000-00000B010000}"/>
    <cellStyle name="20% - Accent3 4 2 6" xfId="2187" xr:uid="{00000000-0005-0000-0000-00000C010000}"/>
    <cellStyle name="20% - Accent3 4 2 6 2" xfId="4129" xr:uid="{00000000-0005-0000-0000-00000D010000}"/>
    <cellStyle name="20% - Accent3 4 2 7" xfId="2910" xr:uid="{00000000-0005-0000-0000-00000E010000}"/>
    <cellStyle name="20% - Accent3 4 2 8" xfId="4816" xr:uid="{00000000-0005-0000-0000-00000F010000}"/>
    <cellStyle name="20% - Accent3 4 2 9" xfId="4891" xr:uid="{00000000-0005-0000-0000-000010010000}"/>
    <cellStyle name="20% - Accent3 4 3" xfId="587" xr:uid="{00000000-0005-0000-0000-000011010000}"/>
    <cellStyle name="20% - Accent3 4 4" xfId="976" xr:uid="{00000000-0005-0000-0000-000012010000}"/>
    <cellStyle name="20% - Accent3 4 4 2" xfId="1733" xr:uid="{00000000-0005-0000-0000-000013010000}"/>
    <cellStyle name="20% - Accent3 4 4 2 2" xfId="3681" xr:uid="{00000000-0005-0000-0000-000014010000}"/>
    <cellStyle name="20% - Accent3 4 4 3" xfId="2453" xr:uid="{00000000-0005-0000-0000-000015010000}"/>
    <cellStyle name="20% - Accent3 4 4 3 2" xfId="4382" xr:uid="{00000000-0005-0000-0000-000016010000}"/>
    <cellStyle name="20% - Accent3 4 4 4" xfId="3080" xr:uid="{00000000-0005-0000-0000-000017010000}"/>
    <cellStyle name="20% - Accent3 4 5" xfId="1167" xr:uid="{00000000-0005-0000-0000-000018010000}"/>
    <cellStyle name="20% - Accent3 4 5 2" xfId="1879" xr:uid="{00000000-0005-0000-0000-000019010000}"/>
    <cellStyle name="20% - Accent3 4 5 2 2" xfId="3824" xr:uid="{00000000-0005-0000-0000-00001A010000}"/>
    <cellStyle name="20% - Accent3 4 5 3" xfId="2584" xr:uid="{00000000-0005-0000-0000-00001B010000}"/>
    <cellStyle name="20% - Accent3 4 5 3 2" xfId="4513" xr:uid="{00000000-0005-0000-0000-00001C010000}"/>
    <cellStyle name="20% - Accent3 4 5 4" xfId="3222" xr:uid="{00000000-0005-0000-0000-00001D010000}"/>
    <cellStyle name="20% - Accent3 4 6" xfId="1390" xr:uid="{00000000-0005-0000-0000-00001E010000}"/>
    <cellStyle name="20% - Accent3 4 6 2" xfId="2011" xr:uid="{00000000-0005-0000-0000-00001F010000}"/>
    <cellStyle name="20% - Accent3 4 6 2 2" xfId="3955" xr:uid="{00000000-0005-0000-0000-000020010000}"/>
    <cellStyle name="20% - Accent3 4 6 3" xfId="2700" xr:uid="{00000000-0005-0000-0000-000021010000}"/>
    <cellStyle name="20% - Accent3 4 6 3 2" xfId="4626" xr:uid="{00000000-0005-0000-0000-000022010000}"/>
    <cellStyle name="20% - Accent3 4 6 4" xfId="3345" xr:uid="{00000000-0005-0000-0000-000023010000}"/>
    <cellStyle name="20% - Accent3 4 7" xfId="1499" xr:uid="{00000000-0005-0000-0000-000024010000}"/>
    <cellStyle name="20% - Accent3 4 7 2" xfId="3453" xr:uid="{00000000-0005-0000-0000-000025010000}"/>
    <cellStyle name="20% - Accent3 4 8" xfId="2183" xr:uid="{00000000-0005-0000-0000-000026010000}"/>
    <cellStyle name="20% - Accent3 4 8 2" xfId="4125" xr:uid="{00000000-0005-0000-0000-000027010000}"/>
    <cellStyle name="20% - Accent3 4 9" xfId="2906" xr:uid="{00000000-0005-0000-0000-000028010000}"/>
    <cellStyle name="20% - Accent3 5" xfId="214" xr:uid="{00000000-0005-0000-0000-000029010000}"/>
    <cellStyle name="20% - Accent4 2" xfId="9" xr:uid="{00000000-0005-0000-0000-00002A010000}"/>
    <cellStyle name="20% - Accent4 2 2" xfId="851" xr:uid="{00000000-0005-0000-0000-00002B010000}"/>
    <cellStyle name="20% - Accent4 2 3" xfId="5248" xr:uid="{00000000-0005-0000-0000-00002C010000}"/>
    <cellStyle name="20% - Accent4 3" xfId="10" xr:uid="{00000000-0005-0000-0000-00002D010000}"/>
    <cellStyle name="20% - Accent4 3 2" xfId="852" xr:uid="{00000000-0005-0000-0000-00002E010000}"/>
    <cellStyle name="20% - Accent4 3 3" xfId="5249" xr:uid="{00000000-0005-0000-0000-00002F010000}"/>
    <cellStyle name="20% - Accent4 4" xfId="215" xr:uid="{00000000-0005-0000-0000-000030010000}"/>
    <cellStyle name="20% - Accent4 5" xfId="216" xr:uid="{00000000-0005-0000-0000-000031010000}"/>
    <cellStyle name="20% - Accent5 2" xfId="11" xr:uid="{00000000-0005-0000-0000-000032010000}"/>
    <cellStyle name="20% - Accent5 2 2" xfId="853" xr:uid="{00000000-0005-0000-0000-000033010000}"/>
    <cellStyle name="20% - Accent5 2 3" xfId="5250" xr:uid="{00000000-0005-0000-0000-000034010000}"/>
    <cellStyle name="20% - Accent5 3" xfId="12" xr:uid="{00000000-0005-0000-0000-000035010000}"/>
    <cellStyle name="20% - Accent5 3 2" xfId="854" xr:uid="{00000000-0005-0000-0000-000036010000}"/>
    <cellStyle name="20% - Accent5 3 3" xfId="5251" xr:uid="{00000000-0005-0000-0000-000037010000}"/>
    <cellStyle name="20% - Accent5 4" xfId="217" xr:uid="{00000000-0005-0000-0000-000038010000}"/>
    <cellStyle name="20% - Accent5 5" xfId="218" xr:uid="{00000000-0005-0000-0000-000039010000}"/>
    <cellStyle name="20% - Accent6 2" xfId="13" xr:uid="{00000000-0005-0000-0000-00003A010000}"/>
    <cellStyle name="20% - Accent6 2 2" xfId="855" xr:uid="{00000000-0005-0000-0000-00003B010000}"/>
    <cellStyle name="20% - Accent6 2 3" xfId="5252" xr:uid="{00000000-0005-0000-0000-00003C010000}"/>
    <cellStyle name="20% - Accent6 3" xfId="14" xr:uid="{00000000-0005-0000-0000-00003D010000}"/>
    <cellStyle name="20% - Accent6 3 2" xfId="856" xr:uid="{00000000-0005-0000-0000-00003E010000}"/>
    <cellStyle name="20% - Accent6 3 3" xfId="5253" xr:uid="{00000000-0005-0000-0000-00003F010000}"/>
    <cellStyle name="20% - Accent6 4" xfId="219" xr:uid="{00000000-0005-0000-0000-000040010000}"/>
    <cellStyle name="20% - Accent6 5" xfId="220" xr:uid="{00000000-0005-0000-0000-000041010000}"/>
    <cellStyle name="3 indents" xfId="426" xr:uid="{00000000-0005-0000-0000-000042010000}"/>
    <cellStyle name="4 indents" xfId="427" xr:uid="{00000000-0005-0000-0000-000043010000}"/>
    <cellStyle name="40% - Accent1 2" xfId="15" xr:uid="{00000000-0005-0000-0000-000044010000}"/>
    <cellStyle name="40% - Accent1 2 2" xfId="857" xr:uid="{00000000-0005-0000-0000-000045010000}"/>
    <cellStyle name="40% - Accent1 2 3" xfId="5254" xr:uid="{00000000-0005-0000-0000-000046010000}"/>
    <cellStyle name="40% - Accent1 3" xfId="16" xr:uid="{00000000-0005-0000-0000-000047010000}"/>
    <cellStyle name="40% - Accent1 3 2" xfId="858" xr:uid="{00000000-0005-0000-0000-000048010000}"/>
    <cellStyle name="40% - Accent1 3 3" xfId="5255" xr:uid="{00000000-0005-0000-0000-000049010000}"/>
    <cellStyle name="40% - Accent1 4" xfId="221" xr:uid="{00000000-0005-0000-0000-00004A010000}"/>
    <cellStyle name="40% - Accent1 5" xfId="222" xr:uid="{00000000-0005-0000-0000-00004B010000}"/>
    <cellStyle name="40% - Accent2 2" xfId="17" xr:uid="{00000000-0005-0000-0000-00004C010000}"/>
    <cellStyle name="40% - Accent2 2 2" xfId="859" xr:uid="{00000000-0005-0000-0000-00004D010000}"/>
    <cellStyle name="40% - Accent2 2 3" xfId="5256" xr:uid="{00000000-0005-0000-0000-00004E010000}"/>
    <cellStyle name="40% - Accent2 3" xfId="18" xr:uid="{00000000-0005-0000-0000-00004F010000}"/>
    <cellStyle name="40% - Accent2 3 2" xfId="860" xr:uid="{00000000-0005-0000-0000-000050010000}"/>
    <cellStyle name="40% - Accent2 3 3" xfId="5257" xr:uid="{00000000-0005-0000-0000-000051010000}"/>
    <cellStyle name="40% - Accent2 4" xfId="223" xr:uid="{00000000-0005-0000-0000-000052010000}"/>
    <cellStyle name="40% - Accent2 5" xfId="224" xr:uid="{00000000-0005-0000-0000-000053010000}"/>
    <cellStyle name="40% - Accent3 2" xfId="19" xr:uid="{00000000-0005-0000-0000-000054010000}"/>
    <cellStyle name="40% - Accent3 2 2" xfId="861" xr:uid="{00000000-0005-0000-0000-000055010000}"/>
    <cellStyle name="40% - Accent3 2 3" xfId="5258" xr:uid="{00000000-0005-0000-0000-000056010000}"/>
    <cellStyle name="40% - Accent3 3" xfId="20" xr:uid="{00000000-0005-0000-0000-000057010000}"/>
    <cellStyle name="40% - Accent3 3 2" xfId="862" xr:uid="{00000000-0005-0000-0000-000058010000}"/>
    <cellStyle name="40% - Accent3 3 3" xfId="5259" xr:uid="{00000000-0005-0000-0000-000059010000}"/>
    <cellStyle name="40% - Accent3 4" xfId="225" xr:uid="{00000000-0005-0000-0000-00005A010000}"/>
    <cellStyle name="40% - Accent3 5" xfId="226" xr:uid="{00000000-0005-0000-0000-00005B010000}"/>
    <cellStyle name="40% - Accent4 2" xfId="21" xr:uid="{00000000-0005-0000-0000-00005C010000}"/>
    <cellStyle name="40% - Accent4 2 2" xfId="863" xr:uid="{00000000-0005-0000-0000-00005D010000}"/>
    <cellStyle name="40% - Accent4 2 3" xfId="5260" xr:uid="{00000000-0005-0000-0000-00005E010000}"/>
    <cellStyle name="40% - Accent4 3" xfId="22" xr:uid="{00000000-0005-0000-0000-00005F010000}"/>
    <cellStyle name="40% - Accent4 3 2" xfId="864" xr:uid="{00000000-0005-0000-0000-000060010000}"/>
    <cellStyle name="40% - Accent4 3 3" xfId="5261" xr:uid="{00000000-0005-0000-0000-000061010000}"/>
    <cellStyle name="40% - Accent4 4" xfId="227" xr:uid="{00000000-0005-0000-0000-000062010000}"/>
    <cellStyle name="40% - Accent4 5" xfId="228" xr:uid="{00000000-0005-0000-0000-000063010000}"/>
    <cellStyle name="40% - Accent5 2" xfId="23" xr:uid="{00000000-0005-0000-0000-000064010000}"/>
    <cellStyle name="40% - Accent5 2 2" xfId="865" xr:uid="{00000000-0005-0000-0000-000065010000}"/>
    <cellStyle name="40% - Accent5 2 3" xfId="5262" xr:uid="{00000000-0005-0000-0000-000066010000}"/>
    <cellStyle name="40% - Accent5 3" xfId="24" xr:uid="{00000000-0005-0000-0000-000067010000}"/>
    <cellStyle name="40% - Accent5 3 2" xfId="866" xr:uid="{00000000-0005-0000-0000-000068010000}"/>
    <cellStyle name="40% - Accent5 3 3" xfId="5263" xr:uid="{00000000-0005-0000-0000-000069010000}"/>
    <cellStyle name="40% - Accent5 4" xfId="229" xr:uid="{00000000-0005-0000-0000-00006A010000}"/>
    <cellStyle name="40% - Accent5 5" xfId="230" xr:uid="{00000000-0005-0000-0000-00006B010000}"/>
    <cellStyle name="40% - Accent6 2" xfId="25" xr:uid="{00000000-0005-0000-0000-00006C010000}"/>
    <cellStyle name="40% - Accent6 2 2" xfId="867" xr:uid="{00000000-0005-0000-0000-00006D010000}"/>
    <cellStyle name="40% - Accent6 2 3" xfId="5264" xr:uid="{00000000-0005-0000-0000-00006E010000}"/>
    <cellStyle name="40% - Accent6 3" xfId="26" xr:uid="{00000000-0005-0000-0000-00006F010000}"/>
    <cellStyle name="40% - Accent6 3 2" xfId="868" xr:uid="{00000000-0005-0000-0000-000070010000}"/>
    <cellStyle name="40% - Accent6 3 3" xfId="5265" xr:uid="{00000000-0005-0000-0000-000071010000}"/>
    <cellStyle name="40% - Accent6 4" xfId="231" xr:uid="{00000000-0005-0000-0000-000072010000}"/>
    <cellStyle name="40% - Accent6 5" xfId="232" xr:uid="{00000000-0005-0000-0000-000073010000}"/>
    <cellStyle name="5 indents" xfId="428" xr:uid="{00000000-0005-0000-0000-000074010000}"/>
    <cellStyle name="60% - Accent1 2" xfId="27" xr:uid="{00000000-0005-0000-0000-000075010000}"/>
    <cellStyle name="60% - Accent1 2 2" xfId="5266" xr:uid="{00000000-0005-0000-0000-000076010000}"/>
    <cellStyle name="60% - Accent1 3" xfId="28" xr:uid="{00000000-0005-0000-0000-000077010000}"/>
    <cellStyle name="60% - Accent1 3 2" xfId="5267" xr:uid="{00000000-0005-0000-0000-000078010000}"/>
    <cellStyle name="60% - Accent1 4" xfId="233" xr:uid="{00000000-0005-0000-0000-000079010000}"/>
    <cellStyle name="60% - Accent1 5" xfId="234" xr:uid="{00000000-0005-0000-0000-00007A010000}"/>
    <cellStyle name="60% - Accent2 2" xfId="29" xr:uid="{00000000-0005-0000-0000-00007B010000}"/>
    <cellStyle name="60% - Accent2 2 2" xfId="5268" xr:uid="{00000000-0005-0000-0000-00007C010000}"/>
    <cellStyle name="60% - Accent2 3" xfId="30" xr:uid="{00000000-0005-0000-0000-00007D010000}"/>
    <cellStyle name="60% - Accent2 3 2" xfId="5269" xr:uid="{00000000-0005-0000-0000-00007E010000}"/>
    <cellStyle name="60% - Accent2 4" xfId="235" xr:uid="{00000000-0005-0000-0000-00007F010000}"/>
    <cellStyle name="60% - Accent2 5" xfId="236" xr:uid="{00000000-0005-0000-0000-000080010000}"/>
    <cellStyle name="60% - Accent3 2" xfId="31" xr:uid="{00000000-0005-0000-0000-000081010000}"/>
    <cellStyle name="60% - Accent3 2 2" xfId="5270" xr:uid="{00000000-0005-0000-0000-000082010000}"/>
    <cellStyle name="60% - Accent3 3" xfId="32" xr:uid="{00000000-0005-0000-0000-000083010000}"/>
    <cellStyle name="60% - Accent3 3 2" xfId="5271" xr:uid="{00000000-0005-0000-0000-000084010000}"/>
    <cellStyle name="60% - Accent3 4" xfId="237" xr:uid="{00000000-0005-0000-0000-000085010000}"/>
    <cellStyle name="60% - Accent3 5" xfId="238" xr:uid="{00000000-0005-0000-0000-000086010000}"/>
    <cellStyle name="60% - Accent4 2" xfId="33" xr:uid="{00000000-0005-0000-0000-000087010000}"/>
    <cellStyle name="60% - Accent4 2 2" xfId="5272" xr:uid="{00000000-0005-0000-0000-000088010000}"/>
    <cellStyle name="60% - Accent4 3" xfId="34" xr:uid="{00000000-0005-0000-0000-000089010000}"/>
    <cellStyle name="60% - Accent4 3 2" xfId="5273" xr:uid="{00000000-0005-0000-0000-00008A010000}"/>
    <cellStyle name="60% - Accent4 4" xfId="239" xr:uid="{00000000-0005-0000-0000-00008B010000}"/>
    <cellStyle name="60% - Accent4 5" xfId="240" xr:uid="{00000000-0005-0000-0000-00008C010000}"/>
    <cellStyle name="60% - Accent5 2" xfId="35" xr:uid="{00000000-0005-0000-0000-00008D010000}"/>
    <cellStyle name="60% - Accent5 2 2" xfId="5274" xr:uid="{00000000-0005-0000-0000-00008E010000}"/>
    <cellStyle name="60% - Accent5 3" xfId="36" xr:uid="{00000000-0005-0000-0000-00008F010000}"/>
    <cellStyle name="60% - Accent5 3 2" xfId="5275" xr:uid="{00000000-0005-0000-0000-000090010000}"/>
    <cellStyle name="60% - Accent5 4" xfId="241" xr:uid="{00000000-0005-0000-0000-000091010000}"/>
    <cellStyle name="60% - Accent5 5" xfId="242" xr:uid="{00000000-0005-0000-0000-000092010000}"/>
    <cellStyle name="60% - Accent6 2" xfId="37" xr:uid="{00000000-0005-0000-0000-000093010000}"/>
    <cellStyle name="60% - Accent6 2 2" xfId="5276" xr:uid="{00000000-0005-0000-0000-000094010000}"/>
    <cellStyle name="60% - Accent6 3" xfId="38" xr:uid="{00000000-0005-0000-0000-000095010000}"/>
    <cellStyle name="60% - Accent6 3 2" xfId="5277" xr:uid="{00000000-0005-0000-0000-000096010000}"/>
    <cellStyle name="60% - Accent6 4" xfId="243" xr:uid="{00000000-0005-0000-0000-000097010000}"/>
    <cellStyle name="60% - Accent6 5" xfId="244" xr:uid="{00000000-0005-0000-0000-000098010000}"/>
    <cellStyle name="Accent1 2" xfId="39" xr:uid="{00000000-0005-0000-0000-000099010000}"/>
    <cellStyle name="Accent1 2 2" xfId="5278" xr:uid="{00000000-0005-0000-0000-00009A010000}"/>
    <cellStyle name="Accent1 3" xfId="40" xr:uid="{00000000-0005-0000-0000-00009B010000}"/>
    <cellStyle name="Accent1 3 2" xfId="5279" xr:uid="{00000000-0005-0000-0000-00009C010000}"/>
    <cellStyle name="Accent1 4" xfId="245" xr:uid="{00000000-0005-0000-0000-00009D010000}"/>
    <cellStyle name="Accent1 5" xfId="246" xr:uid="{00000000-0005-0000-0000-00009E010000}"/>
    <cellStyle name="Accent2 2" xfId="41" xr:uid="{00000000-0005-0000-0000-00009F010000}"/>
    <cellStyle name="Accent2 2 2" xfId="5280" xr:uid="{00000000-0005-0000-0000-0000A0010000}"/>
    <cellStyle name="Accent2 3" xfId="42" xr:uid="{00000000-0005-0000-0000-0000A1010000}"/>
    <cellStyle name="Accent2 3 2" xfId="5281" xr:uid="{00000000-0005-0000-0000-0000A2010000}"/>
    <cellStyle name="Accent2 4" xfId="247" xr:uid="{00000000-0005-0000-0000-0000A3010000}"/>
    <cellStyle name="Accent2 5" xfId="248" xr:uid="{00000000-0005-0000-0000-0000A4010000}"/>
    <cellStyle name="Accent3 2" xfId="43" xr:uid="{00000000-0005-0000-0000-0000A5010000}"/>
    <cellStyle name="Accent3 2 2" xfId="5282" xr:uid="{00000000-0005-0000-0000-0000A6010000}"/>
    <cellStyle name="Accent3 3" xfId="44" xr:uid="{00000000-0005-0000-0000-0000A7010000}"/>
    <cellStyle name="Accent3 3 2" xfId="5283" xr:uid="{00000000-0005-0000-0000-0000A8010000}"/>
    <cellStyle name="Accent3 4" xfId="249" xr:uid="{00000000-0005-0000-0000-0000A9010000}"/>
    <cellStyle name="Accent3 5" xfId="250" xr:uid="{00000000-0005-0000-0000-0000AA010000}"/>
    <cellStyle name="Accent4 2" xfId="45" xr:uid="{00000000-0005-0000-0000-0000AB010000}"/>
    <cellStyle name="Accent4 2 2" xfId="5284" xr:uid="{00000000-0005-0000-0000-0000AC010000}"/>
    <cellStyle name="Accent4 3" xfId="46" xr:uid="{00000000-0005-0000-0000-0000AD010000}"/>
    <cellStyle name="Accent4 3 2" xfId="5285" xr:uid="{00000000-0005-0000-0000-0000AE010000}"/>
    <cellStyle name="Accent4 4" xfId="251" xr:uid="{00000000-0005-0000-0000-0000AF010000}"/>
    <cellStyle name="Accent4 5" xfId="252" xr:uid="{00000000-0005-0000-0000-0000B0010000}"/>
    <cellStyle name="Accent5 2" xfId="47" xr:uid="{00000000-0005-0000-0000-0000B1010000}"/>
    <cellStyle name="Accent5 2 2" xfId="5286" xr:uid="{00000000-0005-0000-0000-0000B2010000}"/>
    <cellStyle name="Accent5 3" xfId="48" xr:uid="{00000000-0005-0000-0000-0000B3010000}"/>
    <cellStyle name="Accent5 3 2" xfId="5287" xr:uid="{00000000-0005-0000-0000-0000B4010000}"/>
    <cellStyle name="Accent5 4" xfId="253" xr:uid="{00000000-0005-0000-0000-0000B5010000}"/>
    <cellStyle name="Accent5 5" xfId="254" xr:uid="{00000000-0005-0000-0000-0000B6010000}"/>
    <cellStyle name="Accent6 2" xfId="49" xr:uid="{00000000-0005-0000-0000-0000B7010000}"/>
    <cellStyle name="Accent6 2 2" xfId="5288" xr:uid="{00000000-0005-0000-0000-0000B8010000}"/>
    <cellStyle name="Accent6 3" xfId="50" xr:uid="{00000000-0005-0000-0000-0000B9010000}"/>
    <cellStyle name="Accent6 3 2" xfId="5289" xr:uid="{00000000-0005-0000-0000-0000BA010000}"/>
    <cellStyle name="Accent6 4" xfId="255" xr:uid="{00000000-0005-0000-0000-0000BB010000}"/>
    <cellStyle name="Accent6 5" xfId="256" xr:uid="{00000000-0005-0000-0000-0000BC010000}"/>
    <cellStyle name="ANCLAS,REZONES Y SUS PARTES,DE FUNDICION,DE HIERRO O DE ACERO" xfId="257" xr:uid="{00000000-0005-0000-0000-0000BD010000}"/>
    <cellStyle name="annee semestre" xfId="429" xr:uid="{00000000-0005-0000-0000-0000BE010000}"/>
    <cellStyle name="annee semestre 10" xfId="5708" xr:uid="{00000000-0005-0000-0000-0000BF010000}"/>
    <cellStyle name="annee semestre 2" xfId="1169" xr:uid="{00000000-0005-0000-0000-0000C0010000}"/>
    <cellStyle name="annee semestre 2 2" xfId="1881" xr:uid="{00000000-0005-0000-0000-0000C1010000}"/>
    <cellStyle name="annee semestre 2 2 2" xfId="3826" xr:uid="{00000000-0005-0000-0000-0000C2010000}"/>
    <cellStyle name="annee semestre 2 3" xfId="2128" xr:uid="{00000000-0005-0000-0000-0000C3010000}"/>
    <cellStyle name="annee semestre 2 3 2" xfId="4072" xr:uid="{00000000-0005-0000-0000-0000C4010000}"/>
    <cellStyle name="annee semestre 2 4" xfId="2802" xr:uid="{00000000-0005-0000-0000-0000C5010000}"/>
    <cellStyle name="annee semestre 2 4 2" xfId="4724" xr:uid="{00000000-0005-0000-0000-0000C6010000}"/>
    <cellStyle name="annee semestre 2 5" xfId="2330" xr:uid="{00000000-0005-0000-0000-0000C7010000}"/>
    <cellStyle name="annee semestre 2 5 2" xfId="4263" xr:uid="{00000000-0005-0000-0000-0000C8010000}"/>
    <cellStyle name="annee semestre 2 6" xfId="2623" xr:uid="{00000000-0005-0000-0000-0000C9010000}"/>
    <cellStyle name="annee semestre 2 6 2" xfId="4551" xr:uid="{00000000-0005-0000-0000-0000CA010000}"/>
    <cellStyle name="annee semestre 2 7" xfId="3224" xr:uid="{00000000-0005-0000-0000-0000CB010000}"/>
    <cellStyle name="annee semestre 2 8" xfId="5962" xr:uid="{00000000-0005-0000-0000-0000CC010000}"/>
    <cellStyle name="annee semestre 3" xfId="1545" xr:uid="{00000000-0005-0000-0000-0000CD010000}"/>
    <cellStyle name="annee semestre 3 2" xfId="3499" xr:uid="{00000000-0005-0000-0000-0000CE010000}"/>
    <cellStyle name="annee semestre 4" xfId="2140" xr:uid="{00000000-0005-0000-0000-0000CF010000}"/>
    <cellStyle name="annee semestre 4 2" xfId="4084" xr:uid="{00000000-0005-0000-0000-0000D0010000}"/>
    <cellStyle name="annee semestre 5" xfId="2653" xr:uid="{00000000-0005-0000-0000-0000D1010000}"/>
    <cellStyle name="annee semestre 5 2" xfId="4580" xr:uid="{00000000-0005-0000-0000-0000D2010000}"/>
    <cellStyle name="annee semestre 6" xfId="2425" xr:uid="{00000000-0005-0000-0000-0000D3010000}"/>
    <cellStyle name="annee semestre 6 2" xfId="4356" xr:uid="{00000000-0005-0000-0000-0000D4010000}"/>
    <cellStyle name="annee semestre 7" xfId="2321" xr:uid="{00000000-0005-0000-0000-0000D5010000}"/>
    <cellStyle name="annee semestre 7 2" xfId="4256" xr:uid="{00000000-0005-0000-0000-0000D6010000}"/>
    <cellStyle name="annee semestre 8" xfId="2942" xr:uid="{00000000-0005-0000-0000-0000D7010000}"/>
    <cellStyle name="annee semestre 9" xfId="5167" xr:uid="{00000000-0005-0000-0000-0000D8010000}"/>
    <cellStyle name="ARIAL 10" xfId="430" xr:uid="{00000000-0005-0000-0000-0000D9010000}"/>
    <cellStyle name="ARIAL 10 2" xfId="5290" xr:uid="{00000000-0005-0000-0000-0000DA010000}"/>
    <cellStyle name="Array" xfId="431" xr:uid="{00000000-0005-0000-0000-0000DB010000}"/>
    <cellStyle name="Array 2" xfId="980" xr:uid="{00000000-0005-0000-0000-0000DC010000}"/>
    <cellStyle name="Array 2 2" xfId="1737" xr:uid="{00000000-0005-0000-0000-0000DD010000}"/>
    <cellStyle name="Array 2 2 2" xfId="3685" xr:uid="{00000000-0005-0000-0000-0000DE010000}"/>
    <cellStyle name="Array 2 3" xfId="2080" xr:uid="{00000000-0005-0000-0000-0000DF010000}"/>
    <cellStyle name="Array 2 3 2" xfId="4024" xr:uid="{00000000-0005-0000-0000-0000E0010000}"/>
    <cellStyle name="Array 2 4" xfId="2252" xr:uid="{00000000-0005-0000-0000-0000E1010000}"/>
    <cellStyle name="Array 2 4 2" xfId="4187" xr:uid="{00000000-0005-0000-0000-0000E2010000}"/>
    <cellStyle name="Array 2 5" xfId="2776" xr:uid="{00000000-0005-0000-0000-0000E3010000}"/>
    <cellStyle name="Array 2 6" xfId="3084" xr:uid="{00000000-0005-0000-0000-0000E4010000}"/>
    <cellStyle name="Array 3" xfId="1129" xr:uid="{00000000-0005-0000-0000-0000E5010000}"/>
    <cellStyle name="Array 3 2" xfId="1843" xr:uid="{00000000-0005-0000-0000-0000E6010000}"/>
    <cellStyle name="Array 3 2 2" xfId="3789" xr:uid="{00000000-0005-0000-0000-0000E7010000}"/>
    <cellStyle name="Array 3 3" xfId="2557" xr:uid="{00000000-0005-0000-0000-0000E8010000}"/>
    <cellStyle name="Array 3 3 2" xfId="4486" xr:uid="{00000000-0005-0000-0000-0000E9010000}"/>
    <cellStyle name="Array 3 4" xfId="2782" xr:uid="{00000000-0005-0000-0000-0000EA010000}"/>
    <cellStyle name="Array 3 4 2" xfId="4706" xr:uid="{00000000-0005-0000-0000-0000EB010000}"/>
    <cellStyle name="Array 3 5" xfId="2861" xr:uid="{00000000-0005-0000-0000-0000EC010000}"/>
    <cellStyle name="Array 3 6" xfId="3187" xr:uid="{00000000-0005-0000-0000-0000ED010000}"/>
    <cellStyle name="Array 4" xfId="1546" xr:uid="{00000000-0005-0000-0000-0000EE010000}"/>
    <cellStyle name="Array 4 2" xfId="3500" xr:uid="{00000000-0005-0000-0000-0000EF010000}"/>
    <cellStyle name="Array 5" xfId="2561" xr:uid="{00000000-0005-0000-0000-0000F0010000}"/>
    <cellStyle name="Array 5 2" xfId="4490" xr:uid="{00000000-0005-0000-0000-0000F1010000}"/>
    <cellStyle name="Array 6" xfId="2800" xr:uid="{00000000-0005-0000-0000-0000F2010000}"/>
    <cellStyle name="Array 7" xfId="2943" xr:uid="{00000000-0005-0000-0000-0000F3010000}"/>
    <cellStyle name="Array 8" xfId="5168" xr:uid="{00000000-0005-0000-0000-0000F4010000}"/>
    <cellStyle name="Array 9" xfId="5709" xr:uid="{00000000-0005-0000-0000-0000F5010000}"/>
    <cellStyle name="Array Enter" xfId="432" xr:uid="{00000000-0005-0000-0000-0000F6010000}"/>
    <cellStyle name="Array Enter 10" xfId="5710" xr:uid="{00000000-0005-0000-0000-0000F7010000}"/>
    <cellStyle name="Array Enter 2" xfId="981" xr:uid="{00000000-0005-0000-0000-0000F8010000}"/>
    <cellStyle name="Array Enter 2 2" xfId="1738" xr:uid="{00000000-0005-0000-0000-0000F9010000}"/>
    <cellStyle name="Array Enter 2 2 2" xfId="3686" xr:uid="{00000000-0005-0000-0000-0000FA010000}"/>
    <cellStyle name="Array Enter 2 3" xfId="2081" xr:uid="{00000000-0005-0000-0000-0000FB010000}"/>
    <cellStyle name="Array Enter 2 3 2" xfId="4025" xr:uid="{00000000-0005-0000-0000-0000FC010000}"/>
    <cellStyle name="Array Enter 2 4" xfId="2202" xr:uid="{00000000-0005-0000-0000-0000FD010000}"/>
    <cellStyle name="Array Enter 2 4 2" xfId="4144" xr:uid="{00000000-0005-0000-0000-0000FE010000}"/>
    <cellStyle name="Array Enter 2 5" xfId="2156" xr:uid="{00000000-0005-0000-0000-0000FF010000}"/>
    <cellStyle name="Array Enter 2 6" xfId="3085" xr:uid="{00000000-0005-0000-0000-000000020000}"/>
    <cellStyle name="Array Enter 3" xfId="1170" xr:uid="{00000000-0005-0000-0000-000001020000}"/>
    <cellStyle name="Array Enter 3 2" xfId="1882" xr:uid="{00000000-0005-0000-0000-000002020000}"/>
    <cellStyle name="Array Enter 3 2 2" xfId="3827" xr:uid="{00000000-0005-0000-0000-000003020000}"/>
    <cellStyle name="Array Enter 3 3" xfId="2104" xr:uid="{00000000-0005-0000-0000-000004020000}"/>
    <cellStyle name="Array Enter 3 3 2" xfId="4048" xr:uid="{00000000-0005-0000-0000-000005020000}"/>
    <cellStyle name="Array Enter 3 4" xfId="2803" xr:uid="{00000000-0005-0000-0000-000006020000}"/>
    <cellStyle name="Array Enter 3 4 2" xfId="4725" xr:uid="{00000000-0005-0000-0000-000007020000}"/>
    <cellStyle name="Array Enter 3 5" xfId="2799" xr:uid="{00000000-0005-0000-0000-000008020000}"/>
    <cellStyle name="Array Enter 3 6" xfId="3225" xr:uid="{00000000-0005-0000-0000-000009020000}"/>
    <cellStyle name="Array Enter 4" xfId="1130" xr:uid="{00000000-0005-0000-0000-00000A020000}"/>
    <cellStyle name="Array Enter 4 2" xfId="1844" xr:uid="{00000000-0005-0000-0000-00000B020000}"/>
    <cellStyle name="Array Enter 4 2 2" xfId="3790" xr:uid="{00000000-0005-0000-0000-00000C020000}"/>
    <cellStyle name="Array Enter 4 3" xfId="2558" xr:uid="{00000000-0005-0000-0000-00000D020000}"/>
    <cellStyle name="Array Enter 4 3 2" xfId="4487" xr:uid="{00000000-0005-0000-0000-00000E020000}"/>
    <cellStyle name="Array Enter 4 4" xfId="2783" xr:uid="{00000000-0005-0000-0000-00000F020000}"/>
    <cellStyle name="Array Enter 4 4 2" xfId="4707" xr:uid="{00000000-0005-0000-0000-000010020000}"/>
    <cellStyle name="Array Enter 4 5" xfId="2331" xr:uid="{00000000-0005-0000-0000-000011020000}"/>
    <cellStyle name="Array Enter 4 6" xfId="3188" xr:uid="{00000000-0005-0000-0000-000012020000}"/>
    <cellStyle name="Array Enter 5" xfId="1547" xr:uid="{00000000-0005-0000-0000-000013020000}"/>
    <cellStyle name="Array Enter 5 2" xfId="3501" xr:uid="{00000000-0005-0000-0000-000014020000}"/>
    <cellStyle name="Array Enter 6" xfId="2654" xr:uid="{00000000-0005-0000-0000-000015020000}"/>
    <cellStyle name="Array Enter 6 2" xfId="4581" xr:uid="{00000000-0005-0000-0000-000016020000}"/>
    <cellStyle name="Array Enter 7" xfId="2773" xr:uid="{00000000-0005-0000-0000-000017020000}"/>
    <cellStyle name="Array Enter 8" xfId="2944" xr:uid="{00000000-0005-0000-0000-000018020000}"/>
    <cellStyle name="Array Enter 9" xfId="5169" xr:uid="{00000000-0005-0000-0000-000019020000}"/>
    <cellStyle name="Bad 2" xfId="51" xr:uid="{00000000-0005-0000-0000-00001A020000}"/>
    <cellStyle name="Bad 2 2" xfId="5291" xr:uid="{00000000-0005-0000-0000-00001B020000}"/>
    <cellStyle name="Bad 3" xfId="52" xr:uid="{00000000-0005-0000-0000-00001C020000}"/>
    <cellStyle name="Bad 3 2" xfId="5292" xr:uid="{00000000-0005-0000-0000-00001D020000}"/>
    <cellStyle name="Bad 4" xfId="258" xr:uid="{00000000-0005-0000-0000-00001E020000}"/>
    <cellStyle name="Bad 5" xfId="259" xr:uid="{00000000-0005-0000-0000-00001F020000}"/>
    <cellStyle name="Cabe‡alho 1" xfId="433" xr:uid="{00000000-0005-0000-0000-000020020000}"/>
    <cellStyle name="Cabe‡alho 2" xfId="434" xr:uid="{00000000-0005-0000-0000-000021020000}"/>
    <cellStyle name="Cabecera 1" xfId="435" xr:uid="{00000000-0005-0000-0000-000022020000}"/>
    <cellStyle name="Cabecera 1 2" xfId="5170" xr:uid="{00000000-0005-0000-0000-000023020000}"/>
    <cellStyle name="Cabecera 2" xfId="436" xr:uid="{00000000-0005-0000-0000-000024020000}"/>
    <cellStyle name="Cabecera 2 2" xfId="5171" xr:uid="{00000000-0005-0000-0000-000025020000}"/>
    <cellStyle name="Calculation 2" xfId="53" xr:uid="{00000000-0005-0000-0000-000026020000}"/>
    <cellStyle name="Calculation 2 10" xfId="2457" xr:uid="{00000000-0005-0000-0000-000027020000}"/>
    <cellStyle name="Calculation 2 10 2" xfId="4386" xr:uid="{00000000-0005-0000-0000-000028020000}"/>
    <cellStyle name="Calculation 2 11" xfId="2887" xr:uid="{00000000-0005-0000-0000-000029020000}"/>
    <cellStyle name="Calculation 2 12" xfId="4823" xr:uid="{00000000-0005-0000-0000-00002A020000}"/>
    <cellStyle name="Calculation 2 13" xfId="5293" xr:uid="{00000000-0005-0000-0000-00002B020000}"/>
    <cellStyle name="Calculation 2 14" xfId="5754" xr:uid="{00000000-0005-0000-0000-00002C020000}"/>
    <cellStyle name="Calculation 2 2" xfId="1264" xr:uid="{00000000-0005-0000-0000-00002D020000}"/>
    <cellStyle name="Calculation 2 2 2" xfId="1950" xr:uid="{00000000-0005-0000-0000-00002E020000}"/>
    <cellStyle name="Calculation 2 2 2 2" xfId="3894" xr:uid="{00000000-0005-0000-0000-00002F020000}"/>
    <cellStyle name="Calculation 2 2 3" xfId="2127" xr:uid="{00000000-0005-0000-0000-000030020000}"/>
    <cellStyle name="Calculation 2 2 3 2" xfId="4071" xr:uid="{00000000-0005-0000-0000-000031020000}"/>
    <cellStyle name="Calculation 2 2 4" xfId="1600" xr:uid="{00000000-0005-0000-0000-000032020000}"/>
    <cellStyle name="Calculation 2 2 4 2" xfId="3554" xr:uid="{00000000-0005-0000-0000-000033020000}"/>
    <cellStyle name="Calculation 2 2 5" xfId="2832" xr:uid="{00000000-0005-0000-0000-000034020000}"/>
    <cellStyle name="Calculation 2 2 5 2" xfId="4754" xr:uid="{00000000-0005-0000-0000-000035020000}"/>
    <cellStyle name="Calculation 2 2 6" xfId="2306" xr:uid="{00000000-0005-0000-0000-000036020000}"/>
    <cellStyle name="Calculation 2 2 6 2" xfId="4241" xr:uid="{00000000-0005-0000-0000-000037020000}"/>
    <cellStyle name="Calculation 2 2 7" xfId="2870" xr:uid="{00000000-0005-0000-0000-000038020000}"/>
    <cellStyle name="Calculation 2 2 7 2" xfId="4791" xr:uid="{00000000-0005-0000-0000-000039020000}"/>
    <cellStyle name="Calculation 2 2 8" xfId="3289" xr:uid="{00000000-0005-0000-0000-00003A020000}"/>
    <cellStyle name="Calculation 2 3" xfId="1131" xr:uid="{00000000-0005-0000-0000-00003B020000}"/>
    <cellStyle name="Calculation 2 3 2" xfId="1845" xr:uid="{00000000-0005-0000-0000-00003C020000}"/>
    <cellStyle name="Calculation 2 3 2 2" xfId="3791" xr:uid="{00000000-0005-0000-0000-00003D020000}"/>
    <cellStyle name="Calculation 2 3 3" xfId="2091" xr:uid="{00000000-0005-0000-0000-00003E020000}"/>
    <cellStyle name="Calculation 2 3 3 2" xfId="4035" xr:uid="{00000000-0005-0000-0000-00003F020000}"/>
    <cellStyle name="Calculation 2 3 4" xfId="2120" xr:uid="{00000000-0005-0000-0000-000040020000}"/>
    <cellStyle name="Calculation 2 3 4 2" xfId="4064" xr:uid="{00000000-0005-0000-0000-000041020000}"/>
    <cellStyle name="Calculation 2 3 5" xfId="2784" xr:uid="{00000000-0005-0000-0000-000042020000}"/>
    <cellStyle name="Calculation 2 3 5 2" xfId="4708" xr:uid="{00000000-0005-0000-0000-000043020000}"/>
    <cellStyle name="Calculation 2 3 6" xfId="2439" xr:uid="{00000000-0005-0000-0000-000044020000}"/>
    <cellStyle name="Calculation 2 3 6 2" xfId="4370" xr:uid="{00000000-0005-0000-0000-000045020000}"/>
    <cellStyle name="Calculation 2 3 7" xfId="2151" xr:uid="{00000000-0005-0000-0000-000046020000}"/>
    <cellStyle name="Calculation 2 3 7 2" xfId="4095" xr:uid="{00000000-0005-0000-0000-000047020000}"/>
    <cellStyle name="Calculation 2 3 8" xfId="3189" xr:uid="{00000000-0005-0000-0000-000048020000}"/>
    <cellStyle name="Calculation 2 4" xfId="1466" xr:uid="{00000000-0005-0000-0000-000049020000}"/>
    <cellStyle name="Calculation 2 4 2" xfId="3420" xr:uid="{00000000-0005-0000-0000-00004A020000}"/>
    <cellStyle name="Calculation 2 5" xfId="1712" xr:uid="{00000000-0005-0000-0000-00004B020000}"/>
    <cellStyle name="Calculation 2 5 2" xfId="3660" xr:uid="{00000000-0005-0000-0000-00004C020000}"/>
    <cellStyle name="Calculation 2 6" xfId="1612" xr:uid="{00000000-0005-0000-0000-00004D020000}"/>
    <cellStyle name="Calculation 2 6 2" xfId="3565" xr:uid="{00000000-0005-0000-0000-00004E020000}"/>
    <cellStyle name="Calculation 2 7" xfId="2297" xr:uid="{00000000-0005-0000-0000-00004F020000}"/>
    <cellStyle name="Calculation 2 7 2" xfId="4232" xr:uid="{00000000-0005-0000-0000-000050020000}"/>
    <cellStyle name="Calculation 2 8" xfId="2205" xr:uid="{00000000-0005-0000-0000-000051020000}"/>
    <cellStyle name="Calculation 2 8 2" xfId="4146" xr:uid="{00000000-0005-0000-0000-000052020000}"/>
    <cellStyle name="Calculation 2 9" xfId="2778" xr:uid="{00000000-0005-0000-0000-000053020000}"/>
    <cellStyle name="Calculation 2 9 2" xfId="4702" xr:uid="{00000000-0005-0000-0000-000054020000}"/>
    <cellStyle name="Calculation 3" xfId="54" xr:uid="{00000000-0005-0000-0000-000055020000}"/>
    <cellStyle name="Calculation 3 10" xfId="2222" xr:uid="{00000000-0005-0000-0000-000056020000}"/>
    <cellStyle name="Calculation 3 10 2" xfId="4161" xr:uid="{00000000-0005-0000-0000-000057020000}"/>
    <cellStyle name="Calculation 3 11" xfId="2888" xr:uid="{00000000-0005-0000-0000-000058020000}"/>
    <cellStyle name="Calculation 3 12" xfId="4824" xr:uid="{00000000-0005-0000-0000-000059020000}"/>
    <cellStyle name="Calculation 3 13" xfId="5294" xr:uid="{00000000-0005-0000-0000-00005A020000}"/>
    <cellStyle name="Calculation 3 14" xfId="5755" xr:uid="{00000000-0005-0000-0000-00005B020000}"/>
    <cellStyle name="Calculation 3 2" xfId="1335" xr:uid="{00000000-0005-0000-0000-00005C020000}"/>
    <cellStyle name="Calculation 3 2 2" xfId="1970" xr:uid="{00000000-0005-0000-0000-00005D020000}"/>
    <cellStyle name="Calculation 3 2 2 2" xfId="3914" xr:uid="{00000000-0005-0000-0000-00005E020000}"/>
    <cellStyle name="Calculation 3 2 3" xfId="2142" xr:uid="{00000000-0005-0000-0000-00005F020000}"/>
    <cellStyle name="Calculation 3 2 3 2" xfId="4086" xr:uid="{00000000-0005-0000-0000-000060020000}"/>
    <cellStyle name="Calculation 3 2 4" xfId="1951" xr:uid="{00000000-0005-0000-0000-000061020000}"/>
    <cellStyle name="Calculation 3 2 4 2" xfId="3895" xr:uid="{00000000-0005-0000-0000-000062020000}"/>
    <cellStyle name="Calculation 3 2 5" xfId="2853" xr:uid="{00000000-0005-0000-0000-000063020000}"/>
    <cellStyle name="Calculation 3 2 5 2" xfId="4775" xr:uid="{00000000-0005-0000-0000-000064020000}"/>
    <cellStyle name="Calculation 3 2 6" xfId="2647" xr:uid="{00000000-0005-0000-0000-000065020000}"/>
    <cellStyle name="Calculation 3 2 6 2" xfId="4574" xr:uid="{00000000-0005-0000-0000-000066020000}"/>
    <cellStyle name="Calculation 3 2 7" xfId="2830" xr:uid="{00000000-0005-0000-0000-000067020000}"/>
    <cellStyle name="Calculation 3 2 7 2" xfId="4752" xr:uid="{00000000-0005-0000-0000-000068020000}"/>
    <cellStyle name="Calculation 3 2 8" xfId="3306" xr:uid="{00000000-0005-0000-0000-000069020000}"/>
    <cellStyle name="Calculation 3 3" xfId="1132" xr:uid="{00000000-0005-0000-0000-00006A020000}"/>
    <cellStyle name="Calculation 3 3 2" xfId="1846" xr:uid="{00000000-0005-0000-0000-00006B020000}"/>
    <cellStyle name="Calculation 3 3 2 2" xfId="3792" xr:uid="{00000000-0005-0000-0000-00006C020000}"/>
    <cellStyle name="Calculation 3 3 3" xfId="2092" xr:uid="{00000000-0005-0000-0000-00006D020000}"/>
    <cellStyle name="Calculation 3 3 3 2" xfId="4036" xr:uid="{00000000-0005-0000-0000-00006E020000}"/>
    <cellStyle name="Calculation 3 3 4" xfId="1704" xr:uid="{00000000-0005-0000-0000-00006F020000}"/>
    <cellStyle name="Calculation 3 3 4 2" xfId="3652" xr:uid="{00000000-0005-0000-0000-000070020000}"/>
    <cellStyle name="Calculation 3 3 5" xfId="2785" xr:uid="{00000000-0005-0000-0000-000071020000}"/>
    <cellStyle name="Calculation 3 3 5 2" xfId="4709" xr:uid="{00000000-0005-0000-0000-000072020000}"/>
    <cellStyle name="Calculation 3 3 6" xfId="2546" xr:uid="{00000000-0005-0000-0000-000073020000}"/>
    <cellStyle name="Calculation 3 3 6 2" xfId="4475" xr:uid="{00000000-0005-0000-0000-000074020000}"/>
    <cellStyle name="Calculation 3 3 7" xfId="2399" xr:uid="{00000000-0005-0000-0000-000075020000}"/>
    <cellStyle name="Calculation 3 3 7 2" xfId="4331" xr:uid="{00000000-0005-0000-0000-000076020000}"/>
    <cellStyle name="Calculation 3 3 8" xfId="3190" xr:uid="{00000000-0005-0000-0000-000077020000}"/>
    <cellStyle name="Calculation 3 4" xfId="1467" xr:uid="{00000000-0005-0000-0000-000078020000}"/>
    <cellStyle name="Calculation 3 4 2" xfId="3421" xr:uid="{00000000-0005-0000-0000-000079020000}"/>
    <cellStyle name="Calculation 3 5" xfId="1542" xr:uid="{00000000-0005-0000-0000-00007A020000}"/>
    <cellStyle name="Calculation 3 5 2" xfId="3496" xr:uid="{00000000-0005-0000-0000-00007B020000}"/>
    <cellStyle name="Calculation 3 6" xfId="1474" xr:uid="{00000000-0005-0000-0000-00007C020000}"/>
    <cellStyle name="Calculation 3 6 2" xfId="3428" xr:uid="{00000000-0005-0000-0000-00007D020000}"/>
    <cellStyle name="Calculation 3 7" xfId="2296" xr:uid="{00000000-0005-0000-0000-00007E020000}"/>
    <cellStyle name="Calculation 3 7 2" xfId="4231" xr:uid="{00000000-0005-0000-0000-00007F020000}"/>
    <cellStyle name="Calculation 3 8" xfId="2225" xr:uid="{00000000-0005-0000-0000-000080020000}"/>
    <cellStyle name="Calculation 3 8 2" xfId="4164" xr:uid="{00000000-0005-0000-0000-000081020000}"/>
    <cellStyle name="Calculation 3 9" xfId="2631" xr:uid="{00000000-0005-0000-0000-000082020000}"/>
    <cellStyle name="Calculation 3 9 2" xfId="4559" xr:uid="{00000000-0005-0000-0000-000083020000}"/>
    <cellStyle name="Calculation 4" xfId="260" xr:uid="{00000000-0005-0000-0000-000084020000}"/>
    <cellStyle name="Calculation 4 10" xfId="2665" xr:uid="{00000000-0005-0000-0000-000085020000}"/>
    <cellStyle name="Calculation 4 10 2" xfId="4592" xr:uid="{00000000-0005-0000-0000-000086020000}"/>
    <cellStyle name="Calculation 4 11" xfId="2922" xr:uid="{00000000-0005-0000-0000-000087020000}"/>
    <cellStyle name="Calculation 4 12" xfId="4825" xr:uid="{00000000-0005-0000-0000-000088020000}"/>
    <cellStyle name="Calculation 4 2" xfId="1334" xr:uid="{00000000-0005-0000-0000-000089020000}"/>
    <cellStyle name="Calculation 4 2 2" xfId="1969" xr:uid="{00000000-0005-0000-0000-00008A020000}"/>
    <cellStyle name="Calculation 4 2 2 2" xfId="3913" xr:uid="{00000000-0005-0000-0000-00008B020000}"/>
    <cellStyle name="Calculation 4 2 3" xfId="2141" xr:uid="{00000000-0005-0000-0000-00008C020000}"/>
    <cellStyle name="Calculation 4 2 3 2" xfId="4085" xr:uid="{00000000-0005-0000-0000-00008D020000}"/>
    <cellStyle name="Calculation 4 2 4" xfId="1620" xr:uid="{00000000-0005-0000-0000-00008E020000}"/>
    <cellStyle name="Calculation 4 2 4 2" xfId="3573" xr:uid="{00000000-0005-0000-0000-00008F020000}"/>
    <cellStyle name="Calculation 4 2 5" xfId="2852" xr:uid="{00000000-0005-0000-0000-000090020000}"/>
    <cellStyle name="Calculation 4 2 5 2" xfId="4774" xr:uid="{00000000-0005-0000-0000-000091020000}"/>
    <cellStyle name="Calculation 4 2 6" xfId="2781" xr:uid="{00000000-0005-0000-0000-000092020000}"/>
    <cellStyle name="Calculation 4 2 6 2" xfId="4705" xr:uid="{00000000-0005-0000-0000-000093020000}"/>
    <cellStyle name="Calculation 4 2 7" xfId="2645" xr:uid="{00000000-0005-0000-0000-000094020000}"/>
    <cellStyle name="Calculation 4 2 7 2" xfId="4572" xr:uid="{00000000-0005-0000-0000-000095020000}"/>
    <cellStyle name="Calculation 4 2 8" xfId="3305" xr:uid="{00000000-0005-0000-0000-000096020000}"/>
    <cellStyle name="Calculation 4 3" xfId="1171" xr:uid="{00000000-0005-0000-0000-000097020000}"/>
    <cellStyle name="Calculation 4 3 2" xfId="1883" xr:uid="{00000000-0005-0000-0000-000098020000}"/>
    <cellStyle name="Calculation 4 3 2 2" xfId="3828" xr:uid="{00000000-0005-0000-0000-000099020000}"/>
    <cellStyle name="Calculation 4 3 3" xfId="2105" xr:uid="{00000000-0005-0000-0000-00009A020000}"/>
    <cellStyle name="Calculation 4 3 3 2" xfId="4049" xr:uid="{00000000-0005-0000-0000-00009B020000}"/>
    <cellStyle name="Calculation 4 3 4" xfId="1557" xr:uid="{00000000-0005-0000-0000-00009C020000}"/>
    <cellStyle name="Calculation 4 3 4 2" xfId="3511" xr:uid="{00000000-0005-0000-0000-00009D020000}"/>
    <cellStyle name="Calculation 4 3 5" xfId="2804" xr:uid="{00000000-0005-0000-0000-00009E020000}"/>
    <cellStyle name="Calculation 4 3 5 2" xfId="4726" xr:uid="{00000000-0005-0000-0000-00009F020000}"/>
    <cellStyle name="Calculation 4 3 6" xfId="2426" xr:uid="{00000000-0005-0000-0000-0000A0020000}"/>
    <cellStyle name="Calculation 4 3 6 2" xfId="4357" xr:uid="{00000000-0005-0000-0000-0000A1020000}"/>
    <cellStyle name="Calculation 4 3 7" xfId="2869" xr:uid="{00000000-0005-0000-0000-0000A2020000}"/>
    <cellStyle name="Calculation 4 3 7 2" xfId="4790" xr:uid="{00000000-0005-0000-0000-0000A3020000}"/>
    <cellStyle name="Calculation 4 3 8" xfId="3226" xr:uid="{00000000-0005-0000-0000-0000A4020000}"/>
    <cellStyle name="Calculation 4 4" xfId="1516" xr:uid="{00000000-0005-0000-0000-0000A5020000}"/>
    <cellStyle name="Calculation 4 4 2" xfId="3470" xr:uid="{00000000-0005-0000-0000-0000A6020000}"/>
    <cellStyle name="Calculation 4 5" xfId="1975" xr:uid="{00000000-0005-0000-0000-0000A7020000}"/>
    <cellStyle name="Calculation 4 5 2" xfId="3919" xr:uid="{00000000-0005-0000-0000-0000A8020000}"/>
    <cellStyle name="Calculation 4 6" xfId="1789" xr:uid="{00000000-0005-0000-0000-0000A9020000}"/>
    <cellStyle name="Calculation 4 6 2" xfId="3736" xr:uid="{00000000-0005-0000-0000-0000AA020000}"/>
    <cellStyle name="Calculation 4 7" xfId="2227" xr:uid="{00000000-0005-0000-0000-0000AB020000}"/>
    <cellStyle name="Calculation 4 7 2" xfId="4166" xr:uid="{00000000-0005-0000-0000-0000AC020000}"/>
    <cellStyle name="Calculation 4 8" xfId="2863" xr:uid="{00000000-0005-0000-0000-0000AD020000}"/>
    <cellStyle name="Calculation 4 8 2" xfId="4784" xr:uid="{00000000-0005-0000-0000-0000AE020000}"/>
    <cellStyle name="Calculation 4 9" xfId="2163" xr:uid="{00000000-0005-0000-0000-0000AF020000}"/>
    <cellStyle name="Calculation 4 9 2" xfId="4106" xr:uid="{00000000-0005-0000-0000-0000B0020000}"/>
    <cellStyle name="Calculation 5" xfId="261" xr:uid="{00000000-0005-0000-0000-0000B1020000}"/>
    <cellStyle name="Calculation 5 10" xfId="2865" xr:uid="{00000000-0005-0000-0000-0000B2020000}"/>
    <cellStyle name="Calculation 5 10 2" xfId="4786" xr:uid="{00000000-0005-0000-0000-0000B3020000}"/>
    <cellStyle name="Calculation 5 11" xfId="2923" xr:uid="{00000000-0005-0000-0000-0000B4020000}"/>
    <cellStyle name="Calculation 5 2" xfId="1263" xr:uid="{00000000-0005-0000-0000-0000B5020000}"/>
    <cellStyle name="Calculation 5 2 2" xfId="1949" xr:uid="{00000000-0005-0000-0000-0000B6020000}"/>
    <cellStyle name="Calculation 5 2 2 2" xfId="3893" xr:uid="{00000000-0005-0000-0000-0000B7020000}"/>
    <cellStyle name="Calculation 5 2 3" xfId="2126" xr:uid="{00000000-0005-0000-0000-0000B8020000}"/>
    <cellStyle name="Calculation 5 2 3 2" xfId="4070" xr:uid="{00000000-0005-0000-0000-0000B9020000}"/>
    <cellStyle name="Calculation 5 2 4" xfId="1599" xr:uid="{00000000-0005-0000-0000-0000BA020000}"/>
    <cellStyle name="Calculation 5 2 4 2" xfId="3553" xr:uid="{00000000-0005-0000-0000-0000BB020000}"/>
    <cellStyle name="Calculation 5 2 5" xfId="2831" xr:uid="{00000000-0005-0000-0000-0000BC020000}"/>
    <cellStyle name="Calculation 5 2 5 2" xfId="4753" xr:uid="{00000000-0005-0000-0000-0000BD020000}"/>
    <cellStyle name="Calculation 5 2 6" xfId="2587" xr:uid="{00000000-0005-0000-0000-0000BE020000}"/>
    <cellStyle name="Calculation 5 2 6 2" xfId="4516" xr:uid="{00000000-0005-0000-0000-0000BF020000}"/>
    <cellStyle name="Calculation 5 2 7" xfId="2203" xr:uid="{00000000-0005-0000-0000-0000C0020000}"/>
    <cellStyle name="Calculation 5 2 7 2" xfId="4145" xr:uid="{00000000-0005-0000-0000-0000C1020000}"/>
    <cellStyle name="Calculation 5 2 8" xfId="3288" xr:uid="{00000000-0005-0000-0000-0000C2020000}"/>
    <cellStyle name="Calculation 5 3" xfId="1172" xr:uid="{00000000-0005-0000-0000-0000C3020000}"/>
    <cellStyle name="Calculation 5 3 2" xfId="1884" xr:uid="{00000000-0005-0000-0000-0000C4020000}"/>
    <cellStyle name="Calculation 5 3 2 2" xfId="3829" xr:uid="{00000000-0005-0000-0000-0000C5020000}"/>
    <cellStyle name="Calculation 5 3 3" xfId="2106" xr:uid="{00000000-0005-0000-0000-0000C6020000}"/>
    <cellStyle name="Calculation 5 3 3 2" xfId="4050" xr:uid="{00000000-0005-0000-0000-0000C7020000}"/>
    <cellStyle name="Calculation 5 3 4" xfId="1477" xr:uid="{00000000-0005-0000-0000-0000C8020000}"/>
    <cellStyle name="Calculation 5 3 4 2" xfId="3431" xr:uid="{00000000-0005-0000-0000-0000C9020000}"/>
    <cellStyle name="Calculation 5 3 5" xfId="2805" xr:uid="{00000000-0005-0000-0000-0000CA020000}"/>
    <cellStyle name="Calculation 5 3 5 2" xfId="4727" xr:uid="{00000000-0005-0000-0000-0000CB020000}"/>
    <cellStyle name="Calculation 5 3 6" xfId="2322" xr:uid="{00000000-0005-0000-0000-0000CC020000}"/>
    <cellStyle name="Calculation 5 3 6 2" xfId="4257" xr:uid="{00000000-0005-0000-0000-0000CD020000}"/>
    <cellStyle name="Calculation 5 3 7" xfId="2878" xr:uid="{00000000-0005-0000-0000-0000CE020000}"/>
    <cellStyle name="Calculation 5 3 7 2" xfId="4799" xr:uid="{00000000-0005-0000-0000-0000CF020000}"/>
    <cellStyle name="Calculation 5 3 8" xfId="3227" xr:uid="{00000000-0005-0000-0000-0000D0020000}"/>
    <cellStyle name="Calculation 5 4" xfId="1517" xr:uid="{00000000-0005-0000-0000-0000D1020000}"/>
    <cellStyle name="Calculation 5 4 2" xfId="3471" xr:uid="{00000000-0005-0000-0000-0000D2020000}"/>
    <cellStyle name="Calculation 5 5" xfId="1690" xr:uid="{00000000-0005-0000-0000-0000D3020000}"/>
    <cellStyle name="Calculation 5 5 2" xfId="3638" xr:uid="{00000000-0005-0000-0000-0000D4020000}"/>
    <cellStyle name="Calculation 5 6" xfId="1468" xr:uid="{00000000-0005-0000-0000-0000D5020000}"/>
    <cellStyle name="Calculation 5 6 2" xfId="3422" xr:uid="{00000000-0005-0000-0000-0000D6020000}"/>
    <cellStyle name="Calculation 5 7" xfId="2170" xr:uid="{00000000-0005-0000-0000-0000D7020000}"/>
    <cellStyle name="Calculation 5 7 2" xfId="4113" xr:uid="{00000000-0005-0000-0000-0000D8020000}"/>
    <cellStyle name="Calculation 5 8" xfId="2814" xr:uid="{00000000-0005-0000-0000-0000D9020000}"/>
    <cellStyle name="Calculation 5 8 2" xfId="4736" xr:uid="{00000000-0005-0000-0000-0000DA020000}"/>
    <cellStyle name="Calculation 5 9" xfId="2536" xr:uid="{00000000-0005-0000-0000-0000DB020000}"/>
    <cellStyle name="Calculation 5 9 2" xfId="4465" xr:uid="{00000000-0005-0000-0000-0000DC020000}"/>
    <cellStyle name="Calculation 6" xfId="4822" xr:uid="{00000000-0005-0000-0000-0000DD020000}"/>
    <cellStyle name="Check Cell 2" xfId="55" xr:uid="{00000000-0005-0000-0000-0000DE020000}"/>
    <cellStyle name="Check Cell 2 2" xfId="5295" xr:uid="{00000000-0005-0000-0000-0000DF020000}"/>
    <cellStyle name="Check Cell 3" xfId="56" xr:uid="{00000000-0005-0000-0000-0000E0020000}"/>
    <cellStyle name="Check Cell 3 2" xfId="5296" xr:uid="{00000000-0005-0000-0000-0000E1020000}"/>
    <cellStyle name="Check Cell 4" xfId="262" xr:uid="{00000000-0005-0000-0000-0000E2020000}"/>
    <cellStyle name="Check Cell 5" xfId="263" xr:uid="{00000000-0005-0000-0000-0000E3020000}"/>
    <cellStyle name="Clive" xfId="5544" xr:uid="{00000000-0005-0000-0000-0000E4020000}"/>
    <cellStyle name="clsAltData" xfId="5545" xr:uid="{00000000-0005-0000-0000-0000E5020000}"/>
    <cellStyle name="clsAltData 2" xfId="5849" xr:uid="{00000000-0005-0000-0000-0000E6020000}"/>
    <cellStyle name="clsAltDataPrezn1" xfId="5546" xr:uid="{00000000-0005-0000-0000-0000E7020000}"/>
    <cellStyle name="clsAltDataPrezn1 2" xfId="5850" xr:uid="{00000000-0005-0000-0000-0000E8020000}"/>
    <cellStyle name="clsAltDataPrezn3" xfId="5547" xr:uid="{00000000-0005-0000-0000-0000E9020000}"/>
    <cellStyle name="clsAltDataPrezn3 2" xfId="5851" xr:uid="{00000000-0005-0000-0000-0000EA020000}"/>
    <cellStyle name="clsAltDataPrezn4" xfId="5548" xr:uid="{00000000-0005-0000-0000-0000EB020000}"/>
    <cellStyle name="clsAltDataPrezn4 2" xfId="5852" xr:uid="{00000000-0005-0000-0000-0000EC020000}"/>
    <cellStyle name="clsAltDataPrezn5" xfId="5549" xr:uid="{00000000-0005-0000-0000-0000ED020000}"/>
    <cellStyle name="clsAltDataPrezn5 2" xfId="5853" xr:uid="{00000000-0005-0000-0000-0000EE020000}"/>
    <cellStyle name="clsAltDataPrezn6" xfId="5550" xr:uid="{00000000-0005-0000-0000-0000EF020000}"/>
    <cellStyle name="clsAltDataPrezn6 2" xfId="5854" xr:uid="{00000000-0005-0000-0000-0000F0020000}"/>
    <cellStyle name="clsAltMRVData" xfId="5551" xr:uid="{00000000-0005-0000-0000-0000F1020000}"/>
    <cellStyle name="clsAltMRVData 2" xfId="5855" xr:uid="{00000000-0005-0000-0000-0000F2020000}"/>
    <cellStyle name="clsAltMRVDataPrezn1" xfId="5552" xr:uid="{00000000-0005-0000-0000-0000F3020000}"/>
    <cellStyle name="clsAltMRVDataPrezn1 2" xfId="5856" xr:uid="{00000000-0005-0000-0000-0000F4020000}"/>
    <cellStyle name="clsAltMRVDataPrezn3" xfId="5553" xr:uid="{00000000-0005-0000-0000-0000F5020000}"/>
    <cellStyle name="clsAltMRVDataPrezn3 2" xfId="5857" xr:uid="{00000000-0005-0000-0000-0000F6020000}"/>
    <cellStyle name="clsAltMRVDataPrezn4" xfId="5554" xr:uid="{00000000-0005-0000-0000-0000F7020000}"/>
    <cellStyle name="clsAltMRVDataPrezn4 2" xfId="5858" xr:uid="{00000000-0005-0000-0000-0000F8020000}"/>
    <cellStyle name="clsAltMRVDataPrezn5" xfId="5555" xr:uid="{00000000-0005-0000-0000-0000F9020000}"/>
    <cellStyle name="clsAltMRVDataPrezn5 2" xfId="5859" xr:uid="{00000000-0005-0000-0000-0000FA020000}"/>
    <cellStyle name="clsAltMRVDataPrezn6" xfId="5556" xr:uid="{00000000-0005-0000-0000-0000FB020000}"/>
    <cellStyle name="clsAltMRVDataPrezn6 2" xfId="5860" xr:uid="{00000000-0005-0000-0000-0000FC020000}"/>
    <cellStyle name="clsBlank" xfId="5557" xr:uid="{00000000-0005-0000-0000-0000FD020000}"/>
    <cellStyle name="clsColumnHeader" xfId="5558" xr:uid="{00000000-0005-0000-0000-0000FE020000}"/>
    <cellStyle name="clsColumnHeader 2" xfId="5861" xr:uid="{00000000-0005-0000-0000-0000FF020000}"/>
    <cellStyle name="clsData" xfId="5559" xr:uid="{00000000-0005-0000-0000-000000030000}"/>
    <cellStyle name="clsData 2" xfId="5862" xr:uid="{00000000-0005-0000-0000-000001030000}"/>
    <cellStyle name="clsDataPrezn1" xfId="5560" xr:uid="{00000000-0005-0000-0000-000002030000}"/>
    <cellStyle name="clsDataPrezn1 2" xfId="5863" xr:uid="{00000000-0005-0000-0000-000003030000}"/>
    <cellStyle name="clsDataPrezn3" xfId="5561" xr:uid="{00000000-0005-0000-0000-000004030000}"/>
    <cellStyle name="clsDataPrezn3 2" xfId="5864" xr:uid="{00000000-0005-0000-0000-000005030000}"/>
    <cellStyle name="clsDataPrezn4" xfId="5562" xr:uid="{00000000-0005-0000-0000-000006030000}"/>
    <cellStyle name="clsDataPrezn4 2" xfId="5865" xr:uid="{00000000-0005-0000-0000-000007030000}"/>
    <cellStyle name="clsDataPrezn5" xfId="5563" xr:uid="{00000000-0005-0000-0000-000008030000}"/>
    <cellStyle name="clsDataPrezn5 2" xfId="5866" xr:uid="{00000000-0005-0000-0000-000009030000}"/>
    <cellStyle name="clsDataPrezn6" xfId="5564" xr:uid="{00000000-0005-0000-0000-00000A030000}"/>
    <cellStyle name="clsDataPrezn6 2" xfId="5867" xr:uid="{00000000-0005-0000-0000-00000B030000}"/>
    <cellStyle name="clsDefault" xfId="5565" xr:uid="{00000000-0005-0000-0000-00000C030000}"/>
    <cellStyle name="clsFooter" xfId="5566" xr:uid="{00000000-0005-0000-0000-00000D030000}"/>
    <cellStyle name="clsFooter 2" xfId="5868" xr:uid="{00000000-0005-0000-0000-00000E030000}"/>
    <cellStyle name="clsIndexTableData" xfId="5567" xr:uid="{00000000-0005-0000-0000-00000F030000}"/>
    <cellStyle name="clsIndexTableHdr" xfId="5568" xr:uid="{00000000-0005-0000-0000-000010030000}"/>
    <cellStyle name="clsIndexTableTitle" xfId="5569" xr:uid="{00000000-0005-0000-0000-000011030000}"/>
    <cellStyle name="clsIndexTableTitle 2" xfId="5869" xr:uid="{00000000-0005-0000-0000-000012030000}"/>
    <cellStyle name="clsMRVData" xfId="5570" xr:uid="{00000000-0005-0000-0000-000013030000}"/>
    <cellStyle name="clsMRVData 2" xfId="5870" xr:uid="{00000000-0005-0000-0000-000014030000}"/>
    <cellStyle name="clsMRVDataPrezn1" xfId="5571" xr:uid="{00000000-0005-0000-0000-000015030000}"/>
    <cellStyle name="clsMRVDataPrezn1 2" xfId="5871" xr:uid="{00000000-0005-0000-0000-000016030000}"/>
    <cellStyle name="clsMRVDataPrezn3" xfId="5572" xr:uid="{00000000-0005-0000-0000-000017030000}"/>
    <cellStyle name="clsMRVDataPrezn3 2" xfId="5872" xr:uid="{00000000-0005-0000-0000-000018030000}"/>
    <cellStyle name="clsMRVDataPrezn4" xfId="5573" xr:uid="{00000000-0005-0000-0000-000019030000}"/>
    <cellStyle name="clsMRVDataPrezn4 2" xfId="5873" xr:uid="{00000000-0005-0000-0000-00001A030000}"/>
    <cellStyle name="clsMRVDataPrezn5" xfId="5574" xr:uid="{00000000-0005-0000-0000-00001B030000}"/>
    <cellStyle name="clsMRVDataPrezn5 2" xfId="5874" xr:uid="{00000000-0005-0000-0000-00001C030000}"/>
    <cellStyle name="clsMRVDataPrezn6" xfId="5575" xr:uid="{00000000-0005-0000-0000-00001D030000}"/>
    <cellStyle name="clsMRVDataPrezn6 2" xfId="5875" xr:uid="{00000000-0005-0000-0000-00001E030000}"/>
    <cellStyle name="clsReportFooter" xfId="5576" xr:uid="{00000000-0005-0000-0000-00001F030000}"/>
    <cellStyle name="clsReportFooter 2" xfId="5876" xr:uid="{00000000-0005-0000-0000-000020030000}"/>
    <cellStyle name="clsReportHeader" xfId="5577" xr:uid="{00000000-0005-0000-0000-000021030000}"/>
    <cellStyle name="clsReportHeader 2" xfId="5877" xr:uid="{00000000-0005-0000-0000-000022030000}"/>
    <cellStyle name="clsRowHeader" xfId="5578" xr:uid="{00000000-0005-0000-0000-000023030000}"/>
    <cellStyle name="clsRowHeader 2" xfId="5878" xr:uid="{00000000-0005-0000-0000-000024030000}"/>
    <cellStyle name="clsScale" xfId="5579" xr:uid="{00000000-0005-0000-0000-000025030000}"/>
    <cellStyle name="clsSection" xfId="5580" xr:uid="{00000000-0005-0000-0000-000026030000}"/>
    <cellStyle name="clsSection 2" xfId="5879" xr:uid="{00000000-0005-0000-0000-000027030000}"/>
    <cellStyle name="Comma" xfId="57" builtinId="3"/>
    <cellStyle name="Comma 10" xfId="58" xr:uid="{00000000-0005-0000-0000-000029030000}"/>
    <cellStyle name="Comma 10 2" xfId="207" xr:uid="{00000000-0005-0000-0000-00002A030000}"/>
    <cellStyle name="Comma 10 2 2" xfId="871" xr:uid="{00000000-0005-0000-0000-00002B030000}"/>
    <cellStyle name="Comma 10 3" xfId="381" xr:uid="{00000000-0005-0000-0000-00002C030000}"/>
    <cellStyle name="Comma 10 3 2" xfId="872" xr:uid="{00000000-0005-0000-0000-00002D030000}"/>
    <cellStyle name="Comma 10 3 3" xfId="5392" xr:uid="{00000000-0005-0000-0000-00002E030000}"/>
    <cellStyle name="Comma 10 4" xfId="870" xr:uid="{00000000-0005-0000-0000-00002F030000}"/>
    <cellStyle name="Comma 10 4 2" xfId="5942" xr:uid="{00000000-0005-0000-0000-000030030000}"/>
    <cellStyle name="Comma 10 5" xfId="6143" xr:uid="{00000000-0005-0000-0000-000031030000}"/>
    <cellStyle name="Comma 100" xfId="739" xr:uid="{00000000-0005-0000-0000-000032030000}"/>
    <cellStyle name="Comma 100 2" xfId="1649" xr:uid="{00000000-0005-0000-0000-000033030000}"/>
    <cellStyle name="Comma 100 2 2" xfId="3602" xr:uid="{00000000-0005-0000-0000-000034030000}"/>
    <cellStyle name="Comma 100 3" xfId="2362" xr:uid="{00000000-0005-0000-0000-000035030000}"/>
    <cellStyle name="Comma 100 3 2" xfId="4294" xr:uid="{00000000-0005-0000-0000-000036030000}"/>
    <cellStyle name="Comma 100 4" xfId="3010" xr:uid="{00000000-0005-0000-0000-000037030000}"/>
    <cellStyle name="Comma 101" xfId="770" xr:uid="{00000000-0005-0000-0000-000038030000}"/>
    <cellStyle name="Comma 101 2" xfId="1665" xr:uid="{00000000-0005-0000-0000-000039030000}"/>
    <cellStyle name="Comma 101 2 2" xfId="3613" xr:uid="{00000000-0005-0000-0000-00003A030000}"/>
    <cellStyle name="Comma 101 3" xfId="2374" xr:uid="{00000000-0005-0000-0000-00003B030000}"/>
    <cellStyle name="Comma 101 3 2" xfId="4306" xr:uid="{00000000-0005-0000-0000-00003C030000}"/>
    <cellStyle name="Comma 101 4" xfId="3019" xr:uid="{00000000-0005-0000-0000-00003D030000}"/>
    <cellStyle name="Comma 102" xfId="788" xr:uid="{00000000-0005-0000-0000-00003E030000}"/>
    <cellStyle name="Comma 102 2" xfId="1682" xr:uid="{00000000-0005-0000-0000-00003F030000}"/>
    <cellStyle name="Comma 102 2 2" xfId="3630" xr:uid="{00000000-0005-0000-0000-000040030000}"/>
    <cellStyle name="Comma 102 3" xfId="2391" xr:uid="{00000000-0005-0000-0000-000041030000}"/>
    <cellStyle name="Comma 102 3 2" xfId="4323" xr:uid="{00000000-0005-0000-0000-000042030000}"/>
    <cellStyle name="Comma 102 4" xfId="3036" xr:uid="{00000000-0005-0000-0000-000043030000}"/>
    <cellStyle name="Comma 103" xfId="1120" xr:uid="{00000000-0005-0000-0000-000044030000}"/>
    <cellStyle name="Comma 103 2" xfId="1835" xr:uid="{00000000-0005-0000-0000-000045030000}"/>
    <cellStyle name="Comma 103 2 2" xfId="3781" xr:uid="{00000000-0005-0000-0000-000046030000}"/>
    <cellStyle name="Comma 103 3" xfId="2548" xr:uid="{00000000-0005-0000-0000-000047030000}"/>
    <cellStyle name="Comma 103 3 2" xfId="4477" xr:uid="{00000000-0005-0000-0000-000048030000}"/>
    <cellStyle name="Comma 103 4" xfId="3179" xr:uid="{00000000-0005-0000-0000-000049030000}"/>
    <cellStyle name="Comma 104" xfId="4804" xr:uid="{00000000-0005-0000-0000-00004A030000}"/>
    <cellStyle name="Comma 104 2" xfId="4810" xr:uid="{00000000-0005-0000-0000-00004B030000}"/>
    <cellStyle name="Comma 105" xfId="4826" xr:uid="{00000000-0005-0000-0000-00004C030000}"/>
    <cellStyle name="Comma 106" xfId="5684" xr:uid="{00000000-0005-0000-0000-00004D030000}"/>
    <cellStyle name="Comma 107" xfId="6194" xr:uid="{00000000-0005-0000-0000-00004E030000}"/>
    <cellStyle name="Comma 11" xfId="59" xr:uid="{00000000-0005-0000-0000-00004F030000}"/>
    <cellStyle name="Comma 11 2" xfId="264" xr:uid="{00000000-0005-0000-0000-000050030000}"/>
    <cellStyle name="Comma 11 2 2" xfId="873" xr:uid="{00000000-0005-0000-0000-000051030000}"/>
    <cellStyle name="Comma 11 3" xfId="6148" xr:uid="{00000000-0005-0000-0000-000052030000}"/>
    <cellStyle name="Comma 12" xfId="60" xr:uid="{00000000-0005-0000-0000-000053030000}"/>
    <cellStyle name="Comma 12 2" xfId="265" xr:uid="{00000000-0005-0000-0000-000054030000}"/>
    <cellStyle name="Comma 12 2 2" xfId="5393" xr:uid="{00000000-0005-0000-0000-000055030000}"/>
    <cellStyle name="Comma 12 3" xfId="5943" xr:uid="{00000000-0005-0000-0000-000056030000}"/>
    <cellStyle name="Comma 12 4" xfId="6150" xr:uid="{00000000-0005-0000-0000-000057030000}"/>
    <cellStyle name="Comma 13" xfId="61" xr:uid="{00000000-0005-0000-0000-000058030000}"/>
    <cellStyle name="Comma 13 2" xfId="266" xr:uid="{00000000-0005-0000-0000-000059030000}"/>
    <cellStyle name="Comma 13 2 2" xfId="5394" xr:uid="{00000000-0005-0000-0000-00005A030000}"/>
    <cellStyle name="Comma 13 3" xfId="5944" xr:uid="{00000000-0005-0000-0000-00005B030000}"/>
    <cellStyle name="Comma 13 4" xfId="6157" xr:uid="{00000000-0005-0000-0000-00005C030000}"/>
    <cellStyle name="Comma 14" xfId="62" xr:uid="{00000000-0005-0000-0000-00005D030000}"/>
    <cellStyle name="Comma 14 2" xfId="267" xr:uid="{00000000-0005-0000-0000-00005E030000}"/>
    <cellStyle name="Comma 14 2 2" xfId="6167" xr:uid="{00000000-0005-0000-0000-00005F030000}"/>
    <cellStyle name="Comma 14 3" xfId="789" xr:uid="{00000000-0005-0000-0000-000060030000}"/>
    <cellStyle name="Comma 15" xfId="63" xr:uid="{00000000-0005-0000-0000-000061030000}"/>
    <cellStyle name="Comma 15 2" xfId="790" xr:uid="{00000000-0005-0000-0000-000062030000}"/>
    <cellStyle name="Comma 15 2 2" xfId="1240" xr:uid="{00000000-0005-0000-0000-000063030000}"/>
    <cellStyle name="Comma 15 2 3" xfId="6171" xr:uid="{00000000-0005-0000-0000-000064030000}"/>
    <cellStyle name="Comma 15 3" xfId="4827" xr:uid="{00000000-0005-0000-0000-000065030000}"/>
    <cellStyle name="Comma 16" xfId="64" xr:uid="{00000000-0005-0000-0000-000066030000}"/>
    <cellStyle name="Comma 16 2" xfId="268" xr:uid="{00000000-0005-0000-0000-000067030000}"/>
    <cellStyle name="Comma 16 2 2" xfId="6174" xr:uid="{00000000-0005-0000-0000-000068030000}"/>
    <cellStyle name="Comma 16 3" xfId="791" xr:uid="{00000000-0005-0000-0000-000069030000}"/>
    <cellStyle name="Comma 17" xfId="65" xr:uid="{00000000-0005-0000-0000-00006A030000}"/>
    <cellStyle name="Comma 17 2" xfId="269" xr:uid="{00000000-0005-0000-0000-00006B030000}"/>
    <cellStyle name="Comma 17 2 2" xfId="422" xr:uid="{00000000-0005-0000-0000-00006C030000}"/>
    <cellStyle name="Comma 17 2 2 2" xfId="875" xr:uid="{00000000-0005-0000-0000-00006D030000}"/>
    <cellStyle name="Comma 17 2 3" xfId="1276" xr:uid="{00000000-0005-0000-0000-00006E030000}"/>
    <cellStyle name="Comma 17 3" xfId="874" xr:uid="{00000000-0005-0000-0000-00006F030000}"/>
    <cellStyle name="Comma 17 3 2" xfId="1241" xr:uid="{00000000-0005-0000-0000-000070030000}"/>
    <cellStyle name="Comma 18" xfId="66" xr:uid="{00000000-0005-0000-0000-000071030000}"/>
    <cellStyle name="Comma 18 2" xfId="270" xr:uid="{00000000-0005-0000-0000-000072030000}"/>
    <cellStyle name="Comma 19" xfId="67" xr:uid="{00000000-0005-0000-0000-000073030000}"/>
    <cellStyle name="Comma 19 2" xfId="271" xr:uid="{00000000-0005-0000-0000-000074030000}"/>
    <cellStyle name="Comma 2" xfId="68" xr:uid="{00000000-0005-0000-0000-000075030000}"/>
    <cellStyle name="Comma 2 10" xfId="689" xr:uid="{00000000-0005-0000-0000-000076030000}"/>
    <cellStyle name="Comma 2 10 2" xfId="969" xr:uid="{00000000-0005-0000-0000-000077030000}"/>
    <cellStyle name="Comma 2 10 3" xfId="1277" xr:uid="{00000000-0005-0000-0000-000078030000}"/>
    <cellStyle name="Comma 2 11" xfId="747" xr:uid="{00000000-0005-0000-0000-000079030000}"/>
    <cellStyle name="Comma 2 11 2" xfId="1064" xr:uid="{00000000-0005-0000-0000-00007A030000}"/>
    <cellStyle name="Comma 2 12" xfId="1278" xr:uid="{00000000-0005-0000-0000-00007B030000}"/>
    <cellStyle name="Comma 2 13" xfId="1279" xr:uid="{00000000-0005-0000-0000-00007C030000}"/>
    <cellStyle name="Comma 2 14" xfId="1280" xr:uid="{00000000-0005-0000-0000-00007D030000}"/>
    <cellStyle name="Comma 2 15" xfId="1281" xr:uid="{00000000-0005-0000-0000-00007E030000}"/>
    <cellStyle name="Comma 2 16" xfId="5395" xr:uid="{00000000-0005-0000-0000-00007F030000}"/>
    <cellStyle name="Comma 2 17" xfId="5656" xr:uid="{00000000-0005-0000-0000-000080030000}"/>
    <cellStyle name="Comma 2 17 2" xfId="6103" xr:uid="{00000000-0005-0000-0000-000081030000}"/>
    <cellStyle name="Comma 2 17 3" xfId="5897" xr:uid="{00000000-0005-0000-0000-000082030000}"/>
    <cellStyle name="Comma 2 18" xfId="5143" xr:uid="{00000000-0005-0000-0000-000083030000}"/>
    <cellStyle name="Comma 2 18 2" xfId="5903" xr:uid="{00000000-0005-0000-0000-000084030000}"/>
    <cellStyle name="Comma 2 19" xfId="6182" xr:uid="{00000000-0005-0000-0000-000085030000}"/>
    <cellStyle name="Comma 2 2" xfId="69" xr:uid="{00000000-0005-0000-0000-000086030000}"/>
    <cellStyle name="Comma 2 2 2" xfId="70" xr:uid="{00000000-0005-0000-0000-000087030000}"/>
    <cellStyle name="Comma 2 2 2 2" xfId="272" xr:uid="{00000000-0005-0000-0000-000088030000}"/>
    <cellStyle name="Comma 2 2 2 2 2" xfId="5945" xr:uid="{00000000-0005-0000-0000-000089030000}"/>
    <cellStyle name="Comma 2 2 2 3" xfId="6185" xr:uid="{00000000-0005-0000-0000-00008A030000}"/>
    <cellStyle name="Comma 2 2 3" xfId="273" xr:uid="{00000000-0005-0000-0000-00008B030000}"/>
    <cellStyle name="Comma 2 2 3 2" xfId="982" xr:uid="{00000000-0005-0000-0000-00008C030000}"/>
    <cellStyle name="Comma 2 2 3 3" xfId="877" xr:uid="{00000000-0005-0000-0000-00008D030000}"/>
    <cellStyle name="Comma 2 2 3 4" xfId="5396" xr:uid="{00000000-0005-0000-0000-00008E030000}"/>
    <cellStyle name="Comma 2 2 4" xfId="792" xr:uid="{00000000-0005-0000-0000-00008F030000}"/>
    <cellStyle name="Comma 2 2 4 2" xfId="1226" xr:uid="{00000000-0005-0000-0000-000090030000}"/>
    <cellStyle name="Comma 2 2 4 3" xfId="5904" xr:uid="{00000000-0005-0000-0000-000091030000}"/>
    <cellStyle name="Comma 2 2 5" xfId="6162" xr:uid="{00000000-0005-0000-0000-000092030000}"/>
    <cellStyle name="Comma 2 2_Agri-Master_File_2011" xfId="382" xr:uid="{00000000-0005-0000-0000-000093030000}"/>
    <cellStyle name="Comma 2 3" xfId="71" xr:uid="{00000000-0005-0000-0000-000094030000}"/>
    <cellStyle name="Comma 2 3 2" xfId="716" xr:uid="{00000000-0005-0000-0000-000095030000}"/>
    <cellStyle name="Comma 2 3 2 2" xfId="878" xr:uid="{00000000-0005-0000-0000-000096030000}"/>
    <cellStyle name="Comma 2 3 2 3" xfId="5397" xr:uid="{00000000-0005-0000-0000-000097030000}"/>
    <cellStyle name="Comma 2 3 3" xfId="5946" xr:uid="{00000000-0005-0000-0000-000098030000}"/>
    <cellStyle name="Comma 2 3 4" xfId="6116" xr:uid="{00000000-0005-0000-0000-000099030000}"/>
    <cellStyle name="Comma 2 4" xfId="72" xr:uid="{00000000-0005-0000-0000-00009A030000}"/>
    <cellStyle name="Comma 2 4 2" xfId="274" xr:uid="{00000000-0005-0000-0000-00009B030000}"/>
    <cellStyle name="Comma 2 4 2 2" xfId="383" xr:uid="{00000000-0005-0000-0000-00009C030000}"/>
    <cellStyle name="Comma 2 4 2 2 2" xfId="881" xr:uid="{00000000-0005-0000-0000-00009D030000}"/>
    <cellStyle name="Comma 2 4 2 3" xfId="384" xr:uid="{00000000-0005-0000-0000-00009E030000}"/>
    <cellStyle name="Comma 2 4 2 3 2" xfId="882" xr:uid="{00000000-0005-0000-0000-00009F030000}"/>
    <cellStyle name="Comma 2 4 2 4" xfId="880" xr:uid="{00000000-0005-0000-0000-0000A0030000}"/>
    <cellStyle name="Comma 2 4 2 4 2" xfId="1282" xr:uid="{00000000-0005-0000-0000-0000A1030000}"/>
    <cellStyle name="Comma 2 4 2 5" xfId="6147" xr:uid="{00000000-0005-0000-0000-0000A2030000}"/>
    <cellStyle name="Comma 2 4 3" xfId="879" xr:uid="{00000000-0005-0000-0000-0000A3030000}"/>
    <cellStyle name="Comma 2 4 3 2" xfId="1242" xr:uid="{00000000-0005-0000-0000-0000A4030000}"/>
    <cellStyle name="Comma 2 4 4" xfId="4828" xr:uid="{00000000-0005-0000-0000-0000A5030000}"/>
    <cellStyle name="Comma 2 5" xfId="275" xr:uid="{00000000-0005-0000-0000-0000A6030000}"/>
    <cellStyle name="Comma 2 5 2" xfId="964" xr:uid="{00000000-0005-0000-0000-0000A7030000}"/>
    <cellStyle name="Comma 2 5 2 2" xfId="1283" xr:uid="{00000000-0005-0000-0000-0000A8030000}"/>
    <cellStyle name="Comma 2 5 2 3" xfId="6153" xr:uid="{00000000-0005-0000-0000-0000A9030000}"/>
    <cellStyle name="Comma 2 5 3" xfId="1065" xr:uid="{00000000-0005-0000-0000-0000AA030000}"/>
    <cellStyle name="Comma 2 5 4" xfId="876" xr:uid="{00000000-0005-0000-0000-0000AB030000}"/>
    <cellStyle name="Comma 2 5 5" xfId="1163" xr:uid="{00000000-0005-0000-0000-0000AC030000}"/>
    <cellStyle name="Comma 2 6" xfId="676" xr:uid="{00000000-0005-0000-0000-0000AD030000}"/>
    <cellStyle name="Comma 2 6 2" xfId="965" xr:uid="{00000000-0005-0000-0000-0000AE030000}"/>
    <cellStyle name="Comma 2 6 3" xfId="1284" xr:uid="{00000000-0005-0000-0000-0000AF030000}"/>
    <cellStyle name="Comma 2 7" xfId="680" xr:uid="{00000000-0005-0000-0000-0000B0030000}"/>
    <cellStyle name="Comma 2 7 2" xfId="966" xr:uid="{00000000-0005-0000-0000-0000B1030000}"/>
    <cellStyle name="Comma 2 7 3" xfId="1285" xr:uid="{00000000-0005-0000-0000-0000B2030000}"/>
    <cellStyle name="Comma 2 8" xfId="681" xr:uid="{00000000-0005-0000-0000-0000B3030000}"/>
    <cellStyle name="Comma 2 8 2" xfId="967" xr:uid="{00000000-0005-0000-0000-0000B4030000}"/>
    <cellStyle name="Comma 2 8 3" xfId="1286" xr:uid="{00000000-0005-0000-0000-0000B5030000}"/>
    <cellStyle name="Comma 2 9" xfId="684" xr:uid="{00000000-0005-0000-0000-0000B6030000}"/>
    <cellStyle name="Comma 2 9 2" xfId="968" xr:uid="{00000000-0005-0000-0000-0000B7030000}"/>
    <cellStyle name="Comma 2 9 3" xfId="1287" xr:uid="{00000000-0005-0000-0000-0000B8030000}"/>
    <cellStyle name="Comma 2_Copy of Rebased GDP cp  Series  2000 -2009" xfId="5398" xr:uid="{00000000-0005-0000-0000-0000B9030000}"/>
    <cellStyle name="Comma 20" xfId="73" xr:uid="{00000000-0005-0000-0000-0000BA030000}"/>
    <cellStyle name="Comma 20 10" xfId="1103" xr:uid="{00000000-0005-0000-0000-0000BB030000}"/>
    <cellStyle name="Comma 20 11" xfId="4829" xr:uid="{00000000-0005-0000-0000-0000BC030000}"/>
    <cellStyle name="Comma 20 12" xfId="4908" xr:uid="{00000000-0005-0000-0000-0000BD030000}"/>
    <cellStyle name="Comma 20 13" xfId="4978" xr:uid="{00000000-0005-0000-0000-0000BE030000}"/>
    <cellStyle name="Comma 20 14" xfId="5036" xr:uid="{00000000-0005-0000-0000-0000BF030000}"/>
    <cellStyle name="Comma 20 15" xfId="5069" xr:uid="{00000000-0005-0000-0000-0000C0030000}"/>
    <cellStyle name="Comma 20 16" xfId="5108" xr:uid="{00000000-0005-0000-0000-0000C1030000}"/>
    <cellStyle name="Comma 20 2" xfId="276" xr:uid="{00000000-0005-0000-0000-0000C2030000}"/>
    <cellStyle name="Comma 20 2 2" xfId="983" xr:uid="{00000000-0005-0000-0000-0000C3030000}"/>
    <cellStyle name="Comma 20 3" xfId="938" xr:uid="{00000000-0005-0000-0000-0000C4030000}"/>
    <cellStyle name="Comma 20 4" xfId="941" xr:uid="{00000000-0005-0000-0000-0000C5030000}"/>
    <cellStyle name="Comma 20 5" xfId="949" xr:uid="{00000000-0005-0000-0000-0000C6030000}"/>
    <cellStyle name="Comma 20 6" xfId="954" xr:uid="{00000000-0005-0000-0000-0000C7030000}"/>
    <cellStyle name="Comma 20 7" xfId="1056" xr:uid="{00000000-0005-0000-0000-0000C8030000}"/>
    <cellStyle name="Comma 20 8" xfId="1089" xr:uid="{00000000-0005-0000-0000-0000C9030000}"/>
    <cellStyle name="Comma 20 9" xfId="1095" xr:uid="{00000000-0005-0000-0000-0000CA030000}"/>
    <cellStyle name="Comma 21" xfId="74" xr:uid="{00000000-0005-0000-0000-0000CB030000}"/>
    <cellStyle name="Comma 21 2" xfId="277" xr:uid="{00000000-0005-0000-0000-0000CC030000}"/>
    <cellStyle name="Comma 21 2 2" xfId="884" xr:uid="{00000000-0005-0000-0000-0000CD030000}"/>
    <cellStyle name="Comma 21 3" xfId="883" xr:uid="{00000000-0005-0000-0000-0000CE030000}"/>
    <cellStyle name="Comma 22" xfId="75" xr:uid="{00000000-0005-0000-0000-0000CF030000}"/>
    <cellStyle name="Comma 22 2" xfId="278" xr:uid="{00000000-0005-0000-0000-0000D0030000}"/>
    <cellStyle name="Comma 23" xfId="76" xr:uid="{00000000-0005-0000-0000-0000D1030000}"/>
    <cellStyle name="Comma 23 2" xfId="279" xr:uid="{00000000-0005-0000-0000-0000D2030000}"/>
    <cellStyle name="Comma 24" xfId="77" xr:uid="{00000000-0005-0000-0000-0000D3030000}"/>
    <cellStyle name="Comma 24 2" xfId="280" xr:uid="{00000000-0005-0000-0000-0000D4030000}"/>
    <cellStyle name="Comma 24 2 2" xfId="1288" xr:uid="{00000000-0005-0000-0000-0000D5030000}"/>
    <cellStyle name="Comma 24 2 2 2" xfId="1436" xr:uid="{00000000-0005-0000-0000-0000D6030000}"/>
    <cellStyle name="Comma 24 2 2 2 2" xfId="2057" xr:uid="{00000000-0005-0000-0000-0000D7030000}"/>
    <cellStyle name="Comma 24 2 2 2 2 2" xfId="4001" xr:uid="{00000000-0005-0000-0000-0000D8030000}"/>
    <cellStyle name="Comma 24 2 2 2 3" xfId="2746" xr:uid="{00000000-0005-0000-0000-0000D9030000}"/>
    <cellStyle name="Comma 24 2 2 2 3 2" xfId="4672" xr:uid="{00000000-0005-0000-0000-0000DA030000}"/>
    <cellStyle name="Comma 24 2 2 2 4" xfId="3391" xr:uid="{00000000-0005-0000-0000-0000DB030000}"/>
    <cellStyle name="Comma 24 2 2 3" xfId="1954" xr:uid="{00000000-0005-0000-0000-0000DC030000}"/>
    <cellStyle name="Comma 24 2 2 3 2" xfId="3898" xr:uid="{00000000-0005-0000-0000-0000DD030000}"/>
    <cellStyle name="Comma 24 2 2 4" xfId="2648" xr:uid="{00000000-0005-0000-0000-0000DE030000}"/>
    <cellStyle name="Comma 24 2 2 4 2" xfId="4575" xr:uid="{00000000-0005-0000-0000-0000DF030000}"/>
    <cellStyle name="Comma 24 2 2 5" xfId="3290" xr:uid="{00000000-0005-0000-0000-0000E0030000}"/>
    <cellStyle name="Comma 24 2 2 6" xfId="5980" xr:uid="{00000000-0005-0000-0000-0000E1030000}"/>
    <cellStyle name="Comma 24 2 3" xfId="5215" xr:uid="{00000000-0005-0000-0000-0000E2030000}"/>
    <cellStyle name="Comma 24 2 4" xfId="5733" xr:uid="{00000000-0005-0000-0000-0000E3030000}"/>
    <cellStyle name="Comma 24 3" xfId="437" xr:uid="{00000000-0005-0000-0000-0000E4030000}"/>
    <cellStyle name="Comma 24 3 10" xfId="4979" xr:uid="{00000000-0005-0000-0000-0000E5030000}"/>
    <cellStyle name="Comma 24 3 11" xfId="5037" xr:uid="{00000000-0005-0000-0000-0000E6030000}"/>
    <cellStyle name="Comma 24 3 12" xfId="5070" xr:uid="{00000000-0005-0000-0000-0000E7030000}"/>
    <cellStyle name="Comma 24 3 13" xfId="5109" xr:uid="{00000000-0005-0000-0000-0000E8030000}"/>
    <cellStyle name="Comma 24 3 14" xfId="5297" xr:uid="{00000000-0005-0000-0000-0000E9030000}"/>
    <cellStyle name="Comma 24 3 15" xfId="5756" xr:uid="{00000000-0005-0000-0000-0000EA030000}"/>
    <cellStyle name="Comma 24 3 2" xfId="984" xr:uid="{00000000-0005-0000-0000-0000EB030000}"/>
    <cellStyle name="Comma 24 3 2 2" xfId="1739" xr:uid="{00000000-0005-0000-0000-0000EC030000}"/>
    <cellStyle name="Comma 24 3 2 2 2" xfId="3687" xr:uid="{00000000-0005-0000-0000-0000ED030000}"/>
    <cellStyle name="Comma 24 3 2 3" xfId="2458" xr:uid="{00000000-0005-0000-0000-0000EE030000}"/>
    <cellStyle name="Comma 24 3 2 3 2" xfId="4387" xr:uid="{00000000-0005-0000-0000-0000EF030000}"/>
    <cellStyle name="Comma 24 3 2 4" xfId="3086" xr:uid="{00000000-0005-0000-0000-0000F0030000}"/>
    <cellStyle name="Comma 24 3 2 5" xfId="6001" xr:uid="{00000000-0005-0000-0000-0000F1030000}"/>
    <cellStyle name="Comma 24 3 3" xfId="1173" xr:uid="{00000000-0005-0000-0000-0000F2030000}"/>
    <cellStyle name="Comma 24 3 3 2" xfId="1885" xr:uid="{00000000-0005-0000-0000-0000F3030000}"/>
    <cellStyle name="Comma 24 3 3 2 2" xfId="3830" xr:uid="{00000000-0005-0000-0000-0000F4030000}"/>
    <cellStyle name="Comma 24 3 3 3" xfId="2588" xr:uid="{00000000-0005-0000-0000-0000F5030000}"/>
    <cellStyle name="Comma 24 3 3 3 2" xfId="4517" xr:uid="{00000000-0005-0000-0000-0000F6030000}"/>
    <cellStyle name="Comma 24 3 3 4" xfId="3228" xr:uid="{00000000-0005-0000-0000-0000F7030000}"/>
    <cellStyle name="Comma 24 3 4" xfId="1392" xr:uid="{00000000-0005-0000-0000-0000F8030000}"/>
    <cellStyle name="Comma 24 3 4 2" xfId="2013" xr:uid="{00000000-0005-0000-0000-0000F9030000}"/>
    <cellStyle name="Comma 24 3 4 2 2" xfId="3957" xr:uid="{00000000-0005-0000-0000-0000FA030000}"/>
    <cellStyle name="Comma 24 3 4 3" xfId="2702" xr:uid="{00000000-0005-0000-0000-0000FB030000}"/>
    <cellStyle name="Comma 24 3 4 3 2" xfId="4628" xr:uid="{00000000-0005-0000-0000-0000FC030000}"/>
    <cellStyle name="Comma 24 3 4 4" xfId="3347" xr:uid="{00000000-0005-0000-0000-0000FD030000}"/>
    <cellStyle name="Comma 24 3 5" xfId="1549" xr:uid="{00000000-0005-0000-0000-0000FE030000}"/>
    <cellStyle name="Comma 24 3 5 2" xfId="3503" xr:uid="{00000000-0005-0000-0000-0000FF030000}"/>
    <cellStyle name="Comma 24 3 6" xfId="2254" xr:uid="{00000000-0005-0000-0000-000000040000}"/>
    <cellStyle name="Comma 24 3 6 2" xfId="4189" xr:uid="{00000000-0005-0000-0000-000001040000}"/>
    <cellStyle name="Comma 24 3 7" xfId="2945" xr:uid="{00000000-0005-0000-0000-000002040000}"/>
    <cellStyle name="Comma 24 3 8" xfId="4830" xr:uid="{00000000-0005-0000-0000-000003040000}"/>
    <cellStyle name="Comma 24 3 9" xfId="4909" xr:uid="{00000000-0005-0000-0000-000004040000}"/>
    <cellStyle name="Comma 24 4" xfId="5158" xr:uid="{00000000-0005-0000-0000-000005040000}"/>
    <cellStyle name="Comma 24 4 2" xfId="5958" xr:uid="{00000000-0005-0000-0000-000006040000}"/>
    <cellStyle name="Comma 24 5" xfId="5704" xr:uid="{00000000-0005-0000-0000-000007040000}"/>
    <cellStyle name="Comma 25" xfId="78" xr:uid="{00000000-0005-0000-0000-000008040000}"/>
    <cellStyle name="Comma 25 10" xfId="5110" xr:uid="{00000000-0005-0000-0000-000009040000}"/>
    <cellStyle name="Comma 25 11" xfId="5160" xr:uid="{00000000-0005-0000-0000-00000A040000}"/>
    <cellStyle name="Comma 25 12" xfId="5706" xr:uid="{00000000-0005-0000-0000-00000B040000}"/>
    <cellStyle name="Comma 25 2" xfId="189" xr:uid="{00000000-0005-0000-0000-00000C040000}"/>
    <cellStyle name="Comma 25 2 2" xfId="985" xr:uid="{00000000-0005-0000-0000-00000D040000}"/>
    <cellStyle name="Comma 25 2 2 2" xfId="5982" xr:uid="{00000000-0005-0000-0000-00000E040000}"/>
    <cellStyle name="Comma 25 2 3" xfId="885" xr:uid="{00000000-0005-0000-0000-00000F040000}"/>
    <cellStyle name="Comma 25 2 4" xfId="5217" xr:uid="{00000000-0005-0000-0000-000010040000}"/>
    <cellStyle name="Comma 25 2 5" xfId="5735" xr:uid="{00000000-0005-0000-0000-000011040000}"/>
    <cellStyle name="Comma 25 3" xfId="438" xr:uid="{00000000-0005-0000-0000-000012040000}"/>
    <cellStyle name="Comma 25 3 2" xfId="986" xr:uid="{00000000-0005-0000-0000-000013040000}"/>
    <cellStyle name="Comma 25 3 2 2" xfId="1740" xr:uid="{00000000-0005-0000-0000-000014040000}"/>
    <cellStyle name="Comma 25 3 2 2 2" xfId="3688" xr:uid="{00000000-0005-0000-0000-000015040000}"/>
    <cellStyle name="Comma 25 3 2 3" xfId="2459" xr:uid="{00000000-0005-0000-0000-000016040000}"/>
    <cellStyle name="Comma 25 3 2 3 2" xfId="4388" xr:uid="{00000000-0005-0000-0000-000017040000}"/>
    <cellStyle name="Comma 25 3 2 4" xfId="3087" xr:uid="{00000000-0005-0000-0000-000018040000}"/>
    <cellStyle name="Comma 25 3 2 5" xfId="6002" xr:uid="{00000000-0005-0000-0000-000019040000}"/>
    <cellStyle name="Comma 25 3 3" xfId="1174" xr:uid="{00000000-0005-0000-0000-00001A040000}"/>
    <cellStyle name="Comma 25 3 3 2" xfId="1886" xr:uid="{00000000-0005-0000-0000-00001B040000}"/>
    <cellStyle name="Comma 25 3 3 2 2" xfId="3831" xr:uid="{00000000-0005-0000-0000-00001C040000}"/>
    <cellStyle name="Comma 25 3 3 3" xfId="2589" xr:uid="{00000000-0005-0000-0000-00001D040000}"/>
    <cellStyle name="Comma 25 3 3 3 2" xfId="4518" xr:uid="{00000000-0005-0000-0000-00001E040000}"/>
    <cellStyle name="Comma 25 3 3 4" xfId="3229" xr:uid="{00000000-0005-0000-0000-00001F040000}"/>
    <cellStyle name="Comma 25 3 4" xfId="1393" xr:uid="{00000000-0005-0000-0000-000020040000}"/>
    <cellStyle name="Comma 25 3 4 2" xfId="2014" xr:uid="{00000000-0005-0000-0000-000021040000}"/>
    <cellStyle name="Comma 25 3 4 2 2" xfId="3958" xr:uid="{00000000-0005-0000-0000-000022040000}"/>
    <cellStyle name="Comma 25 3 4 3" xfId="2703" xr:uid="{00000000-0005-0000-0000-000023040000}"/>
    <cellStyle name="Comma 25 3 4 3 2" xfId="4629" xr:uid="{00000000-0005-0000-0000-000024040000}"/>
    <cellStyle name="Comma 25 3 4 4" xfId="3348" xr:uid="{00000000-0005-0000-0000-000025040000}"/>
    <cellStyle name="Comma 25 3 5" xfId="1550" xr:uid="{00000000-0005-0000-0000-000026040000}"/>
    <cellStyle name="Comma 25 3 5 2" xfId="3504" xr:uid="{00000000-0005-0000-0000-000027040000}"/>
    <cellStyle name="Comma 25 3 6" xfId="2255" xr:uid="{00000000-0005-0000-0000-000028040000}"/>
    <cellStyle name="Comma 25 3 6 2" xfId="4190" xr:uid="{00000000-0005-0000-0000-000029040000}"/>
    <cellStyle name="Comma 25 3 7" xfId="2946" xr:uid="{00000000-0005-0000-0000-00002A040000}"/>
    <cellStyle name="Comma 25 3 8" xfId="5298" xr:uid="{00000000-0005-0000-0000-00002B040000}"/>
    <cellStyle name="Comma 25 3 9" xfId="5757" xr:uid="{00000000-0005-0000-0000-00002C040000}"/>
    <cellStyle name="Comma 25 4" xfId="793" xr:uid="{00000000-0005-0000-0000-00002D040000}"/>
    <cellStyle name="Comma 25 4 2" xfId="1243" xr:uid="{00000000-0005-0000-0000-00002E040000}"/>
    <cellStyle name="Comma 25 4 2 2" xfId="1942" xr:uid="{00000000-0005-0000-0000-00002F040000}"/>
    <cellStyle name="Comma 25 4 2 2 2" xfId="3886" xr:uid="{00000000-0005-0000-0000-000030040000}"/>
    <cellStyle name="Comma 25 4 2 3" xfId="2638" xr:uid="{00000000-0005-0000-0000-000031040000}"/>
    <cellStyle name="Comma 25 4 2 3 2" xfId="4565" xr:uid="{00000000-0005-0000-0000-000032040000}"/>
    <cellStyle name="Comma 25 4 2 4" xfId="3281" xr:uid="{00000000-0005-0000-0000-000033040000}"/>
    <cellStyle name="Comma 25 4 3" xfId="1434" xr:uid="{00000000-0005-0000-0000-000034040000}"/>
    <cellStyle name="Comma 25 4 3 2" xfId="2055" xr:uid="{00000000-0005-0000-0000-000035040000}"/>
    <cellStyle name="Comma 25 4 3 2 2" xfId="3999" xr:uid="{00000000-0005-0000-0000-000036040000}"/>
    <cellStyle name="Comma 25 4 3 3" xfId="2744" xr:uid="{00000000-0005-0000-0000-000037040000}"/>
    <cellStyle name="Comma 25 4 3 3 2" xfId="4670" xr:uid="{00000000-0005-0000-0000-000038040000}"/>
    <cellStyle name="Comma 25 4 3 4" xfId="3389" xr:uid="{00000000-0005-0000-0000-000039040000}"/>
    <cellStyle name="Comma 25 4 4" xfId="5960" xr:uid="{00000000-0005-0000-0000-00003A040000}"/>
    <cellStyle name="Comma 25 5" xfId="4831" xr:uid="{00000000-0005-0000-0000-00003B040000}"/>
    <cellStyle name="Comma 25 6" xfId="4910" xr:uid="{00000000-0005-0000-0000-00003C040000}"/>
    <cellStyle name="Comma 25 7" xfId="4980" xr:uid="{00000000-0005-0000-0000-00003D040000}"/>
    <cellStyle name="Comma 25 8" xfId="5038" xr:uid="{00000000-0005-0000-0000-00003E040000}"/>
    <cellStyle name="Comma 25 9" xfId="5071" xr:uid="{00000000-0005-0000-0000-00003F040000}"/>
    <cellStyle name="Comma 26" xfId="79" xr:uid="{00000000-0005-0000-0000-000040040000}"/>
    <cellStyle name="Comma 26 2" xfId="281" xr:uid="{00000000-0005-0000-0000-000041040000}"/>
    <cellStyle name="Comma 26 2 2" xfId="886" xr:uid="{00000000-0005-0000-0000-000042040000}"/>
    <cellStyle name="Comma 26 3" xfId="5166" xr:uid="{00000000-0005-0000-0000-000043040000}"/>
    <cellStyle name="Comma 27" xfId="80" xr:uid="{00000000-0005-0000-0000-000044040000}"/>
    <cellStyle name="Comma 27 10" xfId="5039" xr:uid="{00000000-0005-0000-0000-000045040000}"/>
    <cellStyle name="Comma 27 11" xfId="5072" xr:uid="{00000000-0005-0000-0000-000046040000}"/>
    <cellStyle name="Comma 27 12" xfId="5111" xr:uid="{00000000-0005-0000-0000-000047040000}"/>
    <cellStyle name="Comma 27 13" xfId="5199" xr:uid="{00000000-0005-0000-0000-000048040000}"/>
    <cellStyle name="Comma 27 14" xfId="5718" xr:uid="{00000000-0005-0000-0000-000049040000}"/>
    <cellStyle name="Comma 27 2" xfId="190" xr:uid="{00000000-0005-0000-0000-00004A040000}"/>
    <cellStyle name="Comma 27 2 2" xfId="987" xr:uid="{00000000-0005-0000-0000-00004B040000}"/>
    <cellStyle name="Comma 27 2 2 2" xfId="5987" xr:uid="{00000000-0005-0000-0000-00004C040000}"/>
    <cellStyle name="Comma 27 2 3" xfId="887" xr:uid="{00000000-0005-0000-0000-00004D040000}"/>
    <cellStyle name="Comma 27 2 3 2" xfId="1707" xr:uid="{00000000-0005-0000-0000-00004E040000}"/>
    <cellStyle name="Comma 27 2 3 2 2" xfId="3655" xr:uid="{00000000-0005-0000-0000-00004F040000}"/>
    <cellStyle name="Comma 27 2 3 3" xfId="2418" xr:uid="{00000000-0005-0000-0000-000050040000}"/>
    <cellStyle name="Comma 27 2 3 3 2" xfId="4350" xr:uid="{00000000-0005-0000-0000-000051040000}"/>
    <cellStyle name="Comma 27 2 3 4" xfId="3057" xr:uid="{00000000-0005-0000-0000-000052040000}"/>
    <cellStyle name="Comma 27 2 4" xfId="5222" xr:uid="{00000000-0005-0000-0000-000053040000}"/>
    <cellStyle name="Comma 27 2 5" xfId="5740" xr:uid="{00000000-0005-0000-0000-000054040000}"/>
    <cellStyle name="Comma 27 3" xfId="439" xr:uid="{00000000-0005-0000-0000-000055040000}"/>
    <cellStyle name="Comma 27 3 2" xfId="988" xr:uid="{00000000-0005-0000-0000-000056040000}"/>
    <cellStyle name="Comma 27 3 2 2" xfId="1741" xr:uid="{00000000-0005-0000-0000-000057040000}"/>
    <cellStyle name="Comma 27 3 2 2 2" xfId="3689" xr:uid="{00000000-0005-0000-0000-000058040000}"/>
    <cellStyle name="Comma 27 3 2 3" xfId="2460" xr:uid="{00000000-0005-0000-0000-000059040000}"/>
    <cellStyle name="Comma 27 3 2 3 2" xfId="4389" xr:uid="{00000000-0005-0000-0000-00005A040000}"/>
    <cellStyle name="Comma 27 3 2 4" xfId="3088" xr:uid="{00000000-0005-0000-0000-00005B040000}"/>
    <cellStyle name="Comma 27 3 2 5" xfId="6003" xr:uid="{00000000-0005-0000-0000-00005C040000}"/>
    <cellStyle name="Comma 27 3 3" xfId="1175" xr:uid="{00000000-0005-0000-0000-00005D040000}"/>
    <cellStyle name="Comma 27 3 3 2" xfId="1887" xr:uid="{00000000-0005-0000-0000-00005E040000}"/>
    <cellStyle name="Comma 27 3 3 2 2" xfId="3832" xr:uid="{00000000-0005-0000-0000-00005F040000}"/>
    <cellStyle name="Comma 27 3 3 3" xfId="2590" xr:uid="{00000000-0005-0000-0000-000060040000}"/>
    <cellStyle name="Comma 27 3 3 3 2" xfId="4519" xr:uid="{00000000-0005-0000-0000-000061040000}"/>
    <cellStyle name="Comma 27 3 3 4" xfId="3230" xr:uid="{00000000-0005-0000-0000-000062040000}"/>
    <cellStyle name="Comma 27 3 4" xfId="1394" xr:uid="{00000000-0005-0000-0000-000063040000}"/>
    <cellStyle name="Comma 27 3 4 2" xfId="2015" xr:uid="{00000000-0005-0000-0000-000064040000}"/>
    <cellStyle name="Comma 27 3 4 2 2" xfId="3959" xr:uid="{00000000-0005-0000-0000-000065040000}"/>
    <cellStyle name="Comma 27 3 4 3" xfId="2704" xr:uid="{00000000-0005-0000-0000-000066040000}"/>
    <cellStyle name="Comma 27 3 4 3 2" xfId="4630" xr:uid="{00000000-0005-0000-0000-000067040000}"/>
    <cellStyle name="Comma 27 3 4 4" xfId="3349" xr:uid="{00000000-0005-0000-0000-000068040000}"/>
    <cellStyle name="Comma 27 3 5" xfId="1551" xr:uid="{00000000-0005-0000-0000-000069040000}"/>
    <cellStyle name="Comma 27 3 5 2" xfId="3505" xr:uid="{00000000-0005-0000-0000-00006A040000}"/>
    <cellStyle name="Comma 27 3 6" xfId="2256" xr:uid="{00000000-0005-0000-0000-00006B040000}"/>
    <cellStyle name="Comma 27 3 6 2" xfId="4191" xr:uid="{00000000-0005-0000-0000-00006C040000}"/>
    <cellStyle name="Comma 27 3 7" xfId="2947" xr:uid="{00000000-0005-0000-0000-00006D040000}"/>
    <cellStyle name="Comma 27 3 8" xfId="5299" xr:uid="{00000000-0005-0000-0000-00006E040000}"/>
    <cellStyle name="Comma 27 3 9" xfId="5758" xr:uid="{00000000-0005-0000-0000-00006F040000}"/>
    <cellStyle name="Comma 27 4" xfId="794" xr:uid="{00000000-0005-0000-0000-000070040000}"/>
    <cellStyle name="Comma 27 4 2" xfId="1683" xr:uid="{00000000-0005-0000-0000-000071040000}"/>
    <cellStyle name="Comma 27 4 2 2" xfId="3631" xr:uid="{00000000-0005-0000-0000-000072040000}"/>
    <cellStyle name="Comma 27 4 3" xfId="2392" xr:uid="{00000000-0005-0000-0000-000073040000}"/>
    <cellStyle name="Comma 27 4 3 2" xfId="4324" xr:uid="{00000000-0005-0000-0000-000074040000}"/>
    <cellStyle name="Comma 27 4 4" xfId="3037" xr:uid="{00000000-0005-0000-0000-000075040000}"/>
    <cellStyle name="Comma 27 4 5" xfId="5965" xr:uid="{00000000-0005-0000-0000-000076040000}"/>
    <cellStyle name="Comma 27 5" xfId="1135" xr:uid="{00000000-0005-0000-0000-000077040000}"/>
    <cellStyle name="Comma 27 5 2" xfId="1849" xr:uid="{00000000-0005-0000-0000-000078040000}"/>
    <cellStyle name="Comma 27 5 2 2" xfId="3794" xr:uid="{00000000-0005-0000-0000-000079040000}"/>
    <cellStyle name="Comma 27 5 3" xfId="2560" xr:uid="{00000000-0005-0000-0000-00007A040000}"/>
    <cellStyle name="Comma 27 5 3 2" xfId="4489" xr:uid="{00000000-0005-0000-0000-00007B040000}"/>
    <cellStyle name="Comma 27 5 4" xfId="3192" xr:uid="{00000000-0005-0000-0000-00007C040000}"/>
    <cellStyle name="Comma 27 6" xfId="1370" xr:uid="{00000000-0005-0000-0000-00007D040000}"/>
    <cellStyle name="Comma 27 6 2" xfId="1991" xr:uid="{00000000-0005-0000-0000-00007E040000}"/>
    <cellStyle name="Comma 27 6 2 2" xfId="3935" xr:uid="{00000000-0005-0000-0000-00007F040000}"/>
    <cellStyle name="Comma 27 6 3" xfId="2680" xr:uid="{00000000-0005-0000-0000-000080040000}"/>
    <cellStyle name="Comma 27 6 3 2" xfId="4606" xr:uid="{00000000-0005-0000-0000-000081040000}"/>
    <cellStyle name="Comma 27 6 4" xfId="3325" xr:uid="{00000000-0005-0000-0000-000082040000}"/>
    <cellStyle name="Comma 27 7" xfId="4832" xr:uid="{00000000-0005-0000-0000-000083040000}"/>
    <cellStyle name="Comma 27 8" xfId="4911" xr:uid="{00000000-0005-0000-0000-000084040000}"/>
    <cellStyle name="Comma 27 9" xfId="4981" xr:uid="{00000000-0005-0000-0000-000085040000}"/>
    <cellStyle name="Comma 28" xfId="176" xr:uid="{00000000-0005-0000-0000-000086040000}"/>
    <cellStyle name="Comma 28 10" xfId="5720" xr:uid="{00000000-0005-0000-0000-000087040000}"/>
    <cellStyle name="Comma 28 2" xfId="191" xr:uid="{00000000-0005-0000-0000-000088040000}"/>
    <cellStyle name="Comma 28 2 10" xfId="5224" xr:uid="{00000000-0005-0000-0000-000089040000}"/>
    <cellStyle name="Comma 28 2 11" xfId="5742" xr:uid="{00000000-0005-0000-0000-00008A040000}"/>
    <cellStyle name="Comma 28 2 2" xfId="989" xr:uid="{00000000-0005-0000-0000-00008B040000}"/>
    <cellStyle name="Comma 28 2 2 2" xfId="1245" xr:uid="{00000000-0005-0000-0000-00008C040000}"/>
    <cellStyle name="Comma 28 2 2 3" xfId="1742" xr:uid="{00000000-0005-0000-0000-00008D040000}"/>
    <cellStyle name="Comma 28 2 2 3 2" xfId="3690" xr:uid="{00000000-0005-0000-0000-00008E040000}"/>
    <cellStyle name="Comma 28 2 2 4" xfId="2461" xr:uid="{00000000-0005-0000-0000-00008F040000}"/>
    <cellStyle name="Comma 28 2 2 4 2" xfId="4390" xr:uid="{00000000-0005-0000-0000-000090040000}"/>
    <cellStyle name="Comma 28 2 2 5" xfId="3089" xr:uid="{00000000-0005-0000-0000-000091040000}"/>
    <cellStyle name="Comma 28 2 2 6" xfId="5989" xr:uid="{00000000-0005-0000-0000-000092040000}"/>
    <cellStyle name="Comma 28 2 3" xfId="888" xr:uid="{00000000-0005-0000-0000-000093040000}"/>
    <cellStyle name="Comma 28 2 4" xfId="1176" xr:uid="{00000000-0005-0000-0000-000094040000}"/>
    <cellStyle name="Comma 28 2 4 2" xfId="1888" xr:uid="{00000000-0005-0000-0000-000095040000}"/>
    <cellStyle name="Comma 28 2 4 2 2" xfId="3833" xr:uid="{00000000-0005-0000-0000-000096040000}"/>
    <cellStyle name="Comma 28 2 4 3" xfId="2591" xr:uid="{00000000-0005-0000-0000-000097040000}"/>
    <cellStyle name="Comma 28 2 4 3 2" xfId="4520" xr:uid="{00000000-0005-0000-0000-000098040000}"/>
    <cellStyle name="Comma 28 2 4 4" xfId="3231" xr:uid="{00000000-0005-0000-0000-000099040000}"/>
    <cellStyle name="Comma 28 2 5" xfId="1395" xr:uid="{00000000-0005-0000-0000-00009A040000}"/>
    <cellStyle name="Comma 28 2 5 2" xfId="2016" xr:uid="{00000000-0005-0000-0000-00009B040000}"/>
    <cellStyle name="Comma 28 2 5 2 2" xfId="3960" xr:uid="{00000000-0005-0000-0000-00009C040000}"/>
    <cellStyle name="Comma 28 2 5 3" xfId="2705" xr:uid="{00000000-0005-0000-0000-00009D040000}"/>
    <cellStyle name="Comma 28 2 5 3 2" xfId="4631" xr:uid="{00000000-0005-0000-0000-00009E040000}"/>
    <cellStyle name="Comma 28 2 5 4" xfId="3350" xr:uid="{00000000-0005-0000-0000-00009F040000}"/>
    <cellStyle name="Comma 28 2 6" xfId="1504" xr:uid="{00000000-0005-0000-0000-0000A0040000}"/>
    <cellStyle name="Comma 28 2 6 2" xfId="3458" xr:uid="{00000000-0005-0000-0000-0000A1040000}"/>
    <cellStyle name="Comma 28 2 7" xfId="2188" xr:uid="{00000000-0005-0000-0000-0000A2040000}"/>
    <cellStyle name="Comma 28 2 7 2" xfId="4130" xr:uid="{00000000-0005-0000-0000-0000A3040000}"/>
    <cellStyle name="Comma 28 2 8" xfId="2911" xr:uid="{00000000-0005-0000-0000-0000A4040000}"/>
    <cellStyle name="Comma 28 2 9" xfId="4834" xr:uid="{00000000-0005-0000-0000-0000A5040000}"/>
    <cellStyle name="Comma 28 3" xfId="282" xr:uid="{00000000-0005-0000-0000-0000A6040000}"/>
    <cellStyle name="Comma 28 3 10" xfId="4982" xr:uid="{00000000-0005-0000-0000-0000A7040000}"/>
    <cellStyle name="Comma 28 3 11" xfId="5040" xr:uid="{00000000-0005-0000-0000-0000A8040000}"/>
    <cellStyle name="Comma 28 3 12" xfId="5073" xr:uid="{00000000-0005-0000-0000-0000A9040000}"/>
    <cellStyle name="Comma 28 3 13" xfId="5112" xr:uid="{00000000-0005-0000-0000-0000AA040000}"/>
    <cellStyle name="Comma 28 3 14" xfId="5300" xr:uid="{00000000-0005-0000-0000-0000AB040000}"/>
    <cellStyle name="Comma 28 3 15" xfId="5759" xr:uid="{00000000-0005-0000-0000-0000AC040000}"/>
    <cellStyle name="Comma 28 3 2" xfId="990" xr:uid="{00000000-0005-0000-0000-0000AD040000}"/>
    <cellStyle name="Comma 28 3 2 2" xfId="1743" xr:uid="{00000000-0005-0000-0000-0000AE040000}"/>
    <cellStyle name="Comma 28 3 2 2 2" xfId="3691" xr:uid="{00000000-0005-0000-0000-0000AF040000}"/>
    <cellStyle name="Comma 28 3 2 3" xfId="2462" xr:uid="{00000000-0005-0000-0000-0000B0040000}"/>
    <cellStyle name="Comma 28 3 2 3 2" xfId="4391" xr:uid="{00000000-0005-0000-0000-0000B1040000}"/>
    <cellStyle name="Comma 28 3 2 4" xfId="3090" xr:uid="{00000000-0005-0000-0000-0000B2040000}"/>
    <cellStyle name="Comma 28 3 2 5" xfId="6004" xr:uid="{00000000-0005-0000-0000-0000B3040000}"/>
    <cellStyle name="Comma 28 3 3" xfId="1177" xr:uid="{00000000-0005-0000-0000-0000B4040000}"/>
    <cellStyle name="Comma 28 3 3 2" xfId="1889" xr:uid="{00000000-0005-0000-0000-0000B5040000}"/>
    <cellStyle name="Comma 28 3 3 2 2" xfId="3834" xr:uid="{00000000-0005-0000-0000-0000B6040000}"/>
    <cellStyle name="Comma 28 3 3 3" xfId="2592" xr:uid="{00000000-0005-0000-0000-0000B7040000}"/>
    <cellStyle name="Comma 28 3 3 3 2" xfId="4521" xr:uid="{00000000-0005-0000-0000-0000B8040000}"/>
    <cellStyle name="Comma 28 3 3 4" xfId="3232" xr:uid="{00000000-0005-0000-0000-0000B9040000}"/>
    <cellStyle name="Comma 28 3 4" xfId="1396" xr:uid="{00000000-0005-0000-0000-0000BA040000}"/>
    <cellStyle name="Comma 28 3 4 2" xfId="2017" xr:uid="{00000000-0005-0000-0000-0000BB040000}"/>
    <cellStyle name="Comma 28 3 4 2 2" xfId="3961" xr:uid="{00000000-0005-0000-0000-0000BC040000}"/>
    <cellStyle name="Comma 28 3 4 3" xfId="2706" xr:uid="{00000000-0005-0000-0000-0000BD040000}"/>
    <cellStyle name="Comma 28 3 4 3 2" xfId="4632" xr:uid="{00000000-0005-0000-0000-0000BE040000}"/>
    <cellStyle name="Comma 28 3 4 4" xfId="3351" xr:uid="{00000000-0005-0000-0000-0000BF040000}"/>
    <cellStyle name="Comma 28 3 5" xfId="1518" xr:uid="{00000000-0005-0000-0000-0000C0040000}"/>
    <cellStyle name="Comma 28 3 5 2" xfId="3472" xr:uid="{00000000-0005-0000-0000-0000C1040000}"/>
    <cellStyle name="Comma 28 3 6" xfId="2218" xr:uid="{00000000-0005-0000-0000-0000C2040000}"/>
    <cellStyle name="Comma 28 3 6 2" xfId="4157" xr:uid="{00000000-0005-0000-0000-0000C3040000}"/>
    <cellStyle name="Comma 28 3 7" xfId="2924" xr:uid="{00000000-0005-0000-0000-0000C4040000}"/>
    <cellStyle name="Comma 28 3 8" xfId="4835" xr:uid="{00000000-0005-0000-0000-0000C5040000}"/>
    <cellStyle name="Comma 28 3 9" xfId="4912" xr:uid="{00000000-0005-0000-0000-0000C6040000}"/>
    <cellStyle name="Comma 28 4" xfId="795" xr:uid="{00000000-0005-0000-0000-0000C7040000}"/>
    <cellStyle name="Comma 28 4 2" xfId="1244" xr:uid="{00000000-0005-0000-0000-0000C8040000}"/>
    <cellStyle name="Comma 28 4 3" xfId="5967" xr:uid="{00000000-0005-0000-0000-0000C9040000}"/>
    <cellStyle name="Comma 28 5" xfId="1494" xr:uid="{00000000-0005-0000-0000-0000CA040000}"/>
    <cellStyle name="Comma 28 5 2" xfId="3448" xr:uid="{00000000-0005-0000-0000-0000CB040000}"/>
    <cellStyle name="Comma 28 6" xfId="2179" xr:uid="{00000000-0005-0000-0000-0000CC040000}"/>
    <cellStyle name="Comma 28 6 2" xfId="4121" xr:uid="{00000000-0005-0000-0000-0000CD040000}"/>
    <cellStyle name="Comma 28 7" xfId="2903" xr:uid="{00000000-0005-0000-0000-0000CE040000}"/>
    <cellStyle name="Comma 28 8" xfId="4833" xr:uid="{00000000-0005-0000-0000-0000CF040000}"/>
    <cellStyle name="Comma 28 9" xfId="5201" xr:uid="{00000000-0005-0000-0000-0000D0040000}"/>
    <cellStyle name="Comma 29" xfId="178" xr:uid="{00000000-0005-0000-0000-0000D1040000}"/>
    <cellStyle name="Comma 29 2" xfId="192" xr:uid="{00000000-0005-0000-0000-0000D2040000}"/>
    <cellStyle name="Comma 29 2 2" xfId="890" xr:uid="{00000000-0005-0000-0000-0000D3040000}"/>
    <cellStyle name="Comma 29 3" xfId="283" xr:uid="{00000000-0005-0000-0000-0000D4040000}"/>
    <cellStyle name="Comma 29 3 2" xfId="889" xr:uid="{00000000-0005-0000-0000-0000D5040000}"/>
    <cellStyle name="Comma 29 3 2 2" xfId="1289" xr:uid="{00000000-0005-0000-0000-0000D6040000}"/>
    <cellStyle name="Comma 29 3 2 2 2" xfId="1955" xr:uid="{00000000-0005-0000-0000-0000D7040000}"/>
    <cellStyle name="Comma 29 3 2 2 2 2" xfId="3899" xr:uid="{00000000-0005-0000-0000-0000D8040000}"/>
    <cellStyle name="Comma 29 3 2 2 3" xfId="2649" xr:uid="{00000000-0005-0000-0000-0000D9040000}"/>
    <cellStyle name="Comma 29 3 2 2 3 2" xfId="4576" xr:uid="{00000000-0005-0000-0000-0000DA040000}"/>
    <cellStyle name="Comma 29 3 2 2 4" xfId="3291" xr:uid="{00000000-0005-0000-0000-0000DB040000}"/>
    <cellStyle name="Comma 29 3 2 3" xfId="1437" xr:uid="{00000000-0005-0000-0000-0000DC040000}"/>
    <cellStyle name="Comma 29 3 2 3 2" xfId="2058" xr:uid="{00000000-0005-0000-0000-0000DD040000}"/>
    <cellStyle name="Comma 29 3 2 3 2 2" xfId="4002" xr:uid="{00000000-0005-0000-0000-0000DE040000}"/>
    <cellStyle name="Comma 29 3 2 3 3" xfId="2747" xr:uid="{00000000-0005-0000-0000-0000DF040000}"/>
    <cellStyle name="Comma 29 3 2 3 3 2" xfId="4673" xr:uid="{00000000-0005-0000-0000-0000E0040000}"/>
    <cellStyle name="Comma 29 3 2 3 4" xfId="3392" xr:uid="{00000000-0005-0000-0000-0000E1040000}"/>
    <cellStyle name="Comma 29 3 2 4" xfId="5992" xr:uid="{00000000-0005-0000-0000-0000E2040000}"/>
    <cellStyle name="Comma 29 3 3" xfId="5227" xr:uid="{00000000-0005-0000-0000-0000E3040000}"/>
    <cellStyle name="Comma 29 3 4" xfId="5745" xr:uid="{00000000-0005-0000-0000-0000E4040000}"/>
    <cellStyle name="Comma 29 4" xfId="440" xr:uid="{00000000-0005-0000-0000-0000E5040000}"/>
    <cellStyle name="Comma 29 4 2" xfId="991" xr:uid="{00000000-0005-0000-0000-0000E6040000}"/>
    <cellStyle name="Comma 29 4 2 2" xfId="1744" xr:uid="{00000000-0005-0000-0000-0000E7040000}"/>
    <cellStyle name="Comma 29 4 2 2 2" xfId="3692" xr:uid="{00000000-0005-0000-0000-0000E8040000}"/>
    <cellStyle name="Comma 29 4 2 3" xfId="2463" xr:uid="{00000000-0005-0000-0000-0000E9040000}"/>
    <cellStyle name="Comma 29 4 2 3 2" xfId="4392" xr:uid="{00000000-0005-0000-0000-0000EA040000}"/>
    <cellStyle name="Comma 29 4 2 4" xfId="3091" xr:uid="{00000000-0005-0000-0000-0000EB040000}"/>
    <cellStyle name="Comma 29 4 2 5" xfId="6005" xr:uid="{00000000-0005-0000-0000-0000EC040000}"/>
    <cellStyle name="Comma 29 4 3" xfId="1178" xr:uid="{00000000-0005-0000-0000-0000ED040000}"/>
    <cellStyle name="Comma 29 4 3 2" xfId="1890" xr:uid="{00000000-0005-0000-0000-0000EE040000}"/>
    <cellStyle name="Comma 29 4 3 2 2" xfId="3835" xr:uid="{00000000-0005-0000-0000-0000EF040000}"/>
    <cellStyle name="Comma 29 4 3 3" xfId="2593" xr:uid="{00000000-0005-0000-0000-0000F0040000}"/>
    <cellStyle name="Comma 29 4 3 3 2" xfId="4522" xr:uid="{00000000-0005-0000-0000-0000F1040000}"/>
    <cellStyle name="Comma 29 4 3 4" xfId="3233" xr:uid="{00000000-0005-0000-0000-0000F2040000}"/>
    <cellStyle name="Comma 29 4 4" xfId="1397" xr:uid="{00000000-0005-0000-0000-0000F3040000}"/>
    <cellStyle name="Comma 29 4 4 2" xfId="2018" xr:uid="{00000000-0005-0000-0000-0000F4040000}"/>
    <cellStyle name="Comma 29 4 4 2 2" xfId="3962" xr:uid="{00000000-0005-0000-0000-0000F5040000}"/>
    <cellStyle name="Comma 29 4 4 3" xfId="2707" xr:uid="{00000000-0005-0000-0000-0000F6040000}"/>
    <cellStyle name="Comma 29 4 4 3 2" xfId="4633" xr:uid="{00000000-0005-0000-0000-0000F7040000}"/>
    <cellStyle name="Comma 29 4 4 4" xfId="3352" xr:uid="{00000000-0005-0000-0000-0000F8040000}"/>
    <cellStyle name="Comma 29 4 5" xfId="1552" xr:uid="{00000000-0005-0000-0000-0000F9040000}"/>
    <cellStyle name="Comma 29 4 5 2" xfId="3506" xr:uid="{00000000-0005-0000-0000-0000FA040000}"/>
    <cellStyle name="Comma 29 4 6" xfId="2257" xr:uid="{00000000-0005-0000-0000-0000FB040000}"/>
    <cellStyle name="Comma 29 4 6 2" xfId="4192" xr:uid="{00000000-0005-0000-0000-0000FC040000}"/>
    <cellStyle name="Comma 29 4 7" xfId="2948" xr:uid="{00000000-0005-0000-0000-0000FD040000}"/>
    <cellStyle name="Comma 29 4 8" xfId="5301" xr:uid="{00000000-0005-0000-0000-0000FE040000}"/>
    <cellStyle name="Comma 29 4 9" xfId="5760" xr:uid="{00000000-0005-0000-0000-0000FF040000}"/>
    <cellStyle name="Comma 29 5" xfId="5204" xr:uid="{00000000-0005-0000-0000-000000050000}"/>
    <cellStyle name="Comma 29 5 2" xfId="5970" xr:uid="{00000000-0005-0000-0000-000001050000}"/>
    <cellStyle name="Comma 29 6" xfId="5723" xr:uid="{00000000-0005-0000-0000-000002050000}"/>
    <cellStyle name="Comma 3" xfId="81" xr:uid="{00000000-0005-0000-0000-000003050000}"/>
    <cellStyle name="Comma 3 10" xfId="1066" xr:uid="{00000000-0005-0000-0000-000004050000}"/>
    <cellStyle name="Comma 3 11" xfId="1090" xr:uid="{00000000-0005-0000-0000-000005050000}"/>
    <cellStyle name="Comma 3 12" xfId="1096" xr:uid="{00000000-0005-0000-0000-000006050000}"/>
    <cellStyle name="Comma 3 13" xfId="1104" xr:uid="{00000000-0005-0000-0000-000007050000}"/>
    <cellStyle name="Comma 3 14" xfId="796" xr:uid="{00000000-0005-0000-0000-000008050000}"/>
    <cellStyle name="Comma 3 15" xfId="5144" xr:uid="{00000000-0005-0000-0000-000009050000}"/>
    <cellStyle name="Comma 3 2" xfId="82" xr:uid="{00000000-0005-0000-0000-00000A050000}"/>
    <cellStyle name="Comma 3 2 2" xfId="284" xr:uid="{00000000-0005-0000-0000-00000B050000}"/>
    <cellStyle name="Comma 3 2 2 2" xfId="892" xr:uid="{00000000-0005-0000-0000-00000C050000}"/>
    <cellStyle name="Comma 3 2 3" xfId="1227" xr:uid="{00000000-0005-0000-0000-00000D050000}"/>
    <cellStyle name="Comma 3 2 3 2" xfId="5399" xr:uid="{00000000-0005-0000-0000-00000E050000}"/>
    <cellStyle name="Comma 3 2 4" xfId="5906" xr:uid="{00000000-0005-0000-0000-00000F050000}"/>
    <cellStyle name="Comma 3 3" xfId="83" xr:uid="{00000000-0005-0000-0000-000010050000}"/>
    <cellStyle name="Comma 3 3 2" xfId="285" xr:uid="{00000000-0005-0000-0000-000011050000}"/>
    <cellStyle name="Comma 3 3 2 2" xfId="893" xr:uid="{00000000-0005-0000-0000-000012050000}"/>
    <cellStyle name="Comma 3 3 2 3" xfId="5400" xr:uid="{00000000-0005-0000-0000-000013050000}"/>
    <cellStyle name="Comma 3 4" xfId="286" xr:uid="{00000000-0005-0000-0000-000014050000}"/>
    <cellStyle name="Comma 3 4 2" xfId="584" xr:uid="{00000000-0005-0000-0000-000015050000}"/>
    <cellStyle name="Comma 3 4 2 2" xfId="992" xr:uid="{00000000-0005-0000-0000-000016050000}"/>
    <cellStyle name="Comma 3 4 2 2 2" xfId="1745" xr:uid="{00000000-0005-0000-0000-000017050000}"/>
    <cellStyle name="Comma 3 4 2 2 2 2" xfId="3693" xr:uid="{00000000-0005-0000-0000-000018050000}"/>
    <cellStyle name="Comma 3 4 2 2 3" xfId="2464" xr:uid="{00000000-0005-0000-0000-000019050000}"/>
    <cellStyle name="Comma 3 4 2 2 3 2" xfId="4393" xr:uid="{00000000-0005-0000-0000-00001A050000}"/>
    <cellStyle name="Comma 3 4 2 2 4" xfId="3092" xr:uid="{00000000-0005-0000-0000-00001B050000}"/>
    <cellStyle name="Comma 3 4 2 3" xfId="1454" xr:uid="{00000000-0005-0000-0000-00001C050000}"/>
    <cellStyle name="Comma 3 4 2 3 2" xfId="2074" xr:uid="{00000000-0005-0000-0000-00001D050000}"/>
    <cellStyle name="Comma 3 4 2 3 2 2" xfId="4018" xr:uid="{00000000-0005-0000-0000-00001E050000}"/>
    <cellStyle name="Comma 3 4 2 3 3" xfId="2763" xr:uid="{00000000-0005-0000-0000-00001F050000}"/>
    <cellStyle name="Comma 3 4 2 3 3 2" xfId="4689" xr:uid="{00000000-0005-0000-0000-000020050000}"/>
    <cellStyle name="Comma 3 4 2 3 4" xfId="3408" xr:uid="{00000000-0005-0000-0000-000021050000}"/>
    <cellStyle name="Comma 3 4 2 4" xfId="1609" xr:uid="{00000000-0005-0000-0000-000022050000}"/>
    <cellStyle name="Comma 3 4 2 4 2" xfId="3562" xr:uid="{00000000-0005-0000-0000-000023050000}"/>
    <cellStyle name="Comma 3 4 2 5" xfId="2313" xr:uid="{00000000-0005-0000-0000-000024050000}"/>
    <cellStyle name="Comma 3 4 2 5 2" xfId="4248" xr:uid="{00000000-0005-0000-0000-000025050000}"/>
    <cellStyle name="Comma 3 4 2 6" xfId="2979" xr:uid="{00000000-0005-0000-0000-000026050000}"/>
    <cellStyle name="Comma 3 4 3" xfId="961" xr:uid="{00000000-0005-0000-0000-000027050000}"/>
    <cellStyle name="Comma 3 4 3 2" xfId="1727" xr:uid="{00000000-0005-0000-0000-000028050000}"/>
    <cellStyle name="Comma 3 4 3 2 2" xfId="3675" xr:uid="{00000000-0005-0000-0000-000029050000}"/>
    <cellStyle name="Comma 3 4 3 3" xfId="2445" xr:uid="{00000000-0005-0000-0000-00002A050000}"/>
    <cellStyle name="Comma 3 4 3 3 2" xfId="4375" xr:uid="{00000000-0005-0000-0000-00002B050000}"/>
    <cellStyle name="Comma 3 4 3 4" xfId="3074" xr:uid="{00000000-0005-0000-0000-00002C050000}"/>
    <cellStyle name="Comma 3 4 4" xfId="891" xr:uid="{00000000-0005-0000-0000-00002D050000}"/>
    <cellStyle name="Comma 3 5" xfId="939" xr:uid="{00000000-0005-0000-0000-00002E050000}"/>
    <cellStyle name="Comma 3 5 2" xfId="1353" xr:uid="{00000000-0005-0000-0000-00002F050000}"/>
    <cellStyle name="Comma 3 5 3" xfId="5905" xr:uid="{00000000-0005-0000-0000-000030050000}"/>
    <cellStyle name="Comma 3 6" xfId="942" xr:uid="{00000000-0005-0000-0000-000031050000}"/>
    <cellStyle name="Comma 3 6 2" xfId="6184" xr:uid="{00000000-0005-0000-0000-000032050000}"/>
    <cellStyle name="Comma 3 7" xfId="950" xr:uid="{00000000-0005-0000-0000-000033050000}"/>
    <cellStyle name="Comma 3 8" xfId="955" xr:uid="{00000000-0005-0000-0000-000034050000}"/>
    <cellStyle name="Comma 3 9" xfId="1057" xr:uid="{00000000-0005-0000-0000-000035050000}"/>
    <cellStyle name="Comma 3_DSA__Econ_Variables.xlsx UPDATED" xfId="5401" xr:uid="{00000000-0005-0000-0000-000036050000}"/>
    <cellStyle name="Comma 30" xfId="204" xr:uid="{00000000-0005-0000-0000-000037050000}"/>
    <cellStyle name="Comma 30 2" xfId="287" xr:uid="{00000000-0005-0000-0000-000038050000}"/>
    <cellStyle name="Comma 30 2 2" xfId="993" xr:uid="{00000000-0005-0000-0000-000039050000}"/>
    <cellStyle name="Comma 30 2 2 2" xfId="5994" xr:uid="{00000000-0005-0000-0000-00003A050000}"/>
    <cellStyle name="Comma 30 2 3" xfId="5229" xr:uid="{00000000-0005-0000-0000-00003B050000}"/>
    <cellStyle name="Comma 30 2 4" xfId="5747" xr:uid="{00000000-0005-0000-0000-00003C050000}"/>
    <cellStyle name="Comma 30 3" xfId="588" xr:uid="{00000000-0005-0000-0000-00003D050000}"/>
    <cellStyle name="Comma 30 3 2" xfId="994" xr:uid="{00000000-0005-0000-0000-00003E050000}"/>
    <cellStyle name="Comma 30 3 3" xfId="5972" xr:uid="{00000000-0005-0000-0000-00003F050000}"/>
    <cellStyle name="Comma 30 4" xfId="797" xr:uid="{00000000-0005-0000-0000-000040050000}"/>
    <cellStyle name="Comma 30 4 2" xfId="1246" xr:uid="{00000000-0005-0000-0000-000041050000}"/>
    <cellStyle name="Comma 30 5" xfId="5206" xr:uid="{00000000-0005-0000-0000-000042050000}"/>
    <cellStyle name="Comma 30 6" xfId="5725" xr:uid="{00000000-0005-0000-0000-000043050000}"/>
    <cellStyle name="Comma 31" xfId="209" xr:uid="{00000000-0005-0000-0000-000044050000}"/>
    <cellStyle name="Comma 31 2" xfId="288" xr:uid="{00000000-0005-0000-0000-000045050000}"/>
    <cellStyle name="Comma 31 2 2" xfId="995" xr:uid="{00000000-0005-0000-0000-000046050000}"/>
    <cellStyle name="Comma 31 2 2 2" xfId="5997" xr:uid="{00000000-0005-0000-0000-000047050000}"/>
    <cellStyle name="Comma 31 2 3" xfId="894" xr:uid="{00000000-0005-0000-0000-000048050000}"/>
    <cellStyle name="Comma 31 2 4" xfId="5239" xr:uid="{00000000-0005-0000-0000-000049050000}"/>
    <cellStyle name="Comma 31 2 5" xfId="5750" xr:uid="{00000000-0005-0000-0000-00004A050000}"/>
    <cellStyle name="Comma 31 3" xfId="798" xr:uid="{00000000-0005-0000-0000-00004B050000}"/>
    <cellStyle name="Comma 31 4" xfId="1514" xr:uid="{00000000-0005-0000-0000-00004C050000}"/>
    <cellStyle name="Comma 31 4 2" xfId="3468" xr:uid="{00000000-0005-0000-0000-00004D050000}"/>
    <cellStyle name="Comma 31 5" xfId="2199" xr:uid="{00000000-0005-0000-0000-00004E050000}"/>
    <cellStyle name="Comma 31 5 2" xfId="4141" xr:uid="{00000000-0005-0000-0000-00004F050000}"/>
    <cellStyle name="Comma 31 6" xfId="2921" xr:uid="{00000000-0005-0000-0000-000050050000}"/>
    <cellStyle name="Comma 32" xfId="289" xr:uid="{00000000-0005-0000-0000-000051050000}"/>
    <cellStyle name="Comma 32 2" xfId="290" xr:uid="{00000000-0005-0000-0000-000052050000}"/>
    <cellStyle name="Comma 32 2 2" xfId="996" xr:uid="{00000000-0005-0000-0000-000053050000}"/>
    <cellStyle name="Comma 32 2 2 2" xfId="6080" xr:uid="{00000000-0005-0000-0000-000054050000}"/>
    <cellStyle name="Comma 32 2 3" xfId="895" xr:uid="{00000000-0005-0000-0000-000055050000}"/>
    <cellStyle name="Comma 32 2 4" xfId="5536" xr:uid="{00000000-0005-0000-0000-000056050000}"/>
    <cellStyle name="Comma 32 2 5" xfId="5843" xr:uid="{00000000-0005-0000-0000-000057050000}"/>
    <cellStyle name="Comma 32 3" xfId="799" xr:uid="{00000000-0005-0000-0000-000058050000}"/>
    <cellStyle name="Comma 32 3 2" xfId="6026" xr:uid="{00000000-0005-0000-0000-000059050000}"/>
    <cellStyle name="Comma 32 4" xfId="5402" xr:uid="{00000000-0005-0000-0000-00005A050000}"/>
    <cellStyle name="Comma 32 5" xfId="5789" xr:uid="{00000000-0005-0000-0000-00005B050000}"/>
    <cellStyle name="Comma 33" xfId="291" xr:uid="{00000000-0005-0000-0000-00005C050000}"/>
    <cellStyle name="Comma 33 2" xfId="292" xr:uid="{00000000-0005-0000-0000-00005D050000}"/>
    <cellStyle name="Comma 33 2 2" xfId="997" xr:uid="{00000000-0005-0000-0000-00005E050000}"/>
    <cellStyle name="Comma 33 2 3" xfId="896" xr:uid="{00000000-0005-0000-0000-00005F050000}"/>
    <cellStyle name="Comma 33 2 4" xfId="6085" xr:uid="{00000000-0005-0000-0000-000060050000}"/>
    <cellStyle name="Comma 33 3" xfId="800" xr:uid="{00000000-0005-0000-0000-000061050000}"/>
    <cellStyle name="Comma 33 4" xfId="5542" xr:uid="{00000000-0005-0000-0000-000062050000}"/>
    <cellStyle name="Comma 33 5" xfId="5848" xr:uid="{00000000-0005-0000-0000-000063050000}"/>
    <cellStyle name="Comma 34" xfId="293" xr:uid="{00000000-0005-0000-0000-000064050000}"/>
    <cellStyle name="Comma 34 2" xfId="294" xr:uid="{00000000-0005-0000-0000-000065050000}"/>
    <cellStyle name="Comma 34 2 2" xfId="998" xr:uid="{00000000-0005-0000-0000-000066050000}"/>
    <cellStyle name="Comma 34 2 3" xfId="897" xr:uid="{00000000-0005-0000-0000-000067050000}"/>
    <cellStyle name="Comma 34 2 4" xfId="6089" xr:uid="{00000000-0005-0000-0000-000068050000}"/>
    <cellStyle name="Comma 34 3" xfId="801" xr:uid="{00000000-0005-0000-0000-000069050000}"/>
    <cellStyle name="Comma 34 4" xfId="5639" xr:uid="{00000000-0005-0000-0000-00006A050000}"/>
    <cellStyle name="Comma 34 5" xfId="5883" xr:uid="{00000000-0005-0000-0000-00006B050000}"/>
    <cellStyle name="Comma 35" xfId="295" xr:uid="{00000000-0005-0000-0000-00006C050000}"/>
    <cellStyle name="Comma 35 2" xfId="296" xr:uid="{00000000-0005-0000-0000-00006D050000}"/>
    <cellStyle name="Comma 35 2 2" xfId="999" xr:uid="{00000000-0005-0000-0000-00006E050000}"/>
    <cellStyle name="Comma 35 2 2 2" xfId="5643" xr:uid="{00000000-0005-0000-0000-00006F050000}"/>
    <cellStyle name="Comma 35 2 2 2 2" xfId="6093" xr:uid="{00000000-0005-0000-0000-000070050000}"/>
    <cellStyle name="Comma 35 2 2 3" xfId="5887" xr:uid="{00000000-0005-0000-0000-000071050000}"/>
    <cellStyle name="Comma 35 2 3" xfId="898" xr:uid="{00000000-0005-0000-0000-000072050000}"/>
    <cellStyle name="Comma 35 2 3 2" xfId="6092" xr:uid="{00000000-0005-0000-0000-000073050000}"/>
    <cellStyle name="Comma 35 2 4" xfId="5642" xr:uid="{00000000-0005-0000-0000-000074050000}"/>
    <cellStyle name="Comma 35 2 5" xfId="5886" xr:uid="{00000000-0005-0000-0000-000075050000}"/>
    <cellStyle name="Comma 35 3" xfId="802" xr:uid="{00000000-0005-0000-0000-000076050000}"/>
    <cellStyle name="Comma 35 3 2" xfId="6091" xr:uid="{00000000-0005-0000-0000-000077050000}"/>
    <cellStyle name="Comma 35 4" xfId="5641" xr:uid="{00000000-0005-0000-0000-000078050000}"/>
    <cellStyle name="Comma 35 5" xfId="5885" xr:uid="{00000000-0005-0000-0000-000079050000}"/>
    <cellStyle name="Comma 36" xfId="297" xr:uid="{00000000-0005-0000-0000-00007A050000}"/>
    <cellStyle name="Comma 36 2" xfId="589" xr:uid="{00000000-0005-0000-0000-00007B050000}"/>
    <cellStyle name="Comma 36 2 2" xfId="1000" xr:uid="{00000000-0005-0000-0000-00007C050000}"/>
    <cellStyle name="Comma 36 2 3" xfId="899" xr:uid="{00000000-0005-0000-0000-00007D050000}"/>
    <cellStyle name="Comma 36 2 4" xfId="6107" xr:uid="{00000000-0005-0000-0000-00007E050000}"/>
    <cellStyle name="Comma 36 3" xfId="803" xr:uid="{00000000-0005-0000-0000-00007F050000}"/>
    <cellStyle name="Comma 36 3 2" xfId="1248" xr:uid="{00000000-0005-0000-0000-000080050000}"/>
    <cellStyle name="Comma 36 4" xfId="5663" xr:uid="{00000000-0005-0000-0000-000081050000}"/>
    <cellStyle name="Comma 36 5" xfId="5901" xr:uid="{00000000-0005-0000-0000-000082050000}"/>
    <cellStyle name="Comma 37" xfId="298" xr:uid="{00000000-0005-0000-0000-000083050000}"/>
    <cellStyle name="Comma 37 10" xfId="5041" xr:uid="{00000000-0005-0000-0000-000084050000}"/>
    <cellStyle name="Comma 37 11" xfId="5074" xr:uid="{00000000-0005-0000-0000-000085050000}"/>
    <cellStyle name="Comma 37 12" xfId="5113" xr:uid="{00000000-0005-0000-0000-000086050000}"/>
    <cellStyle name="Comma 37 13" xfId="5902" xr:uid="{00000000-0005-0000-0000-000087050000}"/>
    <cellStyle name="Comma 37 2" xfId="900" xr:uid="{00000000-0005-0000-0000-000088050000}"/>
    <cellStyle name="Comma 37 2 2" xfId="1249" xr:uid="{00000000-0005-0000-0000-000089050000}"/>
    <cellStyle name="Comma 37 2 2 2" xfId="1944" xr:uid="{00000000-0005-0000-0000-00008A050000}"/>
    <cellStyle name="Comma 37 2 2 2 2" xfId="3888" xr:uid="{00000000-0005-0000-0000-00008B050000}"/>
    <cellStyle name="Comma 37 2 2 3" xfId="2640" xr:uid="{00000000-0005-0000-0000-00008C050000}"/>
    <cellStyle name="Comma 37 2 2 3 2" xfId="4567" xr:uid="{00000000-0005-0000-0000-00008D050000}"/>
    <cellStyle name="Comma 37 2 2 4" xfId="3283" xr:uid="{00000000-0005-0000-0000-00008E050000}"/>
    <cellStyle name="Comma 37 2 3" xfId="1435" xr:uid="{00000000-0005-0000-0000-00008F050000}"/>
    <cellStyle name="Comma 37 2 3 2" xfId="2056" xr:uid="{00000000-0005-0000-0000-000090050000}"/>
    <cellStyle name="Comma 37 2 3 2 2" xfId="4000" xr:uid="{00000000-0005-0000-0000-000091050000}"/>
    <cellStyle name="Comma 37 2 3 3" xfId="2745" xr:uid="{00000000-0005-0000-0000-000092050000}"/>
    <cellStyle name="Comma 37 2 3 3 2" xfId="4671" xr:uid="{00000000-0005-0000-0000-000093050000}"/>
    <cellStyle name="Comma 37 2 3 4" xfId="3390" xr:uid="{00000000-0005-0000-0000-000094050000}"/>
    <cellStyle name="Comma 37 3" xfId="804" xr:uid="{00000000-0005-0000-0000-000095050000}"/>
    <cellStyle name="Comma 37 4" xfId="1519" xr:uid="{00000000-0005-0000-0000-000096050000}"/>
    <cellStyle name="Comma 37 4 2" xfId="3473" xr:uid="{00000000-0005-0000-0000-000097050000}"/>
    <cellStyle name="Comma 37 5" xfId="2220" xr:uid="{00000000-0005-0000-0000-000098050000}"/>
    <cellStyle name="Comma 37 5 2" xfId="4159" xr:uid="{00000000-0005-0000-0000-000099050000}"/>
    <cellStyle name="Comma 37 6" xfId="2925" xr:uid="{00000000-0005-0000-0000-00009A050000}"/>
    <cellStyle name="Comma 37 7" xfId="4836" xr:uid="{00000000-0005-0000-0000-00009B050000}"/>
    <cellStyle name="Comma 37 8" xfId="4913" xr:uid="{00000000-0005-0000-0000-00009C050000}"/>
    <cellStyle name="Comma 37 9" xfId="4983" xr:uid="{00000000-0005-0000-0000-00009D050000}"/>
    <cellStyle name="Comma 38" xfId="299" xr:uid="{00000000-0005-0000-0000-00009E050000}"/>
    <cellStyle name="Comma 38 2" xfId="300" xr:uid="{00000000-0005-0000-0000-00009F050000}"/>
    <cellStyle name="Comma 38 2 2" xfId="1001" xr:uid="{00000000-0005-0000-0000-0000A0050000}"/>
    <cellStyle name="Comma 38 2 3" xfId="901" xr:uid="{00000000-0005-0000-0000-0000A1050000}"/>
    <cellStyle name="Comma 38 3" xfId="805" xr:uid="{00000000-0005-0000-0000-0000A2050000}"/>
    <cellStyle name="Comma 38 4" xfId="6180" xr:uid="{00000000-0005-0000-0000-0000A3050000}"/>
    <cellStyle name="Comma 39" xfId="301" xr:uid="{00000000-0005-0000-0000-0000A4050000}"/>
    <cellStyle name="Comma 39 2" xfId="590" xr:uid="{00000000-0005-0000-0000-0000A5050000}"/>
    <cellStyle name="Comma 39 2 2" xfId="1002" xr:uid="{00000000-0005-0000-0000-0000A6050000}"/>
    <cellStyle name="Comma 39 2 3" xfId="902" xr:uid="{00000000-0005-0000-0000-0000A7050000}"/>
    <cellStyle name="Comma 39 3" xfId="806" xr:uid="{00000000-0005-0000-0000-0000A8050000}"/>
    <cellStyle name="Comma 39 3 2" xfId="1252" xr:uid="{00000000-0005-0000-0000-0000A9050000}"/>
    <cellStyle name="Comma 4" xfId="84" xr:uid="{00000000-0005-0000-0000-0000AA050000}"/>
    <cellStyle name="Comma 4 2" xfId="85" xr:uid="{00000000-0005-0000-0000-0000AB050000}"/>
    <cellStyle name="Comma 4 2 2" xfId="385" xr:uid="{00000000-0005-0000-0000-0000AC050000}"/>
    <cellStyle name="Comma 4 2 2 2" xfId="386" xr:uid="{00000000-0005-0000-0000-0000AD050000}"/>
    <cellStyle name="Comma 4 2 2 2 2" xfId="906" xr:uid="{00000000-0005-0000-0000-0000AE050000}"/>
    <cellStyle name="Comma 4 2 2 3" xfId="905" xr:uid="{00000000-0005-0000-0000-0000AF050000}"/>
    <cellStyle name="Comma 4 2 2 4" xfId="5908" xr:uid="{00000000-0005-0000-0000-0000B0050000}"/>
    <cellStyle name="Comma 4 2 3" xfId="904" xr:uid="{00000000-0005-0000-0000-0000B1050000}"/>
    <cellStyle name="Comma 4 2 3 2" xfId="1229" xr:uid="{00000000-0005-0000-0000-0000B2050000}"/>
    <cellStyle name="Comma 4 2 4" xfId="1068" xr:uid="{00000000-0005-0000-0000-0000B3050000}"/>
    <cellStyle name="Comma 4 3" xfId="86" xr:uid="{00000000-0005-0000-0000-0000B4050000}"/>
    <cellStyle name="Comma 4 3 2" xfId="302" xr:uid="{00000000-0005-0000-0000-0000B5050000}"/>
    <cellStyle name="Comma 4 3 2 2" xfId="5909" xr:uid="{00000000-0005-0000-0000-0000B6050000}"/>
    <cellStyle name="Comma 4 4" xfId="591" xr:uid="{00000000-0005-0000-0000-0000B7050000}"/>
    <cellStyle name="Comma 4 4 2" xfId="1003" xr:uid="{00000000-0005-0000-0000-0000B8050000}"/>
    <cellStyle name="Comma 4 4 3" xfId="903" xr:uid="{00000000-0005-0000-0000-0000B9050000}"/>
    <cellStyle name="Comma 4 4 4" xfId="1253" xr:uid="{00000000-0005-0000-0000-0000BA050000}"/>
    <cellStyle name="Comma 4 5" xfId="1067" xr:uid="{00000000-0005-0000-0000-0000BB050000}"/>
    <cellStyle name="Comma 4 5 2" xfId="1228" xr:uid="{00000000-0005-0000-0000-0000BC050000}"/>
    <cellStyle name="Comma 4 5 3" xfId="5907" xr:uid="{00000000-0005-0000-0000-0000BD050000}"/>
    <cellStyle name="Comma 4 6" xfId="807" xr:uid="{00000000-0005-0000-0000-0000BE050000}"/>
    <cellStyle name="Comma 4 6 2" xfId="6112" xr:uid="{00000000-0005-0000-0000-0000BF050000}"/>
    <cellStyle name="Comma 4 7" xfId="5690" xr:uid="{00000000-0005-0000-0000-0000C0050000}"/>
    <cellStyle name="Comma 4 7 2" xfId="6186" xr:uid="{00000000-0005-0000-0000-0000C1050000}"/>
    <cellStyle name="Comma 40" xfId="303" xr:uid="{00000000-0005-0000-0000-0000C2050000}"/>
    <cellStyle name="Comma 40 2" xfId="907" xr:uid="{00000000-0005-0000-0000-0000C3050000}"/>
    <cellStyle name="Comma 40 2 2" xfId="1254" xr:uid="{00000000-0005-0000-0000-0000C4050000}"/>
    <cellStyle name="Comma 40 2 3" xfId="4838" xr:uid="{00000000-0005-0000-0000-0000C5050000}"/>
    <cellStyle name="Comma 40 3" xfId="809" xr:uid="{00000000-0005-0000-0000-0000C6050000}"/>
    <cellStyle name="Comma 40 4" xfId="4837" xr:uid="{00000000-0005-0000-0000-0000C7050000}"/>
    <cellStyle name="Comma 41" xfId="387" xr:uid="{00000000-0005-0000-0000-0000C8050000}"/>
    <cellStyle name="Comma 41 2" xfId="908" xr:uid="{00000000-0005-0000-0000-0000C9050000}"/>
    <cellStyle name="Comma 41 2 2" xfId="1255" xr:uid="{00000000-0005-0000-0000-0000CA050000}"/>
    <cellStyle name="Comma 41 3" xfId="4839" xr:uid="{00000000-0005-0000-0000-0000CB050000}"/>
    <cellStyle name="Comma 41 4" xfId="4914" xr:uid="{00000000-0005-0000-0000-0000CC050000}"/>
    <cellStyle name="Comma 41 5" xfId="4984" xr:uid="{00000000-0005-0000-0000-0000CD050000}"/>
    <cellStyle name="Comma 41 6" xfId="5042" xr:uid="{00000000-0005-0000-0000-0000CE050000}"/>
    <cellStyle name="Comma 41 7" xfId="5075" xr:uid="{00000000-0005-0000-0000-0000CF050000}"/>
    <cellStyle name="Comma 41 8" xfId="5114" xr:uid="{00000000-0005-0000-0000-0000D0050000}"/>
    <cellStyle name="Comma 42" xfId="388" xr:uid="{00000000-0005-0000-0000-0000D1050000}"/>
    <cellStyle name="Comma 42 2" xfId="909" xr:uid="{00000000-0005-0000-0000-0000D2050000}"/>
    <cellStyle name="Comma 42 2 2" xfId="1256" xr:uid="{00000000-0005-0000-0000-0000D3050000}"/>
    <cellStyle name="Comma 42 3" xfId="4840" xr:uid="{00000000-0005-0000-0000-0000D4050000}"/>
    <cellStyle name="Comma 42 4" xfId="4915" xr:uid="{00000000-0005-0000-0000-0000D5050000}"/>
    <cellStyle name="Comma 42 5" xfId="4985" xr:uid="{00000000-0005-0000-0000-0000D6050000}"/>
    <cellStyle name="Comma 42 6" xfId="5043" xr:uid="{00000000-0005-0000-0000-0000D7050000}"/>
    <cellStyle name="Comma 42 7" xfId="5076" xr:uid="{00000000-0005-0000-0000-0000D8050000}"/>
    <cellStyle name="Comma 42 8" xfId="5115" xr:uid="{00000000-0005-0000-0000-0000D9050000}"/>
    <cellStyle name="Comma 43" xfId="389" xr:uid="{00000000-0005-0000-0000-0000DA050000}"/>
    <cellStyle name="Comma 43 2" xfId="390" xr:uid="{00000000-0005-0000-0000-0000DB050000}"/>
    <cellStyle name="Comma 43 2 2" xfId="911" xr:uid="{00000000-0005-0000-0000-0000DC050000}"/>
    <cellStyle name="Comma 43 3" xfId="910" xr:uid="{00000000-0005-0000-0000-0000DD050000}"/>
    <cellStyle name="Comma 43 3 2" xfId="1257" xr:uid="{00000000-0005-0000-0000-0000DE050000}"/>
    <cellStyle name="Comma 44" xfId="391" xr:uid="{00000000-0005-0000-0000-0000DF050000}"/>
    <cellStyle name="Comma 44 2" xfId="912" xr:uid="{00000000-0005-0000-0000-0000E0050000}"/>
    <cellStyle name="Comma 45" xfId="392" xr:uid="{00000000-0005-0000-0000-0000E1050000}"/>
    <cellStyle name="Comma 45 2" xfId="913" xr:uid="{00000000-0005-0000-0000-0000E2050000}"/>
    <cellStyle name="Comma 45 2 2" xfId="1274" xr:uid="{00000000-0005-0000-0000-0000E3050000}"/>
    <cellStyle name="Comma 45 3" xfId="1236" xr:uid="{00000000-0005-0000-0000-0000E4050000}"/>
    <cellStyle name="Comma 45 3 2" xfId="1431" xr:uid="{00000000-0005-0000-0000-0000E5050000}"/>
    <cellStyle name="Comma 45 3 2 2" xfId="2052" xr:uid="{00000000-0005-0000-0000-0000E6050000}"/>
    <cellStyle name="Comma 45 3 2 2 2" xfId="3996" xr:uid="{00000000-0005-0000-0000-0000E7050000}"/>
    <cellStyle name="Comma 45 3 2 3" xfId="2741" xr:uid="{00000000-0005-0000-0000-0000E8050000}"/>
    <cellStyle name="Comma 45 3 2 3 2" xfId="4667" xr:uid="{00000000-0005-0000-0000-0000E9050000}"/>
    <cellStyle name="Comma 45 3 2 4" xfId="3386" xr:uid="{00000000-0005-0000-0000-0000EA050000}"/>
    <cellStyle name="Comma 45 3 3" xfId="1938" xr:uid="{00000000-0005-0000-0000-0000EB050000}"/>
    <cellStyle name="Comma 45 3 3 2" xfId="3882" xr:uid="{00000000-0005-0000-0000-0000EC050000}"/>
    <cellStyle name="Comma 45 3 4" xfId="2634" xr:uid="{00000000-0005-0000-0000-0000ED050000}"/>
    <cellStyle name="Comma 45 3 4 2" xfId="4562" xr:uid="{00000000-0005-0000-0000-0000EE050000}"/>
    <cellStyle name="Comma 45 3 5" xfId="3278" xr:uid="{00000000-0005-0000-0000-0000EF050000}"/>
    <cellStyle name="Comma 46" xfId="393" xr:uid="{00000000-0005-0000-0000-0000F0050000}"/>
    <cellStyle name="Comma 46 2" xfId="394" xr:uid="{00000000-0005-0000-0000-0000F1050000}"/>
    <cellStyle name="Comma 46 2 2" xfId="1004" xr:uid="{00000000-0005-0000-0000-0000F2050000}"/>
    <cellStyle name="Comma 46 3" xfId="914" xr:uid="{00000000-0005-0000-0000-0000F3050000}"/>
    <cellStyle name="Comma 47" xfId="395" xr:uid="{00000000-0005-0000-0000-0000F4050000}"/>
    <cellStyle name="Comma 47 2" xfId="915" xr:uid="{00000000-0005-0000-0000-0000F5050000}"/>
    <cellStyle name="Comma 47 3" xfId="960" xr:uid="{00000000-0005-0000-0000-0000F6050000}"/>
    <cellStyle name="Comma 47 3 2" xfId="1726" xr:uid="{00000000-0005-0000-0000-0000F7050000}"/>
    <cellStyle name="Comma 47 3 2 2" xfId="3674" xr:uid="{00000000-0005-0000-0000-0000F8050000}"/>
    <cellStyle name="Comma 47 3 3" xfId="2444" xr:uid="{00000000-0005-0000-0000-0000F9050000}"/>
    <cellStyle name="Comma 47 3 3 2" xfId="4374" xr:uid="{00000000-0005-0000-0000-0000FA050000}"/>
    <cellStyle name="Comma 47 3 4" xfId="3073" xr:uid="{00000000-0005-0000-0000-0000FB050000}"/>
    <cellStyle name="Comma 47 4" xfId="1151" xr:uid="{00000000-0005-0000-0000-0000FC050000}"/>
    <cellStyle name="Comma 47 4 2" xfId="1865" xr:uid="{00000000-0005-0000-0000-0000FD050000}"/>
    <cellStyle name="Comma 47 4 2 2" xfId="3810" xr:uid="{00000000-0005-0000-0000-0000FE050000}"/>
    <cellStyle name="Comma 47 4 3" xfId="2570" xr:uid="{00000000-0005-0000-0000-0000FF050000}"/>
    <cellStyle name="Comma 47 4 3 2" xfId="4499" xr:uid="{00000000-0005-0000-0000-000000060000}"/>
    <cellStyle name="Comma 47 4 4" xfId="3208" xr:uid="{00000000-0005-0000-0000-000001060000}"/>
    <cellStyle name="Comma 47 5" xfId="1376" xr:uid="{00000000-0005-0000-0000-000002060000}"/>
    <cellStyle name="Comma 47 5 2" xfId="1997" xr:uid="{00000000-0005-0000-0000-000003060000}"/>
    <cellStyle name="Comma 47 5 2 2" xfId="3941" xr:uid="{00000000-0005-0000-0000-000004060000}"/>
    <cellStyle name="Comma 47 5 3" xfId="2686" xr:uid="{00000000-0005-0000-0000-000005060000}"/>
    <cellStyle name="Comma 47 5 3 2" xfId="4612" xr:uid="{00000000-0005-0000-0000-000006060000}"/>
    <cellStyle name="Comma 47 5 4" xfId="3331" xr:uid="{00000000-0005-0000-0000-000007060000}"/>
    <cellStyle name="Comma 48" xfId="421" xr:uid="{00000000-0005-0000-0000-000008060000}"/>
    <cellStyle name="Comma 48 2" xfId="869" xr:uid="{00000000-0005-0000-0000-000009060000}"/>
    <cellStyle name="Comma 48 2 2" xfId="1706" xr:uid="{00000000-0005-0000-0000-00000A060000}"/>
    <cellStyle name="Comma 48 2 2 2" xfId="3654" xr:uid="{00000000-0005-0000-0000-00000B060000}"/>
    <cellStyle name="Comma 48 2 3" xfId="2415" xr:uid="{00000000-0005-0000-0000-00000C060000}"/>
    <cellStyle name="Comma 48 2 3 2" xfId="4347" xr:uid="{00000000-0005-0000-0000-00000D060000}"/>
    <cellStyle name="Comma 48 2 4" xfId="3056" xr:uid="{00000000-0005-0000-0000-00000E060000}"/>
    <cellStyle name="Comma 48 3" xfId="1152" xr:uid="{00000000-0005-0000-0000-00000F060000}"/>
    <cellStyle name="Comma 48 3 2" xfId="1866" xr:uid="{00000000-0005-0000-0000-000010060000}"/>
    <cellStyle name="Comma 48 3 2 2" xfId="3811" xr:uid="{00000000-0005-0000-0000-000011060000}"/>
    <cellStyle name="Comma 48 3 3" xfId="2571" xr:uid="{00000000-0005-0000-0000-000012060000}"/>
    <cellStyle name="Comma 48 3 3 2" xfId="4500" xr:uid="{00000000-0005-0000-0000-000013060000}"/>
    <cellStyle name="Comma 48 3 4" xfId="3209" xr:uid="{00000000-0005-0000-0000-000014060000}"/>
    <cellStyle name="Comma 48 4" xfId="1377" xr:uid="{00000000-0005-0000-0000-000015060000}"/>
    <cellStyle name="Comma 48 4 2" xfId="1998" xr:uid="{00000000-0005-0000-0000-000016060000}"/>
    <cellStyle name="Comma 48 4 2 2" xfId="3942" xr:uid="{00000000-0005-0000-0000-000017060000}"/>
    <cellStyle name="Comma 48 4 3" xfId="2687" xr:uid="{00000000-0005-0000-0000-000018060000}"/>
    <cellStyle name="Comma 48 4 3 2" xfId="4613" xr:uid="{00000000-0005-0000-0000-000019060000}"/>
    <cellStyle name="Comma 48 4 4" xfId="3332" xr:uid="{00000000-0005-0000-0000-00001A060000}"/>
    <cellStyle name="Comma 48 5" xfId="1544" xr:uid="{00000000-0005-0000-0000-00001B060000}"/>
    <cellStyle name="Comma 48 5 2" xfId="3498" xr:uid="{00000000-0005-0000-0000-00001C060000}"/>
    <cellStyle name="Comma 48 6" xfId="2250" xr:uid="{00000000-0005-0000-0000-00001D060000}"/>
    <cellStyle name="Comma 48 6 2" xfId="4185" xr:uid="{00000000-0005-0000-0000-00001E060000}"/>
    <cellStyle name="Comma 48 7" xfId="2941" xr:uid="{00000000-0005-0000-0000-00001F060000}"/>
    <cellStyle name="Comma 49" xfId="582" xr:uid="{00000000-0005-0000-0000-000020060000}"/>
    <cellStyle name="Comma 49 2" xfId="928" xr:uid="{00000000-0005-0000-0000-000021060000}"/>
    <cellStyle name="Comma 49 2 2" xfId="1709" xr:uid="{00000000-0005-0000-0000-000022060000}"/>
    <cellStyle name="Comma 49 2 2 2" xfId="3657" xr:uid="{00000000-0005-0000-0000-000023060000}"/>
    <cellStyle name="Comma 49 2 3" xfId="2423" xr:uid="{00000000-0005-0000-0000-000024060000}"/>
    <cellStyle name="Comma 49 2 3 2" xfId="4354" xr:uid="{00000000-0005-0000-0000-000025060000}"/>
    <cellStyle name="Comma 49 2 4" xfId="3059" xr:uid="{00000000-0005-0000-0000-000026060000}"/>
    <cellStyle name="Comma 49 3" xfId="1153" xr:uid="{00000000-0005-0000-0000-000027060000}"/>
    <cellStyle name="Comma 49 3 2" xfId="1867" xr:uid="{00000000-0005-0000-0000-000028060000}"/>
    <cellStyle name="Comma 49 3 2 2" xfId="3812" xr:uid="{00000000-0005-0000-0000-000029060000}"/>
    <cellStyle name="Comma 49 3 3" xfId="2572" xr:uid="{00000000-0005-0000-0000-00002A060000}"/>
    <cellStyle name="Comma 49 3 3 2" xfId="4501" xr:uid="{00000000-0005-0000-0000-00002B060000}"/>
    <cellStyle name="Comma 49 3 4" xfId="3210" xr:uid="{00000000-0005-0000-0000-00002C060000}"/>
    <cellStyle name="Comma 49 4" xfId="1378" xr:uid="{00000000-0005-0000-0000-00002D060000}"/>
    <cellStyle name="Comma 49 4 2" xfId="1999" xr:uid="{00000000-0005-0000-0000-00002E060000}"/>
    <cellStyle name="Comma 49 4 2 2" xfId="3943" xr:uid="{00000000-0005-0000-0000-00002F060000}"/>
    <cellStyle name="Comma 49 4 3" xfId="2688" xr:uid="{00000000-0005-0000-0000-000030060000}"/>
    <cellStyle name="Comma 49 4 3 2" xfId="4614" xr:uid="{00000000-0005-0000-0000-000031060000}"/>
    <cellStyle name="Comma 49 4 4" xfId="3333" xr:uid="{00000000-0005-0000-0000-000032060000}"/>
    <cellStyle name="Comma 49 5" xfId="1458" xr:uid="{00000000-0005-0000-0000-000033060000}"/>
    <cellStyle name="Comma 49 5 2" xfId="2078" xr:uid="{00000000-0005-0000-0000-000034060000}"/>
    <cellStyle name="Comma 49 5 2 2" xfId="4022" xr:uid="{00000000-0005-0000-0000-000035060000}"/>
    <cellStyle name="Comma 49 5 3" xfId="2767" xr:uid="{00000000-0005-0000-0000-000036060000}"/>
    <cellStyle name="Comma 49 5 3 2" xfId="4693" xr:uid="{00000000-0005-0000-0000-000037060000}"/>
    <cellStyle name="Comma 49 5 4" xfId="3412" xr:uid="{00000000-0005-0000-0000-000038060000}"/>
    <cellStyle name="Comma 49 5 5" xfId="5669" xr:uid="{00000000-0005-0000-0000-000039060000}"/>
    <cellStyle name="Comma 49 6" xfId="1607" xr:uid="{00000000-0005-0000-0000-00003A060000}"/>
    <cellStyle name="Comma 49 6 2" xfId="3560" xr:uid="{00000000-0005-0000-0000-00003B060000}"/>
    <cellStyle name="Comma 49 7" xfId="2311" xr:uid="{00000000-0005-0000-0000-00003C060000}"/>
    <cellStyle name="Comma 49 7 2" xfId="4246" xr:uid="{00000000-0005-0000-0000-00003D060000}"/>
    <cellStyle name="Comma 49 8" xfId="2977" xr:uid="{00000000-0005-0000-0000-00003E060000}"/>
    <cellStyle name="Comma 5" xfId="87" xr:uid="{00000000-0005-0000-0000-00003F060000}"/>
    <cellStyle name="Comma 5 2" xfId="304" xr:uid="{00000000-0005-0000-0000-000040060000}"/>
    <cellStyle name="Comma 5 2 2" xfId="1231" xr:uid="{00000000-0005-0000-0000-000041060000}"/>
    <cellStyle name="Comma 5 2 3" xfId="5403" xr:uid="{00000000-0005-0000-0000-000042060000}"/>
    <cellStyle name="Comma 5 3" xfId="1069" xr:uid="{00000000-0005-0000-0000-000043060000}"/>
    <cellStyle name="Comma 5 3 2" xfId="1230" xr:uid="{00000000-0005-0000-0000-000044060000}"/>
    <cellStyle name="Comma 5 4" xfId="5910" xr:uid="{00000000-0005-0000-0000-000045060000}"/>
    <cellStyle name="Comma 5 5" xfId="6120" xr:uid="{00000000-0005-0000-0000-000046060000}"/>
    <cellStyle name="Comma 5 6" xfId="6187" xr:uid="{00000000-0005-0000-0000-000047060000}"/>
    <cellStyle name="Comma 50" xfId="599" xr:uid="{00000000-0005-0000-0000-000048060000}"/>
    <cellStyle name="Comma 50 2" xfId="1005" xr:uid="{00000000-0005-0000-0000-000049060000}"/>
    <cellStyle name="Comma 50 3" xfId="935" xr:uid="{00000000-0005-0000-0000-00004A060000}"/>
    <cellStyle name="Comma 50 3 2" xfId="1713" xr:uid="{00000000-0005-0000-0000-00004B060000}"/>
    <cellStyle name="Comma 50 3 2 2" xfId="3661" xr:uid="{00000000-0005-0000-0000-00004C060000}"/>
    <cellStyle name="Comma 50 3 3" xfId="2427" xr:uid="{00000000-0005-0000-0000-00004D060000}"/>
    <cellStyle name="Comma 50 3 3 2" xfId="4358" xr:uid="{00000000-0005-0000-0000-00004E060000}"/>
    <cellStyle name="Comma 50 3 4" xfId="3060" xr:uid="{00000000-0005-0000-0000-00004F060000}"/>
    <cellStyle name="Comma 50 4" xfId="1156" xr:uid="{00000000-0005-0000-0000-000050060000}"/>
    <cellStyle name="Comma 50 4 2" xfId="1870" xr:uid="{00000000-0005-0000-0000-000051060000}"/>
    <cellStyle name="Comma 50 4 2 2" xfId="3815" xr:uid="{00000000-0005-0000-0000-000052060000}"/>
    <cellStyle name="Comma 50 4 3" xfId="2575" xr:uid="{00000000-0005-0000-0000-000053060000}"/>
    <cellStyle name="Comma 50 4 3 2" xfId="4504" xr:uid="{00000000-0005-0000-0000-000054060000}"/>
    <cellStyle name="Comma 50 4 4" xfId="3213" xr:uid="{00000000-0005-0000-0000-000055060000}"/>
    <cellStyle name="Comma 50 5" xfId="1381" xr:uid="{00000000-0005-0000-0000-000056060000}"/>
    <cellStyle name="Comma 50 5 2" xfId="2002" xr:uid="{00000000-0005-0000-0000-000057060000}"/>
    <cellStyle name="Comma 50 5 2 2" xfId="3946" xr:uid="{00000000-0005-0000-0000-000058060000}"/>
    <cellStyle name="Comma 50 5 3" xfId="2691" xr:uid="{00000000-0005-0000-0000-000059060000}"/>
    <cellStyle name="Comma 50 5 3 2" xfId="4617" xr:uid="{00000000-0005-0000-0000-00005A060000}"/>
    <cellStyle name="Comma 50 5 4" xfId="3336" xr:uid="{00000000-0005-0000-0000-00005B060000}"/>
    <cellStyle name="Comma 51" xfId="602" xr:uid="{00000000-0005-0000-0000-00005C060000}"/>
    <cellStyle name="Comma 51 2" xfId="927" xr:uid="{00000000-0005-0000-0000-00005D060000}"/>
    <cellStyle name="Comma 51 2 2" xfId="1708" xr:uid="{00000000-0005-0000-0000-00005E060000}"/>
    <cellStyle name="Comma 51 2 2 2" xfId="3656" xr:uid="{00000000-0005-0000-0000-00005F060000}"/>
    <cellStyle name="Comma 51 2 3" xfId="2422" xr:uid="{00000000-0005-0000-0000-000060060000}"/>
    <cellStyle name="Comma 51 2 3 2" xfId="4353" xr:uid="{00000000-0005-0000-0000-000061060000}"/>
    <cellStyle name="Comma 51 2 4" xfId="3058" xr:uid="{00000000-0005-0000-0000-000062060000}"/>
    <cellStyle name="Comma 51 3" xfId="1158" xr:uid="{00000000-0005-0000-0000-000063060000}"/>
    <cellStyle name="Comma 51 3 2" xfId="1872" xr:uid="{00000000-0005-0000-0000-000064060000}"/>
    <cellStyle name="Comma 51 3 2 2" xfId="3817" xr:uid="{00000000-0005-0000-0000-000065060000}"/>
    <cellStyle name="Comma 51 3 3" xfId="2577" xr:uid="{00000000-0005-0000-0000-000066060000}"/>
    <cellStyle name="Comma 51 3 3 2" xfId="4506" xr:uid="{00000000-0005-0000-0000-000067060000}"/>
    <cellStyle name="Comma 51 3 4" xfId="3215" xr:uid="{00000000-0005-0000-0000-000068060000}"/>
    <cellStyle name="Comma 51 4" xfId="1383" xr:uid="{00000000-0005-0000-0000-000069060000}"/>
    <cellStyle name="Comma 51 4 2" xfId="2004" xr:uid="{00000000-0005-0000-0000-00006A060000}"/>
    <cellStyle name="Comma 51 4 2 2" xfId="3948" xr:uid="{00000000-0005-0000-0000-00006B060000}"/>
    <cellStyle name="Comma 51 4 3" xfId="2693" xr:uid="{00000000-0005-0000-0000-00006C060000}"/>
    <cellStyle name="Comma 51 4 3 2" xfId="4619" xr:uid="{00000000-0005-0000-0000-00006D060000}"/>
    <cellStyle name="Comma 51 4 4" xfId="3338" xr:uid="{00000000-0005-0000-0000-00006E060000}"/>
    <cellStyle name="Comma 52" xfId="604" xr:uid="{00000000-0005-0000-0000-00006F060000}"/>
    <cellStyle name="Comma 52 2" xfId="937" xr:uid="{00000000-0005-0000-0000-000070060000}"/>
    <cellStyle name="Comma 52 2 2" xfId="1715" xr:uid="{00000000-0005-0000-0000-000071060000}"/>
    <cellStyle name="Comma 52 2 2 2" xfId="3663" xr:uid="{00000000-0005-0000-0000-000072060000}"/>
    <cellStyle name="Comma 52 2 3" xfId="2429" xr:uid="{00000000-0005-0000-0000-000073060000}"/>
    <cellStyle name="Comma 52 2 3 2" xfId="4360" xr:uid="{00000000-0005-0000-0000-000074060000}"/>
    <cellStyle name="Comma 52 2 4" xfId="3062" xr:uid="{00000000-0005-0000-0000-000075060000}"/>
    <cellStyle name="Comma 52 3" xfId="1157" xr:uid="{00000000-0005-0000-0000-000076060000}"/>
    <cellStyle name="Comma 52 3 2" xfId="1871" xr:uid="{00000000-0005-0000-0000-000077060000}"/>
    <cellStyle name="Comma 52 3 2 2" xfId="3816" xr:uid="{00000000-0005-0000-0000-000078060000}"/>
    <cellStyle name="Comma 52 3 3" xfId="2576" xr:uid="{00000000-0005-0000-0000-000079060000}"/>
    <cellStyle name="Comma 52 3 3 2" xfId="4505" xr:uid="{00000000-0005-0000-0000-00007A060000}"/>
    <cellStyle name="Comma 52 3 4" xfId="3214" xr:uid="{00000000-0005-0000-0000-00007B060000}"/>
    <cellStyle name="Comma 52 4" xfId="1382" xr:uid="{00000000-0005-0000-0000-00007C060000}"/>
    <cellStyle name="Comma 52 4 2" xfId="2003" xr:uid="{00000000-0005-0000-0000-00007D060000}"/>
    <cellStyle name="Comma 52 4 2 2" xfId="3947" xr:uid="{00000000-0005-0000-0000-00007E060000}"/>
    <cellStyle name="Comma 52 4 3" xfId="2692" xr:uid="{00000000-0005-0000-0000-00007F060000}"/>
    <cellStyle name="Comma 52 4 3 2" xfId="4618" xr:uid="{00000000-0005-0000-0000-000080060000}"/>
    <cellStyle name="Comma 52 4 4" xfId="3337" xr:uid="{00000000-0005-0000-0000-000081060000}"/>
    <cellStyle name="Comma 53" xfId="606" xr:uid="{00000000-0005-0000-0000-000082060000}"/>
    <cellStyle name="Comma 53 2" xfId="940" xr:uid="{00000000-0005-0000-0000-000083060000}"/>
    <cellStyle name="Comma 53 2 2" xfId="1716" xr:uid="{00000000-0005-0000-0000-000084060000}"/>
    <cellStyle name="Comma 53 2 2 2" xfId="3664" xr:uid="{00000000-0005-0000-0000-000085060000}"/>
    <cellStyle name="Comma 53 2 3" xfId="2431" xr:uid="{00000000-0005-0000-0000-000086060000}"/>
    <cellStyle name="Comma 53 2 3 2" xfId="4362" xr:uid="{00000000-0005-0000-0000-000087060000}"/>
    <cellStyle name="Comma 53 2 4" xfId="3063" xr:uid="{00000000-0005-0000-0000-000088060000}"/>
    <cellStyle name="Comma 53 3" xfId="1160" xr:uid="{00000000-0005-0000-0000-000089060000}"/>
    <cellStyle name="Comma 53 3 2" xfId="1874" xr:uid="{00000000-0005-0000-0000-00008A060000}"/>
    <cellStyle name="Comma 53 3 2 2" xfId="3819" xr:uid="{00000000-0005-0000-0000-00008B060000}"/>
    <cellStyle name="Comma 53 3 3" xfId="2579" xr:uid="{00000000-0005-0000-0000-00008C060000}"/>
    <cellStyle name="Comma 53 3 3 2" xfId="4508" xr:uid="{00000000-0005-0000-0000-00008D060000}"/>
    <cellStyle name="Comma 53 3 4" xfId="3217" xr:uid="{00000000-0005-0000-0000-00008E060000}"/>
    <cellStyle name="Comma 53 4" xfId="1385" xr:uid="{00000000-0005-0000-0000-00008F060000}"/>
    <cellStyle name="Comma 53 4 2" xfId="2006" xr:uid="{00000000-0005-0000-0000-000090060000}"/>
    <cellStyle name="Comma 53 4 2 2" xfId="3950" xr:uid="{00000000-0005-0000-0000-000091060000}"/>
    <cellStyle name="Comma 53 4 3" xfId="2695" xr:uid="{00000000-0005-0000-0000-000092060000}"/>
    <cellStyle name="Comma 53 4 3 2" xfId="4621" xr:uid="{00000000-0005-0000-0000-000093060000}"/>
    <cellStyle name="Comma 53 4 4" xfId="3340" xr:uid="{00000000-0005-0000-0000-000094060000}"/>
    <cellStyle name="Comma 54" xfId="608" xr:uid="{00000000-0005-0000-0000-000095060000}"/>
    <cellStyle name="Comma 54 2" xfId="936" xr:uid="{00000000-0005-0000-0000-000096060000}"/>
    <cellStyle name="Comma 54 2 2" xfId="1714" xr:uid="{00000000-0005-0000-0000-000097060000}"/>
    <cellStyle name="Comma 54 2 2 2" xfId="3662" xr:uid="{00000000-0005-0000-0000-000098060000}"/>
    <cellStyle name="Comma 54 2 3" xfId="2428" xr:uid="{00000000-0005-0000-0000-000099060000}"/>
    <cellStyle name="Comma 54 2 3 2" xfId="4359" xr:uid="{00000000-0005-0000-0000-00009A060000}"/>
    <cellStyle name="Comma 54 2 4" xfId="3061" xr:uid="{00000000-0005-0000-0000-00009B060000}"/>
    <cellStyle name="Comma 54 3" xfId="1159" xr:uid="{00000000-0005-0000-0000-00009C060000}"/>
    <cellStyle name="Comma 54 3 2" xfId="1873" xr:uid="{00000000-0005-0000-0000-00009D060000}"/>
    <cellStyle name="Comma 54 3 2 2" xfId="3818" xr:uid="{00000000-0005-0000-0000-00009E060000}"/>
    <cellStyle name="Comma 54 3 3" xfId="2578" xr:uid="{00000000-0005-0000-0000-00009F060000}"/>
    <cellStyle name="Comma 54 3 3 2" xfId="4507" xr:uid="{00000000-0005-0000-0000-0000A0060000}"/>
    <cellStyle name="Comma 54 3 4" xfId="3216" xr:uid="{00000000-0005-0000-0000-0000A1060000}"/>
    <cellStyle name="Comma 54 4" xfId="1384" xr:uid="{00000000-0005-0000-0000-0000A2060000}"/>
    <cellStyle name="Comma 54 4 2" xfId="2005" xr:uid="{00000000-0005-0000-0000-0000A3060000}"/>
    <cellStyle name="Comma 54 4 2 2" xfId="3949" xr:uid="{00000000-0005-0000-0000-0000A4060000}"/>
    <cellStyle name="Comma 54 4 3" xfId="2694" xr:uid="{00000000-0005-0000-0000-0000A5060000}"/>
    <cellStyle name="Comma 54 4 3 2" xfId="4620" xr:uid="{00000000-0005-0000-0000-0000A6060000}"/>
    <cellStyle name="Comma 54 4 4" xfId="3339" xr:uid="{00000000-0005-0000-0000-0000A7060000}"/>
    <cellStyle name="Comma 55" xfId="610" xr:uid="{00000000-0005-0000-0000-0000A8060000}"/>
    <cellStyle name="Comma 55 2" xfId="943" xr:uid="{00000000-0005-0000-0000-0000A9060000}"/>
    <cellStyle name="Comma 55 2 2" xfId="1717" xr:uid="{00000000-0005-0000-0000-0000AA060000}"/>
    <cellStyle name="Comma 55 2 2 2" xfId="3665" xr:uid="{00000000-0005-0000-0000-0000AB060000}"/>
    <cellStyle name="Comma 55 2 3" xfId="2433" xr:uid="{00000000-0005-0000-0000-0000AC060000}"/>
    <cellStyle name="Comma 55 2 3 2" xfId="4364" xr:uid="{00000000-0005-0000-0000-0000AD060000}"/>
    <cellStyle name="Comma 55 2 4" xfId="3064" xr:uid="{00000000-0005-0000-0000-0000AE060000}"/>
    <cellStyle name="Comma 55 3" xfId="1161" xr:uid="{00000000-0005-0000-0000-0000AF060000}"/>
    <cellStyle name="Comma 55 3 2" xfId="1875" xr:uid="{00000000-0005-0000-0000-0000B0060000}"/>
    <cellStyle name="Comma 55 3 2 2" xfId="3820" xr:uid="{00000000-0005-0000-0000-0000B1060000}"/>
    <cellStyle name="Comma 55 3 3" xfId="2580" xr:uid="{00000000-0005-0000-0000-0000B2060000}"/>
    <cellStyle name="Comma 55 3 3 2" xfId="4509" xr:uid="{00000000-0005-0000-0000-0000B3060000}"/>
    <cellStyle name="Comma 55 3 4" xfId="3218" xr:uid="{00000000-0005-0000-0000-0000B4060000}"/>
    <cellStyle name="Comma 55 4" xfId="1386" xr:uid="{00000000-0005-0000-0000-0000B5060000}"/>
    <cellStyle name="Comma 55 4 2" xfId="2007" xr:uid="{00000000-0005-0000-0000-0000B6060000}"/>
    <cellStyle name="Comma 55 4 2 2" xfId="3951" xr:uid="{00000000-0005-0000-0000-0000B7060000}"/>
    <cellStyle name="Comma 55 4 3" xfId="2696" xr:uid="{00000000-0005-0000-0000-0000B8060000}"/>
    <cellStyle name="Comma 55 4 3 2" xfId="4622" xr:uid="{00000000-0005-0000-0000-0000B9060000}"/>
    <cellStyle name="Comma 55 4 4" xfId="3341" xr:uid="{00000000-0005-0000-0000-0000BA060000}"/>
    <cellStyle name="Comma 56" xfId="612" xr:uid="{00000000-0005-0000-0000-0000BB060000}"/>
    <cellStyle name="Comma 56 2" xfId="944" xr:uid="{00000000-0005-0000-0000-0000BC060000}"/>
    <cellStyle name="Comma 56 2 2" xfId="1718" xr:uid="{00000000-0005-0000-0000-0000BD060000}"/>
    <cellStyle name="Comma 56 2 2 2" xfId="3666" xr:uid="{00000000-0005-0000-0000-0000BE060000}"/>
    <cellStyle name="Comma 56 2 3" xfId="2434" xr:uid="{00000000-0005-0000-0000-0000BF060000}"/>
    <cellStyle name="Comma 56 2 3 2" xfId="4365" xr:uid="{00000000-0005-0000-0000-0000C0060000}"/>
    <cellStyle name="Comma 56 2 4" xfId="3065" xr:uid="{00000000-0005-0000-0000-0000C1060000}"/>
    <cellStyle name="Comma 56 3" xfId="1154" xr:uid="{00000000-0005-0000-0000-0000C2060000}"/>
    <cellStyle name="Comma 56 3 2" xfId="1868" xr:uid="{00000000-0005-0000-0000-0000C3060000}"/>
    <cellStyle name="Comma 56 3 2 2" xfId="3813" xr:uid="{00000000-0005-0000-0000-0000C4060000}"/>
    <cellStyle name="Comma 56 3 3" xfId="2573" xr:uid="{00000000-0005-0000-0000-0000C5060000}"/>
    <cellStyle name="Comma 56 3 3 2" xfId="4502" xr:uid="{00000000-0005-0000-0000-0000C6060000}"/>
    <cellStyle name="Comma 56 3 4" xfId="3211" xr:uid="{00000000-0005-0000-0000-0000C7060000}"/>
    <cellStyle name="Comma 56 4" xfId="1379" xr:uid="{00000000-0005-0000-0000-0000C8060000}"/>
    <cellStyle name="Comma 56 4 2" xfId="2000" xr:uid="{00000000-0005-0000-0000-0000C9060000}"/>
    <cellStyle name="Comma 56 4 2 2" xfId="3944" xr:uid="{00000000-0005-0000-0000-0000CA060000}"/>
    <cellStyle name="Comma 56 4 3" xfId="2689" xr:uid="{00000000-0005-0000-0000-0000CB060000}"/>
    <cellStyle name="Comma 56 4 3 2" xfId="4615" xr:uid="{00000000-0005-0000-0000-0000CC060000}"/>
    <cellStyle name="Comma 56 4 4" xfId="3334" xr:uid="{00000000-0005-0000-0000-0000CD060000}"/>
    <cellStyle name="Comma 57" xfId="614" xr:uid="{00000000-0005-0000-0000-0000CE060000}"/>
    <cellStyle name="Comma 57 2" xfId="945" xr:uid="{00000000-0005-0000-0000-0000CF060000}"/>
    <cellStyle name="Comma 57 2 2" xfId="1719" xr:uid="{00000000-0005-0000-0000-0000D0060000}"/>
    <cellStyle name="Comma 57 2 2 2" xfId="3667" xr:uid="{00000000-0005-0000-0000-0000D1060000}"/>
    <cellStyle name="Comma 57 2 3" xfId="2435" xr:uid="{00000000-0005-0000-0000-0000D2060000}"/>
    <cellStyle name="Comma 57 2 3 2" xfId="4366" xr:uid="{00000000-0005-0000-0000-0000D3060000}"/>
    <cellStyle name="Comma 57 2 4" xfId="3066" xr:uid="{00000000-0005-0000-0000-0000D4060000}"/>
    <cellStyle name="Comma 57 3" xfId="1155" xr:uid="{00000000-0005-0000-0000-0000D5060000}"/>
    <cellStyle name="Comma 57 3 2" xfId="1869" xr:uid="{00000000-0005-0000-0000-0000D6060000}"/>
    <cellStyle name="Comma 57 3 2 2" xfId="3814" xr:uid="{00000000-0005-0000-0000-0000D7060000}"/>
    <cellStyle name="Comma 57 3 3" xfId="2574" xr:uid="{00000000-0005-0000-0000-0000D8060000}"/>
    <cellStyle name="Comma 57 3 3 2" xfId="4503" xr:uid="{00000000-0005-0000-0000-0000D9060000}"/>
    <cellStyle name="Comma 57 3 4" xfId="3212" xr:uid="{00000000-0005-0000-0000-0000DA060000}"/>
    <cellStyle name="Comma 57 4" xfId="1380" xr:uid="{00000000-0005-0000-0000-0000DB060000}"/>
    <cellStyle name="Comma 57 4 2" xfId="2001" xr:uid="{00000000-0005-0000-0000-0000DC060000}"/>
    <cellStyle name="Comma 57 4 2 2" xfId="3945" xr:uid="{00000000-0005-0000-0000-0000DD060000}"/>
    <cellStyle name="Comma 57 4 3" xfId="2690" xr:uid="{00000000-0005-0000-0000-0000DE060000}"/>
    <cellStyle name="Comma 57 4 3 2" xfId="4616" xr:uid="{00000000-0005-0000-0000-0000DF060000}"/>
    <cellStyle name="Comma 57 4 4" xfId="3335" xr:uid="{00000000-0005-0000-0000-0000E0060000}"/>
    <cellStyle name="Comma 58" xfId="616" xr:uid="{00000000-0005-0000-0000-0000E1060000}"/>
    <cellStyle name="Comma 58 2" xfId="946" xr:uid="{00000000-0005-0000-0000-0000E2060000}"/>
    <cellStyle name="Comma 58 2 2" xfId="1720" xr:uid="{00000000-0005-0000-0000-0000E3060000}"/>
    <cellStyle name="Comma 58 2 2 2" xfId="3668" xr:uid="{00000000-0005-0000-0000-0000E4060000}"/>
    <cellStyle name="Comma 58 2 3" xfId="2436" xr:uid="{00000000-0005-0000-0000-0000E5060000}"/>
    <cellStyle name="Comma 58 2 3 2" xfId="4367" xr:uid="{00000000-0005-0000-0000-0000E6060000}"/>
    <cellStyle name="Comma 58 2 4" xfId="3067" xr:uid="{00000000-0005-0000-0000-0000E7060000}"/>
    <cellStyle name="Comma 58 3" xfId="1125" xr:uid="{00000000-0005-0000-0000-0000E8060000}"/>
    <cellStyle name="Comma 58 3 2" xfId="1839" xr:uid="{00000000-0005-0000-0000-0000E9060000}"/>
    <cellStyle name="Comma 58 3 2 2" xfId="3785" xr:uid="{00000000-0005-0000-0000-0000EA060000}"/>
    <cellStyle name="Comma 58 3 3" xfId="2553" xr:uid="{00000000-0005-0000-0000-0000EB060000}"/>
    <cellStyle name="Comma 58 3 3 2" xfId="4482" xr:uid="{00000000-0005-0000-0000-0000EC060000}"/>
    <cellStyle name="Comma 58 3 4" xfId="3183" xr:uid="{00000000-0005-0000-0000-0000ED060000}"/>
    <cellStyle name="Comma 58 4" xfId="1363" xr:uid="{00000000-0005-0000-0000-0000EE060000}"/>
    <cellStyle name="Comma 58 4 2" xfId="1984" xr:uid="{00000000-0005-0000-0000-0000EF060000}"/>
    <cellStyle name="Comma 58 4 2 2" xfId="3928" xr:uid="{00000000-0005-0000-0000-0000F0060000}"/>
    <cellStyle name="Comma 58 4 3" xfId="2673" xr:uid="{00000000-0005-0000-0000-0000F1060000}"/>
    <cellStyle name="Comma 58 4 3 2" xfId="4599" xr:uid="{00000000-0005-0000-0000-0000F2060000}"/>
    <cellStyle name="Comma 58 4 4" xfId="3318" xr:uid="{00000000-0005-0000-0000-0000F3060000}"/>
    <cellStyle name="Comma 59" xfId="618" xr:uid="{00000000-0005-0000-0000-0000F4060000}"/>
    <cellStyle name="Comma 59 2" xfId="948" xr:uid="{00000000-0005-0000-0000-0000F5060000}"/>
    <cellStyle name="Comma 59 2 2" xfId="1722" xr:uid="{00000000-0005-0000-0000-0000F6060000}"/>
    <cellStyle name="Comma 59 2 2 2" xfId="3670" xr:uid="{00000000-0005-0000-0000-0000F7060000}"/>
    <cellStyle name="Comma 59 2 3" xfId="2438" xr:uid="{00000000-0005-0000-0000-0000F8060000}"/>
    <cellStyle name="Comma 59 2 3 2" xfId="4369" xr:uid="{00000000-0005-0000-0000-0000F9060000}"/>
    <cellStyle name="Comma 59 2 4" xfId="3069" xr:uid="{00000000-0005-0000-0000-0000FA060000}"/>
    <cellStyle name="Comma 6" xfId="88" xr:uid="{00000000-0005-0000-0000-0000FB060000}"/>
    <cellStyle name="Comma 6 2" xfId="305" xr:uid="{00000000-0005-0000-0000-0000FC060000}"/>
    <cellStyle name="Comma 6 2 2" xfId="5404" xr:uid="{00000000-0005-0000-0000-0000FD060000}"/>
    <cellStyle name="Comma 6 3" xfId="1070" xr:uid="{00000000-0005-0000-0000-0000FE060000}"/>
    <cellStyle name="Comma 6 3 2" xfId="1232" xr:uid="{00000000-0005-0000-0000-0000FF060000}"/>
    <cellStyle name="Comma 6 4" xfId="5089" xr:uid="{00000000-0005-0000-0000-000000070000}"/>
    <cellStyle name="Comma 6 4 2" xfId="5911" xr:uid="{00000000-0005-0000-0000-000001070000}"/>
    <cellStyle name="Comma 6 5" xfId="5131" xr:uid="{00000000-0005-0000-0000-000002070000}"/>
    <cellStyle name="Comma 6 5 2" xfId="6123" xr:uid="{00000000-0005-0000-0000-000003070000}"/>
    <cellStyle name="Comma 6_DSA__Econ_Variables.xlsx UPDATED" xfId="5405" xr:uid="{00000000-0005-0000-0000-000004070000}"/>
    <cellStyle name="Comma 60" xfId="620" xr:uid="{00000000-0005-0000-0000-000005070000}"/>
    <cellStyle name="Comma 60 2" xfId="952" xr:uid="{00000000-0005-0000-0000-000006070000}"/>
    <cellStyle name="Comma 60 2 2" xfId="1724" xr:uid="{00000000-0005-0000-0000-000007070000}"/>
    <cellStyle name="Comma 60 2 2 2" xfId="3672" xr:uid="{00000000-0005-0000-0000-000008070000}"/>
    <cellStyle name="Comma 60 2 3" xfId="2441" xr:uid="{00000000-0005-0000-0000-000009070000}"/>
    <cellStyle name="Comma 60 2 3 2" xfId="4372" xr:uid="{00000000-0005-0000-0000-00000A070000}"/>
    <cellStyle name="Comma 60 2 4" xfId="3071" xr:uid="{00000000-0005-0000-0000-00000B070000}"/>
    <cellStyle name="Comma 61" xfId="622" xr:uid="{00000000-0005-0000-0000-00000C070000}"/>
    <cellStyle name="Comma 61 2" xfId="947" xr:uid="{00000000-0005-0000-0000-00000D070000}"/>
    <cellStyle name="Comma 61 2 2" xfId="1721" xr:uid="{00000000-0005-0000-0000-00000E070000}"/>
    <cellStyle name="Comma 61 2 2 2" xfId="3669" xr:uid="{00000000-0005-0000-0000-00000F070000}"/>
    <cellStyle name="Comma 61 2 3" xfId="2437" xr:uid="{00000000-0005-0000-0000-000010070000}"/>
    <cellStyle name="Comma 61 2 3 2" xfId="4368" xr:uid="{00000000-0005-0000-0000-000011070000}"/>
    <cellStyle name="Comma 61 2 4" xfId="3068" xr:uid="{00000000-0005-0000-0000-000012070000}"/>
    <cellStyle name="Comma 62" xfId="624" xr:uid="{00000000-0005-0000-0000-000013070000}"/>
    <cellStyle name="Comma 62 2" xfId="951" xr:uid="{00000000-0005-0000-0000-000014070000}"/>
    <cellStyle name="Comma 62 2 2" xfId="1723" xr:uid="{00000000-0005-0000-0000-000015070000}"/>
    <cellStyle name="Comma 62 2 2 2" xfId="3671" xr:uid="{00000000-0005-0000-0000-000016070000}"/>
    <cellStyle name="Comma 62 2 3" xfId="2440" xr:uid="{00000000-0005-0000-0000-000017070000}"/>
    <cellStyle name="Comma 62 2 3 2" xfId="4371" xr:uid="{00000000-0005-0000-0000-000018070000}"/>
    <cellStyle name="Comma 62 2 4" xfId="3070" xr:uid="{00000000-0005-0000-0000-000019070000}"/>
    <cellStyle name="Comma 63" xfId="625" xr:uid="{00000000-0005-0000-0000-00001A070000}"/>
    <cellStyle name="Comma 63 2" xfId="970" xr:uid="{00000000-0005-0000-0000-00001B070000}"/>
    <cellStyle name="Comma 63 2 2" xfId="1728" xr:uid="{00000000-0005-0000-0000-00001C070000}"/>
    <cellStyle name="Comma 63 2 2 2" xfId="3676" xr:uid="{00000000-0005-0000-0000-00001D070000}"/>
    <cellStyle name="Comma 63 2 3" xfId="2448" xr:uid="{00000000-0005-0000-0000-00001E070000}"/>
    <cellStyle name="Comma 63 2 3 2" xfId="4377" xr:uid="{00000000-0005-0000-0000-00001F070000}"/>
    <cellStyle name="Comma 63 2 4" xfId="3075" xr:uid="{00000000-0005-0000-0000-000020070000}"/>
    <cellStyle name="Comma 64" xfId="627" xr:uid="{00000000-0005-0000-0000-000021070000}"/>
    <cellStyle name="Comma 64 2" xfId="1055" xr:uid="{00000000-0005-0000-0000-000022070000}"/>
    <cellStyle name="Comma 64 2 2" xfId="1788" xr:uid="{00000000-0005-0000-0000-000023070000}"/>
    <cellStyle name="Comma 64 2 2 2" xfId="3735" xr:uid="{00000000-0005-0000-0000-000024070000}"/>
    <cellStyle name="Comma 64 2 3" xfId="2502" xr:uid="{00000000-0005-0000-0000-000025070000}"/>
    <cellStyle name="Comma 64 2 3 2" xfId="4431" xr:uid="{00000000-0005-0000-0000-000026070000}"/>
    <cellStyle name="Comma 64 2 4" xfId="3134" xr:uid="{00000000-0005-0000-0000-000027070000}"/>
    <cellStyle name="Comma 65" xfId="630" xr:uid="{00000000-0005-0000-0000-000028070000}"/>
    <cellStyle name="Comma 65 2" xfId="1059" xr:uid="{00000000-0005-0000-0000-000029070000}"/>
    <cellStyle name="Comma 65 2 2" xfId="1791" xr:uid="{00000000-0005-0000-0000-00002A070000}"/>
    <cellStyle name="Comma 65 2 2 2" xfId="3738" xr:uid="{00000000-0005-0000-0000-00002B070000}"/>
    <cellStyle name="Comma 65 2 3" xfId="2504" xr:uid="{00000000-0005-0000-0000-00002C070000}"/>
    <cellStyle name="Comma 65 2 3 2" xfId="4433" xr:uid="{00000000-0005-0000-0000-00002D070000}"/>
    <cellStyle name="Comma 65 2 4" xfId="3136" xr:uid="{00000000-0005-0000-0000-00002E070000}"/>
    <cellStyle name="Comma 66" xfId="632" xr:uid="{00000000-0005-0000-0000-00002F070000}"/>
    <cellStyle name="Comma 66 2" xfId="1054" xr:uid="{00000000-0005-0000-0000-000030070000}"/>
    <cellStyle name="Comma 66 2 2" xfId="1787" xr:uid="{00000000-0005-0000-0000-000031070000}"/>
    <cellStyle name="Comma 66 2 2 2" xfId="3734" xr:uid="{00000000-0005-0000-0000-000032070000}"/>
    <cellStyle name="Comma 66 2 3" xfId="2501" xr:uid="{00000000-0005-0000-0000-000033070000}"/>
    <cellStyle name="Comma 66 2 3 2" xfId="4430" xr:uid="{00000000-0005-0000-0000-000034070000}"/>
    <cellStyle name="Comma 66 2 4" xfId="3133" xr:uid="{00000000-0005-0000-0000-000035070000}"/>
    <cellStyle name="Comma 67" xfId="633" xr:uid="{00000000-0005-0000-0000-000036070000}"/>
    <cellStyle name="Comma 67 2" xfId="1058" xr:uid="{00000000-0005-0000-0000-000037070000}"/>
    <cellStyle name="Comma 67 2 2" xfId="1790" xr:uid="{00000000-0005-0000-0000-000038070000}"/>
    <cellStyle name="Comma 67 2 2 2" xfId="3737" xr:uid="{00000000-0005-0000-0000-000039070000}"/>
    <cellStyle name="Comma 67 2 3" xfId="2503" xr:uid="{00000000-0005-0000-0000-00003A070000}"/>
    <cellStyle name="Comma 67 2 3 2" xfId="4432" xr:uid="{00000000-0005-0000-0000-00003B070000}"/>
    <cellStyle name="Comma 67 2 4" xfId="3135" xr:uid="{00000000-0005-0000-0000-00003C070000}"/>
    <cellStyle name="Comma 68" xfId="635" xr:uid="{00000000-0005-0000-0000-00003D070000}"/>
    <cellStyle name="Comma 68 2" xfId="1060" xr:uid="{00000000-0005-0000-0000-00003E070000}"/>
    <cellStyle name="Comma 68 2 2" xfId="1792" xr:uid="{00000000-0005-0000-0000-00003F070000}"/>
    <cellStyle name="Comma 68 2 2 2" xfId="3739" xr:uid="{00000000-0005-0000-0000-000040070000}"/>
    <cellStyle name="Comma 68 2 3" xfId="2505" xr:uid="{00000000-0005-0000-0000-000041070000}"/>
    <cellStyle name="Comma 68 2 3 2" xfId="4434" xr:uid="{00000000-0005-0000-0000-000042070000}"/>
    <cellStyle name="Comma 68 2 4" xfId="3137" xr:uid="{00000000-0005-0000-0000-000043070000}"/>
    <cellStyle name="Comma 69" xfId="638" xr:uid="{00000000-0005-0000-0000-000044070000}"/>
    <cellStyle name="Comma 69 2" xfId="1061" xr:uid="{00000000-0005-0000-0000-000045070000}"/>
    <cellStyle name="Comma 69 2 2" xfId="1793" xr:uid="{00000000-0005-0000-0000-000046070000}"/>
    <cellStyle name="Comma 69 2 2 2" xfId="3740" xr:uid="{00000000-0005-0000-0000-000047070000}"/>
    <cellStyle name="Comma 69 2 3" xfId="2506" xr:uid="{00000000-0005-0000-0000-000048070000}"/>
    <cellStyle name="Comma 69 2 3 2" xfId="4435" xr:uid="{00000000-0005-0000-0000-000049070000}"/>
    <cellStyle name="Comma 69 2 4" xfId="3138" xr:uid="{00000000-0005-0000-0000-00004A070000}"/>
    <cellStyle name="Comma 7" xfId="89" xr:uid="{00000000-0005-0000-0000-00004B070000}"/>
    <cellStyle name="Comma 7 2" xfId="306" xr:uid="{00000000-0005-0000-0000-00004C070000}"/>
    <cellStyle name="Comma 7 2 2" xfId="5406" xr:uid="{00000000-0005-0000-0000-00004D070000}"/>
    <cellStyle name="Comma 7 3" xfId="1071" xr:uid="{00000000-0005-0000-0000-00004E070000}"/>
    <cellStyle name="Comma 7 3 2" xfId="1235" xr:uid="{00000000-0005-0000-0000-00004F070000}"/>
    <cellStyle name="Comma 7 3 3" xfId="5912" xr:uid="{00000000-0005-0000-0000-000050070000}"/>
    <cellStyle name="Comma 7 4" xfId="6128" xr:uid="{00000000-0005-0000-0000-000051070000}"/>
    <cellStyle name="Comma 70" xfId="640" xr:uid="{00000000-0005-0000-0000-000052070000}"/>
    <cellStyle name="Comma 70 2" xfId="1062" xr:uid="{00000000-0005-0000-0000-000053070000}"/>
    <cellStyle name="Comma 70 2 2" xfId="1794" xr:uid="{00000000-0005-0000-0000-000054070000}"/>
    <cellStyle name="Comma 70 2 2 2" xfId="3741" xr:uid="{00000000-0005-0000-0000-000055070000}"/>
    <cellStyle name="Comma 70 2 3" xfId="2507" xr:uid="{00000000-0005-0000-0000-000056070000}"/>
    <cellStyle name="Comma 70 2 3 2" xfId="4436" xr:uid="{00000000-0005-0000-0000-000057070000}"/>
    <cellStyle name="Comma 70 2 4" xfId="3139" xr:uid="{00000000-0005-0000-0000-000058070000}"/>
    <cellStyle name="Comma 71" xfId="642" xr:uid="{00000000-0005-0000-0000-000059070000}"/>
    <cellStyle name="Comma 71 2" xfId="1063" xr:uid="{00000000-0005-0000-0000-00005A070000}"/>
    <cellStyle name="Comma 71 2 2" xfId="1795" xr:uid="{00000000-0005-0000-0000-00005B070000}"/>
    <cellStyle name="Comma 71 2 2 2" xfId="3742" xr:uid="{00000000-0005-0000-0000-00005C070000}"/>
    <cellStyle name="Comma 71 2 3" xfId="2508" xr:uid="{00000000-0005-0000-0000-00005D070000}"/>
    <cellStyle name="Comma 71 2 3 2" xfId="4437" xr:uid="{00000000-0005-0000-0000-00005E070000}"/>
    <cellStyle name="Comma 71 2 4" xfId="3140" xr:uid="{00000000-0005-0000-0000-00005F070000}"/>
    <cellStyle name="Comma 72" xfId="644" xr:uid="{00000000-0005-0000-0000-000060070000}"/>
    <cellStyle name="Comma 72 2" xfId="1088" xr:uid="{00000000-0005-0000-0000-000061070000}"/>
    <cellStyle name="Comma 72 2 2" xfId="1809" xr:uid="{00000000-0005-0000-0000-000062070000}"/>
    <cellStyle name="Comma 72 2 2 2" xfId="3756" xr:uid="{00000000-0005-0000-0000-000063070000}"/>
    <cellStyle name="Comma 72 2 3" xfId="2523" xr:uid="{00000000-0005-0000-0000-000064070000}"/>
    <cellStyle name="Comma 72 2 3 2" xfId="4452" xr:uid="{00000000-0005-0000-0000-000065070000}"/>
    <cellStyle name="Comma 72 2 4" xfId="3154" xr:uid="{00000000-0005-0000-0000-000066070000}"/>
    <cellStyle name="Comma 73" xfId="646" xr:uid="{00000000-0005-0000-0000-000067070000}"/>
    <cellStyle name="Comma 73 2" xfId="1091" xr:uid="{00000000-0005-0000-0000-000068070000}"/>
    <cellStyle name="Comma 73 2 2" xfId="1810" xr:uid="{00000000-0005-0000-0000-000069070000}"/>
    <cellStyle name="Comma 73 2 2 2" xfId="3757" xr:uid="{00000000-0005-0000-0000-00006A070000}"/>
    <cellStyle name="Comma 73 2 3" xfId="2524" xr:uid="{00000000-0005-0000-0000-00006B070000}"/>
    <cellStyle name="Comma 73 2 3 2" xfId="4453" xr:uid="{00000000-0005-0000-0000-00006C070000}"/>
    <cellStyle name="Comma 73 2 4" xfId="3155" xr:uid="{00000000-0005-0000-0000-00006D070000}"/>
    <cellStyle name="Comma 74" xfId="648" xr:uid="{00000000-0005-0000-0000-00006E070000}"/>
    <cellStyle name="Comma 74 2" xfId="1087" xr:uid="{00000000-0005-0000-0000-00006F070000}"/>
    <cellStyle name="Comma 74 2 2" xfId="1808" xr:uid="{00000000-0005-0000-0000-000070070000}"/>
    <cellStyle name="Comma 74 2 2 2" xfId="3755" xr:uid="{00000000-0005-0000-0000-000071070000}"/>
    <cellStyle name="Comma 74 2 3" xfId="2522" xr:uid="{00000000-0005-0000-0000-000072070000}"/>
    <cellStyle name="Comma 74 2 3 2" xfId="4451" xr:uid="{00000000-0005-0000-0000-000073070000}"/>
    <cellStyle name="Comma 74 2 4" xfId="3153" xr:uid="{00000000-0005-0000-0000-000074070000}"/>
    <cellStyle name="Comma 75" xfId="650" xr:uid="{00000000-0005-0000-0000-000075070000}"/>
    <cellStyle name="Comma 75 2" xfId="1094" xr:uid="{00000000-0005-0000-0000-000076070000}"/>
    <cellStyle name="Comma 75 2 2" xfId="1813" xr:uid="{00000000-0005-0000-0000-000077070000}"/>
    <cellStyle name="Comma 75 2 2 2" xfId="3760" xr:uid="{00000000-0005-0000-0000-000078070000}"/>
    <cellStyle name="Comma 75 2 3" xfId="2527" xr:uid="{00000000-0005-0000-0000-000079070000}"/>
    <cellStyle name="Comma 75 2 3 2" xfId="4456" xr:uid="{00000000-0005-0000-0000-00007A070000}"/>
    <cellStyle name="Comma 75 2 4" xfId="3158" xr:uid="{00000000-0005-0000-0000-00007B070000}"/>
    <cellStyle name="Comma 76" xfId="652" xr:uid="{00000000-0005-0000-0000-00007C070000}"/>
    <cellStyle name="Comma 76 2" xfId="1098" xr:uid="{00000000-0005-0000-0000-00007D070000}"/>
    <cellStyle name="Comma 76 2 2" xfId="1815" xr:uid="{00000000-0005-0000-0000-00007E070000}"/>
    <cellStyle name="Comma 76 2 2 2" xfId="3762" xr:uid="{00000000-0005-0000-0000-00007F070000}"/>
    <cellStyle name="Comma 76 2 3" xfId="2529" xr:uid="{00000000-0005-0000-0000-000080070000}"/>
    <cellStyle name="Comma 76 2 3 2" xfId="4458" xr:uid="{00000000-0005-0000-0000-000081070000}"/>
    <cellStyle name="Comma 76 2 4" xfId="3160" xr:uid="{00000000-0005-0000-0000-000082070000}"/>
    <cellStyle name="Comma 77" xfId="654" xr:uid="{00000000-0005-0000-0000-000083070000}"/>
    <cellStyle name="Comma 77 2" xfId="1092" xr:uid="{00000000-0005-0000-0000-000084070000}"/>
    <cellStyle name="Comma 77 2 2" xfId="1811" xr:uid="{00000000-0005-0000-0000-000085070000}"/>
    <cellStyle name="Comma 77 2 2 2" xfId="3758" xr:uid="{00000000-0005-0000-0000-000086070000}"/>
    <cellStyle name="Comma 77 2 3" xfId="2525" xr:uid="{00000000-0005-0000-0000-000087070000}"/>
    <cellStyle name="Comma 77 2 3 2" xfId="4454" xr:uid="{00000000-0005-0000-0000-000088070000}"/>
    <cellStyle name="Comma 77 2 4" xfId="3156" xr:uid="{00000000-0005-0000-0000-000089070000}"/>
    <cellStyle name="Comma 78" xfId="655" xr:uid="{00000000-0005-0000-0000-00008A070000}"/>
    <cellStyle name="Comma 78 2" xfId="1097" xr:uid="{00000000-0005-0000-0000-00008B070000}"/>
    <cellStyle name="Comma 78 2 2" xfId="1814" xr:uid="{00000000-0005-0000-0000-00008C070000}"/>
    <cellStyle name="Comma 78 2 2 2" xfId="3761" xr:uid="{00000000-0005-0000-0000-00008D070000}"/>
    <cellStyle name="Comma 78 2 3" xfId="2528" xr:uid="{00000000-0005-0000-0000-00008E070000}"/>
    <cellStyle name="Comma 78 2 3 2" xfId="4457" xr:uid="{00000000-0005-0000-0000-00008F070000}"/>
    <cellStyle name="Comma 78 2 4" xfId="3159" xr:uid="{00000000-0005-0000-0000-000090070000}"/>
    <cellStyle name="Comma 79" xfId="657" xr:uid="{00000000-0005-0000-0000-000091070000}"/>
    <cellStyle name="Comma 79 2" xfId="1093" xr:uid="{00000000-0005-0000-0000-000092070000}"/>
    <cellStyle name="Comma 79 2 2" xfId="1812" xr:uid="{00000000-0005-0000-0000-000093070000}"/>
    <cellStyle name="Comma 79 2 2 2" xfId="3759" xr:uid="{00000000-0005-0000-0000-000094070000}"/>
    <cellStyle name="Comma 79 2 3" xfId="2526" xr:uid="{00000000-0005-0000-0000-000095070000}"/>
    <cellStyle name="Comma 79 2 3 2" xfId="4455" xr:uid="{00000000-0005-0000-0000-000096070000}"/>
    <cellStyle name="Comma 79 2 4" xfId="3157" xr:uid="{00000000-0005-0000-0000-000097070000}"/>
    <cellStyle name="Comma 8" xfId="90" xr:uid="{00000000-0005-0000-0000-000098070000}"/>
    <cellStyle name="Comma 8 2" xfId="307" xr:uid="{00000000-0005-0000-0000-000099070000}"/>
    <cellStyle name="Comma 8 2 2" xfId="916" xr:uid="{00000000-0005-0000-0000-00009A070000}"/>
    <cellStyle name="Comma 8 2 2 2" xfId="6155" xr:uid="{00000000-0005-0000-0000-00009B070000}"/>
    <cellStyle name="Comma 8 2 3" xfId="5407" xr:uid="{00000000-0005-0000-0000-00009C070000}"/>
    <cellStyle name="Comma 8 3" xfId="5913" xr:uid="{00000000-0005-0000-0000-00009D070000}"/>
    <cellStyle name="Comma 8 4" xfId="6130" xr:uid="{00000000-0005-0000-0000-00009E070000}"/>
    <cellStyle name="Comma 80" xfId="660" xr:uid="{00000000-0005-0000-0000-00009F070000}"/>
    <cellStyle name="Comma 80 2" xfId="1099" xr:uid="{00000000-0005-0000-0000-0000A0070000}"/>
    <cellStyle name="Comma 80 2 2" xfId="1816" xr:uid="{00000000-0005-0000-0000-0000A1070000}"/>
    <cellStyle name="Comma 80 2 2 2" xfId="3763" xr:uid="{00000000-0005-0000-0000-0000A2070000}"/>
    <cellStyle name="Comma 80 2 3" xfId="2530" xr:uid="{00000000-0005-0000-0000-0000A3070000}"/>
    <cellStyle name="Comma 80 2 3 2" xfId="4459" xr:uid="{00000000-0005-0000-0000-0000A4070000}"/>
    <cellStyle name="Comma 80 2 4" xfId="3161" xr:uid="{00000000-0005-0000-0000-0000A5070000}"/>
    <cellStyle name="Comma 81" xfId="661" xr:uid="{00000000-0005-0000-0000-0000A6070000}"/>
    <cellStyle name="Comma 81 2" xfId="1100" xr:uid="{00000000-0005-0000-0000-0000A7070000}"/>
    <cellStyle name="Comma 81 2 2" xfId="1817" xr:uid="{00000000-0005-0000-0000-0000A8070000}"/>
    <cellStyle name="Comma 81 2 2 2" xfId="3764" xr:uid="{00000000-0005-0000-0000-0000A9070000}"/>
    <cellStyle name="Comma 81 2 3" xfId="2531" xr:uid="{00000000-0005-0000-0000-0000AA070000}"/>
    <cellStyle name="Comma 81 2 3 2" xfId="4460" xr:uid="{00000000-0005-0000-0000-0000AB070000}"/>
    <cellStyle name="Comma 81 2 4" xfId="3162" xr:uid="{00000000-0005-0000-0000-0000AC070000}"/>
    <cellStyle name="Comma 82" xfId="663" xr:uid="{00000000-0005-0000-0000-0000AD070000}"/>
    <cellStyle name="Comma 82 2" xfId="1101" xr:uid="{00000000-0005-0000-0000-0000AE070000}"/>
    <cellStyle name="Comma 82 2 2" xfId="1818" xr:uid="{00000000-0005-0000-0000-0000AF070000}"/>
    <cellStyle name="Comma 82 2 2 2" xfId="3765" xr:uid="{00000000-0005-0000-0000-0000B0070000}"/>
    <cellStyle name="Comma 82 2 3" xfId="2532" xr:uid="{00000000-0005-0000-0000-0000B1070000}"/>
    <cellStyle name="Comma 82 2 3 2" xfId="4461" xr:uid="{00000000-0005-0000-0000-0000B2070000}"/>
    <cellStyle name="Comma 82 2 4" xfId="3163" xr:uid="{00000000-0005-0000-0000-0000B3070000}"/>
    <cellStyle name="Comma 83" xfId="664" xr:uid="{00000000-0005-0000-0000-0000B4070000}"/>
    <cellStyle name="Comma 83 2" xfId="1102" xr:uid="{00000000-0005-0000-0000-0000B5070000}"/>
    <cellStyle name="Comma 83 2 2" xfId="1819" xr:uid="{00000000-0005-0000-0000-0000B6070000}"/>
    <cellStyle name="Comma 83 2 2 2" xfId="3766" xr:uid="{00000000-0005-0000-0000-0000B7070000}"/>
    <cellStyle name="Comma 83 2 3" xfId="2533" xr:uid="{00000000-0005-0000-0000-0000B8070000}"/>
    <cellStyle name="Comma 83 2 3 2" xfId="4462" xr:uid="{00000000-0005-0000-0000-0000B9070000}"/>
    <cellStyle name="Comma 83 2 4" xfId="3164" xr:uid="{00000000-0005-0000-0000-0000BA070000}"/>
    <cellStyle name="Comma 84" xfId="668" xr:uid="{00000000-0005-0000-0000-0000BB070000}"/>
    <cellStyle name="Comma 85" xfId="670" xr:uid="{00000000-0005-0000-0000-0000BC070000}"/>
    <cellStyle name="Comma 86" xfId="672" xr:uid="{00000000-0005-0000-0000-0000BD070000}"/>
    <cellStyle name="Comma 87" xfId="673" xr:uid="{00000000-0005-0000-0000-0000BE070000}"/>
    <cellStyle name="Comma 88" xfId="675" xr:uid="{00000000-0005-0000-0000-0000BF070000}"/>
    <cellStyle name="Comma 89" xfId="679" xr:uid="{00000000-0005-0000-0000-0000C0070000}"/>
    <cellStyle name="Comma 9" xfId="91" xr:uid="{00000000-0005-0000-0000-0000C1070000}"/>
    <cellStyle name="Comma 9 2" xfId="308" xr:uid="{00000000-0005-0000-0000-0000C2070000}"/>
    <cellStyle name="Comma 9 2 2" xfId="5408" xr:uid="{00000000-0005-0000-0000-0000C3070000}"/>
    <cellStyle name="Comma 9 3" xfId="5914" xr:uid="{00000000-0005-0000-0000-0000C4070000}"/>
    <cellStyle name="Comma 9 4" xfId="6139" xr:uid="{00000000-0005-0000-0000-0000C5070000}"/>
    <cellStyle name="Comma 90" xfId="682" xr:uid="{00000000-0005-0000-0000-0000C6070000}"/>
    <cellStyle name="Comma 91" xfId="685" xr:uid="{00000000-0005-0000-0000-0000C7070000}"/>
    <cellStyle name="Comma 92" xfId="688" xr:uid="{00000000-0005-0000-0000-0000C8070000}"/>
    <cellStyle name="Comma 93" xfId="714" xr:uid="{00000000-0005-0000-0000-0000C9070000}"/>
    <cellStyle name="Comma 93 2" xfId="1625" xr:uid="{00000000-0005-0000-0000-0000CA070000}"/>
    <cellStyle name="Comma 93 2 2" xfId="3578" xr:uid="{00000000-0005-0000-0000-0000CB070000}"/>
    <cellStyle name="Comma 93 3" xfId="2338" xr:uid="{00000000-0005-0000-0000-0000CC070000}"/>
    <cellStyle name="Comma 93 3 2" xfId="4270" xr:uid="{00000000-0005-0000-0000-0000CD070000}"/>
    <cellStyle name="Comma 93 4" xfId="2986" xr:uid="{00000000-0005-0000-0000-0000CE070000}"/>
    <cellStyle name="Comma 94" xfId="718" xr:uid="{00000000-0005-0000-0000-0000CF070000}"/>
    <cellStyle name="Comma 94 2" xfId="1628" xr:uid="{00000000-0005-0000-0000-0000D0070000}"/>
    <cellStyle name="Comma 94 2 2" xfId="3581" xr:uid="{00000000-0005-0000-0000-0000D1070000}"/>
    <cellStyle name="Comma 94 3" xfId="2341" xr:uid="{00000000-0005-0000-0000-0000D2070000}"/>
    <cellStyle name="Comma 94 3 2" xfId="4273" xr:uid="{00000000-0005-0000-0000-0000D3070000}"/>
    <cellStyle name="Comma 94 4" xfId="2989" xr:uid="{00000000-0005-0000-0000-0000D4070000}"/>
    <cellStyle name="Comma 95" xfId="724" xr:uid="{00000000-0005-0000-0000-0000D5070000}"/>
    <cellStyle name="Comma 95 2" xfId="1634" xr:uid="{00000000-0005-0000-0000-0000D6070000}"/>
    <cellStyle name="Comma 95 2 2" xfId="3587" xr:uid="{00000000-0005-0000-0000-0000D7070000}"/>
    <cellStyle name="Comma 95 3" xfId="2347" xr:uid="{00000000-0005-0000-0000-0000D8070000}"/>
    <cellStyle name="Comma 95 3 2" xfId="4279" xr:uid="{00000000-0005-0000-0000-0000D9070000}"/>
    <cellStyle name="Comma 95 4" xfId="2995" xr:uid="{00000000-0005-0000-0000-0000DA070000}"/>
    <cellStyle name="Comma 96" xfId="727" xr:uid="{00000000-0005-0000-0000-0000DB070000}"/>
    <cellStyle name="Comma 96 2" xfId="1637" xr:uid="{00000000-0005-0000-0000-0000DC070000}"/>
    <cellStyle name="Comma 96 2 2" xfId="3590" xr:uid="{00000000-0005-0000-0000-0000DD070000}"/>
    <cellStyle name="Comma 96 3" xfId="2350" xr:uid="{00000000-0005-0000-0000-0000DE070000}"/>
    <cellStyle name="Comma 96 3 2" xfId="4282" xr:uid="{00000000-0005-0000-0000-0000DF070000}"/>
    <cellStyle name="Comma 96 4" xfId="2998" xr:uid="{00000000-0005-0000-0000-0000E0070000}"/>
    <cellStyle name="Comma 97" xfId="730" xr:uid="{00000000-0005-0000-0000-0000E1070000}"/>
    <cellStyle name="Comma 97 2" xfId="1640" xr:uid="{00000000-0005-0000-0000-0000E2070000}"/>
    <cellStyle name="Comma 97 2 2" xfId="3593" xr:uid="{00000000-0005-0000-0000-0000E3070000}"/>
    <cellStyle name="Comma 97 3" xfId="2353" xr:uid="{00000000-0005-0000-0000-0000E4070000}"/>
    <cellStyle name="Comma 97 3 2" xfId="4285" xr:uid="{00000000-0005-0000-0000-0000E5070000}"/>
    <cellStyle name="Comma 97 4" xfId="3001" xr:uid="{00000000-0005-0000-0000-0000E6070000}"/>
    <cellStyle name="Comma 98" xfId="733" xr:uid="{00000000-0005-0000-0000-0000E7070000}"/>
    <cellStyle name="Comma 98 2" xfId="1643" xr:uid="{00000000-0005-0000-0000-0000E8070000}"/>
    <cellStyle name="Comma 98 2 2" xfId="3596" xr:uid="{00000000-0005-0000-0000-0000E9070000}"/>
    <cellStyle name="Comma 98 3" xfId="2356" xr:uid="{00000000-0005-0000-0000-0000EA070000}"/>
    <cellStyle name="Comma 98 3 2" xfId="4288" xr:uid="{00000000-0005-0000-0000-0000EB070000}"/>
    <cellStyle name="Comma 98 4" xfId="3004" xr:uid="{00000000-0005-0000-0000-0000EC070000}"/>
    <cellStyle name="Comma 99" xfId="736" xr:uid="{00000000-0005-0000-0000-0000ED070000}"/>
    <cellStyle name="Comma 99 2" xfId="1646" xr:uid="{00000000-0005-0000-0000-0000EE070000}"/>
    <cellStyle name="Comma 99 2 2" xfId="3599" xr:uid="{00000000-0005-0000-0000-0000EF070000}"/>
    <cellStyle name="Comma 99 3" xfId="2359" xr:uid="{00000000-0005-0000-0000-0000F0070000}"/>
    <cellStyle name="Comma 99 3 2" xfId="4291" xr:uid="{00000000-0005-0000-0000-0000F1070000}"/>
    <cellStyle name="Comma 99 4" xfId="3007" xr:uid="{00000000-0005-0000-0000-0000F2070000}"/>
    <cellStyle name="Comma[mine]" xfId="441" xr:uid="{00000000-0005-0000-0000-0000F3070000}"/>
    <cellStyle name="Comma0" xfId="442" xr:uid="{00000000-0005-0000-0000-0000F4070000}"/>
    <cellStyle name="Currency" xfId="2882" builtinId="4"/>
    <cellStyle name="Currency 10" xfId="396" xr:uid="{00000000-0005-0000-0000-0000F6070000}"/>
    <cellStyle name="Currency 11" xfId="397" xr:uid="{00000000-0005-0000-0000-0000F7070000}"/>
    <cellStyle name="Currency 12" xfId="712" xr:uid="{00000000-0005-0000-0000-0000F8070000}"/>
    <cellStyle name="Currency 12 2" xfId="1623" xr:uid="{00000000-0005-0000-0000-0000F9070000}"/>
    <cellStyle name="Currency 12 2 2" xfId="3576" xr:uid="{00000000-0005-0000-0000-0000FA070000}"/>
    <cellStyle name="Currency 12 3" xfId="2336" xr:uid="{00000000-0005-0000-0000-0000FB070000}"/>
    <cellStyle name="Currency 12 3 2" xfId="4268" xr:uid="{00000000-0005-0000-0000-0000FC070000}"/>
    <cellStyle name="Currency 12 4" xfId="2984" xr:uid="{00000000-0005-0000-0000-0000FD070000}"/>
    <cellStyle name="Currency 13" xfId="5691" xr:uid="{00000000-0005-0000-0000-0000FE070000}"/>
    <cellStyle name="Currency 2" xfId="92" xr:uid="{00000000-0005-0000-0000-0000FF070000}"/>
    <cellStyle name="Currency 2 10" xfId="1291" xr:uid="{00000000-0005-0000-0000-000000080000}"/>
    <cellStyle name="Currency 2 11" xfId="1292" xr:uid="{00000000-0005-0000-0000-000001080000}"/>
    <cellStyle name="Currency 2 12" xfId="1293" xr:uid="{00000000-0005-0000-0000-000002080000}"/>
    <cellStyle name="Currency 2 13" xfId="1294" xr:uid="{00000000-0005-0000-0000-000003080000}"/>
    <cellStyle name="Currency 2 14" xfId="1295" xr:uid="{00000000-0005-0000-0000-000004080000}"/>
    <cellStyle name="Currency 2 15" xfId="1296" xr:uid="{00000000-0005-0000-0000-000005080000}"/>
    <cellStyle name="Currency 2 16" xfId="1297" xr:uid="{00000000-0005-0000-0000-000006080000}"/>
    <cellStyle name="Currency 2 17" xfId="5409" xr:uid="{00000000-0005-0000-0000-000007080000}"/>
    <cellStyle name="Currency 2 18" xfId="5540" xr:uid="{00000000-0005-0000-0000-000008080000}"/>
    <cellStyle name="Currency 2 18 2" xfId="6084" xr:uid="{00000000-0005-0000-0000-000009080000}"/>
    <cellStyle name="Currency 2 18 3" xfId="5847" xr:uid="{00000000-0005-0000-0000-00000A080000}"/>
    <cellStyle name="Currency 2 19" xfId="5915" xr:uid="{00000000-0005-0000-0000-00000B080000}"/>
    <cellStyle name="Currency 2 2" xfId="93" xr:uid="{00000000-0005-0000-0000-00000C080000}"/>
    <cellStyle name="Currency 2 2 2" xfId="309" xr:uid="{00000000-0005-0000-0000-00000D080000}"/>
    <cellStyle name="Currency 2 2 2 2" xfId="918" xr:uid="{00000000-0005-0000-0000-00000E080000}"/>
    <cellStyle name="Currency 2 2 2 2 2" xfId="1298" xr:uid="{00000000-0005-0000-0000-00000F080000}"/>
    <cellStyle name="Currency 2 20" xfId="6183" xr:uid="{00000000-0005-0000-0000-000010080000}"/>
    <cellStyle name="Currency 2 3" xfId="310" xr:uid="{00000000-0005-0000-0000-000011080000}"/>
    <cellStyle name="Currency 2 3 2" xfId="917" xr:uid="{00000000-0005-0000-0000-000012080000}"/>
    <cellStyle name="Currency 2 3 3" xfId="4841" xr:uid="{00000000-0005-0000-0000-000013080000}"/>
    <cellStyle name="Currency 2 3 4" xfId="4916" xr:uid="{00000000-0005-0000-0000-000014080000}"/>
    <cellStyle name="Currency 2 3 5" xfId="4986" xr:uid="{00000000-0005-0000-0000-000015080000}"/>
    <cellStyle name="Currency 2 3 6" xfId="5044" xr:uid="{00000000-0005-0000-0000-000016080000}"/>
    <cellStyle name="Currency 2 3 7" xfId="5077" xr:uid="{00000000-0005-0000-0000-000017080000}"/>
    <cellStyle name="Currency 2 3 8" xfId="5116" xr:uid="{00000000-0005-0000-0000-000018080000}"/>
    <cellStyle name="Currency 2 4" xfId="677" xr:uid="{00000000-0005-0000-0000-000019080000}"/>
    <cellStyle name="Currency 2 4 2" xfId="1299" xr:uid="{00000000-0005-0000-0000-00001A080000}"/>
    <cellStyle name="Currency 2 4 2 2" xfId="6151" xr:uid="{00000000-0005-0000-0000-00001B080000}"/>
    <cellStyle name="Currency 2 5" xfId="1300" xr:uid="{00000000-0005-0000-0000-00001C080000}"/>
    <cellStyle name="Currency 2 6" xfId="1301" xr:uid="{00000000-0005-0000-0000-00001D080000}"/>
    <cellStyle name="Currency 2 7" xfId="1302" xr:uid="{00000000-0005-0000-0000-00001E080000}"/>
    <cellStyle name="Currency 2 8" xfId="1303" xr:uid="{00000000-0005-0000-0000-00001F080000}"/>
    <cellStyle name="Currency 2 9" xfId="1304" xr:uid="{00000000-0005-0000-0000-000020080000}"/>
    <cellStyle name="Currency 3" xfId="94" xr:uid="{00000000-0005-0000-0000-000021080000}"/>
    <cellStyle name="Currency 3 2" xfId="95" xr:uid="{00000000-0005-0000-0000-000022080000}"/>
    <cellStyle name="Currency 3 2 2" xfId="311" xr:uid="{00000000-0005-0000-0000-000023080000}"/>
    <cellStyle name="Currency 3 2 2 2" xfId="920" xr:uid="{00000000-0005-0000-0000-000024080000}"/>
    <cellStyle name="Currency 3 3" xfId="312" xr:uid="{00000000-0005-0000-0000-000025080000}"/>
    <cellStyle name="Currency 3 3 2" xfId="919" xr:uid="{00000000-0005-0000-0000-000026080000}"/>
    <cellStyle name="Currency 3 3 3" xfId="5916" xr:uid="{00000000-0005-0000-0000-000027080000}"/>
    <cellStyle name="Currency 4" xfId="96" xr:uid="{00000000-0005-0000-0000-000028080000}"/>
    <cellStyle name="Currency 4 2" xfId="313" xr:uid="{00000000-0005-0000-0000-000029080000}"/>
    <cellStyle name="Currency 4 2 2" xfId="6133" xr:uid="{00000000-0005-0000-0000-00002A080000}"/>
    <cellStyle name="Currency 4 3" xfId="6188" xr:uid="{00000000-0005-0000-0000-00002B080000}"/>
    <cellStyle name="Currency 5" xfId="97" xr:uid="{00000000-0005-0000-0000-00002C080000}"/>
    <cellStyle name="Currency 5 2" xfId="314" xr:uid="{00000000-0005-0000-0000-00002D080000}"/>
    <cellStyle name="Currency 5 2 2" xfId="6137" xr:uid="{00000000-0005-0000-0000-00002E080000}"/>
    <cellStyle name="Currency 5 3" xfId="6189" xr:uid="{00000000-0005-0000-0000-00002F080000}"/>
    <cellStyle name="Currency 6" xfId="98" xr:uid="{00000000-0005-0000-0000-000030080000}"/>
    <cellStyle name="Currency 6 2" xfId="315" xr:uid="{00000000-0005-0000-0000-000031080000}"/>
    <cellStyle name="Currency 6 2 2" xfId="6141" xr:uid="{00000000-0005-0000-0000-000032080000}"/>
    <cellStyle name="Currency 7" xfId="99" xr:uid="{00000000-0005-0000-0000-000033080000}"/>
    <cellStyle name="Currency 7 2" xfId="921" xr:uid="{00000000-0005-0000-0000-000034080000}"/>
    <cellStyle name="Currency 7 2 2" xfId="6145" xr:uid="{00000000-0005-0000-0000-000035080000}"/>
    <cellStyle name="Currency 8" xfId="180" xr:uid="{00000000-0005-0000-0000-000036080000}"/>
    <cellStyle name="Currency 8 2" xfId="193" xr:uid="{00000000-0005-0000-0000-000037080000}"/>
    <cellStyle name="Currency 8 2 2" xfId="1006" xr:uid="{00000000-0005-0000-0000-000038080000}"/>
    <cellStyle name="Currency 8 2 3" xfId="6154" xr:uid="{00000000-0005-0000-0000-000039080000}"/>
    <cellStyle name="Currency 8 3" xfId="811" xr:uid="{00000000-0005-0000-0000-00003A080000}"/>
    <cellStyle name="Currency 9" xfId="398" xr:uid="{00000000-0005-0000-0000-00003B080000}"/>
    <cellStyle name="Currency 9 2" xfId="5374" xr:uid="{00000000-0005-0000-0000-00003C080000}"/>
    <cellStyle name="Currency 9 2 2" xfId="6024" xr:uid="{00000000-0005-0000-0000-00003D080000}"/>
    <cellStyle name="Currency 9 3" xfId="6172" xr:uid="{00000000-0005-0000-0000-00003E080000}"/>
    <cellStyle name="Currency 9 4" xfId="5787" xr:uid="{00000000-0005-0000-0000-00003F080000}"/>
    <cellStyle name="Currency0" xfId="443" xr:uid="{00000000-0005-0000-0000-000040080000}"/>
    <cellStyle name="Data" xfId="444" xr:uid="{00000000-0005-0000-0000-000041080000}"/>
    <cellStyle name="Date" xfId="445" xr:uid="{00000000-0005-0000-0000-000042080000}"/>
    <cellStyle name="Date 2" xfId="5172" xr:uid="{00000000-0005-0000-0000-000043080000}"/>
    <cellStyle name="day of week" xfId="446" xr:uid="{00000000-0005-0000-0000-000044080000}"/>
    <cellStyle name="données" xfId="447" xr:uid="{00000000-0005-0000-0000-000045080000}"/>
    <cellStyle name="donnéesbord" xfId="448" xr:uid="{00000000-0005-0000-0000-000046080000}"/>
    <cellStyle name="donnéesbord 2" xfId="1007" xr:uid="{00000000-0005-0000-0000-000047080000}"/>
    <cellStyle name="donnéesbord 2 2" xfId="1746" xr:uid="{00000000-0005-0000-0000-000048080000}"/>
    <cellStyle name="donnéesbord 2 3" xfId="2082" xr:uid="{00000000-0005-0000-0000-000049080000}"/>
    <cellStyle name="donnéesbord 2 3 2" xfId="4026" xr:uid="{00000000-0005-0000-0000-00004A080000}"/>
    <cellStyle name="donnéesbord 2 4" xfId="2413" xr:uid="{00000000-0005-0000-0000-00004B080000}"/>
    <cellStyle name="donnéesbord 2 4 2" xfId="4345" xr:uid="{00000000-0005-0000-0000-00004C080000}"/>
    <cellStyle name="donnéesbord 3" xfId="1179" xr:uid="{00000000-0005-0000-0000-00004D080000}"/>
    <cellStyle name="donnéesbord 3 2" xfId="1891" xr:uid="{00000000-0005-0000-0000-00004E080000}"/>
    <cellStyle name="donnéesbord 3 2 2" xfId="3836" xr:uid="{00000000-0005-0000-0000-00004F080000}"/>
    <cellStyle name="donnéesbord 3 3" xfId="2594" xr:uid="{00000000-0005-0000-0000-000050080000}"/>
    <cellStyle name="donnéesbord 3 4" xfId="2808" xr:uid="{00000000-0005-0000-0000-000051080000}"/>
    <cellStyle name="donnéesbord 3 4 2" xfId="4730" xr:uid="{00000000-0005-0000-0000-000052080000}"/>
    <cellStyle name="donnéesbord 4" xfId="1133" xr:uid="{00000000-0005-0000-0000-000053080000}"/>
    <cellStyle name="donnéesbord 4 2" xfId="1847" xr:uid="{00000000-0005-0000-0000-000054080000}"/>
    <cellStyle name="donnéesbord 4 3" xfId="2093" xr:uid="{00000000-0005-0000-0000-000055080000}"/>
    <cellStyle name="donnéesbord 4 3 2" xfId="4037" xr:uid="{00000000-0005-0000-0000-000056080000}"/>
    <cellStyle name="donnéesbord 4 4" xfId="2786" xr:uid="{00000000-0005-0000-0000-000057080000}"/>
    <cellStyle name="donnéesbord 4 4 2" xfId="4710" xr:uid="{00000000-0005-0000-0000-000058080000}"/>
    <cellStyle name="donnéesbord 5" xfId="1553" xr:uid="{00000000-0005-0000-0000-000059080000}"/>
    <cellStyle name="donnéesbord 5 2" xfId="3507" xr:uid="{00000000-0005-0000-0000-00005A080000}"/>
    <cellStyle name="donnéesbord 6" xfId="2316" xr:uid="{00000000-0005-0000-0000-00005B080000}"/>
    <cellStyle name="donnéesbord 6 2" xfId="4251" xr:uid="{00000000-0005-0000-0000-00005C080000}"/>
    <cellStyle name="donnéesbord 7" xfId="5173" xr:uid="{00000000-0005-0000-0000-00005D080000}"/>
    <cellStyle name="Euro" xfId="449" xr:uid="{00000000-0005-0000-0000-00005E080000}"/>
    <cellStyle name="Euro 2" xfId="5174" xr:uid="{00000000-0005-0000-0000-00005F080000}"/>
    <cellStyle name="Excel.Chart" xfId="450" xr:uid="{00000000-0005-0000-0000-000060080000}"/>
    <cellStyle name="Explanatory Text 2" xfId="100" xr:uid="{00000000-0005-0000-0000-000061080000}"/>
    <cellStyle name="Explanatory Text 2 2" xfId="5302" xr:uid="{00000000-0005-0000-0000-000062080000}"/>
    <cellStyle name="Explanatory Text 3" xfId="101" xr:uid="{00000000-0005-0000-0000-000063080000}"/>
    <cellStyle name="Explanatory Text 3 2" xfId="5303" xr:uid="{00000000-0005-0000-0000-000064080000}"/>
    <cellStyle name="Explanatory Text 4" xfId="316" xr:uid="{00000000-0005-0000-0000-000065080000}"/>
    <cellStyle name="Explanatory Text 5" xfId="317" xr:uid="{00000000-0005-0000-0000-000066080000}"/>
    <cellStyle name="F2" xfId="451" xr:uid="{00000000-0005-0000-0000-000067080000}"/>
    <cellStyle name="F3" xfId="452" xr:uid="{00000000-0005-0000-0000-000068080000}"/>
    <cellStyle name="F4" xfId="453" xr:uid="{00000000-0005-0000-0000-000069080000}"/>
    <cellStyle name="F5" xfId="454" xr:uid="{00000000-0005-0000-0000-00006A080000}"/>
    <cellStyle name="F6" xfId="455" xr:uid="{00000000-0005-0000-0000-00006B080000}"/>
    <cellStyle name="F7" xfId="456" xr:uid="{00000000-0005-0000-0000-00006C080000}"/>
    <cellStyle name="F8" xfId="457" xr:uid="{00000000-0005-0000-0000-00006D080000}"/>
    <cellStyle name="facha" xfId="458" xr:uid="{00000000-0005-0000-0000-00006E080000}"/>
    <cellStyle name="facha 2" xfId="5304" xr:uid="{00000000-0005-0000-0000-00006F080000}"/>
    <cellStyle name="Fecha" xfId="459" xr:uid="{00000000-0005-0000-0000-000070080000}"/>
    <cellStyle name="Fecha 2" xfId="5175" xr:uid="{00000000-0005-0000-0000-000071080000}"/>
    <cellStyle name="Fijo" xfId="460" xr:uid="{00000000-0005-0000-0000-000072080000}"/>
    <cellStyle name="Fixed" xfId="461" xr:uid="{00000000-0005-0000-0000-000073080000}"/>
    <cellStyle name="Fixo" xfId="462" xr:uid="{00000000-0005-0000-0000-000074080000}"/>
    <cellStyle name="Footnote" xfId="5581" xr:uid="{00000000-0005-0000-0000-000075080000}"/>
    <cellStyle name="Good 2" xfId="102" xr:uid="{00000000-0005-0000-0000-000076080000}"/>
    <cellStyle name="Good 2 2" xfId="5305" xr:uid="{00000000-0005-0000-0000-000077080000}"/>
    <cellStyle name="Good 3" xfId="103" xr:uid="{00000000-0005-0000-0000-000078080000}"/>
    <cellStyle name="Good 3 2" xfId="5306" xr:uid="{00000000-0005-0000-0000-000079080000}"/>
    <cellStyle name="Good 4" xfId="318" xr:uid="{00000000-0005-0000-0000-00007A080000}"/>
    <cellStyle name="Good 5" xfId="319" xr:uid="{00000000-0005-0000-0000-00007B080000}"/>
    <cellStyle name="GOVDATA" xfId="5582" xr:uid="{00000000-0005-0000-0000-00007C080000}"/>
    <cellStyle name="Grey" xfId="463" xr:uid="{00000000-0005-0000-0000-00007D080000}"/>
    <cellStyle name="Header style" xfId="464" xr:uid="{00000000-0005-0000-0000-00007E080000}"/>
    <cellStyle name="Header style 2" xfId="5307" xr:uid="{00000000-0005-0000-0000-00007F080000}"/>
    <cellStyle name="Heading 1 2" xfId="104" xr:uid="{00000000-0005-0000-0000-000080080000}"/>
    <cellStyle name="Heading 1 2 2" xfId="5308" xr:uid="{00000000-0005-0000-0000-000081080000}"/>
    <cellStyle name="Heading 1 3" xfId="105" xr:uid="{00000000-0005-0000-0000-000082080000}"/>
    <cellStyle name="Heading 1 3 2" xfId="5309" xr:uid="{00000000-0005-0000-0000-000083080000}"/>
    <cellStyle name="Heading 1 4" xfId="320" xr:uid="{00000000-0005-0000-0000-000084080000}"/>
    <cellStyle name="Heading 1 5" xfId="321" xr:uid="{00000000-0005-0000-0000-000085080000}"/>
    <cellStyle name="Heading 2 2" xfId="106" xr:uid="{00000000-0005-0000-0000-000086080000}"/>
    <cellStyle name="Heading 2 2 2" xfId="5310" xr:uid="{00000000-0005-0000-0000-000087080000}"/>
    <cellStyle name="Heading 2 3" xfId="107" xr:uid="{00000000-0005-0000-0000-000088080000}"/>
    <cellStyle name="Heading 2 3 2" xfId="5311" xr:uid="{00000000-0005-0000-0000-000089080000}"/>
    <cellStyle name="Heading 2 4" xfId="322" xr:uid="{00000000-0005-0000-0000-00008A080000}"/>
    <cellStyle name="Heading 2 5" xfId="323" xr:uid="{00000000-0005-0000-0000-00008B080000}"/>
    <cellStyle name="Heading 3 2" xfId="108" xr:uid="{00000000-0005-0000-0000-00008C080000}"/>
    <cellStyle name="Heading 3 2 2" xfId="812" xr:uid="{00000000-0005-0000-0000-00008D080000}"/>
    <cellStyle name="Heading 3 2 2 2" xfId="1686" xr:uid="{00000000-0005-0000-0000-00008E080000}"/>
    <cellStyle name="Heading 3 2 2 2 2" xfId="3634" xr:uid="{00000000-0005-0000-0000-00008F080000}"/>
    <cellStyle name="Heading 3 2 2 3" xfId="3040" xr:uid="{00000000-0005-0000-0000-000090080000}"/>
    <cellStyle name="Heading 3 2 3" xfId="1038" xr:uid="{00000000-0005-0000-0000-000091080000}"/>
    <cellStyle name="Heading 3 2 3 2" xfId="1774" xr:uid="{00000000-0005-0000-0000-000092080000}"/>
    <cellStyle name="Heading 3 2 3 2 2" xfId="3721" xr:uid="{00000000-0005-0000-0000-000093080000}"/>
    <cellStyle name="Heading 3 2 3 3" xfId="3120" xr:uid="{00000000-0005-0000-0000-000094080000}"/>
    <cellStyle name="Heading 3 2 4" xfId="1469" xr:uid="{00000000-0005-0000-0000-000095080000}"/>
    <cellStyle name="Heading 3 2 4 2" xfId="3423" xr:uid="{00000000-0005-0000-0000-000096080000}"/>
    <cellStyle name="Heading 3 2 5" xfId="2889" xr:uid="{00000000-0005-0000-0000-000097080000}"/>
    <cellStyle name="Heading 3 2 6" xfId="4820" xr:uid="{00000000-0005-0000-0000-000098080000}"/>
    <cellStyle name="Heading 3 2 7" xfId="5067" xr:uid="{00000000-0005-0000-0000-000099080000}"/>
    <cellStyle name="Heading 3 2 8" xfId="5312" xr:uid="{00000000-0005-0000-0000-00009A080000}"/>
    <cellStyle name="Heading 3 3" xfId="109" xr:uid="{00000000-0005-0000-0000-00009B080000}"/>
    <cellStyle name="Heading 3 3 2" xfId="813" xr:uid="{00000000-0005-0000-0000-00009C080000}"/>
    <cellStyle name="Heading 3 3 2 2" xfId="1687" xr:uid="{00000000-0005-0000-0000-00009D080000}"/>
    <cellStyle name="Heading 3 3 2 2 2" xfId="3635" xr:uid="{00000000-0005-0000-0000-00009E080000}"/>
    <cellStyle name="Heading 3 3 2 3" xfId="3041" xr:uid="{00000000-0005-0000-0000-00009F080000}"/>
    <cellStyle name="Heading 3 3 3" xfId="829" xr:uid="{00000000-0005-0000-0000-0000A0080000}"/>
    <cellStyle name="Heading 3 3 3 2" xfId="1695" xr:uid="{00000000-0005-0000-0000-0000A1080000}"/>
    <cellStyle name="Heading 3 3 3 2 2" xfId="3643" xr:uid="{00000000-0005-0000-0000-0000A2080000}"/>
    <cellStyle name="Heading 3 3 3 3" xfId="3048" xr:uid="{00000000-0005-0000-0000-0000A3080000}"/>
    <cellStyle name="Heading 3 3 4" xfId="1470" xr:uid="{00000000-0005-0000-0000-0000A4080000}"/>
    <cellStyle name="Heading 3 3 4 2" xfId="3424" xr:uid="{00000000-0005-0000-0000-0000A5080000}"/>
    <cellStyle name="Heading 3 3 5" xfId="2890" xr:uid="{00000000-0005-0000-0000-0000A6080000}"/>
    <cellStyle name="Heading 3 3 6" xfId="4819" xr:uid="{00000000-0005-0000-0000-0000A7080000}"/>
    <cellStyle name="Heading 3 3 7" xfId="5066" xr:uid="{00000000-0005-0000-0000-0000A8080000}"/>
    <cellStyle name="Heading 3 3 8" xfId="5313" xr:uid="{00000000-0005-0000-0000-0000A9080000}"/>
    <cellStyle name="Heading 3 4" xfId="324" xr:uid="{00000000-0005-0000-0000-0000AA080000}"/>
    <cellStyle name="Heading 3 4 2" xfId="1008" xr:uid="{00000000-0005-0000-0000-0000AB080000}"/>
    <cellStyle name="Heading 3 4 2 2" xfId="1747" xr:uid="{00000000-0005-0000-0000-0000AC080000}"/>
    <cellStyle name="Heading 3 4 2 2 2" xfId="3694" xr:uid="{00000000-0005-0000-0000-0000AD080000}"/>
    <cellStyle name="Heading 3 4 2 3" xfId="3093" xr:uid="{00000000-0005-0000-0000-0000AE080000}"/>
    <cellStyle name="Heading 3 4 3" xfId="1107" xr:uid="{00000000-0005-0000-0000-0000AF080000}"/>
    <cellStyle name="Heading 3 4 3 2" xfId="1822" xr:uid="{00000000-0005-0000-0000-0000B0080000}"/>
    <cellStyle name="Heading 3 4 3 2 2" xfId="3769" xr:uid="{00000000-0005-0000-0000-0000B1080000}"/>
    <cellStyle name="Heading 3 4 3 3" xfId="3167" xr:uid="{00000000-0005-0000-0000-0000B2080000}"/>
    <cellStyle name="Heading 3 4 4" xfId="1521" xr:uid="{00000000-0005-0000-0000-0000B3080000}"/>
    <cellStyle name="Heading 3 4 4 2" xfId="3475" xr:uid="{00000000-0005-0000-0000-0000B4080000}"/>
    <cellStyle name="Heading 3 4 5" xfId="2926" xr:uid="{00000000-0005-0000-0000-0000B5080000}"/>
    <cellStyle name="Heading 3 4 6" xfId="4818" xr:uid="{00000000-0005-0000-0000-0000B6080000}"/>
    <cellStyle name="Heading 3 4 7" xfId="5065" xr:uid="{00000000-0005-0000-0000-0000B7080000}"/>
    <cellStyle name="Heading 3 5" xfId="325" xr:uid="{00000000-0005-0000-0000-0000B8080000}"/>
    <cellStyle name="Heading 3 5 2" xfId="1009" xr:uid="{00000000-0005-0000-0000-0000B9080000}"/>
    <cellStyle name="Heading 3 5 2 2" xfId="1748" xr:uid="{00000000-0005-0000-0000-0000BA080000}"/>
    <cellStyle name="Heading 3 5 2 2 2" xfId="3695" xr:uid="{00000000-0005-0000-0000-0000BB080000}"/>
    <cellStyle name="Heading 3 5 2 3" xfId="3094" xr:uid="{00000000-0005-0000-0000-0000BC080000}"/>
    <cellStyle name="Heading 3 5 3" xfId="1108" xr:uid="{00000000-0005-0000-0000-0000BD080000}"/>
    <cellStyle name="Heading 3 5 3 2" xfId="1823" xr:uid="{00000000-0005-0000-0000-0000BE080000}"/>
    <cellStyle name="Heading 3 5 3 2 2" xfId="3770" xr:uid="{00000000-0005-0000-0000-0000BF080000}"/>
    <cellStyle name="Heading 3 5 3 3" xfId="3168" xr:uid="{00000000-0005-0000-0000-0000C0080000}"/>
    <cellStyle name="Heading 3 5 4" xfId="1522" xr:uid="{00000000-0005-0000-0000-0000C1080000}"/>
    <cellStyle name="Heading 3 5 4 2" xfId="3476" xr:uid="{00000000-0005-0000-0000-0000C2080000}"/>
    <cellStyle name="Heading 3 5 5" xfId="2927" xr:uid="{00000000-0005-0000-0000-0000C3080000}"/>
    <cellStyle name="Heading 3 6" xfId="4821" xr:uid="{00000000-0005-0000-0000-0000C4080000}"/>
    <cellStyle name="Heading 3 7" xfId="5068" xr:uid="{00000000-0005-0000-0000-0000C5080000}"/>
    <cellStyle name="Heading 4 2" xfId="110" xr:uid="{00000000-0005-0000-0000-0000C6080000}"/>
    <cellStyle name="Heading 4 2 2" xfId="5314" xr:uid="{00000000-0005-0000-0000-0000C7080000}"/>
    <cellStyle name="Heading 4 3" xfId="111" xr:uid="{00000000-0005-0000-0000-0000C8080000}"/>
    <cellStyle name="Heading 4 3 2" xfId="5315" xr:uid="{00000000-0005-0000-0000-0000C9080000}"/>
    <cellStyle name="Heading 4 4" xfId="326" xr:uid="{00000000-0005-0000-0000-0000CA080000}"/>
    <cellStyle name="Heading 4 5" xfId="327" xr:uid="{00000000-0005-0000-0000-0000CB080000}"/>
    <cellStyle name="Heading1" xfId="465" xr:uid="{00000000-0005-0000-0000-0000CC080000}"/>
    <cellStyle name="Heading1 2" xfId="5176" xr:uid="{00000000-0005-0000-0000-0000CD080000}"/>
    <cellStyle name="Heading2" xfId="466" xr:uid="{00000000-0005-0000-0000-0000CE080000}"/>
    <cellStyle name="Heading2 2" xfId="5177" xr:uid="{00000000-0005-0000-0000-0000CF080000}"/>
    <cellStyle name="Hipervínculo" xfId="467" xr:uid="{00000000-0005-0000-0000-0000D0080000}"/>
    <cellStyle name="Hipervínculo 2" xfId="5178" xr:uid="{00000000-0005-0000-0000-0000D1080000}"/>
    <cellStyle name="Hipervínculo visitado" xfId="468" xr:uid="{00000000-0005-0000-0000-0000D2080000}"/>
    <cellStyle name="Hipervínculo visitado 2" xfId="5179" xr:uid="{00000000-0005-0000-0000-0000D3080000}"/>
    <cellStyle name="Hipervínculo_10-01-03 2003 2003 NUEVOS RON -NUEVOS INTERESES" xfId="469" xr:uid="{00000000-0005-0000-0000-0000D4080000}"/>
    <cellStyle name="Hyperlink 2" xfId="112" xr:uid="{00000000-0005-0000-0000-0000D5080000}"/>
    <cellStyle name="Hyperlink 2 2" xfId="113" xr:uid="{00000000-0005-0000-0000-0000D6080000}"/>
    <cellStyle name="Hyperlink 2 2 2" xfId="814" xr:uid="{00000000-0005-0000-0000-0000D7080000}"/>
    <cellStyle name="Hyperlink 2 2 2 2" xfId="1260" xr:uid="{00000000-0005-0000-0000-0000D8080000}"/>
    <cellStyle name="Hyperlink 2 2 3" xfId="5316" xr:uid="{00000000-0005-0000-0000-0000D9080000}"/>
    <cellStyle name="Hyperlink 2 3" xfId="114" xr:uid="{00000000-0005-0000-0000-0000DA080000}"/>
    <cellStyle name="Hyperlink 2 3 2" xfId="5317" xr:uid="{00000000-0005-0000-0000-0000DB080000}"/>
    <cellStyle name="Hyperlink 2 4" xfId="328" xr:uid="{00000000-0005-0000-0000-0000DC080000}"/>
    <cellStyle name="Hyperlink 2 4 2" xfId="5410" xr:uid="{00000000-0005-0000-0000-0000DD080000}"/>
    <cellStyle name="Hyperlink 2 5" xfId="592" xr:uid="{00000000-0005-0000-0000-0000DE080000}"/>
    <cellStyle name="Hyperlink 2 5 2" xfId="5917" xr:uid="{00000000-0005-0000-0000-0000DF080000}"/>
    <cellStyle name="Hyperlink 2 6" xfId="1072" xr:uid="{00000000-0005-0000-0000-0000E0080000}"/>
    <cellStyle name="Hyperlink 2 7" xfId="5145" xr:uid="{00000000-0005-0000-0000-0000E1080000}"/>
    <cellStyle name="Hyperlink 3" xfId="115" xr:uid="{00000000-0005-0000-0000-0000E2080000}"/>
    <cellStyle name="Hyperlink 3 2" xfId="5318" xr:uid="{00000000-0005-0000-0000-0000E3080000}"/>
    <cellStyle name="Hyperlink 4" xfId="399" xr:uid="{00000000-0005-0000-0000-0000E4080000}"/>
    <cellStyle name="Hyperlink 4 2" xfId="5660" xr:uid="{00000000-0005-0000-0000-0000E5080000}"/>
    <cellStyle name="Hyperlink 5" xfId="400" xr:uid="{00000000-0005-0000-0000-0000E6080000}"/>
    <cellStyle name="Hyperlink 5 2" xfId="6113" xr:uid="{00000000-0005-0000-0000-0000E7080000}"/>
    <cellStyle name="Hyperlink 6" xfId="783" xr:uid="{00000000-0005-0000-0000-0000E8080000}"/>
    <cellStyle name="Hyperlink 7" xfId="5155" xr:uid="{00000000-0005-0000-0000-0000E9080000}"/>
    <cellStyle name="Hyperlink seguido_NFGC_SPE_1995_2003" xfId="470" xr:uid="{00000000-0005-0000-0000-0000EA080000}"/>
    <cellStyle name="imf-one decimal" xfId="471" xr:uid="{00000000-0005-0000-0000-0000EB080000}"/>
    <cellStyle name="imf-zero decimal" xfId="472" xr:uid="{00000000-0005-0000-0000-0000EC080000}"/>
    <cellStyle name="Input [yellow]" xfId="473" xr:uid="{00000000-0005-0000-0000-0000ED080000}"/>
    <cellStyle name="Input [yellow] 10" xfId="5180" xr:uid="{00000000-0005-0000-0000-0000EE080000}"/>
    <cellStyle name="Input [yellow] 11" xfId="5711" xr:uid="{00000000-0005-0000-0000-0000EF080000}"/>
    <cellStyle name="Input [yellow] 2" xfId="1010" xr:uid="{00000000-0005-0000-0000-0000F0080000}"/>
    <cellStyle name="Input [yellow] 2 2" xfId="1749" xr:uid="{00000000-0005-0000-0000-0000F1080000}"/>
    <cellStyle name="Input [yellow] 2 2 2" xfId="3696" xr:uid="{00000000-0005-0000-0000-0000F2080000}"/>
    <cellStyle name="Input [yellow] 2 3" xfId="2088" xr:uid="{00000000-0005-0000-0000-0000F3080000}"/>
    <cellStyle name="Input [yellow] 2 3 2" xfId="4032" xr:uid="{00000000-0005-0000-0000-0000F4080000}"/>
    <cellStyle name="Input [yellow] 2 4" xfId="2200" xr:uid="{00000000-0005-0000-0000-0000F5080000}"/>
    <cellStyle name="Input [yellow] 2 4 2" xfId="4142" xr:uid="{00000000-0005-0000-0000-0000F6080000}"/>
    <cellStyle name="Input [yellow] 2 5" xfId="2244" xr:uid="{00000000-0005-0000-0000-0000F7080000}"/>
    <cellStyle name="Input [yellow] 2 5 2" xfId="4179" xr:uid="{00000000-0005-0000-0000-0000F8080000}"/>
    <cellStyle name="Input [yellow] 2 6" xfId="2586" xr:uid="{00000000-0005-0000-0000-0000F9080000}"/>
    <cellStyle name="Input [yellow] 2 6 2" xfId="4515" xr:uid="{00000000-0005-0000-0000-0000FA080000}"/>
    <cellStyle name="Input [yellow] 2 7" xfId="3095" xr:uid="{00000000-0005-0000-0000-0000FB080000}"/>
    <cellStyle name="Input [yellow] 3" xfId="1180" xr:uid="{00000000-0005-0000-0000-0000FC080000}"/>
    <cellStyle name="Input [yellow] 3 2" xfId="1892" xr:uid="{00000000-0005-0000-0000-0000FD080000}"/>
    <cellStyle name="Input [yellow] 3 2 2" xfId="3837" xr:uid="{00000000-0005-0000-0000-0000FE080000}"/>
    <cellStyle name="Input [yellow] 3 3" xfId="1548" xr:uid="{00000000-0005-0000-0000-0000FF080000}"/>
    <cellStyle name="Input [yellow] 3 3 2" xfId="3502" xr:uid="{00000000-0005-0000-0000-000000090000}"/>
    <cellStyle name="Input [yellow] 3 4" xfId="2809" xr:uid="{00000000-0005-0000-0000-000001090000}"/>
    <cellStyle name="Input [yellow] 3 4 2" xfId="4731" xr:uid="{00000000-0005-0000-0000-000002090000}"/>
    <cellStyle name="Input [yellow] 3 5" xfId="2447" xr:uid="{00000000-0005-0000-0000-000003090000}"/>
    <cellStyle name="Input [yellow] 3 5 2" xfId="4376" xr:uid="{00000000-0005-0000-0000-000004090000}"/>
    <cellStyle name="Input [yellow] 3 6" xfId="2780" xr:uid="{00000000-0005-0000-0000-000005090000}"/>
    <cellStyle name="Input [yellow] 3 6 2" xfId="4704" xr:uid="{00000000-0005-0000-0000-000006090000}"/>
    <cellStyle name="Input [yellow] 3 7" xfId="3234" xr:uid="{00000000-0005-0000-0000-000007090000}"/>
    <cellStyle name="Input [yellow] 4" xfId="1560" xr:uid="{00000000-0005-0000-0000-000008090000}"/>
    <cellStyle name="Input [yellow] 4 2" xfId="3514" xr:uid="{00000000-0005-0000-0000-000009090000}"/>
    <cellStyle name="Input [yellow] 5" xfId="1710" xr:uid="{00000000-0005-0000-0000-00000A090000}"/>
    <cellStyle name="Input [yellow] 5 2" xfId="3658" xr:uid="{00000000-0005-0000-0000-00000B090000}"/>
    <cellStyle name="Input [yellow] 6" xfId="2489" xr:uid="{00000000-0005-0000-0000-00000C090000}"/>
    <cellStyle name="Input [yellow] 6 2" xfId="4418" xr:uid="{00000000-0005-0000-0000-00000D090000}"/>
    <cellStyle name="Input [yellow] 7" xfId="2851" xr:uid="{00000000-0005-0000-0000-00000E090000}"/>
    <cellStyle name="Input [yellow] 7 2" xfId="4773" xr:uid="{00000000-0005-0000-0000-00000F090000}"/>
    <cellStyle name="Input [yellow] 8" xfId="2226" xr:uid="{00000000-0005-0000-0000-000010090000}"/>
    <cellStyle name="Input [yellow] 8 2" xfId="4165" xr:uid="{00000000-0005-0000-0000-000011090000}"/>
    <cellStyle name="Input [yellow] 9" xfId="2949" xr:uid="{00000000-0005-0000-0000-000012090000}"/>
    <cellStyle name="Input 10" xfId="4878" xr:uid="{00000000-0005-0000-0000-000013090000}"/>
    <cellStyle name="Input 11" xfId="4874" xr:uid="{00000000-0005-0000-0000-000014090000}"/>
    <cellStyle name="Input 12" xfId="4876" xr:uid="{00000000-0005-0000-0000-000015090000}"/>
    <cellStyle name="Input 13" xfId="4923" xr:uid="{00000000-0005-0000-0000-000016090000}"/>
    <cellStyle name="Input 14" xfId="4900" xr:uid="{00000000-0005-0000-0000-000017090000}"/>
    <cellStyle name="Input 15" xfId="4917" xr:uid="{00000000-0005-0000-0000-000018090000}"/>
    <cellStyle name="Input 16" xfId="4905" xr:uid="{00000000-0005-0000-0000-000019090000}"/>
    <cellStyle name="Input 17" xfId="4918" xr:uid="{00000000-0005-0000-0000-00001A090000}"/>
    <cellStyle name="Input 18" xfId="4904" xr:uid="{00000000-0005-0000-0000-00001B090000}"/>
    <cellStyle name="Input 19" xfId="4919" xr:uid="{00000000-0005-0000-0000-00001C090000}"/>
    <cellStyle name="Input 2" xfId="116" xr:uid="{00000000-0005-0000-0000-00001D090000}"/>
    <cellStyle name="Input 2 10" xfId="2211" xr:uid="{00000000-0005-0000-0000-00001E090000}"/>
    <cellStyle name="Input 2 10 2" xfId="4152" xr:uid="{00000000-0005-0000-0000-00001F090000}"/>
    <cellStyle name="Input 2 11" xfId="2891" xr:uid="{00000000-0005-0000-0000-000020090000}"/>
    <cellStyle name="Input 2 12" xfId="4843" xr:uid="{00000000-0005-0000-0000-000021090000}"/>
    <cellStyle name="Input 2 13" xfId="5319" xr:uid="{00000000-0005-0000-0000-000022090000}"/>
    <cellStyle name="Input 2 14" xfId="5761" xr:uid="{00000000-0005-0000-0000-000023090000}"/>
    <cellStyle name="Input 2 2" xfId="1314" xr:uid="{00000000-0005-0000-0000-000024090000}"/>
    <cellStyle name="Input 2 2 2" xfId="1966" xr:uid="{00000000-0005-0000-0000-000025090000}"/>
    <cellStyle name="Input 2 2 2 2" xfId="3910" xr:uid="{00000000-0005-0000-0000-000026090000}"/>
    <cellStyle name="Input 2 2 3" xfId="2139" xr:uid="{00000000-0005-0000-0000-000027090000}"/>
    <cellStyle name="Input 2 2 3 2" xfId="4083" xr:uid="{00000000-0005-0000-0000-000028090000}"/>
    <cellStyle name="Input 2 2 4" xfId="1618" xr:uid="{00000000-0005-0000-0000-000029090000}"/>
    <cellStyle name="Input 2 2 4 2" xfId="3571" xr:uid="{00000000-0005-0000-0000-00002A090000}"/>
    <cellStyle name="Input 2 2 5" xfId="2850" xr:uid="{00000000-0005-0000-0000-00002B090000}"/>
    <cellStyle name="Input 2 2 5 2" xfId="4772" xr:uid="{00000000-0005-0000-0000-00002C090000}"/>
    <cellStyle name="Input 2 2 6" xfId="2860" xr:uid="{00000000-0005-0000-0000-00002D090000}"/>
    <cellStyle name="Input 2 2 6 2" xfId="4782" xr:uid="{00000000-0005-0000-0000-00002E090000}"/>
    <cellStyle name="Input 2 2 7" xfId="2806" xr:uid="{00000000-0005-0000-0000-00002F090000}"/>
    <cellStyle name="Input 2 2 7 2" xfId="4728" xr:uid="{00000000-0005-0000-0000-000030090000}"/>
    <cellStyle name="Input 2 2 8" xfId="3302" xr:uid="{00000000-0005-0000-0000-000031090000}"/>
    <cellStyle name="Input 2 3" xfId="1136" xr:uid="{00000000-0005-0000-0000-000032090000}"/>
    <cellStyle name="Input 2 3 2" xfId="1850" xr:uid="{00000000-0005-0000-0000-000033090000}"/>
    <cellStyle name="Input 2 3 2 2" xfId="3795" xr:uid="{00000000-0005-0000-0000-000034090000}"/>
    <cellStyle name="Input 2 3 3" xfId="2094" xr:uid="{00000000-0005-0000-0000-000035090000}"/>
    <cellStyle name="Input 2 3 3 2" xfId="4038" xr:uid="{00000000-0005-0000-0000-000036090000}"/>
    <cellStyle name="Input 2 3 4" xfId="1471" xr:uid="{00000000-0005-0000-0000-000037090000}"/>
    <cellStyle name="Input 2 3 4 2" xfId="3425" xr:uid="{00000000-0005-0000-0000-000038090000}"/>
    <cellStyle name="Input 2 3 5" xfId="2788" xr:uid="{00000000-0005-0000-0000-000039090000}"/>
    <cellStyle name="Input 2 3 5 2" xfId="4712" xr:uid="{00000000-0005-0000-0000-00003A090000}"/>
    <cellStyle name="Input 2 3 6" xfId="2253" xr:uid="{00000000-0005-0000-0000-00003B090000}"/>
    <cellStyle name="Input 2 3 6 2" xfId="4188" xr:uid="{00000000-0005-0000-0000-00003C090000}"/>
    <cellStyle name="Input 2 3 7" xfId="2267" xr:uid="{00000000-0005-0000-0000-00003D090000}"/>
    <cellStyle name="Input 2 3 7 2" xfId="4202" xr:uid="{00000000-0005-0000-0000-00003E090000}"/>
    <cellStyle name="Input 2 3 8" xfId="3193" xr:uid="{00000000-0005-0000-0000-00003F090000}"/>
    <cellStyle name="Input 2 4" xfId="1472" xr:uid="{00000000-0005-0000-0000-000040090000}"/>
    <cellStyle name="Input 2 4 2" xfId="3426" xr:uid="{00000000-0005-0000-0000-000041090000}"/>
    <cellStyle name="Input 2 5" xfId="1541" xr:uid="{00000000-0005-0000-0000-000042090000}"/>
    <cellStyle name="Input 2 5 2" xfId="3495" xr:uid="{00000000-0005-0000-0000-000043090000}"/>
    <cellStyle name="Input 2 6" xfId="2143" xr:uid="{00000000-0005-0000-0000-000044090000}"/>
    <cellStyle name="Input 2 6 2" xfId="4087" xr:uid="{00000000-0005-0000-0000-000045090000}"/>
    <cellStyle name="Input 2 7" xfId="2317" xr:uid="{00000000-0005-0000-0000-000046090000}"/>
    <cellStyle name="Input 2 7 2" xfId="4252" xr:uid="{00000000-0005-0000-0000-000047090000}"/>
    <cellStyle name="Input 2 8" xfId="2644" xr:uid="{00000000-0005-0000-0000-000048090000}"/>
    <cellStyle name="Input 2 8 2" xfId="4571" xr:uid="{00000000-0005-0000-0000-000049090000}"/>
    <cellStyle name="Input 2 9" xfId="2175" xr:uid="{00000000-0005-0000-0000-00004A090000}"/>
    <cellStyle name="Input 2 9 2" xfId="4117" xr:uid="{00000000-0005-0000-0000-00004B090000}"/>
    <cellStyle name="Input 20" xfId="4903" xr:uid="{00000000-0005-0000-0000-00004C090000}"/>
    <cellStyle name="Input 21" xfId="4922" xr:uid="{00000000-0005-0000-0000-00004D090000}"/>
    <cellStyle name="Input 22" xfId="4907" xr:uid="{00000000-0005-0000-0000-00004E090000}"/>
    <cellStyle name="Input 23" xfId="4924" xr:uid="{00000000-0005-0000-0000-00004F090000}"/>
    <cellStyle name="Input 24" xfId="4906" xr:uid="{00000000-0005-0000-0000-000050090000}"/>
    <cellStyle name="Input 25" xfId="4920" xr:uid="{00000000-0005-0000-0000-000051090000}"/>
    <cellStyle name="Input 26" xfId="4902" xr:uid="{00000000-0005-0000-0000-000052090000}"/>
    <cellStyle name="Input 27" xfId="4921" xr:uid="{00000000-0005-0000-0000-000053090000}"/>
    <cellStyle name="Input 28" xfId="4901" xr:uid="{00000000-0005-0000-0000-000054090000}"/>
    <cellStyle name="Input 29" xfId="4993" xr:uid="{00000000-0005-0000-0000-000055090000}"/>
    <cellStyle name="Input 3" xfId="117" xr:uid="{00000000-0005-0000-0000-000056090000}"/>
    <cellStyle name="Input 3 10" xfId="2465" xr:uid="{00000000-0005-0000-0000-000057090000}"/>
    <cellStyle name="Input 3 10 2" xfId="4394" xr:uid="{00000000-0005-0000-0000-000058090000}"/>
    <cellStyle name="Input 3 11" xfId="2892" xr:uid="{00000000-0005-0000-0000-000059090000}"/>
    <cellStyle name="Input 3 12" xfId="4844" xr:uid="{00000000-0005-0000-0000-00005A090000}"/>
    <cellStyle name="Input 3 13" xfId="5320" xr:uid="{00000000-0005-0000-0000-00005B090000}"/>
    <cellStyle name="Input 3 14" xfId="5762" xr:uid="{00000000-0005-0000-0000-00005C090000}"/>
    <cellStyle name="Input 3 2" xfId="1313" xr:uid="{00000000-0005-0000-0000-00005D090000}"/>
    <cellStyle name="Input 3 2 2" xfId="1965" xr:uid="{00000000-0005-0000-0000-00005E090000}"/>
    <cellStyle name="Input 3 2 2 2" xfId="3909" xr:uid="{00000000-0005-0000-0000-00005F090000}"/>
    <cellStyle name="Input 3 2 3" xfId="2138" xr:uid="{00000000-0005-0000-0000-000060090000}"/>
    <cellStyle name="Input 3 2 3 2" xfId="4082" xr:uid="{00000000-0005-0000-0000-000061090000}"/>
    <cellStyle name="Input 3 2 4" xfId="1492" xr:uid="{00000000-0005-0000-0000-000062090000}"/>
    <cellStyle name="Input 3 2 4 2" xfId="3446" xr:uid="{00000000-0005-0000-0000-000063090000}"/>
    <cellStyle name="Input 3 2 5" xfId="2849" xr:uid="{00000000-0005-0000-0000-000064090000}"/>
    <cellStyle name="Input 3 2 5 2" xfId="4771" xr:uid="{00000000-0005-0000-0000-000065090000}"/>
    <cellStyle name="Input 3 2 6" xfId="2509" xr:uid="{00000000-0005-0000-0000-000066090000}"/>
    <cellStyle name="Input 3 2 6 2" xfId="4438" xr:uid="{00000000-0005-0000-0000-000067090000}"/>
    <cellStyle name="Input 3 2 7" xfId="2263" xr:uid="{00000000-0005-0000-0000-000068090000}"/>
    <cellStyle name="Input 3 2 7 2" xfId="4198" xr:uid="{00000000-0005-0000-0000-000069090000}"/>
    <cellStyle name="Input 3 2 8" xfId="3301" xr:uid="{00000000-0005-0000-0000-00006A090000}"/>
    <cellStyle name="Input 3 3" xfId="1137" xr:uid="{00000000-0005-0000-0000-00006B090000}"/>
    <cellStyle name="Input 3 3 2" xfId="1851" xr:uid="{00000000-0005-0000-0000-00006C090000}"/>
    <cellStyle name="Input 3 3 2 2" xfId="3796" xr:uid="{00000000-0005-0000-0000-00006D090000}"/>
    <cellStyle name="Input 3 3 3" xfId="2095" xr:uid="{00000000-0005-0000-0000-00006E090000}"/>
    <cellStyle name="Input 3 3 3 2" xfId="4039" xr:uid="{00000000-0005-0000-0000-00006F090000}"/>
    <cellStyle name="Input 3 3 4" xfId="1703" xr:uid="{00000000-0005-0000-0000-000070090000}"/>
    <cellStyle name="Input 3 3 4 2" xfId="3651" xr:uid="{00000000-0005-0000-0000-000071090000}"/>
    <cellStyle name="Input 3 3 5" xfId="2789" xr:uid="{00000000-0005-0000-0000-000072090000}"/>
    <cellStyle name="Input 3 3 5 2" xfId="4713" xr:uid="{00000000-0005-0000-0000-000073090000}"/>
    <cellStyle name="Input 3 3 6" xfId="2201" xr:uid="{00000000-0005-0000-0000-000074090000}"/>
    <cellStyle name="Input 3 3 6 2" xfId="4143" xr:uid="{00000000-0005-0000-0000-000075090000}"/>
    <cellStyle name="Input 3 3 7" xfId="2630" xr:uid="{00000000-0005-0000-0000-000076090000}"/>
    <cellStyle name="Input 3 3 7 2" xfId="4558" xr:uid="{00000000-0005-0000-0000-000077090000}"/>
    <cellStyle name="Input 3 3 8" xfId="3194" xr:uid="{00000000-0005-0000-0000-000078090000}"/>
    <cellStyle name="Input 3 4" xfId="1473" xr:uid="{00000000-0005-0000-0000-000079090000}"/>
    <cellStyle name="Input 3 4 2" xfId="3427" xr:uid="{00000000-0005-0000-0000-00007A090000}"/>
    <cellStyle name="Input 3 5" xfId="1940" xr:uid="{00000000-0005-0000-0000-00007B090000}"/>
    <cellStyle name="Input 3 5 2" xfId="3884" xr:uid="{00000000-0005-0000-0000-00007C090000}"/>
    <cellStyle name="Input 3 6" xfId="1563" xr:uid="{00000000-0005-0000-0000-00007D090000}"/>
    <cellStyle name="Input 3 6 2" xfId="3517" xr:uid="{00000000-0005-0000-0000-00007E090000}"/>
    <cellStyle name="Input 3 7" xfId="2174" xr:uid="{00000000-0005-0000-0000-00007F090000}"/>
    <cellStyle name="Input 3 7 2" xfId="4116" xr:uid="{00000000-0005-0000-0000-000080090000}"/>
    <cellStyle name="Input 3 8" xfId="2624" xr:uid="{00000000-0005-0000-0000-000081090000}"/>
    <cellStyle name="Input 3 8 2" xfId="4552" xr:uid="{00000000-0005-0000-0000-000082090000}"/>
    <cellStyle name="Input 3 9" xfId="2633" xr:uid="{00000000-0005-0000-0000-000083090000}"/>
    <cellStyle name="Input 3 9 2" xfId="4561" xr:uid="{00000000-0005-0000-0000-000084090000}"/>
    <cellStyle name="Input 30" xfId="4975" xr:uid="{00000000-0005-0000-0000-000085090000}"/>
    <cellStyle name="Input 31" xfId="4987" xr:uid="{00000000-0005-0000-0000-000086090000}"/>
    <cellStyle name="Input 32" xfId="4974" xr:uid="{00000000-0005-0000-0000-000087090000}"/>
    <cellStyle name="Input 33" xfId="4988" xr:uid="{00000000-0005-0000-0000-000088090000}"/>
    <cellStyle name="Input 34" xfId="4973" xr:uid="{00000000-0005-0000-0000-000089090000}"/>
    <cellStyle name="Input 35" xfId="4989" xr:uid="{00000000-0005-0000-0000-00008A090000}"/>
    <cellStyle name="Input 36" xfId="4972" xr:uid="{00000000-0005-0000-0000-00008B090000}"/>
    <cellStyle name="Input 37" xfId="4990" xr:uid="{00000000-0005-0000-0000-00008C090000}"/>
    <cellStyle name="Input 38" xfId="4971" xr:uid="{00000000-0005-0000-0000-00008D090000}"/>
    <cellStyle name="Input 39" xfId="4991" xr:uid="{00000000-0005-0000-0000-00008E090000}"/>
    <cellStyle name="Input 4" xfId="329" xr:uid="{00000000-0005-0000-0000-00008F090000}"/>
    <cellStyle name="Input 4 10" xfId="2164" xr:uid="{00000000-0005-0000-0000-000090090000}"/>
    <cellStyle name="Input 4 10 2" xfId="4107" xr:uid="{00000000-0005-0000-0000-000091090000}"/>
    <cellStyle name="Input 4 11" xfId="2928" xr:uid="{00000000-0005-0000-0000-000092090000}"/>
    <cellStyle name="Input 4 12" xfId="4845" xr:uid="{00000000-0005-0000-0000-000093090000}"/>
    <cellStyle name="Input 4 2" xfId="1312" xr:uid="{00000000-0005-0000-0000-000094090000}"/>
    <cellStyle name="Input 4 2 2" xfId="1964" xr:uid="{00000000-0005-0000-0000-000095090000}"/>
    <cellStyle name="Input 4 2 2 2" xfId="3908" xr:uid="{00000000-0005-0000-0000-000096090000}"/>
    <cellStyle name="Input 4 2 3" xfId="2137" xr:uid="{00000000-0005-0000-0000-000097090000}"/>
    <cellStyle name="Input 4 2 3 2" xfId="4081" xr:uid="{00000000-0005-0000-0000-000098090000}"/>
    <cellStyle name="Input 4 2 4" xfId="1705" xr:uid="{00000000-0005-0000-0000-000099090000}"/>
    <cellStyle name="Input 4 2 4 2" xfId="3653" xr:uid="{00000000-0005-0000-0000-00009A090000}"/>
    <cellStyle name="Input 4 2 5" xfId="2848" xr:uid="{00000000-0005-0000-0000-00009B090000}"/>
    <cellStyle name="Input 4 2 5 2" xfId="4770" xr:uid="{00000000-0005-0000-0000-00009C090000}"/>
    <cellStyle name="Input 4 2 6" xfId="2155" xr:uid="{00000000-0005-0000-0000-00009D090000}"/>
    <cellStyle name="Input 4 2 6 2" xfId="4099" xr:uid="{00000000-0005-0000-0000-00009E090000}"/>
    <cellStyle name="Input 4 2 7" xfId="2430" xr:uid="{00000000-0005-0000-0000-00009F090000}"/>
    <cellStyle name="Input 4 2 7 2" xfId="4361" xr:uid="{00000000-0005-0000-0000-0000A0090000}"/>
    <cellStyle name="Input 4 2 8" xfId="3300" xr:uid="{00000000-0005-0000-0000-0000A1090000}"/>
    <cellStyle name="Input 4 3" xfId="1181" xr:uid="{00000000-0005-0000-0000-0000A2090000}"/>
    <cellStyle name="Input 4 3 2" xfId="1893" xr:uid="{00000000-0005-0000-0000-0000A3090000}"/>
    <cellStyle name="Input 4 3 2 2" xfId="3838" xr:uid="{00000000-0005-0000-0000-0000A4090000}"/>
    <cellStyle name="Input 4 3 3" xfId="2107" xr:uid="{00000000-0005-0000-0000-0000A5090000}"/>
    <cellStyle name="Input 4 3 3 2" xfId="4051" xr:uid="{00000000-0005-0000-0000-0000A6090000}"/>
    <cellStyle name="Input 4 3 4" xfId="1937" xr:uid="{00000000-0005-0000-0000-0000A7090000}"/>
    <cellStyle name="Input 4 3 4 2" xfId="3881" xr:uid="{00000000-0005-0000-0000-0000A8090000}"/>
    <cellStyle name="Input 4 3 5" xfId="2810" xr:uid="{00000000-0005-0000-0000-0000A9090000}"/>
    <cellStyle name="Input 4 3 5 2" xfId="4732" xr:uid="{00000000-0005-0000-0000-0000AA090000}"/>
    <cellStyle name="Input 4 3 6" xfId="2432" xr:uid="{00000000-0005-0000-0000-0000AB090000}"/>
    <cellStyle name="Input 4 3 6 2" xfId="4363" xr:uid="{00000000-0005-0000-0000-0000AC090000}"/>
    <cellStyle name="Input 4 3 7" xfId="2258" xr:uid="{00000000-0005-0000-0000-0000AD090000}"/>
    <cellStyle name="Input 4 3 7 2" xfId="4193" xr:uid="{00000000-0005-0000-0000-0000AE090000}"/>
    <cellStyle name="Input 4 3 8" xfId="3235" xr:uid="{00000000-0005-0000-0000-0000AF090000}"/>
    <cellStyle name="Input 4 4" xfId="1523" xr:uid="{00000000-0005-0000-0000-0000B0090000}"/>
    <cellStyle name="Input 4 4 2" xfId="3477" xr:uid="{00000000-0005-0000-0000-0000B1090000}"/>
    <cellStyle name="Input 4 5" xfId="1663" xr:uid="{00000000-0005-0000-0000-0000B2090000}"/>
    <cellStyle name="Input 4 5 2" xfId="3611" xr:uid="{00000000-0005-0000-0000-0000B3090000}"/>
    <cellStyle name="Input 4 6" xfId="2150" xr:uid="{00000000-0005-0000-0000-0000B4090000}"/>
    <cellStyle name="Input 4 6 2" xfId="4094" xr:uid="{00000000-0005-0000-0000-0000B5090000}"/>
    <cellStyle name="Input 4 7" xfId="2658" xr:uid="{00000000-0005-0000-0000-0000B6090000}"/>
    <cellStyle name="Input 4 7 2" xfId="4585" xr:uid="{00000000-0005-0000-0000-0000B7090000}"/>
    <cellStyle name="Input 4 8" xfId="2813" xr:uid="{00000000-0005-0000-0000-0000B8090000}"/>
    <cellStyle name="Input 4 8 2" xfId="4735" xr:uid="{00000000-0005-0000-0000-0000B9090000}"/>
    <cellStyle name="Input 4 9" xfId="2261" xr:uid="{00000000-0005-0000-0000-0000BA090000}"/>
    <cellStyle name="Input 4 9 2" xfId="4196" xr:uid="{00000000-0005-0000-0000-0000BB090000}"/>
    <cellStyle name="Input 40" xfId="4970" xr:uid="{00000000-0005-0000-0000-0000BC090000}"/>
    <cellStyle name="Input 41" xfId="4992" xr:uid="{00000000-0005-0000-0000-0000BD090000}"/>
    <cellStyle name="Input 42" xfId="4969" xr:uid="{00000000-0005-0000-0000-0000BE090000}"/>
    <cellStyle name="Input 43" xfId="5023" xr:uid="{00000000-0005-0000-0000-0000BF090000}"/>
    <cellStyle name="Input 44" xfId="4977" xr:uid="{00000000-0005-0000-0000-0000C0090000}"/>
    <cellStyle name="Input 45" xfId="5026" xr:uid="{00000000-0005-0000-0000-0000C1090000}"/>
    <cellStyle name="Input 46" xfId="4976" xr:uid="{00000000-0005-0000-0000-0000C2090000}"/>
    <cellStyle name="Input 47" xfId="5046" xr:uid="{00000000-0005-0000-0000-0000C3090000}"/>
    <cellStyle name="Input 48" xfId="5035" xr:uid="{00000000-0005-0000-0000-0000C4090000}"/>
    <cellStyle name="Input 49" xfId="5045" xr:uid="{00000000-0005-0000-0000-0000C5090000}"/>
    <cellStyle name="Input 5" xfId="330" xr:uid="{00000000-0005-0000-0000-0000C6090000}"/>
    <cellStyle name="Input 5 10" xfId="2862" xr:uid="{00000000-0005-0000-0000-0000C7090000}"/>
    <cellStyle name="Input 5 10 2" xfId="4783" xr:uid="{00000000-0005-0000-0000-0000C8090000}"/>
    <cellStyle name="Input 5 11" xfId="2929" xr:uid="{00000000-0005-0000-0000-0000C9090000}"/>
    <cellStyle name="Input 5 2" xfId="1259" xr:uid="{00000000-0005-0000-0000-0000CA090000}"/>
    <cellStyle name="Input 5 2 2" xfId="1948" xr:uid="{00000000-0005-0000-0000-0000CB090000}"/>
    <cellStyle name="Input 5 2 2 2" xfId="3892" xr:uid="{00000000-0005-0000-0000-0000CC090000}"/>
    <cellStyle name="Input 5 2 3" xfId="2125" xr:uid="{00000000-0005-0000-0000-0000CD090000}"/>
    <cellStyle name="Input 5 2 3 2" xfId="4069" xr:uid="{00000000-0005-0000-0000-0000CE090000}"/>
    <cellStyle name="Input 5 2 4" xfId="1598" xr:uid="{00000000-0005-0000-0000-0000CF090000}"/>
    <cellStyle name="Input 5 2 4 2" xfId="3552" xr:uid="{00000000-0005-0000-0000-0000D0090000}"/>
    <cellStyle name="Input 5 2 5" xfId="2829" xr:uid="{00000000-0005-0000-0000-0000D1090000}"/>
    <cellStyle name="Input 5 2 5 2" xfId="4751" xr:uid="{00000000-0005-0000-0000-0000D2090000}"/>
    <cellStyle name="Input 5 2 6" xfId="2228" xr:uid="{00000000-0005-0000-0000-0000D3090000}"/>
    <cellStyle name="Input 5 2 6 2" xfId="4167" xr:uid="{00000000-0005-0000-0000-0000D4090000}"/>
    <cellStyle name="Input 5 2 7" xfId="2768" xr:uid="{00000000-0005-0000-0000-0000D5090000}"/>
    <cellStyle name="Input 5 2 7 2" xfId="4694" xr:uid="{00000000-0005-0000-0000-0000D6090000}"/>
    <cellStyle name="Input 5 2 8" xfId="3287" xr:uid="{00000000-0005-0000-0000-0000D7090000}"/>
    <cellStyle name="Input 5 3" xfId="1182" xr:uid="{00000000-0005-0000-0000-0000D8090000}"/>
    <cellStyle name="Input 5 3 2" xfId="1894" xr:uid="{00000000-0005-0000-0000-0000D9090000}"/>
    <cellStyle name="Input 5 3 2 2" xfId="3839" xr:uid="{00000000-0005-0000-0000-0000DA090000}"/>
    <cellStyle name="Input 5 3 3" xfId="2108" xr:uid="{00000000-0005-0000-0000-0000DB090000}"/>
    <cellStyle name="Input 5 3 3 2" xfId="4052" xr:uid="{00000000-0005-0000-0000-0000DC090000}"/>
    <cellStyle name="Input 5 3 4" xfId="1952" xr:uid="{00000000-0005-0000-0000-0000DD090000}"/>
    <cellStyle name="Input 5 3 4 2" xfId="3896" xr:uid="{00000000-0005-0000-0000-0000DE090000}"/>
    <cellStyle name="Input 5 3 5" xfId="2811" xr:uid="{00000000-0005-0000-0000-0000DF090000}"/>
    <cellStyle name="Input 5 3 5 2" xfId="4733" xr:uid="{00000000-0005-0000-0000-0000E0090000}"/>
    <cellStyle name="Input 5 3 6" xfId="2181" xr:uid="{00000000-0005-0000-0000-0000E1090000}"/>
    <cellStyle name="Input 5 3 6 2" xfId="4123" xr:uid="{00000000-0005-0000-0000-0000E2090000}"/>
    <cellStyle name="Input 5 3 7" xfId="2879" xr:uid="{00000000-0005-0000-0000-0000E3090000}"/>
    <cellStyle name="Input 5 3 7 2" xfId="4800" xr:uid="{00000000-0005-0000-0000-0000E4090000}"/>
    <cellStyle name="Input 5 3 8" xfId="3236" xr:uid="{00000000-0005-0000-0000-0000E5090000}"/>
    <cellStyle name="Input 5 4" xfId="1524" xr:uid="{00000000-0005-0000-0000-0000E6090000}"/>
    <cellStyle name="Input 5 4 2" xfId="3478" xr:uid="{00000000-0005-0000-0000-0000E7090000}"/>
    <cellStyle name="Input 5 5" xfId="1662" xr:uid="{00000000-0005-0000-0000-0000E8090000}"/>
    <cellStyle name="Input 5 5 2" xfId="3610" xr:uid="{00000000-0005-0000-0000-0000E9090000}"/>
    <cellStyle name="Input 5 6" xfId="1465" xr:uid="{00000000-0005-0000-0000-0000EA090000}"/>
    <cellStyle name="Input 5 6 2" xfId="3419" xr:uid="{00000000-0005-0000-0000-0000EB090000}"/>
    <cellStyle name="Input 5 7" xfId="2657" xr:uid="{00000000-0005-0000-0000-0000EC090000}"/>
    <cellStyle name="Input 5 7 2" xfId="4584" xr:uid="{00000000-0005-0000-0000-0000ED090000}"/>
    <cellStyle name="Input 5 8" xfId="2833" xr:uid="{00000000-0005-0000-0000-0000EE090000}"/>
    <cellStyle name="Input 5 8 2" xfId="4755" xr:uid="{00000000-0005-0000-0000-0000EF090000}"/>
    <cellStyle name="Input 5 9" xfId="2260" xr:uid="{00000000-0005-0000-0000-0000F0090000}"/>
    <cellStyle name="Input 5 9 2" xfId="4195" xr:uid="{00000000-0005-0000-0000-0000F1090000}"/>
    <cellStyle name="Input 50" xfId="5078" xr:uid="{00000000-0005-0000-0000-0000F2090000}"/>
    <cellStyle name="Input 51" xfId="5064" xr:uid="{00000000-0005-0000-0000-0000F3090000}"/>
    <cellStyle name="Input 52" xfId="5118" xr:uid="{00000000-0005-0000-0000-0000F4090000}"/>
    <cellStyle name="Input 53" xfId="5107" xr:uid="{00000000-0005-0000-0000-0000F5090000}"/>
    <cellStyle name="Input 54" xfId="5117" xr:uid="{00000000-0005-0000-0000-0000F6090000}"/>
    <cellStyle name="Input 6" xfId="4842" xr:uid="{00000000-0005-0000-0000-0000F7090000}"/>
    <cellStyle name="Input 7" xfId="4817" xr:uid="{00000000-0005-0000-0000-0000F8090000}"/>
    <cellStyle name="Input 8" xfId="4877" xr:uid="{00000000-0005-0000-0000-0000F9090000}"/>
    <cellStyle name="Input 9" xfId="4875" xr:uid="{00000000-0005-0000-0000-0000FA090000}"/>
    <cellStyle name="jo[" xfId="474" xr:uid="{00000000-0005-0000-0000-0000FB090000}"/>
    <cellStyle name="Lien hypertexte" xfId="5583" xr:uid="{00000000-0005-0000-0000-0000FC090000}"/>
    <cellStyle name="Lien hypertexte visité" xfId="5584" xr:uid="{00000000-0005-0000-0000-0000FD090000}"/>
    <cellStyle name="Lien hypertexte_CivMon" xfId="5585" xr:uid="{00000000-0005-0000-0000-0000FE090000}"/>
    <cellStyle name="Linea horizontal" xfId="475" xr:uid="{00000000-0005-0000-0000-0000FF090000}"/>
    <cellStyle name="Linked Cell 2" xfId="118" xr:uid="{00000000-0005-0000-0000-0000000A0000}"/>
    <cellStyle name="Linked Cell 2 2" xfId="5321" xr:uid="{00000000-0005-0000-0000-0000010A0000}"/>
    <cellStyle name="Linked Cell 3" xfId="119" xr:uid="{00000000-0005-0000-0000-0000020A0000}"/>
    <cellStyle name="Linked Cell 3 2" xfId="5322" xr:uid="{00000000-0005-0000-0000-0000030A0000}"/>
    <cellStyle name="Linked Cell 4" xfId="331" xr:uid="{00000000-0005-0000-0000-0000040A0000}"/>
    <cellStyle name="Linked Cell 5" xfId="332" xr:uid="{00000000-0005-0000-0000-0000050A0000}"/>
    <cellStyle name="MacroCode" xfId="476" xr:uid="{00000000-0005-0000-0000-0000060A0000}"/>
    <cellStyle name="MacroCode 2" xfId="1011" xr:uid="{00000000-0005-0000-0000-0000070A0000}"/>
    <cellStyle name="MacroCode 2 2" xfId="1750" xr:uid="{00000000-0005-0000-0000-0000080A0000}"/>
    <cellStyle name="MacroCode 2 2 2" xfId="3697" xr:uid="{00000000-0005-0000-0000-0000090A0000}"/>
    <cellStyle name="MacroCode 2 3" xfId="2083" xr:uid="{00000000-0005-0000-0000-00000A0A0000}"/>
    <cellStyle name="MacroCode 2 3 2" xfId="4027" xr:uid="{00000000-0005-0000-0000-00000B0A0000}"/>
    <cellStyle name="MacroCode 2 4" xfId="2412" xr:uid="{00000000-0005-0000-0000-00000C0A0000}"/>
    <cellStyle name="MacroCode 2 4 2" xfId="4344" xr:uid="{00000000-0005-0000-0000-00000D0A0000}"/>
    <cellStyle name="MacroCode 2 5" xfId="2239" xr:uid="{00000000-0005-0000-0000-00000E0A0000}"/>
    <cellStyle name="MacroCode 2 6" xfId="3096" xr:uid="{00000000-0005-0000-0000-00000F0A0000}"/>
    <cellStyle name="MacroCode 3" xfId="1134" xr:uid="{00000000-0005-0000-0000-0000100A0000}"/>
    <cellStyle name="MacroCode 3 2" xfId="1848" xr:uid="{00000000-0005-0000-0000-0000110A0000}"/>
    <cellStyle name="MacroCode 3 2 2" xfId="3793" xr:uid="{00000000-0005-0000-0000-0000120A0000}"/>
    <cellStyle name="MacroCode 3 3" xfId="2559" xr:uid="{00000000-0005-0000-0000-0000130A0000}"/>
    <cellStyle name="MacroCode 3 3 2" xfId="4488" xr:uid="{00000000-0005-0000-0000-0000140A0000}"/>
    <cellStyle name="MacroCode 3 4" xfId="2787" xr:uid="{00000000-0005-0000-0000-0000150A0000}"/>
    <cellStyle name="MacroCode 3 4 2" xfId="4711" xr:uid="{00000000-0005-0000-0000-0000160A0000}"/>
    <cellStyle name="MacroCode 3 5" xfId="2204" xr:uid="{00000000-0005-0000-0000-0000170A0000}"/>
    <cellStyle name="MacroCode 3 6" xfId="3191" xr:uid="{00000000-0005-0000-0000-0000180A0000}"/>
    <cellStyle name="MacroCode 4" xfId="1562" xr:uid="{00000000-0005-0000-0000-0000190A0000}"/>
    <cellStyle name="MacroCode 4 2" xfId="3516" xr:uid="{00000000-0005-0000-0000-00001A0A0000}"/>
    <cellStyle name="MacroCode 5" xfId="2224" xr:uid="{00000000-0005-0000-0000-00001B0A0000}"/>
    <cellStyle name="MacroCode 5 2" xfId="4163" xr:uid="{00000000-0005-0000-0000-00001C0A0000}"/>
    <cellStyle name="MacroCode 6" xfId="2443" xr:uid="{00000000-0005-0000-0000-00001D0A0000}"/>
    <cellStyle name="MacroCode 7" xfId="2950" xr:uid="{00000000-0005-0000-0000-00001E0A0000}"/>
    <cellStyle name="MacroCode 8" xfId="5181" xr:uid="{00000000-0005-0000-0000-00001F0A0000}"/>
    <cellStyle name="MacroCode 9" xfId="5712" xr:uid="{00000000-0005-0000-0000-0000200A0000}"/>
    <cellStyle name="Millares [0]_11.1.3. bis" xfId="477" xr:uid="{00000000-0005-0000-0000-0000210A0000}"/>
    <cellStyle name="Millares_11.1.3. bis" xfId="478" xr:uid="{00000000-0005-0000-0000-0000220A0000}"/>
    <cellStyle name="Milliers [0]_Annexe vf.xls Graphique 1" xfId="5586" xr:uid="{00000000-0005-0000-0000-0000230A0000}"/>
    <cellStyle name="Milliers_Annexe vf.xls Graphique 1" xfId="5587" xr:uid="{00000000-0005-0000-0000-0000240A0000}"/>
    <cellStyle name="Moeda [0]_A" xfId="479" xr:uid="{00000000-0005-0000-0000-0000250A0000}"/>
    <cellStyle name="Moeda_A" xfId="480" xr:uid="{00000000-0005-0000-0000-0000260A0000}"/>
    <cellStyle name="Moeda0" xfId="481" xr:uid="{00000000-0005-0000-0000-0000270A0000}"/>
    <cellStyle name="Moneda [0]_11.1.3. bis" xfId="482" xr:uid="{00000000-0005-0000-0000-0000280A0000}"/>
    <cellStyle name="Moneda_11.1.3. bis" xfId="483" xr:uid="{00000000-0005-0000-0000-0000290A0000}"/>
    <cellStyle name="Monétaire [0]_Annexe vf.xls Graphique 1" xfId="5588" xr:uid="{00000000-0005-0000-0000-00002A0A0000}"/>
    <cellStyle name="Monétaire_Annexe vf.xls Graphique 1" xfId="5589" xr:uid="{00000000-0005-0000-0000-00002B0A0000}"/>
    <cellStyle name="Monetario" xfId="484" xr:uid="{00000000-0005-0000-0000-00002C0A0000}"/>
    <cellStyle name="Monetario0" xfId="485" xr:uid="{00000000-0005-0000-0000-00002D0A0000}"/>
    <cellStyle name="MTW" xfId="486" xr:uid="{00000000-0005-0000-0000-00002E0A0000}"/>
    <cellStyle name="Neutral 2" xfId="120" xr:uid="{00000000-0005-0000-0000-00002F0A0000}"/>
    <cellStyle name="Neutral 2 2" xfId="5323" xr:uid="{00000000-0005-0000-0000-0000300A0000}"/>
    <cellStyle name="Neutral 3" xfId="121" xr:uid="{00000000-0005-0000-0000-0000310A0000}"/>
    <cellStyle name="Neutral 3 2" xfId="5324" xr:uid="{00000000-0005-0000-0000-0000320A0000}"/>
    <cellStyle name="Neutral 4" xfId="333" xr:uid="{00000000-0005-0000-0000-0000330A0000}"/>
    <cellStyle name="Neutral 5" xfId="334" xr:uid="{00000000-0005-0000-0000-0000340A0000}"/>
    <cellStyle name="Non défini" xfId="5590" xr:uid="{00000000-0005-0000-0000-0000350A0000}"/>
    <cellStyle name="Normal" xfId="0" builtinId="0"/>
    <cellStyle name="Normal - Modelo1" xfId="487" xr:uid="{00000000-0005-0000-0000-0000370A0000}"/>
    <cellStyle name="Normal - Modelo1 2" xfId="5325" xr:uid="{00000000-0005-0000-0000-0000380A0000}"/>
    <cellStyle name="Normal - Style1" xfId="488" xr:uid="{00000000-0005-0000-0000-0000390A0000}"/>
    <cellStyle name="Normal - Style1 2" xfId="5182" xr:uid="{00000000-0005-0000-0000-00003A0A0000}"/>
    <cellStyle name="Normal - Style2" xfId="489" xr:uid="{00000000-0005-0000-0000-00003B0A0000}"/>
    <cellStyle name="Normal - Style2 2" xfId="5183" xr:uid="{00000000-0005-0000-0000-00003C0A0000}"/>
    <cellStyle name="Normal - Style3" xfId="490" xr:uid="{00000000-0005-0000-0000-00003D0A0000}"/>
    <cellStyle name="Normal - Style3 2" xfId="5326" xr:uid="{00000000-0005-0000-0000-00003E0A0000}"/>
    <cellStyle name="Normal - Style4" xfId="491" xr:uid="{00000000-0005-0000-0000-00003F0A0000}"/>
    <cellStyle name="Normal - Style4 2" xfId="5327" xr:uid="{00000000-0005-0000-0000-0000400A0000}"/>
    <cellStyle name="Normal 10" xfId="122" xr:uid="{00000000-0005-0000-0000-0000410A0000}"/>
    <cellStyle name="Normal 10 2" xfId="206" xr:uid="{00000000-0005-0000-0000-0000420A0000}"/>
    <cellStyle name="Normal 10 2 2" xfId="1074" xr:uid="{00000000-0005-0000-0000-0000430A0000}"/>
    <cellStyle name="Normal 10 2 2 2" xfId="1797" xr:uid="{00000000-0005-0000-0000-0000440A0000}"/>
    <cellStyle name="Normal 10 2 2 2 2" xfId="3744" xr:uid="{00000000-0005-0000-0000-0000450A0000}"/>
    <cellStyle name="Normal 10 2 2 3" xfId="2511" xr:uid="{00000000-0005-0000-0000-0000460A0000}"/>
    <cellStyle name="Normal 10 2 2 3 2" xfId="4440" xr:uid="{00000000-0005-0000-0000-0000470A0000}"/>
    <cellStyle name="Normal 10 2 2 4" xfId="3142" xr:uid="{00000000-0005-0000-0000-0000480A0000}"/>
    <cellStyle name="Normal 10 2 2 5" xfId="6114" xr:uid="{00000000-0005-0000-0000-0000490A0000}"/>
    <cellStyle name="Normal 10 2 3" xfId="5411" xr:uid="{00000000-0005-0000-0000-00004A0A0000}"/>
    <cellStyle name="Normal 10 3" xfId="1073" xr:uid="{00000000-0005-0000-0000-00004B0A0000}"/>
    <cellStyle name="Normal 10 3 2" xfId="1796" xr:uid="{00000000-0005-0000-0000-00004C0A0000}"/>
    <cellStyle name="Normal 10 3 2 2" xfId="3743" xr:uid="{00000000-0005-0000-0000-00004D0A0000}"/>
    <cellStyle name="Normal 10 3 3" xfId="2510" xr:uid="{00000000-0005-0000-0000-00004E0A0000}"/>
    <cellStyle name="Normal 10 3 3 2" xfId="4439" xr:uid="{00000000-0005-0000-0000-00004F0A0000}"/>
    <cellStyle name="Normal 10 3 4" xfId="3141" xr:uid="{00000000-0005-0000-0000-0000500A0000}"/>
    <cellStyle name="Normal 10 3 5" xfId="6132" xr:uid="{00000000-0005-0000-0000-0000510A0000}"/>
    <cellStyle name="Normal 10 4" xfId="5164" xr:uid="{00000000-0005-0000-0000-0000520A0000}"/>
    <cellStyle name="Normal 100" xfId="708" xr:uid="{00000000-0005-0000-0000-0000530A0000}"/>
    <cellStyle name="Normal 101" xfId="709" xr:uid="{00000000-0005-0000-0000-0000540A0000}"/>
    <cellStyle name="Normal 101 2" xfId="5412" xr:uid="{00000000-0005-0000-0000-0000550A0000}"/>
    <cellStyle name="Normal 102" xfId="710" xr:uid="{00000000-0005-0000-0000-0000560A0000}"/>
    <cellStyle name="Normal 102 2" xfId="1621" xr:uid="{00000000-0005-0000-0000-0000570A0000}"/>
    <cellStyle name="Normal 102 2 2" xfId="3574" xr:uid="{00000000-0005-0000-0000-0000580A0000}"/>
    <cellStyle name="Normal 102 3" xfId="2334" xr:uid="{00000000-0005-0000-0000-0000590A0000}"/>
    <cellStyle name="Normal 102 3 2" xfId="4266" xr:uid="{00000000-0005-0000-0000-00005A0A0000}"/>
    <cellStyle name="Normal 102 4" xfId="2982" xr:uid="{00000000-0005-0000-0000-00005B0A0000}"/>
    <cellStyle name="Normal 103" xfId="711" xr:uid="{00000000-0005-0000-0000-00005C0A0000}"/>
    <cellStyle name="Normal 103 2" xfId="1622" xr:uid="{00000000-0005-0000-0000-00005D0A0000}"/>
    <cellStyle name="Normal 103 2 2" xfId="3575" xr:uid="{00000000-0005-0000-0000-00005E0A0000}"/>
    <cellStyle name="Normal 103 3" xfId="2335" xr:uid="{00000000-0005-0000-0000-00005F0A0000}"/>
    <cellStyle name="Normal 103 3 2" xfId="4267" xr:uid="{00000000-0005-0000-0000-0000600A0000}"/>
    <cellStyle name="Normal 103 4" xfId="2983" xr:uid="{00000000-0005-0000-0000-0000610A0000}"/>
    <cellStyle name="Normal 104" xfId="713" xr:uid="{00000000-0005-0000-0000-0000620A0000}"/>
    <cellStyle name="Normal 104 2" xfId="1624" xr:uid="{00000000-0005-0000-0000-0000630A0000}"/>
    <cellStyle name="Normal 104 2 2" xfId="3577" xr:uid="{00000000-0005-0000-0000-0000640A0000}"/>
    <cellStyle name="Normal 104 3" xfId="2337" xr:uid="{00000000-0005-0000-0000-0000650A0000}"/>
    <cellStyle name="Normal 104 3 2" xfId="4269" xr:uid="{00000000-0005-0000-0000-0000660A0000}"/>
    <cellStyle name="Normal 104 4" xfId="2985" xr:uid="{00000000-0005-0000-0000-0000670A0000}"/>
    <cellStyle name="Normal 105" xfId="717" xr:uid="{00000000-0005-0000-0000-0000680A0000}"/>
    <cellStyle name="Normal 105 2" xfId="1627" xr:uid="{00000000-0005-0000-0000-0000690A0000}"/>
    <cellStyle name="Normal 105 2 2" xfId="3580" xr:uid="{00000000-0005-0000-0000-00006A0A0000}"/>
    <cellStyle name="Normal 105 3" xfId="2340" xr:uid="{00000000-0005-0000-0000-00006B0A0000}"/>
    <cellStyle name="Normal 105 3 2" xfId="4272" xr:uid="{00000000-0005-0000-0000-00006C0A0000}"/>
    <cellStyle name="Normal 105 4" xfId="2988" xr:uid="{00000000-0005-0000-0000-00006D0A0000}"/>
    <cellStyle name="Normal 106" xfId="723" xr:uid="{00000000-0005-0000-0000-00006E0A0000}"/>
    <cellStyle name="Normal 106 2" xfId="1633" xr:uid="{00000000-0005-0000-0000-00006F0A0000}"/>
    <cellStyle name="Normal 106 2 2" xfId="3586" xr:uid="{00000000-0005-0000-0000-0000700A0000}"/>
    <cellStyle name="Normal 106 3" xfId="2346" xr:uid="{00000000-0005-0000-0000-0000710A0000}"/>
    <cellStyle name="Normal 106 3 2" xfId="4278" xr:uid="{00000000-0005-0000-0000-0000720A0000}"/>
    <cellStyle name="Normal 106 4" xfId="2994" xr:uid="{00000000-0005-0000-0000-0000730A0000}"/>
    <cellStyle name="Normal 107" xfId="726" xr:uid="{00000000-0005-0000-0000-0000740A0000}"/>
    <cellStyle name="Normal 107 2" xfId="1636" xr:uid="{00000000-0005-0000-0000-0000750A0000}"/>
    <cellStyle name="Normal 107 2 2" xfId="3589" xr:uid="{00000000-0005-0000-0000-0000760A0000}"/>
    <cellStyle name="Normal 107 3" xfId="2349" xr:uid="{00000000-0005-0000-0000-0000770A0000}"/>
    <cellStyle name="Normal 107 3 2" xfId="4281" xr:uid="{00000000-0005-0000-0000-0000780A0000}"/>
    <cellStyle name="Normal 107 4" xfId="2997" xr:uid="{00000000-0005-0000-0000-0000790A0000}"/>
    <cellStyle name="Normal 108" xfId="728" xr:uid="{00000000-0005-0000-0000-00007A0A0000}"/>
    <cellStyle name="Normal 108 2" xfId="1638" xr:uid="{00000000-0005-0000-0000-00007B0A0000}"/>
    <cellStyle name="Normal 108 2 2" xfId="3591" xr:uid="{00000000-0005-0000-0000-00007C0A0000}"/>
    <cellStyle name="Normal 108 3" xfId="2351" xr:uid="{00000000-0005-0000-0000-00007D0A0000}"/>
    <cellStyle name="Normal 108 3 2" xfId="4283" xr:uid="{00000000-0005-0000-0000-00007E0A0000}"/>
    <cellStyle name="Normal 108 4" xfId="2999" xr:uid="{00000000-0005-0000-0000-00007F0A0000}"/>
    <cellStyle name="Normal 108 5" xfId="5413" xr:uid="{00000000-0005-0000-0000-0000800A0000}"/>
    <cellStyle name="Normal 109" xfId="731" xr:uid="{00000000-0005-0000-0000-0000810A0000}"/>
    <cellStyle name="Normal 109 2" xfId="1641" xr:uid="{00000000-0005-0000-0000-0000820A0000}"/>
    <cellStyle name="Normal 109 2 2" xfId="3594" xr:uid="{00000000-0005-0000-0000-0000830A0000}"/>
    <cellStyle name="Normal 109 3" xfId="2354" xr:uid="{00000000-0005-0000-0000-0000840A0000}"/>
    <cellStyle name="Normal 109 3 2" xfId="4286" xr:uid="{00000000-0005-0000-0000-0000850A0000}"/>
    <cellStyle name="Normal 109 4" xfId="3002" xr:uid="{00000000-0005-0000-0000-0000860A0000}"/>
    <cellStyle name="Normal 11" xfId="175" xr:uid="{00000000-0005-0000-0000-0000870A0000}"/>
    <cellStyle name="Normal 11 2" xfId="194" xr:uid="{00000000-0005-0000-0000-0000880A0000}"/>
    <cellStyle name="Normal 11 2 10" xfId="4925" xr:uid="{00000000-0005-0000-0000-0000890A0000}"/>
    <cellStyle name="Normal 11 2 11" xfId="4994" xr:uid="{00000000-0005-0000-0000-00008A0A0000}"/>
    <cellStyle name="Normal 11 2 12" xfId="5047" xr:uid="{00000000-0005-0000-0000-00008B0A0000}"/>
    <cellStyle name="Normal 11 2 13" xfId="5079" xr:uid="{00000000-0005-0000-0000-00008C0A0000}"/>
    <cellStyle name="Normal 11 2 14" xfId="5119" xr:uid="{00000000-0005-0000-0000-00008D0A0000}"/>
    <cellStyle name="Normal 11 2 15" xfId="5414" xr:uid="{00000000-0005-0000-0000-00008E0A0000}"/>
    <cellStyle name="Normal 11 2 2" xfId="953" xr:uid="{00000000-0005-0000-0000-00008F0A0000}"/>
    <cellStyle name="Normal 11 2 2 2" xfId="1725" xr:uid="{00000000-0005-0000-0000-0000900A0000}"/>
    <cellStyle name="Normal 11 2 2 2 2" xfId="3673" xr:uid="{00000000-0005-0000-0000-0000910A0000}"/>
    <cellStyle name="Normal 11 2 2 3" xfId="2442" xr:uid="{00000000-0005-0000-0000-0000920A0000}"/>
    <cellStyle name="Normal 11 2 2 3 2" xfId="4373" xr:uid="{00000000-0005-0000-0000-0000930A0000}"/>
    <cellStyle name="Normal 11 2 2 4" xfId="3072" xr:uid="{00000000-0005-0000-0000-0000940A0000}"/>
    <cellStyle name="Normal 11 2 2 5" xfId="6165" xr:uid="{00000000-0005-0000-0000-0000950A0000}"/>
    <cellStyle name="Normal 11 2 3" xfId="922" xr:uid="{00000000-0005-0000-0000-0000960A0000}"/>
    <cellStyle name="Normal 11 2 4" xfId="1183" xr:uid="{00000000-0005-0000-0000-0000970A0000}"/>
    <cellStyle name="Normal 11 2 4 2" xfId="1895" xr:uid="{00000000-0005-0000-0000-0000980A0000}"/>
    <cellStyle name="Normal 11 2 4 2 2" xfId="3840" xr:uid="{00000000-0005-0000-0000-0000990A0000}"/>
    <cellStyle name="Normal 11 2 4 3" xfId="2595" xr:uid="{00000000-0005-0000-0000-00009A0A0000}"/>
    <cellStyle name="Normal 11 2 4 3 2" xfId="4523" xr:uid="{00000000-0005-0000-0000-00009B0A0000}"/>
    <cellStyle name="Normal 11 2 4 4" xfId="3237" xr:uid="{00000000-0005-0000-0000-00009C0A0000}"/>
    <cellStyle name="Normal 11 2 5" xfId="1399" xr:uid="{00000000-0005-0000-0000-00009D0A0000}"/>
    <cellStyle name="Normal 11 2 5 2" xfId="2020" xr:uid="{00000000-0005-0000-0000-00009E0A0000}"/>
    <cellStyle name="Normal 11 2 5 2 2" xfId="3964" xr:uid="{00000000-0005-0000-0000-00009F0A0000}"/>
    <cellStyle name="Normal 11 2 5 3" xfId="2709" xr:uid="{00000000-0005-0000-0000-0000A00A0000}"/>
    <cellStyle name="Normal 11 2 5 3 2" xfId="4635" xr:uid="{00000000-0005-0000-0000-0000A10A0000}"/>
    <cellStyle name="Normal 11 2 5 4" xfId="3354" xr:uid="{00000000-0005-0000-0000-0000A20A0000}"/>
    <cellStyle name="Normal 11 2 6" xfId="1505" xr:uid="{00000000-0005-0000-0000-0000A30A0000}"/>
    <cellStyle name="Normal 11 2 6 2" xfId="3459" xr:uid="{00000000-0005-0000-0000-0000A40A0000}"/>
    <cellStyle name="Normal 11 2 7" xfId="2189" xr:uid="{00000000-0005-0000-0000-0000A50A0000}"/>
    <cellStyle name="Normal 11 2 7 2" xfId="4131" xr:uid="{00000000-0005-0000-0000-0000A60A0000}"/>
    <cellStyle name="Normal 11 2 8" xfId="2912" xr:uid="{00000000-0005-0000-0000-0000A70A0000}"/>
    <cellStyle name="Normal 11 2 9" xfId="4846" xr:uid="{00000000-0005-0000-0000-0000A80A0000}"/>
    <cellStyle name="Normal 11 3" xfId="580" xr:uid="{00000000-0005-0000-0000-0000A90A0000}"/>
    <cellStyle name="Normal 11 4" xfId="1261" xr:uid="{00000000-0005-0000-0000-0000AA0A0000}"/>
    <cellStyle name="Normal 11 5" xfId="1493" xr:uid="{00000000-0005-0000-0000-0000AB0A0000}"/>
    <cellStyle name="Normal 11 5 2" xfId="3447" xr:uid="{00000000-0005-0000-0000-0000AC0A0000}"/>
    <cellStyle name="Normal 11 6" xfId="2178" xr:uid="{00000000-0005-0000-0000-0000AD0A0000}"/>
    <cellStyle name="Normal 11 6 2" xfId="4120" xr:uid="{00000000-0005-0000-0000-0000AE0A0000}"/>
    <cellStyle name="Normal 11 7" xfId="2902" xr:uid="{00000000-0005-0000-0000-0000AF0A0000}"/>
    <cellStyle name="Normal 11 8" xfId="5162" xr:uid="{00000000-0005-0000-0000-0000B00A0000}"/>
    <cellStyle name="Normal 110" xfId="735" xr:uid="{00000000-0005-0000-0000-0000B10A0000}"/>
    <cellStyle name="Normal 110 2" xfId="1645" xr:uid="{00000000-0005-0000-0000-0000B20A0000}"/>
    <cellStyle name="Normal 110 2 2" xfId="3598" xr:uid="{00000000-0005-0000-0000-0000B30A0000}"/>
    <cellStyle name="Normal 110 3" xfId="2358" xr:uid="{00000000-0005-0000-0000-0000B40A0000}"/>
    <cellStyle name="Normal 110 3 2" xfId="4290" xr:uid="{00000000-0005-0000-0000-0000B50A0000}"/>
    <cellStyle name="Normal 110 4" xfId="3006" xr:uid="{00000000-0005-0000-0000-0000B60A0000}"/>
    <cellStyle name="Normal 110 5" xfId="5415" xr:uid="{00000000-0005-0000-0000-0000B70A0000}"/>
    <cellStyle name="Normal 111" xfId="737" xr:uid="{00000000-0005-0000-0000-0000B80A0000}"/>
    <cellStyle name="Normal 111 2" xfId="1647" xr:uid="{00000000-0005-0000-0000-0000B90A0000}"/>
    <cellStyle name="Normal 111 2 2" xfId="3600" xr:uid="{00000000-0005-0000-0000-0000BA0A0000}"/>
    <cellStyle name="Normal 111 3" xfId="2360" xr:uid="{00000000-0005-0000-0000-0000BB0A0000}"/>
    <cellStyle name="Normal 111 3 2" xfId="4292" xr:uid="{00000000-0005-0000-0000-0000BC0A0000}"/>
    <cellStyle name="Normal 111 4" xfId="3008" xr:uid="{00000000-0005-0000-0000-0000BD0A0000}"/>
    <cellStyle name="Normal 111 5" xfId="5416" xr:uid="{00000000-0005-0000-0000-0000BE0A0000}"/>
    <cellStyle name="Normal 112" xfId="740" xr:uid="{00000000-0005-0000-0000-0000BF0A0000}"/>
    <cellStyle name="Normal 112 2" xfId="1650" xr:uid="{00000000-0005-0000-0000-0000C00A0000}"/>
    <cellStyle name="Normal 112 2 2" xfId="3603" xr:uid="{00000000-0005-0000-0000-0000C10A0000}"/>
    <cellStyle name="Normal 112 3" xfId="2363" xr:uid="{00000000-0005-0000-0000-0000C20A0000}"/>
    <cellStyle name="Normal 112 3 2" xfId="4295" xr:uid="{00000000-0005-0000-0000-0000C30A0000}"/>
    <cellStyle name="Normal 112 4" xfId="3011" xr:uid="{00000000-0005-0000-0000-0000C40A0000}"/>
    <cellStyle name="Normal 113" xfId="743" xr:uid="{00000000-0005-0000-0000-0000C50A0000}"/>
    <cellStyle name="Normal 113 2" xfId="1653" xr:uid="{00000000-0005-0000-0000-0000C60A0000}"/>
    <cellStyle name="Normal 113 2 2" xfId="3606" xr:uid="{00000000-0005-0000-0000-0000C70A0000}"/>
    <cellStyle name="Normal 113 3" xfId="2366" xr:uid="{00000000-0005-0000-0000-0000C80A0000}"/>
    <cellStyle name="Normal 113 3 2" xfId="4298" xr:uid="{00000000-0005-0000-0000-0000C90A0000}"/>
    <cellStyle name="Normal 113 4" xfId="3014" xr:uid="{00000000-0005-0000-0000-0000CA0A0000}"/>
    <cellStyle name="Normal 114" xfId="744" xr:uid="{00000000-0005-0000-0000-0000CB0A0000}"/>
    <cellStyle name="Normal 114 2" xfId="1654" xr:uid="{00000000-0005-0000-0000-0000CC0A0000}"/>
    <cellStyle name="Normal 114 2 2" xfId="3607" xr:uid="{00000000-0005-0000-0000-0000CD0A0000}"/>
    <cellStyle name="Normal 114 3" xfId="2367" xr:uid="{00000000-0005-0000-0000-0000CE0A0000}"/>
    <cellStyle name="Normal 114 3 2" xfId="4299" xr:uid="{00000000-0005-0000-0000-0000CF0A0000}"/>
    <cellStyle name="Normal 114 4" xfId="3015" xr:uid="{00000000-0005-0000-0000-0000D00A0000}"/>
    <cellStyle name="Normal 115" xfId="754" xr:uid="{00000000-0005-0000-0000-0000D10A0000}"/>
    <cellStyle name="Normal 116" xfId="755" xr:uid="{00000000-0005-0000-0000-0000D20A0000}"/>
    <cellStyle name="Normal 117" xfId="756" xr:uid="{00000000-0005-0000-0000-0000D30A0000}"/>
    <cellStyle name="Normal 118" xfId="757" xr:uid="{00000000-0005-0000-0000-0000D40A0000}"/>
    <cellStyle name="Normal 119" xfId="758" xr:uid="{00000000-0005-0000-0000-0000D50A0000}"/>
    <cellStyle name="Normal 12" xfId="195" xr:uid="{00000000-0005-0000-0000-0000D60A0000}"/>
    <cellStyle name="Normal 12 2" xfId="401" xr:uid="{00000000-0005-0000-0000-0000D70A0000}"/>
    <cellStyle name="Normal 12 2 2" xfId="5220" xr:uid="{00000000-0005-0000-0000-0000D80A0000}"/>
    <cellStyle name="Normal 12 2 2 2" xfId="5985" xr:uid="{00000000-0005-0000-0000-0000D90A0000}"/>
    <cellStyle name="Normal 12 2 3" xfId="5738" xr:uid="{00000000-0005-0000-0000-0000DA0A0000}"/>
    <cellStyle name="Normal 12 3" xfId="492" xr:uid="{00000000-0005-0000-0000-0000DB0A0000}"/>
    <cellStyle name="Normal 12 3 2" xfId="1012" xr:uid="{00000000-0005-0000-0000-0000DC0A0000}"/>
    <cellStyle name="Normal 12 3 2 2" xfId="1751" xr:uid="{00000000-0005-0000-0000-0000DD0A0000}"/>
    <cellStyle name="Normal 12 3 2 2 2" xfId="3698" xr:uid="{00000000-0005-0000-0000-0000DE0A0000}"/>
    <cellStyle name="Normal 12 3 2 3" xfId="2466" xr:uid="{00000000-0005-0000-0000-0000DF0A0000}"/>
    <cellStyle name="Normal 12 3 2 3 2" xfId="4395" xr:uid="{00000000-0005-0000-0000-0000E00A0000}"/>
    <cellStyle name="Normal 12 3 2 4" xfId="3097" xr:uid="{00000000-0005-0000-0000-0000E10A0000}"/>
    <cellStyle name="Normal 12 3 2 5" xfId="6006" xr:uid="{00000000-0005-0000-0000-0000E20A0000}"/>
    <cellStyle name="Normal 12 3 3" xfId="1184" xr:uid="{00000000-0005-0000-0000-0000E30A0000}"/>
    <cellStyle name="Normal 12 3 3 2" xfId="1896" xr:uid="{00000000-0005-0000-0000-0000E40A0000}"/>
    <cellStyle name="Normal 12 3 3 2 2" xfId="3841" xr:uid="{00000000-0005-0000-0000-0000E50A0000}"/>
    <cellStyle name="Normal 12 3 3 3" xfId="2596" xr:uid="{00000000-0005-0000-0000-0000E60A0000}"/>
    <cellStyle name="Normal 12 3 3 3 2" xfId="4524" xr:uid="{00000000-0005-0000-0000-0000E70A0000}"/>
    <cellStyle name="Normal 12 3 3 4" xfId="3238" xr:uid="{00000000-0005-0000-0000-0000E80A0000}"/>
    <cellStyle name="Normal 12 3 4" xfId="1400" xr:uid="{00000000-0005-0000-0000-0000E90A0000}"/>
    <cellStyle name="Normal 12 3 4 2" xfId="2021" xr:uid="{00000000-0005-0000-0000-0000EA0A0000}"/>
    <cellStyle name="Normal 12 3 4 2 2" xfId="3965" xr:uid="{00000000-0005-0000-0000-0000EB0A0000}"/>
    <cellStyle name="Normal 12 3 4 3" xfId="2710" xr:uid="{00000000-0005-0000-0000-0000EC0A0000}"/>
    <cellStyle name="Normal 12 3 4 3 2" xfId="4636" xr:uid="{00000000-0005-0000-0000-0000ED0A0000}"/>
    <cellStyle name="Normal 12 3 4 4" xfId="3355" xr:uid="{00000000-0005-0000-0000-0000EE0A0000}"/>
    <cellStyle name="Normal 12 3 5" xfId="1567" xr:uid="{00000000-0005-0000-0000-0000EF0A0000}"/>
    <cellStyle name="Normal 12 3 5 2" xfId="3521" xr:uid="{00000000-0005-0000-0000-0000F00A0000}"/>
    <cellStyle name="Normal 12 3 6" xfId="2270" xr:uid="{00000000-0005-0000-0000-0000F10A0000}"/>
    <cellStyle name="Normal 12 3 6 2" xfId="4205" xr:uid="{00000000-0005-0000-0000-0000F20A0000}"/>
    <cellStyle name="Normal 12 3 7" xfId="2951" xr:uid="{00000000-0005-0000-0000-0000F30A0000}"/>
    <cellStyle name="Normal 12 3 8" xfId="5328" xr:uid="{00000000-0005-0000-0000-0000F40A0000}"/>
    <cellStyle name="Normal 12 3 9" xfId="5763" xr:uid="{00000000-0005-0000-0000-0000F50A0000}"/>
    <cellStyle name="Normal 12 4" xfId="1506" xr:uid="{00000000-0005-0000-0000-0000F60A0000}"/>
    <cellStyle name="Normal 12 4 2" xfId="3460" xr:uid="{00000000-0005-0000-0000-0000F70A0000}"/>
    <cellStyle name="Normal 12 4 3" xfId="5417" xr:uid="{00000000-0005-0000-0000-0000F80A0000}"/>
    <cellStyle name="Normal 12 5" xfId="2190" xr:uid="{00000000-0005-0000-0000-0000F90A0000}"/>
    <cellStyle name="Normal 12 5 2" xfId="4132" xr:uid="{00000000-0005-0000-0000-0000FA0A0000}"/>
    <cellStyle name="Normal 12 5 3" xfId="5963" xr:uid="{00000000-0005-0000-0000-0000FB0A0000}"/>
    <cellStyle name="Normal 12 6" xfId="2913" xr:uid="{00000000-0005-0000-0000-0000FC0A0000}"/>
    <cellStyle name="Normal 12 6 2" xfId="6135" xr:uid="{00000000-0005-0000-0000-0000FD0A0000}"/>
    <cellStyle name="Normal 12 7" xfId="5197" xr:uid="{00000000-0005-0000-0000-0000FE0A0000}"/>
    <cellStyle name="Normal 12 8" xfId="5716" xr:uid="{00000000-0005-0000-0000-0000FF0A0000}"/>
    <cellStyle name="Normal 120" xfId="759" xr:uid="{00000000-0005-0000-0000-0000000B0000}"/>
    <cellStyle name="Normal 121" xfId="760" xr:uid="{00000000-0005-0000-0000-0000010B0000}"/>
    <cellStyle name="Normal 122" xfId="761" xr:uid="{00000000-0005-0000-0000-0000020B0000}"/>
    <cellStyle name="Normal 123" xfId="762" xr:uid="{00000000-0005-0000-0000-0000030B0000}"/>
    <cellStyle name="Normal 124" xfId="763" xr:uid="{00000000-0005-0000-0000-0000040B0000}"/>
    <cellStyle name="Normal 124 2" xfId="5418" xr:uid="{00000000-0005-0000-0000-0000050B0000}"/>
    <cellStyle name="Normal 125" xfId="764" xr:uid="{00000000-0005-0000-0000-0000060B0000}"/>
    <cellStyle name="Normal 126" xfId="765" xr:uid="{00000000-0005-0000-0000-0000070B0000}"/>
    <cellStyle name="Normal 127" xfId="766" xr:uid="{00000000-0005-0000-0000-0000080B0000}"/>
    <cellStyle name="Normal 128" xfId="767" xr:uid="{00000000-0005-0000-0000-0000090B0000}"/>
    <cellStyle name="Normal 129" xfId="768" xr:uid="{00000000-0005-0000-0000-00000A0B0000}"/>
    <cellStyle name="Normal 13" xfId="203" xr:uid="{00000000-0005-0000-0000-00000B0B0000}"/>
    <cellStyle name="Normal 13 2" xfId="335" xr:uid="{00000000-0005-0000-0000-00000C0B0000}"/>
    <cellStyle name="Normal 13 2 2" xfId="1315" xr:uid="{00000000-0005-0000-0000-00000D0B0000}"/>
    <cellStyle name="Normal 13 2 2 2" xfId="1438" xr:uid="{00000000-0005-0000-0000-00000E0B0000}"/>
    <cellStyle name="Normal 13 2 2 2 2" xfId="2059" xr:uid="{00000000-0005-0000-0000-00000F0B0000}"/>
    <cellStyle name="Normal 13 2 2 2 2 2" xfId="4003" xr:uid="{00000000-0005-0000-0000-0000100B0000}"/>
    <cellStyle name="Normal 13 2 2 2 3" xfId="2748" xr:uid="{00000000-0005-0000-0000-0000110B0000}"/>
    <cellStyle name="Normal 13 2 2 2 3 2" xfId="4674" xr:uid="{00000000-0005-0000-0000-0000120B0000}"/>
    <cellStyle name="Normal 13 2 2 2 4" xfId="3393" xr:uid="{00000000-0005-0000-0000-0000130B0000}"/>
    <cellStyle name="Normal 13 2 2 3" xfId="1967" xr:uid="{00000000-0005-0000-0000-0000140B0000}"/>
    <cellStyle name="Normal 13 2 2 3 2" xfId="3911" xr:uid="{00000000-0005-0000-0000-0000150B0000}"/>
    <cellStyle name="Normal 13 2 2 4" xfId="2655" xr:uid="{00000000-0005-0000-0000-0000160B0000}"/>
    <cellStyle name="Normal 13 2 2 4 2" xfId="4582" xr:uid="{00000000-0005-0000-0000-0000170B0000}"/>
    <cellStyle name="Normal 13 2 2 5" xfId="3303" xr:uid="{00000000-0005-0000-0000-0000180B0000}"/>
    <cellStyle name="Normal 13 2 2 6" xfId="5988" xr:uid="{00000000-0005-0000-0000-0000190B0000}"/>
    <cellStyle name="Normal 13 2 3" xfId="5223" xr:uid="{00000000-0005-0000-0000-00001A0B0000}"/>
    <cellStyle name="Normal 13 2 4" xfId="5741" xr:uid="{00000000-0005-0000-0000-00001B0B0000}"/>
    <cellStyle name="Normal 13 3" xfId="493" xr:uid="{00000000-0005-0000-0000-00001C0B0000}"/>
    <cellStyle name="Normal 13 3 2" xfId="1013" xr:uid="{00000000-0005-0000-0000-00001D0B0000}"/>
    <cellStyle name="Normal 13 3 2 2" xfId="1752" xr:uid="{00000000-0005-0000-0000-00001E0B0000}"/>
    <cellStyle name="Normal 13 3 2 2 2" xfId="3699" xr:uid="{00000000-0005-0000-0000-00001F0B0000}"/>
    <cellStyle name="Normal 13 3 2 3" xfId="2467" xr:uid="{00000000-0005-0000-0000-0000200B0000}"/>
    <cellStyle name="Normal 13 3 2 3 2" xfId="4396" xr:uid="{00000000-0005-0000-0000-0000210B0000}"/>
    <cellStyle name="Normal 13 3 2 4" xfId="3098" xr:uid="{00000000-0005-0000-0000-0000220B0000}"/>
    <cellStyle name="Normal 13 3 2 5" xfId="6007" xr:uid="{00000000-0005-0000-0000-0000230B0000}"/>
    <cellStyle name="Normal 13 3 3" xfId="1185" xr:uid="{00000000-0005-0000-0000-0000240B0000}"/>
    <cellStyle name="Normal 13 3 3 2" xfId="1897" xr:uid="{00000000-0005-0000-0000-0000250B0000}"/>
    <cellStyle name="Normal 13 3 3 2 2" xfId="3842" xr:uid="{00000000-0005-0000-0000-0000260B0000}"/>
    <cellStyle name="Normal 13 3 3 3" xfId="2597" xr:uid="{00000000-0005-0000-0000-0000270B0000}"/>
    <cellStyle name="Normal 13 3 3 3 2" xfId="4525" xr:uid="{00000000-0005-0000-0000-0000280B0000}"/>
    <cellStyle name="Normal 13 3 3 4" xfId="3239" xr:uid="{00000000-0005-0000-0000-0000290B0000}"/>
    <cellStyle name="Normal 13 3 4" xfId="1401" xr:uid="{00000000-0005-0000-0000-00002A0B0000}"/>
    <cellStyle name="Normal 13 3 4 2" xfId="2022" xr:uid="{00000000-0005-0000-0000-00002B0B0000}"/>
    <cellStyle name="Normal 13 3 4 2 2" xfId="3966" xr:uid="{00000000-0005-0000-0000-00002C0B0000}"/>
    <cellStyle name="Normal 13 3 4 3" xfId="2711" xr:uid="{00000000-0005-0000-0000-00002D0B0000}"/>
    <cellStyle name="Normal 13 3 4 3 2" xfId="4637" xr:uid="{00000000-0005-0000-0000-00002E0B0000}"/>
    <cellStyle name="Normal 13 3 4 4" xfId="3356" xr:uid="{00000000-0005-0000-0000-00002F0B0000}"/>
    <cellStyle name="Normal 13 3 5" xfId="1568" xr:uid="{00000000-0005-0000-0000-0000300B0000}"/>
    <cellStyle name="Normal 13 3 5 2" xfId="3522" xr:uid="{00000000-0005-0000-0000-0000310B0000}"/>
    <cellStyle name="Normal 13 3 6" xfId="2271" xr:uid="{00000000-0005-0000-0000-0000320B0000}"/>
    <cellStyle name="Normal 13 3 6 2" xfId="4206" xr:uid="{00000000-0005-0000-0000-0000330B0000}"/>
    <cellStyle name="Normal 13 3 7" xfId="2952" xr:uid="{00000000-0005-0000-0000-0000340B0000}"/>
    <cellStyle name="Normal 13 3 8" xfId="5329" xr:uid="{00000000-0005-0000-0000-0000350B0000}"/>
    <cellStyle name="Normal 13 3 9" xfId="5764" xr:uid="{00000000-0005-0000-0000-0000360B0000}"/>
    <cellStyle name="Normal 13 4" xfId="1262" xr:uid="{00000000-0005-0000-0000-0000370B0000}"/>
    <cellStyle name="Normal 13 4 2" xfId="5419" xr:uid="{00000000-0005-0000-0000-0000380B0000}"/>
    <cellStyle name="Normal 13 5" xfId="5200" xr:uid="{00000000-0005-0000-0000-0000390B0000}"/>
    <cellStyle name="Normal 13 5 2" xfId="5966" xr:uid="{00000000-0005-0000-0000-00003A0B0000}"/>
    <cellStyle name="Normal 13 6" xfId="6136" xr:uid="{00000000-0005-0000-0000-00003B0B0000}"/>
    <cellStyle name="Normal 13 7" xfId="5719" xr:uid="{00000000-0005-0000-0000-00003C0B0000}"/>
    <cellStyle name="Normal 130" xfId="769" xr:uid="{00000000-0005-0000-0000-00003D0B0000}"/>
    <cellStyle name="Normal 130 2" xfId="1664" xr:uid="{00000000-0005-0000-0000-00003E0B0000}"/>
    <cellStyle name="Normal 130 2 2" xfId="3612" xr:uid="{00000000-0005-0000-0000-00003F0B0000}"/>
    <cellStyle name="Normal 130 3" xfId="2373" xr:uid="{00000000-0005-0000-0000-0000400B0000}"/>
    <cellStyle name="Normal 130 3 2" xfId="4305" xr:uid="{00000000-0005-0000-0000-0000410B0000}"/>
    <cellStyle name="Normal 130 4" xfId="3018" xr:uid="{00000000-0005-0000-0000-0000420B0000}"/>
    <cellStyle name="Normal 131" xfId="771" xr:uid="{00000000-0005-0000-0000-0000430B0000}"/>
    <cellStyle name="Normal 131 2" xfId="1666" xr:uid="{00000000-0005-0000-0000-0000440B0000}"/>
    <cellStyle name="Normal 131 2 2" xfId="3614" xr:uid="{00000000-0005-0000-0000-0000450B0000}"/>
    <cellStyle name="Normal 131 3" xfId="2375" xr:uid="{00000000-0005-0000-0000-0000460B0000}"/>
    <cellStyle name="Normal 131 3 2" xfId="4307" xr:uid="{00000000-0005-0000-0000-0000470B0000}"/>
    <cellStyle name="Normal 131 4" xfId="3020" xr:uid="{00000000-0005-0000-0000-0000480B0000}"/>
    <cellStyle name="Normal 132" xfId="774" xr:uid="{00000000-0005-0000-0000-0000490B0000}"/>
    <cellStyle name="Normal 132 2" xfId="1669" xr:uid="{00000000-0005-0000-0000-00004A0B0000}"/>
    <cellStyle name="Normal 132 2 2" xfId="3617" xr:uid="{00000000-0005-0000-0000-00004B0B0000}"/>
    <cellStyle name="Normal 132 3" xfId="2378" xr:uid="{00000000-0005-0000-0000-00004C0B0000}"/>
    <cellStyle name="Normal 132 3 2" xfId="4310" xr:uid="{00000000-0005-0000-0000-00004D0B0000}"/>
    <cellStyle name="Normal 132 4" xfId="3023" xr:uid="{00000000-0005-0000-0000-00004E0B0000}"/>
    <cellStyle name="Normal 133" xfId="775" xr:uid="{00000000-0005-0000-0000-00004F0B0000}"/>
    <cellStyle name="Normal 133 2" xfId="1670" xr:uid="{00000000-0005-0000-0000-0000500B0000}"/>
    <cellStyle name="Normal 133 2 2" xfId="3618" xr:uid="{00000000-0005-0000-0000-0000510B0000}"/>
    <cellStyle name="Normal 133 3" xfId="2379" xr:uid="{00000000-0005-0000-0000-0000520B0000}"/>
    <cellStyle name="Normal 133 3 2" xfId="4311" xr:uid="{00000000-0005-0000-0000-0000530B0000}"/>
    <cellStyle name="Normal 133 4" xfId="3024" xr:uid="{00000000-0005-0000-0000-0000540B0000}"/>
    <cellStyle name="Normal 134" xfId="777" xr:uid="{00000000-0005-0000-0000-0000550B0000}"/>
    <cellStyle name="Normal 134 2" xfId="1672" xr:uid="{00000000-0005-0000-0000-0000560B0000}"/>
    <cellStyle name="Normal 134 2 2" xfId="3620" xr:uid="{00000000-0005-0000-0000-0000570B0000}"/>
    <cellStyle name="Normal 134 3" xfId="2381" xr:uid="{00000000-0005-0000-0000-0000580B0000}"/>
    <cellStyle name="Normal 134 3 2" xfId="4313" xr:uid="{00000000-0005-0000-0000-0000590B0000}"/>
    <cellStyle name="Normal 134 4" xfId="3026" xr:uid="{00000000-0005-0000-0000-00005A0B0000}"/>
    <cellStyle name="Normal 135" xfId="779" xr:uid="{00000000-0005-0000-0000-00005B0B0000}"/>
    <cellStyle name="Normal 135 2" xfId="1674" xr:uid="{00000000-0005-0000-0000-00005C0B0000}"/>
    <cellStyle name="Normal 135 2 2" xfId="3622" xr:uid="{00000000-0005-0000-0000-00005D0B0000}"/>
    <cellStyle name="Normal 135 3" xfId="2383" xr:uid="{00000000-0005-0000-0000-00005E0B0000}"/>
    <cellStyle name="Normal 135 3 2" xfId="4315" xr:uid="{00000000-0005-0000-0000-00005F0B0000}"/>
    <cellStyle name="Normal 135 4" xfId="3028" xr:uid="{00000000-0005-0000-0000-0000600B0000}"/>
    <cellStyle name="Normal 136" xfId="782" xr:uid="{00000000-0005-0000-0000-0000610B0000}"/>
    <cellStyle name="Normal 136 2" xfId="1456" xr:uid="{00000000-0005-0000-0000-0000620B0000}"/>
    <cellStyle name="Normal 136 2 2" xfId="2076" xr:uid="{00000000-0005-0000-0000-0000630B0000}"/>
    <cellStyle name="Normal 136 2 2 2" xfId="4020" xr:uid="{00000000-0005-0000-0000-0000640B0000}"/>
    <cellStyle name="Normal 136 2 3" xfId="2765" xr:uid="{00000000-0005-0000-0000-0000650B0000}"/>
    <cellStyle name="Normal 136 2 3 2" xfId="4691" xr:uid="{00000000-0005-0000-0000-0000660B0000}"/>
    <cellStyle name="Normal 136 2 4" xfId="3410" xr:uid="{00000000-0005-0000-0000-0000670B0000}"/>
    <cellStyle name="Normal 136 3" xfId="1677" xr:uid="{00000000-0005-0000-0000-0000680B0000}"/>
    <cellStyle name="Normal 136 3 2" xfId="3625" xr:uid="{00000000-0005-0000-0000-0000690B0000}"/>
    <cellStyle name="Normal 136 4" xfId="2386" xr:uid="{00000000-0005-0000-0000-00006A0B0000}"/>
    <cellStyle name="Normal 136 4 2" xfId="4318" xr:uid="{00000000-0005-0000-0000-00006B0B0000}"/>
    <cellStyle name="Normal 136 5" xfId="3031" xr:uid="{00000000-0005-0000-0000-00006C0B0000}"/>
    <cellStyle name="Normal 137" xfId="784" xr:uid="{00000000-0005-0000-0000-00006D0B0000}"/>
    <cellStyle name="Normal 137 2" xfId="1678" xr:uid="{00000000-0005-0000-0000-00006E0B0000}"/>
    <cellStyle name="Normal 137 2 2" xfId="3626" xr:uid="{00000000-0005-0000-0000-00006F0B0000}"/>
    <cellStyle name="Normal 137 3" xfId="2387" xr:uid="{00000000-0005-0000-0000-0000700B0000}"/>
    <cellStyle name="Normal 137 3 2" xfId="4319" xr:uid="{00000000-0005-0000-0000-0000710B0000}"/>
    <cellStyle name="Normal 137 4" xfId="3032" xr:uid="{00000000-0005-0000-0000-0000720B0000}"/>
    <cellStyle name="Normal 138" xfId="1052" xr:uid="{00000000-0005-0000-0000-0000730B0000}"/>
    <cellStyle name="Normal 138 2" xfId="1786" xr:uid="{00000000-0005-0000-0000-0000740B0000}"/>
    <cellStyle name="Normal 138 2 2" xfId="3733" xr:uid="{00000000-0005-0000-0000-0000750B0000}"/>
    <cellStyle name="Normal 138 3" xfId="2500" xr:uid="{00000000-0005-0000-0000-0000760B0000}"/>
    <cellStyle name="Normal 138 3 2" xfId="4429" xr:uid="{00000000-0005-0000-0000-0000770B0000}"/>
    <cellStyle name="Normal 138 4" xfId="3132" xr:uid="{00000000-0005-0000-0000-0000780B0000}"/>
    <cellStyle name="Normal 139" xfId="1113" xr:uid="{00000000-0005-0000-0000-0000790B0000}"/>
    <cellStyle name="Normal 139 2" xfId="1828" xr:uid="{00000000-0005-0000-0000-00007A0B0000}"/>
    <cellStyle name="Normal 139 2 2" xfId="3775" xr:uid="{00000000-0005-0000-0000-00007B0B0000}"/>
    <cellStyle name="Normal 139 3" xfId="2541" xr:uid="{00000000-0005-0000-0000-00007C0B0000}"/>
    <cellStyle name="Normal 139 3 2" xfId="4470" xr:uid="{00000000-0005-0000-0000-00007D0B0000}"/>
    <cellStyle name="Normal 139 4" xfId="3173" xr:uid="{00000000-0005-0000-0000-00007E0B0000}"/>
    <cellStyle name="Normal 14" xfId="205" xr:uid="{00000000-0005-0000-0000-00007F0B0000}"/>
    <cellStyle name="Normal 14 2" xfId="494" xr:uid="{00000000-0005-0000-0000-0000800B0000}"/>
    <cellStyle name="Normal 14 2 2" xfId="1014" xr:uid="{00000000-0005-0000-0000-0000810B0000}"/>
    <cellStyle name="Normal 14 2 2 2" xfId="1753" xr:uid="{00000000-0005-0000-0000-0000820B0000}"/>
    <cellStyle name="Normal 14 2 2 2 2" xfId="3700" xr:uid="{00000000-0005-0000-0000-0000830B0000}"/>
    <cellStyle name="Normal 14 2 2 3" xfId="2468" xr:uid="{00000000-0005-0000-0000-0000840B0000}"/>
    <cellStyle name="Normal 14 2 2 3 2" xfId="4397" xr:uid="{00000000-0005-0000-0000-0000850B0000}"/>
    <cellStyle name="Normal 14 2 2 4" xfId="3099" xr:uid="{00000000-0005-0000-0000-0000860B0000}"/>
    <cellStyle name="Normal 14 2 2 5" xfId="5991" xr:uid="{00000000-0005-0000-0000-0000870B0000}"/>
    <cellStyle name="Normal 14 2 3" xfId="1186" xr:uid="{00000000-0005-0000-0000-0000880B0000}"/>
    <cellStyle name="Normal 14 2 3 2" xfId="1898" xr:uid="{00000000-0005-0000-0000-0000890B0000}"/>
    <cellStyle name="Normal 14 2 3 2 2" xfId="3843" xr:uid="{00000000-0005-0000-0000-00008A0B0000}"/>
    <cellStyle name="Normal 14 2 3 3" xfId="2598" xr:uid="{00000000-0005-0000-0000-00008B0B0000}"/>
    <cellStyle name="Normal 14 2 3 3 2" xfId="4526" xr:uid="{00000000-0005-0000-0000-00008C0B0000}"/>
    <cellStyle name="Normal 14 2 3 4" xfId="3240" xr:uid="{00000000-0005-0000-0000-00008D0B0000}"/>
    <cellStyle name="Normal 14 2 4" xfId="1402" xr:uid="{00000000-0005-0000-0000-00008E0B0000}"/>
    <cellStyle name="Normal 14 2 4 2" xfId="2023" xr:uid="{00000000-0005-0000-0000-00008F0B0000}"/>
    <cellStyle name="Normal 14 2 4 2 2" xfId="3967" xr:uid="{00000000-0005-0000-0000-0000900B0000}"/>
    <cellStyle name="Normal 14 2 4 3" xfId="2712" xr:uid="{00000000-0005-0000-0000-0000910B0000}"/>
    <cellStyle name="Normal 14 2 4 3 2" xfId="4638" xr:uid="{00000000-0005-0000-0000-0000920B0000}"/>
    <cellStyle name="Normal 14 2 4 4" xfId="3357" xr:uid="{00000000-0005-0000-0000-0000930B0000}"/>
    <cellStyle name="Normal 14 2 5" xfId="1569" xr:uid="{00000000-0005-0000-0000-0000940B0000}"/>
    <cellStyle name="Normal 14 2 5 2" xfId="3523" xr:uid="{00000000-0005-0000-0000-0000950B0000}"/>
    <cellStyle name="Normal 14 2 6" xfId="2272" xr:uid="{00000000-0005-0000-0000-0000960B0000}"/>
    <cellStyle name="Normal 14 2 6 2" xfId="4207" xr:uid="{00000000-0005-0000-0000-0000970B0000}"/>
    <cellStyle name="Normal 14 2 7" xfId="2953" xr:uid="{00000000-0005-0000-0000-0000980B0000}"/>
    <cellStyle name="Normal 14 2 8" xfId="5226" xr:uid="{00000000-0005-0000-0000-0000990B0000}"/>
    <cellStyle name="Normal 14 2 9" xfId="5744" xr:uid="{00000000-0005-0000-0000-00009A0B0000}"/>
    <cellStyle name="Normal 14 3" xfId="495" xr:uid="{00000000-0005-0000-0000-00009B0B0000}"/>
    <cellStyle name="Normal 14 3 2" xfId="5330" xr:uid="{00000000-0005-0000-0000-00009C0B0000}"/>
    <cellStyle name="Normal 14 4" xfId="1512" xr:uid="{00000000-0005-0000-0000-00009D0B0000}"/>
    <cellStyle name="Normal 14 4 2" xfId="3466" xr:uid="{00000000-0005-0000-0000-00009E0B0000}"/>
    <cellStyle name="Normal 14 4 3" xfId="5969" xr:uid="{00000000-0005-0000-0000-00009F0B0000}"/>
    <cellStyle name="Normal 14 5" xfId="2196" xr:uid="{00000000-0005-0000-0000-0000A00B0000}"/>
    <cellStyle name="Normal 14 5 2" xfId="4138" xr:uid="{00000000-0005-0000-0000-0000A10B0000}"/>
    <cellStyle name="Normal 14 5 3" xfId="6140" xr:uid="{00000000-0005-0000-0000-0000A20B0000}"/>
    <cellStyle name="Normal 14 6" xfId="2919" xr:uid="{00000000-0005-0000-0000-0000A30B0000}"/>
    <cellStyle name="Normal 14 7" xfId="5203" xr:uid="{00000000-0005-0000-0000-0000A40B0000}"/>
    <cellStyle name="Normal 14 8" xfId="5722" xr:uid="{00000000-0005-0000-0000-0000A50B0000}"/>
    <cellStyle name="Normal 140" xfId="979" xr:uid="{00000000-0005-0000-0000-0000A60B0000}"/>
    <cellStyle name="Normal 140 2" xfId="1736" xr:uid="{00000000-0005-0000-0000-0000A70B0000}"/>
    <cellStyle name="Normal 140 2 2" xfId="3684" xr:uid="{00000000-0005-0000-0000-0000A80B0000}"/>
    <cellStyle name="Normal 140 3" xfId="2456" xr:uid="{00000000-0005-0000-0000-0000A90B0000}"/>
    <cellStyle name="Normal 140 3 2" xfId="4385" xr:uid="{00000000-0005-0000-0000-0000AA0B0000}"/>
    <cellStyle name="Normal 140 4" xfId="3083" xr:uid="{00000000-0005-0000-0000-0000AB0B0000}"/>
    <cellStyle name="Normal 141" xfId="843" xr:uid="{00000000-0005-0000-0000-0000AC0B0000}"/>
    <cellStyle name="Normal 141 2" xfId="1701" xr:uid="{00000000-0005-0000-0000-0000AD0B0000}"/>
    <cellStyle name="Normal 141 2 2" xfId="3649" xr:uid="{00000000-0005-0000-0000-0000AE0B0000}"/>
    <cellStyle name="Normal 141 3" xfId="2410" xr:uid="{00000000-0005-0000-0000-0000AF0B0000}"/>
    <cellStyle name="Normal 141 3 2" xfId="4342" xr:uid="{00000000-0005-0000-0000-0000B00B0000}"/>
    <cellStyle name="Normal 141 4" xfId="3054" xr:uid="{00000000-0005-0000-0000-0000B10B0000}"/>
    <cellStyle name="Normal 142" xfId="1050" xr:uid="{00000000-0005-0000-0000-0000B20B0000}"/>
    <cellStyle name="Normal 142 2" xfId="1784" xr:uid="{00000000-0005-0000-0000-0000B30B0000}"/>
    <cellStyle name="Normal 142 2 2" xfId="3731" xr:uid="{00000000-0005-0000-0000-0000B40B0000}"/>
    <cellStyle name="Normal 142 3" xfId="2499" xr:uid="{00000000-0005-0000-0000-0000B50B0000}"/>
    <cellStyle name="Normal 142 3 2" xfId="4428" xr:uid="{00000000-0005-0000-0000-0000B60B0000}"/>
    <cellStyle name="Normal 142 4" xfId="3130" xr:uid="{00000000-0005-0000-0000-0000B70B0000}"/>
    <cellStyle name="Normal 143" xfId="1112" xr:uid="{00000000-0005-0000-0000-0000B80B0000}"/>
    <cellStyle name="Normal 143 2" xfId="1827" xr:uid="{00000000-0005-0000-0000-0000B90B0000}"/>
    <cellStyle name="Normal 143 2 2" xfId="3774" xr:uid="{00000000-0005-0000-0000-0000BA0B0000}"/>
    <cellStyle name="Normal 143 3" xfId="2540" xr:uid="{00000000-0005-0000-0000-0000BB0B0000}"/>
    <cellStyle name="Normal 143 3 2" xfId="4469" xr:uid="{00000000-0005-0000-0000-0000BC0B0000}"/>
    <cellStyle name="Normal 143 4" xfId="3172" xr:uid="{00000000-0005-0000-0000-0000BD0B0000}"/>
    <cellStyle name="Normal 144" xfId="1110" xr:uid="{00000000-0005-0000-0000-0000BE0B0000}"/>
    <cellStyle name="Normal 144 2" xfId="1825" xr:uid="{00000000-0005-0000-0000-0000BF0B0000}"/>
    <cellStyle name="Normal 144 2 2" xfId="3772" xr:uid="{00000000-0005-0000-0000-0000C00B0000}"/>
    <cellStyle name="Normal 144 3" xfId="2538" xr:uid="{00000000-0005-0000-0000-0000C10B0000}"/>
    <cellStyle name="Normal 144 3 2" xfId="4467" xr:uid="{00000000-0005-0000-0000-0000C20B0000}"/>
    <cellStyle name="Normal 144 4" xfId="3170" xr:uid="{00000000-0005-0000-0000-0000C30B0000}"/>
    <cellStyle name="Normal 145" xfId="815" xr:uid="{00000000-0005-0000-0000-0000C40B0000}"/>
    <cellStyle name="Normal 145 2" xfId="1688" xr:uid="{00000000-0005-0000-0000-0000C50B0000}"/>
    <cellStyle name="Normal 145 2 2" xfId="3636" xr:uid="{00000000-0005-0000-0000-0000C60B0000}"/>
    <cellStyle name="Normal 145 3" xfId="2396" xr:uid="{00000000-0005-0000-0000-0000C70B0000}"/>
    <cellStyle name="Normal 145 3 2" xfId="4328" xr:uid="{00000000-0005-0000-0000-0000C80B0000}"/>
    <cellStyle name="Normal 145 4" xfId="3042" xr:uid="{00000000-0005-0000-0000-0000C90B0000}"/>
    <cellStyle name="Normal 146" xfId="1106" xr:uid="{00000000-0005-0000-0000-0000CA0B0000}"/>
    <cellStyle name="Normal 146 2" xfId="1821" xr:uid="{00000000-0005-0000-0000-0000CB0B0000}"/>
    <cellStyle name="Normal 146 2 2" xfId="3768" xr:uid="{00000000-0005-0000-0000-0000CC0B0000}"/>
    <cellStyle name="Normal 146 3" xfId="2535" xr:uid="{00000000-0005-0000-0000-0000CD0B0000}"/>
    <cellStyle name="Normal 146 3 2" xfId="4464" xr:uid="{00000000-0005-0000-0000-0000CE0B0000}"/>
    <cellStyle name="Normal 146 4" xfId="3166" xr:uid="{00000000-0005-0000-0000-0000CF0B0000}"/>
    <cellStyle name="Normal 147" xfId="810" xr:uid="{00000000-0005-0000-0000-0000D00B0000}"/>
    <cellStyle name="Normal 147 2" xfId="1685" xr:uid="{00000000-0005-0000-0000-0000D10B0000}"/>
    <cellStyle name="Normal 147 2 2" xfId="3633" xr:uid="{00000000-0005-0000-0000-0000D20B0000}"/>
    <cellStyle name="Normal 147 3" xfId="2395" xr:uid="{00000000-0005-0000-0000-0000D30B0000}"/>
    <cellStyle name="Normal 147 3 2" xfId="4327" xr:uid="{00000000-0005-0000-0000-0000D40B0000}"/>
    <cellStyle name="Normal 147 4" xfId="3039" xr:uid="{00000000-0005-0000-0000-0000D50B0000}"/>
    <cellStyle name="Normal 148" xfId="1105" xr:uid="{00000000-0005-0000-0000-0000D60B0000}"/>
    <cellStyle name="Normal 148 2" xfId="1820" xr:uid="{00000000-0005-0000-0000-0000D70B0000}"/>
    <cellStyle name="Normal 148 2 2" xfId="3767" xr:uid="{00000000-0005-0000-0000-0000D80B0000}"/>
    <cellStyle name="Normal 148 3" xfId="2534" xr:uid="{00000000-0005-0000-0000-0000D90B0000}"/>
    <cellStyle name="Normal 148 3 2" xfId="4463" xr:uid="{00000000-0005-0000-0000-0000DA0B0000}"/>
    <cellStyle name="Normal 148 4" xfId="3165" xr:uid="{00000000-0005-0000-0000-0000DB0B0000}"/>
    <cellStyle name="Normal 149" xfId="1115" xr:uid="{00000000-0005-0000-0000-0000DC0B0000}"/>
    <cellStyle name="Normal 149 2" xfId="1830" xr:uid="{00000000-0005-0000-0000-0000DD0B0000}"/>
    <cellStyle name="Normal 149 2 2" xfId="3777" xr:uid="{00000000-0005-0000-0000-0000DE0B0000}"/>
    <cellStyle name="Normal 149 3" xfId="2543" xr:uid="{00000000-0005-0000-0000-0000DF0B0000}"/>
    <cellStyle name="Normal 149 3 2" xfId="4472" xr:uid="{00000000-0005-0000-0000-0000E00B0000}"/>
    <cellStyle name="Normal 149 4" xfId="3175" xr:uid="{00000000-0005-0000-0000-0000E10B0000}"/>
    <cellStyle name="Normal 15" xfId="402" xr:uid="{00000000-0005-0000-0000-0000E20B0000}"/>
    <cellStyle name="Normal 15 2" xfId="496" xr:uid="{00000000-0005-0000-0000-0000E30B0000}"/>
    <cellStyle name="Normal 15 2 10" xfId="5746" xr:uid="{00000000-0005-0000-0000-0000E40B0000}"/>
    <cellStyle name="Normal 15 2 2" xfId="1015" xr:uid="{00000000-0005-0000-0000-0000E50B0000}"/>
    <cellStyle name="Normal 15 2 2 2" xfId="1273" xr:uid="{00000000-0005-0000-0000-0000E60B0000}"/>
    <cellStyle name="Normal 15 2 2 3" xfId="1754" xr:uid="{00000000-0005-0000-0000-0000E70B0000}"/>
    <cellStyle name="Normal 15 2 2 3 2" xfId="3701" xr:uid="{00000000-0005-0000-0000-0000E80B0000}"/>
    <cellStyle name="Normal 15 2 2 4" xfId="2469" xr:uid="{00000000-0005-0000-0000-0000E90B0000}"/>
    <cellStyle name="Normal 15 2 2 4 2" xfId="4398" xr:uid="{00000000-0005-0000-0000-0000EA0B0000}"/>
    <cellStyle name="Normal 15 2 2 5" xfId="3100" xr:uid="{00000000-0005-0000-0000-0000EB0B0000}"/>
    <cellStyle name="Normal 15 2 2 6" xfId="5993" xr:uid="{00000000-0005-0000-0000-0000EC0B0000}"/>
    <cellStyle name="Normal 15 2 3" xfId="923" xr:uid="{00000000-0005-0000-0000-0000ED0B0000}"/>
    <cellStyle name="Normal 15 2 4" xfId="1187" xr:uid="{00000000-0005-0000-0000-0000EE0B0000}"/>
    <cellStyle name="Normal 15 2 4 2" xfId="1899" xr:uid="{00000000-0005-0000-0000-0000EF0B0000}"/>
    <cellStyle name="Normal 15 2 4 2 2" xfId="3844" xr:uid="{00000000-0005-0000-0000-0000F00B0000}"/>
    <cellStyle name="Normal 15 2 4 3" xfId="2599" xr:uid="{00000000-0005-0000-0000-0000F10B0000}"/>
    <cellStyle name="Normal 15 2 4 3 2" xfId="4527" xr:uid="{00000000-0005-0000-0000-0000F20B0000}"/>
    <cellStyle name="Normal 15 2 4 4" xfId="3241" xr:uid="{00000000-0005-0000-0000-0000F30B0000}"/>
    <cellStyle name="Normal 15 2 5" xfId="1403" xr:uid="{00000000-0005-0000-0000-0000F40B0000}"/>
    <cellStyle name="Normal 15 2 5 2" xfId="2024" xr:uid="{00000000-0005-0000-0000-0000F50B0000}"/>
    <cellStyle name="Normal 15 2 5 2 2" xfId="3968" xr:uid="{00000000-0005-0000-0000-0000F60B0000}"/>
    <cellStyle name="Normal 15 2 5 3" xfId="2713" xr:uid="{00000000-0005-0000-0000-0000F70B0000}"/>
    <cellStyle name="Normal 15 2 5 3 2" xfId="4639" xr:uid="{00000000-0005-0000-0000-0000F80B0000}"/>
    <cellStyle name="Normal 15 2 5 4" xfId="3358" xr:uid="{00000000-0005-0000-0000-0000F90B0000}"/>
    <cellStyle name="Normal 15 2 6" xfId="1570" xr:uid="{00000000-0005-0000-0000-0000FA0B0000}"/>
    <cellStyle name="Normal 15 2 6 2" xfId="3524" xr:uid="{00000000-0005-0000-0000-0000FB0B0000}"/>
    <cellStyle name="Normal 15 2 7" xfId="2273" xr:uid="{00000000-0005-0000-0000-0000FC0B0000}"/>
    <cellStyle name="Normal 15 2 7 2" xfId="4208" xr:uid="{00000000-0005-0000-0000-0000FD0B0000}"/>
    <cellStyle name="Normal 15 2 8" xfId="2954" xr:uid="{00000000-0005-0000-0000-0000FE0B0000}"/>
    <cellStyle name="Normal 15 2 9" xfId="5228" xr:uid="{00000000-0005-0000-0000-0000FF0B0000}"/>
    <cellStyle name="Normal 15 3" xfId="497" xr:uid="{00000000-0005-0000-0000-0000000C0000}"/>
    <cellStyle name="Normal 15 3 2" xfId="5331" xr:uid="{00000000-0005-0000-0000-0000010C0000}"/>
    <cellStyle name="Normal 15 4" xfId="5205" xr:uid="{00000000-0005-0000-0000-0000020C0000}"/>
    <cellStyle name="Normal 15 4 2" xfId="5971" xr:uid="{00000000-0005-0000-0000-0000030C0000}"/>
    <cellStyle name="Normal 15 5" xfId="6144" xr:uid="{00000000-0005-0000-0000-0000040C0000}"/>
    <cellStyle name="Normal 15 6" xfId="5724" xr:uid="{00000000-0005-0000-0000-0000050C0000}"/>
    <cellStyle name="Normal 150" xfId="1119" xr:uid="{00000000-0005-0000-0000-0000060C0000}"/>
    <cellStyle name="Normal 150 2" xfId="1834" xr:uid="{00000000-0005-0000-0000-0000070C0000}"/>
    <cellStyle name="Normal 150 2 2" xfId="3780" xr:uid="{00000000-0005-0000-0000-0000080C0000}"/>
    <cellStyle name="Normal 150 3" xfId="2547" xr:uid="{00000000-0005-0000-0000-0000090C0000}"/>
    <cellStyle name="Normal 150 3 2" xfId="4476" xr:uid="{00000000-0005-0000-0000-00000A0C0000}"/>
    <cellStyle name="Normal 150 4" xfId="3178" xr:uid="{00000000-0005-0000-0000-00000B0C0000}"/>
    <cellStyle name="Normal 151" xfId="1121" xr:uid="{00000000-0005-0000-0000-00000C0C0000}"/>
    <cellStyle name="Normal 151 2" xfId="1836" xr:uid="{00000000-0005-0000-0000-00000D0C0000}"/>
    <cellStyle name="Normal 151 2 2" xfId="3782" xr:uid="{00000000-0005-0000-0000-00000E0C0000}"/>
    <cellStyle name="Normal 151 3" xfId="2549" xr:uid="{00000000-0005-0000-0000-00000F0C0000}"/>
    <cellStyle name="Normal 151 3 2" xfId="4478" xr:uid="{00000000-0005-0000-0000-0000100C0000}"/>
    <cellStyle name="Normal 151 4" xfId="3180" xr:uid="{00000000-0005-0000-0000-0000110C0000}"/>
    <cellStyle name="Normal 152" xfId="1223" xr:uid="{00000000-0005-0000-0000-0000120C0000}"/>
    <cellStyle name="Normal 152 2" xfId="1935" xr:uid="{00000000-0005-0000-0000-0000130C0000}"/>
    <cellStyle name="Normal 152 2 2" xfId="3880" xr:uid="{00000000-0005-0000-0000-0000140C0000}"/>
    <cellStyle name="Normal 152 3" xfId="2629" xr:uid="{00000000-0005-0000-0000-0000150C0000}"/>
    <cellStyle name="Normal 152 3 2" xfId="4557" xr:uid="{00000000-0005-0000-0000-0000160C0000}"/>
    <cellStyle name="Normal 152 4" xfId="3277" xr:uid="{00000000-0005-0000-0000-0000170C0000}"/>
    <cellStyle name="Normal 153" xfId="1359" xr:uid="{00000000-0005-0000-0000-0000180C0000}"/>
    <cellStyle name="Normal 153 2" xfId="1980" xr:uid="{00000000-0005-0000-0000-0000190C0000}"/>
    <cellStyle name="Normal 153 2 2" xfId="3924" xr:uid="{00000000-0005-0000-0000-00001A0C0000}"/>
    <cellStyle name="Normal 153 3" xfId="2669" xr:uid="{00000000-0005-0000-0000-00001B0C0000}"/>
    <cellStyle name="Normal 153 3 2" xfId="4595" xr:uid="{00000000-0005-0000-0000-00001C0C0000}"/>
    <cellStyle name="Normal 153 4" xfId="3314" xr:uid="{00000000-0005-0000-0000-00001D0C0000}"/>
    <cellStyle name="Normal 154" xfId="1360" xr:uid="{00000000-0005-0000-0000-00001E0C0000}"/>
    <cellStyle name="Normal 154 2" xfId="1981" xr:uid="{00000000-0005-0000-0000-00001F0C0000}"/>
    <cellStyle name="Normal 154 2 2" xfId="3925" xr:uid="{00000000-0005-0000-0000-0000200C0000}"/>
    <cellStyle name="Normal 154 3" xfId="2670" xr:uid="{00000000-0005-0000-0000-0000210C0000}"/>
    <cellStyle name="Normal 154 3 2" xfId="4596" xr:uid="{00000000-0005-0000-0000-0000220C0000}"/>
    <cellStyle name="Normal 154 4" xfId="3315" xr:uid="{00000000-0005-0000-0000-0000230C0000}"/>
    <cellStyle name="Normal 155" xfId="1430" xr:uid="{00000000-0005-0000-0000-0000240C0000}"/>
    <cellStyle name="Normal 155 2" xfId="2051" xr:uid="{00000000-0005-0000-0000-0000250C0000}"/>
    <cellStyle name="Normal 155 2 2" xfId="3995" xr:uid="{00000000-0005-0000-0000-0000260C0000}"/>
    <cellStyle name="Normal 155 3" xfId="2740" xr:uid="{00000000-0005-0000-0000-0000270C0000}"/>
    <cellStyle name="Normal 155 3 2" xfId="4666" xr:uid="{00000000-0005-0000-0000-0000280C0000}"/>
    <cellStyle name="Normal 155 4" xfId="3385" xr:uid="{00000000-0005-0000-0000-0000290C0000}"/>
    <cellStyle name="Normal 156" xfId="1368" xr:uid="{00000000-0005-0000-0000-00002A0C0000}"/>
    <cellStyle name="Normal 156 2" xfId="1989" xr:uid="{00000000-0005-0000-0000-00002B0C0000}"/>
    <cellStyle name="Normal 156 2 2" xfId="3933" xr:uid="{00000000-0005-0000-0000-00002C0C0000}"/>
    <cellStyle name="Normal 156 3" xfId="2678" xr:uid="{00000000-0005-0000-0000-00002D0C0000}"/>
    <cellStyle name="Normal 156 3 2" xfId="4604" xr:uid="{00000000-0005-0000-0000-00002E0C0000}"/>
    <cellStyle name="Normal 156 4" xfId="3323" xr:uid="{00000000-0005-0000-0000-00002F0C0000}"/>
    <cellStyle name="Normal 157" xfId="403" xr:uid="{00000000-0005-0000-0000-0000300C0000}"/>
    <cellStyle name="Normal 158" xfId="1398" xr:uid="{00000000-0005-0000-0000-0000310C0000}"/>
    <cellStyle name="Normal 158 2" xfId="2019" xr:uid="{00000000-0005-0000-0000-0000320C0000}"/>
    <cellStyle name="Normal 158 2 2" xfId="3963" xr:uid="{00000000-0005-0000-0000-0000330C0000}"/>
    <cellStyle name="Normal 158 3" xfId="2708" xr:uid="{00000000-0005-0000-0000-0000340C0000}"/>
    <cellStyle name="Normal 158 3 2" xfId="4634" xr:uid="{00000000-0005-0000-0000-0000350C0000}"/>
    <cellStyle name="Normal 158 4" xfId="3353" xr:uid="{00000000-0005-0000-0000-0000360C0000}"/>
    <cellStyle name="Normal 159" xfId="1443" xr:uid="{00000000-0005-0000-0000-0000370C0000}"/>
    <cellStyle name="Normal 159 2" xfId="2064" xr:uid="{00000000-0005-0000-0000-0000380C0000}"/>
    <cellStyle name="Normal 159 2 2" xfId="4008" xr:uid="{00000000-0005-0000-0000-0000390C0000}"/>
    <cellStyle name="Normal 159 3" xfId="2753" xr:uid="{00000000-0005-0000-0000-00003A0C0000}"/>
    <cellStyle name="Normal 159 3 2" xfId="4679" xr:uid="{00000000-0005-0000-0000-00003B0C0000}"/>
    <cellStyle name="Normal 159 4" xfId="3398" xr:uid="{00000000-0005-0000-0000-00003C0C0000}"/>
    <cellStyle name="Normal 16" xfId="404" xr:uid="{00000000-0005-0000-0000-00003D0C0000}"/>
    <cellStyle name="Normal 16 2" xfId="924" xr:uid="{00000000-0005-0000-0000-00003E0C0000}"/>
    <cellStyle name="Normal 16 2 2" xfId="5674" xr:uid="{00000000-0005-0000-0000-00003F0C0000}"/>
    <cellStyle name="Normal 16 2 3" xfId="6149" xr:uid="{00000000-0005-0000-0000-0000400C0000}"/>
    <cellStyle name="Normal 16 3" xfId="1075" xr:uid="{00000000-0005-0000-0000-0000410C0000}"/>
    <cellStyle name="Normal 16 3 2" xfId="1798" xr:uid="{00000000-0005-0000-0000-0000420C0000}"/>
    <cellStyle name="Normal 16 3 2 2" xfId="3745" xr:uid="{00000000-0005-0000-0000-0000430C0000}"/>
    <cellStyle name="Normal 16 3 3" xfId="2512" xr:uid="{00000000-0005-0000-0000-0000440C0000}"/>
    <cellStyle name="Normal 16 3 3 2" xfId="4441" xr:uid="{00000000-0005-0000-0000-0000450C0000}"/>
    <cellStyle name="Normal 16 3 4" xfId="3143" xr:uid="{00000000-0005-0000-0000-0000460C0000}"/>
    <cellStyle name="Normal 16 4" xfId="5100" xr:uid="{00000000-0005-0000-0000-0000470C0000}"/>
    <cellStyle name="Normal 16 5" xfId="5163" xr:uid="{00000000-0005-0000-0000-0000480C0000}"/>
    <cellStyle name="Normal 160" xfId="1444" xr:uid="{00000000-0005-0000-0000-0000490C0000}"/>
    <cellStyle name="Normal 160 2" xfId="2065" xr:uid="{00000000-0005-0000-0000-00004A0C0000}"/>
    <cellStyle name="Normal 160 2 2" xfId="4009" xr:uid="{00000000-0005-0000-0000-00004B0C0000}"/>
    <cellStyle name="Normal 160 3" xfId="2754" xr:uid="{00000000-0005-0000-0000-00004C0C0000}"/>
    <cellStyle name="Normal 160 3 2" xfId="4680" xr:uid="{00000000-0005-0000-0000-00004D0C0000}"/>
    <cellStyle name="Normal 160 4" xfId="3399" xr:uid="{00000000-0005-0000-0000-00004E0C0000}"/>
    <cellStyle name="Normal 161" xfId="1445" xr:uid="{00000000-0005-0000-0000-00004F0C0000}"/>
    <cellStyle name="Normal 161 2" xfId="2066" xr:uid="{00000000-0005-0000-0000-0000500C0000}"/>
    <cellStyle name="Normal 161 2 2" xfId="4010" xr:uid="{00000000-0005-0000-0000-0000510C0000}"/>
    <cellStyle name="Normal 161 3" xfId="2755" xr:uid="{00000000-0005-0000-0000-0000520C0000}"/>
    <cellStyle name="Normal 161 3 2" xfId="4681" xr:uid="{00000000-0005-0000-0000-0000530C0000}"/>
    <cellStyle name="Normal 161 4" xfId="3400" xr:uid="{00000000-0005-0000-0000-0000540C0000}"/>
    <cellStyle name="Normal 162" xfId="1447" xr:uid="{00000000-0005-0000-0000-0000550C0000}"/>
    <cellStyle name="Normal 162 2" xfId="2067" xr:uid="{00000000-0005-0000-0000-0000560C0000}"/>
    <cellStyle name="Normal 162 2 2" xfId="4011" xr:uid="{00000000-0005-0000-0000-0000570C0000}"/>
    <cellStyle name="Normal 162 3" xfId="2756" xr:uid="{00000000-0005-0000-0000-0000580C0000}"/>
    <cellStyle name="Normal 162 3 2" xfId="4682" xr:uid="{00000000-0005-0000-0000-0000590C0000}"/>
    <cellStyle name="Normal 162 4" xfId="3401" xr:uid="{00000000-0005-0000-0000-00005A0C0000}"/>
    <cellStyle name="Normal 163" xfId="1448" xr:uid="{00000000-0005-0000-0000-00005B0C0000}"/>
    <cellStyle name="Normal 163 2" xfId="2068" xr:uid="{00000000-0005-0000-0000-00005C0C0000}"/>
    <cellStyle name="Normal 163 2 2" xfId="4012" xr:uid="{00000000-0005-0000-0000-00005D0C0000}"/>
    <cellStyle name="Normal 163 3" xfId="2757" xr:uid="{00000000-0005-0000-0000-00005E0C0000}"/>
    <cellStyle name="Normal 163 3 2" xfId="4683" xr:uid="{00000000-0005-0000-0000-00005F0C0000}"/>
    <cellStyle name="Normal 163 4" xfId="3402" xr:uid="{00000000-0005-0000-0000-0000600C0000}"/>
    <cellStyle name="Normal 164" xfId="1605" xr:uid="{00000000-0005-0000-0000-0000610C0000}"/>
    <cellStyle name="Normal 165" xfId="1936" xr:uid="{00000000-0005-0000-0000-0000620C0000}"/>
    <cellStyle name="Normal 166" xfId="2233" xr:uid="{00000000-0005-0000-0000-0000630C0000}"/>
    <cellStyle name="Normal 167" xfId="2327" xr:uid="{00000000-0005-0000-0000-0000640C0000}"/>
    <cellStyle name="Normal 168" xfId="2217" xr:uid="{00000000-0005-0000-0000-0000650C0000}"/>
    <cellStyle name="Normal 169" xfId="2230" xr:uid="{00000000-0005-0000-0000-0000660C0000}"/>
    <cellStyle name="Normal 17" xfId="405" xr:uid="{00000000-0005-0000-0000-0000670C0000}"/>
    <cellStyle name="Normal 17 2" xfId="925" xr:uid="{00000000-0005-0000-0000-0000680C0000}"/>
    <cellStyle name="Normal 17 2 2" xfId="1316" xr:uid="{00000000-0005-0000-0000-0000690C0000}"/>
    <cellStyle name="Normal 17 2 3" xfId="6160" xr:uid="{00000000-0005-0000-0000-00006A0C0000}"/>
    <cellStyle name="Normal 17 3" xfId="5208" xr:uid="{00000000-0005-0000-0000-00006B0C0000}"/>
    <cellStyle name="Normal 170" xfId="2171" xr:uid="{00000000-0005-0000-0000-00006C0C0000}"/>
    <cellStyle name="Normal 171" xfId="2214" xr:uid="{00000000-0005-0000-0000-00006D0C0000}"/>
    <cellStyle name="Normal 172" xfId="2883" xr:uid="{00000000-0005-0000-0000-00006E0C0000}"/>
    <cellStyle name="Normal 173" xfId="4803" xr:uid="{00000000-0005-0000-0000-00006F0C0000}"/>
    <cellStyle name="Normal 173 2" xfId="4809" xr:uid="{00000000-0005-0000-0000-0000700C0000}"/>
    <cellStyle name="Normal 174" xfId="4872" xr:uid="{00000000-0005-0000-0000-0000710C0000}"/>
    <cellStyle name="Normal 175" xfId="4883" xr:uid="{00000000-0005-0000-0000-0000720C0000}"/>
    <cellStyle name="Normal 176" xfId="4884" xr:uid="{00000000-0005-0000-0000-0000730C0000}"/>
    <cellStyle name="Normal 177" xfId="4880" xr:uid="{00000000-0005-0000-0000-0000740C0000}"/>
    <cellStyle name="Normal 178" xfId="4886" xr:uid="{00000000-0005-0000-0000-0000750C0000}"/>
    <cellStyle name="Normal 179" xfId="5029" xr:uid="{00000000-0005-0000-0000-0000760C0000}"/>
    <cellStyle name="Normal 18" xfId="406" xr:uid="{00000000-0005-0000-0000-0000770C0000}"/>
    <cellStyle name="Normal 18 2" xfId="407" xr:uid="{00000000-0005-0000-0000-0000780C0000}"/>
    <cellStyle name="Normal 18 3" xfId="5230" xr:uid="{00000000-0005-0000-0000-0000790C0000}"/>
    <cellStyle name="Normal 180" xfId="5055" xr:uid="{00000000-0005-0000-0000-00007A0C0000}"/>
    <cellStyle name="Normal 181" xfId="5057" xr:uid="{00000000-0005-0000-0000-00007B0C0000}"/>
    <cellStyle name="Normal 182" xfId="5058" xr:uid="{00000000-0005-0000-0000-00007C0C0000}"/>
    <cellStyle name="Normal 183" xfId="5086" xr:uid="{00000000-0005-0000-0000-00007D0C0000}"/>
    <cellStyle name="Normal 184" xfId="5092" xr:uid="{00000000-0005-0000-0000-00007E0C0000}"/>
    <cellStyle name="Normal 185" xfId="5093" xr:uid="{00000000-0005-0000-0000-00007F0C0000}"/>
    <cellStyle name="Normal 186" xfId="5094" xr:uid="{00000000-0005-0000-0000-0000800C0000}"/>
    <cellStyle name="Normal 187" xfId="5095" xr:uid="{00000000-0005-0000-0000-0000810C0000}"/>
    <cellStyle name="Normal 188" xfId="5096" xr:uid="{00000000-0005-0000-0000-0000820C0000}"/>
    <cellStyle name="Normal 189" xfId="5097" xr:uid="{00000000-0005-0000-0000-0000830C0000}"/>
    <cellStyle name="Normal 19" xfId="408" xr:uid="{00000000-0005-0000-0000-0000840C0000}"/>
    <cellStyle name="Normal 19 2" xfId="926" xr:uid="{00000000-0005-0000-0000-0000850C0000}"/>
    <cellStyle name="Normal 19 2 2" xfId="5420" xr:uid="{00000000-0005-0000-0000-0000860C0000}"/>
    <cellStyle name="Normal 19 3" xfId="5236" xr:uid="{00000000-0005-0000-0000-0000870C0000}"/>
    <cellStyle name="Normal 19 3 2" xfId="6169" xr:uid="{00000000-0005-0000-0000-0000880C0000}"/>
    <cellStyle name="Normal 190" xfId="5098" xr:uid="{00000000-0005-0000-0000-0000890C0000}"/>
    <cellStyle name="Normal 191" xfId="5099" xr:uid="{00000000-0005-0000-0000-00008A0C0000}"/>
    <cellStyle name="Normal 192" xfId="5101" xr:uid="{00000000-0005-0000-0000-00008B0C0000}"/>
    <cellStyle name="Normal 193" xfId="5127" xr:uid="{00000000-0005-0000-0000-00008C0C0000}"/>
    <cellStyle name="Normal 194" xfId="5129" xr:uid="{00000000-0005-0000-0000-00008D0C0000}"/>
    <cellStyle name="Normal 195" xfId="5130" xr:uid="{00000000-0005-0000-0000-00008E0C0000}"/>
    <cellStyle name="Normal 196" xfId="5132" xr:uid="{00000000-0005-0000-0000-00008F0C0000}"/>
    <cellStyle name="Normal 197" xfId="5134" xr:uid="{00000000-0005-0000-0000-0000900C0000}"/>
    <cellStyle name="Normal 198" xfId="5135" xr:uid="{00000000-0005-0000-0000-0000910C0000}"/>
    <cellStyle name="Normal 199" xfId="5136" xr:uid="{00000000-0005-0000-0000-0000920C0000}"/>
    <cellStyle name="Normal 2" xfId="123" xr:uid="{00000000-0005-0000-0000-0000930C0000}"/>
    <cellStyle name="Normal 2 10" xfId="1317" xr:uid="{00000000-0005-0000-0000-0000940C0000}"/>
    <cellStyle name="Normal 2 10 2" xfId="5375" xr:uid="{00000000-0005-0000-0000-0000950C0000}"/>
    <cellStyle name="Normal 2 11" xfId="1318" xr:uid="{00000000-0005-0000-0000-0000960C0000}"/>
    <cellStyle name="Normal 2 11 2" xfId="5376" xr:uid="{00000000-0005-0000-0000-0000970C0000}"/>
    <cellStyle name="Normal 2 12" xfId="1319" xr:uid="{00000000-0005-0000-0000-0000980C0000}"/>
    <cellStyle name="Normal 2 12 2" xfId="5377" xr:uid="{00000000-0005-0000-0000-0000990C0000}"/>
    <cellStyle name="Normal 2 13" xfId="1320" xr:uid="{00000000-0005-0000-0000-00009A0C0000}"/>
    <cellStyle name="Normal 2 13 2" xfId="5378" xr:uid="{00000000-0005-0000-0000-00009B0C0000}"/>
    <cellStyle name="Normal 2 14" xfId="1321" xr:uid="{00000000-0005-0000-0000-00009C0C0000}"/>
    <cellStyle name="Normal 2 14 2" xfId="1322" xr:uid="{00000000-0005-0000-0000-00009D0C0000}"/>
    <cellStyle name="Normal 2 14 2 2" xfId="5380" xr:uid="{00000000-0005-0000-0000-00009E0C0000}"/>
    <cellStyle name="Normal 2 14 3" xfId="5379" xr:uid="{00000000-0005-0000-0000-00009F0C0000}"/>
    <cellStyle name="Normal 2 15" xfId="1323" xr:uid="{00000000-0005-0000-0000-0000A00C0000}"/>
    <cellStyle name="Normal 2 15 2" xfId="5381" xr:uid="{00000000-0005-0000-0000-0000A10C0000}"/>
    <cellStyle name="Normal 2 16" xfId="1324" xr:uid="{00000000-0005-0000-0000-0000A20C0000}"/>
    <cellStyle name="Normal 2 16 2" xfId="5421" xr:uid="{00000000-0005-0000-0000-0000A30C0000}"/>
    <cellStyle name="Normal 2 17" xfId="1123" xr:uid="{00000000-0005-0000-0000-0000A40C0000}"/>
    <cellStyle name="Normal 2 17 2" xfId="5647" xr:uid="{00000000-0005-0000-0000-0000A50C0000}"/>
    <cellStyle name="Normal 2 18" xfId="5653" xr:uid="{00000000-0005-0000-0000-0000A60C0000}"/>
    <cellStyle name="Normal 2 19" xfId="5146" xr:uid="{00000000-0005-0000-0000-0000A70C0000}"/>
    <cellStyle name="Normal 2 2" xfId="124" xr:uid="{00000000-0005-0000-0000-0000A80C0000}"/>
    <cellStyle name="Normal 2 2 2" xfId="336" xr:uid="{00000000-0005-0000-0000-0000A90C0000}"/>
    <cellStyle name="Normal 2 2 2 2" xfId="5422" xr:uid="{00000000-0005-0000-0000-0000AA0C0000}"/>
    <cellStyle name="Normal 2 2 2 2 2" xfId="5919" xr:uid="{00000000-0005-0000-0000-0000AB0C0000}"/>
    <cellStyle name="Normal 2 2 2 3" xfId="6166" xr:uid="{00000000-0005-0000-0000-0000AC0C0000}"/>
    <cellStyle name="Normal 2 2 3" xfId="1076" xr:uid="{00000000-0005-0000-0000-0000AD0C0000}"/>
    <cellStyle name="Normal 2 2 3 2" xfId="1225" xr:uid="{00000000-0005-0000-0000-0000AE0C0000}"/>
    <cellStyle name="Normal 2 2 3 3" xfId="1799" xr:uid="{00000000-0005-0000-0000-0000AF0C0000}"/>
    <cellStyle name="Normal 2 2 3 3 2" xfId="3746" xr:uid="{00000000-0005-0000-0000-0000B00C0000}"/>
    <cellStyle name="Normal 2 2 3 4" xfId="2513" xr:uid="{00000000-0005-0000-0000-0000B10C0000}"/>
    <cellStyle name="Normal 2 2 3 4 2" xfId="4442" xr:uid="{00000000-0005-0000-0000-0000B20C0000}"/>
    <cellStyle name="Normal 2 2 3 5" xfId="3144" xr:uid="{00000000-0005-0000-0000-0000B30C0000}"/>
    <cellStyle name="Normal 2 2 3 6" xfId="5423" xr:uid="{00000000-0005-0000-0000-0000B40C0000}"/>
    <cellStyle name="Normal 2 2 4" xfId="5424" xr:uid="{00000000-0005-0000-0000-0000B50C0000}"/>
    <cellStyle name="Normal 2 2 5" xfId="5425" xr:uid="{00000000-0005-0000-0000-0000B60C0000}"/>
    <cellStyle name="Normal 2 2 6" xfId="5654" xr:uid="{00000000-0005-0000-0000-0000B70C0000}"/>
    <cellStyle name="Normal 2 2 6 2" xfId="6101" xr:uid="{00000000-0005-0000-0000-0000B80C0000}"/>
    <cellStyle name="Normal 2 2 6 3" xfId="5895" xr:uid="{00000000-0005-0000-0000-0000B90C0000}"/>
    <cellStyle name="Normal 2 2 7" xfId="5147" xr:uid="{00000000-0005-0000-0000-0000BA0C0000}"/>
    <cellStyle name="Normal 2 2 7 2" xfId="5918" xr:uid="{00000000-0005-0000-0000-0000BB0C0000}"/>
    <cellStyle name="Normal 2 2 8" xfId="6190" xr:uid="{00000000-0005-0000-0000-0000BC0C0000}"/>
    <cellStyle name="Normal 2 2_Data Worksheet" xfId="5591" xr:uid="{00000000-0005-0000-0000-0000BD0C0000}"/>
    <cellStyle name="Normal 2 20" xfId="5676" xr:uid="{00000000-0005-0000-0000-0000BE0C0000}"/>
    <cellStyle name="Normal 2 21" xfId="5687" xr:uid="{00000000-0005-0000-0000-0000BF0C0000}"/>
    <cellStyle name="Normal 2 22" xfId="5689" xr:uid="{00000000-0005-0000-0000-0000C00C0000}"/>
    <cellStyle name="Normal 2 23" xfId="5680" xr:uid="{00000000-0005-0000-0000-0000C10C0000}"/>
    <cellStyle name="Normal 2 24" xfId="5694" xr:uid="{00000000-0005-0000-0000-0000C20C0000}"/>
    <cellStyle name="Normal 2 25" xfId="5683" xr:uid="{00000000-0005-0000-0000-0000C30C0000}"/>
    <cellStyle name="Normal 2 3" xfId="125" xr:uid="{00000000-0005-0000-0000-0000C40C0000}"/>
    <cellStyle name="Normal 2 3 10" xfId="4847" xr:uid="{00000000-0005-0000-0000-0000C50C0000}"/>
    <cellStyle name="Normal 2 3 11" xfId="4926" xr:uid="{00000000-0005-0000-0000-0000C60C0000}"/>
    <cellStyle name="Normal 2 3 12" xfId="4995" xr:uid="{00000000-0005-0000-0000-0000C70C0000}"/>
    <cellStyle name="Normal 2 3 13" xfId="5048" xr:uid="{00000000-0005-0000-0000-0000C80C0000}"/>
    <cellStyle name="Normal 2 3 14" xfId="5080" xr:uid="{00000000-0005-0000-0000-0000C90C0000}"/>
    <cellStyle name="Normal 2 3 15" xfId="5120" xr:uid="{00000000-0005-0000-0000-0000CA0C0000}"/>
    <cellStyle name="Normal 2 3 16" xfId="5332" xr:uid="{00000000-0005-0000-0000-0000CB0C0000}"/>
    <cellStyle name="Normal 2 3 17" xfId="5765" xr:uid="{00000000-0005-0000-0000-0000CC0C0000}"/>
    <cellStyle name="Normal 2 3 2" xfId="196" xr:uid="{00000000-0005-0000-0000-0000CD0C0000}"/>
    <cellStyle name="Normal 2 3 2 2" xfId="1016" xr:uid="{00000000-0005-0000-0000-0000CE0C0000}"/>
    <cellStyle name="Normal 2 3 2 2 2" xfId="1755" xr:uid="{00000000-0005-0000-0000-0000CF0C0000}"/>
    <cellStyle name="Normal 2 3 2 2 2 2" xfId="3702" xr:uid="{00000000-0005-0000-0000-0000D00C0000}"/>
    <cellStyle name="Normal 2 3 2 2 3" xfId="2470" xr:uid="{00000000-0005-0000-0000-0000D10C0000}"/>
    <cellStyle name="Normal 2 3 2 2 3 2" xfId="4399" xr:uid="{00000000-0005-0000-0000-0000D20C0000}"/>
    <cellStyle name="Normal 2 3 2 2 4" xfId="3101" xr:uid="{00000000-0005-0000-0000-0000D30C0000}"/>
    <cellStyle name="Normal 2 3 2 3" xfId="1188" xr:uid="{00000000-0005-0000-0000-0000D40C0000}"/>
    <cellStyle name="Normal 2 3 2 3 2" xfId="1900" xr:uid="{00000000-0005-0000-0000-0000D50C0000}"/>
    <cellStyle name="Normal 2 3 2 3 2 2" xfId="3845" xr:uid="{00000000-0005-0000-0000-0000D60C0000}"/>
    <cellStyle name="Normal 2 3 2 3 3" xfId="2600" xr:uid="{00000000-0005-0000-0000-0000D70C0000}"/>
    <cellStyle name="Normal 2 3 2 3 3 2" xfId="4528" xr:uid="{00000000-0005-0000-0000-0000D80C0000}"/>
    <cellStyle name="Normal 2 3 2 3 4" xfId="3242" xr:uid="{00000000-0005-0000-0000-0000D90C0000}"/>
    <cellStyle name="Normal 2 3 2 4" xfId="1404" xr:uid="{00000000-0005-0000-0000-0000DA0C0000}"/>
    <cellStyle name="Normal 2 3 2 4 2" xfId="2025" xr:uid="{00000000-0005-0000-0000-0000DB0C0000}"/>
    <cellStyle name="Normal 2 3 2 4 2 2" xfId="3969" xr:uid="{00000000-0005-0000-0000-0000DC0C0000}"/>
    <cellStyle name="Normal 2 3 2 4 3" xfId="2714" xr:uid="{00000000-0005-0000-0000-0000DD0C0000}"/>
    <cellStyle name="Normal 2 3 2 4 3 2" xfId="4640" xr:uid="{00000000-0005-0000-0000-0000DE0C0000}"/>
    <cellStyle name="Normal 2 3 2 4 4" xfId="3359" xr:uid="{00000000-0005-0000-0000-0000DF0C0000}"/>
    <cellStyle name="Normal 2 3 2 5" xfId="1507" xr:uid="{00000000-0005-0000-0000-0000E00C0000}"/>
    <cellStyle name="Normal 2 3 2 5 2" xfId="3461" xr:uid="{00000000-0005-0000-0000-0000E10C0000}"/>
    <cellStyle name="Normal 2 3 2 6" xfId="2191" xr:uid="{00000000-0005-0000-0000-0000E20C0000}"/>
    <cellStyle name="Normal 2 3 2 6 2" xfId="4133" xr:uid="{00000000-0005-0000-0000-0000E30C0000}"/>
    <cellStyle name="Normal 2 3 2 7" xfId="2914" xr:uid="{00000000-0005-0000-0000-0000E40C0000}"/>
    <cellStyle name="Normal 2 3 2 8" xfId="5426" xr:uid="{00000000-0005-0000-0000-0000E50C0000}"/>
    <cellStyle name="Normal 2 3 3" xfId="1077" xr:uid="{00000000-0005-0000-0000-0000E60C0000}"/>
    <cellStyle name="Normal 2 3 3 2" xfId="5920" xr:uid="{00000000-0005-0000-0000-0000E70C0000}"/>
    <cellStyle name="Normal 2 3 4" xfId="817" xr:uid="{00000000-0005-0000-0000-0000E80C0000}"/>
    <cellStyle name="Normal 2 3 4 2" xfId="1689" xr:uid="{00000000-0005-0000-0000-0000E90C0000}"/>
    <cellStyle name="Normal 2 3 4 2 2" xfId="3637" xr:uid="{00000000-0005-0000-0000-0000EA0C0000}"/>
    <cellStyle name="Normal 2 3 4 3" xfId="2397" xr:uid="{00000000-0005-0000-0000-0000EB0C0000}"/>
    <cellStyle name="Normal 2 3 4 3 2" xfId="4329" xr:uid="{00000000-0005-0000-0000-0000EC0C0000}"/>
    <cellStyle name="Normal 2 3 4 4" xfId="3043" xr:uid="{00000000-0005-0000-0000-0000ED0C0000}"/>
    <cellStyle name="Normal 2 3 4 5" xfId="6008" xr:uid="{00000000-0005-0000-0000-0000EE0C0000}"/>
    <cellStyle name="Normal 2 3 5" xfId="1138" xr:uid="{00000000-0005-0000-0000-0000EF0C0000}"/>
    <cellStyle name="Normal 2 3 5 2" xfId="1852" xr:uid="{00000000-0005-0000-0000-0000F00C0000}"/>
    <cellStyle name="Normal 2 3 5 2 2" xfId="3797" xr:uid="{00000000-0005-0000-0000-0000F10C0000}"/>
    <cellStyle name="Normal 2 3 5 3" xfId="2562" xr:uid="{00000000-0005-0000-0000-0000F20C0000}"/>
    <cellStyle name="Normal 2 3 5 3 2" xfId="4491" xr:uid="{00000000-0005-0000-0000-0000F30C0000}"/>
    <cellStyle name="Normal 2 3 5 4" xfId="3195" xr:uid="{00000000-0005-0000-0000-0000F40C0000}"/>
    <cellStyle name="Normal 2 3 5 5" xfId="6118" xr:uid="{00000000-0005-0000-0000-0000F50C0000}"/>
    <cellStyle name="Normal 2 3 6" xfId="1371" xr:uid="{00000000-0005-0000-0000-0000F60C0000}"/>
    <cellStyle name="Normal 2 3 6 2" xfId="1992" xr:uid="{00000000-0005-0000-0000-0000F70C0000}"/>
    <cellStyle name="Normal 2 3 6 2 2" xfId="3936" xr:uid="{00000000-0005-0000-0000-0000F80C0000}"/>
    <cellStyle name="Normal 2 3 6 3" xfId="2681" xr:uid="{00000000-0005-0000-0000-0000F90C0000}"/>
    <cellStyle name="Normal 2 3 6 3 2" xfId="4607" xr:uid="{00000000-0005-0000-0000-0000FA0C0000}"/>
    <cellStyle name="Normal 2 3 6 4" xfId="3326" xr:uid="{00000000-0005-0000-0000-0000FB0C0000}"/>
    <cellStyle name="Normal 2 3 7" xfId="1476" xr:uid="{00000000-0005-0000-0000-0000FC0C0000}"/>
    <cellStyle name="Normal 2 3 7 2" xfId="3430" xr:uid="{00000000-0005-0000-0000-0000FD0C0000}"/>
    <cellStyle name="Normal 2 3 8" xfId="2166" xr:uid="{00000000-0005-0000-0000-0000FE0C0000}"/>
    <cellStyle name="Normal 2 3 8 2" xfId="4109" xr:uid="{00000000-0005-0000-0000-0000FF0C0000}"/>
    <cellStyle name="Normal 2 3 9" xfId="2893" xr:uid="{00000000-0005-0000-0000-0000000D0000}"/>
    <cellStyle name="Normal 2 4" xfId="337" xr:uid="{00000000-0005-0000-0000-0000010D0000}"/>
    <cellStyle name="Normal 2 4 2" xfId="1078" xr:uid="{00000000-0005-0000-0000-0000020D0000}"/>
    <cellStyle name="Normal 2 4 2 2" xfId="5427" xr:uid="{00000000-0005-0000-0000-0000030D0000}"/>
    <cellStyle name="Normal 2 4 3" xfId="818" xr:uid="{00000000-0005-0000-0000-0000040D0000}"/>
    <cellStyle name="Normal 2 4 3 2" xfId="5921" xr:uid="{00000000-0005-0000-0000-0000050D0000}"/>
    <cellStyle name="Normal 2 4 4" xfId="5382" xr:uid="{00000000-0005-0000-0000-0000060D0000}"/>
    <cellStyle name="Normal 2 5" xfId="1079" xr:uid="{00000000-0005-0000-0000-0000070D0000}"/>
    <cellStyle name="Normal 2 5 2" xfId="1325" xr:uid="{00000000-0005-0000-0000-0000080D0000}"/>
    <cellStyle name="Normal 2 5 2 2" xfId="5428" xr:uid="{00000000-0005-0000-0000-0000090D0000}"/>
    <cellStyle name="Normal 2 5 3" xfId="1162" xr:uid="{00000000-0005-0000-0000-00000A0D0000}"/>
    <cellStyle name="Normal 2 5 4" xfId="1800" xr:uid="{00000000-0005-0000-0000-00000B0D0000}"/>
    <cellStyle name="Normal 2 5 4 2" xfId="3747" xr:uid="{00000000-0005-0000-0000-00000C0D0000}"/>
    <cellStyle name="Normal 2 5 5" xfId="2514" xr:uid="{00000000-0005-0000-0000-00000D0D0000}"/>
    <cellStyle name="Normal 2 5 5 2" xfId="4443" xr:uid="{00000000-0005-0000-0000-00000E0D0000}"/>
    <cellStyle name="Normal 2 5 6" xfId="3145" xr:uid="{00000000-0005-0000-0000-00000F0D0000}"/>
    <cellStyle name="Normal 2 5 7" xfId="5383" xr:uid="{00000000-0005-0000-0000-0000100D0000}"/>
    <cellStyle name="Normal 2 6" xfId="1080" xr:uid="{00000000-0005-0000-0000-0000110D0000}"/>
    <cellStyle name="Normal 2 6 2" xfId="1326" xr:uid="{00000000-0005-0000-0000-0000120D0000}"/>
    <cellStyle name="Normal 2 6 2 2" xfId="5429" xr:uid="{00000000-0005-0000-0000-0000130D0000}"/>
    <cellStyle name="Normal 2 6 3" xfId="1801" xr:uid="{00000000-0005-0000-0000-0000140D0000}"/>
    <cellStyle name="Normal 2 6 3 2" xfId="3748" xr:uid="{00000000-0005-0000-0000-0000150D0000}"/>
    <cellStyle name="Normal 2 6 4" xfId="2515" xr:uid="{00000000-0005-0000-0000-0000160D0000}"/>
    <cellStyle name="Normal 2 6 4 2" xfId="4444" xr:uid="{00000000-0005-0000-0000-0000170D0000}"/>
    <cellStyle name="Normal 2 6 5" xfId="3146" xr:uid="{00000000-0005-0000-0000-0000180D0000}"/>
    <cellStyle name="Normal 2 6 6" xfId="5384" xr:uid="{00000000-0005-0000-0000-0000190D0000}"/>
    <cellStyle name="Normal 2 7" xfId="816" xr:uid="{00000000-0005-0000-0000-00001A0D0000}"/>
    <cellStyle name="Normal 2 7 2" xfId="1327" xr:uid="{00000000-0005-0000-0000-00001B0D0000}"/>
    <cellStyle name="Normal 2 7 2 2" xfId="5430" xr:uid="{00000000-0005-0000-0000-00001C0D0000}"/>
    <cellStyle name="Normal 2 7 3" xfId="5664" xr:uid="{00000000-0005-0000-0000-00001D0D0000}"/>
    <cellStyle name="Normal 2 7 4" xfId="5385" xr:uid="{00000000-0005-0000-0000-00001E0D0000}"/>
    <cellStyle name="Normal 2 8" xfId="1328" xr:uid="{00000000-0005-0000-0000-00001F0D0000}"/>
    <cellStyle name="Normal 2 8 2" xfId="5431" xr:uid="{00000000-0005-0000-0000-0000200D0000}"/>
    <cellStyle name="Normal 2 8 3" xfId="5386" xr:uid="{00000000-0005-0000-0000-0000210D0000}"/>
    <cellStyle name="Normal 2 9" xfId="1329" xr:uid="{00000000-0005-0000-0000-0000220D0000}"/>
    <cellStyle name="Normal 2 9 2" xfId="5387" xr:uid="{00000000-0005-0000-0000-0000230D0000}"/>
    <cellStyle name="Normal 2_4th Qt EGG DATA  2011" xfId="126" xr:uid="{00000000-0005-0000-0000-0000240D0000}"/>
    <cellStyle name="Normal 2_Rebased Real GDP Series 1 April 2011" xfId="127" xr:uid="{00000000-0005-0000-0000-0000250D0000}"/>
    <cellStyle name="Normal 20" xfId="498" xr:uid="{00000000-0005-0000-0000-0000260D0000}"/>
    <cellStyle name="Normal 20 2" xfId="1017" xr:uid="{00000000-0005-0000-0000-0000270D0000}"/>
    <cellStyle name="Normal 20 2 2" xfId="6170" xr:uid="{00000000-0005-0000-0000-0000280D0000}"/>
    <cellStyle name="Normal 20 3" xfId="5233" xr:uid="{00000000-0005-0000-0000-0000290D0000}"/>
    <cellStyle name="Normal 200" xfId="5137" xr:uid="{00000000-0005-0000-0000-00002A0D0000}"/>
    <cellStyle name="Normal 201" xfId="5138" xr:uid="{00000000-0005-0000-0000-00002B0D0000}"/>
    <cellStyle name="Normal 202" xfId="5139" xr:uid="{00000000-0005-0000-0000-00002C0D0000}"/>
    <cellStyle name="Normal 203" xfId="5140" xr:uid="{00000000-0005-0000-0000-00002D0D0000}"/>
    <cellStyle name="Normal 204" xfId="5141" xr:uid="{00000000-0005-0000-0000-00002E0D0000}"/>
    <cellStyle name="Normal 205" xfId="5675" xr:uid="{00000000-0005-0000-0000-00002F0D0000}"/>
    <cellStyle name="Normal 206" xfId="5682" xr:uid="{00000000-0005-0000-0000-0000300D0000}"/>
    <cellStyle name="Normal 207" xfId="5688" xr:uid="{00000000-0005-0000-0000-0000310D0000}"/>
    <cellStyle name="Normal 208" xfId="5678" xr:uid="{00000000-0005-0000-0000-0000320D0000}"/>
    <cellStyle name="Normal 209" xfId="5695" xr:uid="{00000000-0005-0000-0000-0000330D0000}"/>
    <cellStyle name="Normal 21" xfId="499" xr:uid="{00000000-0005-0000-0000-0000340D0000}"/>
    <cellStyle name="Normal 21 2" xfId="1018" xr:uid="{00000000-0005-0000-0000-0000350D0000}"/>
    <cellStyle name="Normal 21 2 2" xfId="5432" xr:uid="{00000000-0005-0000-0000-0000360D0000}"/>
    <cellStyle name="Normal 21 3" xfId="5234" xr:uid="{00000000-0005-0000-0000-0000370D0000}"/>
    <cellStyle name="Normal 21 3 2" xfId="6173" xr:uid="{00000000-0005-0000-0000-0000380D0000}"/>
    <cellStyle name="Normal 210" xfId="5692" xr:uid="{00000000-0005-0000-0000-0000390D0000}"/>
    <cellStyle name="Normal 211" xfId="5697" xr:uid="{00000000-0005-0000-0000-00003A0D0000}"/>
    <cellStyle name="Normal 212" xfId="6193" xr:uid="{00000000-0005-0000-0000-00003B0D0000}"/>
    <cellStyle name="Normal 22" xfId="423" xr:uid="{00000000-0005-0000-0000-00003C0D0000}"/>
    <cellStyle name="Normal 22 2" xfId="1019" xr:uid="{00000000-0005-0000-0000-00003D0D0000}"/>
    <cellStyle name="Normal 22 3" xfId="5231" xr:uid="{00000000-0005-0000-0000-00003E0D0000}"/>
    <cellStyle name="Normal 23" xfId="500" xr:uid="{00000000-0005-0000-0000-00003F0D0000}"/>
    <cellStyle name="Normal 23 2" xfId="501" xr:uid="{00000000-0005-0000-0000-0000400D0000}"/>
    <cellStyle name="Normal 23 2 2" xfId="1020" xr:uid="{00000000-0005-0000-0000-0000410D0000}"/>
    <cellStyle name="Normal 23 2 2 2" xfId="1756" xr:uid="{00000000-0005-0000-0000-0000420D0000}"/>
    <cellStyle name="Normal 23 2 2 2 2" xfId="3703" xr:uid="{00000000-0005-0000-0000-0000430D0000}"/>
    <cellStyle name="Normal 23 2 2 3" xfId="2471" xr:uid="{00000000-0005-0000-0000-0000440D0000}"/>
    <cellStyle name="Normal 23 2 2 3 2" xfId="4400" xr:uid="{00000000-0005-0000-0000-0000450D0000}"/>
    <cellStyle name="Normal 23 2 2 4" xfId="3102" xr:uid="{00000000-0005-0000-0000-0000460D0000}"/>
    <cellStyle name="Normal 23 2 2 5" xfId="6009" xr:uid="{00000000-0005-0000-0000-0000470D0000}"/>
    <cellStyle name="Normal 23 2 3" xfId="1189" xr:uid="{00000000-0005-0000-0000-0000480D0000}"/>
    <cellStyle name="Normal 23 2 3 2" xfId="1901" xr:uid="{00000000-0005-0000-0000-0000490D0000}"/>
    <cellStyle name="Normal 23 2 3 2 2" xfId="3846" xr:uid="{00000000-0005-0000-0000-00004A0D0000}"/>
    <cellStyle name="Normal 23 2 3 3" xfId="2601" xr:uid="{00000000-0005-0000-0000-00004B0D0000}"/>
    <cellStyle name="Normal 23 2 3 3 2" xfId="4529" xr:uid="{00000000-0005-0000-0000-00004C0D0000}"/>
    <cellStyle name="Normal 23 2 3 4" xfId="3243" xr:uid="{00000000-0005-0000-0000-00004D0D0000}"/>
    <cellStyle name="Normal 23 2 4" xfId="1405" xr:uid="{00000000-0005-0000-0000-00004E0D0000}"/>
    <cellStyle name="Normal 23 2 4 2" xfId="2026" xr:uid="{00000000-0005-0000-0000-00004F0D0000}"/>
    <cellStyle name="Normal 23 2 4 2 2" xfId="3970" xr:uid="{00000000-0005-0000-0000-0000500D0000}"/>
    <cellStyle name="Normal 23 2 4 3" xfId="2715" xr:uid="{00000000-0005-0000-0000-0000510D0000}"/>
    <cellStyle name="Normal 23 2 4 3 2" xfId="4641" xr:uid="{00000000-0005-0000-0000-0000520D0000}"/>
    <cellStyle name="Normal 23 2 4 4" xfId="3360" xr:uid="{00000000-0005-0000-0000-0000530D0000}"/>
    <cellStyle name="Normal 23 2 5" xfId="1571" xr:uid="{00000000-0005-0000-0000-0000540D0000}"/>
    <cellStyle name="Normal 23 2 5 2" xfId="3525" xr:uid="{00000000-0005-0000-0000-0000550D0000}"/>
    <cellStyle name="Normal 23 2 6" xfId="2274" xr:uid="{00000000-0005-0000-0000-0000560D0000}"/>
    <cellStyle name="Normal 23 2 6 2" xfId="4209" xr:uid="{00000000-0005-0000-0000-0000570D0000}"/>
    <cellStyle name="Normal 23 2 7" xfId="2955" xr:uid="{00000000-0005-0000-0000-0000580D0000}"/>
    <cellStyle name="Normal 23 2 8" xfId="5333" xr:uid="{00000000-0005-0000-0000-0000590D0000}"/>
    <cellStyle name="Normal 23 2 9" xfId="5766" xr:uid="{00000000-0005-0000-0000-00005A0D0000}"/>
    <cellStyle name="Normal 23 3" xfId="5232" xr:uid="{00000000-0005-0000-0000-00005B0D0000}"/>
    <cellStyle name="Normal 24" xfId="502" xr:uid="{00000000-0005-0000-0000-00005C0D0000}"/>
    <cellStyle name="Normal 24 2" xfId="503" xr:uid="{00000000-0005-0000-0000-00005D0D0000}"/>
    <cellStyle name="Normal 24 2 2" xfId="1021" xr:uid="{00000000-0005-0000-0000-00005E0D0000}"/>
    <cellStyle name="Normal 24 2 2 2" xfId="1757" xr:uid="{00000000-0005-0000-0000-00005F0D0000}"/>
    <cellStyle name="Normal 24 2 2 2 2" xfId="3704" xr:uid="{00000000-0005-0000-0000-0000600D0000}"/>
    <cellStyle name="Normal 24 2 2 3" xfId="2472" xr:uid="{00000000-0005-0000-0000-0000610D0000}"/>
    <cellStyle name="Normal 24 2 2 3 2" xfId="4401" xr:uid="{00000000-0005-0000-0000-0000620D0000}"/>
    <cellStyle name="Normal 24 2 2 4" xfId="3103" xr:uid="{00000000-0005-0000-0000-0000630D0000}"/>
    <cellStyle name="Normal 24 2 2 5" xfId="5996" xr:uid="{00000000-0005-0000-0000-0000640D0000}"/>
    <cellStyle name="Normal 24 2 3" xfId="1190" xr:uid="{00000000-0005-0000-0000-0000650D0000}"/>
    <cellStyle name="Normal 24 2 3 2" xfId="1902" xr:uid="{00000000-0005-0000-0000-0000660D0000}"/>
    <cellStyle name="Normal 24 2 3 2 2" xfId="3847" xr:uid="{00000000-0005-0000-0000-0000670D0000}"/>
    <cellStyle name="Normal 24 2 3 3" xfId="2602" xr:uid="{00000000-0005-0000-0000-0000680D0000}"/>
    <cellStyle name="Normal 24 2 3 3 2" xfId="4530" xr:uid="{00000000-0005-0000-0000-0000690D0000}"/>
    <cellStyle name="Normal 24 2 3 4" xfId="3244" xr:uid="{00000000-0005-0000-0000-00006A0D0000}"/>
    <cellStyle name="Normal 24 2 4" xfId="1406" xr:uid="{00000000-0005-0000-0000-00006B0D0000}"/>
    <cellStyle name="Normal 24 2 4 2" xfId="2027" xr:uid="{00000000-0005-0000-0000-00006C0D0000}"/>
    <cellStyle name="Normal 24 2 4 2 2" xfId="3971" xr:uid="{00000000-0005-0000-0000-00006D0D0000}"/>
    <cellStyle name="Normal 24 2 4 3" xfId="2716" xr:uid="{00000000-0005-0000-0000-00006E0D0000}"/>
    <cellStyle name="Normal 24 2 4 3 2" xfId="4642" xr:uid="{00000000-0005-0000-0000-00006F0D0000}"/>
    <cellStyle name="Normal 24 2 4 4" xfId="3361" xr:uid="{00000000-0005-0000-0000-0000700D0000}"/>
    <cellStyle name="Normal 24 2 5" xfId="1573" xr:uid="{00000000-0005-0000-0000-0000710D0000}"/>
    <cellStyle name="Normal 24 2 5 2" xfId="3527" xr:uid="{00000000-0005-0000-0000-0000720D0000}"/>
    <cellStyle name="Normal 24 2 6" xfId="2275" xr:uid="{00000000-0005-0000-0000-0000730D0000}"/>
    <cellStyle name="Normal 24 2 6 2" xfId="4210" xr:uid="{00000000-0005-0000-0000-0000740D0000}"/>
    <cellStyle name="Normal 24 2 7" xfId="2956" xr:uid="{00000000-0005-0000-0000-0000750D0000}"/>
    <cellStyle name="Normal 24 2 8" xfId="5238" xr:uid="{00000000-0005-0000-0000-0000760D0000}"/>
    <cellStyle name="Normal 24 2 9" xfId="5749" xr:uid="{00000000-0005-0000-0000-0000770D0000}"/>
    <cellStyle name="Normal 24 3" xfId="504" xr:uid="{00000000-0005-0000-0000-0000780D0000}"/>
    <cellStyle name="Normal 24 3 2" xfId="1022" xr:uid="{00000000-0005-0000-0000-0000790D0000}"/>
    <cellStyle name="Normal 24 3 2 2" xfId="1758" xr:uid="{00000000-0005-0000-0000-00007A0D0000}"/>
    <cellStyle name="Normal 24 3 2 2 2" xfId="3705" xr:uid="{00000000-0005-0000-0000-00007B0D0000}"/>
    <cellStyle name="Normal 24 3 2 3" xfId="2473" xr:uid="{00000000-0005-0000-0000-00007C0D0000}"/>
    <cellStyle name="Normal 24 3 2 3 2" xfId="4402" xr:uid="{00000000-0005-0000-0000-00007D0D0000}"/>
    <cellStyle name="Normal 24 3 2 4" xfId="3104" xr:uid="{00000000-0005-0000-0000-00007E0D0000}"/>
    <cellStyle name="Normal 24 3 2 5" xfId="6010" xr:uid="{00000000-0005-0000-0000-00007F0D0000}"/>
    <cellStyle name="Normal 24 3 3" xfId="1191" xr:uid="{00000000-0005-0000-0000-0000800D0000}"/>
    <cellStyle name="Normal 24 3 3 2" xfId="1903" xr:uid="{00000000-0005-0000-0000-0000810D0000}"/>
    <cellStyle name="Normal 24 3 3 2 2" xfId="3848" xr:uid="{00000000-0005-0000-0000-0000820D0000}"/>
    <cellStyle name="Normal 24 3 3 3" xfId="2603" xr:uid="{00000000-0005-0000-0000-0000830D0000}"/>
    <cellStyle name="Normal 24 3 3 3 2" xfId="4531" xr:uid="{00000000-0005-0000-0000-0000840D0000}"/>
    <cellStyle name="Normal 24 3 3 4" xfId="3245" xr:uid="{00000000-0005-0000-0000-0000850D0000}"/>
    <cellStyle name="Normal 24 3 4" xfId="1407" xr:uid="{00000000-0005-0000-0000-0000860D0000}"/>
    <cellStyle name="Normal 24 3 4 2" xfId="2028" xr:uid="{00000000-0005-0000-0000-0000870D0000}"/>
    <cellStyle name="Normal 24 3 4 2 2" xfId="3972" xr:uid="{00000000-0005-0000-0000-0000880D0000}"/>
    <cellStyle name="Normal 24 3 4 3" xfId="2717" xr:uid="{00000000-0005-0000-0000-0000890D0000}"/>
    <cellStyle name="Normal 24 3 4 3 2" xfId="4643" xr:uid="{00000000-0005-0000-0000-00008A0D0000}"/>
    <cellStyle name="Normal 24 3 4 4" xfId="3362" xr:uid="{00000000-0005-0000-0000-00008B0D0000}"/>
    <cellStyle name="Normal 24 3 5" xfId="1574" xr:uid="{00000000-0005-0000-0000-00008C0D0000}"/>
    <cellStyle name="Normal 24 3 5 2" xfId="3528" xr:uid="{00000000-0005-0000-0000-00008D0D0000}"/>
    <cellStyle name="Normal 24 3 6" xfId="2276" xr:uid="{00000000-0005-0000-0000-00008E0D0000}"/>
    <cellStyle name="Normal 24 3 6 2" xfId="4211" xr:uid="{00000000-0005-0000-0000-00008F0D0000}"/>
    <cellStyle name="Normal 24 3 7" xfId="2957" xr:uid="{00000000-0005-0000-0000-0000900D0000}"/>
    <cellStyle name="Normal 24 3 8" xfId="5334" xr:uid="{00000000-0005-0000-0000-0000910D0000}"/>
    <cellStyle name="Normal 24 3 9" xfId="5767" xr:uid="{00000000-0005-0000-0000-0000920D0000}"/>
    <cellStyle name="Normal 24 4" xfId="5235" xr:uid="{00000000-0005-0000-0000-0000930D0000}"/>
    <cellStyle name="Normal 25" xfId="505" xr:uid="{00000000-0005-0000-0000-0000940D0000}"/>
    <cellStyle name="Normal 25 2" xfId="1023" xr:uid="{00000000-0005-0000-0000-0000950D0000}"/>
    <cellStyle name="Normal 25 2 2" xfId="1759" xr:uid="{00000000-0005-0000-0000-0000960D0000}"/>
    <cellStyle name="Normal 25 2 2 2" xfId="3706" xr:uid="{00000000-0005-0000-0000-0000970D0000}"/>
    <cellStyle name="Normal 25 2 3" xfId="2474" xr:uid="{00000000-0005-0000-0000-0000980D0000}"/>
    <cellStyle name="Normal 25 2 3 2" xfId="4403" xr:uid="{00000000-0005-0000-0000-0000990D0000}"/>
    <cellStyle name="Normal 25 2 4" xfId="3105" xr:uid="{00000000-0005-0000-0000-00009A0D0000}"/>
    <cellStyle name="Normal 25 2 5" xfId="5973" xr:uid="{00000000-0005-0000-0000-00009B0D0000}"/>
    <cellStyle name="Normal 25 3" xfId="1192" xr:uid="{00000000-0005-0000-0000-00009C0D0000}"/>
    <cellStyle name="Normal 25 3 2" xfId="1904" xr:uid="{00000000-0005-0000-0000-00009D0D0000}"/>
    <cellStyle name="Normal 25 3 2 2" xfId="3849" xr:uid="{00000000-0005-0000-0000-00009E0D0000}"/>
    <cellStyle name="Normal 25 3 3" xfId="2604" xr:uid="{00000000-0005-0000-0000-00009F0D0000}"/>
    <cellStyle name="Normal 25 3 3 2" xfId="4532" xr:uid="{00000000-0005-0000-0000-0000A00D0000}"/>
    <cellStyle name="Normal 25 3 4" xfId="3246" xr:uid="{00000000-0005-0000-0000-0000A10D0000}"/>
    <cellStyle name="Normal 25 4" xfId="1408" xr:uid="{00000000-0005-0000-0000-0000A20D0000}"/>
    <cellStyle name="Normal 25 4 2" xfId="2029" xr:uid="{00000000-0005-0000-0000-0000A30D0000}"/>
    <cellStyle name="Normal 25 4 2 2" xfId="3973" xr:uid="{00000000-0005-0000-0000-0000A40D0000}"/>
    <cellStyle name="Normal 25 4 3" xfId="2718" xr:uid="{00000000-0005-0000-0000-0000A50D0000}"/>
    <cellStyle name="Normal 25 4 3 2" xfId="4644" xr:uid="{00000000-0005-0000-0000-0000A60D0000}"/>
    <cellStyle name="Normal 25 4 4" xfId="3363" xr:uid="{00000000-0005-0000-0000-0000A70D0000}"/>
    <cellStyle name="Normal 25 5" xfId="1575" xr:uid="{00000000-0005-0000-0000-0000A80D0000}"/>
    <cellStyle name="Normal 25 5 2" xfId="3529" xr:uid="{00000000-0005-0000-0000-0000A90D0000}"/>
    <cellStyle name="Normal 25 6" xfId="2277" xr:uid="{00000000-0005-0000-0000-0000AA0D0000}"/>
    <cellStyle name="Normal 25 6 2" xfId="4212" xr:uid="{00000000-0005-0000-0000-0000AB0D0000}"/>
    <cellStyle name="Normal 25 7" xfId="2958" xr:uid="{00000000-0005-0000-0000-0000AC0D0000}"/>
    <cellStyle name="Normal 25 8" xfId="5207" xr:uid="{00000000-0005-0000-0000-0000AD0D0000}"/>
    <cellStyle name="Normal 25 9" xfId="5726" xr:uid="{00000000-0005-0000-0000-0000AE0D0000}"/>
    <cellStyle name="Normal 26" xfId="506" xr:uid="{00000000-0005-0000-0000-0000AF0D0000}"/>
    <cellStyle name="Normal 26 2" xfId="1024" xr:uid="{00000000-0005-0000-0000-0000B00D0000}"/>
    <cellStyle name="Normal 26 2 2" xfId="1760" xr:uid="{00000000-0005-0000-0000-0000B10D0000}"/>
    <cellStyle name="Normal 26 2 2 2" xfId="3707" xr:uid="{00000000-0005-0000-0000-0000B20D0000}"/>
    <cellStyle name="Normal 26 2 3" xfId="2475" xr:uid="{00000000-0005-0000-0000-0000B30D0000}"/>
    <cellStyle name="Normal 26 2 3 2" xfId="4404" xr:uid="{00000000-0005-0000-0000-0000B40D0000}"/>
    <cellStyle name="Normal 26 2 4" xfId="3106" xr:uid="{00000000-0005-0000-0000-0000B50D0000}"/>
    <cellStyle name="Normal 26 2 5" xfId="5984" xr:uid="{00000000-0005-0000-0000-0000B60D0000}"/>
    <cellStyle name="Normal 26 3" xfId="1193" xr:uid="{00000000-0005-0000-0000-0000B70D0000}"/>
    <cellStyle name="Normal 26 3 2" xfId="1905" xr:uid="{00000000-0005-0000-0000-0000B80D0000}"/>
    <cellStyle name="Normal 26 3 2 2" xfId="3850" xr:uid="{00000000-0005-0000-0000-0000B90D0000}"/>
    <cellStyle name="Normal 26 3 3" xfId="2605" xr:uid="{00000000-0005-0000-0000-0000BA0D0000}"/>
    <cellStyle name="Normal 26 3 3 2" xfId="4533" xr:uid="{00000000-0005-0000-0000-0000BB0D0000}"/>
    <cellStyle name="Normal 26 3 4" xfId="3247" xr:uid="{00000000-0005-0000-0000-0000BC0D0000}"/>
    <cellStyle name="Normal 26 4" xfId="1409" xr:uid="{00000000-0005-0000-0000-0000BD0D0000}"/>
    <cellStyle name="Normal 26 4 2" xfId="2030" xr:uid="{00000000-0005-0000-0000-0000BE0D0000}"/>
    <cellStyle name="Normal 26 4 2 2" xfId="3974" xr:uid="{00000000-0005-0000-0000-0000BF0D0000}"/>
    <cellStyle name="Normal 26 4 3" xfId="2719" xr:uid="{00000000-0005-0000-0000-0000C00D0000}"/>
    <cellStyle name="Normal 26 4 3 2" xfId="4645" xr:uid="{00000000-0005-0000-0000-0000C10D0000}"/>
    <cellStyle name="Normal 26 4 4" xfId="3364" xr:uid="{00000000-0005-0000-0000-0000C20D0000}"/>
    <cellStyle name="Normal 26 5" xfId="1576" xr:uid="{00000000-0005-0000-0000-0000C30D0000}"/>
    <cellStyle name="Normal 26 5 2" xfId="3530" xr:uid="{00000000-0005-0000-0000-0000C40D0000}"/>
    <cellStyle name="Normal 26 6" xfId="2278" xr:uid="{00000000-0005-0000-0000-0000C50D0000}"/>
    <cellStyle name="Normal 26 6 2" xfId="4213" xr:uid="{00000000-0005-0000-0000-0000C60D0000}"/>
    <cellStyle name="Normal 26 7" xfId="2959" xr:uid="{00000000-0005-0000-0000-0000C70D0000}"/>
    <cellStyle name="Normal 26 8" xfId="5219" xr:uid="{00000000-0005-0000-0000-0000C80D0000}"/>
    <cellStyle name="Normal 26 9" xfId="5737" xr:uid="{00000000-0005-0000-0000-0000C90D0000}"/>
    <cellStyle name="Normal 27" xfId="507" xr:uid="{00000000-0005-0000-0000-0000CA0D0000}"/>
    <cellStyle name="Normal 27 2" xfId="1025" xr:uid="{00000000-0005-0000-0000-0000CB0D0000}"/>
    <cellStyle name="Normal 27 2 2" xfId="1761" xr:uid="{00000000-0005-0000-0000-0000CC0D0000}"/>
    <cellStyle name="Normal 27 2 2 2" xfId="3708" xr:uid="{00000000-0005-0000-0000-0000CD0D0000}"/>
    <cellStyle name="Normal 27 2 3" xfId="2476" xr:uid="{00000000-0005-0000-0000-0000CE0D0000}"/>
    <cellStyle name="Normal 27 2 3 2" xfId="4405" xr:uid="{00000000-0005-0000-0000-0000CF0D0000}"/>
    <cellStyle name="Normal 27 2 4" xfId="3107" xr:uid="{00000000-0005-0000-0000-0000D00D0000}"/>
    <cellStyle name="Normal 27 2 5" xfId="5995" xr:uid="{00000000-0005-0000-0000-0000D10D0000}"/>
    <cellStyle name="Normal 27 3" xfId="1194" xr:uid="{00000000-0005-0000-0000-0000D20D0000}"/>
    <cellStyle name="Normal 27 3 2" xfId="1906" xr:uid="{00000000-0005-0000-0000-0000D30D0000}"/>
    <cellStyle name="Normal 27 3 2 2" xfId="3851" xr:uid="{00000000-0005-0000-0000-0000D40D0000}"/>
    <cellStyle name="Normal 27 3 3" xfId="2606" xr:uid="{00000000-0005-0000-0000-0000D50D0000}"/>
    <cellStyle name="Normal 27 3 3 2" xfId="4534" xr:uid="{00000000-0005-0000-0000-0000D60D0000}"/>
    <cellStyle name="Normal 27 3 4" xfId="3248" xr:uid="{00000000-0005-0000-0000-0000D70D0000}"/>
    <cellStyle name="Normal 27 4" xfId="1410" xr:uid="{00000000-0005-0000-0000-0000D80D0000}"/>
    <cellStyle name="Normal 27 4 2" xfId="2031" xr:uid="{00000000-0005-0000-0000-0000D90D0000}"/>
    <cellStyle name="Normal 27 4 2 2" xfId="3975" xr:uid="{00000000-0005-0000-0000-0000DA0D0000}"/>
    <cellStyle name="Normal 27 4 3" xfId="2720" xr:uid="{00000000-0005-0000-0000-0000DB0D0000}"/>
    <cellStyle name="Normal 27 4 3 2" xfId="4646" xr:uid="{00000000-0005-0000-0000-0000DC0D0000}"/>
    <cellStyle name="Normal 27 4 4" xfId="3365" xr:uid="{00000000-0005-0000-0000-0000DD0D0000}"/>
    <cellStyle name="Normal 27 5" xfId="1577" xr:uid="{00000000-0005-0000-0000-0000DE0D0000}"/>
    <cellStyle name="Normal 27 5 2" xfId="3531" xr:uid="{00000000-0005-0000-0000-0000DF0D0000}"/>
    <cellStyle name="Normal 27 6" xfId="2279" xr:uid="{00000000-0005-0000-0000-0000E00D0000}"/>
    <cellStyle name="Normal 27 6 2" xfId="4214" xr:uid="{00000000-0005-0000-0000-0000E10D0000}"/>
    <cellStyle name="Normal 27 7" xfId="2960" xr:uid="{00000000-0005-0000-0000-0000E20D0000}"/>
    <cellStyle name="Normal 27 8" xfId="5237" xr:uid="{00000000-0005-0000-0000-0000E30D0000}"/>
    <cellStyle name="Normal 27 9" xfId="5748" xr:uid="{00000000-0005-0000-0000-0000E40D0000}"/>
    <cellStyle name="Normal 28" xfId="508" xr:uid="{00000000-0005-0000-0000-0000E50D0000}"/>
    <cellStyle name="Normal 28 2" xfId="5335" xr:uid="{00000000-0005-0000-0000-0000E60D0000}"/>
    <cellStyle name="Normal 29" xfId="509" xr:uid="{00000000-0005-0000-0000-0000E70D0000}"/>
    <cellStyle name="Normal 29 2" xfId="5433" xr:uid="{00000000-0005-0000-0000-0000E80D0000}"/>
    <cellStyle name="Normal 29 3" xfId="5336" xr:uid="{00000000-0005-0000-0000-0000E90D0000}"/>
    <cellStyle name="Normal 3" xfId="128" xr:uid="{00000000-0005-0000-0000-0000EA0D0000}"/>
    <cellStyle name="Normal 3 10" xfId="5592" xr:uid="{00000000-0005-0000-0000-0000EB0D0000}"/>
    <cellStyle name="Normal 3 11" xfId="5593" xr:uid="{00000000-0005-0000-0000-0000EC0D0000}"/>
    <cellStyle name="Normal 3 12" xfId="5594" xr:uid="{00000000-0005-0000-0000-0000ED0D0000}"/>
    <cellStyle name="Normal 3 13" xfId="5655" xr:uid="{00000000-0005-0000-0000-0000EE0D0000}"/>
    <cellStyle name="Normal 3 13 2" xfId="6102" xr:uid="{00000000-0005-0000-0000-0000EF0D0000}"/>
    <cellStyle name="Normal 3 13 3" xfId="5896" xr:uid="{00000000-0005-0000-0000-0000F00D0000}"/>
    <cellStyle name="Normal 3 14" xfId="5148" xr:uid="{00000000-0005-0000-0000-0000F10D0000}"/>
    <cellStyle name="Normal 3 14 2" xfId="5922" xr:uid="{00000000-0005-0000-0000-0000F20D0000}"/>
    <cellStyle name="Normal 3 15" xfId="6115" xr:uid="{00000000-0005-0000-0000-0000F30D0000}"/>
    <cellStyle name="Normal 3 2" xfId="129" xr:uid="{00000000-0005-0000-0000-0000F40D0000}"/>
    <cellStyle name="Normal 3 2 2" xfId="338" xr:uid="{00000000-0005-0000-0000-0000F50D0000}"/>
    <cellStyle name="Normal 3 2 2 2" xfId="5434" xr:uid="{00000000-0005-0000-0000-0000F60D0000}"/>
    <cellStyle name="Normal 3 2 3" xfId="1081" xr:uid="{00000000-0005-0000-0000-0000F70D0000}"/>
    <cellStyle name="Normal 3 2 3 2" xfId="1234" xr:uid="{00000000-0005-0000-0000-0000F80D0000}"/>
    <cellStyle name="Normal 3 2 3 3" xfId="1802" xr:uid="{00000000-0005-0000-0000-0000F90D0000}"/>
    <cellStyle name="Normal 3 2 3 3 2" xfId="3749" xr:uid="{00000000-0005-0000-0000-0000FA0D0000}"/>
    <cellStyle name="Normal 3 2 3 4" xfId="2516" xr:uid="{00000000-0005-0000-0000-0000FB0D0000}"/>
    <cellStyle name="Normal 3 2 3 4 2" xfId="4445" xr:uid="{00000000-0005-0000-0000-0000FC0D0000}"/>
    <cellStyle name="Normal 3 2 3 5" xfId="3147" xr:uid="{00000000-0005-0000-0000-0000FD0D0000}"/>
    <cellStyle name="Normal 3 2 3 6" xfId="5435" xr:uid="{00000000-0005-0000-0000-0000FE0D0000}"/>
    <cellStyle name="Normal 3 2 4" xfId="5337" xr:uid="{00000000-0005-0000-0000-0000FF0D0000}"/>
    <cellStyle name="Normal 3 2 4 2" xfId="5923" xr:uid="{00000000-0005-0000-0000-0000000E0000}"/>
    <cellStyle name="Normal 3 2 5" xfId="6191" xr:uid="{00000000-0005-0000-0000-0000010E0000}"/>
    <cellStyle name="Normal 3 2_LT Fiscal Projections - BASE CASE AXA" xfId="5595" xr:uid="{00000000-0005-0000-0000-0000020E0000}"/>
    <cellStyle name="Normal 3 3" xfId="130" xr:uid="{00000000-0005-0000-0000-0000030E0000}"/>
    <cellStyle name="Normal 3 3 2" xfId="339" xr:uid="{00000000-0005-0000-0000-0000040E0000}"/>
    <cellStyle name="Normal 3 3 2 2" xfId="5436" xr:uid="{00000000-0005-0000-0000-0000050E0000}"/>
    <cellStyle name="Normal 3 3 3" xfId="5338" xr:uid="{00000000-0005-0000-0000-0000060E0000}"/>
    <cellStyle name="Normal 3 4" xfId="340" xr:uid="{00000000-0005-0000-0000-0000070E0000}"/>
    <cellStyle name="Normal 3 4 2" xfId="820" xr:uid="{00000000-0005-0000-0000-0000080E0000}"/>
    <cellStyle name="Normal 3 4 2 2" xfId="1330" xr:uid="{00000000-0005-0000-0000-0000090E0000}"/>
    <cellStyle name="Normal 3 4 2 2 2" xfId="1968" xr:uid="{00000000-0005-0000-0000-00000A0E0000}"/>
    <cellStyle name="Normal 3 4 2 2 2 2" xfId="3912" xr:uid="{00000000-0005-0000-0000-00000B0E0000}"/>
    <cellStyle name="Normal 3 4 2 2 3" xfId="2659" xr:uid="{00000000-0005-0000-0000-00000C0E0000}"/>
    <cellStyle name="Normal 3 4 2 2 3 2" xfId="4586" xr:uid="{00000000-0005-0000-0000-00000D0E0000}"/>
    <cellStyle name="Normal 3 4 2 2 4" xfId="3304" xr:uid="{00000000-0005-0000-0000-00000E0E0000}"/>
    <cellStyle name="Normal 3 4 2 3" xfId="1439" xr:uid="{00000000-0005-0000-0000-00000F0E0000}"/>
    <cellStyle name="Normal 3 4 2 3 2" xfId="2060" xr:uid="{00000000-0005-0000-0000-0000100E0000}"/>
    <cellStyle name="Normal 3 4 2 3 2 2" xfId="4004" xr:uid="{00000000-0005-0000-0000-0000110E0000}"/>
    <cellStyle name="Normal 3 4 2 3 3" xfId="2749" xr:uid="{00000000-0005-0000-0000-0000120E0000}"/>
    <cellStyle name="Normal 3 4 2 3 3 2" xfId="4675" xr:uid="{00000000-0005-0000-0000-0000130E0000}"/>
    <cellStyle name="Normal 3 4 2 3 4" xfId="3394" xr:uid="{00000000-0005-0000-0000-0000140E0000}"/>
    <cellStyle name="Normal 3 4 2 4" xfId="5437" xr:uid="{00000000-0005-0000-0000-0000150E0000}"/>
    <cellStyle name="Normal 3 4 3" xfId="5339" xr:uid="{00000000-0005-0000-0000-0000160E0000}"/>
    <cellStyle name="Normal 3 4 3 2" xfId="6011" xr:uid="{00000000-0005-0000-0000-0000170E0000}"/>
    <cellStyle name="Normal 3 4 4" xfId="5768" xr:uid="{00000000-0005-0000-0000-0000180E0000}"/>
    <cellStyle name="Normal 3 5" xfId="409" xr:uid="{00000000-0005-0000-0000-0000190E0000}"/>
    <cellStyle name="Normal 3 5 2" xfId="821" xr:uid="{00000000-0005-0000-0000-00001A0E0000}"/>
    <cellStyle name="Normal 3 5 2 2" xfId="1331" xr:uid="{00000000-0005-0000-0000-00001B0E0000}"/>
    <cellStyle name="Normal 3 5 2 3" xfId="1691" xr:uid="{00000000-0005-0000-0000-00001C0E0000}"/>
    <cellStyle name="Normal 3 5 2 3 2" xfId="3639" xr:uid="{00000000-0005-0000-0000-00001D0E0000}"/>
    <cellStyle name="Normal 3 5 2 4" xfId="2398" xr:uid="{00000000-0005-0000-0000-00001E0E0000}"/>
    <cellStyle name="Normal 3 5 2 4 2" xfId="4330" xr:uid="{00000000-0005-0000-0000-00001F0E0000}"/>
    <cellStyle name="Normal 3 5 2 5" xfId="3044" xr:uid="{00000000-0005-0000-0000-0000200E0000}"/>
    <cellStyle name="Normal 3 5 3" xfId="1139" xr:uid="{00000000-0005-0000-0000-0000210E0000}"/>
    <cellStyle name="Normal 3 5 3 2" xfId="1853" xr:uid="{00000000-0005-0000-0000-0000220E0000}"/>
    <cellStyle name="Normal 3 5 3 2 2" xfId="3798" xr:uid="{00000000-0005-0000-0000-0000230E0000}"/>
    <cellStyle name="Normal 3 5 3 3" xfId="2563" xr:uid="{00000000-0005-0000-0000-0000240E0000}"/>
    <cellStyle name="Normal 3 5 3 3 2" xfId="4492" xr:uid="{00000000-0005-0000-0000-0000250E0000}"/>
    <cellStyle name="Normal 3 5 3 4" xfId="3196" xr:uid="{00000000-0005-0000-0000-0000260E0000}"/>
    <cellStyle name="Normal 3 5 4" xfId="1372" xr:uid="{00000000-0005-0000-0000-0000270E0000}"/>
    <cellStyle name="Normal 3 5 4 2" xfId="1993" xr:uid="{00000000-0005-0000-0000-0000280E0000}"/>
    <cellStyle name="Normal 3 5 4 2 2" xfId="3937" xr:uid="{00000000-0005-0000-0000-0000290E0000}"/>
    <cellStyle name="Normal 3 5 4 3" xfId="2682" xr:uid="{00000000-0005-0000-0000-00002A0E0000}"/>
    <cellStyle name="Normal 3 5 4 3 2" xfId="4608" xr:uid="{00000000-0005-0000-0000-00002B0E0000}"/>
    <cellStyle name="Normal 3 5 4 4" xfId="3327" xr:uid="{00000000-0005-0000-0000-00002C0E0000}"/>
    <cellStyle name="Normal 3 5 5" xfId="1539" xr:uid="{00000000-0005-0000-0000-00002D0E0000}"/>
    <cellStyle name="Normal 3 5 5 2" xfId="3493" xr:uid="{00000000-0005-0000-0000-00002E0E0000}"/>
    <cellStyle name="Normal 3 5 6" xfId="2243" xr:uid="{00000000-0005-0000-0000-00002F0E0000}"/>
    <cellStyle name="Normal 3 5 6 2" xfId="4178" xr:uid="{00000000-0005-0000-0000-0000300E0000}"/>
    <cellStyle name="Normal 3 5 7" xfId="2939" xr:uid="{00000000-0005-0000-0000-0000310E0000}"/>
    <cellStyle name="Normal 3 5 8" xfId="5389" xr:uid="{00000000-0005-0000-0000-0000320E0000}"/>
    <cellStyle name="Normal 3 6" xfId="819" xr:uid="{00000000-0005-0000-0000-0000330E0000}"/>
    <cellStyle name="Normal 3 6 2" xfId="1351" xr:uid="{00000000-0005-0000-0000-0000340E0000}"/>
    <cellStyle name="Normal 3 6 3" xfId="5596" xr:uid="{00000000-0005-0000-0000-0000350E0000}"/>
    <cellStyle name="Normal 3 7" xfId="1233" xr:uid="{00000000-0005-0000-0000-0000360E0000}"/>
    <cellStyle name="Normal 3 7 2" xfId="5597" xr:uid="{00000000-0005-0000-0000-0000370E0000}"/>
    <cellStyle name="Normal 3 8" xfId="5598" xr:uid="{00000000-0005-0000-0000-0000380E0000}"/>
    <cellStyle name="Normal 3 9" xfId="5599" xr:uid="{00000000-0005-0000-0000-0000390E0000}"/>
    <cellStyle name="Normal 3_Compilation Rebasing Worksheet_Mission January 2010" xfId="5438" xr:uid="{00000000-0005-0000-0000-00003A0E0000}"/>
    <cellStyle name="Normal 30" xfId="510" xr:uid="{00000000-0005-0000-0000-00003B0E0000}"/>
    <cellStyle name="Normal 30 2" xfId="5340" xr:uid="{00000000-0005-0000-0000-00003C0E0000}"/>
    <cellStyle name="Normal 31" xfId="511" xr:uid="{00000000-0005-0000-0000-00003D0E0000}"/>
    <cellStyle name="Normal 31 2" xfId="5439" xr:uid="{00000000-0005-0000-0000-00003E0E0000}"/>
    <cellStyle name="Normal 31 3" xfId="5341" xr:uid="{00000000-0005-0000-0000-00003F0E0000}"/>
    <cellStyle name="Normal 32" xfId="512" xr:uid="{00000000-0005-0000-0000-0000400E0000}"/>
    <cellStyle name="Normal 32 2" xfId="5440" xr:uid="{00000000-0005-0000-0000-0000410E0000}"/>
    <cellStyle name="Normal 32 3" xfId="5342" xr:uid="{00000000-0005-0000-0000-0000420E0000}"/>
    <cellStyle name="Normal 33" xfId="513" xr:uid="{00000000-0005-0000-0000-0000430E0000}"/>
    <cellStyle name="Normal 33 2" xfId="1027" xr:uid="{00000000-0005-0000-0000-0000440E0000}"/>
    <cellStyle name="Normal 33 2 2" xfId="1763" xr:uid="{00000000-0005-0000-0000-0000450E0000}"/>
    <cellStyle name="Normal 33 2 2 2" xfId="3710" xr:uid="{00000000-0005-0000-0000-0000460E0000}"/>
    <cellStyle name="Normal 33 2 3" xfId="2478" xr:uid="{00000000-0005-0000-0000-0000470E0000}"/>
    <cellStyle name="Normal 33 2 3 2" xfId="4407" xr:uid="{00000000-0005-0000-0000-0000480E0000}"/>
    <cellStyle name="Normal 33 2 4" xfId="3109" xr:uid="{00000000-0005-0000-0000-0000490E0000}"/>
    <cellStyle name="Normal 33 2 5" xfId="6020" xr:uid="{00000000-0005-0000-0000-00004A0E0000}"/>
    <cellStyle name="Normal 33 3" xfId="1195" xr:uid="{00000000-0005-0000-0000-00004B0E0000}"/>
    <cellStyle name="Normal 33 3 2" xfId="1907" xr:uid="{00000000-0005-0000-0000-00004C0E0000}"/>
    <cellStyle name="Normal 33 3 2 2" xfId="3852" xr:uid="{00000000-0005-0000-0000-00004D0E0000}"/>
    <cellStyle name="Normal 33 3 3" xfId="2607" xr:uid="{00000000-0005-0000-0000-00004E0E0000}"/>
    <cellStyle name="Normal 33 3 3 2" xfId="4535" xr:uid="{00000000-0005-0000-0000-00004F0E0000}"/>
    <cellStyle name="Normal 33 3 4" xfId="3249" xr:uid="{00000000-0005-0000-0000-0000500E0000}"/>
    <cellStyle name="Normal 33 4" xfId="1411" xr:uid="{00000000-0005-0000-0000-0000510E0000}"/>
    <cellStyle name="Normal 33 4 2" xfId="2032" xr:uid="{00000000-0005-0000-0000-0000520E0000}"/>
    <cellStyle name="Normal 33 4 2 2" xfId="3976" xr:uid="{00000000-0005-0000-0000-0000530E0000}"/>
    <cellStyle name="Normal 33 4 3" xfId="2721" xr:uid="{00000000-0005-0000-0000-0000540E0000}"/>
    <cellStyle name="Normal 33 4 3 2" xfId="4647" xr:uid="{00000000-0005-0000-0000-0000550E0000}"/>
    <cellStyle name="Normal 33 4 4" xfId="3366" xr:uid="{00000000-0005-0000-0000-0000560E0000}"/>
    <cellStyle name="Normal 33 5" xfId="1581" xr:uid="{00000000-0005-0000-0000-0000570E0000}"/>
    <cellStyle name="Normal 33 5 2" xfId="3535" xr:uid="{00000000-0005-0000-0000-0000580E0000}"/>
    <cellStyle name="Normal 33 6" xfId="2280" xr:uid="{00000000-0005-0000-0000-0000590E0000}"/>
    <cellStyle name="Normal 33 6 2" xfId="4215" xr:uid="{00000000-0005-0000-0000-00005A0E0000}"/>
    <cellStyle name="Normal 33 7" xfId="2961" xr:uid="{00000000-0005-0000-0000-00005B0E0000}"/>
    <cellStyle name="Normal 33 8" xfId="5370" xr:uid="{00000000-0005-0000-0000-00005C0E0000}"/>
    <cellStyle name="Normal 33 9" xfId="5783" xr:uid="{00000000-0005-0000-0000-00005D0E0000}"/>
    <cellStyle name="Normal 34" xfId="514" xr:uid="{00000000-0005-0000-0000-00005E0E0000}"/>
    <cellStyle name="Normal 34 10" xfId="5784" xr:uid="{00000000-0005-0000-0000-00005F0E0000}"/>
    <cellStyle name="Normal 34 2" xfId="1028" xr:uid="{00000000-0005-0000-0000-0000600E0000}"/>
    <cellStyle name="Normal 34 2 2" xfId="1333" xr:uid="{00000000-0005-0000-0000-0000610E0000}"/>
    <cellStyle name="Normal 34 2 3" xfId="1764" xr:uid="{00000000-0005-0000-0000-0000620E0000}"/>
    <cellStyle name="Normal 34 2 3 2" xfId="3711" xr:uid="{00000000-0005-0000-0000-0000630E0000}"/>
    <cellStyle name="Normal 34 2 4" xfId="2479" xr:uid="{00000000-0005-0000-0000-0000640E0000}"/>
    <cellStyle name="Normal 34 2 4 2" xfId="4408" xr:uid="{00000000-0005-0000-0000-0000650E0000}"/>
    <cellStyle name="Normal 34 2 5" xfId="3110" xr:uid="{00000000-0005-0000-0000-0000660E0000}"/>
    <cellStyle name="Normal 34 2 6" xfId="6021" xr:uid="{00000000-0005-0000-0000-0000670E0000}"/>
    <cellStyle name="Normal 34 3" xfId="1332" xr:uid="{00000000-0005-0000-0000-0000680E0000}"/>
    <cellStyle name="Normal 34 4" xfId="1196" xr:uid="{00000000-0005-0000-0000-0000690E0000}"/>
    <cellStyle name="Normal 34 4 2" xfId="1908" xr:uid="{00000000-0005-0000-0000-00006A0E0000}"/>
    <cellStyle name="Normal 34 4 2 2" xfId="3853" xr:uid="{00000000-0005-0000-0000-00006B0E0000}"/>
    <cellStyle name="Normal 34 4 3" xfId="2608" xr:uid="{00000000-0005-0000-0000-00006C0E0000}"/>
    <cellStyle name="Normal 34 4 3 2" xfId="4536" xr:uid="{00000000-0005-0000-0000-00006D0E0000}"/>
    <cellStyle name="Normal 34 4 4" xfId="3250" xr:uid="{00000000-0005-0000-0000-00006E0E0000}"/>
    <cellStyle name="Normal 34 5" xfId="1412" xr:uid="{00000000-0005-0000-0000-00006F0E0000}"/>
    <cellStyle name="Normal 34 5 2" xfId="2033" xr:uid="{00000000-0005-0000-0000-0000700E0000}"/>
    <cellStyle name="Normal 34 5 2 2" xfId="3977" xr:uid="{00000000-0005-0000-0000-0000710E0000}"/>
    <cellStyle name="Normal 34 5 3" xfId="2722" xr:uid="{00000000-0005-0000-0000-0000720E0000}"/>
    <cellStyle name="Normal 34 5 3 2" xfId="4648" xr:uid="{00000000-0005-0000-0000-0000730E0000}"/>
    <cellStyle name="Normal 34 5 4" xfId="3367" xr:uid="{00000000-0005-0000-0000-0000740E0000}"/>
    <cellStyle name="Normal 34 6" xfId="1582" xr:uid="{00000000-0005-0000-0000-0000750E0000}"/>
    <cellStyle name="Normal 34 6 2" xfId="3536" xr:uid="{00000000-0005-0000-0000-0000760E0000}"/>
    <cellStyle name="Normal 34 7" xfId="2281" xr:uid="{00000000-0005-0000-0000-0000770E0000}"/>
    <cellStyle name="Normal 34 7 2" xfId="4216" xr:uid="{00000000-0005-0000-0000-0000780E0000}"/>
    <cellStyle name="Normal 34 8" xfId="2962" xr:uid="{00000000-0005-0000-0000-0000790E0000}"/>
    <cellStyle name="Normal 34 9" xfId="5371" xr:uid="{00000000-0005-0000-0000-00007A0E0000}"/>
    <cellStyle name="Normal 344" xfId="5441" xr:uid="{00000000-0005-0000-0000-00007B0E0000}"/>
    <cellStyle name="Normal 344 10" xfId="5442" xr:uid="{00000000-0005-0000-0000-00007C0E0000}"/>
    <cellStyle name="Normal 344 10 2" xfId="6028" xr:uid="{00000000-0005-0000-0000-00007D0E0000}"/>
    <cellStyle name="Normal 344 10 3" xfId="5791" xr:uid="{00000000-0005-0000-0000-00007E0E0000}"/>
    <cellStyle name="Normal 344 11" xfId="5443" xr:uid="{00000000-0005-0000-0000-00007F0E0000}"/>
    <cellStyle name="Normal 344 11 2" xfId="6029" xr:uid="{00000000-0005-0000-0000-0000800E0000}"/>
    <cellStyle name="Normal 344 11 3" xfId="5792" xr:uid="{00000000-0005-0000-0000-0000810E0000}"/>
    <cellStyle name="Normal 344 12" xfId="5444" xr:uid="{00000000-0005-0000-0000-0000820E0000}"/>
    <cellStyle name="Normal 344 12 2" xfId="6030" xr:uid="{00000000-0005-0000-0000-0000830E0000}"/>
    <cellStyle name="Normal 344 12 3" xfId="5793" xr:uid="{00000000-0005-0000-0000-0000840E0000}"/>
    <cellStyle name="Normal 344 13" xfId="5445" xr:uid="{00000000-0005-0000-0000-0000850E0000}"/>
    <cellStyle name="Normal 344 13 2" xfId="6031" xr:uid="{00000000-0005-0000-0000-0000860E0000}"/>
    <cellStyle name="Normal 344 13 3" xfId="5794" xr:uid="{00000000-0005-0000-0000-0000870E0000}"/>
    <cellStyle name="Normal 344 14" xfId="5446" xr:uid="{00000000-0005-0000-0000-0000880E0000}"/>
    <cellStyle name="Normal 344 14 2" xfId="6032" xr:uid="{00000000-0005-0000-0000-0000890E0000}"/>
    <cellStyle name="Normal 344 14 3" xfId="5795" xr:uid="{00000000-0005-0000-0000-00008A0E0000}"/>
    <cellStyle name="Normal 344 15" xfId="5447" xr:uid="{00000000-0005-0000-0000-00008B0E0000}"/>
    <cellStyle name="Normal 344 15 2" xfId="6033" xr:uid="{00000000-0005-0000-0000-00008C0E0000}"/>
    <cellStyle name="Normal 344 15 3" xfId="5796" xr:uid="{00000000-0005-0000-0000-00008D0E0000}"/>
    <cellStyle name="Normal 344 16" xfId="5448" xr:uid="{00000000-0005-0000-0000-00008E0E0000}"/>
    <cellStyle name="Normal 344 16 2" xfId="6034" xr:uid="{00000000-0005-0000-0000-00008F0E0000}"/>
    <cellStyle name="Normal 344 16 3" xfId="5797" xr:uid="{00000000-0005-0000-0000-0000900E0000}"/>
    <cellStyle name="Normal 344 17" xfId="5449" xr:uid="{00000000-0005-0000-0000-0000910E0000}"/>
    <cellStyle name="Normal 344 17 2" xfId="6035" xr:uid="{00000000-0005-0000-0000-0000920E0000}"/>
    <cellStyle name="Normal 344 17 3" xfId="5798" xr:uid="{00000000-0005-0000-0000-0000930E0000}"/>
    <cellStyle name="Normal 344 18" xfId="5450" xr:uid="{00000000-0005-0000-0000-0000940E0000}"/>
    <cellStyle name="Normal 344 18 2" xfId="6036" xr:uid="{00000000-0005-0000-0000-0000950E0000}"/>
    <cellStyle name="Normal 344 18 3" xfId="5799" xr:uid="{00000000-0005-0000-0000-0000960E0000}"/>
    <cellStyle name="Normal 344 19" xfId="5661" xr:uid="{00000000-0005-0000-0000-0000970E0000}"/>
    <cellStyle name="Normal 344 2" xfId="5451" xr:uid="{00000000-0005-0000-0000-0000980E0000}"/>
    <cellStyle name="Normal 344 2 10" xfId="5452" xr:uid="{00000000-0005-0000-0000-0000990E0000}"/>
    <cellStyle name="Normal 344 2 10 2" xfId="6038" xr:uid="{00000000-0005-0000-0000-00009A0E0000}"/>
    <cellStyle name="Normal 344 2 10 3" xfId="5801" xr:uid="{00000000-0005-0000-0000-00009B0E0000}"/>
    <cellStyle name="Normal 344 2 11" xfId="5453" xr:uid="{00000000-0005-0000-0000-00009C0E0000}"/>
    <cellStyle name="Normal 344 2 11 2" xfId="6039" xr:uid="{00000000-0005-0000-0000-00009D0E0000}"/>
    <cellStyle name="Normal 344 2 11 3" xfId="5802" xr:uid="{00000000-0005-0000-0000-00009E0E0000}"/>
    <cellStyle name="Normal 344 2 12" xfId="5454" xr:uid="{00000000-0005-0000-0000-00009F0E0000}"/>
    <cellStyle name="Normal 344 2 12 2" xfId="6040" xr:uid="{00000000-0005-0000-0000-0000A00E0000}"/>
    <cellStyle name="Normal 344 2 12 3" xfId="5803" xr:uid="{00000000-0005-0000-0000-0000A10E0000}"/>
    <cellStyle name="Normal 344 2 13" xfId="5455" xr:uid="{00000000-0005-0000-0000-0000A20E0000}"/>
    <cellStyle name="Normal 344 2 13 2" xfId="6041" xr:uid="{00000000-0005-0000-0000-0000A30E0000}"/>
    <cellStyle name="Normal 344 2 13 3" xfId="5804" xr:uid="{00000000-0005-0000-0000-0000A40E0000}"/>
    <cellStyle name="Normal 344 2 14" xfId="5456" xr:uid="{00000000-0005-0000-0000-0000A50E0000}"/>
    <cellStyle name="Normal 344 2 14 2" xfId="6042" xr:uid="{00000000-0005-0000-0000-0000A60E0000}"/>
    <cellStyle name="Normal 344 2 14 3" xfId="5805" xr:uid="{00000000-0005-0000-0000-0000A70E0000}"/>
    <cellStyle name="Normal 344 2 15" xfId="5457" xr:uid="{00000000-0005-0000-0000-0000A80E0000}"/>
    <cellStyle name="Normal 344 2 15 2" xfId="6043" xr:uid="{00000000-0005-0000-0000-0000A90E0000}"/>
    <cellStyle name="Normal 344 2 15 3" xfId="5806" xr:uid="{00000000-0005-0000-0000-0000AA0E0000}"/>
    <cellStyle name="Normal 344 2 16" xfId="5458" xr:uid="{00000000-0005-0000-0000-0000AB0E0000}"/>
    <cellStyle name="Normal 344 2 16 2" xfId="6044" xr:uid="{00000000-0005-0000-0000-0000AC0E0000}"/>
    <cellStyle name="Normal 344 2 16 3" xfId="5807" xr:uid="{00000000-0005-0000-0000-0000AD0E0000}"/>
    <cellStyle name="Normal 344 2 17" xfId="6037" xr:uid="{00000000-0005-0000-0000-0000AE0E0000}"/>
    <cellStyle name="Normal 344 2 18" xfId="5800" xr:uid="{00000000-0005-0000-0000-0000AF0E0000}"/>
    <cellStyle name="Normal 344 2 2" xfId="5459" xr:uid="{00000000-0005-0000-0000-0000B00E0000}"/>
    <cellStyle name="Normal 344 2 2 2" xfId="6045" xr:uid="{00000000-0005-0000-0000-0000B10E0000}"/>
    <cellStyle name="Normal 344 2 2 3" xfId="5808" xr:uid="{00000000-0005-0000-0000-0000B20E0000}"/>
    <cellStyle name="Normal 344 2 3" xfId="5460" xr:uid="{00000000-0005-0000-0000-0000B30E0000}"/>
    <cellStyle name="Normal 344 2 3 2" xfId="6046" xr:uid="{00000000-0005-0000-0000-0000B40E0000}"/>
    <cellStyle name="Normal 344 2 3 3" xfId="5809" xr:uid="{00000000-0005-0000-0000-0000B50E0000}"/>
    <cellStyle name="Normal 344 2 4" xfId="5461" xr:uid="{00000000-0005-0000-0000-0000B60E0000}"/>
    <cellStyle name="Normal 344 2 4 2" xfId="6047" xr:uid="{00000000-0005-0000-0000-0000B70E0000}"/>
    <cellStyle name="Normal 344 2 4 3" xfId="5810" xr:uid="{00000000-0005-0000-0000-0000B80E0000}"/>
    <cellStyle name="Normal 344 2 5" xfId="5462" xr:uid="{00000000-0005-0000-0000-0000B90E0000}"/>
    <cellStyle name="Normal 344 2 5 2" xfId="6048" xr:uid="{00000000-0005-0000-0000-0000BA0E0000}"/>
    <cellStyle name="Normal 344 2 5 3" xfId="5811" xr:uid="{00000000-0005-0000-0000-0000BB0E0000}"/>
    <cellStyle name="Normal 344 2 6" xfId="5463" xr:uid="{00000000-0005-0000-0000-0000BC0E0000}"/>
    <cellStyle name="Normal 344 2 6 2" xfId="6049" xr:uid="{00000000-0005-0000-0000-0000BD0E0000}"/>
    <cellStyle name="Normal 344 2 6 3" xfId="5812" xr:uid="{00000000-0005-0000-0000-0000BE0E0000}"/>
    <cellStyle name="Normal 344 2 7" xfId="5464" xr:uid="{00000000-0005-0000-0000-0000BF0E0000}"/>
    <cellStyle name="Normal 344 2 7 2" xfId="6050" xr:uid="{00000000-0005-0000-0000-0000C00E0000}"/>
    <cellStyle name="Normal 344 2 7 3" xfId="5813" xr:uid="{00000000-0005-0000-0000-0000C10E0000}"/>
    <cellStyle name="Normal 344 2 8" xfId="5465" xr:uid="{00000000-0005-0000-0000-0000C20E0000}"/>
    <cellStyle name="Normal 344 2 8 2" xfId="6051" xr:uid="{00000000-0005-0000-0000-0000C30E0000}"/>
    <cellStyle name="Normal 344 2 8 3" xfId="5814" xr:uid="{00000000-0005-0000-0000-0000C40E0000}"/>
    <cellStyle name="Normal 344 2 9" xfId="5466" xr:uid="{00000000-0005-0000-0000-0000C50E0000}"/>
    <cellStyle name="Normal 344 2 9 2" xfId="6052" xr:uid="{00000000-0005-0000-0000-0000C60E0000}"/>
    <cellStyle name="Normal 344 2 9 3" xfId="5815" xr:uid="{00000000-0005-0000-0000-0000C70E0000}"/>
    <cellStyle name="Normal 344 20" xfId="6027" xr:uid="{00000000-0005-0000-0000-0000C80E0000}"/>
    <cellStyle name="Normal 344 21" xfId="5790" xr:uid="{00000000-0005-0000-0000-0000C90E0000}"/>
    <cellStyle name="Normal 344 3" xfId="5467" xr:uid="{00000000-0005-0000-0000-0000CA0E0000}"/>
    <cellStyle name="Normal 344 3 10" xfId="5468" xr:uid="{00000000-0005-0000-0000-0000CB0E0000}"/>
    <cellStyle name="Normal 344 3 10 2" xfId="6054" xr:uid="{00000000-0005-0000-0000-0000CC0E0000}"/>
    <cellStyle name="Normal 344 3 10 3" xfId="5817" xr:uid="{00000000-0005-0000-0000-0000CD0E0000}"/>
    <cellStyle name="Normal 344 3 11" xfId="5469" xr:uid="{00000000-0005-0000-0000-0000CE0E0000}"/>
    <cellStyle name="Normal 344 3 11 2" xfId="6055" xr:uid="{00000000-0005-0000-0000-0000CF0E0000}"/>
    <cellStyle name="Normal 344 3 11 3" xfId="5818" xr:uid="{00000000-0005-0000-0000-0000D00E0000}"/>
    <cellStyle name="Normal 344 3 12" xfId="5470" xr:uid="{00000000-0005-0000-0000-0000D10E0000}"/>
    <cellStyle name="Normal 344 3 12 2" xfId="6056" xr:uid="{00000000-0005-0000-0000-0000D20E0000}"/>
    <cellStyle name="Normal 344 3 12 3" xfId="5819" xr:uid="{00000000-0005-0000-0000-0000D30E0000}"/>
    <cellStyle name="Normal 344 3 13" xfId="5471" xr:uid="{00000000-0005-0000-0000-0000D40E0000}"/>
    <cellStyle name="Normal 344 3 13 2" xfId="6057" xr:uid="{00000000-0005-0000-0000-0000D50E0000}"/>
    <cellStyle name="Normal 344 3 13 3" xfId="5820" xr:uid="{00000000-0005-0000-0000-0000D60E0000}"/>
    <cellStyle name="Normal 344 3 14" xfId="5472" xr:uid="{00000000-0005-0000-0000-0000D70E0000}"/>
    <cellStyle name="Normal 344 3 14 2" xfId="6058" xr:uid="{00000000-0005-0000-0000-0000D80E0000}"/>
    <cellStyle name="Normal 344 3 14 3" xfId="5821" xr:uid="{00000000-0005-0000-0000-0000D90E0000}"/>
    <cellStyle name="Normal 344 3 15" xfId="5473" xr:uid="{00000000-0005-0000-0000-0000DA0E0000}"/>
    <cellStyle name="Normal 344 3 15 2" xfId="6059" xr:uid="{00000000-0005-0000-0000-0000DB0E0000}"/>
    <cellStyle name="Normal 344 3 15 3" xfId="5822" xr:uid="{00000000-0005-0000-0000-0000DC0E0000}"/>
    <cellStyle name="Normal 344 3 16" xfId="5474" xr:uid="{00000000-0005-0000-0000-0000DD0E0000}"/>
    <cellStyle name="Normal 344 3 16 2" xfId="6060" xr:uid="{00000000-0005-0000-0000-0000DE0E0000}"/>
    <cellStyle name="Normal 344 3 16 3" xfId="5823" xr:uid="{00000000-0005-0000-0000-0000DF0E0000}"/>
    <cellStyle name="Normal 344 3 17" xfId="6053" xr:uid="{00000000-0005-0000-0000-0000E00E0000}"/>
    <cellStyle name="Normal 344 3 18" xfId="5816" xr:uid="{00000000-0005-0000-0000-0000E10E0000}"/>
    <cellStyle name="Normal 344 3 2" xfId="5475" xr:uid="{00000000-0005-0000-0000-0000E20E0000}"/>
    <cellStyle name="Normal 344 3 2 2" xfId="6061" xr:uid="{00000000-0005-0000-0000-0000E30E0000}"/>
    <cellStyle name="Normal 344 3 2 3" xfId="5824" xr:uid="{00000000-0005-0000-0000-0000E40E0000}"/>
    <cellStyle name="Normal 344 3 3" xfId="5476" xr:uid="{00000000-0005-0000-0000-0000E50E0000}"/>
    <cellStyle name="Normal 344 3 3 2" xfId="6062" xr:uid="{00000000-0005-0000-0000-0000E60E0000}"/>
    <cellStyle name="Normal 344 3 3 3" xfId="5825" xr:uid="{00000000-0005-0000-0000-0000E70E0000}"/>
    <cellStyle name="Normal 344 3 4" xfId="5477" xr:uid="{00000000-0005-0000-0000-0000E80E0000}"/>
    <cellStyle name="Normal 344 3 4 2" xfId="6063" xr:uid="{00000000-0005-0000-0000-0000E90E0000}"/>
    <cellStyle name="Normal 344 3 4 3" xfId="5826" xr:uid="{00000000-0005-0000-0000-0000EA0E0000}"/>
    <cellStyle name="Normal 344 3 5" xfId="5478" xr:uid="{00000000-0005-0000-0000-0000EB0E0000}"/>
    <cellStyle name="Normal 344 3 5 2" xfId="6064" xr:uid="{00000000-0005-0000-0000-0000EC0E0000}"/>
    <cellStyle name="Normal 344 3 5 3" xfId="5827" xr:uid="{00000000-0005-0000-0000-0000ED0E0000}"/>
    <cellStyle name="Normal 344 3 6" xfId="5479" xr:uid="{00000000-0005-0000-0000-0000EE0E0000}"/>
    <cellStyle name="Normal 344 3 6 2" xfId="6065" xr:uid="{00000000-0005-0000-0000-0000EF0E0000}"/>
    <cellStyle name="Normal 344 3 6 3" xfId="5828" xr:uid="{00000000-0005-0000-0000-0000F00E0000}"/>
    <cellStyle name="Normal 344 3 7" xfId="5480" xr:uid="{00000000-0005-0000-0000-0000F10E0000}"/>
    <cellStyle name="Normal 344 3 7 2" xfId="6066" xr:uid="{00000000-0005-0000-0000-0000F20E0000}"/>
    <cellStyle name="Normal 344 3 7 3" xfId="5829" xr:uid="{00000000-0005-0000-0000-0000F30E0000}"/>
    <cellStyle name="Normal 344 3 8" xfId="5481" xr:uid="{00000000-0005-0000-0000-0000F40E0000}"/>
    <cellStyle name="Normal 344 3 8 2" xfId="6067" xr:uid="{00000000-0005-0000-0000-0000F50E0000}"/>
    <cellStyle name="Normal 344 3 8 3" xfId="5830" xr:uid="{00000000-0005-0000-0000-0000F60E0000}"/>
    <cellStyle name="Normal 344 3 9" xfId="5482" xr:uid="{00000000-0005-0000-0000-0000F70E0000}"/>
    <cellStyle name="Normal 344 3 9 2" xfId="6068" xr:uid="{00000000-0005-0000-0000-0000F80E0000}"/>
    <cellStyle name="Normal 344 3 9 3" xfId="5831" xr:uid="{00000000-0005-0000-0000-0000F90E0000}"/>
    <cellStyle name="Normal 344 4" xfId="5483" xr:uid="{00000000-0005-0000-0000-0000FA0E0000}"/>
    <cellStyle name="Normal 344 4 2" xfId="6069" xr:uid="{00000000-0005-0000-0000-0000FB0E0000}"/>
    <cellStyle name="Normal 344 4 3" xfId="5832" xr:uid="{00000000-0005-0000-0000-0000FC0E0000}"/>
    <cellStyle name="Normal 344 5" xfId="5484" xr:uid="{00000000-0005-0000-0000-0000FD0E0000}"/>
    <cellStyle name="Normal 344 5 2" xfId="6070" xr:uid="{00000000-0005-0000-0000-0000FE0E0000}"/>
    <cellStyle name="Normal 344 5 3" xfId="5833" xr:uid="{00000000-0005-0000-0000-0000FF0E0000}"/>
    <cellStyle name="Normal 344 6" xfId="5485" xr:uid="{00000000-0005-0000-0000-0000000F0000}"/>
    <cellStyle name="Normal 344 6 2" xfId="6071" xr:uid="{00000000-0005-0000-0000-0000010F0000}"/>
    <cellStyle name="Normal 344 6 3" xfId="5834" xr:uid="{00000000-0005-0000-0000-0000020F0000}"/>
    <cellStyle name="Normal 344 7" xfId="5486" xr:uid="{00000000-0005-0000-0000-0000030F0000}"/>
    <cellStyle name="Normal 344 7 2" xfId="6072" xr:uid="{00000000-0005-0000-0000-0000040F0000}"/>
    <cellStyle name="Normal 344 7 3" xfId="5835" xr:uid="{00000000-0005-0000-0000-0000050F0000}"/>
    <cellStyle name="Normal 344 8" xfId="5487" xr:uid="{00000000-0005-0000-0000-0000060F0000}"/>
    <cellStyle name="Normal 344 8 2" xfId="6073" xr:uid="{00000000-0005-0000-0000-0000070F0000}"/>
    <cellStyle name="Normal 344 8 3" xfId="5836" xr:uid="{00000000-0005-0000-0000-0000080F0000}"/>
    <cellStyle name="Normal 344 9" xfId="5488" xr:uid="{00000000-0005-0000-0000-0000090F0000}"/>
    <cellStyle name="Normal 344 9 2" xfId="6074" xr:uid="{00000000-0005-0000-0000-00000A0F0000}"/>
    <cellStyle name="Normal 344 9 3" xfId="5837" xr:uid="{00000000-0005-0000-0000-00000B0F0000}"/>
    <cellStyle name="Normal 345" xfId="5662" xr:uid="{00000000-0005-0000-0000-00000C0F0000}"/>
    <cellStyle name="Normal 35" xfId="515" xr:uid="{00000000-0005-0000-0000-00000D0F0000}"/>
    <cellStyle name="Normal 35 2" xfId="1029" xr:uid="{00000000-0005-0000-0000-00000E0F0000}"/>
    <cellStyle name="Normal 35 2 2" xfId="1765" xr:uid="{00000000-0005-0000-0000-00000F0F0000}"/>
    <cellStyle name="Normal 35 2 2 2" xfId="3712" xr:uid="{00000000-0005-0000-0000-0000100F0000}"/>
    <cellStyle name="Normal 35 2 3" xfId="2480" xr:uid="{00000000-0005-0000-0000-0000110F0000}"/>
    <cellStyle name="Normal 35 2 3 2" xfId="4409" xr:uid="{00000000-0005-0000-0000-0000120F0000}"/>
    <cellStyle name="Normal 35 2 4" xfId="3111" xr:uid="{00000000-0005-0000-0000-0000130F0000}"/>
    <cellStyle name="Normal 35 2 5" xfId="6022" xr:uid="{00000000-0005-0000-0000-0000140F0000}"/>
    <cellStyle name="Normal 35 3" xfId="1197" xr:uid="{00000000-0005-0000-0000-0000150F0000}"/>
    <cellStyle name="Normal 35 3 2" xfId="1909" xr:uid="{00000000-0005-0000-0000-0000160F0000}"/>
    <cellStyle name="Normal 35 3 2 2" xfId="3854" xr:uid="{00000000-0005-0000-0000-0000170F0000}"/>
    <cellStyle name="Normal 35 3 3" xfId="2609" xr:uid="{00000000-0005-0000-0000-0000180F0000}"/>
    <cellStyle name="Normal 35 3 3 2" xfId="4537" xr:uid="{00000000-0005-0000-0000-0000190F0000}"/>
    <cellStyle name="Normal 35 3 4" xfId="3251" xr:uid="{00000000-0005-0000-0000-00001A0F0000}"/>
    <cellStyle name="Normal 35 4" xfId="1413" xr:uid="{00000000-0005-0000-0000-00001B0F0000}"/>
    <cellStyle name="Normal 35 4 2" xfId="2034" xr:uid="{00000000-0005-0000-0000-00001C0F0000}"/>
    <cellStyle name="Normal 35 4 2 2" xfId="3978" xr:uid="{00000000-0005-0000-0000-00001D0F0000}"/>
    <cellStyle name="Normal 35 4 3" xfId="2723" xr:uid="{00000000-0005-0000-0000-00001E0F0000}"/>
    <cellStyle name="Normal 35 4 3 2" xfId="4649" xr:uid="{00000000-0005-0000-0000-00001F0F0000}"/>
    <cellStyle name="Normal 35 4 4" xfId="3368" xr:uid="{00000000-0005-0000-0000-0000200F0000}"/>
    <cellStyle name="Normal 35 5" xfId="1583" xr:uid="{00000000-0005-0000-0000-0000210F0000}"/>
    <cellStyle name="Normal 35 5 2" xfId="3537" xr:uid="{00000000-0005-0000-0000-0000220F0000}"/>
    <cellStyle name="Normal 35 6" xfId="2282" xr:uid="{00000000-0005-0000-0000-0000230F0000}"/>
    <cellStyle name="Normal 35 6 2" xfId="4217" xr:uid="{00000000-0005-0000-0000-0000240F0000}"/>
    <cellStyle name="Normal 35 7" xfId="2963" xr:uid="{00000000-0005-0000-0000-0000250F0000}"/>
    <cellStyle name="Normal 35 8" xfId="5372" xr:uid="{00000000-0005-0000-0000-0000260F0000}"/>
    <cellStyle name="Normal 35 9" xfId="5785" xr:uid="{00000000-0005-0000-0000-0000270F0000}"/>
    <cellStyle name="Normal 36" xfId="516" xr:uid="{00000000-0005-0000-0000-0000280F0000}"/>
    <cellStyle name="Normal 36 2" xfId="1030" xr:uid="{00000000-0005-0000-0000-0000290F0000}"/>
    <cellStyle name="Normal 36 2 2" xfId="1766" xr:uid="{00000000-0005-0000-0000-00002A0F0000}"/>
    <cellStyle name="Normal 36 2 2 2" xfId="3713" xr:uid="{00000000-0005-0000-0000-00002B0F0000}"/>
    <cellStyle name="Normal 36 2 3" xfId="2481" xr:uid="{00000000-0005-0000-0000-00002C0F0000}"/>
    <cellStyle name="Normal 36 2 3 2" xfId="4410" xr:uid="{00000000-0005-0000-0000-00002D0F0000}"/>
    <cellStyle name="Normal 36 2 4" xfId="3112" xr:uid="{00000000-0005-0000-0000-00002E0F0000}"/>
    <cellStyle name="Normal 36 2 5" xfId="6023" xr:uid="{00000000-0005-0000-0000-00002F0F0000}"/>
    <cellStyle name="Normal 36 3" xfId="1198" xr:uid="{00000000-0005-0000-0000-0000300F0000}"/>
    <cellStyle name="Normal 36 3 2" xfId="1910" xr:uid="{00000000-0005-0000-0000-0000310F0000}"/>
    <cellStyle name="Normal 36 3 2 2" xfId="3855" xr:uid="{00000000-0005-0000-0000-0000320F0000}"/>
    <cellStyle name="Normal 36 3 3" xfId="2610" xr:uid="{00000000-0005-0000-0000-0000330F0000}"/>
    <cellStyle name="Normal 36 3 3 2" xfId="4538" xr:uid="{00000000-0005-0000-0000-0000340F0000}"/>
    <cellStyle name="Normal 36 3 4" xfId="3252" xr:uid="{00000000-0005-0000-0000-0000350F0000}"/>
    <cellStyle name="Normal 36 4" xfId="1414" xr:uid="{00000000-0005-0000-0000-0000360F0000}"/>
    <cellStyle name="Normal 36 4 2" xfId="2035" xr:uid="{00000000-0005-0000-0000-0000370F0000}"/>
    <cellStyle name="Normal 36 4 2 2" xfId="3979" xr:uid="{00000000-0005-0000-0000-0000380F0000}"/>
    <cellStyle name="Normal 36 4 3" xfId="2724" xr:uid="{00000000-0005-0000-0000-0000390F0000}"/>
    <cellStyle name="Normal 36 4 3 2" xfId="4650" xr:uid="{00000000-0005-0000-0000-00003A0F0000}"/>
    <cellStyle name="Normal 36 4 4" xfId="3369" xr:uid="{00000000-0005-0000-0000-00003B0F0000}"/>
    <cellStyle name="Normal 36 5" xfId="1584" xr:uid="{00000000-0005-0000-0000-00003C0F0000}"/>
    <cellStyle name="Normal 36 5 2" xfId="3538" xr:uid="{00000000-0005-0000-0000-00003D0F0000}"/>
    <cellStyle name="Normal 36 6" xfId="2283" xr:uid="{00000000-0005-0000-0000-00003E0F0000}"/>
    <cellStyle name="Normal 36 6 2" xfId="4218" xr:uid="{00000000-0005-0000-0000-00003F0F0000}"/>
    <cellStyle name="Normal 36 7" xfId="2964" xr:uid="{00000000-0005-0000-0000-0000400F0000}"/>
    <cellStyle name="Normal 36 8" xfId="5373" xr:uid="{00000000-0005-0000-0000-0000410F0000}"/>
    <cellStyle name="Normal 36 9" xfId="5786" xr:uid="{00000000-0005-0000-0000-0000420F0000}"/>
    <cellStyle name="Normal 37" xfId="581" xr:uid="{00000000-0005-0000-0000-0000430F0000}"/>
    <cellStyle name="Normal 37 10" xfId="5838" xr:uid="{00000000-0005-0000-0000-0000440F0000}"/>
    <cellStyle name="Normal 37 2" xfId="1031" xr:uid="{00000000-0005-0000-0000-0000450F0000}"/>
    <cellStyle name="Normal 37 2 2" xfId="1350" xr:uid="{00000000-0005-0000-0000-0000460F0000}"/>
    <cellStyle name="Normal 37 2 2 2" xfId="6079" xr:uid="{00000000-0005-0000-0000-0000470F0000}"/>
    <cellStyle name="Normal 37 2 3" xfId="1767" xr:uid="{00000000-0005-0000-0000-0000480F0000}"/>
    <cellStyle name="Normal 37 2 3 2" xfId="3714" xr:uid="{00000000-0005-0000-0000-0000490F0000}"/>
    <cellStyle name="Normal 37 2 4" xfId="2482" xr:uid="{00000000-0005-0000-0000-00004A0F0000}"/>
    <cellStyle name="Normal 37 2 4 2" xfId="4411" xr:uid="{00000000-0005-0000-0000-00004B0F0000}"/>
    <cellStyle name="Normal 37 2 5" xfId="3113" xr:uid="{00000000-0005-0000-0000-00004C0F0000}"/>
    <cellStyle name="Normal 37 2 6" xfId="5535" xr:uid="{00000000-0005-0000-0000-00004D0F0000}"/>
    <cellStyle name="Normal 37 2 7" xfId="5842" xr:uid="{00000000-0005-0000-0000-00004E0F0000}"/>
    <cellStyle name="Normal 37 3" xfId="1199" xr:uid="{00000000-0005-0000-0000-00004F0F0000}"/>
    <cellStyle name="Normal 37 3 2" xfId="1911" xr:uid="{00000000-0005-0000-0000-0000500F0000}"/>
    <cellStyle name="Normal 37 3 2 2" xfId="3856" xr:uid="{00000000-0005-0000-0000-0000510F0000}"/>
    <cellStyle name="Normal 37 3 3" xfId="2611" xr:uid="{00000000-0005-0000-0000-0000520F0000}"/>
    <cellStyle name="Normal 37 3 3 2" xfId="4539" xr:uid="{00000000-0005-0000-0000-0000530F0000}"/>
    <cellStyle name="Normal 37 3 4" xfId="3253" xr:uid="{00000000-0005-0000-0000-0000540F0000}"/>
    <cellStyle name="Normal 37 3 5" xfId="6075" xr:uid="{00000000-0005-0000-0000-0000550F0000}"/>
    <cellStyle name="Normal 37 4" xfId="1415" xr:uid="{00000000-0005-0000-0000-0000560F0000}"/>
    <cellStyle name="Normal 37 4 2" xfId="2036" xr:uid="{00000000-0005-0000-0000-0000570F0000}"/>
    <cellStyle name="Normal 37 4 2 2" xfId="3980" xr:uid="{00000000-0005-0000-0000-0000580F0000}"/>
    <cellStyle name="Normal 37 4 3" xfId="2725" xr:uid="{00000000-0005-0000-0000-0000590F0000}"/>
    <cellStyle name="Normal 37 4 3 2" xfId="4651" xr:uid="{00000000-0005-0000-0000-00005A0F0000}"/>
    <cellStyle name="Normal 37 4 4" xfId="3370" xr:uid="{00000000-0005-0000-0000-00005B0F0000}"/>
    <cellStyle name="Normal 37 5" xfId="1457" xr:uid="{00000000-0005-0000-0000-00005C0F0000}"/>
    <cellStyle name="Normal 37 5 2" xfId="2077" xr:uid="{00000000-0005-0000-0000-00005D0F0000}"/>
    <cellStyle name="Normal 37 5 2 2" xfId="4021" xr:uid="{00000000-0005-0000-0000-00005E0F0000}"/>
    <cellStyle name="Normal 37 5 3" xfId="2766" xr:uid="{00000000-0005-0000-0000-00005F0F0000}"/>
    <cellStyle name="Normal 37 5 3 2" xfId="4692" xr:uid="{00000000-0005-0000-0000-0000600F0000}"/>
    <cellStyle name="Normal 37 5 4" xfId="3411" xr:uid="{00000000-0005-0000-0000-0000610F0000}"/>
    <cellStyle name="Normal 37 5 5" xfId="5667" xr:uid="{00000000-0005-0000-0000-0000620F0000}"/>
    <cellStyle name="Normal 37 6" xfId="1606" xr:uid="{00000000-0005-0000-0000-0000630F0000}"/>
    <cellStyle name="Normal 37 6 2" xfId="3559" xr:uid="{00000000-0005-0000-0000-0000640F0000}"/>
    <cellStyle name="Normal 37 7" xfId="2310" xr:uid="{00000000-0005-0000-0000-0000650F0000}"/>
    <cellStyle name="Normal 37 7 2" xfId="4245" xr:uid="{00000000-0005-0000-0000-0000660F0000}"/>
    <cellStyle name="Normal 37 8" xfId="2976" xr:uid="{00000000-0005-0000-0000-0000670F0000}"/>
    <cellStyle name="Normal 37 9" xfId="5489" xr:uid="{00000000-0005-0000-0000-0000680F0000}"/>
    <cellStyle name="Normal 38" xfId="583" xr:uid="{00000000-0005-0000-0000-0000690F0000}"/>
    <cellStyle name="Normal 38 2" xfId="1032" xr:uid="{00000000-0005-0000-0000-00006A0F0000}"/>
    <cellStyle name="Normal 38 2 2" xfId="1768" xr:uid="{00000000-0005-0000-0000-00006B0F0000}"/>
    <cellStyle name="Normal 38 2 2 2" xfId="3715" xr:uid="{00000000-0005-0000-0000-00006C0F0000}"/>
    <cellStyle name="Normal 38 2 3" xfId="2483" xr:uid="{00000000-0005-0000-0000-00006D0F0000}"/>
    <cellStyle name="Normal 38 2 3 2" xfId="4412" xr:uid="{00000000-0005-0000-0000-00006E0F0000}"/>
    <cellStyle name="Normal 38 2 4" xfId="3114" xr:uid="{00000000-0005-0000-0000-00006F0F0000}"/>
    <cellStyle name="Normal 38 2 5" xfId="6025" xr:uid="{00000000-0005-0000-0000-0000700F0000}"/>
    <cellStyle name="Normal 38 3" xfId="1224" xr:uid="{00000000-0005-0000-0000-0000710F0000}"/>
    <cellStyle name="Normal 38 4" xfId="1452" xr:uid="{00000000-0005-0000-0000-0000720F0000}"/>
    <cellStyle name="Normal 38 4 2" xfId="2072" xr:uid="{00000000-0005-0000-0000-0000730F0000}"/>
    <cellStyle name="Normal 38 4 2 2" xfId="4016" xr:uid="{00000000-0005-0000-0000-0000740F0000}"/>
    <cellStyle name="Normal 38 4 3" xfId="2761" xr:uid="{00000000-0005-0000-0000-0000750F0000}"/>
    <cellStyle name="Normal 38 4 3 2" xfId="4687" xr:uid="{00000000-0005-0000-0000-0000760F0000}"/>
    <cellStyle name="Normal 38 4 4" xfId="3406" xr:uid="{00000000-0005-0000-0000-0000770F0000}"/>
    <cellStyle name="Normal 38 5" xfId="1608" xr:uid="{00000000-0005-0000-0000-0000780F0000}"/>
    <cellStyle name="Normal 38 5 2" xfId="3561" xr:uid="{00000000-0005-0000-0000-0000790F0000}"/>
    <cellStyle name="Normal 38 6" xfId="2312" xr:uid="{00000000-0005-0000-0000-00007A0F0000}"/>
    <cellStyle name="Normal 38 6 2" xfId="4247" xr:uid="{00000000-0005-0000-0000-00007B0F0000}"/>
    <cellStyle name="Normal 38 7" xfId="2978" xr:uid="{00000000-0005-0000-0000-00007C0F0000}"/>
    <cellStyle name="Normal 38 8" xfId="5388" xr:uid="{00000000-0005-0000-0000-00007D0F0000}"/>
    <cellStyle name="Normal 38 9" xfId="5788" xr:uid="{00000000-0005-0000-0000-00007E0F0000}"/>
    <cellStyle name="Normal 39" xfId="598" xr:uid="{00000000-0005-0000-0000-00007F0F0000}"/>
    <cellStyle name="Normal 39 2" xfId="5490" xr:uid="{00000000-0005-0000-0000-0000800F0000}"/>
    <cellStyle name="Normal 4" xfId="131" xr:uid="{00000000-0005-0000-0000-0000810F0000}"/>
    <cellStyle name="Normal 4 10" xfId="5679" xr:uid="{00000000-0005-0000-0000-0000820F0000}"/>
    <cellStyle name="Normal 4 105" xfId="5491" xr:uid="{00000000-0005-0000-0000-0000830F0000}"/>
    <cellStyle name="Normal 4 11" xfId="5699" xr:uid="{00000000-0005-0000-0000-0000840F0000}"/>
    <cellStyle name="Normal 4 2" xfId="132" xr:uid="{00000000-0005-0000-0000-0000850F0000}"/>
    <cellStyle name="Normal 4 2 2" xfId="341" xr:uid="{00000000-0005-0000-0000-0000860F0000}"/>
    <cellStyle name="Normal 4 2 2 2" xfId="5492" xr:uid="{00000000-0005-0000-0000-0000870F0000}"/>
    <cellStyle name="Normal 4 2 3" xfId="1082" xr:uid="{00000000-0005-0000-0000-0000880F0000}"/>
    <cellStyle name="Normal 4 2 3 2" xfId="1803" xr:uid="{00000000-0005-0000-0000-0000890F0000}"/>
    <cellStyle name="Normal 4 2 3 2 2" xfId="3750" xr:uid="{00000000-0005-0000-0000-00008A0F0000}"/>
    <cellStyle name="Normal 4 2 3 3" xfId="2517" xr:uid="{00000000-0005-0000-0000-00008B0F0000}"/>
    <cellStyle name="Normal 4 2 3 3 2" xfId="4446" xr:uid="{00000000-0005-0000-0000-00008C0F0000}"/>
    <cellStyle name="Normal 4 2 3 4" xfId="3148" xr:uid="{00000000-0005-0000-0000-00008D0F0000}"/>
    <cellStyle name="Normal 4 2 3 5" xfId="5925" xr:uid="{00000000-0005-0000-0000-00008E0F0000}"/>
    <cellStyle name="Normal 4 2 4" xfId="5150" xr:uid="{00000000-0005-0000-0000-00008F0F0000}"/>
    <cellStyle name="Normal 4 2 4 2" xfId="6156" xr:uid="{00000000-0005-0000-0000-0000900F0000}"/>
    <cellStyle name="Normal 4 3" xfId="133" xr:uid="{00000000-0005-0000-0000-0000910F0000}"/>
    <cellStyle name="Normal 4 3 2" xfId="342" xr:uid="{00000000-0005-0000-0000-0000920F0000}"/>
    <cellStyle name="Normal 4 3 2 2" xfId="5343" xr:uid="{00000000-0005-0000-0000-0000930F0000}"/>
    <cellStyle name="Normal 4 3 3" xfId="824" xr:uid="{00000000-0005-0000-0000-0000940F0000}"/>
    <cellStyle name="Normal 4 3 3 2" xfId="5493" xr:uid="{00000000-0005-0000-0000-0000950F0000}"/>
    <cellStyle name="Normal 4 3 4" xfId="5210" xr:uid="{00000000-0005-0000-0000-0000960F0000}"/>
    <cellStyle name="Normal 4 3 4 2" xfId="5975" xr:uid="{00000000-0005-0000-0000-0000970F0000}"/>
    <cellStyle name="Normal 4 3 5" xfId="6159" xr:uid="{00000000-0005-0000-0000-0000980F0000}"/>
    <cellStyle name="Normal 4 3 6" xfId="5728" xr:uid="{00000000-0005-0000-0000-0000990F0000}"/>
    <cellStyle name="Normal 4 4" xfId="343" xr:uid="{00000000-0005-0000-0000-00009A0F0000}"/>
    <cellStyle name="Normal 4 4 2" xfId="5344" xr:uid="{00000000-0005-0000-0000-00009B0F0000}"/>
    <cellStyle name="Normal 4 5" xfId="517" xr:uid="{00000000-0005-0000-0000-00009C0F0000}"/>
    <cellStyle name="Normal 4 5 2" xfId="1033" xr:uid="{00000000-0005-0000-0000-00009D0F0000}"/>
    <cellStyle name="Normal 4 5 2 2" xfId="1769" xr:uid="{00000000-0005-0000-0000-00009E0F0000}"/>
    <cellStyle name="Normal 4 5 2 2 2" xfId="3716" xr:uid="{00000000-0005-0000-0000-00009F0F0000}"/>
    <cellStyle name="Normal 4 5 2 3" xfId="2484" xr:uid="{00000000-0005-0000-0000-0000A00F0000}"/>
    <cellStyle name="Normal 4 5 2 3 2" xfId="4413" xr:uid="{00000000-0005-0000-0000-0000A10F0000}"/>
    <cellStyle name="Normal 4 5 2 4" xfId="3115" xr:uid="{00000000-0005-0000-0000-0000A20F0000}"/>
    <cellStyle name="Normal 4 5 2 5" xfId="6012" xr:uid="{00000000-0005-0000-0000-0000A30F0000}"/>
    <cellStyle name="Normal 4 5 3" xfId="1200" xr:uid="{00000000-0005-0000-0000-0000A40F0000}"/>
    <cellStyle name="Normal 4 5 3 2" xfId="1912" xr:uid="{00000000-0005-0000-0000-0000A50F0000}"/>
    <cellStyle name="Normal 4 5 3 2 2" xfId="3857" xr:uid="{00000000-0005-0000-0000-0000A60F0000}"/>
    <cellStyle name="Normal 4 5 3 3" xfId="2612" xr:uid="{00000000-0005-0000-0000-0000A70F0000}"/>
    <cellStyle name="Normal 4 5 3 3 2" xfId="4540" xr:uid="{00000000-0005-0000-0000-0000A80F0000}"/>
    <cellStyle name="Normal 4 5 3 4" xfId="3254" xr:uid="{00000000-0005-0000-0000-0000A90F0000}"/>
    <cellStyle name="Normal 4 5 3 5" xfId="6164" xr:uid="{00000000-0005-0000-0000-0000AA0F0000}"/>
    <cellStyle name="Normal 4 5 4" xfId="1416" xr:uid="{00000000-0005-0000-0000-0000AB0F0000}"/>
    <cellStyle name="Normal 4 5 4 2" xfId="2037" xr:uid="{00000000-0005-0000-0000-0000AC0F0000}"/>
    <cellStyle name="Normal 4 5 4 2 2" xfId="3981" xr:uid="{00000000-0005-0000-0000-0000AD0F0000}"/>
    <cellStyle name="Normal 4 5 4 3" xfId="2726" xr:uid="{00000000-0005-0000-0000-0000AE0F0000}"/>
    <cellStyle name="Normal 4 5 4 3 2" xfId="4652" xr:uid="{00000000-0005-0000-0000-0000AF0F0000}"/>
    <cellStyle name="Normal 4 5 4 4" xfId="3371" xr:uid="{00000000-0005-0000-0000-0000B00F0000}"/>
    <cellStyle name="Normal 4 5 5" xfId="1585" xr:uid="{00000000-0005-0000-0000-0000B10F0000}"/>
    <cellStyle name="Normal 4 5 5 2" xfId="3539" xr:uid="{00000000-0005-0000-0000-0000B20F0000}"/>
    <cellStyle name="Normal 4 5 6" xfId="2284" xr:uid="{00000000-0005-0000-0000-0000B30F0000}"/>
    <cellStyle name="Normal 4 5 6 2" xfId="4219" xr:uid="{00000000-0005-0000-0000-0000B40F0000}"/>
    <cellStyle name="Normal 4 5 7" xfId="2965" xr:uid="{00000000-0005-0000-0000-0000B50F0000}"/>
    <cellStyle name="Normal 4 5 8" xfId="5345" xr:uid="{00000000-0005-0000-0000-0000B60F0000}"/>
    <cellStyle name="Normal 4 5 9" xfId="5769" xr:uid="{00000000-0005-0000-0000-0000B70F0000}"/>
    <cellStyle name="Normal 4 6" xfId="720" xr:uid="{00000000-0005-0000-0000-0000B80F0000}"/>
    <cellStyle name="Normal 4 6 2" xfId="1455" xr:uid="{00000000-0005-0000-0000-0000B90F0000}"/>
    <cellStyle name="Normal 4 6 2 2" xfId="2075" xr:uid="{00000000-0005-0000-0000-0000BA0F0000}"/>
    <cellStyle name="Normal 4 6 2 2 2" xfId="4019" xr:uid="{00000000-0005-0000-0000-0000BB0F0000}"/>
    <cellStyle name="Normal 4 6 2 3" xfId="2764" xr:uid="{00000000-0005-0000-0000-0000BC0F0000}"/>
    <cellStyle name="Normal 4 6 2 3 2" xfId="4690" xr:uid="{00000000-0005-0000-0000-0000BD0F0000}"/>
    <cellStyle name="Normal 4 6 2 4" xfId="3409" xr:uid="{00000000-0005-0000-0000-0000BE0F0000}"/>
    <cellStyle name="Normal 4 6 3" xfId="1630" xr:uid="{00000000-0005-0000-0000-0000BF0F0000}"/>
    <cellStyle name="Normal 4 6 3 2" xfId="3583" xr:uid="{00000000-0005-0000-0000-0000C00F0000}"/>
    <cellStyle name="Normal 4 6 4" xfId="2343" xr:uid="{00000000-0005-0000-0000-0000C10F0000}"/>
    <cellStyle name="Normal 4 6 4 2" xfId="4275" xr:uid="{00000000-0005-0000-0000-0000C20F0000}"/>
    <cellStyle name="Normal 4 6 5" xfId="2991" xr:uid="{00000000-0005-0000-0000-0000C30F0000}"/>
    <cellStyle name="Normal 4 6 6" xfId="5924" xr:uid="{00000000-0005-0000-0000-0000C40F0000}"/>
    <cellStyle name="Normal 4 7" xfId="822" xr:uid="{00000000-0005-0000-0000-0000C50F0000}"/>
    <cellStyle name="Normal 4 7 2" xfId="5953" xr:uid="{00000000-0005-0000-0000-0000C60F0000}"/>
    <cellStyle name="Normal 4 8" xfId="5133" xr:uid="{00000000-0005-0000-0000-0000C70F0000}"/>
    <cellStyle name="Normal 4 8 2" xfId="6117" xr:uid="{00000000-0005-0000-0000-0000C80F0000}"/>
    <cellStyle name="Normal 4 9" xfId="5149" xr:uid="{00000000-0005-0000-0000-0000C90F0000}"/>
    <cellStyle name="Normal 4_2011_cpi_write_up" xfId="410" xr:uid="{00000000-0005-0000-0000-0000CA0F0000}"/>
    <cellStyle name="Normal 40" xfId="600" xr:uid="{00000000-0005-0000-0000-0000CB0F0000}"/>
    <cellStyle name="Normal 40 2" xfId="5537" xr:uid="{00000000-0005-0000-0000-0000CC0F0000}"/>
    <cellStyle name="Normal 40 2 2" xfId="6081" xr:uid="{00000000-0005-0000-0000-0000CD0F0000}"/>
    <cellStyle name="Normal 40 3" xfId="5844" xr:uid="{00000000-0005-0000-0000-0000CE0F0000}"/>
    <cellStyle name="Normal 41" xfId="601" xr:uid="{00000000-0005-0000-0000-0000CF0F0000}"/>
    <cellStyle name="Normal 41 2" xfId="5538" xr:uid="{00000000-0005-0000-0000-0000D00F0000}"/>
    <cellStyle name="Normal 41 2 2" xfId="6082" xr:uid="{00000000-0005-0000-0000-0000D10F0000}"/>
    <cellStyle name="Normal 41 3" xfId="5845" xr:uid="{00000000-0005-0000-0000-0000D20F0000}"/>
    <cellStyle name="Normal 42" xfId="603" xr:uid="{00000000-0005-0000-0000-0000D30F0000}"/>
    <cellStyle name="Normal 42 2" xfId="5494" xr:uid="{00000000-0005-0000-0000-0000D40F0000}"/>
    <cellStyle name="Normal 42 2 2" xfId="6161" xr:uid="{00000000-0005-0000-0000-0000D50F0000}"/>
    <cellStyle name="Normal 43" xfId="605" xr:uid="{00000000-0005-0000-0000-0000D60F0000}"/>
    <cellStyle name="Normal 43 2" xfId="5539" xr:uid="{00000000-0005-0000-0000-0000D70F0000}"/>
    <cellStyle name="Normal 43 2 2" xfId="6083" xr:uid="{00000000-0005-0000-0000-0000D80F0000}"/>
    <cellStyle name="Normal 43 3" xfId="5846" xr:uid="{00000000-0005-0000-0000-0000D90F0000}"/>
    <cellStyle name="Normal 44" xfId="607" xr:uid="{00000000-0005-0000-0000-0000DA0F0000}"/>
    <cellStyle name="Normal 44 2" xfId="5495" xr:uid="{00000000-0005-0000-0000-0000DB0F0000}"/>
    <cellStyle name="Normal 45" xfId="609" xr:uid="{00000000-0005-0000-0000-0000DC0F0000}"/>
    <cellStyle name="Normal 45 2" xfId="5600" xr:uid="{00000000-0005-0000-0000-0000DD0F0000}"/>
    <cellStyle name="Normal 46" xfId="611" xr:uid="{00000000-0005-0000-0000-0000DE0F0000}"/>
    <cellStyle name="Normal 46 2" xfId="5496" xr:uid="{00000000-0005-0000-0000-0000DF0F0000}"/>
    <cellStyle name="Normal 47" xfId="613" xr:uid="{00000000-0005-0000-0000-0000E00F0000}"/>
    <cellStyle name="Normal 47 2" xfId="5497" xr:uid="{00000000-0005-0000-0000-0000E10F0000}"/>
    <cellStyle name="Normal 48" xfId="615" xr:uid="{00000000-0005-0000-0000-0000E20F0000}"/>
    <cellStyle name="Normal 48 2" xfId="5601" xr:uid="{00000000-0005-0000-0000-0000E30F0000}"/>
    <cellStyle name="Normal 49" xfId="617" xr:uid="{00000000-0005-0000-0000-0000E40F0000}"/>
    <cellStyle name="Normal 49 2" xfId="5498" xr:uid="{00000000-0005-0000-0000-0000E50F0000}"/>
    <cellStyle name="Normal 5" xfId="134" xr:uid="{00000000-0005-0000-0000-0000E60F0000}"/>
    <cellStyle name="Normal 5 10" xfId="2168" xr:uid="{00000000-0005-0000-0000-0000E70F0000}"/>
    <cellStyle name="Normal 5 10 2" xfId="4111" xr:uid="{00000000-0005-0000-0000-0000E80F0000}"/>
    <cellStyle name="Normal 5 10 3" xfId="6178" xr:uid="{00000000-0005-0000-0000-0000E90F0000}"/>
    <cellStyle name="Normal 5 11" xfId="2894" xr:uid="{00000000-0005-0000-0000-0000EA0F0000}"/>
    <cellStyle name="Normal 5 12" xfId="5151" xr:uid="{00000000-0005-0000-0000-0000EB0F0000}"/>
    <cellStyle name="Normal 5 2" xfId="135" xr:uid="{00000000-0005-0000-0000-0000EC0F0000}"/>
    <cellStyle name="Normal 5 2 10" xfId="4848" xr:uid="{00000000-0005-0000-0000-0000ED0F0000}"/>
    <cellStyle name="Normal 5 2 11" xfId="4927" xr:uid="{00000000-0005-0000-0000-0000EE0F0000}"/>
    <cellStyle name="Normal 5 2 12" xfId="4996" xr:uid="{00000000-0005-0000-0000-0000EF0F0000}"/>
    <cellStyle name="Normal 5 2 13" xfId="5049" xr:uid="{00000000-0005-0000-0000-0000F00F0000}"/>
    <cellStyle name="Normal 5 2 14" xfId="5081" xr:uid="{00000000-0005-0000-0000-0000F10F0000}"/>
    <cellStyle name="Normal 5 2 15" xfId="5121" xr:uid="{00000000-0005-0000-0000-0000F20F0000}"/>
    <cellStyle name="Normal 5 2 16" xfId="5152" xr:uid="{00000000-0005-0000-0000-0000F30F0000}"/>
    <cellStyle name="Normal 5 2 17" xfId="5700" xr:uid="{00000000-0005-0000-0000-0000F40F0000}"/>
    <cellStyle name="Normal 5 2 2" xfId="197" xr:uid="{00000000-0005-0000-0000-0000F50F0000}"/>
    <cellStyle name="Normal 5 2 2 2" xfId="827" xr:uid="{00000000-0005-0000-0000-0000F60F0000}"/>
    <cellStyle name="Normal 5 2 2 2 2" xfId="1694" xr:uid="{00000000-0005-0000-0000-0000F70F0000}"/>
    <cellStyle name="Normal 5 2 2 2 2 2" xfId="3642" xr:uid="{00000000-0005-0000-0000-0000F80F0000}"/>
    <cellStyle name="Normal 5 2 2 2 3" xfId="2402" xr:uid="{00000000-0005-0000-0000-0000F90F0000}"/>
    <cellStyle name="Normal 5 2 2 2 3 2" xfId="4334" xr:uid="{00000000-0005-0000-0000-0000FA0F0000}"/>
    <cellStyle name="Normal 5 2 2 2 4" xfId="3047" xr:uid="{00000000-0005-0000-0000-0000FB0F0000}"/>
    <cellStyle name="Normal 5 2 2 2 5" xfId="5499" xr:uid="{00000000-0005-0000-0000-0000FC0F0000}"/>
    <cellStyle name="Normal 5 2 2 3" xfId="1140" xr:uid="{00000000-0005-0000-0000-0000FD0F0000}"/>
    <cellStyle name="Normal 5 2 2 3 2" xfId="1854" xr:uid="{00000000-0005-0000-0000-0000FE0F0000}"/>
    <cellStyle name="Normal 5 2 2 3 2 2" xfId="3799" xr:uid="{00000000-0005-0000-0000-0000FF0F0000}"/>
    <cellStyle name="Normal 5 2 2 3 3" xfId="2564" xr:uid="{00000000-0005-0000-0000-000000100000}"/>
    <cellStyle name="Normal 5 2 2 3 3 2" xfId="4493" xr:uid="{00000000-0005-0000-0000-000001100000}"/>
    <cellStyle name="Normal 5 2 2 3 4" xfId="3197" xr:uid="{00000000-0005-0000-0000-000002100000}"/>
    <cellStyle name="Normal 5 2 2 3 5" xfId="5500" xr:uid="{00000000-0005-0000-0000-000003100000}"/>
    <cellStyle name="Normal 5 2 2 4" xfId="1373" xr:uid="{00000000-0005-0000-0000-000004100000}"/>
    <cellStyle name="Normal 5 2 2 4 2" xfId="1994" xr:uid="{00000000-0005-0000-0000-000005100000}"/>
    <cellStyle name="Normal 5 2 2 4 2 2" xfId="3938" xr:uid="{00000000-0005-0000-0000-000006100000}"/>
    <cellStyle name="Normal 5 2 2 4 3" xfId="2683" xr:uid="{00000000-0005-0000-0000-000007100000}"/>
    <cellStyle name="Normal 5 2 2 4 3 2" xfId="4609" xr:uid="{00000000-0005-0000-0000-000008100000}"/>
    <cellStyle name="Normal 5 2 2 4 4" xfId="3328" xr:uid="{00000000-0005-0000-0000-000009100000}"/>
    <cellStyle name="Normal 5 2 2 4 5" xfId="5976" xr:uid="{00000000-0005-0000-0000-00000A100000}"/>
    <cellStyle name="Normal 5 2 2 5" xfId="1508" xr:uid="{00000000-0005-0000-0000-00000B100000}"/>
    <cellStyle name="Normal 5 2 2 5 2" xfId="3462" xr:uid="{00000000-0005-0000-0000-00000C100000}"/>
    <cellStyle name="Normal 5 2 2 6" xfId="2192" xr:uid="{00000000-0005-0000-0000-00000D100000}"/>
    <cellStyle name="Normal 5 2 2 6 2" xfId="4134" xr:uid="{00000000-0005-0000-0000-00000E100000}"/>
    <cellStyle name="Normal 5 2 2 7" xfId="2915" xr:uid="{00000000-0005-0000-0000-00000F100000}"/>
    <cellStyle name="Normal 5 2 2 8" xfId="5211" xr:uid="{00000000-0005-0000-0000-000010100000}"/>
    <cellStyle name="Normal 5 2 2 9" xfId="5729" xr:uid="{00000000-0005-0000-0000-000011100000}"/>
    <cellStyle name="Normal 5 2 3" xfId="518" xr:uid="{00000000-0005-0000-0000-000012100000}"/>
    <cellStyle name="Normal 5 2 3 2" xfId="1034" xr:uid="{00000000-0005-0000-0000-000013100000}"/>
    <cellStyle name="Normal 5 2 3 2 2" xfId="1770" xr:uid="{00000000-0005-0000-0000-000014100000}"/>
    <cellStyle name="Normal 5 2 3 2 2 2" xfId="3717" xr:uid="{00000000-0005-0000-0000-000015100000}"/>
    <cellStyle name="Normal 5 2 3 2 3" xfId="2485" xr:uid="{00000000-0005-0000-0000-000016100000}"/>
    <cellStyle name="Normal 5 2 3 2 3 2" xfId="4414" xr:uid="{00000000-0005-0000-0000-000017100000}"/>
    <cellStyle name="Normal 5 2 3 2 4" xfId="3116" xr:uid="{00000000-0005-0000-0000-000018100000}"/>
    <cellStyle name="Normal 5 2 3 2 5" xfId="5501" xr:uid="{00000000-0005-0000-0000-000019100000}"/>
    <cellStyle name="Normal 5 2 3 3" xfId="1201" xr:uid="{00000000-0005-0000-0000-00001A100000}"/>
    <cellStyle name="Normal 5 2 3 3 2" xfId="1913" xr:uid="{00000000-0005-0000-0000-00001B100000}"/>
    <cellStyle name="Normal 5 2 3 3 2 2" xfId="3858" xr:uid="{00000000-0005-0000-0000-00001C100000}"/>
    <cellStyle name="Normal 5 2 3 3 3" xfId="2613" xr:uid="{00000000-0005-0000-0000-00001D100000}"/>
    <cellStyle name="Normal 5 2 3 3 3 2" xfId="4541" xr:uid="{00000000-0005-0000-0000-00001E100000}"/>
    <cellStyle name="Normal 5 2 3 3 4" xfId="3255" xr:uid="{00000000-0005-0000-0000-00001F100000}"/>
    <cellStyle name="Normal 5 2 3 3 5" xfId="6013" xr:uid="{00000000-0005-0000-0000-000020100000}"/>
    <cellStyle name="Normal 5 2 3 4" xfId="1417" xr:uid="{00000000-0005-0000-0000-000021100000}"/>
    <cellStyle name="Normal 5 2 3 4 2" xfId="2038" xr:uid="{00000000-0005-0000-0000-000022100000}"/>
    <cellStyle name="Normal 5 2 3 4 2 2" xfId="3982" xr:uid="{00000000-0005-0000-0000-000023100000}"/>
    <cellStyle name="Normal 5 2 3 4 3" xfId="2727" xr:uid="{00000000-0005-0000-0000-000024100000}"/>
    <cellStyle name="Normal 5 2 3 4 3 2" xfId="4653" xr:uid="{00000000-0005-0000-0000-000025100000}"/>
    <cellStyle name="Normal 5 2 3 4 4" xfId="3372" xr:uid="{00000000-0005-0000-0000-000026100000}"/>
    <cellStyle name="Normal 5 2 3 5" xfId="1586" xr:uid="{00000000-0005-0000-0000-000027100000}"/>
    <cellStyle name="Normal 5 2 3 5 2" xfId="3540" xr:uid="{00000000-0005-0000-0000-000028100000}"/>
    <cellStyle name="Normal 5 2 3 6" xfId="2285" xr:uid="{00000000-0005-0000-0000-000029100000}"/>
    <cellStyle name="Normal 5 2 3 6 2" xfId="4220" xr:uid="{00000000-0005-0000-0000-00002A100000}"/>
    <cellStyle name="Normal 5 2 3 7" xfId="2966" xr:uid="{00000000-0005-0000-0000-00002B100000}"/>
    <cellStyle name="Normal 5 2 3 8" xfId="5346" xr:uid="{00000000-0005-0000-0000-00002C100000}"/>
    <cellStyle name="Normal 5 2 3 9" xfId="5770" xr:uid="{00000000-0005-0000-0000-00002D100000}"/>
    <cellStyle name="Normal 5 2 4" xfId="826" xr:uid="{00000000-0005-0000-0000-00002E100000}"/>
    <cellStyle name="Normal 5 2 4 2" xfId="1693" xr:uid="{00000000-0005-0000-0000-00002F100000}"/>
    <cellStyle name="Normal 5 2 4 2 2" xfId="3641" xr:uid="{00000000-0005-0000-0000-000030100000}"/>
    <cellStyle name="Normal 5 2 4 3" xfId="2401" xr:uid="{00000000-0005-0000-0000-000031100000}"/>
    <cellStyle name="Normal 5 2 4 3 2" xfId="4333" xr:uid="{00000000-0005-0000-0000-000032100000}"/>
    <cellStyle name="Normal 5 2 4 4" xfId="3046" xr:uid="{00000000-0005-0000-0000-000033100000}"/>
    <cellStyle name="Normal 5 2 4 5" xfId="5502" xr:uid="{00000000-0005-0000-0000-000034100000}"/>
    <cellStyle name="Normal 5 2 5" xfId="1124" xr:uid="{00000000-0005-0000-0000-000035100000}"/>
    <cellStyle name="Normal 5 2 5 2" xfId="1838" xr:uid="{00000000-0005-0000-0000-000036100000}"/>
    <cellStyle name="Normal 5 2 5 2 2" xfId="3784" xr:uid="{00000000-0005-0000-0000-000037100000}"/>
    <cellStyle name="Normal 5 2 5 3" xfId="2552" xr:uid="{00000000-0005-0000-0000-000038100000}"/>
    <cellStyle name="Normal 5 2 5 3 2" xfId="4481" xr:uid="{00000000-0005-0000-0000-000039100000}"/>
    <cellStyle name="Normal 5 2 5 4" xfId="3182" xr:uid="{00000000-0005-0000-0000-00003A100000}"/>
    <cellStyle name="Normal 5 2 5 5" xfId="5954" xr:uid="{00000000-0005-0000-0000-00003B100000}"/>
    <cellStyle name="Normal 5 2 6" xfId="1362" xr:uid="{00000000-0005-0000-0000-00003C100000}"/>
    <cellStyle name="Normal 5 2 6 2" xfId="1983" xr:uid="{00000000-0005-0000-0000-00003D100000}"/>
    <cellStyle name="Normal 5 2 6 2 2" xfId="3927" xr:uid="{00000000-0005-0000-0000-00003E100000}"/>
    <cellStyle name="Normal 5 2 6 3" xfId="2672" xr:uid="{00000000-0005-0000-0000-00003F100000}"/>
    <cellStyle name="Normal 5 2 6 3 2" xfId="4598" xr:uid="{00000000-0005-0000-0000-000040100000}"/>
    <cellStyle name="Normal 5 2 6 4" xfId="3317" xr:uid="{00000000-0005-0000-0000-000041100000}"/>
    <cellStyle name="Normal 5 2 7" xfId="1480" xr:uid="{00000000-0005-0000-0000-000042100000}"/>
    <cellStyle name="Normal 5 2 7 2" xfId="3434" xr:uid="{00000000-0005-0000-0000-000043100000}"/>
    <cellStyle name="Normal 5 2 8" xfId="2169" xr:uid="{00000000-0005-0000-0000-000044100000}"/>
    <cellStyle name="Normal 5 2 8 2" xfId="4112" xr:uid="{00000000-0005-0000-0000-000045100000}"/>
    <cellStyle name="Normal 5 2 9" xfId="2895" xr:uid="{00000000-0005-0000-0000-000046100000}"/>
    <cellStyle name="Normal 5 2_Compilation Rebasing Worksheet_Mission January 2010" xfId="5503" xr:uid="{00000000-0005-0000-0000-000047100000}"/>
    <cellStyle name="Normal 5 3" xfId="136" xr:uid="{00000000-0005-0000-0000-000048100000}"/>
    <cellStyle name="Normal 5 3 2" xfId="344" xr:uid="{00000000-0005-0000-0000-000049100000}"/>
    <cellStyle name="Normal 5 3 3" xfId="5347" xr:uid="{00000000-0005-0000-0000-00004A100000}"/>
    <cellStyle name="Normal 5 4" xfId="181" xr:uid="{00000000-0005-0000-0000-00004B100000}"/>
    <cellStyle name="Normal 5 4 10" xfId="4849" xr:uid="{00000000-0005-0000-0000-00004C100000}"/>
    <cellStyle name="Normal 5 4 11" xfId="4928" xr:uid="{00000000-0005-0000-0000-00004D100000}"/>
    <cellStyle name="Normal 5 4 12" xfId="4997" xr:uid="{00000000-0005-0000-0000-00004E100000}"/>
    <cellStyle name="Normal 5 4 13" xfId="5050" xr:uid="{00000000-0005-0000-0000-00004F100000}"/>
    <cellStyle name="Normal 5 4 14" xfId="5082" xr:uid="{00000000-0005-0000-0000-000050100000}"/>
    <cellStyle name="Normal 5 4 15" xfId="5122" xr:uid="{00000000-0005-0000-0000-000051100000}"/>
    <cellStyle name="Normal 5 4 16" xfId="5602" xr:uid="{00000000-0005-0000-0000-000052100000}"/>
    <cellStyle name="Normal 5 4 2" xfId="198" xr:uid="{00000000-0005-0000-0000-000053100000}"/>
    <cellStyle name="Normal 5 4 2 2" xfId="1036" xr:uid="{00000000-0005-0000-0000-000054100000}"/>
    <cellStyle name="Normal 5 4 2 2 2" xfId="1772" xr:uid="{00000000-0005-0000-0000-000055100000}"/>
    <cellStyle name="Normal 5 4 2 2 2 2" xfId="3719" xr:uid="{00000000-0005-0000-0000-000056100000}"/>
    <cellStyle name="Normal 5 4 2 2 3" xfId="2487" xr:uid="{00000000-0005-0000-0000-000057100000}"/>
    <cellStyle name="Normal 5 4 2 2 3 2" xfId="4416" xr:uid="{00000000-0005-0000-0000-000058100000}"/>
    <cellStyle name="Normal 5 4 2 2 4" xfId="3118" xr:uid="{00000000-0005-0000-0000-000059100000}"/>
    <cellStyle name="Normal 5 4 2 3" xfId="1203" xr:uid="{00000000-0005-0000-0000-00005A100000}"/>
    <cellStyle name="Normal 5 4 2 3 2" xfId="1915" xr:uid="{00000000-0005-0000-0000-00005B100000}"/>
    <cellStyle name="Normal 5 4 2 3 2 2" xfId="3860" xr:uid="{00000000-0005-0000-0000-00005C100000}"/>
    <cellStyle name="Normal 5 4 2 3 3" xfId="2615" xr:uid="{00000000-0005-0000-0000-00005D100000}"/>
    <cellStyle name="Normal 5 4 2 3 3 2" xfId="4543" xr:uid="{00000000-0005-0000-0000-00005E100000}"/>
    <cellStyle name="Normal 5 4 2 3 4" xfId="3257" xr:uid="{00000000-0005-0000-0000-00005F100000}"/>
    <cellStyle name="Normal 5 4 2 4" xfId="1419" xr:uid="{00000000-0005-0000-0000-000060100000}"/>
    <cellStyle name="Normal 5 4 2 4 2" xfId="2040" xr:uid="{00000000-0005-0000-0000-000061100000}"/>
    <cellStyle name="Normal 5 4 2 4 2 2" xfId="3984" xr:uid="{00000000-0005-0000-0000-000062100000}"/>
    <cellStyle name="Normal 5 4 2 4 3" xfId="2729" xr:uid="{00000000-0005-0000-0000-000063100000}"/>
    <cellStyle name="Normal 5 4 2 4 3 2" xfId="4655" xr:uid="{00000000-0005-0000-0000-000064100000}"/>
    <cellStyle name="Normal 5 4 2 4 4" xfId="3374" xr:uid="{00000000-0005-0000-0000-000065100000}"/>
    <cellStyle name="Normal 5 4 2 5" xfId="1509" xr:uid="{00000000-0005-0000-0000-000066100000}"/>
    <cellStyle name="Normal 5 4 2 5 2" xfId="3463" xr:uid="{00000000-0005-0000-0000-000067100000}"/>
    <cellStyle name="Normal 5 4 2 6" xfId="2193" xr:uid="{00000000-0005-0000-0000-000068100000}"/>
    <cellStyle name="Normal 5 4 2 6 2" xfId="4135" xr:uid="{00000000-0005-0000-0000-000069100000}"/>
    <cellStyle name="Normal 5 4 2 7" xfId="2916" xr:uid="{00000000-0005-0000-0000-00006A100000}"/>
    <cellStyle name="Normal 5 4 3" xfId="1035" xr:uid="{00000000-0005-0000-0000-00006B100000}"/>
    <cellStyle name="Normal 5 4 3 2" xfId="1771" xr:uid="{00000000-0005-0000-0000-00006C100000}"/>
    <cellStyle name="Normal 5 4 3 2 2" xfId="3718" xr:uid="{00000000-0005-0000-0000-00006D100000}"/>
    <cellStyle name="Normal 5 4 3 3" xfId="2486" xr:uid="{00000000-0005-0000-0000-00006E100000}"/>
    <cellStyle name="Normal 5 4 3 3 2" xfId="4415" xr:uid="{00000000-0005-0000-0000-00006F100000}"/>
    <cellStyle name="Normal 5 4 3 4" xfId="3117" xr:uid="{00000000-0005-0000-0000-000070100000}"/>
    <cellStyle name="Normal 5 4 4" xfId="1202" xr:uid="{00000000-0005-0000-0000-000071100000}"/>
    <cellStyle name="Normal 5 4 4 2" xfId="1914" xr:uid="{00000000-0005-0000-0000-000072100000}"/>
    <cellStyle name="Normal 5 4 4 2 2" xfId="3859" xr:uid="{00000000-0005-0000-0000-000073100000}"/>
    <cellStyle name="Normal 5 4 4 3" xfId="2614" xr:uid="{00000000-0005-0000-0000-000074100000}"/>
    <cellStyle name="Normal 5 4 4 3 2" xfId="4542" xr:uid="{00000000-0005-0000-0000-000075100000}"/>
    <cellStyle name="Normal 5 4 4 4" xfId="3256" xr:uid="{00000000-0005-0000-0000-000076100000}"/>
    <cellStyle name="Normal 5 4 5" xfId="1418" xr:uid="{00000000-0005-0000-0000-000077100000}"/>
    <cellStyle name="Normal 5 4 5 2" xfId="2039" xr:uid="{00000000-0005-0000-0000-000078100000}"/>
    <cellStyle name="Normal 5 4 5 2 2" xfId="3983" xr:uid="{00000000-0005-0000-0000-000079100000}"/>
    <cellStyle name="Normal 5 4 5 3" xfId="2728" xr:uid="{00000000-0005-0000-0000-00007A100000}"/>
    <cellStyle name="Normal 5 4 5 3 2" xfId="4654" xr:uid="{00000000-0005-0000-0000-00007B100000}"/>
    <cellStyle name="Normal 5 4 5 4" xfId="3373" xr:uid="{00000000-0005-0000-0000-00007C100000}"/>
    <cellStyle name="Normal 5 4 6" xfId="1451" xr:uid="{00000000-0005-0000-0000-00007D100000}"/>
    <cellStyle name="Normal 5 4 6 2" xfId="2071" xr:uid="{00000000-0005-0000-0000-00007E100000}"/>
    <cellStyle name="Normal 5 4 6 2 2" xfId="4015" xr:uid="{00000000-0005-0000-0000-00007F100000}"/>
    <cellStyle name="Normal 5 4 6 3" xfId="2760" xr:uid="{00000000-0005-0000-0000-000080100000}"/>
    <cellStyle name="Normal 5 4 6 3 2" xfId="4686" xr:uid="{00000000-0005-0000-0000-000081100000}"/>
    <cellStyle name="Normal 5 4 6 4" xfId="3405" xr:uid="{00000000-0005-0000-0000-000082100000}"/>
    <cellStyle name="Normal 5 4 7" xfId="1497" xr:uid="{00000000-0005-0000-0000-000083100000}"/>
    <cellStyle name="Normal 5 4 7 2" xfId="3451" xr:uid="{00000000-0005-0000-0000-000084100000}"/>
    <cellStyle name="Normal 5 4 8" xfId="2182" xr:uid="{00000000-0005-0000-0000-000085100000}"/>
    <cellStyle name="Normal 5 4 8 2" xfId="4124" xr:uid="{00000000-0005-0000-0000-000086100000}"/>
    <cellStyle name="Normal 5 4 9" xfId="2905" xr:uid="{00000000-0005-0000-0000-000087100000}"/>
    <cellStyle name="Normal 5 5" xfId="199" xr:uid="{00000000-0005-0000-0000-000088100000}"/>
    <cellStyle name="Normal 5 5 2" xfId="1037" xr:uid="{00000000-0005-0000-0000-000089100000}"/>
    <cellStyle name="Normal 5 5 2 2" xfId="1265" xr:uid="{00000000-0005-0000-0000-00008A100000}"/>
    <cellStyle name="Normal 5 5 2 3" xfId="1773" xr:uid="{00000000-0005-0000-0000-00008B100000}"/>
    <cellStyle name="Normal 5 5 2 3 2" xfId="3720" xr:uid="{00000000-0005-0000-0000-00008C100000}"/>
    <cellStyle name="Normal 5 5 2 4" xfId="2488" xr:uid="{00000000-0005-0000-0000-00008D100000}"/>
    <cellStyle name="Normal 5 5 2 4 2" xfId="4417" xr:uid="{00000000-0005-0000-0000-00008E100000}"/>
    <cellStyle name="Normal 5 5 2 5" xfId="3119" xr:uid="{00000000-0005-0000-0000-00008F100000}"/>
    <cellStyle name="Normal 5 5 3" xfId="1204" xr:uid="{00000000-0005-0000-0000-000090100000}"/>
    <cellStyle name="Normal 5 5 3 2" xfId="1916" xr:uid="{00000000-0005-0000-0000-000091100000}"/>
    <cellStyle name="Normal 5 5 3 2 2" xfId="3861" xr:uid="{00000000-0005-0000-0000-000092100000}"/>
    <cellStyle name="Normal 5 5 3 3" xfId="2616" xr:uid="{00000000-0005-0000-0000-000093100000}"/>
    <cellStyle name="Normal 5 5 3 3 2" xfId="4544" xr:uid="{00000000-0005-0000-0000-000094100000}"/>
    <cellStyle name="Normal 5 5 3 4" xfId="3258" xr:uid="{00000000-0005-0000-0000-000095100000}"/>
    <cellStyle name="Normal 5 5 4" xfId="1420" xr:uid="{00000000-0005-0000-0000-000096100000}"/>
    <cellStyle name="Normal 5 5 4 2" xfId="2041" xr:uid="{00000000-0005-0000-0000-000097100000}"/>
    <cellStyle name="Normal 5 5 4 2 2" xfId="3985" xr:uid="{00000000-0005-0000-0000-000098100000}"/>
    <cellStyle name="Normal 5 5 4 3" xfId="2730" xr:uid="{00000000-0005-0000-0000-000099100000}"/>
    <cellStyle name="Normal 5 5 4 3 2" xfId="4656" xr:uid="{00000000-0005-0000-0000-00009A100000}"/>
    <cellStyle name="Normal 5 5 4 4" xfId="3375" xr:uid="{00000000-0005-0000-0000-00009B100000}"/>
    <cellStyle name="Normal 5 5 5" xfId="1510" xr:uid="{00000000-0005-0000-0000-00009C100000}"/>
    <cellStyle name="Normal 5 5 5 2" xfId="3464" xr:uid="{00000000-0005-0000-0000-00009D100000}"/>
    <cellStyle name="Normal 5 5 6" xfId="2194" xr:uid="{00000000-0005-0000-0000-00009E100000}"/>
    <cellStyle name="Normal 5 5 6 2" xfId="4136" xr:uid="{00000000-0005-0000-0000-00009F100000}"/>
    <cellStyle name="Normal 5 5 7" xfId="2917" xr:uid="{00000000-0005-0000-0000-0000A0100000}"/>
    <cellStyle name="Normal 5 5 8" xfId="5926" xr:uid="{00000000-0005-0000-0000-0000A1100000}"/>
    <cellStyle name="Normal 5 6" xfId="721" xr:uid="{00000000-0005-0000-0000-0000A2100000}"/>
    <cellStyle name="Normal 5 6 2" xfId="1631" xr:uid="{00000000-0005-0000-0000-0000A3100000}"/>
    <cellStyle name="Normal 5 6 2 2" xfId="3584" xr:uid="{00000000-0005-0000-0000-0000A4100000}"/>
    <cellStyle name="Normal 5 6 3" xfId="2344" xr:uid="{00000000-0005-0000-0000-0000A5100000}"/>
    <cellStyle name="Normal 5 6 3 2" xfId="4276" xr:uid="{00000000-0005-0000-0000-0000A6100000}"/>
    <cellStyle name="Normal 5 6 4" xfId="2992" xr:uid="{00000000-0005-0000-0000-0000A7100000}"/>
    <cellStyle name="Normal 5 6 5" xfId="5947" xr:uid="{00000000-0005-0000-0000-0000A8100000}"/>
    <cellStyle name="Normal 5 7" xfId="825" xr:uid="{00000000-0005-0000-0000-0000A9100000}"/>
    <cellStyle name="Normal 5 7 2" xfId="6119" xr:uid="{00000000-0005-0000-0000-0000AA100000}"/>
    <cellStyle name="Normal 5 8" xfId="1449" xr:uid="{00000000-0005-0000-0000-0000AB100000}"/>
    <cellStyle name="Normal 5 8 2" xfId="2069" xr:uid="{00000000-0005-0000-0000-0000AC100000}"/>
    <cellStyle name="Normal 5 8 2 2" xfId="4013" xr:uid="{00000000-0005-0000-0000-0000AD100000}"/>
    <cellStyle name="Normal 5 8 3" xfId="2758" xr:uid="{00000000-0005-0000-0000-0000AE100000}"/>
    <cellStyle name="Normal 5 8 3 2" xfId="4684" xr:uid="{00000000-0005-0000-0000-0000AF100000}"/>
    <cellStyle name="Normal 5 8 4" xfId="3403" xr:uid="{00000000-0005-0000-0000-0000B0100000}"/>
    <cellStyle name="Normal 5 8 5" xfId="6176" xr:uid="{00000000-0005-0000-0000-0000B1100000}"/>
    <cellStyle name="Normal 5 9" xfId="1479" xr:uid="{00000000-0005-0000-0000-0000B2100000}"/>
    <cellStyle name="Normal 5 9 2" xfId="3433" xr:uid="{00000000-0005-0000-0000-0000B3100000}"/>
    <cellStyle name="Normal 5 9 3" xfId="6177" xr:uid="{00000000-0005-0000-0000-0000B4100000}"/>
    <cellStyle name="Normal 5_DSA__Econ_Variables.xlsx UPDATED" xfId="5504" xr:uid="{00000000-0005-0000-0000-0000B5100000}"/>
    <cellStyle name="Normal 50" xfId="619" xr:uid="{00000000-0005-0000-0000-0000B6100000}"/>
    <cellStyle name="Normal 50 2" xfId="5543" xr:uid="{00000000-0005-0000-0000-0000B7100000}"/>
    <cellStyle name="Normal 50 3" xfId="5505" xr:uid="{00000000-0005-0000-0000-0000B8100000}"/>
    <cellStyle name="Normal 51" xfId="621" xr:uid="{00000000-0005-0000-0000-0000B9100000}"/>
    <cellStyle name="Normal 51 2" xfId="5603" xr:uid="{00000000-0005-0000-0000-0000BA100000}"/>
    <cellStyle name="Normal 52" xfId="623" xr:uid="{00000000-0005-0000-0000-0000BB100000}"/>
    <cellStyle name="Normal 52 2" xfId="5604" xr:uid="{00000000-0005-0000-0000-0000BC100000}"/>
    <cellStyle name="Normal 53" xfId="626" xr:uid="{00000000-0005-0000-0000-0000BD100000}"/>
    <cellStyle name="Normal 53 2" xfId="5605" xr:uid="{00000000-0005-0000-0000-0000BE100000}"/>
    <cellStyle name="Normal 54" xfId="628" xr:uid="{00000000-0005-0000-0000-0000BF100000}"/>
    <cellStyle name="Normal 54 2" xfId="5606" xr:uid="{00000000-0005-0000-0000-0000C0100000}"/>
    <cellStyle name="Normal 55" xfId="629" xr:uid="{00000000-0005-0000-0000-0000C1100000}"/>
    <cellStyle name="Normal 55 2" xfId="5607" xr:uid="{00000000-0005-0000-0000-0000C2100000}"/>
    <cellStyle name="Normal 56" xfId="631" xr:uid="{00000000-0005-0000-0000-0000C3100000}"/>
    <cellStyle name="Normal 56 2" xfId="5506" xr:uid="{00000000-0005-0000-0000-0000C4100000}"/>
    <cellStyle name="Normal 57" xfId="634" xr:uid="{00000000-0005-0000-0000-0000C5100000}"/>
    <cellStyle name="Normal 57 2" xfId="5608" xr:uid="{00000000-0005-0000-0000-0000C6100000}"/>
    <cellStyle name="Normal 58" xfId="636" xr:uid="{00000000-0005-0000-0000-0000C7100000}"/>
    <cellStyle name="Normal 58 2" xfId="5609" xr:uid="{00000000-0005-0000-0000-0000C8100000}"/>
    <cellStyle name="Normal 59" xfId="637" xr:uid="{00000000-0005-0000-0000-0000C9100000}"/>
    <cellStyle name="Normal 59 2" xfId="5610" xr:uid="{00000000-0005-0000-0000-0000CA100000}"/>
    <cellStyle name="Normal 6" xfId="137" xr:uid="{00000000-0005-0000-0000-0000CB100000}"/>
    <cellStyle name="Normal 6 105" xfId="5507" xr:uid="{00000000-0005-0000-0000-0000CC100000}"/>
    <cellStyle name="Normal 6 2" xfId="345" xr:uid="{00000000-0005-0000-0000-0000CD100000}"/>
    <cellStyle name="Normal 6 2 2" xfId="346" xr:uid="{00000000-0005-0000-0000-0000CE100000}"/>
    <cellStyle name="Normal 6 2 3" xfId="1084" xr:uid="{00000000-0005-0000-0000-0000CF100000}"/>
    <cellStyle name="Normal 6 2 3 2" xfId="1805" xr:uid="{00000000-0005-0000-0000-0000D0100000}"/>
    <cellStyle name="Normal 6 2 3 2 2" xfId="3752" xr:uid="{00000000-0005-0000-0000-0000D1100000}"/>
    <cellStyle name="Normal 6 2 3 3" xfId="2519" xr:uid="{00000000-0005-0000-0000-0000D2100000}"/>
    <cellStyle name="Normal 6 2 3 3 2" xfId="4448" xr:uid="{00000000-0005-0000-0000-0000D3100000}"/>
    <cellStyle name="Normal 6 2 3 4" xfId="3150" xr:uid="{00000000-0005-0000-0000-0000D4100000}"/>
    <cellStyle name="Normal 6 2 4" xfId="5508" xr:uid="{00000000-0005-0000-0000-0000D5100000}"/>
    <cellStyle name="Normal 6 3" xfId="347" xr:uid="{00000000-0005-0000-0000-0000D6100000}"/>
    <cellStyle name="Normal 6 3 2" xfId="593" xr:uid="{00000000-0005-0000-0000-0000D7100000}"/>
    <cellStyle name="Normal 6 3 3" xfId="5509" xr:uid="{00000000-0005-0000-0000-0000D8100000}"/>
    <cellStyle name="Normal 6 4" xfId="594" xr:uid="{00000000-0005-0000-0000-0000D9100000}"/>
    <cellStyle name="Normal 6 4 2" xfId="4851" xr:uid="{00000000-0005-0000-0000-0000DA100000}"/>
    <cellStyle name="Normal 6 4 3" xfId="5611" xr:uid="{00000000-0005-0000-0000-0000DB100000}"/>
    <cellStyle name="Normal 6 5" xfId="1083" xr:uid="{00000000-0005-0000-0000-0000DC100000}"/>
    <cellStyle name="Normal 6 5 2" xfId="1804" xr:uid="{00000000-0005-0000-0000-0000DD100000}"/>
    <cellStyle name="Normal 6 5 2 2" xfId="3751" xr:uid="{00000000-0005-0000-0000-0000DE100000}"/>
    <cellStyle name="Normal 6 5 3" xfId="2518" xr:uid="{00000000-0005-0000-0000-0000DF100000}"/>
    <cellStyle name="Normal 6 5 3 2" xfId="4447" xr:uid="{00000000-0005-0000-0000-0000E0100000}"/>
    <cellStyle name="Normal 6 5 4" xfId="3149" xr:uid="{00000000-0005-0000-0000-0000E1100000}"/>
    <cellStyle name="Normal 6 5 5" xfId="5927" xr:uid="{00000000-0005-0000-0000-0000E2100000}"/>
    <cellStyle name="Normal 6 6" xfId="4850" xr:uid="{00000000-0005-0000-0000-0000E3100000}"/>
    <cellStyle name="Normal 6 6 2" xfId="6122" xr:uid="{00000000-0005-0000-0000-0000E4100000}"/>
    <cellStyle name="Normal 6 7" xfId="5153" xr:uid="{00000000-0005-0000-0000-0000E5100000}"/>
    <cellStyle name="Normal 6_DSA__Econ_Variables.xlsx UPDATED" xfId="5510" xr:uid="{00000000-0005-0000-0000-0000E6100000}"/>
    <cellStyle name="Normal 60" xfId="639" xr:uid="{00000000-0005-0000-0000-0000E7100000}"/>
    <cellStyle name="Normal 60 2" xfId="5612" xr:uid="{00000000-0005-0000-0000-0000E8100000}"/>
    <cellStyle name="Normal 61" xfId="641" xr:uid="{00000000-0005-0000-0000-0000E9100000}"/>
    <cellStyle name="Normal 61 2" xfId="5613" xr:uid="{00000000-0005-0000-0000-0000EA100000}"/>
    <cellStyle name="Normal 62" xfId="643" xr:uid="{00000000-0005-0000-0000-0000EB100000}"/>
    <cellStyle name="Normal 62 2" xfId="5541" xr:uid="{00000000-0005-0000-0000-0000EC100000}"/>
    <cellStyle name="Normal 62 3" xfId="5511" xr:uid="{00000000-0005-0000-0000-0000ED100000}"/>
    <cellStyle name="Normal 63" xfId="645" xr:uid="{00000000-0005-0000-0000-0000EE100000}"/>
    <cellStyle name="Normal 63 2" xfId="5614" xr:uid="{00000000-0005-0000-0000-0000EF100000}"/>
    <cellStyle name="Normal 64" xfId="647" xr:uid="{00000000-0005-0000-0000-0000F0100000}"/>
    <cellStyle name="Normal 64 2" xfId="5615" xr:uid="{00000000-0005-0000-0000-0000F1100000}"/>
    <cellStyle name="Normal 65" xfId="649" xr:uid="{00000000-0005-0000-0000-0000F2100000}"/>
    <cellStyle name="Normal 65 2" xfId="5616" xr:uid="{00000000-0005-0000-0000-0000F3100000}"/>
    <cellStyle name="Normal 65 2 2" xfId="6086" xr:uid="{00000000-0005-0000-0000-0000F4100000}"/>
    <cellStyle name="Normal 65 3" xfId="5880" xr:uid="{00000000-0005-0000-0000-0000F5100000}"/>
    <cellStyle name="Normal 66" xfId="651" xr:uid="{00000000-0005-0000-0000-0000F6100000}"/>
    <cellStyle name="Normal 66 2" xfId="5617" xr:uid="{00000000-0005-0000-0000-0000F7100000}"/>
    <cellStyle name="Normal 67" xfId="653" xr:uid="{00000000-0005-0000-0000-0000F8100000}"/>
    <cellStyle name="Normal 67 2" xfId="5618" xr:uid="{00000000-0005-0000-0000-0000F9100000}"/>
    <cellStyle name="Normal 68" xfId="656" xr:uid="{00000000-0005-0000-0000-0000FA100000}"/>
    <cellStyle name="Normal 68 2" xfId="5619" xr:uid="{00000000-0005-0000-0000-0000FB100000}"/>
    <cellStyle name="Normal 68 2 2" xfId="6087" xr:uid="{00000000-0005-0000-0000-0000FC100000}"/>
    <cellStyle name="Normal 68 3" xfId="5881" xr:uid="{00000000-0005-0000-0000-0000FD100000}"/>
    <cellStyle name="Normal 69" xfId="658" xr:uid="{00000000-0005-0000-0000-0000FE100000}"/>
    <cellStyle name="Normal 69 2" xfId="5512" xr:uid="{00000000-0005-0000-0000-0000FF100000}"/>
    <cellStyle name="Normal 7" xfId="138" xr:uid="{00000000-0005-0000-0000-000000110000}"/>
    <cellStyle name="Normal 7 2" xfId="348" xr:uid="{00000000-0005-0000-0000-000001110000}"/>
    <cellStyle name="Normal 7 2 2" xfId="519" xr:uid="{00000000-0005-0000-0000-000002110000}"/>
    <cellStyle name="Normal 7 2 2 2" xfId="5348" xr:uid="{00000000-0005-0000-0000-000003110000}"/>
    <cellStyle name="Normal 7 2 2 2 2" xfId="5949" xr:uid="{00000000-0005-0000-0000-000004110000}"/>
    <cellStyle name="Normal 7 2 3" xfId="1085" xr:uid="{00000000-0005-0000-0000-000005110000}"/>
    <cellStyle name="Normal 7 2 3 2" xfId="1336" xr:uid="{00000000-0005-0000-0000-000006110000}"/>
    <cellStyle name="Normal 7 2 3 2 2" xfId="1971" xr:uid="{00000000-0005-0000-0000-000007110000}"/>
    <cellStyle name="Normal 7 2 3 2 2 2" xfId="3915" xr:uid="{00000000-0005-0000-0000-000008110000}"/>
    <cellStyle name="Normal 7 2 3 2 3" xfId="2660" xr:uid="{00000000-0005-0000-0000-000009110000}"/>
    <cellStyle name="Normal 7 2 3 2 3 2" xfId="4587" xr:uid="{00000000-0005-0000-0000-00000A110000}"/>
    <cellStyle name="Normal 7 2 3 2 4" xfId="3307" xr:uid="{00000000-0005-0000-0000-00000B110000}"/>
    <cellStyle name="Normal 7 2 3 2 5" xfId="6109" xr:uid="{00000000-0005-0000-0000-00000C110000}"/>
    <cellStyle name="Normal 7 2 3 3" xfId="1440" xr:uid="{00000000-0005-0000-0000-00000D110000}"/>
    <cellStyle name="Normal 7 2 3 3 2" xfId="2061" xr:uid="{00000000-0005-0000-0000-00000E110000}"/>
    <cellStyle name="Normal 7 2 3 3 2 2" xfId="4005" xr:uid="{00000000-0005-0000-0000-00000F110000}"/>
    <cellStyle name="Normal 7 2 3 3 3" xfId="2750" xr:uid="{00000000-0005-0000-0000-000010110000}"/>
    <cellStyle name="Normal 7 2 3 3 3 2" xfId="4676" xr:uid="{00000000-0005-0000-0000-000011110000}"/>
    <cellStyle name="Normal 7 2 3 3 4" xfId="3395" xr:uid="{00000000-0005-0000-0000-000012110000}"/>
    <cellStyle name="Normal 7 2 3 4" xfId="1806" xr:uid="{00000000-0005-0000-0000-000013110000}"/>
    <cellStyle name="Normal 7 2 3 4 2" xfId="3753" xr:uid="{00000000-0005-0000-0000-000014110000}"/>
    <cellStyle name="Normal 7 2 3 5" xfId="2520" xr:uid="{00000000-0005-0000-0000-000015110000}"/>
    <cellStyle name="Normal 7 2 3 5 2" xfId="4449" xr:uid="{00000000-0005-0000-0000-000016110000}"/>
    <cellStyle name="Normal 7 2 3 6" xfId="3151" xr:uid="{00000000-0005-0000-0000-000017110000}"/>
    <cellStyle name="Normal 7 2 3 7" xfId="5929" xr:uid="{00000000-0005-0000-0000-000018110000}"/>
    <cellStyle name="Normal 7 2 4" xfId="5212" xr:uid="{00000000-0005-0000-0000-000019110000}"/>
    <cellStyle name="Normal 7 2 4 2" xfId="5948" xr:uid="{00000000-0005-0000-0000-00001A110000}"/>
    <cellStyle name="Normal 7 2 5" xfId="5977" xr:uid="{00000000-0005-0000-0000-00001B110000}"/>
    <cellStyle name="Normal 7 2 6" xfId="5730" xr:uid="{00000000-0005-0000-0000-00001C110000}"/>
    <cellStyle name="Normal 7 3" xfId="520" xr:uid="{00000000-0005-0000-0000-00001D110000}"/>
    <cellStyle name="Normal 7 3 2" xfId="1039" xr:uid="{00000000-0005-0000-0000-00001E110000}"/>
    <cellStyle name="Normal 7 3 2 2" xfId="1775" xr:uid="{00000000-0005-0000-0000-00001F110000}"/>
    <cellStyle name="Normal 7 3 2 2 2" xfId="3722" xr:uid="{00000000-0005-0000-0000-000020110000}"/>
    <cellStyle name="Normal 7 3 2 3" xfId="2490" xr:uid="{00000000-0005-0000-0000-000021110000}"/>
    <cellStyle name="Normal 7 3 2 3 2" xfId="4419" xr:uid="{00000000-0005-0000-0000-000022110000}"/>
    <cellStyle name="Normal 7 3 2 4" xfId="3121" xr:uid="{00000000-0005-0000-0000-000023110000}"/>
    <cellStyle name="Normal 7 3 2 5" xfId="6014" xr:uid="{00000000-0005-0000-0000-000024110000}"/>
    <cellStyle name="Normal 7 3 3" xfId="1205" xr:uid="{00000000-0005-0000-0000-000025110000}"/>
    <cellStyle name="Normal 7 3 3 2" xfId="1917" xr:uid="{00000000-0005-0000-0000-000026110000}"/>
    <cellStyle name="Normal 7 3 3 2 2" xfId="3862" xr:uid="{00000000-0005-0000-0000-000027110000}"/>
    <cellStyle name="Normal 7 3 3 3" xfId="2617" xr:uid="{00000000-0005-0000-0000-000028110000}"/>
    <cellStyle name="Normal 7 3 3 3 2" xfId="4545" xr:uid="{00000000-0005-0000-0000-000029110000}"/>
    <cellStyle name="Normal 7 3 3 4" xfId="3259" xr:uid="{00000000-0005-0000-0000-00002A110000}"/>
    <cellStyle name="Normal 7 3 4" xfId="1421" xr:uid="{00000000-0005-0000-0000-00002B110000}"/>
    <cellStyle name="Normal 7 3 4 2" xfId="2042" xr:uid="{00000000-0005-0000-0000-00002C110000}"/>
    <cellStyle name="Normal 7 3 4 2 2" xfId="3986" xr:uid="{00000000-0005-0000-0000-00002D110000}"/>
    <cellStyle name="Normal 7 3 4 3" xfId="2731" xr:uid="{00000000-0005-0000-0000-00002E110000}"/>
    <cellStyle name="Normal 7 3 4 3 2" xfId="4657" xr:uid="{00000000-0005-0000-0000-00002F110000}"/>
    <cellStyle name="Normal 7 3 4 4" xfId="3376" xr:uid="{00000000-0005-0000-0000-000030110000}"/>
    <cellStyle name="Normal 7 3 5" xfId="1587" xr:uid="{00000000-0005-0000-0000-000031110000}"/>
    <cellStyle name="Normal 7 3 5 2" xfId="3541" xr:uid="{00000000-0005-0000-0000-000032110000}"/>
    <cellStyle name="Normal 7 3 6" xfId="2286" xr:uid="{00000000-0005-0000-0000-000033110000}"/>
    <cellStyle name="Normal 7 3 6 2" xfId="4221" xr:uid="{00000000-0005-0000-0000-000034110000}"/>
    <cellStyle name="Normal 7 3 7" xfId="2967" xr:uid="{00000000-0005-0000-0000-000035110000}"/>
    <cellStyle name="Normal 7 3 8" xfId="5349" xr:uid="{00000000-0005-0000-0000-000036110000}"/>
    <cellStyle name="Normal 7 3 9" xfId="5771" xr:uid="{00000000-0005-0000-0000-000037110000}"/>
    <cellStyle name="Normal 7 4" xfId="828" xr:uid="{00000000-0005-0000-0000-000038110000}"/>
    <cellStyle name="Normal 7 4 2" xfId="5513" xr:uid="{00000000-0005-0000-0000-000039110000}"/>
    <cellStyle name="Normal 7 5" xfId="5154" xr:uid="{00000000-0005-0000-0000-00003A110000}"/>
    <cellStyle name="Normal 7 5 2" xfId="5928" xr:uid="{00000000-0005-0000-0000-00003B110000}"/>
    <cellStyle name="Normal 7 6" xfId="5955" xr:uid="{00000000-0005-0000-0000-00003C110000}"/>
    <cellStyle name="Normal 7 7" xfId="6125" xr:uid="{00000000-0005-0000-0000-00003D110000}"/>
    <cellStyle name="Normal 7 8" xfId="5701" xr:uid="{00000000-0005-0000-0000-00003E110000}"/>
    <cellStyle name="Normal 70" xfId="659" xr:uid="{00000000-0005-0000-0000-00003F110000}"/>
    <cellStyle name="Normal 70 2" xfId="5620" xr:uid="{00000000-0005-0000-0000-000040110000}"/>
    <cellStyle name="Normal 70 2 2" xfId="6088" xr:uid="{00000000-0005-0000-0000-000041110000}"/>
    <cellStyle name="Normal 70 3" xfId="5882" xr:uid="{00000000-0005-0000-0000-000042110000}"/>
    <cellStyle name="Normal 71" xfId="662" xr:uid="{00000000-0005-0000-0000-000043110000}"/>
    <cellStyle name="Normal 71 2" xfId="5640" xr:uid="{00000000-0005-0000-0000-000044110000}"/>
    <cellStyle name="Normal 71 2 2" xfId="6090" xr:uid="{00000000-0005-0000-0000-000045110000}"/>
    <cellStyle name="Normal 71 3" xfId="5884" xr:uid="{00000000-0005-0000-0000-000046110000}"/>
    <cellStyle name="Normal 72" xfId="665" xr:uid="{00000000-0005-0000-0000-000047110000}"/>
    <cellStyle name="Normal 72 2" xfId="5645" xr:uid="{00000000-0005-0000-0000-000048110000}"/>
    <cellStyle name="Normal 72 2 2" xfId="6095" xr:uid="{00000000-0005-0000-0000-000049110000}"/>
    <cellStyle name="Normal 72 3" xfId="5889" xr:uid="{00000000-0005-0000-0000-00004A110000}"/>
    <cellStyle name="Normal 73" xfId="666" xr:uid="{00000000-0005-0000-0000-00004B110000}"/>
    <cellStyle name="Normal 73 2" xfId="5644" xr:uid="{00000000-0005-0000-0000-00004C110000}"/>
    <cellStyle name="Normal 73 2 2" xfId="6094" xr:uid="{00000000-0005-0000-0000-00004D110000}"/>
    <cellStyle name="Normal 73 3" xfId="5888" xr:uid="{00000000-0005-0000-0000-00004E110000}"/>
    <cellStyle name="Normal 74" xfId="667" xr:uid="{00000000-0005-0000-0000-00004F110000}"/>
    <cellStyle name="Normal 74 2" xfId="5646" xr:uid="{00000000-0005-0000-0000-000050110000}"/>
    <cellStyle name="Normal 74 2 2" xfId="6096" xr:uid="{00000000-0005-0000-0000-000051110000}"/>
    <cellStyle name="Normal 74 3" xfId="5890" xr:uid="{00000000-0005-0000-0000-000052110000}"/>
    <cellStyle name="Normal 75" xfId="669" xr:uid="{00000000-0005-0000-0000-000053110000}"/>
    <cellStyle name="Normal 75 2" xfId="5648" xr:uid="{00000000-0005-0000-0000-000054110000}"/>
    <cellStyle name="Normal 75 2 2" xfId="6097" xr:uid="{00000000-0005-0000-0000-000055110000}"/>
    <cellStyle name="Normal 75 3" xfId="5891" xr:uid="{00000000-0005-0000-0000-000056110000}"/>
    <cellStyle name="Normal 76" xfId="671" xr:uid="{00000000-0005-0000-0000-000057110000}"/>
    <cellStyle name="Normal 76 2" xfId="5649" xr:uid="{00000000-0005-0000-0000-000058110000}"/>
    <cellStyle name="Normal 76 2 2" xfId="6098" xr:uid="{00000000-0005-0000-0000-000059110000}"/>
    <cellStyle name="Normal 76 3" xfId="5892" xr:uid="{00000000-0005-0000-0000-00005A110000}"/>
    <cellStyle name="Normal 77" xfId="674" xr:uid="{00000000-0005-0000-0000-00005B110000}"/>
    <cellStyle name="Normal 77 2" xfId="5650" xr:uid="{00000000-0005-0000-0000-00005C110000}"/>
    <cellStyle name="Normal 77 2 2" xfId="6099" xr:uid="{00000000-0005-0000-0000-00005D110000}"/>
    <cellStyle name="Normal 77 3" xfId="5893" xr:uid="{00000000-0005-0000-0000-00005E110000}"/>
    <cellStyle name="Normal 78" xfId="678" xr:uid="{00000000-0005-0000-0000-00005F110000}"/>
    <cellStyle name="Normal 78 2" xfId="5514" xr:uid="{00000000-0005-0000-0000-000060110000}"/>
    <cellStyle name="Normal 79" xfId="683" xr:uid="{00000000-0005-0000-0000-000061110000}"/>
    <cellStyle name="Normal 79 2" xfId="5651" xr:uid="{00000000-0005-0000-0000-000062110000}"/>
    <cellStyle name="Normal 79 2 2" xfId="6100" xr:uid="{00000000-0005-0000-0000-000063110000}"/>
    <cellStyle name="Normal 79 3" xfId="5894" xr:uid="{00000000-0005-0000-0000-000064110000}"/>
    <cellStyle name="Normal 8" xfId="139" xr:uid="{00000000-0005-0000-0000-000065110000}"/>
    <cellStyle name="Normal 8 2" xfId="349" xr:uid="{00000000-0005-0000-0000-000066110000}"/>
    <cellStyle name="Normal 8 2 2" xfId="521" xr:uid="{00000000-0005-0000-0000-000067110000}"/>
    <cellStyle name="Normal 8 2 2 2" xfId="1040" xr:uid="{00000000-0005-0000-0000-000068110000}"/>
    <cellStyle name="Normal 8 2 2 2 2" xfId="1776" xr:uid="{00000000-0005-0000-0000-000069110000}"/>
    <cellStyle name="Normal 8 2 2 2 2 2" xfId="3723" xr:uid="{00000000-0005-0000-0000-00006A110000}"/>
    <cellStyle name="Normal 8 2 2 2 3" xfId="2491" xr:uid="{00000000-0005-0000-0000-00006B110000}"/>
    <cellStyle name="Normal 8 2 2 2 3 2" xfId="4420" xr:uid="{00000000-0005-0000-0000-00006C110000}"/>
    <cellStyle name="Normal 8 2 2 2 4" xfId="3122" xr:uid="{00000000-0005-0000-0000-00006D110000}"/>
    <cellStyle name="Normal 8 2 2 2 5" xfId="5990" xr:uid="{00000000-0005-0000-0000-00006E110000}"/>
    <cellStyle name="Normal 8 2 2 3" xfId="1206" xr:uid="{00000000-0005-0000-0000-00006F110000}"/>
    <cellStyle name="Normal 8 2 2 3 2" xfId="1918" xr:uid="{00000000-0005-0000-0000-000070110000}"/>
    <cellStyle name="Normal 8 2 2 3 2 2" xfId="3863" xr:uid="{00000000-0005-0000-0000-000071110000}"/>
    <cellStyle name="Normal 8 2 2 3 3" xfId="2618" xr:uid="{00000000-0005-0000-0000-000072110000}"/>
    <cellStyle name="Normal 8 2 2 3 3 2" xfId="4546" xr:uid="{00000000-0005-0000-0000-000073110000}"/>
    <cellStyle name="Normal 8 2 2 3 4" xfId="3260" xr:uid="{00000000-0005-0000-0000-000074110000}"/>
    <cellStyle name="Normal 8 2 2 4" xfId="1422" xr:uid="{00000000-0005-0000-0000-000075110000}"/>
    <cellStyle name="Normal 8 2 2 4 2" xfId="2043" xr:uid="{00000000-0005-0000-0000-000076110000}"/>
    <cellStyle name="Normal 8 2 2 4 2 2" xfId="3987" xr:uid="{00000000-0005-0000-0000-000077110000}"/>
    <cellStyle name="Normal 8 2 2 4 3" xfId="2732" xr:uid="{00000000-0005-0000-0000-000078110000}"/>
    <cellStyle name="Normal 8 2 2 4 3 2" xfId="4658" xr:uid="{00000000-0005-0000-0000-000079110000}"/>
    <cellStyle name="Normal 8 2 2 4 4" xfId="3377" xr:uid="{00000000-0005-0000-0000-00007A110000}"/>
    <cellStyle name="Normal 8 2 2 5" xfId="1588" xr:uid="{00000000-0005-0000-0000-00007B110000}"/>
    <cellStyle name="Normal 8 2 2 5 2" xfId="3542" xr:uid="{00000000-0005-0000-0000-00007C110000}"/>
    <cellStyle name="Normal 8 2 2 6" xfId="2287" xr:uid="{00000000-0005-0000-0000-00007D110000}"/>
    <cellStyle name="Normal 8 2 2 6 2" xfId="4222" xr:uid="{00000000-0005-0000-0000-00007E110000}"/>
    <cellStyle name="Normal 8 2 2 7" xfId="2968" xr:uid="{00000000-0005-0000-0000-00007F110000}"/>
    <cellStyle name="Normal 8 2 2 8" xfId="5225" xr:uid="{00000000-0005-0000-0000-000080110000}"/>
    <cellStyle name="Normal 8 2 2 9" xfId="5743" xr:uid="{00000000-0005-0000-0000-000081110000}"/>
    <cellStyle name="Normal 8 2 3" xfId="830" xr:uid="{00000000-0005-0000-0000-000082110000}"/>
    <cellStyle name="Normal 8 2 3 2" xfId="1266" xr:uid="{00000000-0005-0000-0000-000083110000}"/>
    <cellStyle name="Normal 8 2 3 3" xfId="5968" xr:uid="{00000000-0005-0000-0000-000084110000}"/>
    <cellStyle name="Normal 8 2 4" xfId="5202" xr:uid="{00000000-0005-0000-0000-000085110000}"/>
    <cellStyle name="Normal 8 2 5" xfId="5721" xr:uid="{00000000-0005-0000-0000-000086110000}"/>
    <cellStyle name="Normal 8 3" xfId="522" xr:uid="{00000000-0005-0000-0000-000087110000}"/>
    <cellStyle name="Normal 8 3 2" xfId="1041" xr:uid="{00000000-0005-0000-0000-000088110000}"/>
    <cellStyle name="Normal 8 3 2 2" xfId="1777" xr:uid="{00000000-0005-0000-0000-000089110000}"/>
    <cellStyle name="Normal 8 3 2 2 2" xfId="3724" xr:uid="{00000000-0005-0000-0000-00008A110000}"/>
    <cellStyle name="Normal 8 3 2 3" xfId="2492" xr:uid="{00000000-0005-0000-0000-00008B110000}"/>
    <cellStyle name="Normal 8 3 2 3 2" xfId="4421" xr:uid="{00000000-0005-0000-0000-00008C110000}"/>
    <cellStyle name="Normal 8 3 2 4" xfId="3123" xr:uid="{00000000-0005-0000-0000-00008D110000}"/>
    <cellStyle name="Normal 8 3 2 5" xfId="5978" xr:uid="{00000000-0005-0000-0000-00008E110000}"/>
    <cellStyle name="Normal 8 3 3" xfId="1207" xr:uid="{00000000-0005-0000-0000-00008F110000}"/>
    <cellStyle name="Normal 8 3 3 2" xfId="1919" xr:uid="{00000000-0005-0000-0000-000090110000}"/>
    <cellStyle name="Normal 8 3 3 2 2" xfId="3864" xr:uid="{00000000-0005-0000-0000-000091110000}"/>
    <cellStyle name="Normal 8 3 3 3" xfId="2619" xr:uid="{00000000-0005-0000-0000-000092110000}"/>
    <cellStyle name="Normal 8 3 3 3 2" xfId="4547" xr:uid="{00000000-0005-0000-0000-000093110000}"/>
    <cellStyle name="Normal 8 3 3 4" xfId="3261" xr:uid="{00000000-0005-0000-0000-000094110000}"/>
    <cellStyle name="Normal 8 3 4" xfId="1423" xr:uid="{00000000-0005-0000-0000-000095110000}"/>
    <cellStyle name="Normal 8 3 4 2" xfId="2044" xr:uid="{00000000-0005-0000-0000-000096110000}"/>
    <cellStyle name="Normal 8 3 4 2 2" xfId="3988" xr:uid="{00000000-0005-0000-0000-000097110000}"/>
    <cellStyle name="Normal 8 3 4 3" xfId="2733" xr:uid="{00000000-0005-0000-0000-000098110000}"/>
    <cellStyle name="Normal 8 3 4 3 2" xfId="4659" xr:uid="{00000000-0005-0000-0000-000099110000}"/>
    <cellStyle name="Normal 8 3 4 4" xfId="3378" xr:uid="{00000000-0005-0000-0000-00009A110000}"/>
    <cellStyle name="Normal 8 3 5" xfId="1589" xr:uid="{00000000-0005-0000-0000-00009B110000}"/>
    <cellStyle name="Normal 8 3 5 2" xfId="3543" xr:uid="{00000000-0005-0000-0000-00009C110000}"/>
    <cellStyle name="Normal 8 3 6" xfId="2288" xr:uid="{00000000-0005-0000-0000-00009D110000}"/>
    <cellStyle name="Normal 8 3 6 2" xfId="4223" xr:uid="{00000000-0005-0000-0000-00009E110000}"/>
    <cellStyle name="Normal 8 3 7" xfId="2969" xr:uid="{00000000-0005-0000-0000-00009F110000}"/>
    <cellStyle name="Normal 8 3 8" xfId="5213" xr:uid="{00000000-0005-0000-0000-0000A0110000}"/>
    <cellStyle name="Normal 8 3 9" xfId="5731" xr:uid="{00000000-0005-0000-0000-0000A1110000}"/>
    <cellStyle name="Normal 8 4" xfId="523" xr:uid="{00000000-0005-0000-0000-0000A2110000}"/>
    <cellStyle name="Normal 8 4 2" xfId="1042" xr:uid="{00000000-0005-0000-0000-0000A3110000}"/>
    <cellStyle name="Normal 8 4 2 2" xfId="1778" xr:uid="{00000000-0005-0000-0000-0000A4110000}"/>
    <cellStyle name="Normal 8 4 2 2 2" xfId="3725" xr:uid="{00000000-0005-0000-0000-0000A5110000}"/>
    <cellStyle name="Normal 8 4 2 3" xfId="2493" xr:uid="{00000000-0005-0000-0000-0000A6110000}"/>
    <cellStyle name="Normal 8 4 2 3 2" xfId="4422" xr:uid="{00000000-0005-0000-0000-0000A7110000}"/>
    <cellStyle name="Normal 8 4 2 4" xfId="3124" xr:uid="{00000000-0005-0000-0000-0000A8110000}"/>
    <cellStyle name="Normal 8 4 2 5" xfId="6015" xr:uid="{00000000-0005-0000-0000-0000A9110000}"/>
    <cellStyle name="Normal 8 4 3" xfId="1208" xr:uid="{00000000-0005-0000-0000-0000AA110000}"/>
    <cellStyle name="Normal 8 4 3 2" xfId="1920" xr:uid="{00000000-0005-0000-0000-0000AB110000}"/>
    <cellStyle name="Normal 8 4 3 2 2" xfId="3865" xr:uid="{00000000-0005-0000-0000-0000AC110000}"/>
    <cellStyle name="Normal 8 4 3 3" xfId="2620" xr:uid="{00000000-0005-0000-0000-0000AD110000}"/>
    <cellStyle name="Normal 8 4 3 3 2" xfId="4548" xr:uid="{00000000-0005-0000-0000-0000AE110000}"/>
    <cellStyle name="Normal 8 4 3 4" xfId="3262" xr:uid="{00000000-0005-0000-0000-0000AF110000}"/>
    <cellStyle name="Normal 8 4 4" xfId="1424" xr:uid="{00000000-0005-0000-0000-0000B0110000}"/>
    <cellStyle name="Normal 8 4 4 2" xfId="2045" xr:uid="{00000000-0005-0000-0000-0000B1110000}"/>
    <cellStyle name="Normal 8 4 4 2 2" xfId="3989" xr:uid="{00000000-0005-0000-0000-0000B2110000}"/>
    <cellStyle name="Normal 8 4 4 3" xfId="2734" xr:uid="{00000000-0005-0000-0000-0000B3110000}"/>
    <cellStyle name="Normal 8 4 4 3 2" xfId="4660" xr:uid="{00000000-0005-0000-0000-0000B4110000}"/>
    <cellStyle name="Normal 8 4 4 4" xfId="3379" xr:uid="{00000000-0005-0000-0000-0000B5110000}"/>
    <cellStyle name="Normal 8 4 5" xfId="1590" xr:uid="{00000000-0005-0000-0000-0000B6110000}"/>
    <cellStyle name="Normal 8 4 5 2" xfId="3544" xr:uid="{00000000-0005-0000-0000-0000B7110000}"/>
    <cellStyle name="Normal 8 4 6" xfId="2289" xr:uid="{00000000-0005-0000-0000-0000B8110000}"/>
    <cellStyle name="Normal 8 4 6 2" xfId="4224" xr:uid="{00000000-0005-0000-0000-0000B9110000}"/>
    <cellStyle name="Normal 8 4 7" xfId="2970" xr:uid="{00000000-0005-0000-0000-0000BA110000}"/>
    <cellStyle name="Normal 8 4 8" xfId="5350" xr:uid="{00000000-0005-0000-0000-0000BB110000}"/>
    <cellStyle name="Normal 8 4 9" xfId="5772" xr:uid="{00000000-0005-0000-0000-0000BC110000}"/>
    <cellStyle name="Normal 8 5" xfId="1354" xr:uid="{00000000-0005-0000-0000-0000BD110000}"/>
    <cellStyle name="Normal 8 5 2" xfId="5515" xr:uid="{00000000-0005-0000-0000-0000BE110000}"/>
    <cellStyle name="Normal 8 6" xfId="5156" xr:uid="{00000000-0005-0000-0000-0000BF110000}"/>
    <cellStyle name="Normal 8 6 2" xfId="6110" xr:uid="{00000000-0005-0000-0000-0000C0110000}"/>
    <cellStyle name="Normal 8 6 3" xfId="5930" xr:uid="{00000000-0005-0000-0000-0000C1110000}"/>
    <cellStyle name="Normal 8 7" xfId="5956" xr:uid="{00000000-0005-0000-0000-0000C2110000}"/>
    <cellStyle name="Normal 8 8" xfId="6127" xr:uid="{00000000-0005-0000-0000-0000C3110000}"/>
    <cellStyle name="Normal 8 9" xfId="5702" xr:uid="{00000000-0005-0000-0000-0000C4110000}"/>
    <cellStyle name="Normal 80" xfId="686" xr:uid="{00000000-0005-0000-0000-0000C5110000}"/>
    <cellStyle name="Normal 80 2" xfId="5652" xr:uid="{00000000-0005-0000-0000-0000C6110000}"/>
    <cellStyle name="Normal 81" xfId="687" xr:uid="{00000000-0005-0000-0000-0000C7110000}"/>
    <cellStyle name="Normal 81 2" xfId="5658" xr:uid="{00000000-0005-0000-0000-0000C8110000}"/>
    <cellStyle name="Normal 81 2 2" xfId="6105" xr:uid="{00000000-0005-0000-0000-0000C9110000}"/>
    <cellStyle name="Normal 81 3" xfId="5899" xr:uid="{00000000-0005-0000-0000-0000CA110000}"/>
    <cellStyle name="Normal 82" xfId="690" xr:uid="{00000000-0005-0000-0000-0000CB110000}"/>
    <cellStyle name="Normal 82 2" xfId="5665" xr:uid="{00000000-0005-0000-0000-0000CC110000}"/>
    <cellStyle name="Normal 83" xfId="691" xr:uid="{00000000-0005-0000-0000-0000CD110000}"/>
    <cellStyle name="Normal 83 2" xfId="6108" xr:uid="{00000000-0005-0000-0000-0000CE110000}"/>
    <cellStyle name="Normal 84" xfId="692" xr:uid="{00000000-0005-0000-0000-0000CF110000}"/>
    <cellStyle name="Normal 85" xfId="697" xr:uid="{00000000-0005-0000-0000-0000D0110000}"/>
    <cellStyle name="Normal 85 2" xfId="5516" xr:uid="{00000000-0005-0000-0000-0000D1110000}"/>
    <cellStyle name="Normal 86" xfId="693" xr:uid="{00000000-0005-0000-0000-0000D2110000}"/>
    <cellStyle name="Normal 86 2" xfId="6111" xr:uid="{00000000-0005-0000-0000-0000D3110000}"/>
    <cellStyle name="Normal 86 3" xfId="5941" xr:uid="{00000000-0005-0000-0000-0000D4110000}"/>
    <cellStyle name="Normal 87" xfId="696" xr:uid="{00000000-0005-0000-0000-0000D5110000}"/>
    <cellStyle name="Normal 87 2" xfId="5517" xr:uid="{00000000-0005-0000-0000-0000D6110000}"/>
    <cellStyle name="Normal 88" xfId="694" xr:uid="{00000000-0005-0000-0000-0000D7110000}"/>
    <cellStyle name="Normal 89" xfId="695" xr:uid="{00000000-0005-0000-0000-0000D8110000}"/>
    <cellStyle name="Normal 89 2" xfId="5951" xr:uid="{00000000-0005-0000-0000-0000D9110000}"/>
    <cellStyle name="Normal 9" xfId="140" xr:uid="{00000000-0005-0000-0000-0000DA110000}"/>
    <cellStyle name="Normal 9 2" xfId="350" xr:uid="{00000000-0005-0000-0000-0000DB110000}"/>
    <cellStyle name="Normal 9 2 2" xfId="1086" xr:uid="{00000000-0005-0000-0000-0000DC110000}"/>
    <cellStyle name="Normal 9 2 2 2" xfId="1337" xr:uid="{00000000-0005-0000-0000-0000DD110000}"/>
    <cellStyle name="Normal 9 2 2 2 2" xfId="1972" xr:uid="{00000000-0005-0000-0000-0000DE110000}"/>
    <cellStyle name="Normal 9 2 2 2 2 2" xfId="3916" xr:uid="{00000000-0005-0000-0000-0000DF110000}"/>
    <cellStyle name="Normal 9 2 2 2 3" xfId="2661" xr:uid="{00000000-0005-0000-0000-0000E0110000}"/>
    <cellStyle name="Normal 9 2 2 2 3 2" xfId="4588" xr:uid="{00000000-0005-0000-0000-0000E1110000}"/>
    <cellStyle name="Normal 9 2 2 2 4" xfId="3308" xr:uid="{00000000-0005-0000-0000-0000E2110000}"/>
    <cellStyle name="Normal 9 2 2 2 5" xfId="6076" xr:uid="{00000000-0005-0000-0000-0000E3110000}"/>
    <cellStyle name="Normal 9 2 2 3" xfId="1441" xr:uid="{00000000-0005-0000-0000-0000E4110000}"/>
    <cellStyle name="Normal 9 2 2 3 2" xfId="2062" xr:uid="{00000000-0005-0000-0000-0000E5110000}"/>
    <cellStyle name="Normal 9 2 2 3 2 2" xfId="4006" xr:uid="{00000000-0005-0000-0000-0000E6110000}"/>
    <cellStyle name="Normal 9 2 2 3 3" xfId="2751" xr:uid="{00000000-0005-0000-0000-0000E7110000}"/>
    <cellStyle name="Normal 9 2 2 3 3 2" xfId="4677" xr:uid="{00000000-0005-0000-0000-0000E8110000}"/>
    <cellStyle name="Normal 9 2 2 3 4" xfId="3396" xr:uid="{00000000-0005-0000-0000-0000E9110000}"/>
    <cellStyle name="Normal 9 2 2 4" xfId="1807" xr:uid="{00000000-0005-0000-0000-0000EA110000}"/>
    <cellStyle name="Normal 9 2 2 4 2" xfId="3754" xr:uid="{00000000-0005-0000-0000-0000EB110000}"/>
    <cellStyle name="Normal 9 2 2 5" xfId="2521" xr:uid="{00000000-0005-0000-0000-0000EC110000}"/>
    <cellStyle name="Normal 9 2 2 5 2" xfId="4450" xr:uid="{00000000-0005-0000-0000-0000ED110000}"/>
    <cellStyle name="Normal 9 2 2 6" xfId="3152" xr:uid="{00000000-0005-0000-0000-0000EE110000}"/>
    <cellStyle name="Normal 9 2 2 7" xfId="5518" xr:uid="{00000000-0005-0000-0000-0000EF110000}"/>
    <cellStyle name="Normal 9 2 2 8" xfId="5839" xr:uid="{00000000-0005-0000-0000-0000F0110000}"/>
    <cellStyle name="Normal 9 2 3" xfId="5216" xr:uid="{00000000-0005-0000-0000-0000F1110000}"/>
    <cellStyle name="Normal 9 2 3 2" xfId="5981" xr:uid="{00000000-0005-0000-0000-0000F2110000}"/>
    <cellStyle name="Normal 9 2 4" xfId="5734" xr:uid="{00000000-0005-0000-0000-0000F3110000}"/>
    <cellStyle name="Normal 9 3" xfId="524" xr:uid="{00000000-0005-0000-0000-0000F4110000}"/>
    <cellStyle name="Normal 9 3 2" xfId="1043" xr:uid="{00000000-0005-0000-0000-0000F5110000}"/>
    <cellStyle name="Normal 9 3 2 2" xfId="1779" xr:uid="{00000000-0005-0000-0000-0000F6110000}"/>
    <cellStyle name="Normal 9 3 2 2 2" xfId="3726" xr:uid="{00000000-0005-0000-0000-0000F7110000}"/>
    <cellStyle name="Normal 9 3 2 3" xfId="2494" xr:uid="{00000000-0005-0000-0000-0000F8110000}"/>
    <cellStyle name="Normal 9 3 2 3 2" xfId="4423" xr:uid="{00000000-0005-0000-0000-0000F9110000}"/>
    <cellStyle name="Normal 9 3 2 4" xfId="3125" xr:uid="{00000000-0005-0000-0000-0000FA110000}"/>
    <cellStyle name="Normal 9 3 2 5" xfId="6016" xr:uid="{00000000-0005-0000-0000-0000FB110000}"/>
    <cellStyle name="Normal 9 3 3" xfId="1209" xr:uid="{00000000-0005-0000-0000-0000FC110000}"/>
    <cellStyle name="Normal 9 3 3 2" xfId="1921" xr:uid="{00000000-0005-0000-0000-0000FD110000}"/>
    <cellStyle name="Normal 9 3 3 2 2" xfId="3866" xr:uid="{00000000-0005-0000-0000-0000FE110000}"/>
    <cellStyle name="Normal 9 3 3 3" xfId="2621" xr:uid="{00000000-0005-0000-0000-0000FF110000}"/>
    <cellStyle name="Normal 9 3 3 3 2" xfId="4549" xr:uid="{00000000-0005-0000-0000-000000120000}"/>
    <cellStyle name="Normal 9 3 3 4" xfId="3263" xr:uid="{00000000-0005-0000-0000-000001120000}"/>
    <cellStyle name="Normal 9 3 4" xfId="1425" xr:uid="{00000000-0005-0000-0000-000002120000}"/>
    <cellStyle name="Normal 9 3 4 2" xfId="2046" xr:uid="{00000000-0005-0000-0000-000003120000}"/>
    <cellStyle name="Normal 9 3 4 2 2" xfId="3990" xr:uid="{00000000-0005-0000-0000-000004120000}"/>
    <cellStyle name="Normal 9 3 4 3" xfId="2735" xr:uid="{00000000-0005-0000-0000-000005120000}"/>
    <cellStyle name="Normal 9 3 4 3 2" xfId="4661" xr:uid="{00000000-0005-0000-0000-000006120000}"/>
    <cellStyle name="Normal 9 3 4 4" xfId="3380" xr:uid="{00000000-0005-0000-0000-000007120000}"/>
    <cellStyle name="Normal 9 3 5" xfId="1591" xr:uid="{00000000-0005-0000-0000-000008120000}"/>
    <cellStyle name="Normal 9 3 5 2" xfId="3545" xr:uid="{00000000-0005-0000-0000-000009120000}"/>
    <cellStyle name="Normal 9 3 6" xfId="2290" xr:uid="{00000000-0005-0000-0000-00000A120000}"/>
    <cellStyle name="Normal 9 3 6 2" xfId="4225" xr:uid="{00000000-0005-0000-0000-00000B120000}"/>
    <cellStyle name="Normal 9 3 7" xfId="2971" xr:uid="{00000000-0005-0000-0000-00000C120000}"/>
    <cellStyle name="Normal 9 3 8" xfId="5351" xr:uid="{00000000-0005-0000-0000-00000D120000}"/>
    <cellStyle name="Normal 9 3 9" xfId="5773" xr:uid="{00000000-0005-0000-0000-00000E120000}"/>
    <cellStyle name="Normal 9 4" xfId="5519" xr:uid="{00000000-0005-0000-0000-00000F120000}"/>
    <cellStyle name="Normal 9 5" xfId="5159" xr:uid="{00000000-0005-0000-0000-000010120000}"/>
    <cellStyle name="Normal 9 5 2" xfId="5959" xr:uid="{00000000-0005-0000-0000-000011120000}"/>
    <cellStyle name="Normal 9 6" xfId="6129" xr:uid="{00000000-0005-0000-0000-000012120000}"/>
    <cellStyle name="Normal 9 7" xfId="5705" xr:uid="{00000000-0005-0000-0000-000013120000}"/>
    <cellStyle name="Normal 90" xfId="698" xr:uid="{00000000-0005-0000-0000-000014120000}"/>
    <cellStyle name="Normal 91" xfId="699" xr:uid="{00000000-0005-0000-0000-000015120000}"/>
    <cellStyle name="Normal 91 2" xfId="5520" xr:uid="{00000000-0005-0000-0000-000016120000}"/>
    <cellStyle name="Normal 92" xfId="700" xr:uid="{00000000-0005-0000-0000-000017120000}"/>
    <cellStyle name="Normal 92 2" xfId="5521" xr:uid="{00000000-0005-0000-0000-000018120000}"/>
    <cellStyle name="Normal 93" xfId="701" xr:uid="{00000000-0005-0000-0000-000019120000}"/>
    <cellStyle name="Normal 94" xfId="705" xr:uid="{00000000-0005-0000-0000-00001A120000}"/>
    <cellStyle name="Normal 95" xfId="702" xr:uid="{00000000-0005-0000-0000-00001B120000}"/>
    <cellStyle name="Normal 95 2" xfId="5522" xr:uid="{00000000-0005-0000-0000-00001C120000}"/>
    <cellStyle name="Normal 96" xfId="704" xr:uid="{00000000-0005-0000-0000-00001D120000}"/>
    <cellStyle name="Normal 96 2" xfId="5523" xr:uid="{00000000-0005-0000-0000-00001E120000}"/>
    <cellStyle name="Normal 97" xfId="703" xr:uid="{00000000-0005-0000-0000-00001F120000}"/>
    <cellStyle name="Normal 97 2" xfId="5524" xr:uid="{00000000-0005-0000-0000-000020120000}"/>
    <cellStyle name="Normal 98" xfId="706" xr:uid="{00000000-0005-0000-0000-000021120000}"/>
    <cellStyle name="Normal 99" xfId="707" xr:uid="{00000000-0005-0000-0000-000022120000}"/>
    <cellStyle name="Normal 99 2" xfId="6179" xr:uid="{00000000-0005-0000-0000-000023120000}"/>
    <cellStyle name="Normal Table" xfId="525" xr:uid="{00000000-0005-0000-0000-000024120000}"/>
    <cellStyle name="Normal, Of which" xfId="526" xr:uid="{00000000-0005-0000-0000-000025120000}"/>
    <cellStyle name="Normal_2KVV01_" xfId="5088" xr:uid="{00000000-0005-0000-0000-000026120000}"/>
    <cellStyle name="Normal_2QMB01_ 2" xfId="4807" xr:uid="{00000000-0005-0000-0000-000027120000}"/>
    <cellStyle name="Normal_Antigua &amp; Barbuda GDP at 2006 Prices Adjusted" xfId="1446" xr:uid="{00000000-0005-0000-0000-000028120000}"/>
    <cellStyle name="Normal_cargo for ref 2008 Pierre Louis" xfId="141" xr:uid="{00000000-0005-0000-0000-000029120000}"/>
    <cellStyle name="Normal_Clhot02" xfId="748" xr:uid="{00000000-0005-0000-0000-00002A120000}"/>
    <cellStyle name="Normal_Clyl2002" xfId="184" xr:uid="{00000000-0005-0000-0000-00002B120000}"/>
    <cellStyle name="Normal_Detailed Monetary Survey 2" xfId="142" xr:uid="{00000000-0005-0000-0000-00002C120000}"/>
    <cellStyle name="Normal_ECCBLIB-#419972-v1-SUPPLEMENTARY_INFORMATION_DATA_TABLES" xfId="5091" xr:uid="{00000000-0005-0000-0000-00002D120000}"/>
    <cellStyle name="Normal_egg_working_file_2011" xfId="831" xr:uid="{00000000-0005-0000-0000-00002E120000}"/>
    <cellStyle name="Normal_Fiscal" xfId="143" xr:uid="{00000000-0005-0000-0000-00002F120000}"/>
    <cellStyle name="Normal_LISTING DECEMBER 31, 2002" xfId="144" xr:uid="{00000000-0005-0000-0000-000030120000}"/>
    <cellStyle name="Normal_Rebased Real GDP Series 1 April 2011 2" xfId="182" xr:uid="{00000000-0005-0000-0000-000031120000}"/>
    <cellStyle name="Normal_Tables_90799" xfId="4808" xr:uid="{00000000-0005-0000-0000-000032120000}"/>
    <cellStyle name="Note 2" xfId="145" xr:uid="{00000000-0005-0000-0000-000033120000}"/>
    <cellStyle name="Note 2 10" xfId="2237" xr:uid="{00000000-0005-0000-0000-000034120000}"/>
    <cellStyle name="Note 2 10 2" xfId="4173" xr:uid="{00000000-0005-0000-0000-000035120000}"/>
    <cellStyle name="Note 2 11" xfId="2881" xr:uid="{00000000-0005-0000-0000-000036120000}"/>
    <cellStyle name="Note 2 11 2" xfId="4802" xr:uid="{00000000-0005-0000-0000-000037120000}"/>
    <cellStyle name="Note 2 12" xfId="2896" xr:uid="{00000000-0005-0000-0000-000038120000}"/>
    <cellStyle name="Note 2 13" xfId="4853" xr:uid="{00000000-0005-0000-0000-000039120000}"/>
    <cellStyle name="Note 2 14" xfId="5352" xr:uid="{00000000-0005-0000-0000-00003A120000}"/>
    <cellStyle name="Note 2 15" xfId="5774" xr:uid="{00000000-0005-0000-0000-00003B120000}"/>
    <cellStyle name="Note 2 2" xfId="351" xr:uid="{00000000-0005-0000-0000-00003C120000}"/>
    <cellStyle name="Note 2 2 10" xfId="2664" xr:uid="{00000000-0005-0000-0000-00003D120000}"/>
    <cellStyle name="Note 2 2 10 2" xfId="4591" xr:uid="{00000000-0005-0000-0000-00003E120000}"/>
    <cellStyle name="Note 2 2 11" xfId="2930" xr:uid="{00000000-0005-0000-0000-00003F120000}"/>
    <cellStyle name="Note 2 2 12" xfId="6152" xr:uid="{00000000-0005-0000-0000-000040120000}"/>
    <cellStyle name="Note 2 2 2" xfId="1355" xr:uid="{00000000-0005-0000-0000-000041120000}"/>
    <cellStyle name="Note 2 2 2 2" xfId="1976" xr:uid="{00000000-0005-0000-0000-000042120000}"/>
    <cellStyle name="Note 2 2 2 2 2" xfId="3920" xr:uid="{00000000-0005-0000-0000-000043120000}"/>
    <cellStyle name="Note 2 2 2 3" xfId="2144" xr:uid="{00000000-0005-0000-0000-000044120000}"/>
    <cellStyle name="Note 2 2 2 3 2" xfId="4088" xr:uid="{00000000-0005-0000-0000-000045120000}"/>
    <cellStyle name="Note 2 2 2 4" xfId="2079" xr:uid="{00000000-0005-0000-0000-000046120000}"/>
    <cellStyle name="Note 2 2 2 4 2" xfId="4023" xr:uid="{00000000-0005-0000-0000-000047120000}"/>
    <cellStyle name="Note 2 2 2 5" xfId="2855" xr:uid="{00000000-0005-0000-0000-000048120000}"/>
    <cellStyle name="Note 2 2 2 5 2" xfId="4777" xr:uid="{00000000-0005-0000-0000-000049120000}"/>
    <cellStyle name="Note 2 2 2 6" xfId="2158" xr:uid="{00000000-0005-0000-0000-00004A120000}"/>
    <cellStyle name="Note 2 2 2 6 2" xfId="4101" xr:uid="{00000000-0005-0000-0000-00004B120000}"/>
    <cellStyle name="Note 2 2 2 7" xfId="2235" xr:uid="{00000000-0005-0000-0000-00004C120000}"/>
    <cellStyle name="Note 2 2 2 7 2" xfId="4171" xr:uid="{00000000-0005-0000-0000-00004D120000}"/>
    <cellStyle name="Note 2 2 2 8" xfId="2877" xr:uid="{00000000-0005-0000-0000-00004E120000}"/>
    <cellStyle name="Note 2 2 2 8 2" xfId="4798" xr:uid="{00000000-0005-0000-0000-00004F120000}"/>
    <cellStyle name="Note 2 2 2 9" xfId="3310" xr:uid="{00000000-0005-0000-0000-000050120000}"/>
    <cellStyle name="Note 2 2 3" xfId="1210" xr:uid="{00000000-0005-0000-0000-000051120000}"/>
    <cellStyle name="Note 2 2 3 2" xfId="1922" xr:uid="{00000000-0005-0000-0000-000052120000}"/>
    <cellStyle name="Note 2 2 3 2 2" xfId="3867" xr:uid="{00000000-0005-0000-0000-000053120000}"/>
    <cellStyle name="Note 2 2 3 3" xfId="2110" xr:uid="{00000000-0005-0000-0000-000054120000}"/>
    <cellStyle name="Note 2 2 3 3 2" xfId="4054" xr:uid="{00000000-0005-0000-0000-000055120000}"/>
    <cellStyle name="Note 2 2 3 4" xfId="1478" xr:uid="{00000000-0005-0000-0000-000056120000}"/>
    <cellStyle name="Note 2 2 3 4 2" xfId="3432" xr:uid="{00000000-0005-0000-0000-000057120000}"/>
    <cellStyle name="Note 2 2 3 5" xfId="2815" xr:uid="{00000000-0005-0000-0000-000058120000}"/>
    <cellStyle name="Note 2 2 3 5 2" xfId="4737" xr:uid="{00000000-0005-0000-0000-000059120000}"/>
    <cellStyle name="Note 2 2 3 6" xfId="2300" xr:uid="{00000000-0005-0000-0000-00005A120000}"/>
    <cellStyle name="Note 2 2 3 6 2" xfId="4235" xr:uid="{00000000-0005-0000-0000-00005B120000}"/>
    <cellStyle name="Note 2 2 3 7" xfId="2807" xr:uid="{00000000-0005-0000-0000-00005C120000}"/>
    <cellStyle name="Note 2 2 3 7 2" xfId="4729" xr:uid="{00000000-0005-0000-0000-00005D120000}"/>
    <cellStyle name="Note 2 2 3 8" xfId="2646" xr:uid="{00000000-0005-0000-0000-00005E120000}"/>
    <cellStyle name="Note 2 2 3 8 2" xfId="4573" xr:uid="{00000000-0005-0000-0000-00005F120000}"/>
    <cellStyle name="Note 2 2 3 9" xfId="3264" xr:uid="{00000000-0005-0000-0000-000060120000}"/>
    <cellStyle name="Note 2 2 4" xfId="1528" xr:uid="{00000000-0005-0000-0000-000061120000}"/>
    <cellStyle name="Note 2 2 4 2" xfId="3482" xr:uid="{00000000-0005-0000-0000-000062120000}"/>
    <cellStyle name="Note 2 2 5" xfId="1566" xr:uid="{00000000-0005-0000-0000-000063120000}"/>
    <cellStyle name="Note 2 2 5 2" xfId="3520" xr:uid="{00000000-0005-0000-0000-000064120000}"/>
    <cellStyle name="Note 2 2 6" xfId="2149" xr:uid="{00000000-0005-0000-0000-000065120000}"/>
    <cellStyle name="Note 2 2 6 2" xfId="4093" xr:uid="{00000000-0005-0000-0000-000066120000}"/>
    <cellStyle name="Note 2 2 7" xfId="2165" xr:uid="{00000000-0005-0000-0000-000067120000}"/>
    <cellStyle name="Note 2 2 7 2" xfId="4108" xr:uid="{00000000-0005-0000-0000-000068120000}"/>
    <cellStyle name="Note 2 2 8" xfId="2858" xr:uid="{00000000-0005-0000-0000-000069120000}"/>
    <cellStyle name="Note 2 2 8 2" xfId="4780" xr:uid="{00000000-0005-0000-0000-00006A120000}"/>
    <cellStyle name="Note 2 2 9" xfId="2212" xr:uid="{00000000-0005-0000-0000-00006B120000}"/>
    <cellStyle name="Note 2 2 9 2" xfId="4153" xr:uid="{00000000-0005-0000-0000-00006C120000}"/>
    <cellStyle name="Note 2 3" xfId="1258" xr:uid="{00000000-0005-0000-0000-00006D120000}"/>
    <cellStyle name="Note 2 3 2" xfId="1947" xr:uid="{00000000-0005-0000-0000-00006E120000}"/>
    <cellStyle name="Note 2 3 2 2" xfId="3891" xr:uid="{00000000-0005-0000-0000-00006F120000}"/>
    <cellStyle name="Note 2 3 3" xfId="2124" xr:uid="{00000000-0005-0000-0000-000070120000}"/>
    <cellStyle name="Note 2 3 3 2" xfId="4068" xr:uid="{00000000-0005-0000-0000-000071120000}"/>
    <cellStyle name="Note 2 3 4" xfId="1613" xr:uid="{00000000-0005-0000-0000-000072120000}"/>
    <cellStyle name="Note 2 3 4 2" xfId="3566" xr:uid="{00000000-0005-0000-0000-000073120000}"/>
    <cellStyle name="Note 2 3 5" xfId="2828" xr:uid="{00000000-0005-0000-0000-000074120000}"/>
    <cellStyle name="Note 2 3 5 2" xfId="4750" xr:uid="{00000000-0005-0000-0000-000075120000}"/>
    <cellStyle name="Note 2 3 6" xfId="2305" xr:uid="{00000000-0005-0000-0000-000076120000}"/>
    <cellStyle name="Note 2 3 6 2" xfId="4240" xr:uid="{00000000-0005-0000-0000-000077120000}"/>
    <cellStyle name="Note 2 3 7" xfId="2812" xr:uid="{00000000-0005-0000-0000-000078120000}"/>
    <cellStyle name="Note 2 3 7 2" xfId="4734" xr:uid="{00000000-0005-0000-0000-000079120000}"/>
    <cellStyle name="Note 2 3 8" xfId="2216" xr:uid="{00000000-0005-0000-0000-00007A120000}"/>
    <cellStyle name="Note 2 3 8 2" xfId="4156" xr:uid="{00000000-0005-0000-0000-00007B120000}"/>
    <cellStyle name="Note 2 3 9" xfId="3286" xr:uid="{00000000-0005-0000-0000-00007C120000}"/>
    <cellStyle name="Note 2 4" xfId="1141" xr:uid="{00000000-0005-0000-0000-00007D120000}"/>
    <cellStyle name="Note 2 4 2" xfId="1855" xr:uid="{00000000-0005-0000-0000-00007E120000}"/>
    <cellStyle name="Note 2 4 2 2" xfId="3800" xr:uid="{00000000-0005-0000-0000-00007F120000}"/>
    <cellStyle name="Note 2 4 3" xfId="2097" xr:uid="{00000000-0005-0000-0000-000080120000}"/>
    <cellStyle name="Note 2 4 3 2" xfId="4041" xr:uid="{00000000-0005-0000-0000-000081120000}"/>
    <cellStyle name="Note 2 4 4" xfId="1515" xr:uid="{00000000-0005-0000-0000-000082120000}"/>
    <cellStyle name="Note 2 4 4 2" xfId="3469" xr:uid="{00000000-0005-0000-0000-000083120000}"/>
    <cellStyle name="Note 2 4 5" xfId="2791" xr:uid="{00000000-0005-0000-0000-000084120000}"/>
    <cellStyle name="Note 2 4 5 2" xfId="4715" xr:uid="{00000000-0005-0000-0000-000085120000}"/>
    <cellStyle name="Note 2 4 6" xfId="2231" xr:uid="{00000000-0005-0000-0000-000086120000}"/>
    <cellStyle name="Note 2 4 6 2" xfId="4169" xr:uid="{00000000-0005-0000-0000-000087120000}"/>
    <cellStyle name="Note 2 4 7" xfId="2835" xr:uid="{00000000-0005-0000-0000-000088120000}"/>
    <cellStyle name="Note 2 4 7 2" xfId="4757" xr:uid="{00000000-0005-0000-0000-000089120000}"/>
    <cellStyle name="Note 2 4 8" xfId="2868" xr:uid="{00000000-0005-0000-0000-00008A120000}"/>
    <cellStyle name="Note 2 4 8 2" xfId="4789" xr:uid="{00000000-0005-0000-0000-00008B120000}"/>
    <cellStyle name="Note 2 4 9" xfId="3198" xr:uid="{00000000-0005-0000-0000-00008C120000}"/>
    <cellStyle name="Note 2 5" xfId="1485" xr:uid="{00000000-0005-0000-0000-00008D120000}"/>
    <cellStyle name="Note 2 5 2" xfId="3439" xr:uid="{00000000-0005-0000-0000-00008E120000}"/>
    <cellStyle name="Note 2 6" xfId="1592" xr:uid="{00000000-0005-0000-0000-00008F120000}"/>
    <cellStyle name="Note 2 6 2" xfId="3546" xr:uid="{00000000-0005-0000-0000-000090120000}"/>
    <cellStyle name="Note 2 7" xfId="1564" xr:uid="{00000000-0005-0000-0000-000091120000}"/>
    <cellStyle name="Note 2 7 2" xfId="3518" xr:uid="{00000000-0005-0000-0000-000092120000}"/>
    <cellStyle name="Note 2 8" xfId="2642" xr:uid="{00000000-0005-0000-0000-000093120000}"/>
    <cellStyle name="Note 2 8 2" xfId="4569" xr:uid="{00000000-0005-0000-0000-000094120000}"/>
    <cellStyle name="Note 2 9" xfId="2251" xr:uid="{00000000-0005-0000-0000-000095120000}"/>
    <cellStyle name="Note 2 9 2" xfId="4186" xr:uid="{00000000-0005-0000-0000-000096120000}"/>
    <cellStyle name="Note 3" xfId="146" xr:uid="{00000000-0005-0000-0000-000097120000}"/>
    <cellStyle name="Note 3 10" xfId="2320" xr:uid="{00000000-0005-0000-0000-000098120000}"/>
    <cellStyle name="Note 3 10 2" xfId="4255" xr:uid="{00000000-0005-0000-0000-000099120000}"/>
    <cellStyle name="Note 3 11" xfId="2824" xr:uid="{00000000-0005-0000-0000-00009A120000}"/>
    <cellStyle name="Note 3 11 2" xfId="4746" xr:uid="{00000000-0005-0000-0000-00009B120000}"/>
    <cellStyle name="Note 3 12" xfId="2897" xr:uid="{00000000-0005-0000-0000-00009C120000}"/>
    <cellStyle name="Note 3 13" xfId="4854" xr:uid="{00000000-0005-0000-0000-00009D120000}"/>
    <cellStyle name="Note 3 14" xfId="5353" xr:uid="{00000000-0005-0000-0000-00009E120000}"/>
    <cellStyle name="Note 3 15" xfId="5775" xr:uid="{00000000-0005-0000-0000-00009F120000}"/>
    <cellStyle name="Note 3 2" xfId="352" xr:uid="{00000000-0005-0000-0000-0000A0120000}"/>
    <cellStyle name="Note 3 2 10" xfId="2208" xr:uid="{00000000-0005-0000-0000-0000A1120000}"/>
    <cellStyle name="Note 3 2 10 2" xfId="4149" xr:uid="{00000000-0005-0000-0000-0000A2120000}"/>
    <cellStyle name="Note 3 2 11" xfId="2931" xr:uid="{00000000-0005-0000-0000-0000A3120000}"/>
    <cellStyle name="Note 3 2 2" xfId="1356" xr:uid="{00000000-0005-0000-0000-0000A4120000}"/>
    <cellStyle name="Note 3 2 2 2" xfId="1977" xr:uid="{00000000-0005-0000-0000-0000A5120000}"/>
    <cellStyle name="Note 3 2 2 2 2" xfId="3921" xr:uid="{00000000-0005-0000-0000-0000A6120000}"/>
    <cellStyle name="Note 3 2 2 3" xfId="2145" xr:uid="{00000000-0005-0000-0000-0000A7120000}"/>
    <cellStyle name="Note 3 2 2 3 2" xfId="4089" xr:uid="{00000000-0005-0000-0000-0000A8120000}"/>
    <cellStyle name="Note 3 2 2 4" xfId="1481" xr:uid="{00000000-0005-0000-0000-0000A9120000}"/>
    <cellStyle name="Note 3 2 2 4 2" xfId="3435" xr:uid="{00000000-0005-0000-0000-0000AA120000}"/>
    <cellStyle name="Note 3 2 2 5" xfId="2856" xr:uid="{00000000-0005-0000-0000-0000AB120000}"/>
    <cellStyle name="Note 3 2 2 5 2" xfId="4778" xr:uid="{00000000-0005-0000-0000-0000AC120000}"/>
    <cellStyle name="Note 3 2 2 6" xfId="2177" xr:uid="{00000000-0005-0000-0000-0000AD120000}"/>
    <cellStyle name="Note 3 2 2 6 2" xfId="4119" xr:uid="{00000000-0005-0000-0000-0000AE120000}"/>
    <cellStyle name="Note 3 2 2 7" xfId="2866" xr:uid="{00000000-0005-0000-0000-0000AF120000}"/>
    <cellStyle name="Note 3 2 2 7 2" xfId="4787" xr:uid="{00000000-0005-0000-0000-0000B0120000}"/>
    <cellStyle name="Note 3 2 2 8" xfId="2309" xr:uid="{00000000-0005-0000-0000-0000B1120000}"/>
    <cellStyle name="Note 3 2 2 8 2" xfId="4244" xr:uid="{00000000-0005-0000-0000-0000B2120000}"/>
    <cellStyle name="Note 3 2 2 9" xfId="3311" xr:uid="{00000000-0005-0000-0000-0000B3120000}"/>
    <cellStyle name="Note 3 2 3" xfId="1211" xr:uid="{00000000-0005-0000-0000-0000B4120000}"/>
    <cellStyle name="Note 3 2 3 2" xfId="1923" xr:uid="{00000000-0005-0000-0000-0000B5120000}"/>
    <cellStyle name="Note 3 2 3 2 2" xfId="3868" xr:uid="{00000000-0005-0000-0000-0000B6120000}"/>
    <cellStyle name="Note 3 2 3 3" xfId="2111" xr:uid="{00000000-0005-0000-0000-0000B7120000}"/>
    <cellStyle name="Note 3 2 3 3 2" xfId="4055" xr:uid="{00000000-0005-0000-0000-0000B8120000}"/>
    <cellStyle name="Note 3 2 3 4" xfId="1711" xr:uid="{00000000-0005-0000-0000-0000B9120000}"/>
    <cellStyle name="Note 3 2 3 4 2" xfId="3659" xr:uid="{00000000-0005-0000-0000-0000BA120000}"/>
    <cellStyle name="Note 3 2 3 5" xfId="2816" xr:uid="{00000000-0005-0000-0000-0000BB120000}"/>
    <cellStyle name="Note 3 2 3 5 2" xfId="4738" xr:uid="{00000000-0005-0000-0000-0000BC120000}"/>
    <cellStyle name="Note 3 2 3 6" xfId="2301" xr:uid="{00000000-0005-0000-0000-0000BD120000}"/>
    <cellStyle name="Note 3 2 3 6 2" xfId="4236" xr:uid="{00000000-0005-0000-0000-0000BE120000}"/>
    <cellStyle name="Note 3 2 3 7" xfId="2769" xr:uid="{00000000-0005-0000-0000-0000BF120000}"/>
    <cellStyle name="Note 3 2 3 7 2" xfId="4695" xr:uid="{00000000-0005-0000-0000-0000C0120000}"/>
    <cellStyle name="Note 3 2 3 8" xfId="2639" xr:uid="{00000000-0005-0000-0000-0000C1120000}"/>
    <cellStyle name="Note 3 2 3 8 2" xfId="4566" xr:uid="{00000000-0005-0000-0000-0000C2120000}"/>
    <cellStyle name="Note 3 2 3 9" xfId="3265" xr:uid="{00000000-0005-0000-0000-0000C3120000}"/>
    <cellStyle name="Note 3 2 4" xfId="1529" xr:uid="{00000000-0005-0000-0000-0000C4120000}"/>
    <cellStyle name="Note 3 2 4 2" xfId="3483" xr:uid="{00000000-0005-0000-0000-0000C5120000}"/>
    <cellStyle name="Note 3 2 5" xfId="1565" xr:uid="{00000000-0005-0000-0000-0000C6120000}"/>
    <cellStyle name="Note 3 2 5 2" xfId="3519" xr:uid="{00000000-0005-0000-0000-0000C7120000}"/>
    <cellStyle name="Note 3 2 6" xfId="2109" xr:uid="{00000000-0005-0000-0000-0000C8120000}"/>
    <cellStyle name="Note 3 2 6 2" xfId="4053" xr:uid="{00000000-0005-0000-0000-0000C9120000}"/>
    <cellStyle name="Note 3 2 7" xfId="2421" xr:uid="{00000000-0005-0000-0000-0000CA120000}"/>
    <cellStyle name="Note 3 2 7 2" xfId="4352" xr:uid="{00000000-0005-0000-0000-0000CB120000}"/>
    <cellStyle name="Note 3 2 8" xfId="2790" xr:uid="{00000000-0005-0000-0000-0000CC120000}"/>
    <cellStyle name="Note 3 2 8 2" xfId="4714" xr:uid="{00000000-0005-0000-0000-0000CD120000}"/>
    <cellStyle name="Note 3 2 9" xfId="2772" xr:uid="{00000000-0005-0000-0000-0000CE120000}"/>
    <cellStyle name="Note 3 2 9 2" xfId="4698" xr:uid="{00000000-0005-0000-0000-0000CF120000}"/>
    <cellStyle name="Note 3 3" xfId="1311" xr:uid="{00000000-0005-0000-0000-0000D0120000}"/>
    <cellStyle name="Note 3 3 2" xfId="1963" xr:uid="{00000000-0005-0000-0000-0000D1120000}"/>
    <cellStyle name="Note 3 3 2 2" xfId="3907" xr:uid="{00000000-0005-0000-0000-0000D2120000}"/>
    <cellStyle name="Note 3 3 3" xfId="2136" xr:uid="{00000000-0005-0000-0000-0000D3120000}"/>
    <cellStyle name="Note 3 3 3 2" xfId="4080" xr:uid="{00000000-0005-0000-0000-0000D4120000}"/>
    <cellStyle name="Note 3 3 4" xfId="1603" xr:uid="{00000000-0005-0000-0000-0000D5120000}"/>
    <cellStyle name="Note 3 3 4 2" xfId="3557" xr:uid="{00000000-0005-0000-0000-0000D6120000}"/>
    <cellStyle name="Note 3 3 5" xfId="2847" xr:uid="{00000000-0005-0000-0000-0000D7120000}"/>
    <cellStyle name="Note 3 3 5 2" xfId="4769" xr:uid="{00000000-0005-0000-0000-0000D8120000}"/>
    <cellStyle name="Note 3 3 6" xfId="2801" xr:uid="{00000000-0005-0000-0000-0000D9120000}"/>
    <cellStyle name="Note 3 3 6 2" xfId="4723" xr:uid="{00000000-0005-0000-0000-0000DA120000}"/>
    <cellStyle name="Note 3 3 7" xfId="2176" xr:uid="{00000000-0005-0000-0000-0000DB120000}"/>
    <cellStyle name="Note 3 3 7 2" xfId="4118" xr:uid="{00000000-0005-0000-0000-0000DC120000}"/>
    <cellStyle name="Note 3 3 8" xfId="2632" xr:uid="{00000000-0005-0000-0000-0000DD120000}"/>
    <cellStyle name="Note 3 3 8 2" xfId="4560" xr:uid="{00000000-0005-0000-0000-0000DE120000}"/>
    <cellStyle name="Note 3 3 9" xfId="3299" xr:uid="{00000000-0005-0000-0000-0000DF120000}"/>
    <cellStyle name="Note 3 4" xfId="1142" xr:uid="{00000000-0005-0000-0000-0000E0120000}"/>
    <cellStyle name="Note 3 4 2" xfId="1856" xr:uid="{00000000-0005-0000-0000-0000E1120000}"/>
    <cellStyle name="Note 3 4 2 2" xfId="3801" xr:uid="{00000000-0005-0000-0000-0000E2120000}"/>
    <cellStyle name="Note 3 4 3" xfId="2098" xr:uid="{00000000-0005-0000-0000-0000E3120000}"/>
    <cellStyle name="Note 3 4 3 2" xfId="4042" xr:uid="{00000000-0005-0000-0000-0000E4120000}"/>
    <cellStyle name="Note 3 4 4" xfId="1953" xr:uid="{00000000-0005-0000-0000-0000E5120000}"/>
    <cellStyle name="Note 3 4 4 2" xfId="3897" xr:uid="{00000000-0005-0000-0000-0000E6120000}"/>
    <cellStyle name="Note 3 4 5" xfId="2792" xr:uid="{00000000-0005-0000-0000-0000E7120000}"/>
    <cellStyle name="Note 3 4 5 2" xfId="4716" xr:uid="{00000000-0005-0000-0000-0000E8120000}"/>
    <cellStyle name="Note 3 4 6" xfId="2838" xr:uid="{00000000-0005-0000-0000-0000E9120000}"/>
    <cellStyle name="Note 3 4 6 2" xfId="4760" xr:uid="{00000000-0005-0000-0000-0000EA120000}"/>
    <cellStyle name="Note 3 4 7" xfId="2245" xr:uid="{00000000-0005-0000-0000-0000EB120000}"/>
    <cellStyle name="Note 3 4 7 2" xfId="4180" xr:uid="{00000000-0005-0000-0000-0000EC120000}"/>
    <cellStyle name="Note 3 4 8" xfId="2206" xr:uid="{00000000-0005-0000-0000-0000ED120000}"/>
    <cellStyle name="Note 3 4 8 2" xfId="4147" xr:uid="{00000000-0005-0000-0000-0000EE120000}"/>
    <cellStyle name="Note 3 4 9" xfId="3199" xr:uid="{00000000-0005-0000-0000-0000EF120000}"/>
    <cellStyle name="Note 3 5" xfId="1486" xr:uid="{00000000-0005-0000-0000-0000F0120000}"/>
    <cellStyle name="Note 3 5 2" xfId="3440" xr:uid="{00000000-0005-0000-0000-0000F1120000}"/>
    <cellStyle name="Note 3 6" xfId="1498" xr:uid="{00000000-0005-0000-0000-0000F2120000}"/>
    <cellStyle name="Note 3 6 2" xfId="3452" xr:uid="{00000000-0005-0000-0000-0000F3120000}"/>
    <cellStyle name="Note 3 7" xfId="1496" xr:uid="{00000000-0005-0000-0000-0000F4120000}"/>
    <cellStyle name="Note 3 7 2" xfId="3450" xr:uid="{00000000-0005-0000-0000-0000F5120000}"/>
    <cellStyle name="Note 3 8" xfId="2404" xr:uid="{00000000-0005-0000-0000-0000F6120000}"/>
    <cellStyle name="Note 3 8 2" xfId="4336" xr:uid="{00000000-0005-0000-0000-0000F7120000}"/>
    <cellStyle name="Note 3 9" xfId="2173" xr:uid="{00000000-0005-0000-0000-0000F8120000}"/>
    <cellStyle name="Note 3 9 2" xfId="4115" xr:uid="{00000000-0005-0000-0000-0000F9120000}"/>
    <cellStyle name="Note 4" xfId="353" xr:uid="{00000000-0005-0000-0000-0000FA120000}"/>
    <cellStyle name="Note 4 10" xfId="2160" xr:uid="{00000000-0005-0000-0000-0000FB120000}"/>
    <cellStyle name="Note 4 10 2" xfId="4103" xr:uid="{00000000-0005-0000-0000-0000FC120000}"/>
    <cellStyle name="Note 4 11" xfId="2932" xr:uid="{00000000-0005-0000-0000-0000FD120000}"/>
    <cellStyle name="Note 4 12" xfId="4855" xr:uid="{00000000-0005-0000-0000-0000FE120000}"/>
    <cellStyle name="Note 4 2" xfId="1310" xr:uid="{00000000-0005-0000-0000-0000FF120000}"/>
    <cellStyle name="Note 4 2 2" xfId="1962" xr:uid="{00000000-0005-0000-0000-000000130000}"/>
    <cellStyle name="Note 4 2 2 2" xfId="3906" xr:uid="{00000000-0005-0000-0000-000001130000}"/>
    <cellStyle name="Note 4 2 3" xfId="2135" xr:uid="{00000000-0005-0000-0000-000002130000}"/>
    <cellStyle name="Note 4 2 3 2" xfId="4079" xr:uid="{00000000-0005-0000-0000-000003130000}"/>
    <cellStyle name="Note 4 2 4" xfId="1464" xr:uid="{00000000-0005-0000-0000-000004130000}"/>
    <cellStyle name="Note 4 2 4 2" xfId="3418" xr:uid="{00000000-0005-0000-0000-000005130000}"/>
    <cellStyle name="Note 4 2 5" xfId="2846" xr:uid="{00000000-0005-0000-0000-000006130000}"/>
    <cellStyle name="Note 4 2 5 2" xfId="4768" xr:uid="{00000000-0005-0000-0000-000007130000}"/>
    <cellStyle name="Note 4 2 6" xfId="2859" xr:uid="{00000000-0005-0000-0000-000008130000}"/>
    <cellStyle name="Note 4 2 6 2" xfId="4781" xr:uid="{00000000-0005-0000-0000-000009130000}"/>
    <cellStyle name="Note 4 2 7" xfId="2875" xr:uid="{00000000-0005-0000-0000-00000A130000}"/>
    <cellStyle name="Note 4 2 7 2" xfId="4796" xr:uid="{00000000-0005-0000-0000-00000B130000}"/>
    <cellStyle name="Note 4 2 8" xfId="2775" xr:uid="{00000000-0005-0000-0000-00000C130000}"/>
    <cellStyle name="Note 4 2 8 2" xfId="4700" xr:uid="{00000000-0005-0000-0000-00000D130000}"/>
    <cellStyle name="Note 4 2 9" xfId="3298" xr:uid="{00000000-0005-0000-0000-00000E130000}"/>
    <cellStyle name="Note 4 3" xfId="1212" xr:uid="{00000000-0005-0000-0000-00000F130000}"/>
    <cellStyle name="Note 4 3 2" xfId="1924" xr:uid="{00000000-0005-0000-0000-000010130000}"/>
    <cellStyle name="Note 4 3 2 2" xfId="3869" xr:uid="{00000000-0005-0000-0000-000011130000}"/>
    <cellStyle name="Note 4 3 3" xfId="2112" xr:uid="{00000000-0005-0000-0000-000012130000}"/>
    <cellStyle name="Note 4 3 3 2" xfId="4056" xr:uid="{00000000-0005-0000-0000-000013130000}"/>
    <cellStyle name="Note 4 3 4" xfId="1489" xr:uid="{00000000-0005-0000-0000-000014130000}"/>
    <cellStyle name="Note 4 3 4 2" xfId="3443" xr:uid="{00000000-0005-0000-0000-000015130000}"/>
    <cellStyle name="Note 4 3 5" xfId="2817" xr:uid="{00000000-0005-0000-0000-000016130000}"/>
    <cellStyle name="Note 4 3 5 2" xfId="4739" xr:uid="{00000000-0005-0000-0000-000017130000}"/>
    <cellStyle name="Note 4 3 6" xfId="2325" xr:uid="{00000000-0005-0000-0000-000018130000}"/>
    <cellStyle name="Note 4 3 6 2" xfId="4259" xr:uid="{00000000-0005-0000-0000-000019130000}"/>
    <cellStyle name="Note 4 3 7" xfId="2424" xr:uid="{00000000-0005-0000-0000-00001A130000}"/>
    <cellStyle name="Note 4 3 7 2" xfId="4355" xr:uid="{00000000-0005-0000-0000-00001B130000}"/>
    <cellStyle name="Note 4 3 8" xfId="2777" xr:uid="{00000000-0005-0000-0000-00001C130000}"/>
    <cellStyle name="Note 4 3 8 2" xfId="4701" xr:uid="{00000000-0005-0000-0000-00001D130000}"/>
    <cellStyle name="Note 4 3 9" xfId="3266" xr:uid="{00000000-0005-0000-0000-00001E130000}"/>
    <cellStyle name="Note 4 4" xfId="1530" xr:uid="{00000000-0005-0000-0000-00001F130000}"/>
    <cellStyle name="Note 4 4 2" xfId="3484" xr:uid="{00000000-0005-0000-0000-000020130000}"/>
    <cellStyle name="Note 4 5" xfId="1459" xr:uid="{00000000-0005-0000-0000-000021130000}"/>
    <cellStyle name="Note 4 5 2" xfId="3413" xr:uid="{00000000-0005-0000-0000-000022130000}"/>
    <cellStyle name="Note 4 6" xfId="2085" xr:uid="{00000000-0005-0000-0000-000023130000}"/>
    <cellStyle name="Note 4 6 2" xfId="4029" xr:uid="{00000000-0005-0000-0000-000024130000}"/>
    <cellStyle name="Note 4 7" xfId="2242" xr:uid="{00000000-0005-0000-0000-000025130000}"/>
    <cellStyle name="Note 4 7 2" xfId="4177" xr:uid="{00000000-0005-0000-0000-000026130000}"/>
    <cellStyle name="Note 4 8" xfId="2159" xr:uid="{00000000-0005-0000-0000-000027130000}"/>
    <cellStyle name="Note 4 8 2" xfId="4102" xr:uid="{00000000-0005-0000-0000-000028130000}"/>
    <cellStyle name="Note 4 9" xfId="2873" xr:uid="{00000000-0005-0000-0000-000029130000}"/>
    <cellStyle name="Note 4 9 2" xfId="4794" xr:uid="{00000000-0005-0000-0000-00002A130000}"/>
    <cellStyle name="Note 5" xfId="354" xr:uid="{00000000-0005-0000-0000-00002B130000}"/>
    <cellStyle name="Note 5 10" xfId="2223" xr:uid="{00000000-0005-0000-0000-00002C130000}"/>
    <cellStyle name="Note 5 10 2" xfId="4162" xr:uid="{00000000-0005-0000-0000-00002D130000}"/>
    <cellStyle name="Note 5 11" xfId="2933" xr:uid="{00000000-0005-0000-0000-00002E130000}"/>
    <cellStyle name="Note 5 2" xfId="1309" xr:uid="{00000000-0005-0000-0000-00002F130000}"/>
    <cellStyle name="Note 5 2 2" xfId="1961" xr:uid="{00000000-0005-0000-0000-000030130000}"/>
    <cellStyle name="Note 5 2 2 2" xfId="3905" xr:uid="{00000000-0005-0000-0000-000031130000}"/>
    <cellStyle name="Note 5 2 3" xfId="2134" xr:uid="{00000000-0005-0000-0000-000032130000}"/>
    <cellStyle name="Note 5 2 3 2" xfId="4078" xr:uid="{00000000-0005-0000-0000-000033130000}"/>
    <cellStyle name="Note 5 2 4" xfId="1617" xr:uid="{00000000-0005-0000-0000-000034130000}"/>
    <cellStyle name="Note 5 2 4 2" xfId="3570" xr:uid="{00000000-0005-0000-0000-000035130000}"/>
    <cellStyle name="Note 5 2 5" xfId="2845" xr:uid="{00000000-0005-0000-0000-000036130000}"/>
    <cellStyle name="Note 5 2 5 2" xfId="4767" xr:uid="{00000000-0005-0000-0000-000037130000}"/>
    <cellStyle name="Note 5 2 6" xfId="2332" xr:uid="{00000000-0005-0000-0000-000038130000}"/>
    <cellStyle name="Note 5 2 6 2" xfId="4264" xr:uid="{00000000-0005-0000-0000-000039130000}"/>
    <cellStyle name="Note 5 2 7" xfId="2834" xr:uid="{00000000-0005-0000-0000-00003A130000}"/>
    <cellStyle name="Note 5 2 7 2" xfId="4756" xr:uid="{00000000-0005-0000-0000-00003B130000}"/>
    <cellStyle name="Note 5 2 8" xfId="2417" xr:uid="{00000000-0005-0000-0000-00003C130000}"/>
    <cellStyle name="Note 5 2 8 2" xfId="4349" xr:uid="{00000000-0005-0000-0000-00003D130000}"/>
    <cellStyle name="Note 5 2 9" xfId="3297" xr:uid="{00000000-0005-0000-0000-00003E130000}"/>
    <cellStyle name="Note 5 3" xfId="1213" xr:uid="{00000000-0005-0000-0000-00003F130000}"/>
    <cellStyle name="Note 5 3 2" xfId="1925" xr:uid="{00000000-0005-0000-0000-000040130000}"/>
    <cellStyle name="Note 5 3 2 2" xfId="3870" xr:uid="{00000000-0005-0000-0000-000041130000}"/>
    <cellStyle name="Note 5 3 3" xfId="2113" xr:uid="{00000000-0005-0000-0000-000042130000}"/>
    <cellStyle name="Note 5 3 3 2" xfId="4057" xr:uid="{00000000-0005-0000-0000-000043130000}"/>
    <cellStyle name="Note 5 3 4" xfId="2090" xr:uid="{00000000-0005-0000-0000-000044130000}"/>
    <cellStyle name="Note 5 3 4 2" xfId="4034" xr:uid="{00000000-0005-0000-0000-000045130000}"/>
    <cellStyle name="Note 5 3 5" xfId="2818" xr:uid="{00000000-0005-0000-0000-000046130000}"/>
    <cellStyle name="Note 5 3 5 2" xfId="4740" xr:uid="{00000000-0005-0000-0000-000047130000}"/>
    <cellStyle name="Note 5 3 6" xfId="2326" xr:uid="{00000000-0005-0000-0000-000048130000}"/>
    <cellStyle name="Note 5 3 6 2" xfId="4260" xr:uid="{00000000-0005-0000-0000-000049130000}"/>
    <cellStyle name="Note 5 3 7" xfId="2323" xr:uid="{00000000-0005-0000-0000-00004A130000}"/>
    <cellStyle name="Note 5 3 7 2" xfId="4258" xr:uid="{00000000-0005-0000-0000-00004B130000}"/>
    <cellStyle name="Note 5 3 8" xfId="2268" xr:uid="{00000000-0005-0000-0000-00004C130000}"/>
    <cellStyle name="Note 5 3 8 2" xfId="4203" xr:uid="{00000000-0005-0000-0000-00004D130000}"/>
    <cellStyle name="Note 5 3 9" xfId="3267" xr:uid="{00000000-0005-0000-0000-00004E130000}"/>
    <cellStyle name="Note 5 4" xfId="1531" xr:uid="{00000000-0005-0000-0000-00004F130000}"/>
    <cellStyle name="Note 5 4 2" xfId="3485" xr:uid="{00000000-0005-0000-0000-000050130000}"/>
    <cellStyle name="Note 5 5" xfId="1526" xr:uid="{00000000-0005-0000-0000-000051130000}"/>
    <cellStyle name="Note 5 5 2" xfId="3480" xr:uid="{00000000-0005-0000-0000-000052130000}"/>
    <cellStyle name="Note 5 6" xfId="1614" xr:uid="{00000000-0005-0000-0000-000053130000}"/>
    <cellStyle name="Note 5 6 2" xfId="3567" xr:uid="{00000000-0005-0000-0000-000054130000}"/>
    <cellStyle name="Note 5 7" xfId="2241" xr:uid="{00000000-0005-0000-0000-000055130000}"/>
    <cellStyle name="Note 5 7 2" xfId="4176" xr:uid="{00000000-0005-0000-0000-000056130000}"/>
    <cellStyle name="Note 5 8" xfId="2370" xr:uid="{00000000-0005-0000-0000-000057130000}"/>
    <cellStyle name="Note 5 8 2" xfId="4302" xr:uid="{00000000-0005-0000-0000-000058130000}"/>
    <cellStyle name="Note 5 9" xfId="2299" xr:uid="{00000000-0005-0000-0000-000059130000}"/>
    <cellStyle name="Note 5 9 2" xfId="4234" xr:uid="{00000000-0005-0000-0000-00005A130000}"/>
    <cellStyle name="Note 6" xfId="4852" xr:uid="{00000000-0005-0000-0000-00005B130000}"/>
    <cellStyle name="notes" xfId="527" xr:uid="{00000000-0005-0000-0000-00005C130000}"/>
    <cellStyle name="notes 2" xfId="5184" xr:uid="{00000000-0005-0000-0000-00005D130000}"/>
    <cellStyle name="Of which" xfId="528" xr:uid="{00000000-0005-0000-0000-00005E130000}"/>
    <cellStyle name="Output 2" xfId="147" xr:uid="{00000000-0005-0000-0000-00005F130000}"/>
    <cellStyle name="Output 2 10" xfId="2236" xr:uid="{00000000-0005-0000-0000-000060130000}"/>
    <cellStyle name="Output 2 10 2" xfId="4172" xr:uid="{00000000-0005-0000-0000-000061130000}"/>
    <cellStyle name="Output 2 11" xfId="2898" xr:uid="{00000000-0005-0000-0000-000062130000}"/>
    <cellStyle name="Output 2 12" xfId="4857" xr:uid="{00000000-0005-0000-0000-000063130000}"/>
    <cellStyle name="Output 2 13" xfId="5354" xr:uid="{00000000-0005-0000-0000-000064130000}"/>
    <cellStyle name="Output 2 14" xfId="5776" xr:uid="{00000000-0005-0000-0000-000065130000}"/>
    <cellStyle name="Output 2 2" xfId="1308" xr:uid="{00000000-0005-0000-0000-000066130000}"/>
    <cellStyle name="Output 2 2 2" xfId="1960" xr:uid="{00000000-0005-0000-0000-000067130000}"/>
    <cellStyle name="Output 2 2 2 2" xfId="3904" xr:uid="{00000000-0005-0000-0000-000068130000}"/>
    <cellStyle name="Output 2 2 3" xfId="2133" xr:uid="{00000000-0005-0000-0000-000069130000}"/>
    <cellStyle name="Output 2 2 3 2" xfId="4077" xr:uid="{00000000-0005-0000-0000-00006A130000}"/>
    <cellStyle name="Output 2 2 4" xfId="1616" xr:uid="{00000000-0005-0000-0000-00006B130000}"/>
    <cellStyle name="Output 2 2 4 2" xfId="3569" xr:uid="{00000000-0005-0000-0000-00006C130000}"/>
    <cellStyle name="Output 2 2 5" xfId="2844" xr:uid="{00000000-0005-0000-0000-00006D130000}"/>
    <cellStyle name="Output 2 2 5 2" xfId="4766" xr:uid="{00000000-0005-0000-0000-00006E130000}"/>
    <cellStyle name="Output 2 2 6" xfId="2308" xr:uid="{00000000-0005-0000-0000-00006F130000}"/>
    <cellStyle name="Output 2 2 6 2" xfId="4243" xr:uid="{00000000-0005-0000-0000-000070130000}"/>
    <cellStyle name="Output 2 2 7" xfId="2197" xr:uid="{00000000-0005-0000-0000-000071130000}"/>
    <cellStyle name="Output 2 2 7 2" xfId="4139" xr:uid="{00000000-0005-0000-0000-000072130000}"/>
    <cellStyle name="Output 2 2 8" xfId="3296" xr:uid="{00000000-0005-0000-0000-000073130000}"/>
    <cellStyle name="Output 2 3" xfId="1143" xr:uid="{00000000-0005-0000-0000-000074130000}"/>
    <cellStyle name="Output 2 3 2" xfId="1857" xr:uid="{00000000-0005-0000-0000-000075130000}"/>
    <cellStyle name="Output 2 3 2 2" xfId="3802" xr:uid="{00000000-0005-0000-0000-000076130000}"/>
    <cellStyle name="Output 2 3 3" xfId="2099" xr:uid="{00000000-0005-0000-0000-000077130000}"/>
    <cellStyle name="Output 2 3 3 2" xfId="4043" xr:uid="{00000000-0005-0000-0000-000078130000}"/>
    <cellStyle name="Output 2 3 4" xfId="1974" xr:uid="{00000000-0005-0000-0000-000079130000}"/>
    <cellStyle name="Output 2 3 4 2" xfId="3918" xr:uid="{00000000-0005-0000-0000-00007A130000}"/>
    <cellStyle name="Output 2 3 5" xfId="2793" xr:uid="{00000000-0005-0000-0000-00007B130000}"/>
    <cellStyle name="Output 2 3 5 2" xfId="4717" xr:uid="{00000000-0005-0000-0000-00007C130000}"/>
    <cellStyle name="Output 2 3 6" xfId="2837" xr:uid="{00000000-0005-0000-0000-00007D130000}"/>
    <cellStyle name="Output 2 3 6 2" xfId="4759" xr:uid="{00000000-0005-0000-0000-00007E130000}"/>
    <cellStyle name="Output 2 3 7" xfId="2215" xr:uid="{00000000-0005-0000-0000-00007F130000}"/>
    <cellStyle name="Output 2 3 7 2" xfId="4155" xr:uid="{00000000-0005-0000-0000-000080130000}"/>
    <cellStyle name="Output 2 3 8" xfId="3200" xr:uid="{00000000-0005-0000-0000-000081130000}"/>
    <cellStyle name="Output 2 4" xfId="1487" xr:uid="{00000000-0005-0000-0000-000082130000}"/>
    <cellStyle name="Output 2 4 2" xfId="3441" xr:uid="{00000000-0005-0000-0000-000083130000}"/>
    <cellStyle name="Output 2 5" xfId="1484" xr:uid="{00000000-0005-0000-0000-000084130000}"/>
    <cellStyle name="Output 2 5 2" xfId="3438" xr:uid="{00000000-0005-0000-0000-000085130000}"/>
    <cellStyle name="Output 2 6" xfId="2148" xr:uid="{00000000-0005-0000-0000-000086130000}"/>
    <cellStyle name="Output 2 6 2" xfId="4092" xr:uid="{00000000-0005-0000-0000-000087130000}"/>
    <cellStyle name="Output 2 7" xfId="2409" xr:uid="{00000000-0005-0000-0000-000088130000}"/>
    <cellStyle name="Output 2 7 2" xfId="4341" xr:uid="{00000000-0005-0000-0000-000089130000}"/>
    <cellStyle name="Output 2 8" xfId="2293" xr:uid="{00000000-0005-0000-0000-00008A130000}"/>
    <cellStyle name="Output 2 8 2" xfId="4228" xr:uid="{00000000-0005-0000-0000-00008B130000}"/>
    <cellStyle name="Output 2 9" xfId="2318" xr:uid="{00000000-0005-0000-0000-00008C130000}"/>
    <cellStyle name="Output 2 9 2" xfId="4253" xr:uid="{00000000-0005-0000-0000-00008D130000}"/>
    <cellStyle name="Output 3" xfId="148" xr:uid="{00000000-0005-0000-0000-00008E130000}"/>
    <cellStyle name="Output 3 10" xfId="2874" xr:uid="{00000000-0005-0000-0000-00008F130000}"/>
    <cellStyle name="Output 3 10 2" xfId="4795" xr:uid="{00000000-0005-0000-0000-000090130000}"/>
    <cellStyle name="Output 3 11" xfId="2899" xr:uid="{00000000-0005-0000-0000-000091130000}"/>
    <cellStyle name="Output 3 12" xfId="4858" xr:uid="{00000000-0005-0000-0000-000092130000}"/>
    <cellStyle name="Output 3 13" xfId="5355" xr:uid="{00000000-0005-0000-0000-000093130000}"/>
    <cellStyle name="Output 3 14" xfId="5777" xr:uid="{00000000-0005-0000-0000-000094130000}"/>
    <cellStyle name="Output 3 2" xfId="1307" xr:uid="{00000000-0005-0000-0000-000095130000}"/>
    <cellStyle name="Output 3 2 2" xfId="1959" xr:uid="{00000000-0005-0000-0000-000096130000}"/>
    <cellStyle name="Output 3 2 2 2" xfId="3903" xr:uid="{00000000-0005-0000-0000-000097130000}"/>
    <cellStyle name="Output 3 2 3" xfId="2132" xr:uid="{00000000-0005-0000-0000-000098130000}"/>
    <cellStyle name="Output 3 2 3 2" xfId="4076" xr:uid="{00000000-0005-0000-0000-000099130000}"/>
    <cellStyle name="Output 3 2 4" xfId="1556" xr:uid="{00000000-0005-0000-0000-00009A130000}"/>
    <cellStyle name="Output 3 2 4 2" xfId="3510" xr:uid="{00000000-0005-0000-0000-00009B130000}"/>
    <cellStyle name="Output 3 2 5" xfId="2843" xr:uid="{00000000-0005-0000-0000-00009C130000}"/>
    <cellStyle name="Output 3 2 5 2" xfId="4765" xr:uid="{00000000-0005-0000-0000-00009D130000}"/>
    <cellStyle name="Output 3 2 6" xfId="2416" xr:uid="{00000000-0005-0000-0000-00009E130000}"/>
    <cellStyle name="Output 3 2 6 2" xfId="4348" xr:uid="{00000000-0005-0000-0000-00009F130000}"/>
    <cellStyle name="Output 3 2 7" xfId="2867" xr:uid="{00000000-0005-0000-0000-0000A0130000}"/>
    <cellStyle name="Output 3 2 7 2" xfId="4788" xr:uid="{00000000-0005-0000-0000-0000A1130000}"/>
    <cellStyle name="Output 3 2 8" xfId="3295" xr:uid="{00000000-0005-0000-0000-0000A2130000}"/>
    <cellStyle name="Output 3 3" xfId="1144" xr:uid="{00000000-0005-0000-0000-0000A3130000}"/>
    <cellStyle name="Output 3 3 2" xfId="1858" xr:uid="{00000000-0005-0000-0000-0000A4130000}"/>
    <cellStyle name="Output 3 3 2 2" xfId="3803" xr:uid="{00000000-0005-0000-0000-0000A5130000}"/>
    <cellStyle name="Output 3 3 3" xfId="2100" xr:uid="{00000000-0005-0000-0000-0000A6130000}"/>
    <cellStyle name="Output 3 3 3 2" xfId="4044" xr:uid="{00000000-0005-0000-0000-0000A7130000}"/>
    <cellStyle name="Output 3 3 4" xfId="1538" xr:uid="{00000000-0005-0000-0000-0000A8130000}"/>
    <cellStyle name="Output 3 3 4 2" xfId="3492" xr:uid="{00000000-0005-0000-0000-0000A9130000}"/>
    <cellStyle name="Output 3 3 5" xfId="2794" xr:uid="{00000000-0005-0000-0000-0000AA130000}"/>
    <cellStyle name="Output 3 3 5 2" xfId="4718" xr:uid="{00000000-0005-0000-0000-0000AB130000}"/>
    <cellStyle name="Output 3 3 6" xfId="2836" xr:uid="{00000000-0005-0000-0000-0000AC130000}"/>
    <cellStyle name="Output 3 3 6 2" xfId="4758" xr:uid="{00000000-0005-0000-0000-0000AD130000}"/>
    <cellStyle name="Output 3 3 7" xfId="2393" xr:uid="{00000000-0005-0000-0000-0000AE130000}"/>
    <cellStyle name="Output 3 3 7 2" xfId="4325" xr:uid="{00000000-0005-0000-0000-0000AF130000}"/>
    <cellStyle name="Output 3 3 8" xfId="3201" xr:uid="{00000000-0005-0000-0000-0000B0130000}"/>
    <cellStyle name="Output 3 4" xfId="1488" xr:uid="{00000000-0005-0000-0000-0000B1130000}"/>
    <cellStyle name="Output 3 4 2" xfId="3442" xr:uid="{00000000-0005-0000-0000-0000B2130000}"/>
    <cellStyle name="Output 3 5" xfId="1483" xr:uid="{00000000-0005-0000-0000-0000B3130000}"/>
    <cellStyle name="Output 3 5 2" xfId="3437" xr:uid="{00000000-0005-0000-0000-0000B4130000}"/>
    <cellStyle name="Output 3 6" xfId="2101" xr:uid="{00000000-0005-0000-0000-0000B5130000}"/>
    <cellStyle name="Output 3 6 2" xfId="4045" xr:uid="{00000000-0005-0000-0000-0000B6130000}"/>
    <cellStyle name="Output 3 7" xfId="2643" xr:uid="{00000000-0005-0000-0000-0000B7130000}"/>
    <cellStyle name="Output 3 7 2" xfId="4570" xr:uid="{00000000-0005-0000-0000-0000B8130000}"/>
    <cellStyle name="Output 3 8" xfId="2157" xr:uid="{00000000-0005-0000-0000-0000B9130000}"/>
    <cellStyle name="Output 3 8 2" xfId="4100" xr:uid="{00000000-0005-0000-0000-0000BA130000}"/>
    <cellStyle name="Output 3 9" xfId="2854" xr:uid="{00000000-0005-0000-0000-0000BB130000}"/>
    <cellStyle name="Output 3 9 2" xfId="4776" xr:uid="{00000000-0005-0000-0000-0000BC130000}"/>
    <cellStyle name="Output 4" xfId="355" xr:uid="{00000000-0005-0000-0000-0000BD130000}"/>
    <cellStyle name="Output 4 10" xfId="2266" xr:uid="{00000000-0005-0000-0000-0000BE130000}"/>
    <cellStyle name="Output 4 10 2" xfId="4201" xr:uid="{00000000-0005-0000-0000-0000BF130000}"/>
    <cellStyle name="Output 4 11" xfId="2934" xr:uid="{00000000-0005-0000-0000-0000C0130000}"/>
    <cellStyle name="Output 4 12" xfId="4859" xr:uid="{00000000-0005-0000-0000-0000C1130000}"/>
    <cellStyle name="Output 4 2" xfId="1306" xr:uid="{00000000-0005-0000-0000-0000C2130000}"/>
    <cellStyle name="Output 4 2 2" xfId="1958" xr:uid="{00000000-0005-0000-0000-0000C3130000}"/>
    <cellStyle name="Output 4 2 2 2" xfId="3902" xr:uid="{00000000-0005-0000-0000-0000C4130000}"/>
    <cellStyle name="Output 4 2 3" xfId="2131" xr:uid="{00000000-0005-0000-0000-0000C5130000}"/>
    <cellStyle name="Output 4 2 3 2" xfId="4075" xr:uid="{00000000-0005-0000-0000-0000C6130000}"/>
    <cellStyle name="Output 4 2 4" xfId="1555" xr:uid="{00000000-0005-0000-0000-0000C7130000}"/>
    <cellStyle name="Output 4 2 4 2" xfId="3509" xr:uid="{00000000-0005-0000-0000-0000C8130000}"/>
    <cellStyle name="Output 4 2 5" xfId="2842" xr:uid="{00000000-0005-0000-0000-0000C9130000}"/>
    <cellStyle name="Output 4 2 5 2" xfId="4764" xr:uid="{00000000-0005-0000-0000-0000CA130000}"/>
    <cellStyle name="Output 4 2 6" xfId="2307" xr:uid="{00000000-0005-0000-0000-0000CB130000}"/>
    <cellStyle name="Output 4 2 6 2" xfId="4242" xr:uid="{00000000-0005-0000-0000-0000CC130000}"/>
    <cellStyle name="Output 4 2 7" xfId="2663" xr:uid="{00000000-0005-0000-0000-0000CD130000}"/>
    <cellStyle name="Output 4 2 7 2" xfId="4590" xr:uid="{00000000-0005-0000-0000-0000CE130000}"/>
    <cellStyle name="Output 4 2 8" xfId="3294" xr:uid="{00000000-0005-0000-0000-0000CF130000}"/>
    <cellStyle name="Output 4 3" xfId="1214" xr:uid="{00000000-0005-0000-0000-0000D0130000}"/>
    <cellStyle name="Output 4 3 2" xfId="1926" xr:uid="{00000000-0005-0000-0000-0000D1130000}"/>
    <cellStyle name="Output 4 3 2 2" xfId="3871" xr:uid="{00000000-0005-0000-0000-0000D2130000}"/>
    <cellStyle name="Output 4 3 3" xfId="2114" xr:uid="{00000000-0005-0000-0000-0000D3130000}"/>
    <cellStyle name="Output 4 3 3 2" xfId="4058" xr:uid="{00000000-0005-0000-0000-0000D4130000}"/>
    <cellStyle name="Output 4 3 4" xfId="1554" xr:uid="{00000000-0005-0000-0000-0000D5130000}"/>
    <cellStyle name="Output 4 3 4 2" xfId="3508" xr:uid="{00000000-0005-0000-0000-0000D6130000}"/>
    <cellStyle name="Output 4 3 5" xfId="2819" xr:uid="{00000000-0005-0000-0000-0000D7130000}"/>
    <cellStyle name="Output 4 3 5 2" xfId="4741" xr:uid="{00000000-0005-0000-0000-0000D8130000}"/>
    <cellStyle name="Output 4 3 6" xfId="2302" xr:uid="{00000000-0005-0000-0000-0000D9130000}"/>
    <cellStyle name="Output 4 3 6 2" xfId="4237" xr:uid="{00000000-0005-0000-0000-0000DA130000}"/>
    <cellStyle name="Output 4 3 7" xfId="2839" xr:uid="{00000000-0005-0000-0000-0000DB130000}"/>
    <cellStyle name="Output 4 3 7 2" xfId="4761" xr:uid="{00000000-0005-0000-0000-0000DC130000}"/>
    <cellStyle name="Output 4 3 8" xfId="3268" xr:uid="{00000000-0005-0000-0000-0000DD130000}"/>
    <cellStyle name="Output 4 4" xfId="1532" xr:uid="{00000000-0005-0000-0000-0000DE130000}"/>
    <cellStyle name="Output 4 4 2" xfId="3486" xr:uid="{00000000-0005-0000-0000-0000DF130000}"/>
    <cellStyle name="Output 4 5" xfId="1525" xr:uid="{00000000-0005-0000-0000-0000E0130000}"/>
    <cellStyle name="Output 4 5 2" xfId="3479" xr:uid="{00000000-0005-0000-0000-0000E1130000}"/>
    <cellStyle name="Output 4 6" xfId="2147" xr:uid="{00000000-0005-0000-0000-0000E2130000}"/>
    <cellStyle name="Output 4 6 2" xfId="4091" xr:uid="{00000000-0005-0000-0000-0000E3130000}"/>
    <cellStyle name="Output 4 7" xfId="2240" xr:uid="{00000000-0005-0000-0000-0000E4130000}"/>
    <cellStyle name="Output 4 7 2" xfId="4175" xr:uid="{00000000-0005-0000-0000-0000E5130000}"/>
    <cellStyle name="Output 4 8" xfId="2246" xr:uid="{00000000-0005-0000-0000-0000E6130000}"/>
    <cellStyle name="Output 4 8 2" xfId="4181" xr:uid="{00000000-0005-0000-0000-0000E7130000}"/>
    <cellStyle name="Output 4 9" xfId="2565" xr:uid="{00000000-0005-0000-0000-0000E8130000}"/>
    <cellStyle name="Output 4 9 2" xfId="4494" xr:uid="{00000000-0005-0000-0000-0000E9130000}"/>
    <cellStyle name="Output 5" xfId="356" xr:uid="{00000000-0005-0000-0000-0000EA130000}"/>
    <cellStyle name="Output 5 10" xfId="2162" xr:uid="{00000000-0005-0000-0000-0000EB130000}"/>
    <cellStyle name="Output 5 10 2" xfId="4105" xr:uid="{00000000-0005-0000-0000-0000EC130000}"/>
    <cellStyle name="Output 5 11" xfId="2935" xr:uid="{00000000-0005-0000-0000-0000ED130000}"/>
    <cellStyle name="Output 5 2" xfId="1305" xr:uid="{00000000-0005-0000-0000-0000EE130000}"/>
    <cellStyle name="Output 5 2 2" xfId="1957" xr:uid="{00000000-0005-0000-0000-0000EF130000}"/>
    <cellStyle name="Output 5 2 2 2" xfId="3901" xr:uid="{00000000-0005-0000-0000-0000F0130000}"/>
    <cellStyle name="Output 5 2 3" xfId="2130" xr:uid="{00000000-0005-0000-0000-0000F1130000}"/>
    <cellStyle name="Output 5 2 3 2" xfId="4074" xr:uid="{00000000-0005-0000-0000-0000F2130000}"/>
    <cellStyle name="Output 5 2 4" xfId="1602" xr:uid="{00000000-0005-0000-0000-0000F3130000}"/>
    <cellStyle name="Output 5 2 4 2" xfId="3556" xr:uid="{00000000-0005-0000-0000-0000F4130000}"/>
    <cellStyle name="Output 5 2 5" xfId="2841" xr:uid="{00000000-0005-0000-0000-0000F5130000}"/>
    <cellStyle name="Output 5 2 5 2" xfId="4763" xr:uid="{00000000-0005-0000-0000-0000F6130000}"/>
    <cellStyle name="Output 5 2 6" xfId="2213" xr:uid="{00000000-0005-0000-0000-0000F7130000}"/>
    <cellStyle name="Output 5 2 6 2" xfId="4154" xr:uid="{00000000-0005-0000-0000-0000F8130000}"/>
    <cellStyle name="Output 5 2 7" xfId="2219" xr:uid="{00000000-0005-0000-0000-0000F9130000}"/>
    <cellStyle name="Output 5 2 7 2" xfId="4158" xr:uid="{00000000-0005-0000-0000-0000FA130000}"/>
    <cellStyle name="Output 5 2 8" xfId="3293" xr:uid="{00000000-0005-0000-0000-0000FB130000}"/>
    <cellStyle name="Output 5 3" xfId="1215" xr:uid="{00000000-0005-0000-0000-0000FC130000}"/>
    <cellStyle name="Output 5 3 2" xfId="1927" xr:uid="{00000000-0005-0000-0000-0000FD130000}"/>
    <cellStyle name="Output 5 3 2 2" xfId="3872" xr:uid="{00000000-0005-0000-0000-0000FE130000}"/>
    <cellStyle name="Output 5 3 3" xfId="2115" xr:uid="{00000000-0005-0000-0000-0000FF130000}"/>
    <cellStyle name="Output 5 3 3 2" xfId="4059" xr:uid="{00000000-0005-0000-0000-000000140000}"/>
    <cellStyle name="Output 5 3 4" xfId="2089" xr:uid="{00000000-0005-0000-0000-000001140000}"/>
    <cellStyle name="Output 5 3 4 2" xfId="4033" xr:uid="{00000000-0005-0000-0000-000002140000}"/>
    <cellStyle name="Output 5 3 5" xfId="2820" xr:uid="{00000000-0005-0000-0000-000003140000}"/>
    <cellStyle name="Output 5 3 5 2" xfId="4742" xr:uid="{00000000-0005-0000-0000-000004140000}"/>
    <cellStyle name="Output 5 3 6" xfId="2498" xr:uid="{00000000-0005-0000-0000-000005140000}"/>
    <cellStyle name="Output 5 3 6 2" xfId="4427" xr:uid="{00000000-0005-0000-0000-000006140000}"/>
    <cellStyle name="Output 5 3 7" xfId="2161" xr:uid="{00000000-0005-0000-0000-000007140000}"/>
    <cellStyle name="Output 5 3 7 2" xfId="4104" xr:uid="{00000000-0005-0000-0000-000008140000}"/>
    <cellStyle name="Output 5 3 8" xfId="3269" xr:uid="{00000000-0005-0000-0000-000009140000}"/>
    <cellStyle name="Output 5 4" xfId="1533" xr:uid="{00000000-0005-0000-0000-00000A140000}"/>
    <cellStyle name="Output 5 4 2" xfId="3487" xr:uid="{00000000-0005-0000-0000-00000B140000}"/>
    <cellStyle name="Output 5 5" xfId="1475" xr:uid="{00000000-0005-0000-0000-00000C140000}"/>
    <cellStyle name="Output 5 5 2" xfId="3429" xr:uid="{00000000-0005-0000-0000-00000D140000}"/>
    <cellStyle name="Output 5 6" xfId="2096" xr:uid="{00000000-0005-0000-0000-00000E140000}"/>
    <cellStyle name="Output 5 6 2" xfId="4040" xr:uid="{00000000-0005-0000-0000-00000F140000}"/>
    <cellStyle name="Output 5 7" xfId="2656" xr:uid="{00000000-0005-0000-0000-000010140000}"/>
    <cellStyle name="Output 5 7 2" xfId="4583" xr:uid="{00000000-0005-0000-0000-000011140000}"/>
    <cellStyle name="Output 5 8" xfId="2247" xr:uid="{00000000-0005-0000-0000-000012140000}"/>
    <cellStyle name="Output 5 8 2" xfId="4182" xr:uid="{00000000-0005-0000-0000-000013140000}"/>
    <cellStyle name="Output 5 9" xfId="2269" xr:uid="{00000000-0005-0000-0000-000014140000}"/>
    <cellStyle name="Output 5 9 2" xfId="4204" xr:uid="{00000000-0005-0000-0000-000015140000}"/>
    <cellStyle name="Output 6" xfId="4856" xr:uid="{00000000-0005-0000-0000-000016140000}"/>
    <cellStyle name="pb_page_heading_LS" xfId="529" xr:uid="{00000000-0005-0000-0000-000017140000}"/>
    <cellStyle name="Percent" xfId="149" builtinId="5"/>
    <cellStyle name="Percent [2]" xfId="530" xr:uid="{00000000-0005-0000-0000-000019140000}"/>
    <cellStyle name="Percent 10" xfId="150" xr:uid="{00000000-0005-0000-0000-00001A140000}"/>
    <cellStyle name="Percent 10 2" xfId="357" xr:uid="{00000000-0005-0000-0000-00001B140000}"/>
    <cellStyle name="Percent 10 3" xfId="6138" xr:uid="{00000000-0005-0000-0000-00001C140000}"/>
    <cellStyle name="Percent 100" xfId="5004" xr:uid="{00000000-0005-0000-0000-00001D140000}"/>
    <cellStyle name="Percent 101" xfId="4955" xr:uid="{00000000-0005-0000-0000-00001E140000}"/>
    <cellStyle name="Percent 102" xfId="5006" xr:uid="{00000000-0005-0000-0000-00001F140000}"/>
    <cellStyle name="Percent 103" xfId="4968" xr:uid="{00000000-0005-0000-0000-000020140000}"/>
    <cellStyle name="Percent 104" xfId="5007" xr:uid="{00000000-0005-0000-0000-000021140000}"/>
    <cellStyle name="Percent 105" xfId="4967" xr:uid="{00000000-0005-0000-0000-000022140000}"/>
    <cellStyle name="Percent 106" xfId="5666" xr:uid="{00000000-0005-0000-0000-000023140000}"/>
    <cellStyle name="Percent 107" xfId="5668" xr:uid="{00000000-0005-0000-0000-000024140000}"/>
    <cellStyle name="Percent 108" xfId="5670" xr:uid="{00000000-0005-0000-0000-000025140000}"/>
    <cellStyle name="Percent 109" xfId="5671" xr:uid="{00000000-0005-0000-0000-000026140000}"/>
    <cellStyle name="Percent 11" xfId="151" xr:uid="{00000000-0005-0000-0000-000027140000}"/>
    <cellStyle name="Percent 11 2" xfId="845" xr:uid="{00000000-0005-0000-0000-000028140000}"/>
    <cellStyle name="Percent 11 2 2" xfId="6142" xr:uid="{00000000-0005-0000-0000-000029140000}"/>
    <cellStyle name="Percent 110" xfId="5673" xr:uid="{00000000-0005-0000-0000-00002A140000}"/>
    <cellStyle name="Percent 111" xfId="5672" xr:uid="{00000000-0005-0000-0000-00002B140000}"/>
    <cellStyle name="Percent 112" xfId="5685" xr:uid="{00000000-0005-0000-0000-00002C140000}"/>
    <cellStyle name="Percent 113" xfId="5677" xr:uid="{00000000-0005-0000-0000-00002D140000}"/>
    <cellStyle name="Percent 114" xfId="5693" xr:uid="{00000000-0005-0000-0000-00002E140000}"/>
    <cellStyle name="Percent 115" xfId="5681" xr:uid="{00000000-0005-0000-0000-00002F140000}"/>
    <cellStyle name="Percent 116" xfId="5696" xr:uid="{00000000-0005-0000-0000-000030140000}"/>
    <cellStyle name="Percent 117" xfId="5686" xr:uid="{00000000-0005-0000-0000-000031140000}"/>
    <cellStyle name="Percent 12" xfId="152" xr:uid="{00000000-0005-0000-0000-000032140000}"/>
    <cellStyle name="Percent 12 2" xfId="358" xr:uid="{00000000-0005-0000-0000-000033140000}"/>
    <cellStyle name="Percent 12 2 2" xfId="5214" xr:uid="{00000000-0005-0000-0000-000034140000}"/>
    <cellStyle name="Percent 12 2 2 2" xfId="5979" xr:uid="{00000000-0005-0000-0000-000035140000}"/>
    <cellStyle name="Percent 12 2 3" xfId="5732" xr:uid="{00000000-0005-0000-0000-000036140000}"/>
    <cellStyle name="Percent 12 3" xfId="531" xr:uid="{00000000-0005-0000-0000-000037140000}"/>
    <cellStyle name="Percent 12 3 2" xfId="1044" xr:uid="{00000000-0005-0000-0000-000038140000}"/>
    <cellStyle name="Percent 12 3 2 2" xfId="1780" xr:uid="{00000000-0005-0000-0000-000039140000}"/>
    <cellStyle name="Percent 12 3 2 2 2" xfId="3727" xr:uid="{00000000-0005-0000-0000-00003A140000}"/>
    <cellStyle name="Percent 12 3 2 3" xfId="2495" xr:uid="{00000000-0005-0000-0000-00003B140000}"/>
    <cellStyle name="Percent 12 3 2 3 2" xfId="4424" xr:uid="{00000000-0005-0000-0000-00003C140000}"/>
    <cellStyle name="Percent 12 3 2 4" xfId="3126" xr:uid="{00000000-0005-0000-0000-00003D140000}"/>
    <cellStyle name="Percent 12 3 2 5" xfId="6017" xr:uid="{00000000-0005-0000-0000-00003E140000}"/>
    <cellStyle name="Percent 12 3 3" xfId="1216" xr:uid="{00000000-0005-0000-0000-00003F140000}"/>
    <cellStyle name="Percent 12 3 3 2" xfId="1928" xr:uid="{00000000-0005-0000-0000-000040140000}"/>
    <cellStyle name="Percent 12 3 3 2 2" xfId="3873" xr:uid="{00000000-0005-0000-0000-000041140000}"/>
    <cellStyle name="Percent 12 3 3 3" xfId="2625" xr:uid="{00000000-0005-0000-0000-000042140000}"/>
    <cellStyle name="Percent 12 3 3 3 2" xfId="4553" xr:uid="{00000000-0005-0000-0000-000043140000}"/>
    <cellStyle name="Percent 12 3 3 4" xfId="3270" xr:uid="{00000000-0005-0000-0000-000044140000}"/>
    <cellStyle name="Percent 12 3 4" xfId="1426" xr:uid="{00000000-0005-0000-0000-000045140000}"/>
    <cellStyle name="Percent 12 3 4 2" xfId="2047" xr:uid="{00000000-0005-0000-0000-000046140000}"/>
    <cellStyle name="Percent 12 3 4 2 2" xfId="3991" xr:uid="{00000000-0005-0000-0000-000047140000}"/>
    <cellStyle name="Percent 12 3 4 3" xfId="2736" xr:uid="{00000000-0005-0000-0000-000048140000}"/>
    <cellStyle name="Percent 12 3 4 3 2" xfId="4662" xr:uid="{00000000-0005-0000-0000-000049140000}"/>
    <cellStyle name="Percent 12 3 4 4" xfId="3381" xr:uid="{00000000-0005-0000-0000-00004A140000}"/>
    <cellStyle name="Percent 12 3 5" xfId="1593" xr:uid="{00000000-0005-0000-0000-00004B140000}"/>
    <cellStyle name="Percent 12 3 5 2" xfId="3547" xr:uid="{00000000-0005-0000-0000-00004C140000}"/>
    <cellStyle name="Percent 12 3 6" xfId="2294" xr:uid="{00000000-0005-0000-0000-00004D140000}"/>
    <cellStyle name="Percent 12 3 6 2" xfId="4229" xr:uid="{00000000-0005-0000-0000-00004E140000}"/>
    <cellStyle name="Percent 12 3 7" xfId="2972" xr:uid="{00000000-0005-0000-0000-00004F140000}"/>
    <cellStyle name="Percent 12 3 8" xfId="5356" xr:uid="{00000000-0005-0000-0000-000050140000}"/>
    <cellStyle name="Percent 12 3 9" xfId="5778" xr:uid="{00000000-0005-0000-0000-000051140000}"/>
    <cellStyle name="Percent 12 4" xfId="5157" xr:uid="{00000000-0005-0000-0000-000052140000}"/>
    <cellStyle name="Percent 12 4 2" xfId="5957" xr:uid="{00000000-0005-0000-0000-000053140000}"/>
    <cellStyle name="Percent 12 5" xfId="6146" xr:uid="{00000000-0005-0000-0000-000054140000}"/>
    <cellStyle name="Percent 12 6" xfId="5703" xr:uid="{00000000-0005-0000-0000-000055140000}"/>
    <cellStyle name="Percent 13" xfId="177" xr:uid="{00000000-0005-0000-0000-000056140000}"/>
    <cellStyle name="Percent 13 2" xfId="200" xr:uid="{00000000-0005-0000-0000-000057140000}"/>
    <cellStyle name="Percent 13 2 2" xfId="956" xr:uid="{00000000-0005-0000-0000-000058140000}"/>
    <cellStyle name="Percent 13 2 2 2" xfId="1268" xr:uid="{00000000-0005-0000-0000-000059140000}"/>
    <cellStyle name="Percent 13 2 2 3" xfId="5983" xr:uid="{00000000-0005-0000-0000-00005A140000}"/>
    <cellStyle name="Percent 13 2 3" xfId="842" xr:uid="{00000000-0005-0000-0000-00005B140000}"/>
    <cellStyle name="Percent 13 2 4" xfId="1511" xr:uid="{00000000-0005-0000-0000-00005C140000}"/>
    <cellStyle name="Percent 13 2 4 2" xfId="3465" xr:uid="{00000000-0005-0000-0000-00005D140000}"/>
    <cellStyle name="Percent 13 2 5" xfId="2195" xr:uid="{00000000-0005-0000-0000-00005E140000}"/>
    <cellStyle name="Percent 13 2 5 2" xfId="4137" xr:uid="{00000000-0005-0000-0000-00005F140000}"/>
    <cellStyle name="Percent 13 2 6" xfId="2918" xr:uid="{00000000-0005-0000-0000-000060140000}"/>
    <cellStyle name="Percent 13 2 7" xfId="5218" xr:uid="{00000000-0005-0000-0000-000061140000}"/>
    <cellStyle name="Percent 13 2 8" xfId="5736" xr:uid="{00000000-0005-0000-0000-000062140000}"/>
    <cellStyle name="Percent 13 3" xfId="359" xr:uid="{00000000-0005-0000-0000-000063140000}"/>
    <cellStyle name="Percent 13 3 10" xfId="5005" xr:uid="{00000000-0005-0000-0000-000064140000}"/>
    <cellStyle name="Percent 13 3 11" xfId="5051" xr:uid="{00000000-0005-0000-0000-000065140000}"/>
    <cellStyle name="Percent 13 3 12" xfId="5083" xr:uid="{00000000-0005-0000-0000-000066140000}"/>
    <cellStyle name="Percent 13 3 13" xfId="5123" xr:uid="{00000000-0005-0000-0000-000067140000}"/>
    <cellStyle name="Percent 13 3 14" xfId="5357" xr:uid="{00000000-0005-0000-0000-000068140000}"/>
    <cellStyle name="Percent 13 3 15" xfId="5779" xr:uid="{00000000-0005-0000-0000-000069140000}"/>
    <cellStyle name="Percent 13 3 2" xfId="1045" xr:uid="{00000000-0005-0000-0000-00006A140000}"/>
    <cellStyle name="Percent 13 3 2 2" xfId="1781" xr:uid="{00000000-0005-0000-0000-00006B140000}"/>
    <cellStyle name="Percent 13 3 2 2 2" xfId="3728" xr:uid="{00000000-0005-0000-0000-00006C140000}"/>
    <cellStyle name="Percent 13 3 2 3" xfId="2496" xr:uid="{00000000-0005-0000-0000-00006D140000}"/>
    <cellStyle name="Percent 13 3 2 3 2" xfId="4425" xr:uid="{00000000-0005-0000-0000-00006E140000}"/>
    <cellStyle name="Percent 13 3 2 4" xfId="3127" xr:uid="{00000000-0005-0000-0000-00006F140000}"/>
    <cellStyle name="Percent 13 3 2 5" xfId="6018" xr:uid="{00000000-0005-0000-0000-000070140000}"/>
    <cellStyle name="Percent 13 3 3" xfId="1217" xr:uid="{00000000-0005-0000-0000-000071140000}"/>
    <cellStyle name="Percent 13 3 3 2" xfId="1929" xr:uid="{00000000-0005-0000-0000-000072140000}"/>
    <cellStyle name="Percent 13 3 3 2 2" xfId="3874" xr:uid="{00000000-0005-0000-0000-000073140000}"/>
    <cellStyle name="Percent 13 3 3 3" xfId="2626" xr:uid="{00000000-0005-0000-0000-000074140000}"/>
    <cellStyle name="Percent 13 3 3 3 2" xfId="4554" xr:uid="{00000000-0005-0000-0000-000075140000}"/>
    <cellStyle name="Percent 13 3 3 4" xfId="3271" xr:uid="{00000000-0005-0000-0000-000076140000}"/>
    <cellStyle name="Percent 13 3 4" xfId="1427" xr:uid="{00000000-0005-0000-0000-000077140000}"/>
    <cellStyle name="Percent 13 3 4 2" xfId="2048" xr:uid="{00000000-0005-0000-0000-000078140000}"/>
    <cellStyle name="Percent 13 3 4 2 2" xfId="3992" xr:uid="{00000000-0005-0000-0000-000079140000}"/>
    <cellStyle name="Percent 13 3 4 3" xfId="2737" xr:uid="{00000000-0005-0000-0000-00007A140000}"/>
    <cellStyle name="Percent 13 3 4 3 2" xfId="4663" xr:uid="{00000000-0005-0000-0000-00007B140000}"/>
    <cellStyle name="Percent 13 3 4 4" xfId="3382" xr:uid="{00000000-0005-0000-0000-00007C140000}"/>
    <cellStyle name="Percent 13 3 5" xfId="1534" xr:uid="{00000000-0005-0000-0000-00007D140000}"/>
    <cellStyle name="Percent 13 3 5 2" xfId="3488" xr:uid="{00000000-0005-0000-0000-00007E140000}"/>
    <cellStyle name="Percent 13 3 6" xfId="2229" xr:uid="{00000000-0005-0000-0000-00007F140000}"/>
    <cellStyle name="Percent 13 3 6 2" xfId="4168" xr:uid="{00000000-0005-0000-0000-000080140000}"/>
    <cellStyle name="Percent 13 3 7" xfId="2936" xr:uid="{00000000-0005-0000-0000-000081140000}"/>
    <cellStyle name="Percent 13 3 8" xfId="4861" xr:uid="{00000000-0005-0000-0000-000082140000}"/>
    <cellStyle name="Percent 13 3 9" xfId="4933" xr:uid="{00000000-0005-0000-0000-000083140000}"/>
    <cellStyle name="Percent 13 4" xfId="833" xr:uid="{00000000-0005-0000-0000-000084140000}"/>
    <cellStyle name="Percent 13 4 2" xfId="1267" xr:uid="{00000000-0005-0000-0000-000085140000}"/>
    <cellStyle name="Percent 13 4 3" xfId="5961" xr:uid="{00000000-0005-0000-0000-000086140000}"/>
    <cellStyle name="Percent 13 5" xfId="1495" xr:uid="{00000000-0005-0000-0000-000087140000}"/>
    <cellStyle name="Percent 13 5 2" xfId="3449" xr:uid="{00000000-0005-0000-0000-000088140000}"/>
    <cellStyle name="Percent 13 5 3" xfId="6158" xr:uid="{00000000-0005-0000-0000-000089140000}"/>
    <cellStyle name="Percent 13 6" xfId="2180" xr:uid="{00000000-0005-0000-0000-00008A140000}"/>
    <cellStyle name="Percent 13 6 2" xfId="4122" xr:uid="{00000000-0005-0000-0000-00008B140000}"/>
    <cellStyle name="Percent 13 7" xfId="2904" xr:uid="{00000000-0005-0000-0000-00008C140000}"/>
    <cellStyle name="Percent 13 8" xfId="5161" xr:uid="{00000000-0005-0000-0000-00008D140000}"/>
    <cellStyle name="Percent 13 9" xfId="5707" xr:uid="{00000000-0005-0000-0000-00008E140000}"/>
    <cellStyle name="Percent 14" xfId="179" xr:uid="{00000000-0005-0000-0000-00008F140000}"/>
    <cellStyle name="Percent 14 2" xfId="201" xr:uid="{00000000-0005-0000-0000-000090140000}"/>
    <cellStyle name="Percent 14 2 2" xfId="841" xr:uid="{00000000-0005-0000-0000-000091140000}"/>
    <cellStyle name="Percent 14 2 2 2" xfId="1269" xr:uid="{00000000-0005-0000-0000-000092140000}"/>
    <cellStyle name="Percent 14 2 2 3" xfId="1700" xr:uid="{00000000-0005-0000-0000-000093140000}"/>
    <cellStyle name="Percent 14 2 2 3 2" xfId="3648" xr:uid="{00000000-0005-0000-0000-000094140000}"/>
    <cellStyle name="Percent 14 2 2 4" xfId="2408" xr:uid="{00000000-0005-0000-0000-000095140000}"/>
    <cellStyle name="Percent 14 2 2 4 2" xfId="4340" xr:uid="{00000000-0005-0000-0000-000096140000}"/>
    <cellStyle name="Percent 14 2 2 5" xfId="3053" xr:uid="{00000000-0005-0000-0000-000097140000}"/>
    <cellStyle name="Percent 14 2 3" xfId="1145" xr:uid="{00000000-0005-0000-0000-000098140000}"/>
    <cellStyle name="Percent 14 2 3 2" xfId="1859" xr:uid="{00000000-0005-0000-0000-000099140000}"/>
    <cellStyle name="Percent 14 2 3 2 2" xfId="3804" xr:uid="{00000000-0005-0000-0000-00009A140000}"/>
    <cellStyle name="Percent 14 2 3 3" xfId="2566" xr:uid="{00000000-0005-0000-0000-00009B140000}"/>
    <cellStyle name="Percent 14 2 3 3 2" xfId="4495" xr:uid="{00000000-0005-0000-0000-00009C140000}"/>
    <cellStyle name="Percent 14 2 3 4" xfId="3202" xr:uid="{00000000-0005-0000-0000-00009D140000}"/>
    <cellStyle name="Percent 14 2 4" xfId="1374" xr:uid="{00000000-0005-0000-0000-00009E140000}"/>
    <cellStyle name="Percent 14 2 4 2" xfId="1995" xr:uid="{00000000-0005-0000-0000-00009F140000}"/>
    <cellStyle name="Percent 14 2 4 2 2" xfId="3939" xr:uid="{00000000-0005-0000-0000-0000A0140000}"/>
    <cellStyle name="Percent 14 2 4 3" xfId="2684" xr:uid="{00000000-0005-0000-0000-0000A1140000}"/>
    <cellStyle name="Percent 14 2 4 3 2" xfId="4610" xr:uid="{00000000-0005-0000-0000-0000A2140000}"/>
    <cellStyle name="Percent 14 2 4 4" xfId="3329" xr:uid="{00000000-0005-0000-0000-0000A3140000}"/>
    <cellStyle name="Percent 14 2 5" xfId="6163" xr:uid="{00000000-0005-0000-0000-0000A4140000}"/>
    <cellStyle name="Percent 14 3" xfId="5165" xr:uid="{00000000-0005-0000-0000-0000A5140000}"/>
    <cellStyle name="Percent 15" xfId="208" xr:uid="{00000000-0005-0000-0000-0000A6140000}"/>
    <cellStyle name="Percent 15 2" xfId="360" xr:uid="{00000000-0005-0000-0000-0000A7140000}"/>
    <cellStyle name="Percent 15 2 2" xfId="411" xr:uid="{00000000-0005-0000-0000-0000A8140000}"/>
    <cellStyle name="Percent 15 2 2 2" xfId="930" xr:uid="{00000000-0005-0000-0000-0000A9140000}"/>
    <cellStyle name="Percent 15 2 2 3" xfId="5986" xr:uid="{00000000-0005-0000-0000-0000AA140000}"/>
    <cellStyle name="Percent 15 2 3" xfId="929" xr:uid="{00000000-0005-0000-0000-0000AB140000}"/>
    <cellStyle name="Percent 15 2 3 2" xfId="1271" xr:uid="{00000000-0005-0000-0000-0000AC140000}"/>
    <cellStyle name="Percent 15 2 4" xfId="5221" xr:uid="{00000000-0005-0000-0000-0000AD140000}"/>
    <cellStyle name="Percent 15 2 5" xfId="5739" xr:uid="{00000000-0005-0000-0000-0000AE140000}"/>
    <cellStyle name="Percent 15 3" xfId="412" xr:uid="{00000000-0005-0000-0000-0000AF140000}"/>
    <cellStyle name="Percent 15 3 2" xfId="957" xr:uid="{00000000-0005-0000-0000-0000B0140000}"/>
    <cellStyle name="Percent 15 3 2 2" xfId="1338" xr:uid="{00000000-0005-0000-0000-0000B1140000}"/>
    <cellStyle name="Percent 15 3 2 2 2" xfId="1973" xr:uid="{00000000-0005-0000-0000-0000B2140000}"/>
    <cellStyle name="Percent 15 3 2 2 2 2" xfId="3917" xr:uid="{00000000-0005-0000-0000-0000B3140000}"/>
    <cellStyle name="Percent 15 3 2 2 3" xfId="2662" xr:uid="{00000000-0005-0000-0000-0000B4140000}"/>
    <cellStyle name="Percent 15 3 2 2 3 2" xfId="4589" xr:uid="{00000000-0005-0000-0000-0000B5140000}"/>
    <cellStyle name="Percent 15 3 2 2 4" xfId="3309" xr:uid="{00000000-0005-0000-0000-0000B6140000}"/>
    <cellStyle name="Percent 15 3 2 3" xfId="1442" xr:uid="{00000000-0005-0000-0000-0000B7140000}"/>
    <cellStyle name="Percent 15 3 2 3 2" xfId="2063" xr:uid="{00000000-0005-0000-0000-0000B8140000}"/>
    <cellStyle name="Percent 15 3 2 3 2 2" xfId="4007" xr:uid="{00000000-0005-0000-0000-0000B9140000}"/>
    <cellStyle name="Percent 15 3 2 3 3" xfId="2752" xr:uid="{00000000-0005-0000-0000-0000BA140000}"/>
    <cellStyle name="Percent 15 3 2 3 3 2" xfId="4678" xr:uid="{00000000-0005-0000-0000-0000BB140000}"/>
    <cellStyle name="Percent 15 3 2 3 4" xfId="3397" xr:uid="{00000000-0005-0000-0000-0000BC140000}"/>
    <cellStyle name="Percent 15 3 2 4" xfId="6019" xr:uid="{00000000-0005-0000-0000-0000BD140000}"/>
    <cellStyle name="Percent 15 3 3" xfId="5358" xr:uid="{00000000-0005-0000-0000-0000BE140000}"/>
    <cellStyle name="Percent 15 3 4" xfId="5780" xr:uid="{00000000-0005-0000-0000-0000BF140000}"/>
    <cellStyle name="Percent 15 4" xfId="1270" xr:uid="{00000000-0005-0000-0000-0000C0140000}"/>
    <cellStyle name="Percent 15 4 2" xfId="5964" xr:uid="{00000000-0005-0000-0000-0000C1140000}"/>
    <cellStyle name="Percent 15 5" xfId="1513" xr:uid="{00000000-0005-0000-0000-0000C2140000}"/>
    <cellStyle name="Percent 15 5 2" xfId="3467" xr:uid="{00000000-0005-0000-0000-0000C3140000}"/>
    <cellStyle name="Percent 15 5 3" xfId="6168" xr:uid="{00000000-0005-0000-0000-0000C4140000}"/>
    <cellStyle name="Percent 15 6" xfId="2198" xr:uid="{00000000-0005-0000-0000-0000C5140000}"/>
    <cellStyle name="Percent 15 6 2" xfId="4140" xr:uid="{00000000-0005-0000-0000-0000C6140000}"/>
    <cellStyle name="Percent 15 7" xfId="2920" xr:uid="{00000000-0005-0000-0000-0000C7140000}"/>
    <cellStyle name="Percent 15 8" xfId="5198" xr:uid="{00000000-0005-0000-0000-0000C8140000}"/>
    <cellStyle name="Percent 15 9" xfId="5717" xr:uid="{00000000-0005-0000-0000-0000C9140000}"/>
    <cellStyle name="Percent 16" xfId="413" xr:uid="{00000000-0005-0000-0000-0000CA140000}"/>
    <cellStyle name="Percent 16 2" xfId="4862" xr:uid="{00000000-0005-0000-0000-0000CB140000}"/>
    <cellStyle name="Percent 16 2 2" xfId="6175" xr:uid="{00000000-0005-0000-0000-0000CC140000}"/>
    <cellStyle name="Percent 17" xfId="414" xr:uid="{00000000-0005-0000-0000-0000CD140000}"/>
    <cellStyle name="Percent 17 2" xfId="415" xr:uid="{00000000-0005-0000-0000-0000CE140000}"/>
    <cellStyle name="Percent 17 2 2" xfId="958" xr:uid="{00000000-0005-0000-0000-0000CF140000}"/>
    <cellStyle name="Percent 17 3" xfId="1238" xr:uid="{00000000-0005-0000-0000-0000D0140000}"/>
    <cellStyle name="Percent 18" xfId="416" xr:uid="{00000000-0005-0000-0000-0000D1140000}"/>
    <cellStyle name="Percent 18 2" xfId="931" xr:uid="{00000000-0005-0000-0000-0000D2140000}"/>
    <cellStyle name="Percent 18 2 2" xfId="1339" xr:uid="{00000000-0005-0000-0000-0000D3140000}"/>
    <cellStyle name="Percent 19" xfId="417" xr:uid="{00000000-0005-0000-0000-0000D4140000}"/>
    <cellStyle name="Percent 19 2" xfId="418" xr:uid="{00000000-0005-0000-0000-0000D5140000}"/>
    <cellStyle name="Percent 19 3" xfId="1237" xr:uid="{00000000-0005-0000-0000-0000D6140000}"/>
    <cellStyle name="Percent 19 3 2" xfId="1432" xr:uid="{00000000-0005-0000-0000-0000D7140000}"/>
    <cellStyle name="Percent 19 3 2 2" xfId="2053" xr:uid="{00000000-0005-0000-0000-0000D8140000}"/>
    <cellStyle name="Percent 19 3 2 2 2" xfId="3997" xr:uid="{00000000-0005-0000-0000-0000D9140000}"/>
    <cellStyle name="Percent 19 3 2 3" xfId="2742" xr:uid="{00000000-0005-0000-0000-0000DA140000}"/>
    <cellStyle name="Percent 19 3 2 3 2" xfId="4668" xr:uid="{00000000-0005-0000-0000-0000DB140000}"/>
    <cellStyle name="Percent 19 3 2 4" xfId="3387" xr:uid="{00000000-0005-0000-0000-0000DC140000}"/>
    <cellStyle name="Percent 19 3 3" xfId="1939" xr:uid="{00000000-0005-0000-0000-0000DD140000}"/>
    <cellStyle name="Percent 19 3 3 2" xfId="3883" xr:uid="{00000000-0005-0000-0000-0000DE140000}"/>
    <cellStyle name="Percent 19 3 4" xfId="2635" xr:uid="{00000000-0005-0000-0000-0000DF140000}"/>
    <cellStyle name="Percent 19 3 4 2" xfId="4563" xr:uid="{00000000-0005-0000-0000-0000E0140000}"/>
    <cellStyle name="Percent 19 3 5" xfId="3279" xr:uid="{00000000-0005-0000-0000-0000E1140000}"/>
    <cellStyle name="Percent 2" xfId="153" xr:uid="{00000000-0005-0000-0000-0000E2140000}"/>
    <cellStyle name="Percent 2 10" xfId="1340" xr:uid="{00000000-0005-0000-0000-0000E3140000}"/>
    <cellStyle name="Percent 2 11" xfId="1341" xr:uid="{00000000-0005-0000-0000-0000E4140000}"/>
    <cellStyle name="Percent 2 12" xfId="1342" xr:uid="{00000000-0005-0000-0000-0000E5140000}"/>
    <cellStyle name="Percent 2 13" xfId="1343" xr:uid="{00000000-0005-0000-0000-0000E6140000}"/>
    <cellStyle name="Percent 2 14" xfId="1344" xr:uid="{00000000-0005-0000-0000-0000E7140000}"/>
    <cellStyle name="Percent 2 15" xfId="1345" xr:uid="{00000000-0005-0000-0000-0000E8140000}"/>
    <cellStyle name="Percent 2 16" xfId="5525" xr:uid="{00000000-0005-0000-0000-0000E9140000}"/>
    <cellStyle name="Percent 2 17" xfId="5657" xr:uid="{00000000-0005-0000-0000-0000EA140000}"/>
    <cellStyle name="Percent 2 17 2" xfId="6104" xr:uid="{00000000-0005-0000-0000-0000EB140000}"/>
    <cellStyle name="Percent 2 17 3" xfId="5898" xr:uid="{00000000-0005-0000-0000-0000EC140000}"/>
    <cellStyle name="Percent 2 18" xfId="5932" xr:uid="{00000000-0005-0000-0000-0000ED140000}"/>
    <cellStyle name="Percent 2 19" xfId="6192" xr:uid="{00000000-0005-0000-0000-0000EE140000}"/>
    <cellStyle name="Percent 2 2" xfId="154" xr:uid="{00000000-0005-0000-0000-0000EF140000}"/>
    <cellStyle name="Percent 2 2 2" xfId="361" xr:uid="{00000000-0005-0000-0000-0000F0140000}"/>
    <cellStyle name="Percent 2 2 2 2" xfId="5526" xr:uid="{00000000-0005-0000-0000-0000F1140000}"/>
    <cellStyle name="Percent 2 2 3" xfId="5933" xr:uid="{00000000-0005-0000-0000-0000F2140000}"/>
    <cellStyle name="Percent 2 3" xfId="155" xr:uid="{00000000-0005-0000-0000-0000F3140000}"/>
    <cellStyle name="Percent 2 3 2" xfId="595" xr:uid="{00000000-0005-0000-0000-0000F4140000}"/>
    <cellStyle name="Percent 2 3 2 2" xfId="1046" xr:uid="{00000000-0005-0000-0000-0000F5140000}"/>
    <cellStyle name="Percent 2 3 2 3" xfId="932" xr:uid="{00000000-0005-0000-0000-0000F6140000}"/>
    <cellStyle name="Percent 2 4" xfId="156" xr:uid="{00000000-0005-0000-0000-0000F7140000}"/>
    <cellStyle name="Percent 2 4 10" xfId="5084" xr:uid="{00000000-0005-0000-0000-0000F8140000}"/>
    <cellStyle name="Percent 2 4 11" xfId="5124" xr:uid="{00000000-0005-0000-0000-0000F9140000}"/>
    <cellStyle name="Percent 2 4 2" xfId="202" xr:uid="{00000000-0005-0000-0000-0000FA140000}"/>
    <cellStyle name="Percent 2 4 3" xfId="835" xr:uid="{00000000-0005-0000-0000-0000FB140000}"/>
    <cellStyle name="Percent 2 4 3 2" xfId="1697" xr:uid="{00000000-0005-0000-0000-0000FC140000}"/>
    <cellStyle name="Percent 2 4 3 2 2" xfId="3645" xr:uid="{00000000-0005-0000-0000-0000FD140000}"/>
    <cellStyle name="Percent 2 4 3 3" xfId="2405" xr:uid="{00000000-0005-0000-0000-0000FE140000}"/>
    <cellStyle name="Percent 2 4 3 3 2" xfId="4337" xr:uid="{00000000-0005-0000-0000-0000FF140000}"/>
    <cellStyle name="Percent 2 4 3 4" xfId="3050" xr:uid="{00000000-0005-0000-0000-000000150000}"/>
    <cellStyle name="Percent 2 4 4" xfId="1147" xr:uid="{00000000-0005-0000-0000-000001150000}"/>
    <cellStyle name="Percent 2 4 4 2" xfId="1861" xr:uid="{00000000-0005-0000-0000-000002150000}"/>
    <cellStyle name="Percent 2 4 4 2 2" xfId="3806" xr:uid="{00000000-0005-0000-0000-000003150000}"/>
    <cellStyle name="Percent 2 4 4 3" xfId="2568" xr:uid="{00000000-0005-0000-0000-000004150000}"/>
    <cellStyle name="Percent 2 4 4 3 2" xfId="4497" xr:uid="{00000000-0005-0000-0000-000005150000}"/>
    <cellStyle name="Percent 2 4 4 4" xfId="3204" xr:uid="{00000000-0005-0000-0000-000006150000}"/>
    <cellStyle name="Percent 2 4 5" xfId="1375" xr:uid="{00000000-0005-0000-0000-000007150000}"/>
    <cellStyle name="Percent 2 4 5 2" xfId="1996" xr:uid="{00000000-0005-0000-0000-000008150000}"/>
    <cellStyle name="Percent 2 4 5 2 2" xfId="3940" xr:uid="{00000000-0005-0000-0000-000009150000}"/>
    <cellStyle name="Percent 2 4 5 3" xfId="2685" xr:uid="{00000000-0005-0000-0000-00000A150000}"/>
    <cellStyle name="Percent 2 4 5 3 2" xfId="4611" xr:uid="{00000000-0005-0000-0000-00000B150000}"/>
    <cellStyle name="Percent 2 4 5 4" xfId="3330" xr:uid="{00000000-0005-0000-0000-00000C150000}"/>
    <cellStyle name="Percent 2 4 6" xfId="4863" xr:uid="{00000000-0005-0000-0000-00000D150000}"/>
    <cellStyle name="Percent 2 4 7" xfId="4938" xr:uid="{00000000-0005-0000-0000-00000E150000}"/>
    <cellStyle name="Percent 2 4 8" xfId="5008" xr:uid="{00000000-0005-0000-0000-00000F150000}"/>
    <cellStyle name="Percent 2 4 9" xfId="5052" xr:uid="{00000000-0005-0000-0000-000010150000}"/>
    <cellStyle name="Percent 2 5" xfId="157" xr:uid="{00000000-0005-0000-0000-000011150000}"/>
    <cellStyle name="Percent 2 5 2" xfId="362" xr:uid="{00000000-0005-0000-0000-000012150000}"/>
    <cellStyle name="Percent 2 6" xfId="363" xr:uid="{00000000-0005-0000-0000-000013150000}"/>
    <cellStyle name="Percent 2 7" xfId="834" xr:uid="{00000000-0005-0000-0000-000014150000}"/>
    <cellStyle name="Percent 2 7 2" xfId="1346" xr:uid="{00000000-0005-0000-0000-000015150000}"/>
    <cellStyle name="Percent 2 8" xfId="1347" xr:uid="{00000000-0005-0000-0000-000016150000}"/>
    <cellStyle name="Percent 2 9" xfId="1348" xr:uid="{00000000-0005-0000-0000-000017150000}"/>
    <cellStyle name="Percent 20" xfId="420" xr:uid="{00000000-0005-0000-0000-000018150000}"/>
    <cellStyle name="Percent 20 2" xfId="963" xr:uid="{00000000-0005-0000-0000-000019150000}"/>
    <cellStyle name="Percent 20 3" xfId="962" xr:uid="{00000000-0005-0000-0000-00001A150000}"/>
    <cellStyle name="Percent 20 4" xfId="1218" xr:uid="{00000000-0005-0000-0000-00001B150000}"/>
    <cellStyle name="Percent 20 4 2" xfId="1930" xr:uid="{00000000-0005-0000-0000-00001C150000}"/>
    <cellStyle name="Percent 20 4 2 2" xfId="3875" xr:uid="{00000000-0005-0000-0000-00001D150000}"/>
    <cellStyle name="Percent 20 4 3" xfId="2627" xr:uid="{00000000-0005-0000-0000-00001E150000}"/>
    <cellStyle name="Percent 20 4 3 2" xfId="4555" xr:uid="{00000000-0005-0000-0000-00001F150000}"/>
    <cellStyle name="Percent 20 4 4" xfId="3272" xr:uid="{00000000-0005-0000-0000-000020150000}"/>
    <cellStyle name="Percent 20 5" xfId="1428" xr:uid="{00000000-0005-0000-0000-000021150000}"/>
    <cellStyle name="Percent 20 5 2" xfId="2049" xr:uid="{00000000-0005-0000-0000-000022150000}"/>
    <cellStyle name="Percent 20 5 2 2" xfId="3993" xr:uid="{00000000-0005-0000-0000-000023150000}"/>
    <cellStyle name="Percent 20 5 3" xfId="2738" xr:uid="{00000000-0005-0000-0000-000024150000}"/>
    <cellStyle name="Percent 20 5 3 2" xfId="4664" xr:uid="{00000000-0005-0000-0000-000025150000}"/>
    <cellStyle name="Percent 20 5 4" xfId="3383" xr:uid="{00000000-0005-0000-0000-000026150000}"/>
    <cellStyle name="Percent 20 6" xfId="1543" xr:uid="{00000000-0005-0000-0000-000027150000}"/>
    <cellStyle name="Percent 20 6 2" xfId="3497" xr:uid="{00000000-0005-0000-0000-000028150000}"/>
    <cellStyle name="Percent 20 7" xfId="2249" xr:uid="{00000000-0005-0000-0000-000029150000}"/>
    <cellStyle name="Percent 20 7 2" xfId="4184" xr:uid="{00000000-0005-0000-0000-00002A150000}"/>
    <cellStyle name="Percent 20 8" xfId="2940" xr:uid="{00000000-0005-0000-0000-00002B150000}"/>
    <cellStyle name="Percent 21" xfId="532" xr:uid="{00000000-0005-0000-0000-00002C150000}"/>
    <cellStyle name="Percent 22" xfId="533" xr:uid="{00000000-0005-0000-0000-00002D150000}"/>
    <cellStyle name="Percent 23" xfId="534" xr:uid="{00000000-0005-0000-0000-00002E150000}"/>
    <cellStyle name="Percent 24" xfId="585" xr:uid="{00000000-0005-0000-0000-00002F150000}"/>
    <cellStyle name="Percent 24 2" xfId="1047" xr:uid="{00000000-0005-0000-0000-000030150000}"/>
    <cellStyle name="Percent 24 2 2" xfId="1782" xr:uid="{00000000-0005-0000-0000-000031150000}"/>
    <cellStyle name="Percent 24 2 2 2" xfId="3729" xr:uid="{00000000-0005-0000-0000-000032150000}"/>
    <cellStyle name="Percent 24 2 3" xfId="2497" xr:uid="{00000000-0005-0000-0000-000033150000}"/>
    <cellStyle name="Percent 24 2 3 2" xfId="4426" xr:uid="{00000000-0005-0000-0000-000034150000}"/>
    <cellStyle name="Percent 24 2 4" xfId="3128" xr:uid="{00000000-0005-0000-0000-000035150000}"/>
    <cellStyle name="Percent 24 2 5" xfId="6077" xr:uid="{00000000-0005-0000-0000-000036150000}"/>
    <cellStyle name="Percent 24 3" xfId="1275" xr:uid="{00000000-0005-0000-0000-000037150000}"/>
    <cellStyle name="Percent 24 4" xfId="1453" xr:uid="{00000000-0005-0000-0000-000038150000}"/>
    <cellStyle name="Percent 24 4 2" xfId="2073" xr:uid="{00000000-0005-0000-0000-000039150000}"/>
    <cellStyle name="Percent 24 4 2 2" xfId="4017" xr:uid="{00000000-0005-0000-0000-00003A150000}"/>
    <cellStyle name="Percent 24 4 3" xfId="2762" xr:uid="{00000000-0005-0000-0000-00003B150000}"/>
    <cellStyle name="Percent 24 4 3 2" xfId="4688" xr:uid="{00000000-0005-0000-0000-00003C150000}"/>
    <cellStyle name="Percent 24 4 4" xfId="3407" xr:uid="{00000000-0005-0000-0000-00003D150000}"/>
    <cellStyle name="Percent 24 5" xfId="1610" xr:uid="{00000000-0005-0000-0000-00003E150000}"/>
    <cellStyle name="Percent 24 5 2" xfId="3563" xr:uid="{00000000-0005-0000-0000-00003F150000}"/>
    <cellStyle name="Percent 24 6" xfId="2314" xr:uid="{00000000-0005-0000-0000-000040150000}"/>
    <cellStyle name="Percent 24 6 2" xfId="4249" xr:uid="{00000000-0005-0000-0000-000041150000}"/>
    <cellStyle name="Percent 24 7" xfId="2980" xr:uid="{00000000-0005-0000-0000-000042150000}"/>
    <cellStyle name="Percent 24 8" xfId="5527" xr:uid="{00000000-0005-0000-0000-000043150000}"/>
    <cellStyle name="Percent 24 9" xfId="5840" xr:uid="{00000000-0005-0000-0000-000044150000}"/>
    <cellStyle name="Percent 25" xfId="715" xr:uid="{00000000-0005-0000-0000-000045150000}"/>
    <cellStyle name="Percent 25 2" xfId="1048" xr:uid="{00000000-0005-0000-0000-000046150000}"/>
    <cellStyle name="Percent 25 2 2" xfId="6106" xr:uid="{00000000-0005-0000-0000-000047150000}"/>
    <cellStyle name="Percent 25 3" xfId="1626" xr:uid="{00000000-0005-0000-0000-000048150000}"/>
    <cellStyle name="Percent 25 3 2" xfId="3579" xr:uid="{00000000-0005-0000-0000-000049150000}"/>
    <cellStyle name="Percent 25 4" xfId="2339" xr:uid="{00000000-0005-0000-0000-00004A150000}"/>
    <cellStyle name="Percent 25 4 2" xfId="4271" xr:uid="{00000000-0005-0000-0000-00004B150000}"/>
    <cellStyle name="Percent 25 5" xfId="2987" xr:uid="{00000000-0005-0000-0000-00004C150000}"/>
    <cellStyle name="Percent 25 6" xfId="5659" xr:uid="{00000000-0005-0000-0000-00004D150000}"/>
    <cellStyle name="Percent 25 7" xfId="5900" xr:uid="{00000000-0005-0000-0000-00004E150000}"/>
    <cellStyle name="Percent 26" xfId="719" xr:uid="{00000000-0005-0000-0000-00004F150000}"/>
    <cellStyle name="Percent 26 2" xfId="971" xr:uid="{00000000-0005-0000-0000-000050150000}"/>
    <cellStyle name="Percent 26 3" xfId="1629" xr:uid="{00000000-0005-0000-0000-000051150000}"/>
    <cellStyle name="Percent 26 3 2" xfId="3582" xr:uid="{00000000-0005-0000-0000-000052150000}"/>
    <cellStyle name="Percent 26 4" xfId="2342" xr:uid="{00000000-0005-0000-0000-000053150000}"/>
    <cellStyle name="Percent 26 4 2" xfId="4274" xr:uid="{00000000-0005-0000-0000-000054150000}"/>
    <cellStyle name="Percent 26 5" xfId="2990" xr:uid="{00000000-0005-0000-0000-000055150000}"/>
    <cellStyle name="Percent 26 6" xfId="5931" xr:uid="{00000000-0005-0000-0000-000056150000}"/>
    <cellStyle name="Percent 27" xfId="725" xr:uid="{00000000-0005-0000-0000-000057150000}"/>
    <cellStyle name="Percent 27 2" xfId="1053" xr:uid="{00000000-0005-0000-0000-000058150000}"/>
    <cellStyle name="Percent 27 3" xfId="1635" xr:uid="{00000000-0005-0000-0000-000059150000}"/>
    <cellStyle name="Percent 27 3 2" xfId="3588" xr:uid="{00000000-0005-0000-0000-00005A150000}"/>
    <cellStyle name="Percent 27 4" xfId="2348" xr:uid="{00000000-0005-0000-0000-00005B150000}"/>
    <cellStyle name="Percent 27 4 2" xfId="4280" xr:uid="{00000000-0005-0000-0000-00005C150000}"/>
    <cellStyle name="Percent 27 5" xfId="2996" xr:uid="{00000000-0005-0000-0000-00005D150000}"/>
    <cellStyle name="Percent 27 6" xfId="5950" xr:uid="{00000000-0005-0000-0000-00005E150000}"/>
    <cellStyle name="Percent 28" xfId="729" xr:uid="{00000000-0005-0000-0000-00005F150000}"/>
    <cellStyle name="Percent 28 2" xfId="1639" xr:uid="{00000000-0005-0000-0000-000060150000}"/>
    <cellStyle name="Percent 28 2 2" xfId="3592" xr:uid="{00000000-0005-0000-0000-000061150000}"/>
    <cellStyle name="Percent 28 3" xfId="2352" xr:uid="{00000000-0005-0000-0000-000062150000}"/>
    <cellStyle name="Percent 28 3 2" xfId="4284" xr:uid="{00000000-0005-0000-0000-000063150000}"/>
    <cellStyle name="Percent 28 4" xfId="3000" xr:uid="{00000000-0005-0000-0000-000064150000}"/>
    <cellStyle name="Percent 28 5" xfId="6181" xr:uid="{00000000-0005-0000-0000-000065150000}"/>
    <cellStyle name="Percent 29" xfId="732" xr:uid="{00000000-0005-0000-0000-000066150000}"/>
    <cellStyle name="Percent 29 2" xfId="1642" xr:uid="{00000000-0005-0000-0000-000067150000}"/>
    <cellStyle name="Percent 29 2 2" xfId="3595" xr:uid="{00000000-0005-0000-0000-000068150000}"/>
    <cellStyle name="Percent 29 3" xfId="2355" xr:uid="{00000000-0005-0000-0000-000069150000}"/>
    <cellStyle name="Percent 29 3 2" xfId="4287" xr:uid="{00000000-0005-0000-0000-00006A150000}"/>
    <cellStyle name="Percent 29 4" xfId="3003" xr:uid="{00000000-0005-0000-0000-00006B150000}"/>
    <cellStyle name="Percent 3" xfId="158" xr:uid="{00000000-0005-0000-0000-00006C150000}"/>
    <cellStyle name="Percent 3 2" xfId="159" xr:uid="{00000000-0005-0000-0000-00006D150000}"/>
    <cellStyle name="Percent 3 2 2" xfId="364" xr:uid="{00000000-0005-0000-0000-00006E150000}"/>
    <cellStyle name="Percent 3 2 2 2" xfId="5528" xr:uid="{00000000-0005-0000-0000-00006F150000}"/>
    <cellStyle name="Percent 3 2 3" xfId="5935" xr:uid="{00000000-0005-0000-0000-000070150000}"/>
    <cellStyle name="Percent 3 3" xfId="160" xr:uid="{00000000-0005-0000-0000-000071150000}"/>
    <cellStyle name="Percent 3 3 2" xfId="365" xr:uid="{00000000-0005-0000-0000-000072150000}"/>
    <cellStyle name="Percent 3 3 2 2" xfId="5529" xr:uid="{00000000-0005-0000-0000-000073150000}"/>
    <cellStyle name="Percent 3 3 2 2 2" xfId="6078" xr:uid="{00000000-0005-0000-0000-000074150000}"/>
    <cellStyle name="Percent 3 3 2 3" xfId="5841" xr:uid="{00000000-0005-0000-0000-000075150000}"/>
    <cellStyle name="Percent 3 4" xfId="366" xr:uid="{00000000-0005-0000-0000-000076150000}"/>
    <cellStyle name="Percent 3 4 2" xfId="5934" xr:uid="{00000000-0005-0000-0000-000077150000}"/>
    <cellStyle name="Percent 3 5" xfId="1352" xr:uid="{00000000-0005-0000-0000-000078150000}"/>
    <cellStyle name="Percent 30" xfId="734" xr:uid="{00000000-0005-0000-0000-000079150000}"/>
    <cellStyle name="Percent 30 2" xfId="1644" xr:uid="{00000000-0005-0000-0000-00007A150000}"/>
    <cellStyle name="Percent 30 2 2" xfId="3597" xr:uid="{00000000-0005-0000-0000-00007B150000}"/>
    <cellStyle name="Percent 30 3" xfId="2357" xr:uid="{00000000-0005-0000-0000-00007C150000}"/>
    <cellStyle name="Percent 30 3 2" xfId="4289" xr:uid="{00000000-0005-0000-0000-00007D150000}"/>
    <cellStyle name="Percent 30 4" xfId="3005" xr:uid="{00000000-0005-0000-0000-00007E150000}"/>
    <cellStyle name="Percent 31" xfId="738" xr:uid="{00000000-0005-0000-0000-00007F150000}"/>
    <cellStyle name="Percent 31 2" xfId="1648" xr:uid="{00000000-0005-0000-0000-000080150000}"/>
    <cellStyle name="Percent 31 2 2" xfId="3601" xr:uid="{00000000-0005-0000-0000-000081150000}"/>
    <cellStyle name="Percent 31 3" xfId="2361" xr:uid="{00000000-0005-0000-0000-000082150000}"/>
    <cellStyle name="Percent 31 3 2" xfId="4293" xr:uid="{00000000-0005-0000-0000-000083150000}"/>
    <cellStyle name="Percent 31 4" xfId="3009" xr:uid="{00000000-0005-0000-0000-000084150000}"/>
    <cellStyle name="Percent 32" xfId="741" xr:uid="{00000000-0005-0000-0000-000085150000}"/>
    <cellStyle name="Percent 32 2" xfId="1651" xr:uid="{00000000-0005-0000-0000-000086150000}"/>
    <cellStyle name="Percent 32 2 2" xfId="3604" xr:uid="{00000000-0005-0000-0000-000087150000}"/>
    <cellStyle name="Percent 32 3" xfId="2364" xr:uid="{00000000-0005-0000-0000-000088150000}"/>
    <cellStyle name="Percent 32 3 2" xfId="4296" xr:uid="{00000000-0005-0000-0000-000089150000}"/>
    <cellStyle name="Percent 32 4" xfId="3012" xr:uid="{00000000-0005-0000-0000-00008A150000}"/>
    <cellStyle name="Percent 33" xfId="742" xr:uid="{00000000-0005-0000-0000-00008B150000}"/>
    <cellStyle name="Percent 33 2" xfId="1652" xr:uid="{00000000-0005-0000-0000-00008C150000}"/>
    <cellStyle name="Percent 33 2 2" xfId="3605" xr:uid="{00000000-0005-0000-0000-00008D150000}"/>
    <cellStyle name="Percent 33 3" xfId="2365" xr:uid="{00000000-0005-0000-0000-00008E150000}"/>
    <cellStyle name="Percent 33 3 2" xfId="4297" xr:uid="{00000000-0005-0000-0000-00008F150000}"/>
    <cellStyle name="Percent 33 4" xfId="3013" xr:uid="{00000000-0005-0000-0000-000090150000}"/>
    <cellStyle name="Percent 34" xfId="745" xr:uid="{00000000-0005-0000-0000-000091150000}"/>
    <cellStyle name="Percent 34 2" xfId="1655" xr:uid="{00000000-0005-0000-0000-000092150000}"/>
    <cellStyle name="Percent 34 2 2" xfId="3608" xr:uid="{00000000-0005-0000-0000-000093150000}"/>
    <cellStyle name="Percent 34 3" xfId="2368" xr:uid="{00000000-0005-0000-0000-000094150000}"/>
    <cellStyle name="Percent 34 3 2" xfId="4300" xr:uid="{00000000-0005-0000-0000-000095150000}"/>
    <cellStyle name="Percent 34 4" xfId="3016" xr:uid="{00000000-0005-0000-0000-000096150000}"/>
    <cellStyle name="Percent 35" xfId="746" xr:uid="{00000000-0005-0000-0000-000097150000}"/>
    <cellStyle name="Percent 35 2" xfId="1656" xr:uid="{00000000-0005-0000-0000-000098150000}"/>
    <cellStyle name="Percent 35 2 2" xfId="3609" xr:uid="{00000000-0005-0000-0000-000099150000}"/>
    <cellStyle name="Percent 35 3" xfId="2369" xr:uid="{00000000-0005-0000-0000-00009A150000}"/>
    <cellStyle name="Percent 35 3 2" xfId="4301" xr:uid="{00000000-0005-0000-0000-00009B150000}"/>
    <cellStyle name="Percent 35 4" xfId="3017" xr:uid="{00000000-0005-0000-0000-00009C150000}"/>
    <cellStyle name="Percent 36" xfId="749" xr:uid="{00000000-0005-0000-0000-00009D150000}"/>
    <cellStyle name="Percent 36 2" xfId="1657" xr:uid="{00000000-0005-0000-0000-00009E150000}"/>
    <cellStyle name="Percent 37" xfId="750" xr:uid="{00000000-0005-0000-0000-00009F150000}"/>
    <cellStyle name="Percent 37 2" xfId="1658" xr:uid="{00000000-0005-0000-0000-0000A0150000}"/>
    <cellStyle name="Percent 38" xfId="751" xr:uid="{00000000-0005-0000-0000-0000A1150000}"/>
    <cellStyle name="Percent 38 2" xfId="1659" xr:uid="{00000000-0005-0000-0000-0000A2150000}"/>
    <cellStyle name="Percent 39" xfId="752" xr:uid="{00000000-0005-0000-0000-0000A3150000}"/>
    <cellStyle name="Percent 39 2" xfId="1660" xr:uid="{00000000-0005-0000-0000-0000A4150000}"/>
    <cellStyle name="Percent 4" xfId="161" xr:uid="{00000000-0005-0000-0000-0000A5150000}"/>
    <cellStyle name="Percent 4 2" xfId="162" xr:uid="{00000000-0005-0000-0000-0000A6150000}"/>
    <cellStyle name="Percent 4 2 2" xfId="367" xr:uid="{00000000-0005-0000-0000-0000A7150000}"/>
    <cellStyle name="Percent 4 3" xfId="368" xr:uid="{00000000-0005-0000-0000-0000A8150000}"/>
    <cellStyle name="Percent 4 3 2" xfId="959" xr:uid="{00000000-0005-0000-0000-0000A9150000}"/>
    <cellStyle name="Percent 4 3 2 2" xfId="1349" xr:uid="{00000000-0005-0000-0000-0000AA150000}"/>
    <cellStyle name="Percent 4 3 3" xfId="838" xr:uid="{00000000-0005-0000-0000-0000AB150000}"/>
    <cellStyle name="Percent 4 3 4" xfId="5530" xr:uid="{00000000-0005-0000-0000-0000AC150000}"/>
    <cellStyle name="Percent 4 4" xfId="837" xr:uid="{00000000-0005-0000-0000-0000AD150000}"/>
    <cellStyle name="Percent 4 4 2" xfId="5936" xr:uid="{00000000-0005-0000-0000-0000AE150000}"/>
    <cellStyle name="Percent 40" xfId="753" xr:uid="{00000000-0005-0000-0000-0000AF150000}"/>
    <cellStyle name="Percent 40 2" xfId="1661" xr:uid="{00000000-0005-0000-0000-0000B0150000}"/>
    <cellStyle name="Percent 41" xfId="772" xr:uid="{00000000-0005-0000-0000-0000B1150000}"/>
    <cellStyle name="Percent 41 2" xfId="1667" xr:uid="{00000000-0005-0000-0000-0000B2150000}"/>
    <cellStyle name="Percent 41 2 2" xfId="3615" xr:uid="{00000000-0005-0000-0000-0000B3150000}"/>
    <cellStyle name="Percent 41 3" xfId="2376" xr:uid="{00000000-0005-0000-0000-0000B4150000}"/>
    <cellStyle name="Percent 41 3 2" xfId="4308" xr:uid="{00000000-0005-0000-0000-0000B5150000}"/>
    <cellStyle name="Percent 41 4" xfId="3021" xr:uid="{00000000-0005-0000-0000-0000B6150000}"/>
    <cellStyle name="Percent 42" xfId="773" xr:uid="{00000000-0005-0000-0000-0000B7150000}"/>
    <cellStyle name="Percent 42 2" xfId="1668" xr:uid="{00000000-0005-0000-0000-0000B8150000}"/>
    <cellStyle name="Percent 42 2 2" xfId="3616" xr:uid="{00000000-0005-0000-0000-0000B9150000}"/>
    <cellStyle name="Percent 42 3" xfId="2377" xr:uid="{00000000-0005-0000-0000-0000BA150000}"/>
    <cellStyle name="Percent 42 3 2" xfId="4309" xr:uid="{00000000-0005-0000-0000-0000BB150000}"/>
    <cellStyle name="Percent 42 4" xfId="3022" xr:uid="{00000000-0005-0000-0000-0000BC150000}"/>
    <cellStyle name="Percent 43" xfId="776" xr:uid="{00000000-0005-0000-0000-0000BD150000}"/>
    <cellStyle name="Percent 43 2" xfId="1671" xr:uid="{00000000-0005-0000-0000-0000BE150000}"/>
    <cellStyle name="Percent 43 2 2" xfId="3619" xr:uid="{00000000-0005-0000-0000-0000BF150000}"/>
    <cellStyle name="Percent 43 3" xfId="2380" xr:uid="{00000000-0005-0000-0000-0000C0150000}"/>
    <cellStyle name="Percent 43 3 2" xfId="4312" xr:uid="{00000000-0005-0000-0000-0000C1150000}"/>
    <cellStyle name="Percent 43 4" xfId="3025" xr:uid="{00000000-0005-0000-0000-0000C2150000}"/>
    <cellStyle name="Percent 44" xfId="778" xr:uid="{00000000-0005-0000-0000-0000C3150000}"/>
    <cellStyle name="Percent 44 2" xfId="1673" xr:uid="{00000000-0005-0000-0000-0000C4150000}"/>
    <cellStyle name="Percent 44 2 2" xfId="3621" xr:uid="{00000000-0005-0000-0000-0000C5150000}"/>
    <cellStyle name="Percent 44 3" xfId="2382" xr:uid="{00000000-0005-0000-0000-0000C6150000}"/>
    <cellStyle name="Percent 44 3 2" xfId="4314" xr:uid="{00000000-0005-0000-0000-0000C7150000}"/>
    <cellStyle name="Percent 44 4" xfId="3027" xr:uid="{00000000-0005-0000-0000-0000C8150000}"/>
    <cellStyle name="Percent 45" xfId="780" xr:uid="{00000000-0005-0000-0000-0000C9150000}"/>
    <cellStyle name="Percent 45 2" xfId="1675" xr:uid="{00000000-0005-0000-0000-0000CA150000}"/>
    <cellStyle name="Percent 45 2 2" xfId="3623" xr:uid="{00000000-0005-0000-0000-0000CB150000}"/>
    <cellStyle name="Percent 45 3" xfId="2384" xr:uid="{00000000-0005-0000-0000-0000CC150000}"/>
    <cellStyle name="Percent 45 3 2" xfId="4316" xr:uid="{00000000-0005-0000-0000-0000CD150000}"/>
    <cellStyle name="Percent 45 4" xfId="3029" xr:uid="{00000000-0005-0000-0000-0000CE150000}"/>
    <cellStyle name="Percent 46" xfId="781" xr:uid="{00000000-0005-0000-0000-0000CF150000}"/>
    <cellStyle name="Percent 46 2" xfId="1676" xr:uid="{00000000-0005-0000-0000-0000D0150000}"/>
    <cellStyle name="Percent 46 2 2" xfId="3624" xr:uid="{00000000-0005-0000-0000-0000D1150000}"/>
    <cellStyle name="Percent 46 3" xfId="2385" xr:uid="{00000000-0005-0000-0000-0000D2150000}"/>
    <cellStyle name="Percent 46 3 2" xfId="4317" xr:uid="{00000000-0005-0000-0000-0000D3150000}"/>
    <cellStyle name="Percent 46 4" xfId="3030" xr:uid="{00000000-0005-0000-0000-0000D4150000}"/>
    <cellStyle name="Percent 47" xfId="832" xr:uid="{00000000-0005-0000-0000-0000D5150000}"/>
    <cellStyle name="Percent 47 2" xfId="1696" xr:uid="{00000000-0005-0000-0000-0000D6150000}"/>
    <cellStyle name="Percent 47 2 2" xfId="3644" xr:uid="{00000000-0005-0000-0000-0000D7150000}"/>
    <cellStyle name="Percent 47 3" xfId="2403" xr:uid="{00000000-0005-0000-0000-0000D8150000}"/>
    <cellStyle name="Percent 47 3 2" xfId="4335" xr:uid="{00000000-0005-0000-0000-0000D9150000}"/>
    <cellStyle name="Percent 47 4" xfId="3049" xr:uid="{00000000-0005-0000-0000-0000DA150000}"/>
    <cellStyle name="Percent 48" xfId="844" xr:uid="{00000000-0005-0000-0000-0000DB150000}"/>
    <cellStyle name="Percent 48 2" xfId="1702" xr:uid="{00000000-0005-0000-0000-0000DC150000}"/>
    <cellStyle name="Percent 48 2 2" xfId="3650" xr:uid="{00000000-0005-0000-0000-0000DD150000}"/>
    <cellStyle name="Percent 48 3" xfId="2411" xr:uid="{00000000-0005-0000-0000-0000DE150000}"/>
    <cellStyle name="Percent 48 3 2" xfId="4343" xr:uid="{00000000-0005-0000-0000-0000DF150000}"/>
    <cellStyle name="Percent 48 4" xfId="3055" xr:uid="{00000000-0005-0000-0000-0000E0150000}"/>
    <cellStyle name="Percent 49" xfId="823" xr:uid="{00000000-0005-0000-0000-0000E1150000}"/>
    <cellStyle name="Percent 49 2" xfId="1692" xr:uid="{00000000-0005-0000-0000-0000E2150000}"/>
    <cellStyle name="Percent 49 2 2" xfId="3640" xr:uid="{00000000-0005-0000-0000-0000E3150000}"/>
    <cellStyle name="Percent 49 3" xfId="2400" xr:uid="{00000000-0005-0000-0000-0000E4150000}"/>
    <cellStyle name="Percent 49 3 2" xfId="4332" xr:uid="{00000000-0005-0000-0000-0000E5150000}"/>
    <cellStyle name="Percent 49 4" xfId="3045" xr:uid="{00000000-0005-0000-0000-0000E6150000}"/>
    <cellStyle name="Percent 5" xfId="163" xr:uid="{00000000-0005-0000-0000-0000E7150000}"/>
    <cellStyle name="Percent 5 2" xfId="164" xr:uid="{00000000-0005-0000-0000-0000E8150000}"/>
    <cellStyle name="Percent 5 2 2" xfId="369" xr:uid="{00000000-0005-0000-0000-0000E9150000}"/>
    <cellStyle name="Percent 5 3" xfId="370" xr:uid="{00000000-0005-0000-0000-0000EA150000}"/>
    <cellStyle name="Percent 5 3 2" xfId="5531" xr:uid="{00000000-0005-0000-0000-0000EB150000}"/>
    <cellStyle name="Percent 5 4" xfId="5937" xr:uid="{00000000-0005-0000-0000-0000EC150000}"/>
    <cellStyle name="Percent 5 5" xfId="6121" xr:uid="{00000000-0005-0000-0000-0000ED150000}"/>
    <cellStyle name="Percent 50" xfId="1116" xr:uid="{00000000-0005-0000-0000-0000EE150000}"/>
    <cellStyle name="Percent 50 2" xfId="1831" xr:uid="{00000000-0005-0000-0000-0000EF150000}"/>
    <cellStyle name="Percent 50 2 2" xfId="3778" xr:uid="{00000000-0005-0000-0000-0000F0150000}"/>
    <cellStyle name="Percent 50 3" xfId="2544" xr:uid="{00000000-0005-0000-0000-0000F1150000}"/>
    <cellStyle name="Percent 50 3 2" xfId="4473" xr:uid="{00000000-0005-0000-0000-0000F2150000}"/>
    <cellStyle name="Percent 50 4" xfId="3176" xr:uid="{00000000-0005-0000-0000-0000F3150000}"/>
    <cellStyle name="Percent 51" xfId="1111" xr:uid="{00000000-0005-0000-0000-0000F4150000}"/>
    <cellStyle name="Percent 51 2" xfId="1826" xr:uid="{00000000-0005-0000-0000-0000F5150000}"/>
    <cellStyle name="Percent 51 2 2" xfId="3773" xr:uid="{00000000-0005-0000-0000-0000F6150000}"/>
    <cellStyle name="Percent 51 3" xfId="2539" xr:uid="{00000000-0005-0000-0000-0000F7150000}"/>
    <cellStyle name="Percent 51 3 2" xfId="4468" xr:uid="{00000000-0005-0000-0000-0000F8150000}"/>
    <cellStyle name="Percent 51 4" xfId="3171" xr:uid="{00000000-0005-0000-0000-0000F9150000}"/>
    <cellStyle name="Percent 52" xfId="1026" xr:uid="{00000000-0005-0000-0000-0000FA150000}"/>
    <cellStyle name="Percent 52 2" xfId="1762" xr:uid="{00000000-0005-0000-0000-0000FB150000}"/>
    <cellStyle name="Percent 52 2 2" xfId="3709" xr:uid="{00000000-0005-0000-0000-0000FC150000}"/>
    <cellStyle name="Percent 52 3" xfId="2477" xr:uid="{00000000-0005-0000-0000-0000FD150000}"/>
    <cellStyle name="Percent 52 3 2" xfId="4406" xr:uid="{00000000-0005-0000-0000-0000FE150000}"/>
    <cellStyle name="Percent 52 4" xfId="3108" xr:uid="{00000000-0005-0000-0000-0000FF150000}"/>
    <cellStyle name="Percent 53" xfId="808" xr:uid="{00000000-0005-0000-0000-000000160000}"/>
    <cellStyle name="Percent 53 2" xfId="1684" xr:uid="{00000000-0005-0000-0000-000001160000}"/>
    <cellStyle name="Percent 53 2 2" xfId="3632" xr:uid="{00000000-0005-0000-0000-000002160000}"/>
    <cellStyle name="Percent 53 3" xfId="2394" xr:uid="{00000000-0005-0000-0000-000003160000}"/>
    <cellStyle name="Percent 53 3 2" xfId="4326" xr:uid="{00000000-0005-0000-0000-000004160000}"/>
    <cellStyle name="Percent 53 4" xfId="3038" xr:uid="{00000000-0005-0000-0000-000005160000}"/>
    <cellStyle name="Percent 54" xfId="1109" xr:uid="{00000000-0005-0000-0000-000006160000}"/>
    <cellStyle name="Percent 54 2" xfId="1824" xr:uid="{00000000-0005-0000-0000-000007160000}"/>
    <cellStyle name="Percent 54 2 2" xfId="3771" xr:uid="{00000000-0005-0000-0000-000008160000}"/>
    <cellStyle name="Percent 54 3" xfId="2537" xr:uid="{00000000-0005-0000-0000-000009160000}"/>
    <cellStyle name="Percent 54 3 2" xfId="4466" xr:uid="{00000000-0005-0000-0000-00000A160000}"/>
    <cellStyle name="Percent 54 4" xfId="3169" xr:uid="{00000000-0005-0000-0000-00000B160000}"/>
    <cellStyle name="Percent 55" xfId="978" xr:uid="{00000000-0005-0000-0000-00000C160000}"/>
    <cellStyle name="Percent 55 2" xfId="1735" xr:uid="{00000000-0005-0000-0000-00000D160000}"/>
    <cellStyle name="Percent 55 2 2" xfId="3683" xr:uid="{00000000-0005-0000-0000-00000E160000}"/>
    <cellStyle name="Percent 55 3" xfId="2455" xr:uid="{00000000-0005-0000-0000-00000F160000}"/>
    <cellStyle name="Percent 55 3 2" xfId="4384" xr:uid="{00000000-0005-0000-0000-000010160000}"/>
    <cellStyle name="Percent 55 4" xfId="3082" xr:uid="{00000000-0005-0000-0000-000011160000}"/>
    <cellStyle name="Percent 56" xfId="1114" xr:uid="{00000000-0005-0000-0000-000012160000}"/>
    <cellStyle name="Percent 56 2" xfId="1829" xr:uid="{00000000-0005-0000-0000-000013160000}"/>
    <cellStyle name="Percent 56 2 2" xfId="3776" xr:uid="{00000000-0005-0000-0000-000014160000}"/>
    <cellStyle name="Percent 56 3" xfId="2542" xr:uid="{00000000-0005-0000-0000-000015160000}"/>
    <cellStyle name="Percent 56 3 2" xfId="4471" xr:uid="{00000000-0005-0000-0000-000016160000}"/>
    <cellStyle name="Percent 56 4" xfId="3174" xr:uid="{00000000-0005-0000-0000-000017160000}"/>
    <cellStyle name="Percent 57" xfId="840" xr:uid="{00000000-0005-0000-0000-000018160000}"/>
    <cellStyle name="Percent 57 2" xfId="1699" xr:uid="{00000000-0005-0000-0000-000019160000}"/>
    <cellStyle name="Percent 57 2 2" xfId="3647" xr:uid="{00000000-0005-0000-0000-00001A160000}"/>
    <cellStyle name="Percent 57 3" xfId="2407" xr:uid="{00000000-0005-0000-0000-00001B160000}"/>
    <cellStyle name="Percent 57 3 2" xfId="4339" xr:uid="{00000000-0005-0000-0000-00001C160000}"/>
    <cellStyle name="Percent 57 4" xfId="3052" xr:uid="{00000000-0005-0000-0000-00001D160000}"/>
    <cellStyle name="Percent 58" xfId="1117" xr:uid="{00000000-0005-0000-0000-00001E160000}"/>
    <cellStyle name="Percent 58 2" xfId="1832" xr:uid="{00000000-0005-0000-0000-00001F160000}"/>
    <cellStyle name="Percent 58 2 2" xfId="3779" xr:uid="{00000000-0005-0000-0000-000020160000}"/>
    <cellStyle name="Percent 58 3" xfId="2545" xr:uid="{00000000-0005-0000-0000-000021160000}"/>
    <cellStyle name="Percent 58 3 2" xfId="4474" xr:uid="{00000000-0005-0000-0000-000022160000}"/>
    <cellStyle name="Percent 58 4" xfId="3177" xr:uid="{00000000-0005-0000-0000-000023160000}"/>
    <cellStyle name="Percent 59" xfId="836" xr:uid="{00000000-0005-0000-0000-000024160000}"/>
    <cellStyle name="Percent 59 2" xfId="1698" xr:uid="{00000000-0005-0000-0000-000025160000}"/>
    <cellStyle name="Percent 59 2 2" xfId="3646" xr:uid="{00000000-0005-0000-0000-000026160000}"/>
    <cellStyle name="Percent 59 3" xfId="2406" xr:uid="{00000000-0005-0000-0000-000027160000}"/>
    <cellStyle name="Percent 59 3 2" xfId="4338" xr:uid="{00000000-0005-0000-0000-000028160000}"/>
    <cellStyle name="Percent 59 4" xfId="3051" xr:uid="{00000000-0005-0000-0000-000029160000}"/>
    <cellStyle name="Percent 6" xfId="165" xr:uid="{00000000-0005-0000-0000-00002A160000}"/>
    <cellStyle name="Percent 6 2" xfId="839" xr:uid="{00000000-0005-0000-0000-00002B160000}"/>
    <cellStyle name="Percent 6 2 2" xfId="5532" xr:uid="{00000000-0005-0000-0000-00002C160000}"/>
    <cellStyle name="Percent 6 3" xfId="1272" xr:uid="{00000000-0005-0000-0000-00002D160000}"/>
    <cellStyle name="Percent 6 3 2" xfId="5938" xr:uid="{00000000-0005-0000-0000-00002E160000}"/>
    <cellStyle name="Percent 6 4" xfId="6124" xr:uid="{00000000-0005-0000-0000-00002F160000}"/>
    <cellStyle name="Percent 60" xfId="1118" xr:uid="{00000000-0005-0000-0000-000030160000}"/>
    <cellStyle name="Percent 60 2" xfId="1833" xr:uid="{00000000-0005-0000-0000-000031160000}"/>
    <cellStyle name="Percent 61" xfId="1122" xr:uid="{00000000-0005-0000-0000-000032160000}"/>
    <cellStyle name="Percent 61 2" xfId="1837" xr:uid="{00000000-0005-0000-0000-000033160000}"/>
    <cellStyle name="Percent 61 2 2" xfId="3783" xr:uid="{00000000-0005-0000-0000-000034160000}"/>
    <cellStyle name="Percent 61 3" xfId="2550" xr:uid="{00000000-0005-0000-0000-000035160000}"/>
    <cellStyle name="Percent 61 3 2" xfId="4479" xr:uid="{00000000-0005-0000-0000-000036160000}"/>
    <cellStyle name="Percent 61 4" xfId="3181" xr:uid="{00000000-0005-0000-0000-000037160000}"/>
    <cellStyle name="Percent 62" xfId="1222" xr:uid="{00000000-0005-0000-0000-000038160000}"/>
    <cellStyle name="Percent 62 2" xfId="1934" xr:uid="{00000000-0005-0000-0000-000039160000}"/>
    <cellStyle name="Percent 62 2 2" xfId="3879" xr:uid="{00000000-0005-0000-0000-00003A160000}"/>
    <cellStyle name="Percent 62 3" xfId="2628" xr:uid="{00000000-0005-0000-0000-00003B160000}"/>
    <cellStyle name="Percent 62 3 2" xfId="4556" xr:uid="{00000000-0005-0000-0000-00003C160000}"/>
    <cellStyle name="Percent 62 4" xfId="3276" xr:uid="{00000000-0005-0000-0000-00003D160000}"/>
    <cellStyle name="Percent 63" xfId="1358" xr:uid="{00000000-0005-0000-0000-00003E160000}"/>
    <cellStyle name="Percent 63 2" xfId="1979" xr:uid="{00000000-0005-0000-0000-00003F160000}"/>
    <cellStyle name="Percent 63 2 2" xfId="3923" xr:uid="{00000000-0005-0000-0000-000040160000}"/>
    <cellStyle name="Percent 63 3" xfId="2668" xr:uid="{00000000-0005-0000-0000-000041160000}"/>
    <cellStyle name="Percent 63 3 2" xfId="4594" xr:uid="{00000000-0005-0000-0000-000042160000}"/>
    <cellStyle name="Percent 63 4" xfId="3313" xr:uid="{00000000-0005-0000-0000-000043160000}"/>
    <cellStyle name="Percent 64" xfId="1361" xr:uid="{00000000-0005-0000-0000-000044160000}"/>
    <cellStyle name="Percent 64 2" xfId="1982" xr:uid="{00000000-0005-0000-0000-000045160000}"/>
    <cellStyle name="Percent 64 2 2" xfId="3926" xr:uid="{00000000-0005-0000-0000-000046160000}"/>
    <cellStyle name="Percent 64 3" xfId="2671" xr:uid="{00000000-0005-0000-0000-000047160000}"/>
    <cellStyle name="Percent 64 3 2" xfId="4597" xr:uid="{00000000-0005-0000-0000-000048160000}"/>
    <cellStyle name="Percent 64 4" xfId="3316" xr:uid="{00000000-0005-0000-0000-000049160000}"/>
    <cellStyle name="Percent 65" xfId="1429" xr:uid="{00000000-0005-0000-0000-00004A160000}"/>
    <cellStyle name="Percent 65 2" xfId="2050" xr:uid="{00000000-0005-0000-0000-00004B160000}"/>
    <cellStyle name="Percent 65 2 2" xfId="3994" xr:uid="{00000000-0005-0000-0000-00004C160000}"/>
    <cellStyle name="Percent 65 3" xfId="2739" xr:uid="{00000000-0005-0000-0000-00004D160000}"/>
    <cellStyle name="Percent 65 3 2" xfId="4665" xr:uid="{00000000-0005-0000-0000-00004E160000}"/>
    <cellStyle name="Percent 65 4" xfId="3384" xr:uid="{00000000-0005-0000-0000-00004F160000}"/>
    <cellStyle name="Percent 66" xfId="1369" xr:uid="{00000000-0005-0000-0000-000050160000}"/>
    <cellStyle name="Percent 66 2" xfId="1990" xr:uid="{00000000-0005-0000-0000-000051160000}"/>
    <cellStyle name="Percent 66 2 2" xfId="3934" xr:uid="{00000000-0005-0000-0000-000052160000}"/>
    <cellStyle name="Percent 66 3" xfId="2679" xr:uid="{00000000-0005-0000-0000-000053160000}"/>
    <cellStyle name="Percent 66 3 2" xfId="4605" xr:uid="{00000000-0005-0000-0000-000054160000}"/>
    <cellStyle name="Percent 66 4" xfId="3324" xr:uid="{00000000-0005-0000-0000-000055160000}"/>
    <cellStyle name="Percent 67" xfId="1367" xr:uid="{00000000-0005-0000-0000-000056160000}"/>
    <cellStyle name="Percent 67 2" xfId="1988" xr:uid="{00000000-0005-0000-0000-000057160000}"/>
    <cellStyle name="Percent 67 2 2" xfId="3932" xr:uid="{00000000-0005-0000-0000-000058160000}"/>
    <cellStyle name="Percent 67 3" xfId="2677" xr:uid="{00000000-0005-0000-0000-000059160000}"/>
    <cellStyle name="Percent 67 3 2" xfId="4603" xr:uid="{00000000-0005-0000-0000-00005A160000}"/>
    <cellStyle name="Percent 67 4" xfId="3322" xr:uid="{00000000-0005-0000-0000-00005B160000}"/>
    <cellStyle name="Percent 68" xfId="4805" xr:uid="{00000000-0005-0000-0000-00005C160000}"/>
    <cellStyle name="Percent 68 2" xfId="4811" xr:uid="{00000000-0005-0000-0000-00005D160000}"/>
    <cellStyle name="Percent 69" xfId="4806" xr:uid="{00000000-0005-0000-0000-00005E160000}"/>
    <cellStyle name="Percent 69 2" xfId="5090" xr:uid="{00000000-0005-0000-0000-00005F160000}"/>
    <cellStyle name="Percent 7" xfId="166" xr:uid="{00000000-0005-0000-0000-000060160000}"/>
    <cellStyle name="Percent 7 2" xfId="371" xr:uid="{00000000-0005-0000-0000-000061160000}"/>
    <cellStyle name="Percent 7 2 2" xfId="372" xr:uid="{00000000-0005-0000-0000-000062160000}"/>
    <cellStyle name="Percent 7 2 3" xfId="5533" xr:uid="{00000000-0005-0000-0000-000063160000}"/>
    <cellStyle name="Percent 7 3" xfId="373" xr:uid="{00000000-0005-0000-0000-000064160000}"/>
    <cellStyle name="Percent 7 3 2" xfId="596" xr:uid="{00000000-0005-0000-0000-000065160000}"/>
    <cellStyle name="Percent 7 3 3" xfId="5939" xr:uid="{00000000-0005-0000-0000-000066160000}"/>
    <cellStyle name="Percent 7 4" xfId="597" xr:uid="{00000000-0005-0000-0000-000067160000}"/>
    <cellStyle name="Percent 7 4 2" xfId="4865" xr:uid="{00000000-0005-0000-0000-000068160000}"/>
    <cellStyle name="Percent 7 4 3" xfId="6126" xr:uid="{00000000-0005-0000-0000-000069160000}"/>
    <cellStyle name="Percent 7 5" xfId="4864" xr:uid="{00000000-0005-0000-0000-00006A160000}"/>
    <cellStyle name="Percent 70" xfId="4860" xr:uid="{00000000-0005-0000-0000-00006B160000}"/>
    <cellStyle name="Percent 71" xfId="4870" xr:uid="{00000000-0005-0000-0000-00006C160000}"/>
    <cellStyle name="Percent 72" xfId="4929" xr:uid="{00000000-0005-0000-0000-00006D160000}"/>
    <cellStyle name="Percent 73" xfId="4892" xr:uid="{00000000-0005-0000-0000-00006E160000}"/>
    <cellStyle name="Percent 74" xfId="4930" xr:uid="{00000000-0005-0000-0000-00006F160000}"/>
    <cellStyle name="Percent 75" xfId="4897" xr:uid="{00000000-0005-0000-0000-000070160000}"/>
    <cellStyle name="Percent 76" xfId="4931" xr:uid="{00000000-0005-0000-0000-000071160000}"/>
    <cellStyle name="Percent 77" xfId="4896" xr:uid="{00000000-0005-0000-0000-000072160000}"/>
    <cellStyle name="Percent 78" xfId="4932" xr:uid="{00000000-0005-0000-0000-000073160000}"/>
    <cellStyle name="Percent 79" xfId="4895" xr:uid="{00000000-0005-0000-0000-000074160000}"/>
    <cellStyle name="Percent 8" xfId="167" xr:uid="{00000000-0005-0000-0000-000075160000}"/>
    <cellStyle name="Percent 8 2" xfId="419" xr:uid="{00000000-0005-0000-0000-000076160000}"/>
    <cellStyle name="Percent 8 2 2" xfId="934" xr:uid="{00000000-0005-0000-0000-000077160000}"/>
    <cellStyle name="Percent 8 2 3" xfId="5940" xr:uid="{00000000-0005-0000-0000-000078160000}"/>
    <cellStyle name="Percent 8 3" xfId="933" xr:uid="{00000000-0005-0000-0000-000079160000}"/>
    <cellStyle name="Percent 8 3 2" xfId="6131" xr:uid="{00000000-0005-0000-0000-00007A160000}"/>
    <cellStyle name="Percent 80" xfId="4936" xr:uid="{00000000-0005-0000-0000-00007B160000}"/>
    <cellStyle name="Percent 81" xfId="4899" xr:uid="{00000000-0005-0000-0000-00007C160000}"/>
    <cellStyle name="Percent 82" xfId="4937" xr:uid="{00000000-0005-0000-0000-00007D160000}"/>
    <cellStyle name="Percent 83" xfId="4898" xr:uid="{00000000-0005-0000-0000-00007E160000}"/>
    <cellStyle name="Percent 84" xfId="4934" xr:uid="{00000000-0005-0000-0000-00007F160000}"/>
    <cellStyle name="Percent 85" xfId="4894" xr:uid="{00000000-0005-0000-0000-000080160000}"/>
    <cellStyle name="Percent 86" xfId="4935" xr:uid="{00000000-0005-0000-0000-000081160000}"/>
    <cellStyle name="Percent 87" xfId="4893" xr:uid="{00000000-0005-0000-0000-000082160000}"/>
    <cellStyle name="Percent 88" xfId="5000" xr:uid="{00000000-0005-0000-0000-000083160000}"/>
    <cellStyle name="Percent 89" xfId="4966" xr:uid="{00000000-0005-0000-0000-000084160000}"/>
    <cellStyle name="Percent 9" xfId="168" xr:uid="{00000000-0005-0000-0000-000085160000}"/>
    <cellStyle name="Percent 9 2" xfId="374" xr:uid="{00000000-0005-0000-0000-000086160000}"/>
    <cellStyle name="Percent 9 2 2" xfId="6134" xr:uid="{00000000-0005-0000-0000-000087160000}"/>
    <cellStyle name="Percent 90" xfId="4998" xr:uid="{00000000-0005-0000-0000-000088160000}"/>
    <cellStyle name="Percent 91" xfId="4965" xr:uid="{00000000-0005-0000-0000-000089160000}"/>
    <cellStyle name="Percent 92" xfId="4999" xr:uid="{00000000-0005-0000-0000-00008A160000}"/>
    <cellStyle name="Percent 93" xfId="4964" xr:uid="{00000000-0005-0000-0000-00008B160000}"/>
    <cellStyle name="Percent 94" xfId="5001" xr:uid="{00000000-0005-0000-0000-00008C160000}"/>
    <cellStyle name="Percent 95" xfId="4963" xr:uid="{00000000-0005-0000-0000-00008D160000}"/>
    <cellStyle name="Percent 96" xfId="5002" xr:uid="{00000000-0005-0000-0000-00008E160000}"/>
    <cellStyle name="Percent 97" xfId="4961" xr:uid="{00000000-0005-0000-0000-00008F160000}"/>
    <cellStyle name="Percent 98" xfId="5003" xr:uid="{00000000-0005-0000-0000-000090160000}"/>
    <cellStyle name="Percent 99" xfId="4960" xr:uid="{00000000-0005-0000-0000-000091160000}"/>
    <cellStyle name="percentage difference" xfId="535" xr:uid="{00000000-0005-0000-0000-000092160000}"/>
    <cellStyle name="percentage difference one decimal" xfId="536" xr:uid="{00000000-0005-0000-0000-000093160000}"/>
    <cellStyle name="percentage difference zero decimal" xfId="537" xr:uid="{00000000-0005-0000-0000-000094160000}"/>
    <cellStyle name="percentage difference_Book9" xfId="538" xr:uid="{00000000-0005-0000-0000-000095160000}"/>
    <cellStyle name="Percentual" xfId="539" xr:uid="{00000000-0005-0000-0000-000096160000}"/>
    <cellStyle name="Ponto" xfId="540" xr:uid="{00000000-0005-0000-0000-000097160000}"/>
    <cellStyle name="Porcentagem_SEP1196" xfId="541" xr:uid="{00000000-0005-0000-0000-000098160000}"/>
    <cellStyle name="Porcentaje" xfId="542" xr:uid="{00000000-0005-0000-0000-000099160000}"/>
    <cellStyle name="Presentation" xfId="543" xr:uid="{00000000-0005-0000-0000-00009A160000}"/>
    <cellStyle name="Publication" xfId="544" xr:uid="{00000000-0005-0000-0000-00009B160000}"/>
    <cellStyle name="Publication 2" xfId="5359" xr:uid="{00000000-0005-0000-0000-00009C160000}"/>
    <cellStyle name="Punto" xfId="545" xr:uid="{00000000-0005-0000-0000-00009D160000}"/>
    <cellStyle name="Punto0" xfId="546" xr:uid="{00000000-0005-0000-0000-00009E160000}"/>
    <cellStyle name="Red Text" xfId="547" xr:uid="{00000000-0005-0000-0000-00009F160000}"/>
    <cellStyle name="Red Text 2" xfId="1049" xr:uid="{00000000-0005-0000-0000-0000A0160000}"/>
    <cellStyle name="Red Text 2 2" xfId="1783" xr:uid="{00000000-0005-0000-0000-0000A1160000}"/>
    <cellStyle name="Red Text 2 2 2" xfId="3730" xr:uid="{00000000-0005-0000-0000-0000A2160000}"/>
    <cellStyle name="Red Text 2 3" xfId="2086" xr:uid="{00000000-0005-0000-0000-0000A3160000}"/>
    <cellStyle name="Red Text 2 3 2" xfId="4030" xr:uid="{00000000-0005-0000-0000-0000A4160000}"/>
    <cellStyle name="Red Text 2 4" xfId="2770" xr:uid="{00000000-0005-0000-0000-0000A5160000}"/>
    <cellStyle name="Red Text 2 4 2" xfId="4696" xr:uid="{00000000-0005-0000-0000-0000A6160000}"/>
    <cellStyle name="Red Text 2 5" xfId="2666" xr:uid="{00000000-0005-0000-0000-0000A7160000}"/>
    <cellStyle name="Red Text 2 6" xfId="3129" xr:uid="{00000000-0005-0000-0000-0000A8160000}"/>
    <cellStyle name="Red Text 3" xfId="1146" xr:uid="{00000000-0005-0000-0000-0000A9160000}"/>
    <cellStyle name="Red Text 3 2" xfId="1860" xr:uid="{00000000-0005-0000-0000-0000AA160000}"/>
    <cellStyle name="Red Text 3 2 2" xfId="3805" xr:uid="{00000000-0005-0000-0000-0000AB160000}"/>
    <cellStyle name="Red Text 3 3" xfId="2567" xr:uid="{00000000-0005-0000-0000-0000AC160000}"/>
    <cellStyle name="Red Text 3 3 2" xfId="4496" xr:uid="{00000000-0005-0000-0000-0000AD160000}"/>
    <cellStyle name="Red Text 3 4" xfId="2795" xr:uid="{00000000-0005-0000-0000-0000AE160000}"/>
    <cellStyle name="Red Text 3 4 2" xfId="4719" xr:uid="{00000000-0005-0000-0000-0000AF160000}"/>
    <cellStyle name="Red Text 3 5" xfId="2636" xr:uid="{00000000-0005-0000-0000-0000B0160000}"/>
    <cellStyle name="Red Text 3 6" xfId="3203" xr:uid="{00000000-0005-0000-0000-0000B1160000}"/>
    <cellStyle name="Red Text 4" xfId="1595" xr:uid="{00000000-0005-0000-0000-0000B2160000}"/>
    <cellStyle name="Red Text 4 2" xfId="3549" xr:uid="{00000000-0005-0000-0000-0000B3160000}"/>
    <cellStyle name="Red Text 5" xfId="2651" xr:uid="{00000000-0005-0000-0000-0000B4160000}"/>
    <cellStyle name="Red Text 5 2" xfId="4578" xr:uid="{00000000-0005-0000-0000-0000B5160000}"/>
    <cellStyle name="Red Text 6" xfId="2446" xr:uid="{00000000-0005-0000-0000-0000B6160000}"/>
    <cellStyle name="Red Text 7" xfId="2973" xr:uid="{00000000-0005-0000-0000-0000B7160000}"/>
    <cellStyle name="Red Text 8" xfId="5185" xr:uid="{00000000-0005-0000-0000-0000B8160000}"/>
    <cellStyle name="Red Text 9" xfId="5713" xr:uid="{00000000-0005-0000-0000-0000B9160000}"/>
    <cellStyle name="Resumen" xfId="548" xr:uid="{00000000-0005-0000-0000-0000BA160000}"/>
    <cellStyle name="Resumen 10" xfId="2974" xr:uid="{00000000-0005-0000-0000-0000BB160000}"/>
    <cellStyle name="Resumen 11" xfId="5186" xr:uid="{00000000-0005-0000-0000-0000BC160000}"/>
    <cellStyle name="Resumen 12" xfId="5714" xr:uid="{00000000-0005-0000-0000-0000BD160000}"/>
    <cellStyle name="Resumen 2" xfId="1357" xr:uid="{00000000-0005-0000-0000-0000BE160000}"/>
    <cellStyle name="Resumen 2 2" xfId="1978" xr:uid="{00000000-0005-0000-0000-0000BF160000}"/>
    <cellStyle name="Resumen 2 2 2" xfId="3922" xr:uid="{00000000-0005-0000-0000-0000C0160000}"/>
    <cellStyle name="Resumen 2 3" xfId="2146" xr:uid="{00000000-0005-0000-0000-0000C1160000}"/>
    <cellStyle name="Resumen 2 3 2" xfId="4090" xr:uid="{00000000-0005-0000-0000-0000C2160000}"/>
    <cellStyle name="Resumen 2 4" xfId="1604" xr:uid="{00000000-0005-0000-0000-0000C3160000}"/>
    <cellStyle name="Resumen 2 4 2" xfId="3558" xr:uid="{00000000-0005-0000-0000-0000C4160000}"/>
    <cellStyle name="Resumen 2 5" xfId="2857" xr:uid="{00000000-0005-0000-0000-0000C5160000}"/>
    <cellStyle name="Resumen 2 5 2" xfId="4779" xr:uid="{00000000-0005-0000-0000-0000C6160000}"/>
    <cellStyle name="Resumen 2 6" xfId="2333" xr:uid="{00000000-0005-0000-0000-0000C7160000}"/>
    <cellStyle name="Resumen 2 6 2" xfId="4265" xr:uid="{00000000-0005-0000-0000-0000C8160000}"/>
    <cellStyle name="Resumen 2 7" xfId="2295" xr:uid="{00000000-0005-0000-0000-0000C9160000}"/>
    <cellStyle name="Resumen 2 7 2" xfId="4230" xr:uid="{00000000-0005-0000-0000-0000CA160000}"/>
    <cellStyle name="Resumen 2 8" xfId="3312" xr:uid="{00000000-0005-0000-0000-0000CB160000}"/>
    <cellStyle name="Resumen 3" xfId="1219" xr:uid="{00000000-0005-0000-0000-0000CC160000}"/>
    <cellStyle name="Resumen 3 2" xfId="1931" xr:uid="{00000000-0005-0000-0000-0000CD160000}"/>
    <cellStyle name="Resumen 3 2 2" xfId="3876" xr:uid="{00000000-0005-0000-0000-0000CE160000}"/>
    <cellStyle name="Resumen 3 3" xfId="2116" xr:uid="{00000000-0005-0000-0000-0000CF160000}"/>
    <cellStyle name="Resumen 3 3 2" xfId="4060" xr:uid="{00000000-0005-0000-0000-0000D0160000}"/>
    <cellStyle name="Resumen 3 4" xfId="1520" xr:uid="{00000000-0005-0000-0000-0000D1160000}"/>
    <cellStyle name="Resumen 3 4 2" xfId="3474" xr:uid="{00000000-0005-0000-0000-0000D2160000}"/>
    <cellStyle name="Resumen 3 5" xfId="2821" xr:uid="{00000000-0005-0000-0000-0000D3160000}"/>
    <cellStyle name="Resumen 3 5 2" xfId="4743" xr:uid="{00000000-0005-0000-0000-0000D4160000}"/>
    <cellStyle name="Resumen 3 6" xfId="2667" xr:uid="{00000000-0005-0000-0000-0000D5160000}"/>
    <cellStyle name="Resumen 3 6 2" xfId="4593" xr:uid="{00000000-0005-0000-0000-0000D6160000}"/>
    <cellStyle name="Resumen 3 7" xfId="2207" xr:uid="{00000000-0005-0000-0000-0000D7160000}"/>
    <cellStyle name="Resumen 3 7 2" xfId="4148" xr:uid="{00000000-0005-0000-0000-0000D8160000}"/>
    <cellStyle name="Resumen 3 8" xfId="3273" xr:uid="{00000000-0005-0000-0000-0000D9160000}"/>
    <cellStyle name="Resumen 4" xfId="1596" xr:uid="{00000000-0005-0000-0000-0000DA160000}"/>
    <cellStyle name="Resumen 4 2" xfId="3550" xr:uid="{00000000-0005-0000-0000-0000DB160000}"/>
    <cellStyle name="Resumen 5" xfId="1537" xr:uid="{00000000-0005-0000-0000-0000DC160000}"/>
    <cellStyle name="Resumen 5 2" xfId="3491" xr:uid="{00000000-0005-0000-0000-0000DD160000}"/>
    <cellStyle name="Resumen 6" xfId="1619" xr:uid="{00000000-0005-0000-0000-0000DE160000}"/>
    <cellStyle name="Resumen 6 2" xfId="3572" xr:uid="{00000000-0005-0000-0000-0000DF160000}"/>
    <cellStyle name="Resumen 7" xfId="2650" xr:uid="{00000000-0005-0000-0000-0000E0160000}"/>
    <cellStyle name="Resumen 7 2" xfId="4577" xr:uid="{00000000-0005-0000-0000-0000E1160000}"/>
    <cellStyle name="Resumen 8" xfId="2259" xr:uid="{00000000-0005-0000-0000-0000E2160000}"/>
    <cellStyle name="Resumen 8 2" xfId="4194" xr:uid="{00000000-0005-0000-0000-0000E3160000}"/>
    <cellStyle name="Resumen 9" xfId="2876" xr:uid="{00000000-0005-0000-0000-0000E4160000}"/>
    <cellStyle name="Resumen 9 2" xfId="4797" xr:uid="{00000000-0005-0000-0000-0000E5160000}"/>
    <cellStyle name="semestre" xfId="549" xr:uid="{00000000-0005-0000-0000-0000E6160000}"/>
    <cellStyle name="semestre 2" xfId="5187" xr:uid="{00000000-0005-0000-0000-0000E7160000}"/>
    <cellStyle name="Sep. milhar [2]" xfId="550" xr:uid="{00000000-0005-0000-0000-0000E8160000}"/>
    <cellStyle name="Separador de m" xfId="551" xr:uid="{00000000-0005-0000-0000-0000E9160000}"/>
    <cellStyle name="Separador de milhares [0]_A" xfId="552" xr:uid="{00000000-0005-0000-0000-0000EA160000}"/>
    <cellStyle name="Separador de milhares_A" xfId="553" xr:uid="{00000000-0005-0000-0000-0000EB160000}"/>
    <cellStyle name="Style 1" xfId="5534" xr:uid="{00000000-0005-0000-0000-0000EC160000}"/>
    <cellStyle name="Style1" xfId="554" xr:uid="{00000000-0005-0000-0000-0000ED160000}"/>
    <cellStyle name="Style1 2" xfId="5360" xr:uid="{00000000-0005-0000-0000-0000EE160000}"/>
    <cellStyle name="test a style" xfId="555" xr:uid="{00000000-0005-0000-0000-0000EF160000}"/>
    <cellStyle name="tête chapitre" xfId="556" xr:uid="{00000000-0005-0000-0000-0000F0160000}"/>
    <cellStyle name="tête chapitre 2" xfId="5188" xr:uid="{00000000-0005-0000-0000-0000F1160000}"/>
    <cellStyle name="Text" xfId="557" xr:uid="{00000000-0005-0000-0000-0000F2160000}"/>
    <cellStyle name="Text 2" xfId="5189" xr:uid="{00000000-0005-0000-0000-0000F3160000}"/>
    <cellStyle name="Title 2" xfId="169" xr:uid="{00000000-0005-0000-0000-0000F4160000}"/>
    <cellStyle name="Title 2 2" xfId="5361" xr:uid="{00000000-0005-0000-0000-0000F5160000}"/>
    <cellStyle name="Title 3" xfId="170" xr:uid="{00000000-0005-0000-0000-0000F6160000}"/>
    <cellStyle name="Title 3 2" xfId="5362" xr:uid="{00000000-0005-0000-0000-0000F7160000}"/>
    <cellStyle name="Title 4" xfId="375" xr:uid="{00000000-0005-0000-0000-0000F8160000}"/>
    <cellStyle name="Title 5" xfId="376" xr:uid="{00000000-0005-0000-0000-0000F9160000}"/>
    <cellStyle name="titre" xfId="558" xr:uid="{00000000-0005-0000-0000-0000FA160000}"/>
    <cellStyle name="titre 2" xfId="5190" xr:uid="{00000000-0005-0000-0000-0000FB160000}"/>
    <cellStyle name="Titulo1" xfId="559" xr:uid="{00000000-0005-0000-0000-0000FC160000}"/>
    <cellStyle name="Titulo2" xfId="560" xr:uid="{00000000-0005-0000-0000-0000FD160000}"/>
    <cellStyle name="TopGrey" xfId="561" xr:uid="{00000000-0005-0000-0000-0000FE160000}"/>
    <cellStyle name="TopGrey 2" xfId="1051" xr:uid="{00000000-0005-0000-0000-0000FF160000}"/>
    <cellStyle name="TopGrey 2 2" xfId="1785" xr:uid="{00000000-0005-0000-0000-000000170000}"/>
    <cellStyle name="TopGrey 2 2 2" xfId="3732" xr:uid="{00000000-0005-0000-0000-000001170000}"/>
    <cellStyle name="TopGrey 2 3" xfId="2087" xr:uid="{00000000-0005-0000-0000-000002170000}"/>
    <cellStyle name="TopGrey 2 3 2" xfId="4031" xr:uid="{00000000-0005-0000-0000-000003170000}"/>
    <cellStyle name="TopGrey 2 4" xfId="2771" xr:uid="{00000000-0005-0000-0000-000004170000}"/>
    <cellStyle name="TopGrey 2 4 2" xfId="4697" xr:uid="{00000000-0005-0000-0000-000005170000}"/>
    <cellStyle name="TopGrey 2 5" xfId="2324" xr:uid="{00000000-0005-0000-0000-000006170000}"/>
    <cellStyle name="TopGrey 2 6" xfId="3131" xr:uid="{00000000-0005-0000-0000-000007170000}"/>
    <cellStyle name="TopGrey 3" xfId="1148" xr:uid="{00000000-0005-0000-0000-000008170000}"/>
    <cellStyle name="TopGrey 3 2" xfId="1862" xr:uid="{00000000-0005-0000-0000-000009170000}"/>
    <cellStyle name="TopGrey 3 2 2" xfId="3807" xr:uid="{00000000-0005-0000-0000-00000A170000}"/>
    <cellStyle name="TopGrey 3 3" xfId="2569" xr:uid="{00000000-0005-0000-0000-00000B170000}"/>
    <cellStyle name="TopGrey 3 3 2" xfId="4498" xr:uid="{00000000-0005-0000-0000-00000C170000}"/>
    <cellStyle name="TopGrey 3 4" xfId="2796" xr:uid="{00000000-0005-0000-0000-00000D170000}"/>
    <cellStyle name="TopGrey 3 4 2" xfId="4720" xr:uid="{00000000-0005-0000-0000-00000E170000}"/>
    <cellStyle name="TopGrey 3 5" xfId="2234" xr:uid="{00000000-0005-0000-0000-00000F170000}"/>
    <cellStyle name="TopGrey 3 6" xfId="3205" xr:uid="{00000000-0005-0000-0000-000010170000}"/>
    <cellStyle name="TopGrey 4" xfId="1601" xr:uid="{00000000-0005-0000-0000-000011170000}"/>
    <cellStyle name="TopGrey 4 2" xfId="3555" xr:uid="{00000000-0005-0000-0000-000012170000}"/>
    <cellStyle name="TopGrey 5" xfId="2221" xr:uid="{00000000-0005-0000-0000-000013170000}"/>
    <cellStyle name="TopGrey 5 2" xfId="4160" xr:uid="{00000000-0005-0000-0000-000014170000}"/>
    <cellStyle name="TopGrey 6" xfId="2420" xr:uid="{00000000-0005-0000-0000-000015170000}"/>
    <cellStyle name="TopGrey 7" xfId="2975" xr:uid="{00000000-0005-0000-0000-000016170000}"/>
    <cellStyle name="TopGrey 8" xfId="5191" xr:uid="{00000000-0005-0000-0000-000017170000}"/>
    <cellStyle name="TopGrey 9" xfId="5715" xr:uid="{00000000-0005-0000-0000-000018170000}"/>
    <cellStyle name="Total - Style1" xfId="562" xr:uid="{00000000-0005-0000-0000-000019170000}"/>
    <cellStyle name="Total - Style1 2" xfId="5363" xr:uid="{00000000-0005-0000-0000-00001A170000}"/>
    <cellStyle name="Total 10" xfId="4882" xr:uid="{00000000-0005-0000-0000-00001B170000}"/>
    <cellStyle name="Total 11" xfId="4885" xr:uid="{00000000-0005-0000-0000-00001C170000}"/>
    <cellStyle name="Total 12" xfId="4879" xr:uid="{00000000-0005-0000-0000-00001D170000}"/>
    <cellStyle name="Total 13" xfId="4939" xr:uid="{00000000-0005-0000-0000-00001E170000}"/>
    <cellStyle name="Total 14" xfId="4943" xr:uid="{00000000-0005-0000-0000-00001F170000}"/>
    <cellStyle name="Total 15" xfId="4945" xr:uid="{00000000-0005-0000-0000-000020170000}"/>
    <cellStyle name="Total 16" xfId="4941" xr:uid="{00000000-0005-0000-0000-000021170000}"/>
    <cellStyle name="Total 17" xfId="4946" xr:uid="{00000000-0005-0000-0000-000022170000}"/>
    <cellStyle name="Total 18" xfId="4942" xr:uid="{00000000-0005-0000-0000-000023170000}"/>
    <cellStyle name="Total 19" xfId="4947" xr:uid="{00000000-0005-0000-0000-000024170000}"/>
    <cellStyle name="Total 2" xfId="171" xr:uid="{00000000-0005-0000-0000-000025170000}"/>
    <cellStyle name="Total 2 10" xfId="2319" xr:uid="{00000000-0005-0000-0000-000026170000}"/>
    <cellStyle name="Total 2 10 2" xfId="4254" xr:uid="{00000000-0005-0000-0000-000027170000}"/>
    <cellStyle name="Total 2 11" xfId="2900" xr:uid="{00000000-0005-0000-0000-000028170000}"/>
    <cellStyle name="Total 2 12" xfId="4867" xr:uid="{00000000-0005-0000-0000-000029170000}"/>
    <cellStyle name="Total 2 13" xfId="5364" xr:uid="{00000000-0005-0000-0000-00002A170000}"/>
    <cellStyle name="Total 2 14" xfId="5781" xr:uid="{00000000-0005-0000-0000-00002B170000}"/>
    <cellStyle name="Total 2 2" xfId="1290" xr:uid="{00000000-0005-0000-0000-00002C170000}"/>
    <cellStyle name="Total 2 2 2" xfId="1956" xr:uid="{00000000-0005-0000-0000-00002D170000}"/>
    <cellStyle name="Total 2 2 2 2" xfId="3900" xr:uid="{00000000-0005-0000-0000-00002E170000}"/>
    <cellStyle name="Total 2 2 3" xfId="2129" xr:uid="{00000000-0005-0000-0000-00002F170000}"/>
    <cellStyle name="Total 2 2 3 2" xfId="4073" xr:uid="{00000000-0005-0000-0000-000030170000}"/>
    <cellStyle name="Total 2 2 4" xfId="1463" xr:uid="{00000000-0005-0000-0000-000031170000}"/>
    <cellStyle name="Total 2 2 4 2" xfId="3417" xr:uid="{00000000-0005-0000-0000-000032170000}"/>
    <cellStyle name="Total 2 2 5" xfId="2840" xr:uid="{00000000-0005-0000-0000-000033170000}"/>
    <cellStyle name="Total 2 2 5 2" xfId="4762" xr:uid="{00000000-0005-0000-0000-000034170000}"/>
    <cellStyle name="Total 2 2 6" xfId="2641" xr:uid="{00000000-0005-0000-0000-000035170000}"/>
    <cellStyle name="Total 2 2 6 2" xfId="4568" xr:uid="{00000000-0005-0000-0000-000036170000}"/>
    <cellStyle name="Total 2 2 7" xfId="2779" xr:uid="{00000000-0005-0000-0000-000037170000}"/>
    <cellStyle name="Total 2 2 7 2" xfId="4703" xr:uid="{00000000-0005-0000-0000-000038170000}"/>
    <cellStyle name="Total 2 2 8" xfId="3292" xr:uid="{00000000-0005-0000-0000-000039170000}"/>
    <cellStyle name="Total 2 3" xfId="1149" xr:uid="{00000000-0005-0000-0000-00003A170000}"/>
    <cellStyle name="Total 2 3 2" xfId="1863" xr:uid="{00000000-0005-0000-0000-00003B170000}"/>
    <cellStyle name="Total 2 3 2 2" xfId="3808" xr:uid="{00000000-0005-0000-0000-00003C170000}"/>
    <cellStyle name="Total 2 3 3" xfId="2102" xr:uid="{00000000-0005-0000-0000-00003D170000}"/>
    <cellStyle name="Total 2 3 3 2" xfId="4046" xr:uid="{00000000-0005-0000-0000-00003E170000}"/>
    <cellStyle name="Total 2 3 4" xfId="1572" xr:uid="{00000000-0005-0000-0000-00003F170000}"/>
    <cellStyle name="Total 2 3 4 2" xfId="3526" xr:uid="{00000000-0005-0000-0000-000040170000}"/>
    <cellStyle name="Total 2 3 5" xfId="2797" xr:uid="{00000000-0005-0000-0000-000041170000}"/>
    <cellStyle name="Total 2 3 5 2" xfId="4721" xr:uid="{00000000-0005-0000-0000-000042170000}"/>
    <cellStyle name="Total 2 3 6" xfId="2414" xr:uid="{00000000-0005-0000-0000-000043170000}"/>
    <cellStyle name="Total 2 3 6 2" xfId="4346" xr:uid="{00000000-0005-0000-0000-000044170000}"/>
    <cellStyle name="Total 2 3 7" xfId="2238" xr:uid="{00000000-0005-0000-0000-000045170000}"/>
    <cellStyle name="Total 2 3 7 2" xfId="4174" xr:uid="{00000000-0005-0000-0000-000046170000}"/>
    <cellStyle name="Total 2 3 8" xfId="3206" xr:uid="{00000000-0005-0000-0000-000047170000}"/>
    <cellStyle name="Total 2 4" xfId="1490" xr:uid="{00000000-0005-0000-0000-000048170000}"/>
    <cellStyle name="Total 2 4 2" xfId="3444" xr:uid="{00000000-0005-0000-0000-000049170000}"/>
    <cellStyle name="Total 2 5" xfId="1527" xr:uid="{00000000-0005-0000-0000-00004A170000}"/>
    <cellStyle name="Total 2 5 2" xfId="3481" xr:uid="{00000000-0005-0000-0000-00004B170000}"/>
    <cellStyle name="Total 2 6" xfId="1558" xr:uid="{00000000-0005-0000-0000-00004C170000}"/>
    <cellStyle name="Total 2 6 2" xfId="3512" xr:uid="{00000000-0005-0000-0000-00004D170000}"/>
    <cellStyle name="Total 2 7" xfId="2292" xr:uid="{00000000-0005-0000-0000-00004E170000}"/>
    <cellStyle name="Total 2 7 2" xfId="4227" xr:uid="{00000000-0005-0000-0000-00004F170000}"/>
    <cellStyle name="Total 2 8" xfId="2264" xr:uid="{00000000-0005-0000-0000-000050170000}"/>
    <cellStyle name="Total 2 8 2" xfId="4199" xr:uid="{00000000-0005-0000-0000-000051170000}"/>
    <cellStyle name="Total 2 9" xfId="2622" xr:uid="{00000000-0005-0000-0000-000052170000}"/>
    <cellStyle name="Total 2 9 2" xfId="4550" xr:uid="{00000000-0005-0000-0000-000053170000}"/>
    <cellStyle name="Total 20" xfId="4944" xr:uid="{00000000-0005-0000-0000-000054170000}"/>
    <cellStyle name="Total 21" xfId="4950" xr:uid="{00000000-0005-0000-0000-000055170000}"/>
    <cellStyle name="Total 22" xfId="4940" xr:uid="{00000000-0005-0000-0000-000056170000}"/>
    <cellStyle name="Total 23" xfId="4951" xr:uid="{00000000-0005-0000-0000-000057170000}"/>
    <cellStyle name="Total 24" xfId="4952" xr:uid="{00000000-0005-0000-0000-000058170000}"/>
    <cellStyle name="Total 25" xfId="4948" xr:uid="{00000000-0005-0000-0000-000059170000}"/>
    <cellStyle name="Total 26" xfId="4953" xr:uid="{00000000-0005-0000-0000-00005A170000}"/>
    <cellStyle name="Total 27" xfId="4949" xr:uid="{00000000-0005-0000-0000-00005B170000}"/>
    <cellStyle name="Total 28" xfId="4954" xr:uid="{00000000-0005-0000-0000-00005C170000}"/>
    <cellStyle name="Total 29" xfId="5009" xr:uid="{00000000-0005-0000-0000-00005D170000}"/>
    <cellStyle name="Total 3" xfId="172" xr:uid="{00000000-0005-0000-0000-00005E170000}"/>
    <cellStyle name="Total 3 10" xfId="2864" xr:uid="{00000000-0005-0000-0000-00005F170000}"/>
    <cellStyle name="Total 3 10 2" xfId="4785" xr:uid="{00000000-0005-0000-0000-000060170000}"/>
    <cellStyle name="Total 3 11" xfId="2901" xr:uid="{00000000-0005-0000-0000-000061170000}"/>
    <cellStyle name="Total 3 12" xfId="4868" xr:uid="{00000000-0005-0000-0000-000062170000}"/>
    <cellStyle name="Total 3 13" xfId="5365" xr:uid="{00000000-0005-0000-0000-000063170000}"/>
    <cellStyle name="Total 3 14" xfId="5782" xr:uid="{00000000-0005-0000-0000-000064170000}"/>
    <cellStyle name="Total 3 2" xfId="1251" xr:uid="{00000000-0005-0000-0000-000065170000}"/>
    <cellStyle name="Total 3 2 2" xfId="1946" xr:uid="{00000000-0005-0000-0000-000066170000}"/>
    <cellStyle name="Total 3 2 2 2" xfId="3890" xr:uid="{00000000-0005-0000-0000-000067170000}"/>
    <cellStyle name="Total 3 2 3" xfId="2123" xr:uid="{00000000-0005-0000-0000-000068170000}"/>
    <cellStyle name="Total 3 2 3 2" xfId="4067" xr:uid="{00000000-0005-0000-0000-000069170000}"/>
    <cellStyle name="Total 3 2 4" xfId="1597" xr:uid="{00000000-0005-0000-0000-00006A170000}"/>
    <cellStyle name="Total 3 2 4 2" xfId="3551" xr:uid="{00000000-0005-0000-0000-00006B170000}"/>
    <cellStyle name="Total 3 2 5" xfId="2827" xr:uid="{00000000-0005-0000-0000-00006C170000}"/>
    <cellStyle name="Total 3 2 5 2" xfId="4749" xr:uid="{00000000-0005-0000-0000-00006D170000}"/>
    <cellStyle name="Total 3 2 6" xfId="2304" xr:uid="{00000000-0005-0000-0000-00006E170000}"/>
    <cellStyle name="Total 3 2 6 2" xfId="4239" xr:uid="{00000000-0005-0000-0000-00006F170000}"/>
    <cellStyle name="Total 3 2 7" xfId="2871" xr:uid="{00000000-0005-0000-0000-000070170000}"/>
    <cellStyle name="Total 3 2 7 2" xfId="4792" xr:uid="{00000000-0005-0000-0000-000071170000}"/>
    <cellStyle name="Total 3 2 8" xfId="3285" xr:uid="{00000000-0005-0000-0000-000072170000}"/>
    <cellStyle name="Total 3 3" xfId="1150" xr:uid="{00000000-0005-0000-0000-000073170000}"/>
    <cellStyle name="Total 3 3 2" xfId="1864" xr:uid="{00000000-0005-0000-0000-000074170000}"/>
    <cellStyle name="Total 3 3 2 2" xfId="3809" xr:uid="{00000000-0005-0000-0000-000075170000}"/>
    <cellStyle name="Total 3 3 3" xfId="2103" xr:uid="{00000000-0005-0000-0000-000076170000}"/>
    <cellStyle name="Total 3 3 3 2" xfId="4047" xr:uid="{00000000-0005-0000-0000-000077170000}"/>
    <cellStyle name="Total 3 3 4" xfId="1578" xr:uid="{00000000-0005-0000-0000-000078170000}"/>
    <cellStyle name="Total 3 3 4 2" xfId="3532" xr:uid="{00000000-0005-0000-0000-000079170000}"/>
    <cellStyle name="Total 3 3 5" xfId="2798" xr:uid="{00000000-0005-0000-0000-00007A170000}"/>
    <cellStyle name="Total 3 3 5 2" xfId="4722" xr:uid="{00000000-0005-0000-0000-00007B170000}"/>
    <cellStyle name="Total 3 3 6" xfId="2419" xr:uid="{00000000-0005-0000-0000-00007C170000}"/>
    <cellStyle name="Total 3 3 6 2" xfId="4351" xr:uid="{00000000-0005-0000-0000-00007D170000}"/>
    <cellStyle name="Total 3 3 7" xfId="2652" xr:uid="{00000000-0005-0000-0000-00007E170000}"/>
    <cellStyle name="Total 3 3 7 2" xfId="4579" xr:uid="{00000000-0005-0000-0000-00007F170000}"/>
    <cellStyle name="Total 3 3 8" xfId="3207" xr:uid="{00000000-0005-0000-0000-000080170000}"/>
    <cellStyle name="Total 3 4" xfId="1491" xr:uid="{00000000-0005-0000-0000-000081170000}"/>
    <cellStyle name="Total 3 4 2" xfId="3445" xr:uid="{00000000-0005-0000-0000-000082170000}"/>
    <cellStyle name="Total 3 5" xfId="1482" xr:uid="{00000000-0005-0000-0000-000083170000}"/>
    <cellStyle name="Total 3 5 2" xfId="3436" xr:uid="{00000000-0005-0000-0000-000084170000}"/>
    <cellStyle name="Total 3 6" xfId="2119" xr:uid="{00000000-0005-0000-0000-000085170000}"/>
    <cellStyle name="Total 3 6 2" xfId="4063" xr:uid="{00000000-0005-0000-0000-000086170000}"/>
    <cellStyle name="Total 3 7" xfId="2291" xr:uid="{00000000-0005-0000-0000-000087170000}"/>
    <cellStyle name="Total 3 7 2" xfId="4226" xr:uid="{00000000-0005-0000-0000-000088170000}"/>
    <cellStyle name="Total 3 8" xfId="2265" xr:uid="{00000000-0005-0000-0000-000089170000}"/>
    <cellStyle name="Total 3 8 2" xfId="4200" xr:uid="{00000000-0005-0000-0000-00008A170000}"/>
    <cellStyle name="Total 3 9" xfId="2210" xr:uid="{00000000-0005-0000-0000-00008B170000}"/>
    <cellStyle name="Total 3 9 2" xfId="4151" xr:uid="{00000000-0005-0000-0000-00008C170000}"/>
    <cellStyle name="Total 30" xfId="5014" xr:uid="{00000000-0005-0000-0000-00008D170000}"/>
    <cellStyle name="Total 31" xfId="5010" xr:uid="{00000000-0005-0000-0000-00008E170000}"/>
    <cellStyle name="Total 32" xfId="5015" xr:uid="{00000000-0005-0000-0000-00008F170000}"/>
    <cellStyle name="Total 33" xfId="5011" xr:uid="{00000000-0005-0000-0000-000090170000}"/>
    <cellStyle name="Total 34" xfId="5017" xr:uid="{00000000-0005-0000-0000-000091170000}"/>
    <cellStyle name="Total 35" xfId="5012" xr:uid="{00000000-0005-0000-0000-000092170000}"/>
    <cellStyle name="Total 36" xfId="5018" xr:uid="{00000000-0005-0000-0000-000093170000}"/>
    <cellStyle name="Total 37" xfId="5019" xr:uid="{00000000-0005-0000-0000-000094170000}"/>
    <cellStyle name="Total 38" xfId="5020" xr:uid="{00000000-0005-0000-0000-000095170000}"/>
    <cellStyle name="Total 39" xfId="5021" xr:uid="{00000000-0005-0000-0000-000096170000}"/>
    <cellStyle name="Total 4" xfId="377" xr:uid="{00000000-0005-0000-0000-000097170000}"/>
    <cellStyle name="Total 4 10" xfId="2209" xr:uid="{00000000-0005-0000-0000-000098170000}"/>
    <cellStyle name="Total 4 10 2" xfId="4150" xr:uid="{00000000-0005-0000-0000-000099170000}"/>
    <cellStyle name="Total 4 11" xfId="2937" xr:uid="{00000000-0005-0000-0000-00009A170000}"/>
    <cellStyle name="Total 4 12" xfId="4869" xr:uid="{00000000-0005-0000-0000-00009B170000}"/>
    <cellStyle name="Total 4 2" xfId="1250" xr:uid="{00000000-0005-0000-0000-00009C170000}"/>
    <cellStyle name="Total 4 2 2" xfId="1945" xr:uid="{00000000-0005-0000-0000-00009D170000}"/>
    <cellStyle name="Total 4 2 2 2" xfId="3889" xr:uid="{00000000-0005-0000-0000-00009E170000}"/>
    <cellStyle name="Total 4 2 3" xfId="2122" xr:uid="{00000000-0005-0000-0000-00009F170000}"/>
    <cellStyle name="Total 4 2 3 2" xfId="4066" xr:uid="{00000000-0005-0000-0000-0000A0170000}"/>
    <cellStyle name="Total 4 2 4" xfId="1540" xr:uid="{00000000-0005-0000-0000-0000A1170000}"/>
    <cellStyle name="Total 4 2 4 2" xfId="3494" xr:uid="{00000000-0005-0000-0000-0000A2170000}"/>
    <cellStyle name="Total 4 2 5" xfId="2826" xr:uid="{00000000-0005-0000-0000-0000A3170000}"/>
    <cellStyle name="Total 4 2 5 2" xfId="4748" xr:uid="{00000000-0005-0000-0000-0000A4170000}"/>
    <cellStyle name="Total 4 2 6" xfId="2303" xr:uid="{00000000-0005-0000-0000-0000A5170000}"/>
    <cellStyle name="Total 4 2 6 2" xfId="4238" xr:uid="{00000000-0005-0000-0000-0000A6170000}"/>
    <cellStyle name="Total 4 2 7" xfId="2880" xr:uid="{00000000-0005-0000-0000-0000A7170000}"/>
    <cellStyle name="Total 4 2 7 2" xfId="4801" xr:uid="{00000000-0005-0000-0000-0000A8170000}"/>
    <cellStyle name="Total 4 2 8" xfId="3284" xr:uid="{00000000-0005-0000-0000-0000A9170000}"/>
    <cellStyle name="Total 4 3" xfId="1220" xr:uid="{00000000-0005-0000-0000-0000AA170000}"/>
    <cellStyle name="Total 4 3 2" xfId="1932" xr:uid="{00000000-0005-0000-0000-0000AB170000}"/>
    <cellStyle name="Total 4 3 2 2" xfId="3877" xr:uid="{00000000-0005-0000-0000-0000AC170000}"/>
    <cellStyle name="Total 4 3 3" xfId="2117" xr:uid="{00000000-0005-0000-0000-0000AD170000}"/>
    <cellStyle name="Total 4 3 3 2" xfId="4061" xr:uid="{00000000-0005-0000-0000-0000AE170000}"/>
    <cellStyle name="Total 4 3 4" xfId="1579" xr:uid="{00000000-0005-0000-0000-0000AF170000}"/>
    <cellStyle name="Total 4 3 4 2" xfId="3533" xr:uid="{00000000-0005-0000-0000-0000B0170000}"/>
    <cellStyle name="Total 4 3 5" xfId="2822" xr:uid="{00000000-0005-0000-0000-0000B1170000}"/>
    <cellStyle name="Total 4 3 5 2" xfId="4744" xr:uid="{00000000-0005-0000-0000-0000B2170000}"/>
    <cellStyle name="Total 4 3 6" xfId="2328" xr:uid="{00000000-0005-0000-0000-0000B3170000}"/>
    <cellStyle name="Total 4 3 6 2" xfId="4261" xr:uid="{00000000-0005-0000-0000-0000B4170000}"/>
    <cellStyle name="Total 4 3 7" xfId="2172" xr:uid="{00000000-0005-0000-0000-0000B5170000}"/>
    <cellStyle name="Total 4 3 7 2" xfId="4114" xr:uid="{00000000-0005-0000-0000-0000B6170000}"/>
    <cellStyle name="Total 4 3 8" xfId="3274" xr:uid="{00000000-0005-0000-0000-0000B7170000}"/>
    <cellStyle name="Total 4 4" xfId="1535" xr:uid="{00000000-0005-0000-0000-0000B8170000}"/>
    <cellStyle name="Total 4 4 2" xfId="3489" xr:uid="{00000000-0005-0000-0000-0000B9170000}"/>
    <cellStyle name="Total 4 5" xfId="1561" xr:uid="{00000000-0005-0000-0000-0000BA170000}"/>
    <cellStyle name="Total 4 5 2" xfId="3515" xr:uid="{00000000-0005-0000-0000-0000BB170000}"/>
    <cellStyle name="Total 4 6" xfId="2084" xr:uid="{00000000-0005-0000-0000-0000BC170000}"/>
    <cellStyle name="Total 4 6 2" xfId="4028" xr:uid="{00000000-0005-0000-0000-0000BD170000}"/>
    <cellStyle name="Total 4 7" xfId="2372" xr:uid="{00000000-0005-0000-0000-0000BE170000}"/>
    <cellStyle name="Total 4 7 2" xfId="4304" xr:uid="{00000000-0005-0000-0000-0000BF170000}"/>
    <cellStyle name="Total 4 8" xfId="2551" xr:uid="{00000000-0005-0000-0000-0000C0170000}"/>
    <cellStyle name="Total 4 8 2" xfId="4480" xr:uid="{00000000-0005-0000-0000-0000C1170000}"/>
    <cellStyle name="Total 4 9" xfId="2872" xr:uid="{00000000-0005-0000-0000-0000C2170000}"/>
    <cellStyle name="Total 4 9 2" xfId="4793" xr:uid="{00000000-0005-0000-0000-0000C3170000}"/>
    <cellStyle name="Total 40" xfId="5022" xr:uid="{00000000-0005-0000-0000-0000C4170000}"/>
    <cellStyle name="Total 41" xfId="5024" xr:uid="{00000000-0005-0000-0000-0000C5170000}"/>
    <cellStyle name="Total 42" xfId="5025" xr:uid="{00000000-0005-0000-0000-0000C6170000}"/>
    <cellStyle name="Total 43" xfId="5027" xr:uid="{00000000-0005-0000-0000-0000C7170000}"/>
    <cellStyle name="Total 44" xfId="5013" xr:uid="{00000000-0005-0000-0000-0000C8170000}"/>
    <cellStyle name="Total 45" xfId="5028" xr:uid="{00000000-0005-0000-0000-0000C9170000}"/>
    <cellStyle name="Total 46" xfId="5016" xr:uid="{00000000-0005-0000-0000-0000CA170000}"/>
    <cellStyle name="Total 47" xfId="5053" xr:uid="{00000000-0005-0000-0000-0000CB170000}"/>
    <cellStyle name="Total 48" xfId="5056" xr:uid="{00000000-0005-0000-0000-0000CC170000}"/>
    <cellStyle name="Total 49" xfId="5054" xr:uid="{00000000-0005-0000-0000-0000CD170000}"/>
    <cellStyle name="Total 5" xfId="378" xr:uid="{00000000-0005-0000-0000-0000CE170000}"/>
    <cellStyle name="Total 5 10" xfId="2167" xr:uid="{00000000-0005-0000-0000-0000CF170000}"/>
    <cellStyle name="Total 5 10 2" xfId="4110" xr:uid="{00000000-0005-0000-0000-0000D0170000}"/>
    <cellStyle name="Total 5 11" xfId="2938" xr:uid="{00000000-0005-0000-0000-0000D1170000}"/>
    <cellStyle name="Total 5 2" xfId="1247" xr:uid="{00000000-0005-0000-0000-0000D2170000}"/>
    <cellStyle name="Total 5 2 2" xfId="1943" xr:uid="{00000000-0005-0000-0000-0000D3170000}"/>
    <cellStyle name="Total 5 2 2 2" xfId="3887" xr:uid="{00000000-0005-0000-0000-0000D4170000}"/>
    <cellStyle name="Total 5 2 3" xfId="2121" xr:uid="{00000000-0005-0000-0000-0000D5170000}"/>
    <cellStyle name="Total 5 2 3 2" xfId="4065" xr:uid="{00000000-0005-0000-0000-0000D6170000}"/>
    <cellStyle name="Total 5 2 4" xfId="1594" xr:uid="{00000000-0005-0000-0000-0000D7170000}"/>
    <cellStyle name="Total 5 2 4 2" xfId="3548" xr:uid="{00000000-0005-0000-0000-0000D8170000}"/>
    <cellStyle name="Total 5 2 5" xfId="2825" xr:uid="{00000000-0005-0000-0000-0000D9170000}"/>
    <cellStyle name="Total 5 2 5 2" xfId="4747" xr:uid="{00000000-0005-0000-0000-0000DA170000}"/>
    <cellStyle name="Total 5 2 6" xfId="2232" xr:uid="{00000000-0005-0000-0000-0000DB170000}"/>
    <cellStyle name="Total 5 2 6 2" xfId="4170" xr:uid="{00000000-0005-0000-0000-0000DC170000}"/>
    <cellStyle name="Total 5 2 7" xfId="2262" xr:uid="{00000000-0005-0000-0000-0000DD170000}"/>
    <cellStyle name="Total 5 2 7 2" xfId="4197" xr:uid="{00000000-0005-0000-0000-0000DE170000}"/>
    <cellStyle name="Total 5 2 8" xfId="3282" xr:uid="{00000000-0005-0000-0000-0000DF170000}"/>
    <cellStyle name="Total 5 3" xfId="1221" xr:uid="{00000000-0005-0000-0000-0000E0170000}"/>
    <cellStyle name="Total 5 3 2" xfId="1933" xr:uid="{00000000-0005-0000-0000-0000E1170000}"/>
    <cellStyle name="Total 5 3 2 2" xfId="3878" xr:uid="{00000000-0005-0000-0000-0000E2170000}"/>
    <cellStyle name="Total 5 3 3" xfId="2118" xr:uid="{00000000-0005-0000-0000-0000E3170000}"/>
    <cellStyle name="Total 5 3 3 2" xfId="4062" xr:uid="{00000000-0005-0000-0000-0000E4170000}"/>
    <cellStyle name="Total 5 3 4" xfId="1580" xr:uid="{00000000-0005-0000-0000-0000E5170000}"/>
    <cellStyle name="Total 5 3 4 2" xfId="3534" xr:uid="{00000000-0005-0000-0000-0000E6170000}"/>
    <cellStyle name="Total 5 3 5" xfId="2823" xr:uid="{00000000-0005-0000-0000-0000E7170000}"/>
    <cellStyle name="Total 5 3 5 2" xfId="4745" xr:uid="{00000000-0005-0000-0000-0000E8170000}"/>
    <cellStyle name="Total 5 3 6" xfId="2329" xr:uid="{00000000-0005-0000-0000-0000E9170000}"/>
    <cellStyle name="Total 5 3 6 2" xfId="4262" xr:uid="{00000000-0005-0000-0000-0000EA170000}"/>
    <cellStyle name="Total 5 3 7" xfId="2774" xr:uid="{00000000-0005-0000-0000-0000EB170000}"/>
    <cellStyle name="Total 5 3 7 2" xfId="4699" xr:uid="{00000000-0005-0000-0000-0000EC170000}"/>
    <cellStyle name="Total 5 3 8" xfId="3275" xr:uid="{00000000-0005-0000-0000-0000ED170000}"/>
    <cellStyle name="Total 5 4" xfId="1536" xr:uid="{00000000-0005-0000-0000-0000EE170000}"/>
    <cellStyle name="Total 5 4 2" xfId="3490" xr:uid="{00000000-0005-0000-0000-0000EF170000}"/>
    <cellStyle name="Total 5 5" xfId="1559" xr:uid="{00000000-0005-0000-0000-0000F0170000}"/>
    <cellStyle name="Total 5 5 2" xfId="3513" xr:uid="{00000000-0005-0000-0000-0000F1170000}"/>
    <cellStyle name="Total 5 6" xfId="1615" xr:uid="{00000000-0005-0000-0000-0000F2170000}"/>
    <cellStyle name="Total 5 6 2" xfId="3568" xr:uid="{00000000-0005-0000-0000-0000F3170000}"/>
    <cellStyle name="Total 5 7" xfId="2371" xr:uid="{00000000-0005-0000-0000-0000F4170000}"/>
    <cellStyle name="Total 5 7 2" xfId="4303" xr:uid="{00000000-0005-0000-0000-0000F5170000}"/>
    <cellStyle name="Total 5 8" xfId="2248" xr:uid="{00000000-0005-0000-0000-0000F6170000}"/>
    <cellStyle name="Total 5 8 2" xfId="4183" xr:uid="{00000000-0005-0000-0000-0000F7170000}"/>
    <cellStyle name="Total 5 9" xfId="2298" xr:uid="{00000000-0005-0000-0000-0000F8170000}"/>
    <cellStyle name="Total 5 9 2" xfId="4233" xr:uid="{00000000-0005-0000-0000-0000F9170000}"/>
    <cellStyle name="Total 50" xfId="5085" xr:uid="{00000000-0005-0000-0000-0000FA170000}"/>
    <cellStyle name="Total 51" xfId="5087" xr:uid="{00000000-0005-0000-0000-0000FB170000}"/>
    <cellStyle name="Total 52" xfId="5125" xr:uid="{00000000-0005-0000-0000-0000FC170000}"/>
    <cellStyle name="Total 53" xfId="5128" xr:uid="{00000000-0005-0000-0000-0000FD170000}"/>
    <cellStyle name="Total 54" xfId="5126" xr:uid="{00000000-0005-0000-0000-0000FE170000}"/>
    <cellStyle name="Total 6" xfId="4866" xr:uid="{00000000-0005-0000-0000-0000FF170000}"/>
    <cellStyle name="Total 7" xfId="4871" xr:uid="{00000000-0005-0000-0000-000000180000}"/>
    <cellStyle name="Total 8" xfId="4881" xr:uid="{00000000-0005-0000-0000-000001180000}"/>
    <cellStyle name="Total 9" xfId="4873" xr:uid="{00000000-0005-0000-0000-000002180000}"/>
    <cellStyle name="USD" xfId="563" xr:uid="{00000000-0005-0000-0000-000003180000}"/>
    <cellStyle name="USD 2" xfId="5366" xr:uid="{00000000-0005-0000-0000-000004180000}"/>
    <cellStyle name="USD Paren" xfId="564" xr:uid="{00000000-0005-0000-0000-000005180000}"/>
    <cellStyle name="USD_Min Fin Restructuring v6" xfId="565" xr:uid="{00000000-0005-0000-0000-000006180000}"/>
    <cellStyle name="V¡rgula" xfId="566" xr:uid="{00000000-0005-0000-0000-000007180000}"/>
    <cellStyle name="V¡rgula0" xfId="567" xr:uid="{00000000-0005-0000-0000-000008180000}"/>
    <cellStyle name="vaca" xfId="568" xr:uid="{00000000-0005-0000-0000-000009180000}"/>
    <cellStyle name="vaca 2" xfId="5367" xr:uid="{00000000-0005-0000-0000-00000A180000}"/>
    <cellStyle name="Vírgula" xfId="569" xr:uid="{00000000-0005-0000-0000-00000B180000}"/>
    <cellStyle name="Warning Text 2" xfId="173" xr:uid="{00000000-0005-0000-0000-00000C180000}"/>
    <cellStyle name="Warning Text 2 2" xfId="5368" xr:uid="{00000000-0005-0000-0000-00000D180000}"/>
    <cellStyle name="Warning Text 3" xfId="174" xr:uid="{00000000-0005-0000-0000-00000E180000}"/>
    <cellStyle name="Warning Text 3 2" xfId="5369" xr:uid="{00000000-0005-0000-0000-00000F180000}"/>
    <cellStyle name="Warning Text 4" xfId="379" xr:uid="{00000000-0005-0000-0000-000010180000}"/>
    <cellStyle name="Warning Text 5" xfId="380" xr:uid="{00000000-0005-0000-0000-000011180000}"/>
    <cellStyle name="WebAnchor1" xfId="5621" xr:uid="{00000000-0005-0000-0000-000012180000}"/>
    <cellStyle name="WebAnchor2" xfId="5622" xr:uid="{00000000-0005-0000-0000-000013180000}"/>
    <cellStyle name="WebAnchor3" xfId="5623" xr:uid="{00000000-0005-0000-0000-000014180000}"/>
    <cellStyle name="WebAnchor4" xfId="5624" xr:uid="{00000000-0005-0000-0000-000015180000}"/>
    <cellStyle name="WebAnchor5" xfId="5625" xr:uid="{00000000-0005-0000-0000-000016180000}"/>
    <cellStyle name="WebAnchor6" xfId="5626" xr:uid="{00000000-0005-0000-0000-000017180000}"/>
    <cellStyle name="WebAnchor7" xfId="5627" xr:uid="{00000000-0005-0000-0000-000018180000}"/>
    <cellStyle name="Webexclude" xfId="5628" xr:uid="{00000000-0005-0000-0000-000019180000}"/>
    <cellStyle name="WebFN" xfId="5629" xr:uid="{00000000-0005-0000-0000-00001A180000}"/>
    <cellStyle name="WebFN1" xfId="5630" xr:uid="{00000000-0005-0000-0000-00001B180000}"/>
    <cellStyle name="WebFN2" xfId="5631" xr:uid="{00000000-0005-0000-0000-00001C180000}"/>
    <cellStyle name="WebFN3" xfId="5632" xr:uid="{00000000-0005-0000-0000-00001D180000}"/>
    <cellStyle name="WebFN4" xfId="5633" xr:uid="{00000000-0005-0000-0000-00001E180000}"/>
    <cellStyle name="WebHR" xfId="5634" xr:uid="{00000000-0005-0000-0000-00001F180000}"/>
    <cellStyle name="WebIndent1" xfId="5635" xr:uid="{00000000-0005-0000-0000-000020180000}"/>
    <cellStyle name="WebIndent1wFN3" xfId="5636" xr:uid="{00000000-0005-0000-0000-000021180000}"/>
    <cellStyle name="WebIndent2" xfId="5637" xr:uid="{00000000-0005-0000-0000-000022180000}"/>
    <cellStyle name="WebNoBR" xfId="5638" xr:uid="{00000000-0005-0000-0000-000023180000}"/>
    <cellStyle name="ДАТА" xfId="570" xr:uid="{00000000-0005-0000-0000-000024180000}"/>
    <cellStyle name="ДАТА 2" xfId="5192" xr:uid="{00000000-0005-0000-0000-000025180000}"/>
    <cellStyle name="ДЕНЕЖНЫЙ_BOPENGC" xfId="571" xr:uid="{00000000-0005-0000-0000-000026180000}"/>
    <cellStyle name="ЗАГОЛОВОК1" xfId="572" xr:uid="{00000000-0005-0000-0000-000027180000}"/>
    <cellStyle name="ЗАГОЛОВОК1 2" xfId="5193" xr:uid="{00000000-0005-0000-0000-000028180000}"/>
    <cellStyle name="ЗАГОЛОВОК2" xfId="573" xr:uid="{00000000-0005-0000-0000-000029180000}"/>
    <cellStyle name="ЗАГОЛОВОК2 2" xfId="5194" xr:uid="{00000000-0005-0000-0000-00002A180000}"/>
    <cellStyle name="ИТОГОВЫЙ" xfId="574" xr:uid="{00000000-0005-0000-0000-00002B180000}"/>
    <cellStyle name="ИТОГОВЫЙ 2" xfId="5195" xr:uid="{00000000-0005-0000-0000-00002C180000}"/>
    <cellStyle name="Обычный_BARNARD" xfId="575" xr:uid="{00000000-0005-0000-0000-00002D180000}"/>
    <cellStyle name="ПРОЦЕНТНЫЙ_BOPENGC" xfId="576" xr:uid="{00000000-0005-0000-0000-00002E180000}"/>
    <cellStyle name="ТЕКСТ" xfId="577" xr:uid="{00000000-0005-0000-0000-00002F180000}"/>
    <cellStyle name="ТЕКСТ 2" xfId="5196" xr:uid="{00000000-0005-0000-0000-000030180000}"/>
    <cellStyle name="ФИКСИРОВАННЫЙ" xfId="578" xr:uid="{00000000-0005-0000-0000-000031180000}"/>
    <cellStyle name="ФИНАНСОВЫЙ_BOPENGC" xfId="579" xr:uid="{00000000-0005-0000-0000-00003218000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9" defaultPivotStyle="PivotStyleLight16"/>
  <colors>
    <mruColors>
      <color rgb="FFFFFFFF"/>
      <color rgb="FFFF3300"/>
      <color rgb="FFCC6600"/>
      <color rgb="FFCC99FF"/>
      <color rgb="FFCCCC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53.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externalLink" Target="externalLinks/externalLink95.xml"/><Relationship Id="rId170" Type="http://schemas.openxmlformats.org/officeDocument/2006/relationships/externalLink" Target="externalLinks/externalLink106.xml"/><Relationship Id="rId226" Type="http://schemas.openxmlformats.org/officeDocument/2006/relationships/externalLink" Target="externalLinks/externalLink162.xml"/><Relationship Id="rId107" Type="http://schemas.openxmlformats.org/officeDocument/2006/relationships/externalLink" Target="externalLinks/externalLink43.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externalLink" Target="externalLinks/externalLink10.xml"/><Relationship Id="rId128" Type="http://schemas.openxmlformats.org/officeDocument/2006/relationships/externalLink" Target="externalLinks/externalLink64.xml"/><Relationship Id="rId149" Type="http://schemas.openxmlformats.org/officeDocument/2006/relationships/externalLink" Target="externalLinks/externalLink85.xml"/><Relationship Id="rId5" Type="http://schemas.openxmlformats.org/officeDocument/2006/relationships/worksheet" Target="worksheets/sheet5.xml"/><Relationship Id="rId95" Type="http://schemas.openxmlformats.org/officeDocument/2006/relationships/externalLink" Target="externalLinks/externalLink31.xml"/><Relationship Id="rId160" Type="http://schemas.openxmlformats.org/officeDocument/2006/relationships/externalLink" Target="externalLinks/externalLink96.xml"/><Relationship Id="rId181" Type="http://schemas.openxmlformats.org/officeDocument/2006/relationships/externalLink" Target="externalLinks/externalLink117.xml"/><Relationship Id="rId216" Type="http://schemas.openxmlformats.org/officeDocument/2006/relationships/externalLink" Target="externalLinks/externalLink152.xml"/><Relationship Id="rId237" Type="http://schemas.openxmlformats.org/officeDocument/2006/relationships/externalLink" Target="externalLinks/externalLink173.xml"/><Relationship Id="rId258" Type="http://schemas.openxmlformats.org/officeDocument/2006/relationships/theme" Target="theme/theme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externalLink" Target="externalLinks/externalLink54.xml"/><Relationship Id="rId139" Type="http://schemas.openxmlformats.org/officeDocument/2006/relationships/externalLink" Target="externalLinks/externalLink75.xml"/><Relationship Id="rId85" Type="http://schemas.openxmlformats.org/officeDocument/2006/relationships/externalLink" Target="externalLinks/externalLink21.xml"/><Relationship Id="rId150" Type="http://schemas.openxmlformats.org/officeDocument/2006/relationships/externalLink" Target="externalLinks/externalLink86.xml"/><Relationship Id="rId171" Type="http://schemas.openxmlformats.org/officeDocument/2006/relationships/externalLink" Target="externalLinks/externalLink107.xml"/><Relationship Id="rId192" Type="http://schemas.openxmlformats.org/officeDocument/2006/relationships/externalLink" Target="externalLinks/externalLink128.xml"/><Relationship Id="rId206" Type="http://schemas.openxmlformats.org/officeDocument/2006/relationships/externalLink" Target="externalLinks/externalLink142.xml"/><Relationship Id="rId227" Type="http://schemas.openxmlformats.org/officeDocument/2006/relationships/externalLink" Target="externalLinks/externalLink163.xml"/><Relationship Id="rId248" Type="http://schemas.openxmlformats.org/officeDocument/2006/relationships/externalLink" Target="externalLinks/externalLink184.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externalLink" Target="externalLinks/externalLink44.xml"/><Relationship Id="rId129" Type="http://schemas.openxmlformats.org/officeDocument/2006/relationships/externalLink" Target="externalLinks/externalLink65.xml"/><Relationship Id="rId54" Type="http://schemas.openxmlformats.org/officeDocument/2006/relationships/worksheet" Target="worksheets/sheet54.xml"/><Relationship Id="rId75" Type="http://schemas.openxmlformats.org/officeDocument/2006/relationships/externalLink" Target="externalLinks/externalLink11.xml"/><Relationship Id="rId96" Type="http://schemas.openxmlformats.org/officeDocument/2006/relationships/externalLink" Target="externalLinks/externalLink32.xml"/><Relationship Id="rId140" Type="http://schemas.openxmlformats.org/officeDocument/2006/relationships/externalLink" Target="externalLinks/externalLink76.xml"/><Relationship Id="rId161" Type="http://schemas.openxmlformats.org/officeDocument/2006/relationships/externalLink" Target="externalLinks/externalLink97.xml"/><Relationship Id="rId182" Type="http://schemas.openxmlformats.org/officeDocument/2006/relationships/externalLink" Target="externalLinks/externalLink118.xml"/><Relationship Id="rId217" Type="http://schemas.openxmlformats.org/officeDocument/2006/relationships/externalLink" Target="externalLinks/externalLink153.xml"/><Relationship Id="rId6" Type="http://schemas.openxmlformats.org/officeDocument/2006/relationships/worksheet" Target="worksheets/sheet6.xml"/><Relationship Id="rId238" Type="http://schemas.openxmlformats.org/officeDocument/2006/relationships/externalLink" Target="externalLinks/externalLink174.xml"/><Relationship Id="rId259" Type="http://schemas.openxmlformats.org/officeDocument/2006/relationships/connections" Target="connections.xml"/><Relationship Id="rId23" Type="http://schemas.openxmlformats.org/officeDocument/2006/relationships/worksheet" Target="worksheets/sheet23.xml"/><Relationship Id="rId119" Type="http://schemas.openxmlformats.org/officeDocument/2006/relationships/externalLink" Target="externalLinks/externalLink55.xml"/><Relationship Id="rId44" Type="http://schemas.openxmlformats.org/officeDocument/2006/relationships/worksheet" Target="worksheets/sheet44.xml"/><Relationship Id="rId65" Type="http://schemas.openxmlformats.org/officeDocument/2006/relationships/externalLink" Target="externalLinks/externalLink1.xml"/><Relationship Id="rId86" Type="http://schemas.openxmlformats.org/officeDocument/2006/relationships/externalLink" Target="externalLinks/externalLink22.xml"/><Relationship Id="rId130" Type="http://schemas.openxmlformats.org/officeDocument/2006/relationships/externalLink" Target="externalLinks/externalLink66.xml"/><Relationship Id="rId151" Type="http://schemas.openxmlformats.org/officeDocument/2006/relationships/externalLink" Target="externalLinks/externalLink87.xml"/><Relationship Id="rId172" Type="http://schemas.openxmlformats.org/officeDocument/2006/relationships/externalLink" Target="externalLinks/externalLink108.xml"/><Relationship Id="rId193" Type="http://schemas.openxmlformats.org/officeDocument/2006/relationships/externalLink" Target="externalLinks/externalLink129.xml"/><Relationship Id="rId207" Type="http://schemas.openxmlformats.org/officeDocument/2006/relationships/externalLink" Target="externalLinks/externalLink143.xml"/><Relationship Id="rId228" Type="http://schemas.openxmlformats.org/officeDocument/2006/relationships/externalLink" Target="externalLinks/externalLink164.xml"/><Relationship Id="rId249" Type="http://schemas.openxmlformats.org/officeDocument/2006/relationships/externalLink" Target="externalLinks/externalLink185.xml"/><Relationship Id="rId13" Type="http://schemas.openxmlformats.org/officeDocument/2006/relationships/worksheet" Target="worksheets/sheet13.xml"/><Relationship Id="rId109" Type="http://schemas.openxmlformats.org/officeDocument/2006/relationships/externalLink" Target="externalLinks/externalLink45.xml"/><Relationship Id="rId260" Type="http://schemas.openxmlformats.org/officeDocument/2006/relationships/styles" Target="styles.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externalLink" Target="externalLinks/externalLink12.xml"/><Relationship Id="rId97" Type="http://schemas.openxmlformats.org/officeDocument/2006/relationships/externalLink" Target="externalLinks/externalLink33.xml"/><Relationship Id="rId120" Type="http://schemas.openxmlformats.org/officeDocument/2006/relationships/externalLink" Target="externalLinks/externalLink56.xml"/><Relationship Id="rId141" Type="http://schemas.openxmlformats.org/officeDocument/2006/relationships/externalLink" Target="externalLinks/externalLink77.xml"/><Relationship Id="rId7" Type="http://schemas.openxmlformats.org/officeDocument/2006/relationships/worksheet" Target="worksheets/sheet7.xml"/><Relationship Id="rId162" Type="http://schemas.openxmlformats.org/officeDocument/2006/relationships/externalLink" Target="externalLinks/externalLink98.xml"/><Relationship Id="rId183" Type="http://schemas.openxmlformats.org/officeDocument/2006/relationships/externalLink" Target="externalLinks/externalLink119.xml"/><Relationship Id="rId218" Type="http://schemas.openxmlformats.org/officeDocument/2006/relationships/externalLink" Target="externalLinks/externalLink154.xml"/><Relationship Id="rId239" Type="http://schemas.openxmlformats.org/officeDocument/2006/relationships/externalLink" Target="externalLinks/externalLink175.xml"/><Relationship Id="rId250" Type="http://schemas.openxmlformats.org/officeDocument/2006/relationships/externalLink" Target="externalLinks/externalLink18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externalLink" Target="externalLinks/externalLink2.xml"/><Relationship Id="rId87" Type="http://schemas.openxmlformats.org/officeDocument/2006/relationships/externalLink" Target="externalLinks/externalLink23.xml"/><Relationship Id="rId110" Type="http://schemas.openxmlformats.org/officeDocument/2006/relationships/externalLink" Target="externalLinks/externalLink46.xml"/><Relationship Id="rId131" Type="http://schemas.openxmlformats.org/officeDocument/2006/relationships/externalLink" Target="externalLinks/externalLink67.xml"/><Relationship Id="rId152" Type="http://schemas.openxmlformats.org/officeDocument/2006/relationships/externalLink" Target="externalLinks/externalLink88.xml"/><Relationship Id="rId173" Type="http://schemas.openxmlformats.org/officeDocument/2006/relationships/externalLink" Target="externalLinks/externalLink109.xml"/><Relationship Id="rId194" Type="http://schemas.openxmlformats.org/officeDocument/2006/relationships/externalLink" Target="externalLinks/externalLink130.xml"/><Relationship Id="rId208" Type="http://schemas.openxmlformats.org/officeDocument/2006/relationships/externalLink" Target="externalLinks/externalLink144.xml"/><Relationship Id="rId229" Type="http://schemas.openxmlformats.org/officeDocument/2006/relationships/externalLink" Target="externalLinks/externalLink165.xml"/><Relationship Id="rId240" Type="http://schemas.openxmlformats.org/officeDocument/2006/relationships/externalLink" Target="externalLinks/externalLink176.xml"/><Relationship Id="rId261" Type="http://schemas.openxmlformats.org/officeDocument/2006/relationships/sharedStrings" Target="sharedStrings.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13.xml"/><Relationship Id="rId100" Type="http://schemas.openxmlformats.org/officeDocument/2006/relationships/externalLink" Target="externalLinks/externalLink36.xml"/><Relationship Id="rId8" Type="http://schemas.openxmlformats.org/officeDocument/2006/relationships/worksheet" Target="worksheets/sheet8.xml"/><Relationship Id="rId98" Type="http://schemas.openxmlformats.org/officeDocument/2006/relationships/externalLink" Target="externalLinks/externalLink34.xml"/><Relationship Id="rId121" Type="http://schemas.openxmlformats.org/officeDocument/2006/relationships/externalLink" Target="externalLinks/externalLink57.xml"/><Relationship Id="rId142" Type="http://schemas.openxmlformats.org/officeDocument/2006/relationships/externalLink" Target="externalLinks/externalLink78.xml"/><Relationship Id="rId163" Type="http://schemas.openxmlformats.org/officeDocument/2006/relationships/externalLink" Target="externalLinks/externalLink99.xml"/><Relationship Id="rId184" Type="http://schemas.openxmlformats.org/officeDocument/2006/relationships/externalLink" Target="externalLinks/externalLink120.xml"/><Relationship Id="rId219" Type="http://schemas.openxmlformats.org/officeDocument/2006/relationships/externalLink" Target="externalLinks/externalLink155.xml"/><Relationship Id="rId230" Type="http://schemas.openxmlformats.org/officeDocument/2006/relationships/externalLink" Target="externalLinks/externalLink166.xml"/><Relationship Id="rId251" Type="http://schemas.openxmlformats.org/officeDocument/2006/relationships/externalLink" Target="externalLinks/externalLink187.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3.xml"/><Relationship Id="rId88" Type="http://schemas.openxmlformats.org/officeDocument/2006/relationships/externalLink" Target="externalLinks/externalLink24.xml"/><Relationship Id="rId111" Type="http://schemas.openxmlformats.org/officeDocument/2006/relationships/externalLink" Target="externalLinks/externalLink47.xml"/><Relationship Id="rId132" Type="http://schemas.openxmlformats.org/officeDocument/2006/relationships/externalLink" Target="externalLinks/externalLink68.xml"/><Relationship Id="rId153" Type="http://schemas.openxmlformats.org/officeDocument/2006/relationships/externalLink" Target="externalLinks/externalLink89.xml"/><Relationship Id="rId174" Type="http://schemas.openxmlformats.org/officeDocument/2006/relationships/externalLink" Target="externalLinks/externalLink110.xml"/><Relationship Id="rId195" Type="http://schemas.openxmlformats.org/officeDocument/2006/relationships/externalLink" Target="externalLinks/externalLink131.xml"/><Relationship Id="rId209" Type="http://schemas.openxmlformats.org/officeDocument/2006/relationships/externalLink" Target="externalLinks/externalLink145.xml"/><Relationship Id="rId220" Type="http://schemas.openxmlformats.org/officeDocument/2006/relationships/externalLink" Target="externalLinks/externalLink156.xml"/><Relationship Id="rId241" Type="http://schemas.openxmlformats.org/officeDocument/2006/relationships/externalLink" Target="externalLinks/externalLink17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microsoft.com/office/2017/10/relationships/person" Target="persons/person.xml"/><Relationship Id="rId78" Type="http://schemas.openxmlformats.org/officeDocument/2006/relationships/externalLink" Target="externalLinks/externalLink14.xml"/><Relationship Id="rId99" Type="http://schemas.openxmlformats.org/officeDocument/2006/relationships/externalLink" Target="externalLinks/externalLink35.xml"/><Relationship Id="rId101" Type="http://schemas.openxmlformats.org/officeDocument/2006/relationships/externalLink" Target="externalLinks/externalLink37.xml"/><Relationship Id="rId122" Type="http://schemas.openxmlformats.org/officeDocument/2006/relationships/externalLink" Target="externalLinks/externalLink58.xml"/><Relationship Id="rId143" Type="http://schemas.openxmlformats.org/officeDocument/2006/relationships/externalLink" Target="externalLinks/externalLink79.xml"/><Relationship Id="rId164" Type="http://schemas.openxmlformats.org/officeDocument/2006/relationships/externalLink" Target="externalLinks/externalLink100.xml"/><Relationship Id="rId185" Type="http://schemas.openxmlformats.org/officeDocument/2006/relationships/externalLink" Target="externalLinks/externalLink121.xml"/><Relationship Id="rId9" Type="http://schemas.openxmlformats.org/officeDocument/2006/relationships/worksheet" Target="worksheets/sheet9.xml"/><Relationship Id="rId210" Type="http://schemas.openxmlformats.org/officeDocument/2006/relationships/externalLink" Target="externalLinks/externalLink146.xml"/><Relationship Id="rId26" Type="http://schemas.openxmlformats.org/officeDocument/2006/relationships/worksheet" Target="worksheets/sheet26.xml"/><Relationship Id="rId231" Type="http://schemas.openxmlformats.org/officeDocument/2006/relationships/externalLink" Target="externalLinks/externalLink167.xml"/><Relationship Id="rId252" Type="http://schemas.openxmlformats.org/officeDocument/2006/relationships/externalLink" Target="externalLinks/externalLink188.xml"/><Relationship Id="rId47" Type="http://schemas.openxmlformats.org/officeDocument/2006/relationships/worksheet" Target="worksheets/sheet47.xml"/><Relationship Id="rId68" Type="http://schemas.openxmlformats.org/officeDocument/2006/relationships/externalLink" Target="externalLinks/externalLink4.xml"/><Relationship Id="rId89" Type="http://schemas.openxmlformats.org/officeDocument/2006/relationships/externalLink" Target="externalLinks/externalLink25.xml"/><Relationship Id="rId112" Type="http://schemas.openxmlformats.org/officeDocument/2006/relationships/externalLink" Target="externalLinks/externalLink48.xml"/><Relationship Id="rId133" Type="http://schemas.openxmlformats.org/officeDocument/2006/relationships/externalLink" Target="externalLinks/externalLink69.xml"/><Relationship Id="rId154" Type="http://schemas.openxmlformats.org/officeDocument/2006/relationships/externalLink" Target="externalLinks/externalLink90.xml"/><Relationship Id="rId175" Type="http://schemas.openxmlformats.org/officeDocument/2006/relationships/externalLink" Target="externalLinks/externalLink111.xml"/><Relationship Id="rId196" Type="http://schemas.openxmlformats.org/officeDocument/2006/relationships/externalLink" Target="externalLinks/externalLink132.xml"/><Relationship Id="rId200" Type="http://schemas.openxmlformats.org/officeDocument/2006/relationships/externalLink" Target="externalLinks/externalLink136.xml"/><Relationship Id="rId16" Type="http://schemas.openxmlformats.org/officeDocument/2006/relationships/worksheet" Target="worksheets/sheet16.xml"/><Relationship Id="rId221" Type="http://schemas.openxmlformats.org/officeDocument/2006/relationships/externalLink" Target="externalLinks/externalLink157.xml"/><Relationship Id="rId242" Type="http://schemas.openxmlformats.org/officeDocument/2006/relationships/externalLink" Target="externalLinks/externalLink178.xml"/><Relationship Id="rId263" Type="http://schemas.openxmlformats.org/officeDocument/2006/relationships/calcChain" Target="calcChain.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externalLink" Target="externalLinks/externalLink15.xml"/><Relationship Id="rId102" Type="http://schemas.openxmlformats.org/officeDocument/2006/relationships/externalLink" Target="externalLinks/externalLink38.xml"/><Relationship Id="rId123" Type="http://schemas.openxmlformats.org/officeDocument/2006/relationships/externalLink" Target="externalLinks/externalLink59.xml"/><Relationship Id="rId144" Type="http://schemas.openxmlformats.org/officeDocument/2006/relationships/externalLink" Target="externalLinks/externalLink80.xml"/><Relationship Id="rId90" Type="http://schemas.openxmlformats.org/officeDocument/2006/relationships/externalLink" Target="externalLinks/externalLink26.xml"/><Relationship Id="rId165" Type="http://schemas.openxmlformats.org/officeDocument/2006/relationships/externalLink" Target="externalLinks/externalLink101.xml"/><Relationship Id="rId186" Type="http://schemas.openxmlformats.org/officeDocument/2006/relationships/externalLink" Target="externalLinks/externalLink122.xml"/><Relationship Id="rId211" Type="http://schemas.openxmlformats.org/officeDocument/2006/relationships/externalLink" Target="externalLinks/externalLink147.xml"/><Relationship Id="rId232" Type="http://schemas.openxmlformats.org/officeDocument/2006/relationships/externalLink" Target="externalLinks/externalLink168.xml"/><Relationship Id="rId253" Type="http://schemas.openxmlformats.org/officeDocument/2006/relationships/externalLink" Target="externalLinks/externalLink18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externalLink" Target="externalLinks/externalLink5.xml"/><Relationship Id="rId113" Type="http://schemas.openxmlformats.org/officeDocument/2006/relationships/externalLink" Target="externalLinks/externalLink49.xml"/><Relationship Id="rId134" Type="http://schemas.openxmlformats.org/officeDocument/2006/relationships/externalLink" Target="externalLinks/externalLink70.xml"/><Relationship Id="rId80" Type="http://schemas.openxmlformats.org/officeDocument/2006/relationships/externalLink" Target="externalLinks/externalLink16.xml"/><Relationship Id="rId155" Type="http://schemas.openxmlformats.org/officeDocument/2006/relationships/externalLink" Target="externalLinks/externalLink91.xml"/><Relationship Id="rId176" Type="http://schemas.openxmlformats.org/officeDocument/2006/relationships/externalLink" Target="externalLinks/externalLink112.xml"/><Relationship Id="rId197" Type="http://schemas.openxmlformats.org/officeDocument/2006/relationships/externalLink" Target="externalLinks/externalLink133.xml"/><Relationship Id="rId201" Type="http://schemas.openxmlformats.org/officeDocument/2006/relationships/externalLink" Target="externalLinks/externalLink137.xml"/><Relationship Id="rId222" Type="http://schemas.openxmlformats.org/officeDocument/2006/relationships/externalLink" Target="externalLinks/externalLink158.xml"/><Relationship Id="rId243" Type="http://schemas.openxmlformats.org/officeDocument/2006/relationships/externalLink" Target="externalLinks/externalLink179.xml"/><Relationship Id="rId264" Type="http://schemas.openxmlformats.org/officeDocument/2006/relationships/customXml" Target="../customXml/item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39.xml"/><Relationship Id="rId124" Type="http://schemas.openxmlformats.org/officeDocument/2006/relationships/externalLink" Target="externalLinks/externalLink60.xml"/><Relationship Id="rId70" Type="http://schemas.openxmlformats.org/officeDocument/2006/relationships/externalLink" Target="externalLinks/externalLink6.xml"/><Relationship Id="rId91" Type="http://schemas.openxmlformats.org/officeDocument/2006/relationships/externalLink" Target="externalLinks/externalLink27.xml"/><Relationship Id="rId145" Type="http://schemas.openxmlformats.org/officeDocument/2006/relationships/externalLink" Target="externalLinks/externalLink81.xml"/><Relationship Id="rId166" Type="http://schemas.openxmlformats.org/officeDocument/2006/relationships/externalLink" Target="externalLinks/externalLink102.xml"/><Relationship Id="rId187" Type="http://schemas.openxmlformats.org/officeDocument/2006/relationships/externalLink" Target="externalLinks/externalLink123.xml"/><Relationship Id="rId1" Type="http://schemas.openxmlformats.org/officeDocument/2006/relationships/worksheet" Target="worksheets/sheet1.xml"/><Relationship Id="rId212" Type="http://schemas.openxmlformats.org/officeDocument/2006/relationships/externalLink" Target="externalLinks/externalLink148.xml"/><Relationship Id="rId233" Type="http://schemas.openxmlformats.org/officeDocument/2006/relationships/externalLink" Target="externalLinks/externalLink169.xml"/><Relationship Id="rId254" Type="http://schemas.openxmlformats.org/officeDocument/2006/relationships/externalLink" Target="externalLinks/externalLink19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50.xml"/><Relationship Id="rId60" Type="http://schemas.openxmlformats.org/officeDocument/2006/relationships/worksheet" Target="worksheets/sheet60.xml"/><Relationship Id="rId81" Type="http://schemas.openxmlformats.org/officeDocument/2006/relationships/externalLink" Target="externalLinks/externalLink17.xml"/><Relationship Id="rId135" Type="http://schemas.openxmlformats.org/officeDocument/2006/relationships/externalLink" Target="externalLinks/externalLink71.xml"/><Relationship Id="rId156" Type="http://schemas.openxmlformats.org/officeDocument/2006/relationships/externalLink" Target="externalLinks/externalLink92.xml"/><Relationship Id="rId177" Type="http://schemas.openxmlformats.org/officeDocument/2006/relationships/externalLink" Target="externalLinks/externalLink113.xml"/><Relationship Id="rId198" Type="http://schemas.openxmlformats.org/officeDocument/2006/relationships/externalLink" Target="externalLinks/externalLink134.xml"/><Relationship Id="rId202" Type="http://schemas.openxmlformats.org/officeDocument/2006/relationships/externalLink" Target="externalLinks/externalLink138.xml"/><Relationship Id="rId223" Type="http://schemas.openxmlformats.org/officeDocument/2006/relationships/externalLink" Target="externalLinks/externalLink159.xml"/><Relationship Id="rId244" Type="http://schemas.openxmlformats.org/officeDocument/2006/relationships/externalLink" Target="externalLinks/externalLink18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customXml" Target="../customXml/item2.xml"/><Relationship Id="rId50" Type="http://schemas.openxmlformats.org/officeDocument/2006/relationships/worksheet" Target="worksheets/sheet50.xml"/><Relationship Id="rId104" Type="http://schemas.openxmlformats.org/officeDocument/2006/relationships/externalLink" Target="externalLinks/externalLink40.xml"/><Relationship Id="rId125" Type="http://schemas.openxmlformats.org/officeDocument/2006/relationships/externalLink" Target="externalLinks/externalLink61.xml"/><Relationship Id="rId146" Type="http://schemas.openxmlformats.org/officeDocument/2006/relationships/externalLink" Target="externalLinks/externalLink82.xml"/><Relationship Id="rId167" Type="http://schemas.openxmlformats.org/officeDocument/2006/relationships/externalLink" Target="externalLinks/externalLink103.xml"/><Relationship Id="rId188" Type="http://schemas.openxmlformats.org/officeDocument/2006/relationships/externalLink" Target="externalLinks/externalLink124.xml"/><Relationship Id="rId71" Type="http://schemas.openxmlformats.org/officeDocument/2006/relationships/externalLink" Target="externalLinks/externalLink7.xml"/><Relationship Id="rId92" Type="http://schemas.openxmlformats.org/officeDocument/2006/relationships/externalLink" Target="externalLinks/externalLink28.xml"/><Relationship Id="rId213" Type="http://schemas.openxmlformats.org/officeDocument/2006/relationships/externalLink" Target="externalLinks/externalLink149.xml"/><Relationship Id="rId234" Type="http://schemas.openxmlformats.org/officeDocument/2006/relationships/externalLink" Target="externalLinks/externalLink17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externalLink" Target="externalLinks/externalLink191.xml"/><Relationship Id="rId40" Type="http://schemas.openxmlformats.org/officeDocument/2006/relationships/worksheet" Target="worksheets/sheet40.xml"/><Relationship Id="rId115" Type="http://schemas.openxmlformats.org/officeDocument/2006/relationships/externalLink" Target="externalLinks/externalLink51.xml"/><Relationship Id="rId136" Type="http://schemas.openxmlformats.org/officeDocument/2006/relationships/externalLink" Target="externalLinks/externalLink72.xml"/><Relationship Id="rId157" Type="http://schemas.openxmlformats.org/officeDocument/2006/relationships/externalLink" Target="externalLinks/externalLink93.xml"/><Relationship Id="rId178" Type="http://schemas.openxmlformats.org/officeDocument/2006/relationships/externalLink" Target="externalLinks/externalLink114.xml"/><Relationship Id="rId61" Type="http://schemas.openxmlformats.org/officeDocument/2006/relationships/worksheet" Target="worksheets/sheet61.xml"/><Relationship Id="rId82" Type="http://schemas.openxmlformats.org/officeDocument/2006/relationships/externalLink" Target="externalLinks/externalLink18.xml"/><Relationship Id="rId199" Type="http://schemas.openxmlformats.org/officeDocument/2006/relationships/externalLink" Target="externalLinks/externalLink135.xml"/><Relationship Id="rId203" Type="http://schemas.openxmlformats.org/officeDocument/2006/relationships/externalLink" Target="externalLinks/externalLink139.xml"/><Relationship Id="rId19" Type="http://schemas.openxmlformats.org/officeDocument/2006/relationships/worksheet" Target="worksheets/sheet19.xml"/><Relationship Id="rId224" Type="http://schemas.openxmlformats.org/officeDocument/2006/relationships/externalLink" Target="externalLinks/externalLink160.xml"/><Relationship Id="rId245" Type="http://schemas.openxmlformats.org/officeDocument/2006/relationships/externalLink" Target="externalLinks/externalLink181.xml"/><Relationship Id="rId266" Type="http://schemas.openxmlformats.org/officeDocument/2006/relationships/customXml" Target="../customXml/item3.xml"/><Relationship Id="rId30" Type="http://schemas.openxmlformats.org/officeDocument/2006/relationships/worksheet" Target="worksheets/sheet30.xml"/><Relationship Id="rId105" Type="http://schemas.openxmlformats.org/officeDocument/2006/relationships/externalLink" Target="externalLinks/externalLink41.xml"/><Relationship Id="rId126" Type="http://schemas.openxmlformats.org/officeDocument/2006/relationships/externalLink" Target="externalLinks/externalLink62.xml"/><Relationship Id="rId147" Type="http://schemas.openxmlformats.org/officeDocument/2006/relationships/externalLink" Target="externalLinks/externalLink83.xml"/><Relationship Id="rId168" Type="http://schemas.openxmlformats.org/officeDocument/2006/relationships/externalLink" Target="externalLinks/externalLink104.xml"/><Relationship Id="rId51" Type="http://schemas.openxmlformats.org/officeDocument/2006/relationships/worksheet" Target="worksheets/sheet51.xml"/><Relationship Id="rId72" Type="http://schemas.openxmlformats.org/officeDocument/2006/relationships/externalLink" Target="externalLinks/externalLink8.xml"/><Relationship Id="rId93" Type="http://schemas.openxmlformats.org/officeDocument/2006/relationships/externalLink" Target="externalLinks/externalLink29.xml"/><Relationship Id="rId189" Type="http://schemas.openxmlformats.org/officeDocument/2006/relationships/externalLink" Target="externalLinks/externalLink125.xml"/><Relationship Id="rId3" Type="http://schemas.openxmlformats.org/officeDocument/2006/relationships/worksheet" Target="worksheets/sheet3.xml"/><Relationship Id="rId214" Type="http://schemas.openxmlformats.org/officeDocument/2006/relationships/externalLink" Target="externalLinks/externalLink150.xml"/><Relationship Id="rId235" Type="http://schemas.openxmlformats.org/officeDocument/2006/relationships/externalLink" Target="externalLinks/externalLink171.xml"/><Relationship Id="rId256" Type="http://schemas.openxmlformats.org/officeDocument/2006/relationships/externalLink" Target="externalLinks/externalLink192.xml"/><Relationship Id="rId116" Type="http://schemas.openxmlformats.org/officeDocument/2006/relationships/externalLink" Target="externalLinks/externalLink52.xml"/><Relationship Id="rId137" Type="http://schemas.openxmlformats.org/officeDocument/2006/relationships/externalLink" Target="externalLinks/externalLink73.xml"/><Relationship Id="rId158" Type="http://schemas.openxmlformats.org/officeDocument/2006/relationships/externalLink" Target="externalLinks/externalLink9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externalLink" Target="externalLinks/externalLink19.xml"/><Relationship Id="rId179" Type="http://schemas.openxmlformats.org/officeDocument/2006/relationships/externalLink" Target="externalLinks/externalLink115.xml"/><Relationship Id="rId190" Type="http://schemas.openxmlformats.org/officeDocument/2006/relationships/externalLink" Target="externalLinks/externalLink126.xml"/><Relationship Id="rId204" Type="http://schemas.openxmlformats.org/officeDocument/2006/relationships/externalLink" Target="externalLinks/externalLink140.xml"/><Relationship Id="rId225" Type="http://schemas.openxmlformats.org/officeDocument/2006/relationships/externalLink" Target="externalLinks/externalLink161.xml"/><Relationship Id="rId246" Type="http://schemas.openxmlformats.org/officeDocument/2006/relationships/externalLink" Target="externalLinks/externalLink182.xml"/><Relationship Id="rId106" Type="http://schemas.openxmlformats.org/officeDocument/2006/relationships/externalLink" Target="externalLinks/externalLink42.xml"/><Relationship Id="rId127" Type="http://schemas.openxmlformats.org/officeDocument/2006/relationships/externalLink" Target="externalLinks/externalLink6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externalLink" Target="externalLinks/externalLink9.xml"/><Relationship Id="rId94" Type="http://schemas.openxmlformats.org/officeDocument/2006/relationships/externalLink" Target="externalLinks/externalLink30.xml"/><Relationship Id="rId148" Type="http://schemas.openxmlformats.org/officeDocument/2006/relationships/externalLink" Target="externalLinks/externalLink84.xml"/><Relationship Id="rId169" Type="http://schemas.openxmlformats.org/officeDocument/2006/relationships/externalLink" Target="externalLinks/externalLink105.xml"/><Relationship Id="rId4" Type="http://schemas.openxmlformats.org/officeDocument/2006/relationships/worksheet" Target="worksheets/sheet4.xml"/><Relationship Id="rId180" Type="http://schemas.openxmlformats.org/officeDocument/2006/relationships/externalLink" Target="externalLinks/externalLink116.xml"/><Relationship Id="rId215" Type="http://schemas.openxmlformats.org/officeDocument/2006/relationships/externalLink" Target="externalLinks/externalLink151.xml"/><Relationship Id="rId236" Type="http://schemas.openxmlformats.org/officeDocument/2006/relationships/externalLink" Target="externalLinks/externalLink172.xml"/><Relationship Id="rId257" Type="http://schemas.openxmlformats.org/officeDocument/2006/relationships/externalLink" Target="externalLinks/externalLink193.xml"/><Relationship Id="rId42" Type="http://schemas.openxmlformats.org/officeDocument/2006/relationships/worksheet" Target="worksheets/sheet42.xml"/><Relationship Id="rId84" Type="http://schemas.openxmlformats.org/officeDocument/2006/relationships/externalLink" Target="externalLinks/externalLink20.xml"/><Relationship Id="rId138" Type="http://schemas.openxmlformats.org/officeDocument/2006/relationships/externalLink" Target="externalLinks/externalLink74.xml"/><Relationship Id="rId191" Type="http://schemas.openxmlformats.org/officeDocument/2006/relationships/externalLink" Target="externalLinks/externalLink127.xml"/><Relationship Id="rId205" Type="http://schemas.openxmlformats.org/officeDocument/2006/relationships/externalLink" Target="externalLinks/externalLink141.xml"/><Relationship Id="rId247" Type="http://schemas.openxmlformats.org/officeDocument/2006/relationships/externalLink" Target="externalLinks/externalLink183.xml"/></Relationships>
</file>

<file path=xl/drawings/drawing1.xml><?xml version="1.0" encoding="utf-8"?>
<xdr:wsDr xmlns:xdr="http://schemas.openxmlformats.org/drawingml/2006/spreadsheetDrawing" xmlns:a="http://schemas.openxmlformats.org/drawingml/2006/main">
  <xdr:oneCellAnchor>
    <xdr:from>
      <xdr:col>11</xdr:col>
      <xdr:colOff>497417</xdr:colOff>
      <xdr:row>15</xdr:row>
      <xdr:rowOff>158750</xdr:rowOff>
    </xdr:from>
    <xdr:ext cx="184731" cy="264560"/>
    <xdr:sp macro="" textlink="">
      <xdr:nvSpPr>
        <xdr:cNvPr id="2" name="TextBox 1">
          <a:extLst>
            <a:ext uri="{FF2B5EF4-FFF2-40B4-BE49-F238E27FC236}">
              <a16:creationId xmlns:a16="http://schemas.microsoft.com/office/drawing/2014/main" id="{00000000-0008-0000-4600-000002000000}"/>
            </a:ext>
          </a:extLst>
        </xdr:cNvPr>
        <xdr:cNvSpPr txBox="1"/>
      </xdr:nvSpPr>
      <xdr:spPr>
        <a:xfrm>
          <a:off x="6593417" y="2587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DOCSOPEN/ECCBLIB/STATS06/27_601_.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TXFILE01/CitrixUserData/ECCB%20Banking%20Schedules%20-%20Updated/BS1/BS1%20-%202003/Banking%20Schedule%201%20-%20200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mail.gosl.gov.lc/Documents%20and%20Settings/jlafeuille/My%20Documents/Reviews/Review%202009/Annual/Statistical%20Appendix%202002/Public%20Debt%20tabl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mail.gosl.gov.lc/Documents%20and%20Settings/VEJOHN/Local%20Settings/Temporary%20Internet%20Files/OLK72/Statistical%20Appendix%202002/Public%20Debt%20tabl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Users\RPIERR~1\AppData\Local\Temp\Statistical%20Appendix%202002\Public%20Debt%20tabl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Users\rpierrelouis\AppData\Local\Microsoft\Windows\Temporary%20Internet%20Files\Low\Content.IE5\W5T8KBW9\Statistical%20Appendix%202002\Public%20Debt%20tabl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Statistical%20Appendix%202002\Public%20Debt%20tabl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DATA\KEN\current\External\KenBOP(current)base%20May%20mission%20rev.2%2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TXFILE01/CitrixUserData/Countries/Malaysia/Malays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Z:\DOC\AI\SIMS\DP\Workfiles\SRF\SRF%20for%20Supplement\Graduated%20to%20DC\Malaysi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Q:\DATA\C1\DMA\Monetary\DMMonyB.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TXFILE01/CitrixUserData/DATA/C1/DMA/Monetary/DMMonyB.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ocuments%20and%20Settings\parris\Local%20Settings\Temporary%20Internet%20Files\Content.Outlook\LD7UIT4M\ECCBLIB-%23376609-v1-Treasury_Bill_and_Debenture_Schedule_30_April_2007.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J:\DATA\DD\GEO\BOP\GeoBop.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Users\Leah\AppData\Local\Microsoft\Windows\INetCache\IE\I2HMHLYA\ECCBLIB-%23376609-v1-Treasury_Bill_and_Debenture_Schedule_30_April_2007.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PSFWN03P/INS/DATA/PA/CHL/SECTORS/BOP/Bop0209.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CUADROS%20FISC.COMPARA969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O:\WINDOWS\TEMP\GeoBop0900_BseLine.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TXFILE01/CitrixUserData/DATA/US/ARM/REP/97ARMRED/TABLES/EDSSARMRED97.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WIN\TEMP\MFLOW96.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DATOS\series\afiliados.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Q:\WIN\TEMP\MFLOW9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TXFILE01/CitrixUserData/Documents%20and%20Settings/JMATZ/My%20Local%20Documents/EXCEL/Guyana/2003%20Mission/Final/Other%20Depository%20Corporations%20Balance.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Documents%20and%20Settings\JMATZ\My%20Local%20Documents\EXCEL\Guyana\2003%20Mission\Final\Other%20Depository%20Corporations%20Balanc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eccbnt/users/Graphics/FAT/country%20table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PSFWN03P/INS/prog2000/prog2000revisi&#243;nmensualizaci&#243;noctubre.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PSFWN03P/INS/PROFINAN/Programa/prog2003/prog2003mensualizaci&#243;nener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J:\DATA\S1\ECU\Current\ecubopLates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Q:\Documents%20and%20Settings\LABREGO\My%20Local%20Documents\Ecuador\ecubopLatest.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J:\DATA\S1\ECU\SECTORS\External\PERUMF97.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P:\MARS\CarpetaRecuperada\MARS\INV-SPNF.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Users\aravy\Library\Caches\TemporaryItems\Outlook%20Temp\Sprint2%200-Oct-Mid%20Release-Workbook.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IMF1S/VOL1/DATA/EU2/LVA/LVA_RED_2001_tab.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PSFWN03P/INS/TEMP/Hoja%20de%20c&#225;lculo%20en%20FinancSECTOR%20P&#218;BLICO.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SHADOW\ECCBLIB\SAHELY\3v6w01_.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PSGWN03P/WHD/1Alvaro/Mexico/Venezuela/Bop8.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PSGWN03P/WHD/TEMP/Salarios%20Muestra%20Mensual%20Manufacturer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windows\TEMP\PC%204%20Weeks%20TeamGEM12%20$88K.xls"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NewResource.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NMP%20SLA%20-%20Design%20Phase%20-%20WBS%20%20Estimate%20(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Library\Caches\TemporaryItems\Outlook%20Temp\85476_Estimation_Tool.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torkibc\ProjectX\temp\sst11E.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PSFWN03P/INS/prog2000/prog2000revisi&#243;nmensualizaci&#243;nnoviembre.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CTXFILE01/CitrixUserData/DOCSOPEN/ECCBLIB/STATS06/27_601_.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CTXFILE01/CitrixUserData/ECCB%20Banking%20Schedules%20-%20Version%20II/BS1/BS1%20-%202004/Banking%20Schedule%201%20-%202004.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LA%20-%20July%2031\https\us.webvpn.sapient.com\XO-ICP\Plan%20WIP\Estimation_Tool_v6.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mail.gosl.gov.lc/Documents%20and%20Settings/jlafeuille/My%20Documents/Reviews/Review%202009/Annual/DOCSOPEN/ECCBLIB/STATS06/27_601_.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U:\DOCSOPEN\ECCBLIB\STATS06\27_601_.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PSGWN03P/WHD/DATA/ML/MEX/Other%20divisional%20data/REAL/amacr9.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PSGWN03P/WHD/DATA/S1/COL/Staff%20visit%20Aug%2003/SECTORS/MONETARY/Col_Prog%20_Mon-Feb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G:\S1%20Division\Colombia\WEO%20Full%20(2-9-04)%20copy.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psf\Home\GW\gwu_unified_web_project\trunk\Project_Management\old%20task%20mgmt\GW%20Burn%20Rates%20Through%202009-11-15.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I:\data\wrs\xl97\system\WRS97TAB.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Debt%20for%20fiscal\TM%20FISCAL%20NEW\Fiscal%202013-14\Fiscal%20Sheet\Fiscal%20Sheets%202014\construction%20stimulus.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Library\Caches\TemporaryItems\Outlook%20Temp\Dashboard%20template.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eccbnt/Users/DOCSOPEN/ECCBLIB/STATS06/27_601_.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Documents%20and%20Settings\guest1.MIS-NOTEBOOK31\Desktop\BOP%20DATA%20ENTRY%20TEMPLATES-%20FINAL%20(forcemacros%20removed)\Country%20Data%20Entry%20Templates\Bop%20Data%20Entry%20Bop%201%20Accomodation%20Establishment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D:\Users\jmurp1\AppData\Local\Microsoft\Windows\Temporary%20Internet%20Files\Content.Outlook\N6D4PZNE\Staff_and_Projects_2009-04-16(2).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torkug2003\UG\VSS\temp\UG_Product_Scope.xls" TargetMode="External"/></Relationships>
</file>

<file path=xl/externalLinks/_rels/externalLink60.xml.rels><?xml version="1.0" encoding="UTF-8" standalone="yes"?>
<Relationships xmlns="http://schemas.openxmlformats.org/package/2006/relationships"><Relationship Id="rId2" Type="http://schemas.microsoft.com/office/2019/04/relationships/externalLinkLongPath" Target="/CTXFILE01/CitrixUserData/Users/Leah/AppData/Local/Microsoft/Windows/INetCache/IE/WSV40UQ0/ECCBLIB-#765210-v1-FSI__Template_for_Institutional_Coverage_-_Structure_of_financial_system_-_FS1_2017.XLSX?A2593387" TargetMode="External"/><Relationship Id="rId1" Type="http://schemas.openxmlformats.org/officeDocument/2006/relationships/externalLinkPath" Target="file:///\\A2593387\ECCBLIB-%23765210-v1-FSI__Template_for_Institutional_Coverage_-_Structure_of_financial_system_-_FS1_2017.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goslwebserver.gosl.gov.lc:8383/Xaf939e9ccf939b92c9cc235fbf62/attach/Main/138/1/1179930589/Statistical%20Appendix%202002/Public%20Debt%20table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DMSSWN06P/Documents/WRK/CHT/S2003WEO/ch2/EC/HE/Marion/Marion.xls" TargetMode="External"/></Relationships>
</file>

<file path=xl/externalLinks/_rels/externalLink63.xml.rels><?xml version="1.0" encoding="UTF-8" standalone="yes"?>
<Relationships xmlns="http://schemas.openxmlformats.org/package/2006/relationships"><Relationship Id="rId2" Type="http://schemas.microsoft.com/office/2019/04/relationships/externalLinkLongPath" Target="/eccbnt/AccessData/Real%20Sector%20Returns/BOP%20Development%20Project/FINAL%20DOCs/BOP%20SURVEY%20FORMS-%20FINAL/BOP%20Survey%20Forms-%20Revised%20Jun%202015/BOP%20Forms%20Final%20-%20Locked/BOP%20Form%2012A%20-%20Ministry%20of%20Finance%20(%20Debt%20Unit).xlsm?A249A892" TargetMode="External"/><Relationship Id="rId1" Type="http://schemas.openxmlformats.org/officeDocument/2006/relationships/externalLinkPath" Target="file:///\\A249A892\BOP%20Form%2012A%20-%20Ministry%20of%20Finance%20(%20Debt%20Unit).xlsm"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psgwn03p/whd/My%20Documents/LatinAmerica/Colombia/Reports%20Mission%20April%202000/Fiscal%20Tables/Fiscal%20Tables.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Acunaam/c/modelo/MODELOMACRO-ESC-4.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MERCAP\DORIS\ESTFIS\07-98.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P:\MERCAP\DORIS\ESTFIS\01-97.XLS" TargetMode="External"/></Relationships>
</file>

<file path=xl/externalLinks/_rels/externalLink68.xml.rels><?xml version="1.0" encoding="UTF-8" standalone="yes"?>
<Relationships xmlns="http://schemas.openxmlformats.org/package/2006/relationships"><Relationship Id="rId1" Type="http://schemas.microsoft.com/office/2006/relationships/xlExternalLinkPath/xlPathMissing" Target="Resource%20Plan%20Tool%20-%20Ver4%2011052002.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IMF%20Reports\312ER%20(01R).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Weekly%20Allocation%20Snap%202006-07-1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PSGWN03P/WHD/Colombia/WEO/GEEColombiaOct200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I:\DATA\WRS\SYSTEM\WRS97TAB.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PSFWN03P/INS/Documents%20and%20Settings/gmendiola/Local%20Settings/Temporary%20Internet%20Files/OLK28/Updated%20Staff%20Forecast%20database--Fiscal%20Data.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Library\Caches\TemporaryItems\Outlook%20Temp\Pricing%20Spreadsheet%20Version%203.2__6328__v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Memfile1\projects\Harrahs\Harrah's%20ACTIVE\M@TS\projects\Harrahs\EP2_QH_Design\DOCUME~1\DODONN~1\LOCALS~1\Temp\west%20elm%20estimate%20-%20design%20v2.xls" TargetMode="External"/></Relationships>
</file>

<file path=xl/externalLinks/_rels/externalLink76.xml.rels><?xml version="1.0" encoding="UTF-8" standalone="yes"?>
<Relationships xmlns="http://schemas.openxmlformats.org/package/2006/relationships"><Relationship Id="rId2" Type="http://schemas.microsoft.com/office/2019/04/relationships/externalLinkLongPath" Target="file:///D:\Users\aravy\Library\Caches\TemporaryItems\Outlook%20Temp\Library\Caches\TemporaryItems\Outlook%20Temp\Library\Caches\TemporaryItems\Outlook%20Temp\Library\Caches\TemporaryItems\Outlook%20Temp\Compacted%20LOE%20Estimation%20Tool%20V1.31.xls?5D59A0EC" TargetMode="External"/><Relationship Id="rId1" Type="http://schemas.openxmlformats.org/officeDocument/2006/relationships/externalLinkPath" Target="file:///\\5D59A0EC\Compacted%20LOE%20Estimation%20Tool%20V1.3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nycxdoc01\Data\Project%20Management\Estimates_Plans_Scope_Sept02\Design_Estimate\RS%20Holdings_Design%20Estimate_090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Docsopen/ECCBLIB/JACKSON/w1j_01_.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MSSWN06P/Documents/WRK/CHT/s2005weo/ch2/RC/Data.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DMSSWN06P/Documents/WRK/CHT/s2005weo/ch2/RC/Capital/Capital_Profit_Industrial.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D:\Users\aravy\Library\Caches\TemporaryItems\Outlook%20Temp\Library\Caches\TemporaryItems\Outlook%20Temp\Library\Caches\TemporaryItems\Outlook%20Temp\Verizon%20NMP%20Maintenance%20Log_AS_72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D:\Documents%20and%20Settings\Prai3\My%20Documents\PM%20Docs\Deliverable%20Examples\CMIC%20Calendar.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PSFWN03P/INS/TRIMALEX/corrts99-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ECCBNT/AccessData/Documents%20and%20Settings/sahely/Local%20Settings/Temporary%20Internet%20Files/Content.Outlook/5MT4S2Y2/ECCBLIB-#517180-v1-BS6_-_new_2011.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D:\Docsopen\ECCBLIB\JACKSON\w1j_01_.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CTXFILE01/CitrixUserData/Users/pwilliam/AppData/Roaming/OpenText/DM/Temp/ECCBLIB-#525614-v5-QEFR__Economic_Template_-_Grenada.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Library\Caches\TemporaryItems\Outlook%20Temp\Tool%20Synching%20Tool%202006-09-30.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Docsopen/ECCBLIB/RBAKER/9wgc01_.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PSSWN06p/wrs2/whd/system/WRSTAB.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CTXFILE01/CitrixUserData/template97/IL_TEMP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CTXFILE01/CitrixUserData/Users/sc1045/Desktop/Real%20Sector/copy%20of%20ECCBLIB-#803280-v1-QEFR__St_Kitts_and_Nevis_-_January_to_September_2017.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CTXFILE01/CitrixUserData/Users/seaton/AppData/Roaming/OpenText/DM/Temp/ECCBLIB-#845508-v1-QEFR__Grenada-_January_to_June_2018.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CTXFILE01/CitrixUserData/Users/seaton/AppData/Roaming/OpenText/DM/Temp/ECCBLIB-#845486-v1-QEFR__Anguilla-_January_to_June_2018.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CTXFILE01/CitrixUserData/Users/sahely/Downloads/312FSI2.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Mastercard%20Meeting%20Minutes\EA%20by%20May%2015_Status_051904.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Mastercard%20Meeting%20Minutes\Citadel%20Weekly%20Burn%2020090316.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PSFWN03P/INS/WINDOWS/TEMP/CRI-BOP-01.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PSFWN03P/INS/BALANZA/MERCAM/AGO00.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ANTARES/COMUNFP&amp;AF$/MERCAP/MARIANO/TENENCIA/HACIENDA.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delivery1\Delivery\DocumentationDB\temp\DOCUME~1\adimat\LOCALS~1\Temp\Compacted%20LOE%20Estimation%20Tool%20V1.31.xls" TargetMode="External"/></Relationships>
</file>

<file path=xl/externalLinks/_rels/externalLink101.xml.rels><?xml version="1.0" encoding="UTF-8" standalone="yes"?>
<Relationships xmlns="http://schemas.openxmlformats.org/package/2006/relationships"><Relationship Id="rId2" Type="http://schemas.microsoft.com/office/2019/04/relationships/externalLinkLongPath" Target="file:///D:\Users\sganbo\Library\Caches\TemporaryItems\Outlook%20Temp\LA%20-%20July%2031\https\us.webvpn.sapient.com\Documents%20and%20Settings\sinada\Local%20Settings\Temporary%20Internet%20Files\OLK80\temp%20status\Hyatt_WeeklyStatusReport%20Nov_11_2009.xls?C33F2A52" TargetMode="External"/><Relationship Id="rId1" Type="http://schemas.openxmlformats.org/officeDocument/2006/relationships/externalLinkPath" Target="file:///\\C33F2A52\Hyatt_WeeklyStatusReport%20Nov_11_2009.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Documents\Microsoft%20User%20Data\Saved%20Attachments\https::teamrooms1-vista.vodafone.com:eRoomReq:Files:Global23:WebRePlatformProject:0_2a67f:Vodafone%20SBM%20Implementation%20Phase%20Change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D:\D\Documents%20and%20Settings\smckib\My%20Documents\Sanofi\SP%20Interview%20List\SP_Interview_List"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PSFWN03P/INS/DATA/CA/CRI/EXTERNAL/Output/CRI-BOP-01.xls" TargetMode="External"/></Relationships>
</file>

<file path=xl/externalLinks/_rels/externalLink105.xml.rels><?xml version="1.0" encoding="UTF-8" standalone="yes"?>
<Relationships xmlns="http://schemas.openxmlformats.org/package/2006/relationships"><Relationship Id="rId1" Type="http://schemas.microsoft.com/office/2006/relationships/xlExternalLinkPath/xlPathMissing" Target="Object"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Library\Caches\TemporaryItems\Outlook%20Temp\BBB_RS3_Issues%20and%20Risks_04_20_11.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D:\Users\aravy\Library\Caches\TemporaryItems\Outlook%20Temp\Library\Caches\TemporaryItems\Outlook%20Temp\Library\Caches\TemporaryItems\Outlook%20Temp\22Nov-DefectDumpPivot.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Mastercard%20Meeting%20Minutes\Stories_Sprint%20HJS_20100112_172806.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Issues_RelC_eComm_20100225.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Stories_Sprint%20HJS_20100113_095615.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BattlePlanDem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LA%20-%20July%2031\https\datasolutions.tvguide.com\Documents%20and%20Settings\nwolt\Local%20Settings\Temporary%20Internet%20Files\OLK3\050107_HCAI_IBC_Weekly_Status_Report.xls" TargetMode="External"/></Relationships>
</file>

<file path=xl/externalLinks/_rels/externalLink113.xml.rels><?xml version="1.0" encoding="UTF-8" standalone="yes"?>
<Relationships xmlns="http://schemas.openxmlformats.org/package/2006/relationships"><Relationship Id="rId2" Type="http://schemas.microsoft.com/office/2019/04/relationships/externalLinkLongPath" Target="file:///D:\Users\sganbo\Library\Caches\TemporaryItems\Outlook%20Temp\LA%20-%20July%2031\https\datasolutions.tvguide.com\My%20Documents\TV%20Guide\Temp\nwolt\Local%20Settings\Temporary%20Internet%20Files\OLK3\050107_HCAI_IBC_Weekly_Status_Report.xls?E6ED24EF" TargetMode="External"/><Relationship Id="rId1" Type="http://schemas.openxmlformats.org/officeDocument/2006/relationships/externalLinkPath" Target="file:///\\E6ED24EF\050107_HCAI_IBC_Weekly_Status_Report.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torkibc\ProjectX\temp\IBC_Project_X_Scope_Matrix_Consolidated_v4.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LA%20-%20July%2031\https\us.webvpn.sapient.com\Documents%20and%20Settings\dlbern\Local%20Settings\Temporary%20Internet%20Files\OLKB2\Scope\ArtifactManagement.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D:\Docsopen\ECCBLIB\RBAKER\9wgc01_.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CTXFILE01/CitrixUserData/WIN/Temporary%20Internet%20Files/OLK2291/WEOTemplate.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http://mail.gosl.gov.lc/WIN/Temporary%20Internet%20Files/OLK2291/WEOTemplate.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PSFWN03P/INS/S1%20Division/Colombia/WEO%20Full%20(2-9-04)%20copy.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http://mail.gosl.gov.lc/Documents%20and%20Settings/jlafeuille/My%20Documents/Reviews/Review%202009/Annual/Documents%20and%20Settings/ngabriel/My%20Documents/REVIEWS/Nicole's%20review%202007/Monetary%20Sector%20Tables%202004(2).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BCC%20-%20ytd%200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Statistical%20Appendix%202002/Public%20Debt%20table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D:\Docsopen\ECCBLIB\CHIVERT\8sm901_.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Monetario/users/MERCAP/TENENCIA/NUEVA/TENENCIA.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ECCB06R.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eccbnt/AccessData/Documents%20and%20Settings/kfrederick/Local%20Settings/Temporary%20Internet%20Files/OLKA/Fiscal%202010_during%20mission.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http://mail.gosl.gov.lc/Documents%20and%20Settings/jlafeuille/My%20Documents/Reviews/Review%202009/Annual/Documents%20and%20Settings/ngabriel/My%20Documents/REVIEWS/Nicole's%20review%202007/Statistical%20Appendendix%202007.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D:\Users\jmurp1\AppData\Local\Microsoft\Windows\Temporary%20Internet%20Files\Content.Outlook\N6D4PZNE\Offline_Tracker_Editor.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psgwn03p/whd/WIN/TEMP/corredor%202000%20encaje.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CTXFILE01/CitrixUserData/sc1045.ECCBDOM/AppData/Roaming/OpenText/DM/Temp/ECCBLIB-#904600-v2-MFS_Monthly_Statistics_Country_Template.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Library\Caches\TemporaryItems\Outlook%20Temp\LoanOriginationPMWorkbook.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PSGWN03P/WHD/My%20Documents/Dominican%20Republic/external/Dobop_sr4.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Q:\DATA\S1\ECU\SECTORS\External\PERUMF97.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Users/pwilliam/AppData/Roaming/OpenText/DM/Temp/ECCBLIB-#324124-v2-AEFR__Annual_Report_Template_-_Grenada.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PSFWN03P/INS/TEMP/tasas.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Q:\DATA\S1\ECU\SECTORS\External\ecuredtab.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CTXFILE01/CitrixUserData/Users/sahely/AppData/Local/Microsoft/Windows/Temporary%20Internet%20Files/Content.Outlook/MNXOXUK9/361FSD.xlsx"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D:\Documents%20and%20Settings\alcendor\Desktop\IMF%20-%20ANG%20N%20GDA\VGST_nov2012.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D:\eShop%20Restricted\vodafone_online_store_restricted\Project_Management\Project%20Tracking\Vodafone_eShop_Risk_Tracker.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D:\Users\masmit\Documents\Microsoft%20User%20Data\Saved%20Attachments\Vodafone_eShop_Risk_Tracker.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P:\IMF%20Reports\308COFER.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CTXFILE01/CitrixUserData/Users/Leah/AppData/Local/Microsoft/Windows/INetCache/IE/WSV40UQ0/ECCBLIB-#765209-v1-FSI__Template_for_Annex_8__-_FS2_(Financial_Statements).XLSX"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Memfile1\projects\Harrahs\Harrah's%20ACTIVE\M@TS\projects\Harrahs\EP2_QH_Design\Blue%20Cross\soham\BCBSA%20Design%20scope%20matrix%20v6_John.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imf1s/vol1/data/wrs/res/system2000/WRSTAB.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Memfile1\projects\DOCUME~1\marrv.000\LOCALS~1\Temp\Copy%20of%20Updated_Staffing_Request_Form_CEI_Associated%20Accounts%20June%2030.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LA%20-%20July%2031\https\us.webvpn.sapient.com\Documents%20and%20Settings\dlbern\Local%20Settings\Temporary%20Internet%20Files\OLKB2\R2%20Plannin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Net_acc_5/public/Documents%20and%20Settings/Owner/My%20Documents/Na_SluSUT_02/Sec1aSec1b.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DMSSWN06P/Documents/WRK/CHT/s2005weo/ch2/RC/Capital/Profits_EM.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CTXFILE01/CitrixUserData/My%20Documents/WHD/KNA/KNAreal%20Mission%20Version4.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D:\eShop\Project_Management\Project%20Tracking\Vodafone_eShop_Dependencies_Tracker.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D:\Documents%20and%20Settings\gaiyer\Local%20Settings\Temporary%20Internet%20Files\OLK90\DB%20staffing%20plan%20-%2013%20Feb%2006.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PSGWN03P/WHD/Users/AHajdenberg/My%20Documents/colombia/april%2003%20mission/colreal%2011-4-03.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D:\Documents%20and%20Settings\sewordor\Desktop\Monthly%20Financial%20Statements%20-%20November%202010%20(revised%20to%20prepare%201SR).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J:\DATA\S1\ECU\SECTORS\External\ecuredtab.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http://www-int.imf.org/depts/pdr/Policies/Access/ExternalSustainTable_standard.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http://mail.gosl.gov.lc/SHADOW/ECCBLIB/GARCHIBA/6tzd01_.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CTXFILE01/CitrixUserData/SHADOW/ECCBLIB/GARCHIBA/6tzd01_.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V:\SHADOW\ECCBLIB\GARCHIBA\6tzd01_.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R:\DOC\B2\CHIEF\CRI\97RED\CGOVFEB.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LA%20-%20July%2031\https\us.webvpn.sapient.com\Documents%20and%20Settings\nwolt\Local%20Settings\Temporary%20Internet%20Files\OLK3\TVG_INGEST_Perf_Response_Times_Sep8.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Delmdoc01\Data\SAMS_HICOM_15989_VSS\Non_Configurable_Items\Project_Management\Copy%20of%20HICOM_15989_Virtual_War_Room.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Memfile1\projects\Harrahs\Harrah's%20ACTIVE\M@TS\projects\Harrahs\EP2_QH_Design\DOCUME~1\DODONN~1\LOCALS~1\Temp\BCBSA%20Estimate%20v16.xls" TargetMode="External"/></Relationships>
</file>

<file path=xl/externalLinks/_rels/externalLink163.xml.rels><?xml version="1.0" encoding="UTF-8" standalone="yes"?>
<Relationships xmlns="http://schemas.openxmlformats.org/package/2006/relationships"><Relationship Id="rId1" Type="http://schemas.microsoft.com/office/2006/relationships/xlExternalLinkPath/xlPathMissing" Target="Connectid_child_pet_location_platform_estimate_v8.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D:\Users\rshah\AppData\Local\Microsoft\Windows\INetCache\Content.Outlook\87P2LN4H\Library\Caches\TemporaryItems\Outlook%20Temp\84576_Estimation_Tool_JHS.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D:\Projects\jetblue_digital_library\Project_Management\Scope\Variance%203\LiveTV_Estimation_%20Variance%203_v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PSFWN03P/INS/DATA/CA/CRI/Dbase/Dinput/CRI-INPUT-ABOP.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P:\IMF%20Reports\361MFSCBS%20(1SR).xlsx"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LA%20-%20July%2031\https\datasolutions.tvguide.com\My%20Documents\TV%20Guide\Status\Program%20Status\Cocktail%20Status%202006-04-11.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LA%20-%20July%2031\https\datasolutions.tvguide.com\My%20Documents\TV%20Guide\Temp\My%20Documents\TV%20Guide\Temp\TEMP%20Status.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D:\Users\jmurp1\AppData\Local\Microsoft\Windows\Temporary%20Internet%20Files\Content.Outlook\N6D4PZNE\Estimation_Template_v2__20975__v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D:\Users\sganbo\Library\Caches\TemporaryItems\Outlook%20Temp\RecoveredExternalLink1"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C:\Tourism\Tourism%202012%201.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mail.gosl.gov.lc/Documents%20and%20Settings/jlafeuille/My%20Documents/Reviews/Review%202009/Annual/Documents%20and%20Settings/MHIPPOLYTE/My%20Documents/tourism%20review.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G:\Documents%20and%20Settings\TEMP\My%20Documents\Downloads\Tourism%20data\Economic%20Review%20(1).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G:\ESR%202021%20full%20year\February%20updated%20AGRICULTURE%20MASTERFILE%20NEW%20(working%20draft).xlsx"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C:\Users\THMATH~1\AppData\Local\Temp\UTILITIES-1.xlsx"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Z:\REAL%20SECTOR\UNIT%20GDP%20PROJECTIONS\2017\GDP%20Forecast%20Dec%202017\WASCO%20Data%20sheet%202017.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G:\DOCUME~1\THMATH~1\LOCALS~1\Temp\Appendix_April_11_2013%20tourism.xlsx"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Debt%20for%20fiscal/TM%20FISCAL%20NEW/Fiscal%202016-17/FISCAL%20MASTER%20FILEwith%20variance.xlsm"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C:\Users\RP%20User\Desktop\Economic%20Review%202017\ER%202017%20Feb%2010%202018\FISCAL%20MASTER%20FILE%20Feb%2010%202018.xlsm"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G:\Review%202012\Appendix_Mar_15_2013.xlsx"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C:\Users\jlafeuille\AppData\Local\Microsoft\Windows\Temporary%20Internet%20Files\Content.IE5\1D57UDZC\2018-19%20Year%20End%20Outlook%20-%20REc.%20&amp;%20Capital%20Research.xlsx"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G:\2018-19%20Year%20End%20Outlook%20-%20REc.%20&amp;%20Capital%20Research.xlsx"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G:\Review%202017%20Feb%2017\Debt%20statistics%20master%20file%20as%20at%20December%202017%20JL%20Feb%2017.xlsx"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C:\Users\kevans\Documents\DEBT%20MASTER%20FILE%2002172020%20ke.xlsx"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Z:\FISCAL%20AND%20DEBT\DEBT%20FILES\Debt%20statistics%20master%20file%20as%20at%20December%202017%20JL%20Feb%2025.xlsx"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X:\Economic%20Review%202017\Review%202017%20Feb%2016%202018\Economic%20Review%20DebtTables%20-%20December%20%202017%20Feb%2016%202018%20corrected.xlsx"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Z:\FISCAL%20AND%20DEBT\DEBT%20FILES\Debt%20Files\Debt%20Economic%20Review%20Tables\Economic%20Review%20Tables%20-%20December%20%202019%20(2)%20rec'd%20Feb%2014%202020.xlsx"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C:\Users\thmathurin\Downloads\Economic%20Review%20Tables%20-%20December%20%202015%20revised%20march%2010(2).xlsx"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X:\Economic%20Review%202017\Review%202017%20Feb%2016%202018\Debt%20Feb%2016%202018\Debt%20Listing%20revised%20from%20Debt%20Unit%20Feb%2021%202018\Debt%20Listing%20Tables_December%2031,%202015%20rev%20Feb%2021%202018.xlsx"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C:\DOCUME~1\THMATH~1\LOCALS~1\Temp\Economic%20Review%20Tables%20-%20December%202013%20rev.xlsx"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C:\Users\dkaidou\AppData\Local\Microsoft\Windows\Temporary%20Internet%20Files\Content.IE5\RV5LRPO2\Monetary%20Financial%20Statictis%202014%20File.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C:\Users\User\Documents\Economic%20Review%202020\Economic%20Review%202020%20YTD%20Sep\ER%202020%20compiled%20full%20year\APPENDIX_%202020_MAIN_FILE%20Mar%2004%202021%20J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est Rates"/>
      <sheetName val="Deposits"/>
      <sheetName val="Sectoral distribution"/>
      <sheetName val="Loans"/>
      <sheetName val="For. Assets"/>
      <sheetName val="For. Liabilities"/>
      <sheetName val="Assets"/>
      <sheetName val="Liabilities"/>
      <sheetName val="gdp- nominal"/>
      <sheetName val="gdp-real"/>
      <sheetName val="CPI"/>
      <sheetName val="MS"/>
      <sheetName val="NEP"/>
      <sheetName val="Tourism"/>
      <sheetName val="Trade"/>
      <sheetName val="Fiscal"/>
      <sheetName val="BOP"/>
      <sheetName val="Selected Economic Indicators"/>
      <sheetName val="Credits- Add on &amp; Reducing"/>
      <sheetName val="Sheet7"/>
      <sheetName val="Sheet6"/>
      <sheetName val="Sheet5"/>
      <sheetName val="Sheet4"/>
      <sheetName val="APPENDIX 10 "/>
      <sheetName val="sei-suggested"/>
      <sheetName val="visitors,q-02-05"/>
      <sheetName val="input-Cen Gov"/>
      <sheetName val="input-other"/>
      <sheetName val="Q6"/>
      <sheetName val="Q5"/>
      <sheetName val="PRESSUP"/>
      <sheetName val="DESPESA"/>
      <sheetName val="Table 2"/>
      <sheetName val="A Previous Data"/>
      <sheetName val="General Assumptions"/>
      <sheetName val="ALL ROAD KP"/>
      <sheetName val="Components of VAcp"/>
      <sheetName val="Quarterly Summary"/>
      <sheetName val="Taxis Annual"/>
      <sheetName val="Taxis Quarterly"/>
      <sheetName val="Minibuses Annual"/>
      <sheetName val="Minibuses Quarterly"/>
      <sheetName val="Freight Annual"/>
      <sheetName val="Freight Quarterly"/>
      <sheetName val="Tours Annual"/>
      <sheetName val="Tours Quarterly"/>
      <sheetName val="SUT"/>
      <sheetName val="Bednights "/>
      <sheetName val="Arrivals 2011-2016"/>
      <sheetName val="Arrivals 2002_2010"/>
      <sheetName val="CONSOLIDATED REPORT (day)"/>
      <sheetName val="monthly info (MS)"/>
      <sheetName val="Manufacturing qtrly"/>
      <sheetName val="Monthly Raw Data"/>
      <sheetName val="Programa"/>
      <sheetName val="Commercial Banks"/>
      <sheetName val="Real Sectors Jan-Mar"/>
      <sheetName val="WB"/>
      <sheetName val="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structions"/>
      <sheetName val="Color codes"/>
      <sheetName val="January"/>
      <sheetName val="February"/>
      <sheetName val="March"/>
      <sheetName val="April"/>
      <sheetName val="May"/>
      <sheetName val="June"/>
      <sheetName val="July"/>
      <sheetName val="August"/>
      <sheetName val="September"/>
      <sheetName val="October"/>
      <sheetName val="November"/>
      <sheetName val="December"/>
      <sheetName val="All months"/>
      <sheetName val="Variance ($)"/>
      <sheetName val="Variance (%)"/>
      <sheetName val="Variance Report"/>
      <sheetName val="Variance Explanations"/>
      <sheetName val="Graphs"/>
      <sheetName val="Rati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standing Liabilities"/>
      <sheetName val="Liabilities as % of GDP"/>
      <sheetName val="Public Debt; holder &amp; Terms"/>
      <sheetName val="Central Gov'nt; holder &amp; terms "/>
      <sheetName val="List of Official Debt"/>
      <sheetName val="Distribtion of External Debt"/>
      <sheetName val="MS"/>
    </sheetNames>
    <sheetDataSet>
      <sheetData sheetId="0"/>
      <sheetData sheetId="1"/>
      <sheetData sheetId="2"/>
      <sheetData sheetId="3"/>
      <sheetData sheetId="4"/>
      <sheetData sheetId="5"/>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standing Liabilities"/>
      <sheetName val="Liabilities as % of GDP"/>
      <sheetName val="Public Debt; holder &amp; Terms"/>
      <sheetName val="Central Gov'nt; holder &amp; terms "/>
      <sheetName val="List of Official Debt"/>
      <sheetName val="Distribtion of External Debt"/>
    </sheetNames>
    <sheetDataSet>
      <sheetData sheetId="0"/>
      <sheetData sheetId="1"/>
      <sheetData sheetId="2"/>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standing Liabilities"/>
      <sheetName val="Liabilities as % of GDP"/>
      <sheetName val="Public Debt; holder &amp; Terms"/>
      <sheetName val="Central Gov'nt; holder &amp; terms "/>
      <sheetName val="List of Official Debt"/>
      <sheetName val="Distribtion of External Debt"/>
    </sheetNames>
    <sheetDataSet>
      <sheetData sheetId="0"/>
      <sheetData sheetId="1"/>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standing Liabilities"/>
      <sheetName val="Liabilities as % of GDP"/>
      <sheetName val="Public Debt; holder &amp; Terms"/>
      <sheetName val="Central Gov'nt; holder &amp; terms "/>
      <sheetName val="List of Official Debt"/>
      <sheetName val="Distribtion of External Debt"/>
    </sheetNames>
    <sheetDataSet>
      <sheetData sheetId="0"/>
      <sheetData sheetId="1"/>
      <sheetData sheetId="2"/>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standing Liabilities"/>
      <sheetName val="Liabilities as % of GDP"/>
      <sheetName val="Public Debt; holder &amp; Terms"/>
      <sheetName val="Central Gov'nt; holder &amp; terms "/>
      <sheetName val="List of Official Debt"/>
      <sheetName val="Distribtion of External Debt"/>
      <sheetName val="Orgao"/>
      <sheetName val="Provinc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 (new)"/>
      <sheetName val="Leases"/>
      <sheetName val="Info"/>
      <sheetName val="Ext.Fin (FY)"/>
      <sheetName val="Table fy"/>
      <sheetName val="Table"/>
      <sheetName val="BOP"/>
      <sheetName val="Output"/>
      <sheetName val="weo"/>
      <sheetName val="Macro"/>
      <sheetName val="Exp"/>
      <sheetName val="Imp"/>
      <sheetName val="serv"/>
      <sheetName val="in-out"/>
      <sheetName val="KA"/>
      <sheetName val="Ind"/>
      <sheetName val="DSA output"/>
      <sheetName val="Sheet1"/>
      <sheetName val="WE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s"/>
      <sheetName val="Liabilities"/>
      <sheetName val="ControlSheet"/>
      <sheetName val="Fund Accounts"/>
      <sheetName val="06R"/>
      <sheetName val="10R-10G"/>
      <sheetName val="20R-20G"/>
      <sheetName val="30G"/>
      <sheetName val="40R-40G"/>
      <sheetName val="50G"/>
      <sheetName val="MonAggr"/>
      <sheetName val="IMF TABLES"/>
      <sheetName val="R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s"/>
      <sheetName val="Liabilities"/>
      <sheetName val="ControlSheet"/>
      <sheetName val="Fund Accounts"/>
      <sheetName val="06R"/>
      <sheetName val="10R-10G"/>
      <sheetName val="20R-20G"/>
      <sheetName val="30G"/>
      <sheetName val="40R-40G"/>
      <sheetName val="50G"/>
      <sheetName val="MonAggr"/>
      <sheetName val="IMF TABLES"/>
      <sheetName val="R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Import"/>
      <sheetName val="Analysis"/>
      <sheetName val="Export"/>
      <sheetName val="ECCB-In"/>
      <sheetName val="CBs-In"/>
      <sheetName val="Rates-In"/>
      <sheetName val="ECCB"/>
      <sheetName val="Commercial Banks"/>
      <sheetName val="Monetary Survey"/>
      <sheetName val="SR TBL4"/>
      <sheetName val="Bank Soundness"/>
      <sheetName val="RED TBL18"/>
      <sheetName val="RED TBL21"/>
      <sheetName val="RED TBL22"/>
      <sheetName val="RED TBL23"/>
      <sheetName val="RED TBL24"/>
      <sheetName val="RED TBL25"/>
      <sheetName val="RED TBL26"/>
      <sheetName val="financial system"/>
      <sheetName val="xxweolinksxx"/>
      <sheetName val="Public Debt; holder &amp; Terms"/>
      <sheetName val="CPIINDEX"/>
      <sheetName val="Nominal"/>
      <sheetName val="EERProf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Import"/>
      <sheetName val="Analysis"/>
      <sheetName val="Export"/>
      <sheetName val="ECCB-In"/>
      <sheetName val="CBs-In"/>
      <sheetName val="Rates-In"/>
      <sheetName val="ECCB"/>
      <sheetName val="Commercial Banks"/>
      <sheetName val="Monetary Survey"/>
      <sheetName val="SR TBL4"/>
      <sheetName val="Bank Soundness"/>
      <sheetName val="RED TBL18"/>
      <sheetName val="RED TBL21"/>
      <sheetName val="RED TBL22"/>
      <sheetName val="RED TBL23"/>
      <sheetName val="RED TBL24"/>
      <sheetName val="RED TBL25"/>
      <sheetName val="RED TBL26"/>
      <sheetName val="financial system"/>
      <sheetName val="xxweolinks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al Debentures"/>
      <sheetName val="Treasury Bills"/>
      <sheetName val="Calculator"/>
    </sheetNames>
    <sheetDataSet>
      <sheetData sheetId="0"/>
      <sheetData sheetId="1">
        <row r="5">
          <cell r="B5" t="str">
            <v xml:space="preserve"> </v>
          </cell>
        </row>
      </sheetData>
      <sheetData sheetId="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
      <sheetName val="Input"/>
      <sheetName val="Main Output Table"/>
      <sheetName val="BoP"/>
      <sheetName val="End-94-update"/>
      <sheetName val="Projects"/>
      <sheetName val="Debt"/>
      <sheetName val="export"/>
      <sheetName val="import"/>
      <sheetName val="Gas"/>
      <sheetName val="IMF"/>
      <sheetName val="WB"/>
      <sheetName val="EBRD"/>
      <sheetName val="ER"/>
      <sheetName val="RED_TbleBOP"/>
      <sheetName val="Debt_Sum_Tbl"/>
      <sheetName val="RED_Tble36"/>
      <sheetName val="Tbl2-DSA"/>
      <sheetName val="BoP_Sum (comp)"/>
      <sheetName val="DS_after2001 (2)"/>
      <sheetName val="DS_after2001"/>
      <sheetName val="Chart1 DS"/>
      <sheetName val="Prog"/>
      <sheetName val="UFC_TBL"/>
      <sheetName val="CPFs"/>
      <sheetName val="ControlSheet"/>
      <sheetName val="DSA-2000"/>
      <sheetName val="NPV"/>
      <sheetName val="NPV-gap-Geo&amp;Napflow"/>
      <sheetName val="NPV-gap-Napstock"/>
      <sheetName val="DSA_Naple_F_S"/>
      <sheetName val="WEOQ5"/>
      <sheetName val="WEOQ6"/>
      <sheetName val="WEOQ7"/>
      <sheetName val="End-94-old"/>
      <sheetName val="GEO_Q"/>
      <sheetName val="FSUOUT"/>
      <sheetName val="WEO"/>
      <sheetName val="Structure"/>
      <sheetName val="IR-6SR"/>
      <sheetName val="CB-1SR_Bridge"/>
      <sheetName val="CB-1SR"/>
      <sheetName val="STA-1SG"/>
      <sheetName val="AD-CB"/>
      <sheetName val="DMB"/>
      <sheetName val="Comb_Bridge"/>
      <sheetName val="ODC-2SR_Bridge_banks"/>
      <sheetName val="ODC-2SR_Bridge_CRU"/>
      <sheetName val="ODC-2SR"/>
      <sheetName val="STA-2SG"/>
      <sheetName val="AD-ODC"/>
      <sheetName val="STA-3SG"/>
      <sheetName val="AD-DC"/>
      <sheetName val="OFC-4SR"/>
      <sheetName val="STA-4SG"/>
      <sheetName val="AD-OFC"/>
      <sheetName val="STA-5SG"/>
      <sheetName val="AD-FC"/>
      <sheetName val="MA-5SR_Bridge"/>
      <sheetName val="MA-5SR"/>
      <sheetName val="ER-01R"/>
      <sheetName val="Inputs"/>
      <sheetName val="Out-A"/>
      <sheetName val="Out-F"/>
      <sheetName val="Out-M"/>
      <sheetName val="Out-BoP"/>
      <sheetName val="Trade"/>
      <sheetName val="BoP-worksheet"/>
      <sheetName val="Finance"/>
      <sheetName val="Pledge"/>
      <sheetName val="Finreq"/>
      <sheetName val="FundSR"/>
      <sheetName val="Input_external"/>
      <sheetName val="Inp_Outp_debt"/>
      <sheetName val="BoP-GDP"/>
      <sheetName val="NPC Debt"/>
      <sheetName val="Flow"/>
      <sheetName val="Oil shock"/>
      <sheetName val="Fiscal1"/>
      <sheetName val="Figs"/>
      <sheetName val="NRI"/>
      <sheetName val="Input-DS-04-Feb 05"/>
      <sheetName val="Input-DS-05-Feb 05"/>
      <sheetName val="Input-Grants-05-Feb 05-2"/>
      <sheetName val="Input-Grants-04-Feb 05"/>
      <sheetName val="Input-Credit-05-Feb 05"/>
      <sheetName val="Input-Credit 04 Feb 05"/>
      <sheetName val="Merchandise"/>
      <sheetName val="Debt stocks"/>
      <sheetName val="Storage"/>
      <sheetName val="Q5"/>
      <sheetName val="Q6"/>
      <sheetName val="Q7"/>
      <sheetName val="OUTREO"/>
      <sheetName val="OUTREO_History"/>
      <sheetName val="A-II.3"/>
      <sheetName val="out_fiscal"/>
      <sheetName val="out_main"/>
      <sheetName val="Imp"/>
      <sheetName val="DSA output"/>
      <sheetName val="in-out"/>
      <sheetName val="CY BOT CASHFLOW"/>
      <sheetName val="A 11"/>
      <sheetName val="GeoBop"/>
      <sheetName val="Growth&amp;Price Assump"/>
      <sheetName val="GeoBop.xls"/>
      <sheetName val="Prg-A"/>
      <sheetName val="Control"/>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al Debentures"/>
      <sheetName val="Treasury Bills"/>
      <sheetName val="Calculator"/>
    </sheetNames>
    <sheetDataSet>
      <sheetData sheetId="0"/>
      <sheetData sheetId="1">
        <row r="5">
          <cell r="B5" t="str">
            <v xml:space="preserve"> </v>
          </cell>
        </row>
      </sheetData>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otes"/>
      <sheetName val="X-Ranges"/>
      <sheetName val="M-Ranges"/>
      <sheetName val="WEO Ass"/>
      <sheetName val="SR-Tab5-bop"/>
      <sheetName val="SR-Tabs7&amp;8-mt"/>
      <sheetName val="vul-ind SRversion"/>
      <sheetName val="vul-ind PDRversion"/>
      <sheetName val="Indicators"/>
      <sheetName val="BOP Stress "/>
      <sheetName val="BOPdetail"/>
      <sheetName val="Trade"/>
      <sheetName val="Debt"/>
      <sheetName val="G"/>
      <sheetName val="Profits"/>
      <sheetName val="Inv. Income"/>
      <sheetName val="NIR"/>
      <sheetName val="SA-Tab 27"/>
      <sheetName val="SA-Tab 28"/>
      <sheetName val="SA Tab 29"/>
      <sheetName val="SA Tab 30"/>
      <sheetName val="Oper.Budg."/>
      <sheetName val="OilShock"/>
      <sheetName val="K"/>
      <sheetName val="J"/>
      <sheetName val="cobra"/>
      <sheetName val="OldTab28"/>
      <sheetName val="OldTab35"/>
      <sheetName val="OldTab36"/>
      <sheetName val="Old Summ BoP"/>
      <sheetName val="Old Brf-Tbl"/>
      <sheetName val="OldSR-Tbl"/>
      <sheetName val="WE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MIENTO"/>
      <sheetName val="FLUJO"/>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 val="SA_HP"/>
      <sheetName val="PRIVATE"/>
      <sheetName val="Programa"/>
      <sheetName val="2"/>
    </sheetNames>
    <sheetDataSet>
      <sheetData sheetId="0" refreshError="1"/>
      <sheetData sheetId="1" refreshError="1"/>
      <sheetData sheetId="2"/>
      <sheetData sheetId="3" refreshError="1"/>
      <sheetData sheetId="4" refreshError="1"/>
      <sheetData sheetId="5"/>
      <sheetData sheetId="6" refreshError="1"/>
      <sheetData sheetId="7" refreshError="1"/>
      <sheetData sheetId="8"/>
      <sheetData sheetId="9" refreshError="1">
        <row r="9">
          <cell r="Q9">
            <v>1996</v>
          </cell>
        </row>
        <row r="62">
          <cell r="Q62">
            <v>76.78</v>
          </cell>
          <cell r="R62">
            <v>4.33</v>
          </cell>
          <cell r="S62">
            <v>2.61</v>
          </cell>
          <cell r="T62">
            <v>12.760000000000002</v>
          </cell>
          <cell r="U62">
            <v>44.510000000000005</v>
          </cell>
          <cell r="V62">
            <v>64.210000000000008</v>
          </cell>
          <cell r="W62">
            <v>8.19</v>
          </cell>
          <cell r="X62">
            <v>9.7799999999999994</v>
          </cell>
          <cell r="Y62">
            <v>9.4499999999999993</v>
          </cell>
          <cell r="Z62">
            <v>46.13</v>
          </cell>
          <cell r="AA62">
            <v>73.55</v>
          </cell>
          <cell r="AB62">
            <v>7.9799999999999995</v>
          </cell>
          <cell r="AC62">
            <v>6.1160000000000005</v>
          </cell>
          <cell r="AD62">
            <v>38.659999999999997</v>
          </cell>
          <cell r="AE62">
            <v>5.56</v>
          </cell>
          <cell r="AF62">
            <v>58.316000000000003</v>
          </cell>
          <cell r="AG62">
            <v>74.066000000000003</v>
          </cell>
          <cell r="AH62">
            <v>98.094999999999999</v>
          </cell>
          <cell r="AI62">
            <v>84.61</v>
          </cell>
          <cell r="AJ62">
            <v>61.33</v>
          </cell>
          <cell r="AK62">
            <v>55.18</v>
          </cell>
        </row>
        <row r="255">
          <cell r="Q255">
            <v>62.06</v>
          </cell>
          <cell r="R255">
            <v>0</v>
          </cell>
          <cell r="S255">
            <v>0</v>
          </cell>
          <cell r="T255">
            <v>0</v>
          </cell>
          <cell r="U255">
            <v>41.45</v>
          </cell>
          <cell r="V255">
            <v>41.45</v>
          </cell>
          <cell r="W255">
            <v>0</v>
          </cell>
          <cell r="X255">
            <v>0.4</v>
          </cell>
          <cell r="Y255">
            <v>0.94</v>
          </cell>
          <cell r="Z255">
            <v>21.05</v>
          </cell>
          <cell r="AA255">
            <v>22.39</v>
          </cell>
          <cell r="AB255">
            <v>0.66</v>
          </cell>
          <cell r="AC255">
            <v>1.37</v>
          </cell>
          <cell r="AD255">
            <v>34.9</v>
          </cell>
          <cell r="AE255">
            <v>2.41</v>
          </cell>
          <cell r="AF255">
            <v>39.339999999999996</v>
          </cell>
          <cell r="AG255">
            <v>55.938000000000002</v>
          </cell>
          <cell r="AH255">
            <v>83.715000000000003</v>
          </cell>
          <cell r="AI255">
            <v>64.623000000000005</v>
          </cell>
          <cell r="AJ255">
            <v>36.6</v>
          </cell>
          <cell r="AK255">
            <v>30.68</v>
          </cell>
        </row>
        <row r="257">
          <cell r="Q257">
            <v>14.719999999999999</v>
          </cell>
          <cell r="R257">
            <v>4.33</v>
          </cell>
          <cell r="S257">
            <v>2.61</v>
          </cell>
          <cell r="T257">
            <v>12.760000000000002</v>
          </cell>
          <cell r="U257">
            <v>3.0600000000000023</v>
          </cell>
          <cell r="V257">
            <v>22.760000000000005</v>
          </cell>
          <cell r="W257">
            <v>8.19</v>
          </cell>
          <cell r="X257">
            <v>9.379999999999999</v>
          </cell>
          <cell r="Y257">
            <v>8.51</v>
          </cell>
          <cell r="Z257">
            <v>25.080000000000002</v>
          </cell>
          <cell r="AA257">
            <v>51.16</v>
          </cell>
          <cell r="AB257">
            <v>7.3199999999999994</v>
          </cell>
          <cell r="AC257">
            <v>4.7460000000000004</v>
          </cell>
          <cell r="AD257">
            <v>3.759999999999998</v>
          </cell>
          <cell r="AE257">
            <v>3.1499999999999995</v>
          </cell>
          <cell r="AF257">
            <v>18.975999999999996</v>
          </cell>
          <cell r="AG257">
            <v>18.128</v>
          </cell>
          <cell r="AH257">
            <v>14.379999999999995</v>
          </cell>
          <cell r="AI257">
            <v>19.986999999999995</v>
          </cell>
          <cell r="AJ257">
            <v>24.729999999999997</v>
          </cell>
          <cell r="AK257">
            <v>24.5</v>
          </cell>
        </row>
      </sheetData>
      <sheetData sheetId="10"/>
      <sheetData sheetId="11"/>
      <sheetData sheetId="12"/>
      <sheetData sheetId="13"/>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
      <sheetName val="BASICIND"/>
      <sheetName val="CONS_GOVT"/>
      <sheetName val="CONS_GOVT_GDP"/>
      <sheetName val="CBANK"/>
      <sheetName val="MSURVEY"/>
      <sheetName val="BOPEF"/>
      <sheetName val="STATINDEX---&gt;"/>
      <sheetName val="NGDP_R"/>
      <sheetName val="NGDP"/>
      <sheetName val="AGRI"/>
      <sheetName val="INDCOM"/>
      <sheetName val="ELECTR"/>
      <sheetName val="PCPI"/>
      <sheetName val="MAINCOM"/>
      <sheetName val="WAGES"/>
      <sheetName val="EMPLOY"/>
      <sheetName val="LABORMKT"/>
      <sheetName val="EMPL_PUBL"/>
      <sheetName val="EMPL_BUDG"/>
      <sheetName val="STATE"/>
      <sheetName val="STATE_GDP"/>
      <sheetName val="TAXREV"/>
      <sheetName val="CURREXP"/>
      <sheetName val="EMPFUND"/>
      <sheetName val="EMPFUND_GDP"/>
      <sheetName val="PENSION"/>
      <sheetName val="BENEFIT_UNEMP"/>
      <sheetName val="BNKLOANS"/>
      <sheetName val="INTERST"/>
      <sheetName val="TRADE"/>
      <sheetName val="DOT"/>
      <sheetName val="EXTDEBT"/>
      <sheetName val="PRIVATE"/>
      <sheetName val="ARREARS"/>
      <sheetName val="ENER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ecute_Macros"/>
      <sheetName val="Annual_Transfer"/>
      <sheetName val="Quarterly_Transfer"/>
      <sheetName val="Annual_Assumptions"/>
      <sheetName val="Quarterly_Assumptions"/>
      <sheetName val="Annual_MacroFlow"/>
      <sheetName val="Quarterly_MacroFlow"/>
      <sheetName val="Annual_Tables"/>
      <sheetName val="MFLOW96"/>
      <sheetName val="F1data"/>
      <sheetName val="F2data"/>
      <sheetName val="Execute Macros"/>
      <sheetName val="Annual Transfer"/>
      <sheetName val="Quarterly Transfer"/>
      <sheetName val="Annual Assumptions"/>
      <sheetName val="Quarterly Assumptions"/>
      <sheetName val="Annual MacroFlow"/>
      <sheetName val="Quarterly MacroFlow"/>
      <sheetName val="Annual Tables"/>
      <sheetName val="#REF"/>
      <sheetName val="MFLOW96.XLS"/>
      <sheetName val="\\data3\users3\Users\dsimard\Ap"/>
      <sheetName val="Imp"/>
      <sheetName val="DSA output"/>
    </sheetNames>
    <definedNames>
      <definedName name="[Macros Import].qbop"/>
      <definedName name="atrade"/>
      <definedName name="mflowsa"/>
      <definedName name="mflowsq"/>
      <definedName name="mstocksa"/>
      <definedName name="mstocksq"/>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filiados"/>
      <sheetName val="PRIVATE"/>
    </sheetNames>
    <sheetDataSet>
      <sheetData sheetId="0"/>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ecute Macros"/>
      <sheetName val="Annual Transfer"/>
      <sheetName val="Quarterly Transfer"/>
      <sheetName val="Annual Assumptions"/>
      <sheetName val="Quarterly Assumptions"/>
      <sheetName val="Annual MacroFlow"/>
      <sheetName val="Quarterly MacroFlow"/>
      <sheetName val="Annual Tables"/>
      <sheetName val="MFLOW96"/>
      <sheetName val="MFLOW96.XLS"/>
      <sheetName val="A 11"/>
    </sheetNames>
    <definedNames>
      <definedName name="[Macros Import].qbop"/>
      <definedName name="atrade"/>
      <definedName name="mflowsa"/>
      <definedName name="mflowsq"/>
      <definedName name="mstocksa"/>
      <definedName name="mstocksq"/>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1"/>
      <sheetName val="A 2"/>
      <sheetName val="A 3_A 13"/>
      <sheetName val="A 4_A 14"/>
      <sheetName val="A 5_A 15"/>
      <sheetName val="A 6"/>
      <sheetName val="A 7"/>
      <sheetName val="A 8"/>
      <sheetName val="A 9"/>
      <sheetName val="A 11"/>
      <sheetName val="C 2"/>
      <sheetName val="A 16"/>
      <sheetName val="A 18"/>
      <sheetName val="Bridge to 2SR"/>
      <sheetName val="Comm. Banks"/>
      <sheetName val="NBS"/>
      <sheetName val="Tcoy."/>
      <sheetName val="Globe Trust"/>
      <sheetName val="NBS&amp;TC -Bridge to 2SR"/>
      <sheetName val="NBS&amp;TC"/>
      <sheetName val="ODC-2SR"/>
      <sheetName val="STA-2SF"/>
      <sheetName val="WHD-O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1"/>
      <sheetName val="A 2"/>
      <sheetName val="A 3_A 13"/>
      <sheetName val="A 4_A 14"/>
      <sheetName val="A 5_A 15"/>
      <sheetName val="A 6"/>
      <sheetName val="A 7"/>
      <sheetName val="A 8"/>
      <sheetName val="A 9"/>
      <sheetName val="A 11"/>
      <sheetName val="C 2"/>
      <sheetName val="A 16"/>
      <sheetName val="A 18"/>
      <sheetName val="Bridge to 2SR"/>
      <sheetName val="Comm. Banks"/>
      <sheetName val="NBS"/>
      <sheetName val="Tcoy."/>
      <sheetName val="Globe Trust"/>
      <sheetName val="NBS&amp;TC -Bridge to 2SR"/>
      <sheetName val="NBS&amp;TC"/>
      <sheetName val="ODC-2SR"/>
      <sheetName val="STA-2SF"/>
      <sheetName val="WHD-O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MENU"/>
      <sheetName val="Table of Contents EFR"/>
      <sheetName val="Table of Contents BSBAR"/>
      <sheetName val="Other Menu"/>
      <sheetName val="EFR - Submenu"/>
      <sheetName val="central bank survey"/>
      <sheetName val="dmc survey -imf format"/>
      <sheetName val="dmc survey -eccb format"/>
      <sheetName val="EMPC"/>
      <sheetName val="MPAC(BS7)"/>
      <sheetName val="external debt"/>
      <sheetName val="GDP_nom_exp"/>
      <sheetName val="reer"/>
      <sheetName val="Liabilities (BSBAR)"/>
      <sheetName val="Assets (BSBAR)"/>
      <sheetName val="Supp A Deposits (BSBAR)"/>
      <sheetName val="SupB-Credits (BSBAR)"/>
      <sheetName val="SupC-Net External Assets"/>
      <sheetName val="Investments (BSBAR)"/>
      <sheetName val="Interest Rates (BSBAR)"/>
      <sheetName val="BS2 (BSBAR)"/>
      <sheetName val="BS2 Maturity Analysis (BSBAR)"/>
      <sheetName val="Avg (BSBAR)"/>
      <sheetName val="Sources &amp; Apps ( BSBAR)"/>
      <sheetName val="Assets, Liquidity,Capital Ratio"/>
      <sheetName val="bank supervision"/>
      <sheetName val="Asset, Liquidity,NFA-Foreign "/>
      <sheetName val="Earnings Ratios(O)"/>
      <sheetName val="Earnings Ratios(n) "/>
      <sheetName val="Schedule 10"/>
      <sheetName val="CAMEL ratios - including BS6"/>
      <sheetName val="Unsatisfactory Assets"/>
      <sheetName val="BS1 - All Supps Included"/>
      <sheetName val="Commercial Banks' NFA"/>
      <sheetName val="Central Bank NFA- Imputed Reser"/>
      <sheetName val="Other Items Net"/>
      <sheetName val="Detailed Monetary Survey"/>
      <sheetName val="Monetary Survey - Review Format"/>
      <sheetName val="DMC Survey"/>
      <sheetName val="Credit Analysis (o)"/>
      <sheetName val=" Credit Analysis (n)"/>
      <sheetName val="Liquidity Ratios - Re (new)"/>
      <sheetName val="Liquidity Ratios - Re(old)"/>
      <sheetName val="Sectoral Dist."/>
      <sheetName val="BOP-Stand'd Prestn.(o)"/>
      <sheetName val="Fiscal - Anguilla"/>
      <sheetName val="Fiscal-Antigua"/>
      <sheetName val="Fiscal-Dominica"/>
      <sheetName val="FISCAL-Grenada"/>
      <sheetName val="Fiscal-Montserrat"/>
      <sheetName val="FISCAL-St Lucia"/>
      <sheetName val="Fiscal - SVG"/>
      <sheetName val="Fiscal-St.kitts"/>
      <sheetName val="Tourism - Anguilla"/>
      <sheetName val="Tourism - Antigua "/>
      <sheetName val="Tourism-Dominica"/>
      <sheetName val="TOURISM - Grenada"/>
      <sheetName val="Tourism - Montserrat"/>
      <sheetName val="Tourism - St. Kitts"/>
      <sheetName val="Tourism-St Lucia"/>
      <sheetName val="Tourism-SVG"/>
      <sheetName val="CPI-ANTIGUA"/>
      <sheetName val="CPI-ANGUILLA"/>
      <sheetName val="CPI-DOMINICA"/>
      <sheetName val="CPI -GRENADA"/>
      <sheetName val="CPI - MONTSERRAT"/>
      <sheetName val="CPI - ST. LUCIA"/>
      <sheetName val="CPI- ST.KN "/>
      <sheetName val="CPI - STVINCEN"/>
      <sheetName val="bank supervision-LiquidityTable"/>
      <sheetName val="Research-liquidity table"/>
      <sheetName val="MPU-Liquidity Table"/>
      <sheetName val="BOP-Stand'd Prestn."/>
      <sheetName val="BOP-Stand'd Prestn.(n)"/>
      <sheetName val="BOP-Annual Prestn."/>
      <sheetName val="BOP-Annual Prestn.(O)"/>
      <sheetName val="BOP-Annual Prestn. (n)"/>
      <sheetName val="fiscal - qtrly"/>
      <sheetName val=" Fiscal-annually"/>
      <sheetName val="tourism - qtrly and annual"/>
      <sheetName val="National Acs CON"/>
      <sheetName val="National Acs Cur"/>
      <sheetName val="Liquidity Ratios - MP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67"/>
      <sheetName val="bcospreli"/>
      <sheetName val="pm0025"/>
      <sheetName val="bcosdef"/>
      <sheetName val="pm0028"/>
      <sheetName val="bccrdef"/>
      <sheetName val="diario"/>
      <sheetName val="bccrpreli"/>
      <sheetName val="Bancos"/>
      <sheetName val="Central"/>
      <sheetName val="Programa"/>
      <sheetName val="Crédito"/>
      <sheetName val="res99"/>
      <sheetName val="SEMANAL"/>
      <sheetName val="paradoc"/>
      <sheetName val="Metas"/>
      <sheetName val="encaje"/>
      <sheetName val="omas"/>
      <sheetName val="minor"/>
      <sheetName val="origen y aplicacion"/>
      <sheetName val="PROGvrsOBS"/>
      <sheetName val="RFPROMEDIOPIB"/>
      <sheetName val="resctasmonet"/>
      <sheetName val="balanzaresumen1"/>
      <sheetName val="riqueza"/>
      <sheetName val="comparativofmi"/>
      <sheetName val="Hoja5"/>
      <sheetName val="evaluacionmetas"/>
      <sheetName val="absorcion"/>
      <sheetName val="Hoja2"/>
      <sheetName val="base FMI"/>
      <sheetName val="FMI"/>
      <sheetName val="Riq. Fin."/>
      <sheetName val="Módulo1"/>
      <sheetName val="riqfin"/>
      <sheetName val="deficit"/>
      <sheetName val="Hoja4"/>
      <sheetName val="flujos (2)"/>
      <sheetName val="prog2000revisiónmensualización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0025"/>
      <sheetName val="bcosdef"/>
      <sheetName val="ca67"/>
      <sheetName val="bcospreli"/>
      <sheetName val="pm0028"/>
      <sheetName val="bccrdef"/>
      <sheetName val="Bancos"/>
      <sheetName val="Central"/>
      <sheetName val="Programa"/>
      <sheetName val="SEMANAL"/>
      <sheetName val="res2002"/>
      <sheetName val="paradoc "/>
      <sheetName val="PROGvrsOBS"/>
      <sheetName val="deficit"/>
      <sheetName val="Metas"/>
      <sheetName val="RFPROMEDIOPIB"/>
      <sheetName val="encaje"/>
      <sheetName val="emision"/>
      <sheetName val="BalanceBCom"/>
      <sheetName val="balanzaresumen"/>
      <sheetName val="base FMI"/>
      <sheetName val="FMI"/>
      <sheetName val="resctasmonet"/>
      <sheetName val="omas"/>
      <sheetName val="minor"/>
      <sheetName val="origen y aplicacion"/>
      <sheetName val="origen y aplicacion 2002"/>
      <sheetName val="origen y aplicacion 2003"/>
      <sheetName val="origen y aplicacion 2004"/>
      <sheetName val="basemonetaria"/>
      <sheetName val="riqueza"/>
      <sheetName val="Crédito"/>
      <sheetName val="comparativofmi"/>
      <sheetName val="evaluacionmetas"/>
      <sheetName val="depbcosme"/>
      <sheetName val="absorcion"/>
      <sheetName val="Módulo1"/>
      <sheetName val="flujos (2)"/>
      <sheetName val="Hoja1"/>
      <sheetName val="indice"/>
      <sheetName val="DB"/>
      <sheetName val="CB"/>
      <sheetName val="CSPPROMEDIOPI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DebtM"/>
      <sheetName val="finreq-m02"/>
      <sheetName val="BoP-m02"/>
      <sheetName val="Input"/>
      <sheetName val="Trade"/>
      <sheetName val="SER"/>
      <sheetName val="Input2"/>
      <sheetName val="DebtSer"/>
      <sheetName val="CAP"/>
      <sheetName val="RES"/>
      <sheetName val="BoP"/>
      <sheetName val="BoP M-T"/>
      <sheetName val="FinReqM-T"/>
      <sheetName val="DEBT"/>
      <sheetName val="Vulnerability Indicators"/>
      <sheetName val="BOP Main"/>
      <sheetName val="BOP Alt"/>
      <sheetName val="month-01"/>
      <sheetName val="FINREQ"/>
      <sheetName val="monthCAP"/>
      <sheetName val="OUTPUT"/>
      <sheetName val="finproj"/>
      <sheetName val="PC+Bond"/>
      <sheetName val="arr"/>
      <sheetName val="PC"/>
      <sheetName val="M-Ttab"/>
      <sheetName val="BondFin"/>
      <sheetName val="PCscen"/>
      <sheetName val="BoP med-t"/>
      <sheetName val="gaps"/>
      <sheetName val="month2000"/>
      <sheetName val="WEO"/>
      <sheetName val="SR_99"/>
      <sheetName val="BoPmonth99"/>
      <sheetName val="Chart1"/>
      <sheetName val="WEOQ5"/>
      <sheetName val="WEOQ6"/>
      <sheetName val="WEOQ7"/>
      <sheetName val="xxweolinksxx"/>
      <sheetName val="correlations with EMBI"/>
      <sheetName val="BoP_M-T"/>
      <sheetName val="Vulnerability_Indicators"/>
      <sheetName val="BOP_Main"/>
      <sheetName val="BOP_Alt"/>
      <sheetName val="BoP_med-t"/>
      <sheetName val="Progr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refreshError="1"/>
      <sheetData sheetId="4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ulnerability Indicators"/>
      <sheetName val="BOP Main"/>
      <sheetName val="BOP Alt"/>
      <sheetName val="Index"/>
      <sheetName val="DebtM"/>
      <sheetName val="Finreq-M"/>
      <sheetName val="BoP-M"/>
      <sheetName val="BoP-Q"/>
      <sheetName val="Trade"/>
      <sheetName val="Input"/>
      <sheetName val="SER"/>
      <sheetName val="Input2"/>
      <sheetName val="DebtSer"/>
      <sheetName val="CAP"/>
      <sheetName val="RES"/>
      <sheetName val="BoP"/>
      <sheetName val="BoP M-T"/>
      <sheetName val="FinReqM-T"/>
      <sheetName val="Tab7SR"/>
      <sheetName val="Tab8SR"/>
      <sheetName val="DEBT"/>
      <sheetName val="month-01"/>
      <sheetName val="FINREQ"/>
      <sheetName val="monthCAP"/>
      <sheetName val="OUTPUT"/>
      <sheetName val="PC+Bond"/>
      <sheetName val="arr"/>
      <sheetName val="PC"/>
      <sheetName val="BondFin"/>
      <sheetName val="PCscen"/>
      <sheetName val="month2000"/>
      <sheetName val="WEOQ5"/>
      <sheetName val="WEOQ6"/>
      <sheetName val="WEOQ7"/>
      <sheetName val="xxweolinks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ecute Macros"/>
      <sheetName val="Annual Raw Data"/>
      <sheetName val="Quarterly Raw Data"/>
      <sheetName val="WEO Raw Data"/>
      <sheetName val="Annual Assumptions"/>
      <sheetName val="Quarterly Assumptions"/>
      <sheetName val="Annual MacroFlow"/>
      <sheetName val="Quarterly MacroFlow"/>
      <sheetName val="Annual Tables"/>
      <sheetName val="SEI Table"/>
      <sheetName val="Basic Data"/>
      <sheetName val="Program MFlows97"/>
      <sheetName val="WEO Submission Sheet"/>
      <sheetName val="SEI Chart"/>
      <sheetName val="Fiscal Chart"/>
      <sheetName val="Money Chart"/>
      <sheetName val="Macros Import"/>
      <sheetName val="Macros Print"/>
      <sheetName val="Execute_Macros"/>
      <sheetName val="Annual_Raw_Data"/>
      <sheetName val="Quarterly_Raw_Data"/>
      <sheetName val="WEO_Raw_Data"/>
      <sheetName val="Annual_Assumptions"/>
      <sheetName val="Quarterly_Assumptions"/>
      <sheetName val="Annual_MacroFlow"/>
      <sheetName val="Quarterly_MacroFlow"/>
      <sheetName val="Annual_Tables"/>
      <sheetName val="SEI_Table"/>
      <sheetName val="Basic_Data"/>
      <sheetName val="Program_MFlows97"/>
      <sheetName val="WEO_Submission_Sheet"/>
      <sheetName val="SEI_Chart"/>
      <sheetName val="Fiscal_Chart"/>
      <sheetName val="Money_Chart"/>
      <sheetName val="Macros_Import"/>
      <sheetName val="Macros_Print"/>
      <sheetName val="EFF_Arrangements"/>
      <sheetName val="PRGF_Arrangements"/>
      <sheetName val="STBY_Arrangements"/>
      <sheetName val="EFF Arrangements"/>
      <sheetName val="PRGF Arrangements"/>
      <sheetName val="STBY Arrangements"/>
      <sheetName val="BoP"/>
      <sheetName val="RES"/>
      <sheetName val="Input"/>
      <sheetName val="OUTPUT"/>
      <sheetName val="Tra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95"/>
      <sheetName val="Annual Tables"/>
      <sheetName val="Index"/>
      <sheetName val="Annual Raw Data"/>
      <sheetName val="Quarterly Raw Data"/>
      <sheetName val="Quarterly MacroFlow"/>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Contents"/>
      <sheetName val="R1"/>
      <sheetName val="R2"/>
      <sheetName val="R3"/>
      <sheetName val="R4"/>
      <sheetName val="R5"/>
      <sheetName val="R6"/>
      <sheetName val="R7"/>
      <sheetName val="E1"/>
      <sheetName val="E2"/>
      <sheetName val="L1"/>
      <sheetName val="L2"/>
      <sheetName val="L3"/>
      <sheetName val="L4"/>
      <sheetName val="L5"/>
      <sheetName val="L6"/>
      <sheetName val="L7"/>
      <sheetName val="R8"/>
      <sheetName val="Gov1"/>
      <sheetName val="Gov2"/>
      <sheetName val="Gov3"/>
      <sheetName val="Gov4"/>
      <sheetName val="Gov5"/>
      <sheetName val="Gov6"/>
      <sheetName val="Gov7"/>
      <sheetName val="Gov8"/>
      <sheetName val="Gov9"/>
      <sheetName val="M1"/>
      <sheetName val="M2"/>
      <sheetName val="M3"/>
      <sheetName val="M4"/>
      <sheetName val="M5"/>
      <sheetName val="B1"/>
      <sheetName val="B2"/>
      <sheetName val="B3"/>
      <sheetName val="D"/>
      <sheetName val="BoP"/>
      <sheetName val="T1"/>
      <sheetName val="T2"/>
      <sheetName val="T3"/>
      <sheetName val="40"/>
      <sheetName val="41"/>
      <sheetName val="42"/>
      <sheetName val="43"/>
      <sheetName val="44"/>
      <sheetName val="45"/>
      <sheetName val="SR-tables"/>
      <sheetName val="SR-Basic indicators"/>
      <sheetName val="Labor"/>
      <sheetName val="LVA_RED_2001_tab"/>
      <sheetName val="Quadro Macro"/>
      <sheetName val="Resumo_Âmbito"/>
      <sheetName val="C"/>
      <sheetName val="PRIVATE"/>
    </sheetNames>
    <sheetDataSet>
      <sheetData sheetId="0"/>
      <sheetData sheetId="1"/>
      <sheetData sheetId="2"/>
      <sheetData sheetId="3"/>
      <sheetData sheetId="4"/>
      <sheetData sheetId="5"/>
      <sheetData sheetId="6"/>
      <sheetData sheetId="7"/>
      <sheetData sheetId="8" refreshError="1">
        <row r="1">
          <cell r="A1" t="str">
            <v>Table 7. Latvia: Gross Domestic Product by Expenditure at Constant Prices, 1996-2000</v>
          </cell>
        </row>
        <row r="4">
          <cell r="B4">
            <v>1995</v>
          </cell>
          <cell r="C4">
            <v>1996</v>
          </cell>
          <cell r="D4">
            <v>1997</v>
          </cell>
          <cell r="E4">
            <v>1998</v>
          </cell>
          <cell r="F4">
            <v>1999</v>
          </cell>
          <cell r="G4">
            <v>2000</v>
          </cell>
        </row>
        <row r="6">
          <cell r="C6" t="str">
            <v>(In thousands of 1995 lats)</v>
          </cell>
        </row>
        <row r="7">
          <cell r="A7" t="str">
            <v>Final consumption</v>
          </cell>
          <cell r="B7">
            <v>1992317</v>
          </cell>
          <cell r="C7">
            <v>2153374.6165267015</v>
          </cell>
          <cell r="D7">
            <v>2236061</v>
          </cell>
          <cell r="E7">
            <v>2374749</v>
          </cell>
          <cell r="F7">
            <v>2466123</v>
          </cell>
          <cell r="G7">
            <v>2559601</v>
          </cell>
        </row>
        <row r="8">
          <cell r="A8" t="str">
            <v xml:space="preserve">Households and of non-profit </v>
          </cell>
        </row>
        <row r="9">
          <cell r="A9" t="str">
            <v xml:space="preserve">institutions serving households (NPISH)  </v>
          </cell>
          <cell r="B9">
            <v>1470541</v>
          </cell>
          <cell r="C9">
            <v>1622275.6261519773</v>
          </cell>
          <cell r="D9">
            <v>1703541</v>
          </cell>
          <cell r="E9">
            <v>1809935</v>
          </cell>
          <cell r="F9">
            <v>1901359</v>
          </cell>
          <cell r="G9">
            <v>2007234</v>
          </cell>
        </row>
        <row r="10">
          <cell r="A10" t="str">
            <v>General government</v>
          </cell>
          <cell r="B10">
            <v>521776</v>
          </cell>
          <cell r="C10">
            <v>531098.99037472392</v>
          </cell>
          <cell r="D10">
            <v>532520</v>
          </cell>
          <cell r="E10">
            <v>564814</v>
          </cell>
          <cell r="F10">
            <v>564764</v>
          </cell>
          <cell r="G10">
            <v>552367</v>
          </cell>
        </row>
        <row r="11">
          <cell r="A11" t="str">
            <v>Gross capital formation</v>
          </cell>
          <cell r="B11">
            <v>413625.12625088287</v>
          </cell>
          <cell r="C11">
            <v>438258.3834732984</v>
          </cell>
          <cell r="D11">
            <v>491880</v>
          </cell>
          <cell r="E11">
            <v>684786</v>
          </cell>
          <cell r="F11">
            <v>624870</v>
          </cell>
          <cell r="G11">
            <v>617163</v>
          </cell>
        </row>
        <row r="12">
          <cell r="A12" t="str">
            <v>Gross fixed capital formation</v>
          </cell>
          <cell r="B12">
            <v>354876</v>
          </cell>
          <cell r="C12">
            <v>434026.3834732984</v>
          </cell>
          <cell r="D12">
            <v>523996</v>
          </cell>
          <cell r="E12">
            <v>754489</v>
          </cell>
          <cell r="F12">
            <v>724215</v>
          </cell>
          <cell r="G12">
            <v>802305</v>
          </cell>
        </row>
        <row r="13">
          <cell r="A13" t="str">
            <v xml:space="preserve">Changes in inventories </v>
          </cell>
          <cell r="B13">
            <v>58749</v>
          </cell>
          <cell r="C13">
            <v>4232</v>
          </cell>
          <cell r="D13">
            <v>-32116</v>
          </cell>
          <cell r="E13">
            <v>-69703</v>
          </cell>
          <cell r="F13">
            <v>-99345</v>
          </cell>
          <cell r="G13">
            <v>-185142</v>
          </cell>
        </row>
        <row r="14">
          <cell r="A14" t="str">
            <v>Exports of goods and services</v>
          </cell>
          <cell r="B14">
            <v>1101039.8737491171</v>
          </cell>
          <cell r="C14">
            <v>1323911</v>
          </cell>
          <cell r="D14">
            <v>1497675</v>
          </cell>
          <cell r="E14">
            <v>1570381</v>
          </cell>
          <cell r="F14">
            <v>1470475</v>
          </cell>
          <cell r="G14">
            <v>1658408</v>
          </cell>
        </row>
        <row r="15">
          <cell r="A15" t="str">
            <v>Imports of goods and services</v>
          </cell>
          <cell r="B15">
            <v>1157759</v>
          </cell>
          <cell r="C15">
            <v>1487839</v>
          </cell>
          <cell r="D15">
            <v>1588862</v>
          </cell>
          <cell r="E15">
            <v>1890795</v>
          </cell>
          <cell r="F15">
            <v>1792902</v>
          </cell>
          <cell r="G15">
            <v>1884456</v>
          </cell>
        </row>
        <row r="16">
          <cell r="A16" t="str">
            <v>GDP at purchasers'  prices</v>
          </cell>
          <cell r="B16">
            <v>2349223</v>
          </cell>
          <cell r="C16">
            <v>2427705</v>
          </cell>
          <cell r="D16">
            <v>2636754</v>
          </cell>
          <cell r="E16">
            <v>2739121</v>
          </cell>
          <cell r="F16">
            <v>2768566</v>
          </cell>
          <cell r="G16">
            <v>2950716</v>
          </cell>
        </row>
        <row r="18">
          <cell r="C18" t="str">
            <v>(Percentage growth)</v>
          </cell>
        </row>
        <row r="19">
          <cell r="A19" t="str">
            <v>Final consumption</v>
          </cell>
          <cell r="C19" t="str">
            <v>...</v>
          </cell>
          <cell r="D19">
            <v>3.8398513123865108</v>
          </cell>
          <cell r="E19">
            <v>6.2023352672400334</v>
          </cell>
          <cell r="F19">
            <v>3.8477329604096999</v>
          </cell>
          <cell r="G19">
            <v>3.7904840918315807</v>
          </cell>
        </row>
        <row r="20">
          <cell r="A20" t="str">
            <v xml:space="preserve">Households and of non-profit </v>
          </cell>
        </row>
        <row r="21">
          <cell r="A21" t="str">
            <v xml:space="preserve">institutions serving households (NPISH)  </v>
          </cell>
          <cell r="C21" t="str">
            <v>...</v>
          </cell>
          <cell r="D21">
            <v>5.0093444380215013</v>
          </cell>
          <cell r="E21">
            <v>6.2454616589797451</v>
          </cell>
          <cell r="F21">
            <v>5.0512311215596073</v>
          </cell>
          <cell r="G21">
            <v>5.5683855600126009</v>
          </cell>
        </row>
        <row r="22">
          <cell r="A22" t="str">
            <v>General government</v>
          </cell>
          <cell r="C22" t="str">
            <v>...</v>
          </cell>
          <cell r="D22">
            <v>0.26756021966327648</v>
          </cell>
          <cell r="E22">
            <v>6.0643731690828595</v>
          </cell>
          <cell r="F22">
            <v>-8.8524717871685255E-3</v>
          </cell>
          <cell r="G22">
            <v>-2.1950761734104818</v>
          </cell>
        </row>
        <row r="23">
          <cell r="A23" t="str">
            <v>Gross capital formation</v>
          </cell>
          <cell r="C23" t="str">
            <v>...</v>
          </cell>
          <cell r="D23">
            <v>12.235160478103801</v>
          </cell>
          <cell r="E23">
            <v>39.218101976091724</v>
          </cell>
          <cell r="F23">
            <v>-8.7495947639116505</v>
          </cell>
          <cell r="G23">
            <v>-1.2333765423208076</v>
          </cell>
        </row>
        <row r="24">
          <cell r="A24" t="str">
            <v>Gross fixed capital formation</v>
          </cell>
          <cell r="C24" t="str">
            <v>...</v>
          </cell>
          <cell r="D24">
            <v>20.729066239411374</v>
          </cell>
          <cell r="E24">
            <v>43.987549523278815</v>
          </cell>
          <cell r="F24">
            <v>-4.0125170810972772</v>
          </cell>
          <cell r="G24">
            <v>10.782709554483127</v>
          </cell>
        </row>
        <row r="25">
          <cell r="A25" t="str">
            <v xml:space="preserve">Changes in inventories </v>
          </cell>
          <cell r="C25" t="str">
            <v>...</v>
          </cell>
          <cell r="D25">
            <v>-858.8846880907372</v>
          </cell>
          <cell r="E25">
            <v>117.03512268028398</v>
          </cell>
          <cell r="F25">
            <v>42.526146650789777</v>
          </cell>
          <cell r="G25">
            <v>86.362675524686708</v>
          </cell>
        </row>
        <row r="26">
          <cell r="A26" t="str">
            <v>Exports of goods and services</v>
          </cell>
          <cell r="C26" t="str">
            <v>...</v>
          </cell>
          <cell r="D26">
            <v>13.125051457386494</v>
          </cell>
          <cell r="E26">
            <v>4.8545912831555516</v>
          </cell>
          <cell r="F26">
            <v>-6.3618956164141043</v>
          </cell>
          <cell r="G26">
            <v>12.78042809296316</v>
          </cell>
        </row>
        <row r="27">
          <cell r="A27" t="str">
            <v>Imports of goods and services</v>
          </cell>
          <cell r="C27" t="str">
            <v>...</v>
          </cell>
          <cell r="D27">
            <v>6.7899147690039019</v>
          </cell>
          <cell r="E27">
            <v>19.003097814662318</v>
          </cell>
          <cell r="F27">
            <v>-5.1773460369844422</v>
          </cell>
          <cell r="G27">
            <v>5.1064698460930869</v>
          </cell>
        </row>
        <row r="28">
          <cell r="A28" t="str">
            <v>GDP at purchasers'  prices</v>
          </cell>
          <cell r="C28" t="str">
            <v>...</v>
          </cell>
          <cell r="D28">
            <v>8.6109720909253831</v>
          </cell>
          <cell r="E28">
            <v>3.8823113570700896</v>
          </cell>
          <cell r="F28">
            <v>1.0749798931847021</v>
          </cell>
          <cell r="G28">
            <v>6.5792182667850474</v>
          </cell>
        </row>
        <row r="30">
          <cell r="A30" t="str">
            <v xml:space="preserve">   Source:  Central Statistical Bureau of Latvia.</v>
          </cell>
        </row>
      </sheetData>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99-00mod"/>
      <sheetName val="PROYECCIONES-PM 2000mod"/>
      <sheetName val="RESUMEN"/>
      <sheetName val="PROYECCIONES-PM 2000mod (2)"/>
      <sheetName val="REV I sem 2000"/>
      <sheetName val="FINANC-9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statistics required from units"/>
      <sheetName val="contents"/>
      <sheetName val="links"/>
      <sheetName val="Flow of Funds"/>
      <sheetName val="govt fof"/>
      <sheetName val="sei-suggested"/>
      <sheetName val="selected economic indicators"/>
      <sheetName val="sei-pub"/>
      <sheetName val="council"/>
      <sheetName val="ccms"/>
      <sheetName val="central govt operations"/>
      <sheetName val="central government revenue"/>
      <sheetName val="central government exp"/>
      <sheetName val="MONETARY SURVEY"/>
      <sheetName val="BOP"/>
      <sheetName val="external debt"/>
      <sheetName val="gdp-nom"/>
      <sheetName val="gdp-real"/>
      <sheetName val="GDP_nom_exp"/>
      <sheetName val="tourism"/>
      <sheetName val="cpi"/>
      <sheetName val="central bank survey"/>
      <sheetName val="dmc survey"/>
      <sheetName val="imputed reserves"/>
      <sheetName val="interest rates"/>
      <sheetName val="credit by sector"/>
      <sheetName val="reer"/>
      <sheetName val="sei-annual format"/>
      <sheetName val="selectedeconomicindicators"/>
      <sheetName val="Commercial Banks"/>
      <sheetName val="PROYECCIONES-PM 2000mod"/>
      <sheetName val="PROYECCIONES-PM 2000mod (2)"/>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1"/>
      <sheetName val="Sum2"/>
      <sheetName val="BCV"/>
      <sheetName val="Macro"/>
      <sheetName val="Projections"/>
      <sheetName val="Debt"/>
      <sheetName val="PDVSA"/>
      <sheetName val="CashFlow"/>
      <sheetName val="Trade Ind"/>
      <sheetName val="Indicators"/>
      <sheetName val="WEO"/>
      <sheetName val="Berne Union"/>
      <sheetName val="PROYECCIONES-PM 2000mod"/>
      <sheetName val="PROYECCIONES-PM 2000mod (2)"/>
      <sheetName val="selected economic indicators"/>
    </sheetNames>
    <sheetDataSet>
      <sheetData sheetId="0" refreshError="1"/>
      <sheetData sheetId="1" refreshError="1"/>
      <sheetData sheetId="2" refreshError="1"/>
      <sheetData sheetId="3" refreshError="1"/>
      <sheetData sheetId="4" refreshError="1"/>
      <sheetData sheetId="5" refreshError="1">
        <row r="2">
          <cell r="B2">
            <v>1987</v>
          </cell>
          <cell r="C2">
            <v>1988</v>
          </cell>
          <cell r="D2">
            <v>1989</v>
          </cell>
          <cell r="E2">
            <v>1990</v>
          </cell>
          <cell r="F2">
            <v>1991</v>
          </cell>
          <cell r="G2">
            <v>1992</v>
          </cell>
          <cell r="H2">
            <v>1993</v>
          </cell>
          <cell r="I2">
            <v>1994</v>
          </cell>
          <cell r="J2" t="str">
            <v>1995</v>
          </cell>
          <cell r="K2" t="str">
            <v>1995</v>
          </cell>
          <cell r="L2" t="str">
            <v>1995</v>
          </cell>
          <cell r="M2" t="str">
            <v>1995</v>
          </cell>
          <cell r="N2">
            <v>1995</v>
          </cell>
          <cell r="O2">
            <v>1996</v>
          </cell>
          <cell r="P2">
            <v>1996</v>
          </cell>
          <cell r="Q2">
            <v>1996</v>
          </cell>
          <cell r="R2">
            <v>1996</v>
          </cell>
          <cell r="S2">
            <v>1996</v>
          </cell>
          <cell r="T2">
            <v>1997</v>
          </cell>
          <cell r="U2">
            <v>1997</v>
          </cell>
          <cell r="V2">
            <v>1997</v>
          </cell>
          <cell r="W2">
            <v>1997</v>
          </cell>
          <cell r="X2">
            <v>1997</v>
          </cell>
          <cell r="Y2">
            <v>1998</v>
          </cell>
          <cell r="Z2">
            <v>1998</v>
          </cell>
          <cell r="AA2">
            <v>1998</v>
          </cell>
          <cell r="AB2">
            <v>1998</v>
          </cell>
          <cell r="AC2">
            <v>1998</v>
          </cell>
          <cell r="AD2">
            <v>1998</v>
          </cell>
          <cell r="AE2">
            <v>1998</v>
          </cell>
          <cell r="AF2">
            <v>1998</v>
          </cell>
          <cell r="AG2">
            <v>1998</v>
          </cell>
          <cell r="AH2">
            <v>1998</v>
          </cell>
          <cell r="AI2">
            <v>1998</v>
          </cell>
          <cell r="AJ2">
            <v>1998</v>
          </cell>
          <cell r="AK2">
            <v>1998</v>
          </cell>
          <cell r="AL2">
            <v>1998</v>
          </cell>
          <cell r="AM2">
            <v>1998</v>
          </cell>
          <cell r="AN2">
            <v>1999</v>
          </cell>
          <cell r="AO2">
            <v>1999</v>
          </cell>
          <cell r="AP2">
            <v>2000</v>
          </cell>
          <cell r="AQ2">
            <v>2001</v>
          </cell>
          <cell r="AR2">
            <v>2002</v>
          </cell>
          <cell r="AS2">
            <v>2003</v>
          </cell>
          <cell r="AT2">
            <v>2004</v>
          </cell>
        </row>
        <row r="3">
          <cell r="J3" t="str">
            <v>Q1</v>
          </cell>
          <cell r="K3" t="str">
            <v>Q2</v>
          </cell>
          <cell r="L3" t="str">
            <v>Q3</v>
          </cell>
          <cell r="M3" t="str">
            <v>Q4</v>
          </cell>
          <cell r="O3" t="str">
            <v>Q1</v>
          </cell>
          <cell r="P3" t="str">
            <v>Q2</v>
          </cell>
          <cell r="Q3" t="str">
            <v>Q3</v>
          </cell>
          <cell r="R3" t="str">
            <v>Q4</v>
          </cell>
          <cell r="T3" t="str">
            <v>Q1</v>
          </cell>
          <cell r="U3" t="str">
            <v>Q2</v>
          </cell>
          <cell r="V3" t="str">
            <v>Q3</v>
          </cell>
          <cell r="W3" t="str">
            <v>Q4</v>
          </cell>
          <cell r="Y3" t="str">
            <v>Q1</v>
          </cell>
          <cell r="Z3" t="str">
            <v>Q2</v>
          </cell>
          <cell r="AA3" t="str">
            <v>Q3</v>
          </cell>
          <cell r="AB3" t="str">
            <v>Q4</v>
          </cell>
          <cell r="AC3" t="str">
            <v>Rev-3</v>
          </cell>
          <cell r="AD3" t="str">
            <v>Q1</v>
          </cell>
          <cell r="AE3" t="str">
            <v>Q2</v>
          </cell>
          <cell r="AF3" t="str">
            <v>Q3</v>
          </cell>
          <cell r="AG3" t="str">
            <v>Q4</v>
          </cell>
          <cell r="AH3" t="str">
            <v>Rev-3</v>
          </cell>
          <cell r="AI3" t="str">
            <v>Q1</v>
          </cell>
          <cell r="AJ3" t="str">
            <v>Q2</v>
          </cell>
          <cell r="AK3" t="str">
            <v>Q3</v>
          </cell>
          <cell r="AL3" t="str">
            <v>Q4</v>
          </cell>
          <cell r="AM3" t="str">
            <v>Yr.</v>
          </cell>
          <cell r="AN3" t="str">
            <v>Auth</v>
          </cell>
          <cell r="AO3" t="str">
            <v>Staff</v>
          </cell>
        </row>
        <row r="4">
          <cell r="O4" t="str">
            <v>Prel.</v>
          </cell>
          <cell r="P4" t="str">
            <v>Prel.</v>
          </cell>
          <cell r="Q4" t="str">
            <v>Prel.</v>
          </cell>
          <cell r="R4" t="str">
            <v>Prel.</v>
          </cell>
          <cell r="S4" t="str">
            <v>Prel.</v>
          </cell>
          <cell r="T4" t="str">
            <v>Prel.</v>
          </cell>
          <cell r="U4" t="str">
            <v>Prel.</v>
          </cell>
          <cell r="V4" t="str">
            <v>Prel.</v>
          </cell>
          <cell r="W4" t="str">
            <v>Prel.</v>
          </cell>
          <cell r="X4" t="str">
            <v>Prel.</v>
          </cell>
          <cell r="Y4" t="str">
            <v>Prog.</v>
          </cell>
          <cell r="Z4" t="str">
            <v>Prog.</v>
          </cell>
          <cell r="AA4" t="str">
            <v>Prog.</v>
          </cell>
          <cell r="AB4" t="str">
            <v>Prog.</v>
          </cell>
          <cell r="AC4" t="str">
            <v>Prog.</v>
          </cell>
          <cell r="AD4" t="str">
            <v>Prog.</v>
          </cell>
          <cell r="AE4" t="str">
            <v>Prog.</v>
          </cell>
          <cell r="AF4" t="str">
            <v>Prog.</v>
          </cell>
          <cell r="AG4" t="str">
            <v>Prog.</v>
          </cell>
          <cell r="AH4" t="str">
            <v>Prog.</v>
          </cell>
          <cell r="AI4" t="str">
            <v>Prel.</v>
          </cell>
          <cell r="AJ4" t="str">
            <v>Prel.</v>
          </cell>
          <cell r="AK4" t="str">
            <v>Prel.</v>
          </cell>
          <cell r="AL4" t="str">
            <v>Prel.</v>
          </cell>
          <cell r="AM4" t="str">
            <v>Prel.</v>
          </cell>
          <cell r="AN4" t="str">
            <v>Proj.</v>
          </cell>
          <cell r="AO4" t="str">
            <v>Proj.</v>
          </cell>
          <cell r="AP4" t="str">
            <v>Proj.</v>
          </cell>
          <cell r="AQ4" t="str">
            <v>Proj.</v>
          </cell>
          <cell r="AR4" t="str">
            <v>Proj.</v>
          </cell>
          <cell r="AS4" t="str">
            <v>Proj.</v>
          </cell>
          <cell r="AT4" t="str">
            <v>Proj.</v>
          </cell>
        </row>
        <row r="6">
          <cell r="B6">
            <v>-2921.846</v>
          </cell>
          <cell r="C6">
            <v>-5953.9814000000006</v>
          </cell>
          <cell r="D6">
            <v>2175.7862000000005</v>
          </cell>
          <cell r="E6">
            <v>8452</v>
          </cell>
          <cell r="F6">
            <v>1924</v>
          </cell>
          <cell r="G6">
            <v>-3753</v>
          </cell>
          <cell r="H6">
            <v>-1992.7672000000002</v>
          </cell>
          <cell r="I6">
            <v>2541</v>
          </cell>
          <cell r="J6">
            <v>1057.586</v>
          </cell>
          <cell r="K6">
            <v>508.68799999999999</v>
          </cell>
          <cell r="L6">
            <v>-113.79999999999995</v>
          </cell>
          <cell r="M6">
            <v>565.73299999999995</v>
          </cell>
          <cell r="N6">
            <v>2018.2069999999999</v>
          </cell>
          <cell r="O6">
            <v>1942.16</v>
          </cell>
          <cell r="P6">
            <v>1189.05</v>
          </cell>
          <cell r="Q6">
            <v>2376</v>
          </cell>
          <cell r="R6">
            <v>3317</v>
          </cell>
          <cell r="S6">
            <v>8824.27</v>
          </cell>
          <cell r="T6">
            <v>2024.37</v>
          </cell>
          <cell r="U6">
            <v>1102.54</v>
          </cell>
          <cell r="V6">
            <v>549.63</v>
          </cell>
          <cell r="W6">
            <v>1008.1599999999999</v>
          </cell>
          <cell r="X6">
            <v>4684.7</v>
          </cell>
          <cell r="Y6">
            <v>244.7659014869362</v>
          </cell>
          <cell r="Z6">
            <v>-111.05554753685104</v>
          </cell>
          <cell r="AA6">
            <v>-464.34658760663842</v>
          </cell>
          <cell r="AB6">
            <v>501.33117648661573</v>
          </cell>
          <cell r="AC6">
            <v>170.69494283006665</v>
          </cell>
          <cell r="AD6">
            <v>299.43484632237369</v>
          </cell>
          <cell r="AE6">
            <v>-279.47940708625174</v>
          </cell>
          <cell r="AF6">
            <v>-338.90370090463983</v>
          </cell>
          <cell r="AG6">
            <v>-479.3342512642858</v>
          </cell>
          <cell r="AH6">
            <v>-790.78251293280459</v>
          </cell>
          <cell r="AI6">
            <v>-284.50711999999999</v>
          </cell>
          <cell r="AJ6">
            <v>-691.35270300000025</v>
          </cell>
          <cell r="AK6">
            <v>-365.12059999999951</v>
          </cell>
          <cell r="AL6">
            <v>-142.19319999999971</v>
          </cell>
          <cell r="AM6">
            <v>-1483.173622999997</v>
          </cell>
          <cell r="AN6">
            <v>-3119.1132356658786</v>
          </cell>
          <cell r="AO6">
            <v>-4422.7923318088333</v>
          </cell>
          <cell r="AP6">
            <v>-4581.7563565312812</v>
          </cell>
          <cell r="AQ6">
            <v>-6908.233072595719</v>
          </cell>
          <cell r="AR6">
            <v>-7882.8903497072452</v>
          </cell>
          <cell r="AS6">
            <v>-9137.4223165277072</v>
          </cell>
          <cell r="AT6">
            <v>-10191.551803354865</v>
          </cell>
        </row>
        <row r="9">
          <cell r="B9">
            <v>10564</v>
          </cell>
          <cell r="C9">
            <v>10195</v>
          </cell>
          <cell r="D9">
            <v>13054</v>
          </cell>
          <cell r="E9">
            <v>17617</v>
          </cell>
          <cell r="F9">
            <v>15156</v>
          </cell>
          <cell r="G9">
            <v>13988</v>
          </cell>
          <cell r="H9">
            <v>14586</v>
          </cell>
          <cell r="I9">
            <v>15905</v>
          </cell>
          <cell r="J9">
            <v>4395</v>
          </cell>
          <cell r="K9">
            <v>5065</v>
          </cell>
          <cell r="L9">
            <v>4585</v>
          </cell>
          <cell r="M9">
            <v>4797</v>
          </cell>
          <cell r="N9">
            <v>18842</v>
          </cell>
          <cell r="O9">
            <v>4847</v>
          </cell>
          <cell r="P9">
            <v>5551</v>
          </cell>
          <cell r="Q9">
            <v>5924</v>
          </cell>
          <cell r="R9">
            <v>7078</v>
          </cell>
          <cell r="S9">
            <v>23400</v>
          </cell>
          <cell r="T9">
            <v>5696</v>
          </cell>
          <cell r="U9">
            <v>5820</v>
          </cell>
          <cell r="V9">
            <v>5997</v>
          </cell>
          <cell r="W9">
            <v>5932</v>
          </cell>
          <cell r="X9">
            <v>23445</v>
          </cell>
          <cell r="Y9">
            <v>4455.0976000000001</v>
          </cell>
          <cell r="Z9">
            <v>4702.9871200000007</v>
          </cell>
          <cell r="AA9">
            <v>4948.6144240000003</v>
          </cell>
          <cell r="AB9">
            <v>5900.9577600000002</v>
          </cell>
          <cell r="AC9">
            <v>20007.656904000003</v>
          </cell>
          <cell r="AD9">
            <v>4477.5828799999999</v>
          </cell>
          <cell r="AE9">
            <v>4341.9072969999997</v>
          </cell>
          <cell r="AF9">
            <v>4406.0554120000006</v>
          </cell>
          <cell r="AG9">
            <v>4200.0706640000008</v>
          </cell>
          <cell r="AH9">
            <v>17425.616253</v>
          </cell>
          <cell r="AI9">
            <v>4528.5828799999999</v>
          </cell>
          <cell r="AJ9">
            <v>4396.9072969999997</v>
          </cell>
          <cell r="AK9">
            <v>4296.1994000000004</v>
          </cell>
          <cell r="AL9">
            <v>4189.8068000000003</v>
          </cell>
          <cell r="AM9">
            <v>17411.496377000003</v>
          </cell>
          <cell r="AN9">
            <v>15628.692369</v>
          </cell>
          <cell r="AO9">
            <v>15312.054368999999</v>
          </cell>
          <cell r="AP9">
            <v>17040.937447743341</v>
          </cell>
          <cell r="AQ9">
            <v>19913.26766326799</v>
          </cell>
          <cell r="AR9">
            <v>21501.884945067617</v>
          </cell>
          <cell r="AS9">
            <v>23039.872295464811</v>
          </cell>
          <cell r="AT9">
            <v>24262.637114675206</v>
          </cell>
        </row>
        <row r="10">
          <cell r="C10">
            <v>-3.4929950776221075E-2</v>
          </cell>
          <cell r="D10">
            <v>0.28043158410985769</v>
          </cell>
          <cell r="E10">
            <v>0.34954803125478784</v>
          </cell>
          <cell r="F10">
            <v>-0.13969461315774534</v>
          </cell>
          <cell r="G10">
            <v>-7.7065188704143583E-2</v>
          </cell>
          <cell r="H10">
            <v>4.2750929368029711E-2</v>
          </cell>
          <cell r="I10">
            <v>9.0429178664472865E-2</v>
          </cell>
          <cell r="N10">
            <v>0.18465891229173215</v>
          </cell>
          <cell r="O10">
            <v>0.10284414106939699</v>
          </cell>
          <cell r="P10">
            <v>9.5952615992102697E-2</v>
          </cell>
          <cell r="Q10">
            <v>0.29203925845147216</v>
          </cell>
          <cell r="R10">
            <v>0.475505524286012</v>
          </cell>
          <cell r="S10">
            <v>0.24190637936524784</v>
          </cell>
          <cell r="T10">
            <v>0.17515989271714472</v>
          </cell>
          <cell r="U10">
            <v>4.8459736984327151E-2</v>
          </cell>
          <cell r="V10">
            <v>1.232275489534107E-2</v>
          </cell>
          <cell r="W10">
            <v>-0.16191014410850524</v>
          </cell>
          <cell r="X10">
            <v>1.9230769230769162E-3</v>
          </cell>
          <cell r="Y10">
            <v>-0.21605510990374466</v>
          </cell>
          <cell r="Z10">
            <v>-0.19051154352220634</v>
          </cell>
          <cell r="AA10">
            <v>-0.17321940632251376</v>
          </cell>
          <cell r="AB10">
            <v>-1.8277413065105885E-2</v>
          </cell>
          <cell r="AC10">
            <v>-0.14821055499609026</v>
          </cell>
          <cell r="AD10">
            <v>-0.21390750000000003</v>
          </cell>
          <cell r="AE10">
            <v>-0.25396781838487981</v>
          </cell>
          <cell r="AF10">
            <v>-0.26529007637151902</v>
          </cell>
          <cell r="AG10">
            <v>-0.29196381254214421</v>
          </cell>
          <cell r="AH10">
            <v>-0.25674488150991681</v>
          </cell>
          <cell r="AI10">
            <v>-0.20495384831460672</v>
          </cell>
          <cell r="AJ10">
            <v>-2.9076553634809543E-2</v>
          </cell>
          <cell r="AK10">
            <v>-2.2904257514983817E-2</v>
          </cell>
          <cell r="AL10">
            <v>-2.4764353349148616E-2</v>
          </cell>
          <cell r="AM10">
            <v>-0.25734713683088062</v>
          </cell>
          <cell r="AN10">
            <v>-0.10311967496074292</v>
          </cell>
          <cell r="AO10">
            <v>-0.12129051009235492</v>
          </cell>
          <cell r="AP10">
            <v>0.11290993599418964</v>
          </cell>
          <cell r="AQ10">
            <v>0.16855470682483031</v>
          </cell>
          <cell r="AR10">
            <v>7.9776825615114344E-2</v>
          </cell>
          <cell r="AS10">
            <v>7.1528024372114363E-2</v>
          </cell>
          <cell r="AT10">
            <v>5.3071683884770682E-2</v>
          </cell>
        </row>
        <row r="12">
          <cell r="B12">
            <v>9054</v>
          </cell>
          <cell r="C12">
            <v>8136</v>
          </cell>
          <cell r="D12">
            <v>10001</v>
          </cell>
          <cell r="E12">
            <v>14085</v>
          </cell>
          <cell r="F12">
            <v>12307</v>
          </cell>
          <cell r="G12">
            <v>11014</v>
          </cell>
          <cell r="H12">
            <v>10855</v>
          </cell>
          <cell r="I12">
            <v>11351</v>
          </cell>
          <cell r="J12">
            <v>3054</v>
          </cell>
          <cell r="K12">
            <v>3671</v>
          </cell>
          <cell r="L12">
            <v>3306</v>
          </cell>
          <cell r="M12">
            <v>3599</v>
          </cell>
          <cell r="N12">
            <v>13630</v>
          </cell>
          <cell r="O12">
            <v>3733</v>
          </cell>
          <cell r="P12">
            <v>4341</v>
          </cell>
          <cell r="Q12">
            <v>4669</v>
          </cell>
          <cell r="R12">
            <v>5642</v>
          </cell>
          <cell r="S12">
            <v>18385</v>
          </cell>
          <cell r="T12">
            <v>4480</v>
          </cell>
          <cell r="U12">
            <v>4373</v>
          </cell>
          <cell r="V12">
            <v>4651</v>
          </cell>
          <cell r="W12">
            <v>4537</v>
          </cell>
          <cell r="X12">
            <v>18041</v>
          </cell>
          <cell r="Y12">
            <v>3137.0976000000001</v>
          </cell>
          <cell r="Z12">
            <v>3324.9871200000007</v>
          </cell>
          <cell r="AA12">
            <v>3557.6144240000003</v>
          </cell>
          <cell r="AB12">
            <v>4348.9577600000002</v>
          </cell>
          <cell r="AC12">
            <v>14368.656904000001</v>
          </cell>
          <cell r="AD12">
            <v>3180.5828800000004</v>
          </cell>
          <cell r="AE12">
            <v>3032.9072970000002</v>
          </cell>
          <cell r="AF12">
            <v>2947.0554120000006</v>
          </cell>
          <cell r="AG12">
            <v>2682.0706640000003</v>
          </cell>
          <cell r="AH12">
            <v>11842.616253000002</v>
          </cell>
          <cell r="AI12">
            <v>3234.5828800000004</v>
          </cell>
          <cell r="AJ12">
            <v>3087.9072970000002</v>
          </cell>
          <cell r="AK12">
            <v>3032.1994000000004</v>
          </cell>
          <cell r="AL12">
            <v>2764.8068000000003</v>
          </cell>
          <cell r="AM12">
            <v>12119.496377000001</v>
          </cell>
          <cell r="AN12">
            <v>9508.494369</v>
          </cell>
          <cell r="AO12">
            <v>10020.054368999999</v>
          </cell>
          <cell r="AP12">
            <v>11643.097447743341</v>
          </cell>
          <cell r="AQ12">
            <v>14191.55726326799</v>
          </cell>
          <cell r="AR12">
            <v>15436.871921067617</v>
          </cell>
          <cell r="AS12">
            <v>16610.958490024812</v>
          </cell>
          <cell r="AT12">
            <v>17447.988480908807</v>
          </cell>
        </row>
        <row r="13">
          <cell r="C13">
            <v>-0.10139165009940354</v>
          </cell>
          <cell r="D13">
            <v>0.22922812192723696</v>
          </cell>
          <cell r="E13">
            <v>0.40835916408359174</v>
          </cell>
          <cell r="F13">
            <v>-0.12623358182463618</v>
          </cell>
          <cell r="G13">
            <v>-0.10506215974648569</v>
          </cell>
          <cell r="H13">
            <v>-1.4436172144543291E-2</v>
          </cell>
          <cell r="I13">
            <v>4.5693228926761753E-2</v>
          </cell>
          <cell r="N13">
            <v>0.20077526209144558</v>
          </cell>
          <cell r="O13">
            <v>0.22233136869679115</v>
          </cell>
          <cell r="P13">
            <v>0.18251157722691369</v>
          </cell>
          <cell r="Q13">
            <v>0.41228070175438591</v>
          </cell>
          <cell r="R13">
            <v>0.56765768268963601</v>
          </cell>
          <cell r="S13">
            <v>0.34886280264123259</v>
          </cell>
          <cell r="T13">
            <v>0.20010715242432364</v>
          </cell>
          <cell r="U13">
            <v>7.3715733701911201E-3</v>
          </cell>
          <cell r="V13">
            <v>-3.8552152495181513E-3</v>
          </cell>
          <cell r="W13">
            <v>-0.19585253456221197</v>
          </cell>
          <cell r="X13">
            <v>-1.8710905629589325E-2</v>
          </cell>
          <cell r="Y13">
            <v>-0.2995864504822624</v>
          </cell>
          <cell r="Z13">
            <v>-0.24032002105284489</v>
          </cell>
          <cell r="AA13">
            <v>-0.23564525916755252</v>
          </cell>
          <cell r="AB13">
            <v>-5.4331815552685181E-2</v>
          </cell>
          <cell r="AC13">
            <v>-0.20654478235848439</v>
          </cell>
          <cell r="AD13">
            <v>-0.29004846428571418</v>
          </cell>
          <cell r="AE13">
            <v>-0.30644699359707295</v>
          </cell>
          <cell r="AF13">
            <v>-0.36636090905181673</v>
          </cell>
          <cell r="AG13">
            <v>-0.40884490544412599</v>
          </cell>
          <cell r="AH13">
            <v>-0.34357207178094329</v>
          </cell>
          <cell r="AI13">
            <v>-0.27799489285714274</v>
          </cell>
          <cell r="AJ13">
            <v>-4.5346058036392023E-2</v>
          </cell>
          <cell r="AK13">
            <v>-1.8040663673459911E-2</v>
          </cell>
          <cell r="AL13">
            <v>-8.8184372043606407E-2</v>
          </cell>
          <cell r="AM13">
            <v>-0.32822480034366164</v>
          </cell>
          <cell r="AN13">
            <v>-0.19709512105559579</v>
          </cell>
          <cell r="AO13">
            <v>-0.15389858499706988</v>
          </cell>
          <cell r="AP13">
            <v>0.1619794682716198</v>
          </cell>
          <cell r="AQ13">
            <v>0.21888160147784297</v>
          </cell>
          <cell r="AR13">
            <v>8.775038811440905E-2</v>
          </cell>
          <cell r="AS13">
            <v>7.6057285113239059E-2</v>
          </cell>
          <cell r="AT13">
            <v>5.039022831744755E-2</v>
          </cell>
        </row>
        <row r="15">
          <cell r="B15">
            <v>9054</v>
          </cell>
          <cell r="C15">
            <v>8136</v>
          </cell>
          <cell r="D15">
            <v>10001</v>
          </cell>
          <cell r="E15">
            <v>14085</v>
          </cell>
          <cell r="F15">
            <v>12307</v>
          </cell>
          <cell r="G15">
            <v>11014</v>
          </cell>
          <cell r="H15">
            <v>10855</v>
          </cell>
          <cell r="I15">
            <v>11351</v>
          </cell>
          <cell r="J15">
            <v>3033</v>
          </cell>
          <cell r="K15">
            <v>3638</v>
          </cell>
          <cell r="L15">
            <v>3276</v>
          </cell>
          <cell r="M15">
            <v>3570</v>
          </cell>
          <cell r="N15">
            <v>13517</v>
          </cell>
          <cell r="O15">
            <v>3707</v>
          </cell>
          <cell r="P15">
            <v>4295</v>
          </cell>
          <cell r="Q15">
            <v>4640</v>
          </cell>
          <cell r="R15">
            <v>5603</v>
          </cell>
          <cell r="S15">
            <v>18245</v>
          </cell>
          <cell r="T15">
            <v>4455</v>
          </cell>
          <cell r="U15">
            <v>4352</v>
          </cell>
          <cell r="V15">
            <v>4621</v>
          </cell>
          <cell r="W15">
            <v>4510</v>
          </cell>
          <cell r="X15">
            <v>17938</v>
          </cell>
          <cell r="Y15">
            <v>3201.12</v>
          </cell>
          <cell r="Z15">
            <v>3392.8440000000005</v>
          </cell>
          <cell r="AA15">
            <v>3630.2188000000001</v>
          </cell>
          <cell r="AB15">
            <v>4437.7120000000004</v>
          </cell>
          <cell r="AC15">
            <v>14661.894800000002</v>
          </cell>
          <cell r="AD15">
            <v>3209.5828800000004</v>
          </cell>
          <cell r="AE15">
            <v>3067.9072970000002</v>
          </cell>
          <cell r="AF15">
            <v>3007.1994000000004</v>
          </cell>
          <cell r="AG15">
            <v>2736.8068000000003</v>
          </cell>
          <cell r="AH15">
            <v>12021.496377000001</v>
          </cell>
          <cell r="AI15">
            <v>3209.5828800000004</v>
          </cell>
          <cell r="AJ15">
            <v>3067.9072970000002</v>
          </cell>
          <cell r="AK15">
            <v>3007.1994000000004</v>
          </cell>
          <cell r="AL15">
            <v>2736.8068000000003</v>
          </cell>
          <cell r="AM15">
            <v>12021.496377000001</v>
          </cell>
          <cell r="AN15">
            <v>9334.0840499999995</v>
          </cell>
          <cell r="AO15">
            <v>9856.0840499999995</v>
          </cell>
          <cell r="AP15">
            <v>11488.982011302729</v>
          </cell>
          <cell r="AQ15">
            <v>13300.934758436724</v>
          </cell>
          <cell r="AR15">
            <v>14055.654562313895</v>
          </cell>
          <cell r="AS15">
            <v>14845.620908188585</v>
          </cell>
          <cell r="AT15">
            <v>15679.248449906947</v>
          </cell>
        </row>
        <row r="16">
          <cell r="C16">
            <v>-0.10139165009940354</v>
          </cell>
          <cell r="D16">
            <v>0.22922812192723696</v>
          </cell>
          <cell r="E16">
            <v>0.40835916408359174</v>
          </cell>
          <cell r="F16">
            <v>-0.12623358182463618</v>
          </cell>
          <cell r="G16">
            <v>-0.10506215974648569</v>
          </cell>
          <cell r="H16">
            <v>-1.4436172144543291E-2</v>
          </cell>
          <cell r="I16">
            <v>4.5693228926761753E-2</v>
          </cell>
          <cell r="N16">
            <v>0.19082019205356349</v>
          </cell>
          <cell r="O16">
            <v>0.22222222222222232</v>
          </cell>
          <cell r="P16">
            <v>0.18059373282023095</v>
          </cell>
          <cell r="Q16">
            <v>0.41636141636141644</v>
          </cell>
          <cell r="R16">
            <v>0.56946778711484591</v>
          </cell>
          <cell r="S16">
            <v>0.3497817563068728</v>
          </cell>
          <cell r="T16">
            <v>0.20178041543026715</v>
          </cell>
          <cell r="U16">
            <v>1.3271245634458584E-2</v>
          </cell>
          <cell r="V16">
            <v>-4.0948275862069394E-3</v>
          </cell>
          <cell r="W16">
            <v>-0.19507406746385869</v>
          </cell>
          <cell r="X16">
            <v>-1.6826527815839931E-2</v>
          </cell>
          <cell r="Y16">
            <v>-0.28128062020449607</v>
          </cell>
          <cell r="Z16">
            <v>-0.22107908749986893</v>
          </cell>
          <cell r="AA16">
            <v>-0.21515608689607735</v>
          </cell>
          <cell r="AB16">
            <v>-2.4211160512069396E-2</v>
          </cell>
          <cell r="AC16">
            <v>-0.18467891433447037</v>
          </cell>
          <cell r="AD16">
            <v>-0.27955490909090897</v>
          </cell>
          <cell r="AE16">
            <v>-0.29505806594669115</v>
          </cell>
          <cell r="AF16">
            <v>-0.34923189785760644</v>
          </cell>
          <cell r="AG16">
            <v>-0.39316922394678488</v>
          </cell>
          <cell r="AH16">
            <v>-0.32983072934552338</v>
          </cell>
          <cell r="AI16">
            <v>-0.27955490909090897</v>
          </cell>
          <cell r="AJ16">
            <v>-4.4141431549510335E-2</v>
          </cell>
          <cell r="AK16">
            <v>-1.9788048048050233E-2</v>
          </cell>
          <cell r="AL16">
            <v>-8.9915088437434565E-2</v>
          </cell>
          <cell r="AM16">
            <v>-0.32983072934552338</v>
          </cell>
          <cell r="AN16">
            <v>-0.22355056664506967</v>
          </cell>
          <cell r="AO16">
            <v>-0.18012835167034225</v>
          </cell>
          <cell r="AP16">
            <v>0.16567411083540118</v>
          </cell>
          <cell r="AQ16">
            <v>0.15771221030300309</v>
          </cell>
          <cell r="AR16">
            <v>5.6741861950601269E-2</v>
          </cell>
          <cell r="AS16">
            <v>5.6202743342366412E-2</v>
          </cell>
          <cell r="AT16">
            <v>5.6153093688290801E-2</v>
          </cell>
        </row>
        <row r="18">
          <cell r="B18">
            <v>16.32</v>
          </cell>
          <cell r="C18">
            <v>13.51</v>
          </cell>
          <cell r="D18">
            <v>16.87</v>
          </cell>
          <cell r="E18">
            <v>20.52</v>
          </cell>
          <cell r="F18">
            <v>15.92</v>
          </cell>
          <cell r="G18">
            <v>14.91</v>
          </cell>
          <cell r="H18">
            <v>13.34</v>
          </cell>
          <cell r="I18">
            <v>13.324999999999999</v>
          </cell>
          <cell r="J18">
            <v>14.18</v>
          </cell>
          <cell r="K18">
            <v>16.41</v>
          </cell>
          <cell r="L18">
            <v>14.13</v>
          </cell>
          <cell r="M18">
            <v>14.64</v>
          </cell>
          <cell r="N18">
            <v>14.8475</v>
          </cell>
          <cell r="O18">
            <v>16.29</v>
          </cell>
          <cell r="P18">
            <v>17.46</v>
          </cell>
          <cell r="Q18">
            <v>18.22</v>
          </cell>
          <cell r="R18">
            <v>21.24</v>
          </cell>
          <cell r="S18">
            <v>18.36</v>
          </cell>
          <cell r="T18">
            <v>17.72</v>
          </cell>
          <cell r="U18">
            <v>15.663</v>
          </cell>
          <cell r="V18">
            <v>16.27</v>
          </cell>
          <cell r="W18">
            <v>15.733176405427859</v>
          </cell>
          <cell r="X18">
            <v>16.308610946691381</v>
          </cell>
          <cell r="Y18">
            <v>11.7</v>
          </cell>
          <cell r="Z18">
            <v>12</v>
          </cell>
          <cell r="AA18">
            <v>12.7</v>
          </cell>
          <cell r="AB18">
            <v>15.5</v>
          </cell>
          <cell r="AC18">
            <v>12.975</v>
          </cell>
          <cell r="AD18">
            <v>11.34</v>
          </cell>
          <cell r="AE18">
            <v>11.095000000000001</v>
          </cell>
          <cell r="AF18">
            <v>10.77</v>
          </cell>
          <cell r="AG18">
            <v>9.1</v>
          </cell>
          <cell r="AH18">
            <v>10.57625</v>
          </cell>
          <cell r="AI18">
            <v>11.34</v>
          </cell>
          <cell r="AJ18">
            <v>11.095000000000001</v>
          </cell>
          <cell r="AK18">
            <v>10.77</v>
          </cell>
          <cell r="AL18">
            <v>9.1</v>
          </cell>
          <cell r="AM18">
            <v>10.57625</v>
          </cell>
          <cell r="AN18">
            <v>9.01</v>
          </cell>
          <cell r="AO18">
            <v>9.01</v>
          </cell>
          <cell r="AP18">
            <v>10.211333333333332</v>
          </cell>
          <cell r="AQ18">
            <v>11.08</v>
          </cell>
          <cell r="AR18">
            <v>11.19</v>
          </cell>
          <cell r="AS18">
            <v>11.3</v>
          </cell>
          <cell r="AT18">
            <v>11.41</v>
          </cell>
        </row>
        <row r="19">
          <cell r="B19">
            <v>0.28503937007874036</v>
          </cell>
          <cell r="C19">
            <v>-0.17218137254901966</v>
          </cell>
          <cell r="D19">
            <v>0.24870466321243523</v>
          </cell>
          <cell r="E19">
            <v>0.21636040308239468</v>
          </cell>
          <cell r="F19">
            <v>-0.22417153996101358</v>
          </cell>
          <cell r="G19">
            <v>-6.3442211055276365E-2</v>
          </cell>
          <cell r="H19">
            <v>-0.10529845741113353</v>
          </cell>
          <cell r="I19">
            <v>-1.1244377811094886E-3</v>
          </cell>
          <cell r="J19">
            <v>6.4165103189493422E-2</v>
          </cell>
          <cell r="K19">
            <v>0.15726375176304663</v>
          </cell>
          <cell r="L19">
            <v>-0.13893967093235826</v>
          </cell>
          <cell r="M19">
            <v>3.6093418259023347E-2</v>
          </cell>
          <cell r="N19">
            <v>0.11425891181988757</v>
          </cell>
          <cell r="O19">
            <v>0.14880112834978831</v>
          </cell>
          <cell r="P19">
            <v>6.3985374771480918E-2</v>
          </cell>
          <cell r="Q19">
            <v>0.28945506015569689</v>
          </cell>
          <cell r="R19">
            <v>0.45081967213114749</v>
          </cell>
          <cell r="S19">
            <v>0.23657181343660549</v>
          </cell>
          <cell r="T19">
            <v>8.7783916513198168E-2</v>
          </cell>
          <cell r="U19">
            <v>-0.10292096219931279</v>
          </cell>
          <cell r="V19">
            <v>-0.10702524698133919</v>
          </cell>
          <cell r="W19">
            <v>-0.25926664757872597</v>
          </cell>
          <cell r="X19">
            <v>-0.11173142991877005</v>
          </cell>
          <cell r="Y19">
            <v>-0.33972911963882624</v>
          </cell>
          <cell r="Z19">
            <v>-0.23371647509578541</v>
          </cell>
          <cell r="AA19">
            <v>-0.22419059254734275</v>
          </cell>
          <cell r="AB19">
            <v>-2.515723270440251E-2</v>
          </cell>
          <cell r="AC19">
            <v>-0.20771042782975158</v>
          </cell>
          <cell r="AD19">
            <v>-0.36004514672686228</v>
          </cell>
          <cell r="AE19">
            <v>-0.29164272489306009</v>
          </cell>
          <cell r="AF19">
            <v>-0.33804548248309774</v>
          </cell>
          <cell r="AG19">
            <v>-0.42160440044004399</v>
          </cell>
          <cell r="AH19">
            <v>-0.35149289939094031</v>
          </cell>
          <cell r="AI19">
            <v>-0.36004514672686228</v>
          </cell>
          <cell r="AJ19">
            <v>-2.1604938271604923E-2</v>
          </cell>
          <cell r="AK19">
            <v>-2.9292474087426856E-2</v>
          </cell>
          <cell r="AL19">
            <v>-0.15506035283194053</v>
          </cell>
          <cell r="AM19">
            <v>-0.35149289939094031</v>
          </cell>
          <cell r="AN19">
            <v>-0.14809124216995628</v>
          </cell>
          <cell r="AO19">
            <v>-0.14809124216995628</v>
          </cell>
          <cell r="AP19">
            <v>0.1333333333333333</v>
          </cell>
          <cell r="AQ19">
            <v>8.5068877717568769E-2</v>
          </cell>
          <cell r="AR19">
            <v>9.9277978339349371E-3</v>
          </cell>
          <cell r="AS19">
            <v>9.8302055406613853E-3</v>
          </cell>
          <cell r="AT19">
            <v>9.7345132743362761E-3</v>
          </cell>
        </row>
        <row r="20">
          <cell r="B20">
            <v>1.5199435938759065</v>
          </cell>
          <cell r="C20">
            <v>1.6499193900003044</v>
          </cell>
          <cell r="D20">
            <v>1.6241849436870184</v>
          </cell>
          <cell r="E20">
            <v>1.8805575582792597</v>
          </cell>
          <cell r="F20">
            <v>2.117952777586563</v>
          </cell>
          <cell r="G20">
            <v>2.0238324926729327</v>
          </cell>
          <cell r="H20">
            <v>2.2293647696699592</v>
          </cell>
          <cell r="I20">
            <v>2.3338559202241127</v>
          </cell>
          <cell r="J20">
            <v>2.376586741889986</v>
          </cell>
          <cell r="K20">
            <v>2.43619877989165</v>
          </cell>
          <cell r="L20">
            <v>2.5200775408474105</v>
          </cell>
          <cell r="M20">
            <v>2.6505702066999284</v>
          </cell>
          <cell r="N20">
            <v>2.4942163133408837</v>
          </cell>
          <cell r="O20">
            <v>2.5462110360821226</v>
          </cell>
          <cell r="P20">
            <v>2.7321475775084019</v>
          </cell>
          <cell r="Q20">
            <v>2.7854006586169047</v>
          </cell>
          <cell r="R20">
            <v>2.8872922295914192</v>
          </cell>
          <cell r="S20">
            <v>2.7434565911600561</v>
          </cell>
          <cell r="T20">
            <v>2.8304</v>
          </cell>
          <cell r="U20">
            <v>3.1008</v>
          </cell>
          <cell r="V20">
            <v>3.1322000000000001</v>
          </cell>
          <cell r="W20">
            <v>3.14</v>
          </cell>
          <cell r="X20">
            <v>3.0508500000000005</v>
          </cell>
          <cell r="Y20">
            <v>3.04</v>
          </cell>
          <cell r="Z20">
            <v>3.1070000000000002</v>
          </cell>
          <cell r="AA20">
            <v>3.1070000000000002</v>
          </cell>
          <cell r="AB20">
            <v>3.1120000000000001</v>
          </cell>
          <cell r="AC20">
            <v>3.0915000000000004</v>
          </cell>
          <cell r="AD20">
            <v>3.1448</v>
          </cell>
          <cell r="AE20">
            <v>3.0386000000000002</v>
          </cell>
          <cell r="AF20">
            <v>3.0350000000000001</v>
          </cell>
          <cell r="AG20">
            <v>3.2690000000000001</v>
          </cell>
          <cell r="AH20">
            <v>3.1218500000000002</v>
          </cell>
          <cell r="AI20">
            <v>3.1448</v>
          </cell>
          <cell r="AJ20">
            <v>3.0386000000000002</v>
          </cell>
          <cell r="AK20">
            <v>3.0350000000000001</v>
          </cell>
          <cell r="AL20">
            <v>3.2690000000000001</v>
          </cell>
          <cell r="AM20">
            <v>3.1218500000000002</v>
          </cell>
          <cell r="AN20">
            <v>2.9969999999999999</v>
          </cell>
          <cell r="AO20">
            <v>2.9969999999999999</v>
          </cell>
          <cell r="AP20">
            <v>3.0825223325062039</v>
          </cell>
          <cell r="AQ20">
            <v>3.2888914392059556</v>
          </cell>
          <cell r="AR20">
            <v>3.4413442928039699</v>
          </cell>
          <cell r="AS20">
            <v>3.5993746898263024</v>
          </cell>
          <cell r="AT20">
            <v>3.7648418114143918</v>
          </cell>
        </row>
        <row r="21">
          <cell r="B21">
            <v>-1.0999999999999999E-2</v>
          </cell>
          <cell r="C21">
            <v>8.5513565534991454E-2</v>
          </cell>
          <cell r="D21">
            <v>-1.559739613295974E-2</v>
          </cell>
          <cell r="E21">
            <v>0.15784693460478505</v>
          </cell>
          <cell r="F21">
            <v>0.12623661438181322</v>
          </cell>
          <cell r="G21">
            <v>-4.4439274524751937E-2</v>
          </cell>
          <cell r="H21">
            <v>0.10155597251310766</v>
          </cell>
          <cell r="I21">
            <v>4.6870369522176825E-2</v>
          </cell>
          <cell r="N21">
            <v>6.8710493962871544E-2</v>
          </cell>
          <cell r="O21">
            <v>7.1373070968679508E-2</v>
          </cell>
          <cell r="P21">
            <v>0.12147974133289496</v>
          </cell>
          <cell r="Q21">
            <v>0.10528371189732355</v>
          </cell>
          <cell r="R21">
            <v>8.9309848233078748E-2</v>
          </cell>
          <cell r="S21">
            <v>9.9927290382175071E-2</v>
          </cell>
          <cell r="T21">
            <v>0.11161249397267614</v>
          </cell>
          <cell r="U21">
            <v>0.13493137249481713</v>
          </cell>
          <cell r="V21">
            <v>0.12450608866995072</v>
          </cell>
          <cell r="W21">
            <v>8.7524140375753179E-2</v>
          </cell>
          <cell r="X21">
            <v>0.11204602610824055</v>
          </cell>
          <cell r="Y21">
            <v>7.4053137365743371E-2</v>
          </cell>
          <cell r="Z21">
            <v>1.9994840041279716E-3</v>
          </cell>
          <cell r="AA21">
            <v>-8.0454632526658632E-3</v>
          </cell>
          <cell r="AB21">
            <v>-1.2063492063491998E-2</v>
          </cell>
          <cell r="AC21">
            <v>1.2494473283442664E-2</v>
          </cell>
          <cell r="AD21">
            <v>0.11107970604861506</v>
          </cell>
          <cell r="AE21">
            <v>-2.0059339525283715E-2</v>
          </cell>
          <cell r="AF21">
            <v>-3.1032501117425393E-2</v>
          </cell>
          <cell r="AG21">
            <v>4.1082802547770747E-2</v>
          </cell>
          <cell r="AH21">
            <v>2.3272202828719779E-2</v>
          </cell>
          <cell r="AI21">
            <v>0.11107970604861506</v>
          </cell>
          <cell r="AJ21">
            <v>-3.3770033070465444E-2</v>
          </cell>
          <cell r="AK21">
            <v>-1.1847561376949756E-3</v>
          </cell>
          <cell r="AL21">
            <v>7.7100494233937278E-2</v>
          </cell>
          <cell r="AM21">
            <v>2.3272202828719779E-2</v>
          </cell>
          <cell r="AN21">
            <v>-3.999231225074884E-2</v>
          </cell>
          <cell r="AO21">
            <v>-3.999231225074884E-2</v>
          </cell>
          <cell r="AP21">
            <v>2.8535980148883588E-2</v>
          </cell>
          <cell r="AQ21">
            <v>6.6948130277442619E-2</v>
          </cell>
          <cell r="AR21">
            <v>4.6353872244205618E-2</v>
          </cell>
          <cell r="AS21">
            <v>4.5921123716909706E-2</v>
          </cell>
          <cell r="AT21">
            <v>4.5971074380165344E-2</v>
          </cell>
        </row>
        <row r="23">
          <cell r="B23">
            <v>127</v>
          </cell>
          <cell r="C23">
            <v>135</v>
          </cell>
          <cell r="D23">
            <v>139</v>
          </cell>
          <cell r="E23">
            <v>174</v>
          </cell>
          <cell r="F23">
            <v>184</v>
          </cell>
          <cell r="G23">
            <v>195</v>
          </cell>
          <cell r="H23">
            <v>175</v>
          </cell>
          <cell r="I23">
            <v>187</v>
          </cell>
          <cell r="J23">
            <v>54</v>
          </cell>
          <cell r="K23">
            <v>58</v>
          </cell>
          <cell r="L23">
            <v>52</v>
          </cell>
          <cell r="M23">
            <v>58</v>
          </cell>
          <cell r="N23">
            <v>222</v>
          </cell>
          <cell r="O23">
            <v>63</v>
          </cell>
          <cell r="P23">
            <v>71</v>
          </cell>
          <cell r="Q23">
            <v>61</v>
          </cell>
          <cell r="R23">
            <v>79</v>
          </cell>
          <cell r="S23">
            <v>274</v>
          </cell>
          <cell r="T23">
            <v>60</v>
          </cell>
          <cell r="U23">
            <v>58</v>
          </cell>
          <cell r="V23">
            <v>66</v>
          </cell>
          <cell r="W23">
            <v>64</v>
          </cell>
          <cell r="X23">
            <v>248</v>
          </cell>
          <cell r="Y23">
            <v>64.022400000000005</v>
          </cell>
          <cell r="Z23">
            <v>67.856880000000018</v>
          </cell>
          <cell r="AA23">
            <v>72.604376000000002</v>
          </cell>
          <cell r="AB23">
            <v>88.75424000000001</v>
          </cell>
          <cell r="AC23">
            <v>293.23789600000003</v>
          </cell>
          <cell r="AD23">
            <v>55</v>
          </cell>
          <cell r="AE23">
            <v>54</v>
          </cell>
          <cell r="AF23">
            <v>60.143988000000007</v>
          </cell>
          <cell r="AG23">
            <v>54.736136000000009</v>
          </cell>
          <cell r="AH23">
            <v>223.88012400000002</v>
          </cell>
          <cell r="AI23">
            <v>55</v>
          </cell>
          <cell r="AJ23">
            <v>49</v>
          </cell>
          <cell r="AK23">
            <v>48</v>
          </cell>
          <cell r="AL23">
            <v>48</v>
          </cell>
          <cell r="AM23">
            <v>200</v>
          </cell>
          <cell r="AN23">
            <v>186.681681</v>
          </cell>
          <cell r="AO23">
            <v>197.121681</v>
          </cell>
          <cell r="AP23">
            <v>229.7796402260546</v>
          </cell>
          <cell r="AQ23">
            <v>266.0186951687345</v>
          </cell>
          <cell r="AR23">
            <v>281.11309124627792</v>
          </cell>
          <cell r="AS23">
            <v>296.91241816377169</v>
          </cell>
          <cell r="AT23">
            <v>313.58496899813895</v>
          </cell>
        </row>
        <row r="25">
          <cell r="J25">
            <v>21</v>
          </cell>
          <cell r="K25">
            <v>33</v>
          </cell>
          <cell r="L25">
            <v>30</v>
          </cell>
          <cell r="M25">
            <v>29</v>
          </cell>
          <cell r="N25">
            <v>113</v>
          </cell>
          <cell r="O25">
            <v>26</v>
          </cell>
          <cell r="P25">
            <v>46</v>
          </cell>
          <cell r="Q25">
            <v>29</v>
          </cell>
          <cell r="R25">
            <v>39</v>
          </cell>
          <cell r="S25">
            <v>140</v>
          </cell>
          <cell r="T25">
            <v>25</v>
          </cell>
          <cell r="U25">
            <v>21</v>
          </cell>
          <cell r="V25">
            <v>30</v>
          </cell>
          <cell r="W25">
            <v>27</v>
          </cell>
          <cell r="X25">
            <v>103</v>
          </cell>
          <cell r="Y25">
            <v>0</v>
          </cell>
          <cell r="Z25">
            <v>0</v>
          </cell>
          <cell r="AA25">
            <v>0</v>
          </cell>
          <cell r="AB25">
            <v>0</v>
          </cell>
          <cell r="AC25">
            <v>0</v>
          </cell>
          <cell r="AD25">
            <v>26</v>
          </cell>
          <cell r="AE25">
            <v>19</v>
          </cell>
          <cell r="AF25">
            <v>0</v>
          </cell>
          <cell r="AG25">
            <v>0</v>
          </cell>
          <cell r="AH25">
            <v>45</v>
          </cell>
          <cell r="AI25">
            <v>25</v>
          </cell>
          <cell r="AJ25">
            <v>20</v>
          </cell>
          <cell r="AK25">
            <v>25</v>
          </cell>
          <cell r="AL25">
            <v>28</v>
          </cell>
          <cell r="AM25">
            <v>98</v>
          </cell>
          <cell r="AN25">
            <v>361.09199999999998</v>
          </cell>
          <cell r="AO25">
            <v>361.09199999999998</v>
          </cell>
          <cell r="AP25">
            <v>383.89507666666663</v>
          </cell>
          <cell r="AQ25">
            <v>1156.6411999999998</v>
          </cell>
          <cell r="AR25">
            <v>1662.3304499999997</v>
          </cell>
          <cell r="AS25">
            <v>2062.25</v>
          </cell>
          <cell r="AT25">
            <v>2082.3249999999998</v>
          </cell>
        </row>
        <row r="26">
          <cell r="AP26">
            <v>6.3150323647897633E-2</v>
          </cell>
          <cell r="AQ26">
            <v>2.0129096992934432</v>
          </cell>
          <cell r="AR26">
            <v>0.43720494307136915</v>
          </cell>
          <cell r="AS26">
            <v>0.24057764808435067</v>
          </cell>
          <cell r="AT26">
            <v>9.7345132743362761E-3</v>
          </cell>
        </row>
        <row r="28">
          <cell r="AC28">
            <v>-0.20771042782975158</v>
          </cell>
          <cell r="AH28">
            <v>-0.35149289939094031</v>
          </cell>
          <cell r="AN28">
            <v>-0.14809124216995628</v>
          </cell>
          <cell r="AO28">
            <v>-0.14809124216995628</v>
          </cell>
          <cell r="AP28">
            <v>0.1333333333333333</v>
          </cell>
          <cell r="AQ28">
            <v>8.5068877717568769E-2</v>
          </cell>
          <cell r="AR28">
            <v>9.9277978339349371E-3</v>
          </cell>
          <cell r="AS28">
            <v>9.8302055406613853E-3</v>
          </cell>
          <cell r="AT28">
            <v>9.7345132743362761E-3</v>
          </cell>
        </row>
        <row r="29">
          <cell r="AQ29">
            <v>1.7766990291262132</v>
          </cell>
          <cell r="AR29">
            <v>0.42307692307692335</v>
          </cell>
          <cell r="AS29">
            <v>0.22850122850122867</v>
          </cell>
          <cell r="AT29">
            <v>0</v>
          </cell>
        </row>
        <row r="31">
          <cell r="B31">
            <v>1510</v>
          </cell>
          <cell r="C31">
            <v>2059</v>
          </cell>
          <cell r="D31">
            <v>3053</v>
          </cell>
          <cell r="E31">
            <v>3532</v>
          </cell>
          <cell r="F31">
            <v>2849</v>
          </cell>
          <cell r="G31">
            <v>2974</v>
          </cell>
          <cell r="H31">
            <v>3731</v>
          </cell>
          <cell r="I31">
            <v>4554</v>
          </cell>
          <cell r="J31">
            <v>1341</v>
          </cell>
          <cell r="K31">
            <v>1394</v>
          </cell>
          <cell r="L31">
            <v>1279</v>
          </cell>
          <cell r="M31">
            <v>1198</v>
          </cell>
          <cell r="N31">
            <v>5212</v>
          </cell>
          <cell r="O31">
            <v>1114</v>
          </cell>
          <cell r="P31">
            <v>1210</v>
          </cell>
          <cell r="Q31">
            <v>1255</v>
          </cell>
          <cell r="R31">
            <v>1436</v>
          </cell>
          <cell r="S31">
            <v>5015</v>
          </cell>
          <cell r="T31">
            <v>1216</v>
          </cell>
          <cell r="U31">
            <v>1447</v>
          </cell>
          <cell r="V31">
            <v>1346</v>
          </cell>
          <cell r="W31">
            <v>1395</v>
          </cell>
          <cell r="X31">
            <v>5404</v>
          </cell>
          <cell r="Y31">
            <v>1318</v>
          </cell>
          <cell r="Z31">
            <v>1378</v>
          </cell>
          <cell r="AA31">
            <v>1391</v>
          </cell>
          <cell r="AB31">
            <v>1552</v>
          </cell>
          <cell r="AC31">
            <v>5639</v>
          </cell>
          <cell r="AD31">
            <v>1297</v>
          </cell>
          <cell r="AE31">
            <v>1309</v>
          </cell>
          <cell r="AF31">
            <v>1459</v>
          </cell>
          <cell r="AG31">
            <v>1518</v>
          </cell>
          <cell r="AH31">
            <v>5583</v>
          </cell>
          <cell r="AI31">
            <v>1294</v>
          </cell>
          <cell r="AJ31">
            <v>1309</v>
          </cell>
          <cell r="AK31">
            <v>1264</v>
          </cell>
          <cell r="AL31">
            <v>1425</v>
          </cell>
          <cell r="AM31">
            <v>5292</v>
          </cell>
          <cell r="AN31">
            <v>6120.1980000000003</v>
          </cell>
          <cell r="AO31">
            <v>5292</v>
          </cell>
          <cell r="AP31">
            <v>5397.84</v>
          </cell>
          <cell r="AQ31">
            <v>5721.7104000000008</v>
          </cell>
          <cell r="AR31">
            <v>6065.0130240000008</v>
          </cell>
          <cell r="AS31">
            <v>6428.9138054400009</v>
          </cell>
          <cell r="AT31">
            <v>6814.648633766401</v>
          </cell>
        </row>
        <row r="32">
          <cell r="C32">
            <v>0.36357615894039741</v>
          </cell>
          <cell r="D32">
            <v>0.48275862068965525</v>
          </cell>
          <cell r="E32">
            <v>0.15689485751719623</v>
          </cell>
          <cell r="F32">
            <v>-0.19337485843714608</v>
          </cell>
          <cell r="G32">
            <v>4.3875043875043929E-2</v>
          </cell>
          <cell r="H32">
            <v>0.25453934095494279</v>
          </cell>
          <cell r="I32">
            <v>0.22058429375502553</v>
          </cell>
          <cell r="N32">
            <v>0.14448836187966618</v>
          </cell>
          <cell r="O32">
            <v>-0.16927665920954515</v>
          </cell>
          <cell r="P32">
            <v>-0.13199426111908175</v>
          </cell>
          <cell r="Q32">
            <v>-1.8764659890539437E-2</v>
          </cell>
          <cell r="R32">
            <v>0.19866444073455769</v>
          </cell>
          <cell r="S32">
            <v>-3.7797390636991612E-2</v>
          </cell>
          <cell r="T32">
            <v>9.1561938958707456E-2</v>
          </cell>
          <cell r="U32">
            <v>0.1958677685950414</v>
          </cell>
          <cell r="V32">
            <v>7.2509960159362619E-2</v>
          </cell>
          <cell r="W32">
            <v>-2.8551532033426197E-2</v>
          </cell>
          <cell r="X32">
            <v>7.7567298105682969E-2</v>
          </cell>
          <cell r="Y32">
            <v>9.468438538205981E-2</v>
          </cell>
          <cell r="Z32">
            <v>-3.8381018841591064E-2</v>
          </cell>
          <cell r="AA32">
            <v>4.5078888054094657E-2</v>
          </cell>
          <cell r="AB32">
            <v>9.9150141643059575E-2</v>
          </cell>
          <cell r="AC32">
            <v>4.814126394052054E-2</v>
          </cell>
          <cell r="AD32">
            <v>6.6611842105263053E-2</v>
          </cell>
          <cell r="AE32">
            <v>-9.5369730476848602E-2</v>
          </cell>
          <cell r="AF32">
            <v>8.395245170876664E-2</v>
          </cell>
          <cell r="AG32">
            <v>8.8172043010752654E-2</v>
          </cell>
          <cell r="AH32">
            <v>3.3123612139156267E-2</v>
          </cell>
          <cell r="AI32">
            <v>6.414473684210531E-2</v>
          </cell>
          <cell r="AJ32">
            <v>1.1591962905718622E-2</v>
          </cell>
          <cell r="AK32">
            <v>-3.4377387318563768E-2</v>
          </cell>
          <cell r="AL32">
            <v>0.12737341772151889</v>
          </cell>
          <cell r="AM32">
            <v>-2.0725388601036232E-2</v>
          </cell>
          <cell r="AN32">
            <v>0.1565</v>
          </cell>
          <cell r="AO32">
            <v>0</v>
          </cell>
          <cell r="AP32">
            <v>0.02</v>
          </cell>
          <cell r="AQ32">
            <v>0.06</v>
          </cell>
          <cell r="AR32">
            <v>0.06</v>
          </cell>
          <cell r="AS32">
            <v>0.06</v>
          </cell>
          <cell r="AT32">
            <v>0.06</v>
          </cell>
        </row>
        <row r="34">
          <cell r="B34">
            <v>161</v>
          </cell>
          <cell r="C34">
            <v>155.80000000000001</v>
          </cell>
          <cell r="D34">
            <v>206</v>
          </cell>
          <cell r="E34">
            <v>241</v>
          </cell>
          <cell r="F34">
            <v>250</v>
          </cell>
          <cell r="G34">
            <v>280.5</v>
          </cell>
          <cell r="H34">
            <v>279.7</v>
          </cell>
          <cell r="I34">
            <v>235.60000000000002</v>
          </cell>
          <cell r="N34">
            <v>253.29999999999998</v>
          </cell>
          <cell r="S34">
            <v>279</v>
          </cell>
          <cell r="X34">
            <v>250.39999999999998</v>
          </cell>
          <cell r="AC34">
            <v>256.95632467532465</v>
          </cell>
          <cell r="AH34">
            <v>260.06477168007586</v>
          </cell>
          <cell r="AN34">
            <v>264.90072702982104</v>
          </cell>
          <cell r="AP34">
            <v>269.02683232472305</v>
          </cell>
          <cell r="AQ34">
            <v>273.86058238656443</v>
          </cell>
          <cell r="AR34">
            <v>279.2592830300344</v>
          </cell>
          <cell r="AS34">
            <v>284.64428010500058</v>
          </cell>
          <cell r="AT34">
            <v>290.13379672591594</v>
          </cell>
        </row>
        <row r="35">
          <cell r="C35">
            <v>-3.2298136645962705E-2</v>
          </cell>
          <cell r="D35">
            <v>0.3222079589216944</v>
          </cell>
          <cell r="E35">
            <v>0.16990291262135915</v>
          </cell>
          <cell r="F35">
            <v>3.7344398340249052E-2</v>
          </cell>
          <cell r="G35">
            <v>0.12200000000000011</v>
          </cell>
          <cell r="H35">
            <v>-2.8520499108735109E-3</v>
          </cell>
          <cell r="I35">
            <v>-0.15766893099749724</v>
          </cell>
          <cell r="N35">
            <v>7.5127334465195039E-2</v>
          </cell>
          <cell r="S35">
            <v>0.10146071851559424</v>
          </cell>
          <cell r="X35">
            <v>-0.1025089605734768</v>
          </cell>
          <cell r="AC35">
            <v>2.6183405252893976E-2</v>
          </cell>
          <cell r="AH35">
            <v>3.8597330990718381E-2</v>
          </cell>
          <cell r="AN35">
            <v>1.8595195798738251E-2</v>
          </cell>
          <cell r="AP35">
            <v>1.5576043679327078E-2</v>
          </cell>
          <cell r="AQ35">
            <v>1.7967538851317633E-2</v>
          </cell>
          <cell r="AR35">
            <v>1.9713317617390702E-2</v>
          </cell>
          <cell r="AS35">
            <v>1.9283144383017703E-2</v>
          </cell>
          <cell r="AT35">
            <v>1.9285532872434175E-2</v>
          </cell>
        </row>
        <row r="37">
          <cell r="B37">
            <v>123</v>
          </cell>
          <cell r="C37">
            <v>118</v>
          </cell>
          <cell r="D37">
            <v>172</v>
          </cell>
          <cell r="E37">
            <v>203</v>
          </cell>
          <cell r="F37">
            <v>220</v>
          </cell>
          <cell r="G37">
            <v>256.89999999999998</v>
          </cell>
          <cell r="H37">
            <v>233.7</v>
          </cell>
          <cell r="I37">
            <v>193.8</v>
          </cell>
          <cell r="N37">
            <v>230.9</v>
          </cell>
          <cell r="S37">
            <v>228</v>
          </cell>
          <cell r="X37">
            <v>219.2</v>
          </cell>
          <cell r="AC37">
            <v>229.29885714285714</v>
          </cell>
          <cell r="AH37">
            <v>231.27902184136272</v>
          </cell>
          <cell r="AN37">
            <v>235.99105444665062</v>
          </cell>
          <cell r="AP37">
            <v>240.7344746410283</v>
          </cell>
          <cell r="AQ37">
            <v>245.54916413384885</v>
          </cell>
          <cell r="AR37">
            <v>250.43607396906171</v>
          </cell>
          <cell r="AS37">
            <v>255.39616708456546</v>
          </cell>
          <cell r="AT37">
            <v>260.45449893750248</v>
          </cell>
        </row>
        <row r="38">
          <cell r="C38">
            <v>-4.065040650406504E-2</v>
          </cell>
          <cell r="D38">
            <v>0.45762711864406769</v>
          </cell>
          <cell r="E38">
            <v>0.18023255813953498</v>
          </cell>
          <cell r="F38">
            <v>8.3743842364532028E-2</v>
          </cell>
          <cell r="G38">
            <v>0.16772727272727272</v>
          </cell>
          <cell r="H38">
            <v>-9.0307512650836919E-2</v>
          </cell>
          <cell r="I38">
            <v>-0.1707317073170731</v>
          </cell>
          <cell r="N38">
            <v>0.19143446852425172</v>
          </cell>
          <cell r="S38">
            <v>-1.2559549588566532E-2</v>
          </cell>
          <cell r="X38">
            <v>-3.8596491228070184E-2</v>
          </cell>
          <cell r="AC38">
            <v>4.6071428571428541E-2</v>
          </cell>
          <cell r="AH38">
            <v>5.5105026648552657E-2</v>
          </cell>
          <cell r="AN38">
            <v>2.0373800303081335E-2</v>
          </cell>
          <cell r="AP38">
            <v>2.0100000000000007E-2</v>
          </cell>
          <cell r="AQ38">
            <v>2.0000000000000018E-2</v>
          </cell>
          <cell r="AR38">
            <v>1.990196078431361E-2</v>
          </cell>
          <cell r="AS38">
            <v>1.9805825242718456E-2</v>
          </cell>
          <cell r="AT38">
            <v>1.9805825242718456E-2</v>
          </cell>
        </row>
        <row r="40">
          <cell r="B40">
            <v>11.92</v>
          </cell>
          <cell r="C40">
            <v>11.990322580645161</v>
          </cell>
          <cell r="D40">
            <v>13.716455696202532</v>
          </cell>
          <cell r="E40">
            <v>14.5</v>
          </cell>
          <cell r="F40">
            <v>18.333333333333332</v>
          </cell>
          <cell r="G40">
            <v>25.689999999999998</v>
          </cell>
          <cell r="H40">
            <v>21.923076923076923</v>
          </cell>
          <cell r="I40">
            <v>18.095238095238095</v>
          </cell>
          <cell r="N40">
            <v>21.783018867924529</v>
          </cell>
          <cell r="S40">
            <v>24</v>
          </cell>
          <cell r="X40">
            <v>23.826086956521738</v>
          </cell>
          <cell r="AC40">
            <v>24.65</v>
          </cell>
          <cell r="AH40">
            <v>24.64610207175647</v>
          </cell>
          <cell r="AN40">
            <v>24.899244389718611</v>
          </cell>
          <cell r="AP40">
            <v>25.148236833615798</v>
          </cell>
          <cell r="AQ40">
            <v>25.397229277512984</v>
          </cell>
          <cell r="AR40">
            <v>25.646221721410171</v>
          </cell>
          <cell r="AS40">
            <v>25.895214165307358</v>
          </cell>
          <cell r="AT40">
            <v>26.146624011572477</v>
          </cell>
        </row>
        <row r="41">
          <cell r="B41">
            <v>-3.0303030303030276E-2</v>
          </cell>
          <cell r="C41">
            <v>5.8995453561376809E-3</v>
          </cell>
          <cell r="D41">
            <v>0.14396052349281274</v>
          </cell>
          <cell r="E41">
            <v>5.7124400147655852E-2</v>
          </cell>
          <cell r="F41">
            <v>0.26436781609195403</v>
          </cell>
          <cell r="G41">
            <v>0.40127272727272723</v>
          </cell>
          <cell r="H41">
            <v>-0.14662993682067238</v>
          </cell>
          <cell r="I41">
            <v>-0.17460317460317465</v>
          </cell>
          <cell r="N41">
            <v>0.20379841112214514</v>
          </cell>
          <cell r="S41">
            <v>0.10177566045907316</v>
          </cell>
          <cell r="X41">
            <v>-7.2463768115942351E-3</v>
          </cell>
          <cell r="AC41">
            <v>3.5714285714285809E-2</v>
          </cell>
          <cell r="AH41">
            <v>3.4416692792698544E-2</v>
          </cell>
          <cell r="AN41">
            <v>1.0271089408991463E-2</v>
          </cell>
          <cell r="AP41">
            <v>1.0000000000000009E-2</v>
          </cell>
          <cell r="AQ41">
            <v>9.9009900990099098E-3</v>
          </cell>
          <cell r="AR41">
            <v>9.8039215686274161E-3</v>
          </cell>
          <cell r="AS41">
            <v>9.7087378640776656E-3</v>
          </cell>
          <cell r="AT41">
            <v>9.7087378640776656E-3</v>
          </cell>
        </row>
        <row r="42">
          <cell r="B42">
            <v>6.97</v>
          </cell>
          <cell r="C42">
            <v>9.8412698412698418</v>
          </cell>
          <cell r="D42">
            <v>12.53968253968254</v>
          </cell>
          <cell r="E42">
            <v>14</v>
          </cell>
          <cell r="F42">
            <v>12</v>
          </cell>
          <cell r="G42">
            <v>10</v>
          </cell>
          <cell r="H42">
            <v>10.66</v>
          </cell>
          <cell r="I42">
            <v>10.71</v>
          </cell>
          <cell r="N42">
            <v>10.6</v>
          </cell>
          <cell r="S42">
            <v>9.5</v>
          </cell>
          <cell r="X42">
            <v>9.1999999999999993</v>
          </cell>
          <cell r="AC42">
            <v>9.2919999999999998</v>
          </cell>
          <cell r="AH42">
            <v>9.3839999999999986</v>
          </cell>
          <cell r="AN42">
            <v>9.4778399999999987</v>
          </cell>
          <cell r="AP42">
            <v>9.5726183999999996</v>
          </cell>
          <cell r="AQ42">
            <v>9.6683445839999997</v>
          </cell>
          <cell r="AR42">
            <v>9.7650280298399998</v>
          </cell>
          <cell r="AS42">
            <v>9.8626783101383992</v>
          </cell>
          <cell r="AT42">
            <v>9.9613050932397833</v>
          </cell>
        </row>
        <row r="43">
          <cell r="B43">
            <v>0.16595192978956819</v>
          </cell>
          <cell r="C43">
            <v>0.41194689257816952</v>
          </cell>
          <cell r="D43">
            <v>0.27419354838709675</v>
          </cell>
          <cell r="E43">
            <v>0.1164556962025316</v>
          </cell>
          <cell r="F43">
            <v>-0.1428571428571429</v>
          </cell>
          <cell r="G43">
            <v>-0.16666666666666663</v>
          </cell>
          <cell r="H43">
            <v>6.6000000000000059E-2</v>
          </cell>
          <cell r="I43">
            <v>4.6904315196998336E-3</v>
          </cell>
          <cell r="N43">
            <v>-1.0270774976657404E-2</v>
          </cell>
          <cell r="S43">
            <v>-0.10377358490566035</v>
          </cell>
          <cell r="X43">
            <v>-3.1578947368421151E-2</v>
          </cell>
          <cell r="AC43">
            <v>0.01</v>
          </cell>
          <cell r="AH43">
            <v>0.02</v>
          </cell>
          <cell r="AN43">
            <v>0.01</v>
          </cell>
          <cell r="AP43">
            <v>0.01</v>
          </cell>
          <cell r="AQ43">
            <v>0.01</v>
          </cell>
          <cell r="AR43">
            <v>0.01</v>
          </cell>
          <cell r="AS43">
            <v>0.01</v>
          </cell>
          <cell r="AT43">
            <v>0.01</v>
          </cell>
        </row>
        <row r="45">
          <cell r="B45">
            <v>27</v>
          </cell>
          <cell r="C45">
            <v>24</v>
          </cell>
          <cell r="D45">
            <v>23</v>
          </cell>
          <cell r="E45">
            <v>26</v>
          </cell>
          <cell r="F45">
            <v>14</v>
          </cell>
          <cell r="G45">
            <v>11.6</v>
          </cell>
          <cell r="H45">
            <v>34.9</v>
          </cell>
          <cell r="I45">
            <v>31.5</v>
          </cell>
          <cell r="N45">
            <v>10.7</v>
          </cell>
          <cell r="S45">
            <v>40</v>
          </cell>
          <cell r="X45">
            <v>17.100000000000001</v>
          </cell>
          <cell r="AC45">
            <v>12.824999999999999</v>
          </cell>
          <cell r="AH45">
            <v>14.346063743496986</v>
          </cell>
          <cell r="AN45">
            <v>13.009379253761955</v>
          </cell>
          <cell r="AP45">
            <v>12.044516959107941</v>
          </cell>
          <cell r="AQ45">
            <v>11.716030132950452</v>
          </cell>
          <cell r="AR45">
            <v>11.880273546029196</v>
          </cell>
          <cell r="AS45">
            <v>12.044516959107941</v>
          </cell>
          <cell r="AT45">
            <v>12.211031018450448</v>
          </cell>
        </row>
        <row r="46">
          <cell r="C46">
            <v>-0.11111111111111116</v>
          </cell>
          <cell r="D46">
            <v>-4.166666666666663E-2</v>
          </cell>
          <cell r="E46">
            <v>0.13043478260869557</v>
          </cell>
          <cell r="F46">
            <v>-0.46153846153846156</v>
          </cell>
          <cell r="G46">
            <v>-0.17142857142857149</v>
          </cell>
          <cell r="H46">
            <v>2.0086206896551726</v>
          </cell>
          <cell r="I46">
            <v>-9.7421203438395332E-2</v>
          </cell>
          <cell r="N46">
            <v>-0.66031746031746041</v>
          </cell>
          <cell r="S46">
            <v>2.7383177570093462</v>
          </cell>
          <cell r="X46">
            <v>-0.57250000000000001</v>
          </cell>
          <cell r="AC46">
            <v>-0.25</v>
          </cell>
          <cell r="AH46">
            <v>-0.16104890388906523</v>
          </cell>
          <cell r="AN46">
            <v>-9.3174302974984635E-2</v>
          </cell>
          <cell r="AP46">
            <v>-7.4166666666666825E-2</v>
          </cell>
          <cell r="AQ46">
            <v>-2.7272727272727226E-2</v>
          </cell>
          <cell r="AR46">
            <v>1.4018691588784993E-2</v>
          </cell>
          <cell r="AS46">
            <v>1.3824884792626779E-2</v>
          </cell>
          <cell r="AT46">
            <v>1.3824884792626779E-2</v>
          </cell>
        </row>
        <row r="48">
          <cell r="B48">
            <v>1.0718539102818578</v>
          </cell>
          <cell r="C48">
            <v>1.2244897959183672</v>
          </cell>
          <cell r="D48">
            <v>1.0454545454545454</v>
          </cell>
          <cell r="E48">
            <v>0.76470588235294112</v>
          </cell>
          <cell r="F48">
            <v>0.77777777777777779</v>
          </cell>
          <cell r="G48">
            <v>0.75324675324675316</v>
          </cell>
          <cell r="H48">
            <v>0.56290322580645158</v>
          </cell>
          <cell r="I48">
            <v>0.78749999999999998</v>
          </cell>
          <cell r="N48">
            <v>1.3374999999999999</v>
          </cell>
          <cell r="S48">
            <v>1.1111111111111112</v>
          </cell>
          <cell r="X48">
            <v>1.8586956521739133</v>
          </cell>
          <cell r="AC48">
            <v>1.394021739130435</v>
          </cell>
          <cell r="AH48">
            <v>1.3559606562851596</v>
          </cell>
          <cell r="AN48">
            <v>1.2055097718375365</v>
          </cell>
          <cell r="AP48">
            <v>1.1050506241844085</v>
          </cell>
          <cell r="AQ48">
            <v>1.0749128798884702</v>
          </cell>
          <cell r="AR48">
            <v>1.0899817520364394</v>
          </cell>
          <cell r="AS48">
            <v>1.1050506241844087</v>
          </cell>
          <cell r="AT48">
            <v>1.1203278217537784</v>
          </cell>
        </row>
        <row r="49">
          <cell r="B49">
            <v>-0.37209302325581395</v>
          </cell>
          <cell r="C49">
            <v>0.14240362811791374</v>
          </cell>
          <cell r="D49">
            <v>-0.14621212121212113</v>
          </cell>
          <cell r="E49">
            <v>-0.26854219948849112</v>
          </cell>
          <cell r="F49">
            <v>1.7094017094017255E-2</v>
          </cell>
          <cell r="G49">
            <v>-3.1539888682745931E-2</v>
          </cell>
          <cell r="H49">
            <v>-0.25269744160177976</v>
          </cell>
          <cell r="I49">
            <v>0.39899713467048725</v>
          </cell>
          <cell r="N49">
            <v>0.69841269841269837</v>
          </cell>
          <cell r="S49">
            <v>-0.19463087248322197</v>
          </cell>
          <cell r="X49">
            <v>0.33333333333332993</v>
          </cell>
          <cell r="AC49">
            <v>-0.25</v>
          </cell>
          <cell r="AH49">
            <v>-0.27047730772962186</v>
          </cell>
          <cell r="AN49">
            <v>-0.11095519899508299</v>
          </cell>
          <cell r="AP49">
            <v>-8.333333333333337E-2</v>
          </cell>
          <cell r="AQ49">
            <v>-2.7272727272727226E-2</v>
          </cell>
          <cell r="AR49">
            <v>1.4018691588784993E-2</v>
          </cell>
          <cell r="AS49">
            <v>1.3824884792626779E-2</v>
          </cell>
          <cell r="AT49">
            <v>1.3824884792626779E-2</v>
          </cell>
        </row>
        <row r="50">
          <cell r="B50">
            <v>12.595000000000001</v>
          </cell>
          <cell r="C50">
            <v>9.8000000000000007</v>
          </cell>
          <cell r="D50">
            <v>11</v>
          </cell>
          <cell r="E50">
            <v>17</v>
          </cell>
          <cell r="F50">
            <v>9</v>
          </cell>
          <cell r="G50">
            <v>7.7</v>
          </cell>
          <cell r="H50">
            <v>31</v>
          </cell>
          <cell r="I50">
            <v>20</v>
          </cell>
          <cell r="N50">
            <v>4</v>
          </cell>
          <cell r="S50">
            <v>18</v>
          </cell>
          <cell r="X50">
            <v>4.5999999999999996</v>
          </cell>
          <cell r="AC50">
            <v>4.5999999999999996</v>
          </cell>
          <cell r="AH50">
            <v>5.2899999999999991</v>
          </cell>
          <cell r="AN50">
            <v>5.3957999999999995</v>
          </cell>
          <cell r="AP50">
            <v>5.4497579999999992</v>
          </cell>
          <cell r="AQ50">
            <v>5.4497579999999992</v>
          </cell>
          <cell r="AR50">
            <v>5.4497579999999992</v>
          </cell>
          <cell r="AS50">
            <v>5.4497579999999992</v>
          </cell>
          <cell r="AT50">
            <v>5.4497579999999992</v>
          </cell>
        </row>
        <row r="51">
          <cell r="B51">
            <v>-0.34375</v>
          </cell>
          <cell r="C51">
            <v>-0.22191345772131799</v>
          </cell>
          <cell r="D51">
            <v>0.12244897959183665</v>
          </cell>
          <cell r="E51">
            <v>0.54545454545454541</v>
          </cell>
          <cell r="F51">
            <v>-0.47058823529411764</v>
          </cell>
          <cell r="G51">
            <v>-0.14444444444444438</v>
          </cell>
          <cell r="H51">
            <v>3.0259740259740262</v>
          </cell>
          <cell r="I51">
            <v>-0.35483870967741937</v>
          </cell>
          <cell r="N51">
            <v>-0.8</v>
          </cell>
          <cell r="S51">
            <v>3.5</v>
          </cell>
          <cell r="X51">
            <v>-0.74444444444444446</v>
          </cell>
          <cell r="AC51">
            <v>0</v>
          </cell>
          <cell r="AH51">
            <v>0.15</v>
          </cell>
          <cell r="AN51">
            <v>0.02</v>
          </cell>
          <cell r="AP51">
            <v>0.01</v>
          </cell>
          <cell r="AQ51">
            <v>0</v>
          </cell>
          <cell r="AR51">
            <v>0</v>
          </cell>
          <cell r="AS51">
            <v>0</v>
          </cell>
          <cell r="AT51">
            <v>0</v>
          </cell>
        </row>
        <row r="53">
          <cell r="B53">
            <v>11</v>
          </cell>
          <cell r="C53">
            <v>13.8</v>
          </cell>
          <cell r="D53">
            <v>11</v>
          </cell>
          <cell r="E53">
            <v>12</v>
          </cell>
          <cell r="F53">
            <v>16</v>
          </cell>
          <cell r="G53">
            <v>12</v>
          </cell>
          <cell r="H53">
            <v>11.1</v>
          </cell>
          <cell r="I53">
            <v>10.3</v>
          </cell>
          <cell r="N53">
            <v>11.7</v>
          </cell>
          <cell r="S53">
            <v>11</v>
          </cell>
          <cell r="X53">
            <v>14.1</v>
          </cell>
          <cell r="AC53">
            <v>14.832467532467504</v>
          </cell>
          <cell r="AH53">
            <v>14.439686095216151</v>
          </cell>
          <cell r="AN53">
            <v>15.900293329408479</v>
          </cell>
          <cell r="AP53">
            <v>16.247840724586805</v>
          </cell>
          <cell r="AQ53">
            <v>16.595388119765133</v>
          </cell>
          <cell r="AR53">
            <v>16.942935514943461</v>
          </cell>
          <cell r="AS53">
            <v>17.203596061327204</v>
          </cell>
          <cell r="AT53">
            <v>17.468266769963005</v>
          </cell>
        </row>
        <row r="54">
          <cell r="C54">
            <v>0.25454545454545463</v>
          </cell>
          <cell r="D54">
            <v>-0.20289855072463769</v>
          </cell>
          <cell r="E54">
            <v>9.0909090909090828E-2</v>
          </cell>
          <cell r="F54">
            <v>0.33333333333333326</v>
          </cell>
          <cell r="G54">
            <v>-0.25</v>
          </cell>
          <cell r="H54">
            <v>-7.5000000000000067E-2</v>
          </cell>
          <cell r="I54">
            <v>-7.2072072072072002E-2</v>
          </cell>
          <cell r="N54">
            <v>0.13592233009708732</v>
          </cell>
          <cell r="S54">
            <v>-5.9829059829059728E-2</v>
          </cell>
          <cell r="X54">
            <v>0.28181818181818175</v>
          </cell>
          <cell r="AC54">
            <v>5.1948051948049967E-2</v>
          </cell>
          <cell r="AH54">
            <v>2.4091212426677444E-2</v>
          </cell>
          <cell r="AN54">
            <v>0.10115228437522794</v>
          </cell>
          <cell r="AP54">
            <v>2.1857923497267784E-2</v>
          </cell>
          <cell r="AQ54">
            <v>2.1390374331550888E-2</v>
          </cell>
          <cell r="AR54">
            <v>2.0942408376963373E-2</v>
          </cell>
          <cell r="AS54">
            <v>1.538461538461533E-2</v>
          </cell>
          <cell r="AT54">
            <v>1.538461538461533E-2</v>
          </cell>
        </row>
        <row r="56">
          <cell r="B56">
            <v>2.42</v>
          </cell>
          <cell r="C56">
            <v>1.1367380560131797</v>
          </cell>
          <cell r="D56">
            <v>0.859375</v>
          </cell>
          <cell r="E56">
            <v>0.66666666666666663</v>
          </cell>
          <cell r="F56">
            <v>0.8</v>
          </cell>
          <cell r="G56">
            <v>0.7142857142857143</v>
          </cell>
          <cell r="H56">
            <v>0.59677419354838701</v>
          </cell>
          <cell r="I56">
            <v>0.60588235294117654</v>
          </cell>
          <cell r="N56">
            <v>0.91406249999999989</v>
          </cell>
          <cell r="S56">
            <v>0.7857142857142857</v>
          </cell>
          <cell r="X56">
            <v>0.81976744186046513</v>
          </cell>
          <cell r="AC56">
            <v>0.86235276351555257</v>
          </cell>
          <cell r="AH56">
            <v>0.8837017194134732</v>
          </cell>
          <cell r="AN56">
            <v>0.9267525400366311</v>
          </cell>
          <cell r="AP56">
            <v>0.94700942615765038</v>
          </cell>
          <cell r="AQ56">
            <v>0.96726631227866977</v>
          </cell>
          <cell r="AR56">
            <v>0.98752319839968905</v>
          </cell>
          <cell r="AS56">
            <v>1.0027158629904533</v>
          </cell>
          <cell r="AT56">
            <v>1.0181422608826141</v>
          </cell>
        </row>
        <row r="57">
          <cell r="B57">
            <v>-6.1776061776061653E-2</v>
          </cell>
          <cell r="C57">
            <v>-0.53027353057306625</v>
          </cell>
          <cell r="D57">
            <v>-0.24399909420289867</v>
          </cell>
          <cell r="E57">
            <v>-0.22424242424242424</v>
          </cell>
          <cell r="F57">
            <v>0.20000000000000018</v>
          </cell>
          <cell r="G57">
            <v>-0.10714285714285721</v>
          </cell>
          <cell r="H57">
            <v>-0.16451612903225821</v>
          </cell>
          <cell r="I57">
            <v>1.5262321144674296E-2</v>
          </cell>
          <cell r="N57">
            <v>0.50864684466019372</v>
          </cell>
          <cell r="S57">
            <v>-0.14041514041514036</v>
          </cell>
          <cell r="X57">
            <v>4.3340380549682811E-2</v>
          </cell>
          <cell r="AC57">
            <v>5.1948051948049967E-2</v>
          </cell>
          <cell r="AH57">
            <v>7.7990749922818292E-2</v>
          </cell>
          <cell r="AN57">
            <v>4.8716461309740833E-2</v>
          </cell>
          <cell r="AP57">
            <v>2.1857923497267784E-2</v>
          </cell>
          <cell r="AQ57">
            <v>2.1390374331550888E-2</v>
          </cell>
          <cell r="AR57">
            <v>2.0942408376963373E-2</v>
          </cell>
          <cell r="AS57">
            <v>1.538461538461533E-2</v>
          </cell>
          <cell r="AT57">
            <v>1.538461538461533E-2</v>
          </cell>
        </row>
        <row r="58">
          <cell r="B58">
            <v>6.93</v>
          </cell>
          <cell r="C58">
            <v>6.07</v>
          </cell>
          <cell r="D58">
            <v>6.4</v>
          </cell>
          <cell r="E58">
            <v>9</v>
          </cell>
          <cell r="F58">
            <v>10</v>
          </cell>
          <cell r="G58">
            <v>8.4</v>
          </cell>
          <cell r="H58">
            <v>9.3000000000000007</v>
          </cell>
          <cell r="I58">
            <v>8.5</v>
          </cell>
          <cell r="N58">
            <v>6.4</v>
          </cell>
          <cell r="S58">
            <v>7</v>
          </cell>
          <cell r="X58">
            <v>8.6</v>
          </cell>
          <cell r="AC58">
            <v>8.6</v>
          </cell>
          <cell r="AH58">
            <v>8.17</v>
          </cell>
          <cell r="AN58">
            <v>8.5785</v>
          </cell>
          <cell r="AP58">
            <v>8.5785</v>
          </cell>
          <cell r="AQ58">
            <v>8.5785</v>
          </cell>
          <cell r="AR58">
            <v>8.5785</v>
          </cell>
          <cell r="AS58">
            <v>8.5785</v>
          </cell>
          <cell r="AT58">
            <v>8.5785</v>
          </cell>
        </row>
        <row r="59">
          <cell r="B59">
            <v>4.5454545454545636E-2</v>
          </cell>
          <cell r="C59">
            <v>-0.12409812409812404</v>
          </cell>
          <cell r="D59">
            <v>5.4365733113673764E-2</v>
          </cell>
          <cell r="E59">
            <v>0.40625</v>
          </cell>
          <cell r="F59">
            <v>0.11111111111111116</v>
          </cell>
          <cell r="G59">
            <v>-0.15999999999999992</v>
          </cell>
          <cell r="H59">
            <v>0.10714285714285721</v>
          </cell>
          <cell r="I59">
            <v>-8.6021505376344121E-2</v>
          </cell>
          <cell r="N59">
            <v>-0.24705882352941178</v>
          </cell>
          <cell r="S59">
            <v>9.375E-2</v>
          </cell>
          <cell r="X59">
            <v>0.22857142857142843</v>
          </cell>
          <cell r="AC59">
            <v>0</v>
          </cell>
          <cell r="AH59">
            <v>-0.05</v>
          </cell>
          <cell r="AN59">
            <v>0.05</v>
          </cell>
          <cell r="AP59">
            <v>0</v>
          </cell>
          <cell r="AQ59">
            <v>0</v>
          </cell>
          <cell r="AR59">
            <v>0</v>
          </cell>
          <cell r="AS59">
            <v>0</v>
          </cell>
          <cell r="AT59">
            <v>0</v>
          </cell>
        </row>
        <row r="61">
          <cell r="B61">
            <v>1349</v>
          </cell>
          <cell r="C61">
            <v>1903.2</v>
          </cell>
          <cell r="D61">
            <v>2847</v>
          </cell>
          <cell r="E61">
            <v>3291</v>
          </cell>
          <cell r="F61">
            <v>2599</v>
          </cell>
          <cell r="G61">
            <v>2693.5</v>
          </cell>
          <cell r="H61">
            <v>3451.3</v>
          </cell>
          <cell r="I61">
            <v>4318.3999999999996</v>
          </cell>
          <cell r="J61">
            <v>1341</v>
          </cell>
          <cell r="K61">
            <v>1394</v>
          </cell>
          <cell r="L61">
            <v>1279</v>
          </cell>
          <cell r="M61">
            <v>1198</v>
          </cell>
          <cell r="N61">
            <v>4958.7</v>
          </cell>
          <cell r="S61">
            <v>4736</v>
          </cell>
          <cell r="X61">
            <v>5153.6000000000004</v>
          </cell>
          <cell r="AC61">
            <v>5382.043675324675</v>
          </cell>
          <cell r="AH61">
            <v>5322.9352283199241</v>
          </cell>
          <cell r="AN61">
            <v>5855.2972729701796</v>
          </cell>
          <cell r="AP61">
            <v>5128.8131676752773</v>
          </cell>
          <cell r="AQ61">
            <v>5447.8498176134362</v>
          </cell>
          <cell r="AR61">
            <v>5785.7537409699662</v>
          </cell>
          <cell r="AS61">
            <v>6144.2695253350003</v>
          </cell>
          <cell r="AT61">
            <v>6524.514837040485</v>
          </cell>
        </row>
        <row r="62">
          <cell r="C62">
            <v>0.41082283172720535</v>
          </cell>
          <cell r="D62">
            <v>0.49590163934426235</v>
          </cell>
          <cell r="E62">
            <v>0.15595363540569029</v>
          </cell>
          <cell r="F62">
            <v>-0.21027043451838345</v>
          </cell>
          <cell r="G62">
            <v>3.6360138514813345E-2</v>
          </cell>
          <cell r="H62">
            <v>0.28134397623909413</v>
          </cell>
          <cell r="I62">
            <v>0.25123866369194192</v>
          </cell>
          <cell r="N62">
            <v>0.14827250833642092</v>
          </cell>
          <cell r="S62">
            <v>-4.4910964567326128E-2</v>
          </cell>
          <cell r="X62">
            <v>8.8175675675675746E-2</v>
          </cell>
          <cell r="AC62">
            <v>4.9213130716756481E-2</v>
          </cell>
          <cell r="AH62">
            <v>3.2857658397998257E-2</v>
          </cell>
          <cell r="AN62">
            <v>0.10001287293858074</v>
          </cell>
          <cell r="AP62">
            <v>-0.12407296699495896</v>
          </cell>
          <cell r="AQ62">
            <v>6.2204771261490155E-2</v>
          </cell>
          <cell r="AR62">
            <v>6.2025190610808245E-2</v>
          </cell>
          <cell r="AS62">
            <v>6.196526855720097E-2</v>
          </cell>
          <cell r="AT62">
            <v>6.1886170542746921E-2</v>
          </cell>
        </row>
        <row r="63">
          <cell r="B63">
            <v>9.0461881294136084E-2</v>
          </cell>
          <cell r="C63">
            <v>0.22044848592893135</v>
          </cell>
          <cell r="D63">
            <v>9.4612617441259088E-3</v>
          </cell>
          <cell r="E63">
            <v>-2.0812412318413506E-2</v>
          </cell>
          <cell r="F63">
            <v>-4.4548810902422895E-2</v>
          </cell>
          <cell r="G63">
            <v>-1.4821473951445599E-2</v>
          </cell>
          <cell r="H63">
            <v>0.85141851333208796</v>
          </cell>
          <cell r="I63">
            <v>8.5247080359991873E-2</v>
          </cell>
          <cell r="N63">
            <v>7.6208174245711691E-2</v>
          </cell>
          <cell r="S63">
            <v>-3.5056026204699442E-2</v>
          </cell>
          <cell r="X63">
            <v>2.4318334021923998E-2</v>
          </cell>
          <cell r="AC63">
            <v>2.1677129341447866E-2</v>
          </cell>
          <cell r="AH63">
            <v>4.9501038575228606E-4</v>
          </cell>
          <cell r="AN63">
            <v>1.6357388909040541E-2</v>
          </cell>
          <cell r="AP63">
            <v>1.8491407804767324E-2</v>
          </cell>
          <cell r="AQ63">
            <v>1.8988943178072905E-2</v>
          </cell>
          <cell r="AR63">
            <v>1.9481509871038069E-2</v>
          </cell>
          <cell r="AS63">
            <v>1.930576597034844E-2</v>
          </cell>
          <cell r="AT63">
            <v>1.933601566286677E-2</v>
          </cell>
        </row>
        <row r="64">
          <cell r="B64">
            <v>-8.2957398920517789E-2</v>
          </cell>
          <cell r="C64">
            <v>0.15598720305951508</v>
          </cell>
          <cell r="D64">
            <v>0.48188117368632355</v>
          </cell>
          <cell r="E64">
            <v>0.18052317037905996</v>
          </cell>
          <cell r="F64">
            <v>-0.17344855028385542</v>
          </cell>
          <cell r="G64">
            <v>5.1951611929203168E-2</v>
          </cell>
          <cell r="H64">
            <v>-0.30791230237133305</v>
          </cell>
          <cell r="I64">
            <v>0.1529528034084997</v>
          </cell>
          <cell r="N64">
            <v>6.6961333146551727E-2</v>
          </cell>
          <cell r="S64">
            <v>-1.0212964307000472E-2</v>
          </cell>
          <cell r="X64">
            <v>6.2341304975983114E-2</v>
          </cell>
          <cell r="AC64">
            <v>2.6951764490468433E-2</v>
          </cell>
          <cell r="AH64">
            <v>3.2346636091436398E-2</v>
          </cell>
          <cell r="AN64">
            <v>8.2309121714888356E-2</v>
          </cell>
          <cell r="AP64">
            <v>-0.13997602111048357</v>
          </cell>
          <cell r="AQ64">
            <v>4.2410497555187998E-2</v>
          </cell>
          <cell r="AR64">
            <v>4.1730703625171062E-2</v>
          </cell>
          <cell r="AS64">
            <v>4.1851526804856265E-2</v>
          </cell>
          <cell r="AT64">
            <v>4.1743011358438054E-2</v>
          </cell>
        </row>
        <row r="66">
          <cell r="B66">
            <v>522.80759999999998</v>
          </cell>
          <cell r="C66">
            <v>747.70512000000008</v>
          </cell>
          <cell r="D66">
            <v>896</v>
          </cell>
          <cell r="E66">
            <v>914</v>
          </cell>
          <cell r="F66">
            <v>736</v>
          </cell>
          <cell r="G66">
            <v>667.1</v>
          </cell>
          <cell r="H66">
            <v>567.20000000000005</v>
          </cell>
          <cell r="I66">
            <v>753.1</v>
          </cell>
          <cell r="N66">
            <v>982.5</v>
          </cell>
          <cell r="S66">
            <v>774</v>
          </cell>
          <cell r="X66">
            <v>784</v>
          </cell>
          <cell r="AC66">
            <v>816.43130434782768</v>
          </cell>
          <cell r="AH66">
            <v>686.35790369473796</v>
          </cell>
          <cell r="AN66">
            <v>730.02978344048211</v>
          </cell>
          <cell r="AP66">
            <v>775.23162756583793</v>
          </cell>
          <cell r="AQ66">
            <v>821.94953354283189</v>
          </cell>
          <cell r="AR66">
            <v>861.69443503819411</v>
          </cell>
          <cell r="AS66">
            <v>902.15203961010934</v>
          </cell>
          <cell r="AT66">
            <v>944.50917805521817</v>
          </cell>
        </row>
        <row r="67">
          <cell r="C67">
            <v>0.43017262947210422</v>
          </cell>
          <cell r="D67">
            <v>0.19833337506101323</v>
          </cell>
          <cell r="E67">
            <v>2.0089285714285809E-2</v>
          </cell>
          <cell r="F67">
            <v>-0.19474835886214437</v>
          </cell>
          <cell r="G67">
            <v>-9.3614130434782616E-2</v>
          </cell>
          <cell r="H67">
            <v>-0.14975266077049909</v>
          </cell>
          <cell r="I67">
            <v>0.32775035260930885</v>
          </cell>
          <cell r="N67">
            <v>0.30460762182977019</v>
          </cell>
          <cell r="S67">
            <v>-0.21221374045801522</v>
          </cell>
          <cell r="X67">
            <v>1.2919896640826822E-2</v>
          </cell>
          <cell r="AC67">
            <v>4.136645962733132E-2</v>
          </cell>
          <cell r="AH67">
            <v>-0.12454349018528321</v>
          </cell>
          <cell r="AN67">
            <v>6.3628435704832453E-2</v>
          </cell>
          <cell r="AP67">
            <v>6.1917808219178028E-2</v>
          </cell>
          <cell r="AQ67">
            <v>6.0263157894736796E-2</v>
          </cell>
          <cell r="AR67">
            <v>4.8354430379746738E-2</v>
          </cell>
          <cell r="AS67">
            <v>4.6951219512195053E-2</v>
          </cell>
          <cell r="AT67">
            <v>4.6951219512195275E-2</v>
          </cell>
        </row>
        <row r="69">
          <cell r="B69">
            <v>1370.4</v>
          </cell>
          <cell r="C69">
            <v>2027.4</v>
          </cell>
          <cell r="D69">
            <v>1889.0997259118701</v>
          </cell>
          <cell r="E69">
            <v>1597.0644766730736</v>
          </cell>
          <cell r="F69">
            <v>1347.985347985348</v>
          </cell>
          <cell r="G69">
            <v>1141.9034577199589</v>
          </cell>
          <cell r="H69">
            <v>1116.9751870815282</v>
          </cell>
          <cell r="I69">
            <v>1293.7639580828036</v>
          </cell>
          <cell r="N69">
            <v>1782.7980402830701</v>
          </cell>
          <cell r="S69">
            <v>1493.0555555555557</v>
          </cell>
          <cell r="X69">
            <v>1590.26369168357</v>
          </cell>
          <cell r="AC69">
            <v>1639.6507628538702</v>
          </cell>
          <cell r="AH69">
            <v>1392.2067012063651</v>
          </cell>
          <cell r="AN69">
            <v>1451.7555252763832</v>
          </cell>
          <cell r="AP69">
            <v>1511.4167112466455</v>
          </cell>
          <cell r="AQ69">
            <v>1571.0778972169078</v>
          </cell>
          <cell r="AR69">
            <v>1630.7390831871701</v>
          </cell>
          <cell r="AS69">
            <v>1690.4002691574324</v>
          </cell>
          <cell r="AT69">
            <v>1752.24418144368</v>
          </cell>
        </row>
        <row r="70">
          <cell r="B70">
            <v>0.20175438596491246</v>
          </cell>
          <cell r="C70">
            <v>0.47942206654991248</v>
          </cell>
          <cell r="D70">
            <v>-6.8215583549437686E-2</v>
          </cell>
          <cell r="E70">
            <v>-0.15458964142183163</v>
          </cell>
          <cell r="F70">
            <v>-0.15596059666081552</v>
          </cell>
          <cell r="G70">
            <v>-0.15288140228926961</v>
          </cell>
          <cell r="H70">
            <v>-2.1830453765509183E-2</v>
          </cell>
          <cell r="I70">
            <v>0.1582745731919033</v>
          </cell>
          <cell r="N70">
            <v>0.37799328010725697</v>
          </cell>
          <cell r="S70">
            <v>-0.16252120441051732</v>
          </cell>
          <cell r="X70">
            <v>6.5106844662484065E-2</v>
          </cell>
          <cell r="AC70">
            <v>3.1055900621119958E-2</v>
          </cell>
          <cell r="AH70">
            <v>-0.12454349018528321</v>
          </cell>
          <cell r="AN70">
            <v>4.2772976181208122E-2</v>
          </cell>
          <cell r="AP70">
            <v>4.1095890410958846E-2</v>
          </cell>
          <cell r="AQ70">
            <v>3.9473684210526327E-2</v>
          </cell>
          <cell r="AR70">
            <v>3.7974683544303778E-2</v>
          </cell>
          <cell r="AS70">
            <v>3.6585365853658569E-2</v>
          </cell>
          <cell r="AT70">
            <v>3.6585365853658569E-2</v>
          </cell>
        </row>
        <row r="71">
          <cell r="B71">
            <v>381.5</v>
          </cell>
          <cell r="C71">
            <v>368.8</v>
          </cell>
          <cell r="D71">
            <v>474.3</v>
          </cell>
          <cell r="E71">
            <v>572.29999999999995</v>
          </cell>
          <cell r="F71">
            <v>546</v>
          </cell>
          <cell r="G71">
            <v>584.20000000000005</v>
          </cell>
          <cell r="H71">
            <v>507.8</v>
          </cell>
          <cell r="I71">
            <v>582.1</v>
          </cell>
          <cell r="N71">
            <v>551.1</v>
          </cell>
          <cell r="S71">
            <v>518.4</v>
          </cell>
          <cell r="X71">
            <v>493</v>
          </cell>
          <cell r="AC71">
            <v>497.93</v>
          </cell>
          <cell r="AH71">
            <v>493</v>
          </cell>
          <cell r="AN71">
            <v>502.86</v>
          </cell>
          <cell r="AP71">
            <v>512.91719999999998</v>
          </cell>
          <cell r="AQ71">
            <v>523.17554399999995</v>
          </cell>
          <cell r="AR71">
            <v>528.40729943999997</v>
          </cell>
          <cell r="AS71">
            <v>533.69137243440002</v>
          </cell>
          <cell r="AT71">
            <v>539.02828615874398</v>
          </cell>
        </row>
        <row r="72">
          <cell r="B72">
            <v>1.4897579143389184E-2</v>
          </cell>
          <cell r="C72">
            <v>-3.3289646133682793E-2</v>
          </cell>
          <cell r="D72">
            <v>0.28606290672451196</v>
          </cell>
          <cell r="E72">
            <v>0.20662028252161058</v>
          </cell>
          <cell r="F72">
            <v>-4.5954918748907891E-2</v>
          </cell>
          <cell r="G72">
            <v>6.9963369963369937E-2</v>
          </cell>
          <cell r="H72">
            <v>-0.13077713111947964</v>
          </cell>
          <cell r="I72">
            <v>0.14631744781410028</v>
          </cell>
          <cell r="N72">
            <v>-5.3255454389280144E-2</v>
          </cell>
          <cell r="S72">
            <v>-5.9335873707131226E-2</v>
          </cell>
          <cell r="X72">
            <v>-4.8996913580246826E-2</v>
          </cell>
          <cell r="AC72">
            <v>0.01</v>
          </cell>
          <cell r="AH72">
            <v>0</v>
          </cell>
          <cell r="AN72">
            <v>0.02</v>
          </cell>
          <cell r="AP72">
            <v>0.02</v>
          </cell>
          <cell r="AQ72">
            <v>0.02</v>
          </cell>
          <cell r="AR72">
            <v>0.01</v>
          </cell>
          <cell r="AS72">
            <v>0.01</v>
          </cell>
          <cell r="AT72">
            <v>0.01</v>
          </cell>
        </row>
        <row r="74">
          <cell r="B74">
            <v>44</v>
          </cell>
          <cell r="C74">
            <v>177.9</v>
          </cell>
          <cell r="D74">
            <v>239.6</v>
          </cell>
          <cell r="E74">
            <v>247.3</v>
          </cell>
          <cell r="F74">
            <v>329.8</v>
          </cell>
          <cell r="G74">
            <v>371.5</v>
          </cell>
          <cell r="H74">
            <v>465</v>
          </cell>
          <cell r="I74">
            <v>450.7</v>
          </cell>
          <cell r="N74">
            <v>777.5</v>
          </cell>
          <cell r="S74">
            <v>518</v>
          </cell>
          <cell r="X74">
            <v>721.5</v>
          </cell>
          <cell r="AC74">
            <v>765.36720000000014</v>
          </cell>
          <cell r="AH74">
            <v>790.204116</v>
          </cell>
          <cell r="AN74">
            <v>821.81228064000004</v>
          </cell>
          <cell r="AP74">
            <v>854.68477186560006</v>
          </cell>
          <cell r="AQ74">
            <v>888.8721627402241</v>
          </cell>
          <cell r="AR74">
            <v>924.42704924983309</v>
          </cell>
          <cell r="AS74">
            <v>961.40413121982647</v>
          </cell>
          <cell r="AT74">
            <v>999.86029646861959</v>
          </cell>
        </row>
        <row r="75">
          <cell r="C75">
            <v>3.043181818181818</v>
          </cell>
          <cell r="D75">
            <v>0.34682405845980879</v>
          </cell>
          <cell r="E75">
            <v>3.2136894824707829E-2</v>
          </cell>
          <cell r="F75">
            <v>0.33360291144359078</v>
          </cell>
          <cell r="G75">
            <v>0.12644026682838083</v>
          </cell>
          <cell r="H75">
            <v>0.25168236877523542</v>
          </cell>
          <cell r="I75">
            <v>-3.0752688172043019E-2</v>
          </cell>
          <cell r="N75">
            <v>0.72509429775904155</v>
          </cell>
          <cell r="S75">
            <v>-0.33376205787781354</v>
          </cell>
          <cell r="X75">
            <v>0.39285714285714279</v>
          </cell>
          <cell r="AC75">
            <v>6.0800000000000187E-2</v>
          </cell>
          <cell r="AH75">
            <v>9.5223999999999975E-2</v>
          </cell>
          <cell r="AN75">
            <v>4.0000000000000036E-2</v>
          </cell>
          <cell r="AP75">
            <v>4.0000000000000036E-2</v>
          </cell>
          <cell r="AQ75">
            <v>4.0000000000000036E-2</v>
          </cell>
          <cell r="AR75">
            <v>4.0000000000000036E-2</v>
          </cell>
          <cell r="AS75">
            <v>4.0000000000000036E-2</v>
          </cell>
          <cell r="AT75">
            <v>4.0000000000000036E-2</v>
          </cell>
        </row>
        <row r="77">
          <cell r="B77">
            <v>148.19999999999999</v>
          </cell>
          <cell r="C77">
            <v>196.7920353982301</v>
          </cell>
          <cell r="D77">
            <v>263.9347873981053</v>
          </cell>
          <cell r="E77">
            <v>294.72053390537479</v>
          </cell>
          <cell r="F77">
            <v>289.32362487937536</v>
          </cell>
          <cell r="G77">
            <v>306.41702408446054</v>
          </cell>
          <cell r="H77">
            <v>244.32534678436318</v>
          </cell>
          <cell r="I77">
            <v>333.38264664546193</v>
          </cell>
          <cell r="N77">
            <v>309.10825746431834</v>
          </cell>
          <cell r="S77">
            <v>243.42105263157896</v>
          </cell>
          <cell r="X77">
            <v>216.63413901816543</v>
          </cell>
          <cell r="AC77">
            <v>220.96682179852874</v>
          </cell>
          <cell r="AH77">
            <v>228.13741180003001</v>
          </cell>
          <cell r="AN77">
            <v>228.13741180003001</v>
          </cell>
          <cell r="AP77">
            <v>228.13741180003001</v>
          </cell>
          <cell r="AQ77">
            <v>228.13741180003001</v>
          </cell>
          <cell r="AR77">
            <v>228.13741180003001</v>
          </cell>
          <cell r="AS77">
            <v>228.13741180003001</v>
          </cell>
          <cell r="AT77">
            <v>228.13741180003001</v>
          </cell>
        </row>
        <row r="78">
          <cell r="B78">
            <v>8.7890625E-3</v>
          </cell>
          <cell r="C78">
            <v>0.32788148041990639</v>
          </cell>
          <cell r="D78">
            <v>0.34118632831864626</v>
          </cell>
          <cell r="E78">
            <v>0.11664148864482149</v>
          </cell>
          <cell r="F78">
            <v>-1.8311954564157351E-2</v>
          </cell>
          <cell r="G78">
            <v>5.9080551103324996E-2</v>
          </cell>
          <cell r="H78">
            <v>-0.20263781846201356</v>
          </cell>
          <cell r="I78">
            <v>0.36450290988310363</v>
          </cell>
          <cell r="N78">
            <v>-7.2812395682245401E-2</v>
          </cell>
          <cell r="S78">
            <v>-0.21250550008461655</v>
          </cell>
          <cell r="X78">
            <v>1.7000000000000001E-2</v>
          </cell>
          <cell r="AC78">
            <v>0.02</v>
          </cell>
          <cell r="AH78">
            <v>5.3100000000000001E-2</v>
          </cell>
          <cell r="AN78">
            <v>0</v>
          </cell>
          <cell r="AP78">
            <v>0</v>
          </cell>
          <cell r="AQ78">
            <v>0</v>
          </cell>
          <cell r="AR78">
            <v>0</v>
          </cell>
          <cell r="AS78">
            <v>0</v>
          </cell>
          <cell r="AT78">
            <v>0</v>
          </cell>
        </row>
        <row r="79">
          <cell r="B79">
            <v>1033</v>
          </cell>
          <cell r="C79">
            <v>904</v>
          </cell>
          <cell r="D79">
            <v>907.8</v>
          </cell>
          <cell r="E79">
            <v>839.1</v>
          </cell>
          <cell r="F79">
            <v>1139.9000000000001</v>
          </cell>
          <cell r="G79">
            <v>1212.4000000000001</v>
          </cell>
          <cell r="H79">
            <v>1903.2</v>
          </cell>
          <cell r="I79">
            <v>1351.9</v>
          </cell>
          <cell r="N79">
            <v>2515.3000000000002</v>
          </cell>
          <cell r="S79">
            <v>2128</v>
          </cell>
          <cell r="X79">
            <v>3330.5</v>
          </cell>
          <cell r="AC79">
            <v>3463.72</v>
          </cell>
          <cell r="AH79">
            <v>3463.7200000000003</v>
          </cell>
          <cell r="AN79">
            <v>3602.2688000000003</v>
          </cell>
          <cell r="AP79">
            <v>3746.3595520000003</v>
          </cell>
          <cell r="AQ79">
            <v>3896.2139340800004</v>
          </cell>
          <cell r="AR79">
            <v>4052.0624914432005</v>
          </cell>
          <cell r="AS79">
            <v>4214.1449911009286</v>
          </cell>
          <cell r="AT79">
            <v>4382.7107907449663</v>
          </cell>
        </row>
        <row r="80">
          <cell r="B80">
            <v>-2.0237452779281462E-4</v>
          </cell>
          <cell r="C80">
            <v>-0.1248789932236205</v>
          </cell>
          <cell r="D80">
            <v>4.2035398230086951E-3</v>
          </cell>
          <cell r="E80">
            <v>-7.5677461996034312E-2</v>
          </cell>
          <cell r="F80">
            <v>0.35847932308425712</v>
          </cell>
          <cell r="G80">
            <v>6.360207035704879E-2</v>
          </cell>
          <cell r="H80">
            <v>0</v>
          </cell>
          <cell r="I80">
            <v>0.05</v>
          </cell>
          <cell r="N80">
            <v>0.86056660995635781</v>
          </cell>
          <cell r="S80">
            <v>-0.1539776567407467</v>
          </cell>
          <cell r="X80">
            <v>0.56508458646616533</v>
          </cell>
          <cell r="AC80">
            <v>0.04</v>
          </cell>
          <cell r="AH80">
            <v>0.04</v>
          </cell>
          <cell r="AN80">
            <v>0.04</v>
          </cell>
          <cell r="AP80">
            <v>0.04</v>
          </cell>
          <cell r="AQ80">
            <v>0.04</v>
          </cell>
          <cell r="AR80">
            <v>0.04</v>
          </cell>
          <cell r="AS80">
            <v>0.04</v>
          </cell>
          <cell r="AT80">
            <v>0.04</v>
          </cell>
        </row>
        <row r="82">
          <cell r="B82">
            <v>47.3</v>
          </cell>
          <cell r="C82">
            <v>297</v>
          </cell>
          <cell r="D82">
            <v>169.3</v>
          </cell>
          <cell r="E82">
            <v>7.2</v>
          </cell>
          <cell r="F82">
            <v>5.9</v>
          </cell>
          <cell r="G82">
            <v>10.4</v>
          </cell>
          <cell r="H82">
            <v>185.3</v>
          </cell>
          <cell r="I82">
            <v>272.39999999999998</v>
          </cell>
          <cell r="N82">
            <v>100</v>
          </cell>
          <cell r="S82">
            <v>99.6</v>
          </cell>
          <cell r="X82">
            <v>102.30613199999998</v>
          </cell>
          <cell r="AC82">
            <v>105.39577718639997</v>
          </cell>
          <cell r="AH82">
            <v>104.56914363983998</v>
          </cell>
          <cell r="AN82">
            <v>107.19905760238194</v>
          </cell>
          <cell r="AP82">
            <v>110.21992704561707</v>
          </cell>
          <cell r="AQ82">
            <v>113.43724671607862</v>
          </cell>
          <cell r="AR82">
            <v>116.86305156690419</v>
          </cell>
          <cell r="AS82">
            <v>120.39231572422469</v>
          </cell>
          <cell r="AT82">
            <v>124.02816365909626</v>
          </cell>
        </row>
        <row r="83">
          <cell r="C83">
            <v>5.279069767441861</v>
          </cell>
          <cell r="D83">
            <v>-0.42996632996632989</v>
          </cell>
          <cell r="E83">
            <v>-0.95747194329592444</v>
          </cell>
          <cell r="F83">
            <v>-0.18055555555555558</v>
          </cell>
          <cell r="G83">
            <v>0.76271186440677963</v>
          </cell>
          <cell r="H83">
            <v>16.817307692307693</v>
          </cell>
          <cell r="I83">
            <v>0.4700485698866701</v>
          </cell>
          <cell r="N83">
            <v>-0.63289280469897213</v>
          </cell>
          <cell r="S83">
            <v>-4.0000000000000036E-3</v>
          </cell>
          <cell r="X83">
            <v>2.7169999999999916E-2</v>
          </cell>
          <cell r="AC83">
            <v>3.0200000000000005E-2</v>
          </cell>
          <cell r="AH83">
            <v>2.2119999999999918E-2</v>
          </cell>
          <cell r="AN83">
            <v>2.5149999999999784E-2</v>
          </cell>
          <cell r="AP83">
            <v>2.8180000000000094E-2</v>
          </cell>
          <cell r="AQ83">
            <v>2.9189999999999827E-2</v>
          </cell>
          <cell r="AR83">
            <v>3.0200000000000005E-2</v>
          </cell>
          <cell r="AS83">
            <v>3.0200000000000005E-2</v>
          </cell>
          <cell r="AT83">
            <v>3.0200000000000005E-2</v>
          </cell>
        </row>
        <row r="85">
          <cell r="C85">
            <v>-0.10299003322259115</v>
          </cell>
          <cell r="D85">
            <v>-7.2038211573095201E-2</v>
          </cell>
          <cell r="E85">
            <v>-8.5646780862373983E-2</v>
          </cell>
          <cell r="F85">
            <v>-0.18055555555555558</v>
          </cell>
          <cell r="G85">
            <v>0.69491525423728806</v>
          </cell>
          <cell r="H85">
            <v>16.132026627218934</v>
          </cell>
          <cell r="I85">
            <v>4.9919050188882874E-2</v>
          </cell>
          <cell r="N85">
            <v>-0.14340786430223595</v>
          </cell>
          <cell r="S85">
            <v>-3.900390039003887E-3</v>
          </cell>
          <cell r="X85">
            <v>1.7000000000000001E-2</v>
          </cell>
          <cell r="AC85">
            <v>0.02</v>
          </cell>
          <cell r="AH85">
            <v>1.2E-2</v>
          </cell>
          <cell r="AN85">
            <v>1.4999999999999999E-2</v>
          </cell>
          <cell r="AP85">
            <v>1.7999999999999999E-2</v>
          </cell>
          <cell r="AQ85">
            <v>1.9E-2</v>
          </cell>
          <cell r="AR85">
            <v>0.02</v>
          </cell>
          <cell r="AS85">
            <v>0.02</v>
          </cell>
          <cell r="AT85">
            <v>0.02</v>
          </cell>
        </row>
        <row r="86">
          <cell r="C86">
            <v>5.9999999999999991</v>
          </cell>
          <cell r="D86">
            <v>-0.38571428571428568</v>
          </cell>
          <cell r="E86">
            <v>-0.95348837209302328</v>
          </cell>
          <cell r="F86">
            <v>0</v>
          </cell>
          <cell r="G86">
            <v>0.04</v>
          </cell>
          <cell r="H86">
            <v>0.04</v>
          </cell>
          <cell r="I86">
            <v>0.05</v>
          </cell>
          <cell r="N86">
            <v>-0.57143291421653175</v>
          </cell>
          <cell r="S86">
            <v>0</v>
          </cell>
          <cell r="X86">
            <v>0.01</v>
          </cell>
          <cell r="AC86">
            <v>0.01</v>
          </cell>
          <cell r="AH86">
            <v>0.01</v>
          </cell>
          <cell r="AN86">
            <v>0.01</v>
          </cell>
          <cell r="AP86">
            <v>0.01</v>
          </cell>
          <cell r="AQ86">
            <v>0.01</v>
          </cell>
          <cell r="AR86">
            <v>0.01</v>
          </cell>
          <cell r="AS86">
            <v>0.01</v>
          </cell>
          <cell r="AT86">
            <v>0.01</v>
          </cell>
        </row>
        <row r="88">
          <cell r="B88">
            <v>734.89240000000007</v>
          </cell>
          <cell r="C88">
            <v>680.59487999999999</v>
          </cell>
          <cell r="D88">
            <v>1542.1000000000001</v>
          </cell>
          <cell r="E88">
            <v>2122.5</v>
          </cell>
          <cell r="F88">
            <v>1527.3</v>
          </cell>
          <cell r="G88">
            <v>1644.5</v>
          </cell>
          <cell r="H88">
            <v>2233.8000000000002</v>
          </cell>
          <cell r="I88">
            <v>2842.2</v>
          </cell>
          <cell r="N88">
            <v>3098.7</v>
          </cell>
          <cell r="S88">
            <v>3344.4</v>
          </cell>
          <cell r="X88">
            <v>3545.7938680000002</v>
          </cell>
          <cell r="AC88">
            <v>3694.8493937904473</v>
          </cell>
          <cell r="AH88">
            <v>3741.8040649853465</v>
          </cell>
          <cell r="AN88">
            <v>4196.2561512873162</v>
          </cell>
          <cell r="AP88">
            <v>3388.6768411982225</v>
          </cell>
          <cell r="AQ88">
            <v>3623.5908746143014</v>
          </cell>
          <cell r="AR88">
            <v>3882.7692051150352</v>
          </cell>
          <cell r="AS88">
            <v>4160.3210387808394</v>
          </cell>
          <cell r="AT88">
            <v>4456.1171988575506</v>
          </cell>
        </row>
        <row r="89">
          <cell r="C89">
            <v>-7.388499323166231E-2</v>
          </cell>
          <cell r="D89">
            <v>1.2658119320556747</v>
          </cell>
          <cell r="E89">
            <v>0.37636988522145121</v>
          </cell>
          <cell r="F89">
            <v>-0.28042402826855128</v>
          </cell>
          <cell r="G89">
            <v>7.673672493943573E-2</v>
          </cell>
          <cell r="H89">
            <v>0.35834600182426279</v>
          </cell>
          <cell r="I89">
            <v>0.27236099919419798</v>
          </cell>
          <cell r="N89">
            <v>9.0246991766941065E-2</v>
          </cell>
          <cell r="S89">
            <v>7.9291315713041044E-2</v>
          </cell>
          <cell r="X89">
            <v>6.021823585695496E-2</v>
          </cell>
          <cell r="AC89">
            <v>4.9138459625044373E-2</v>
          </cell>
          <cell r="AH89">
            <v>5.5279636742083138E-2</v>
          </cell>
          <cell r="AN89">
            <v>0.12145266786002851</v>
          </cell>
          <cell r="AP89">
            <v>-0.19245233869751888</v>
          </cell>
          <cell r="AQ89">
            <v>6.9323232761556053E-2</v>
          </cell>
          <cell r="AR89">
            <v>7.1525274091082558E-2</v>
          </cell>
          <cell r="AS89">
            <v>7.1482959455886785E-2</v>
          </cell>
          <cell r="AT89">
            <v>7.1099359236803661E-2</v>
          </cell>
        </row>
        <row r="91">
          <cell r="B91">
            <v>2.1999999999999999E-2</v>
          </cell>
          <cell r="C91">
            <v>4.9000000000000002E-2</v>
          </cell>
          <cell r="D91">
            <v>1.2E-2</v>
          </cell>
          <cell r="E91">
            <v>2.1000000000000001E-2</v>
          </cell>
          <cell r="F91">
            <v>4.0000000000000001E-3</v>
          </cell>
          <cell r="G91">
            <v>0.02</v>
          </cell>
          <cell r="H91">
            <v>2.5000000000000001E-2</v>
          </cell>
          <cell r="I91">
            <v>2.5000000000000001E-2</v>
          </cell>
          <cell r="N91">
            <v>2.5000000000000001E-2</v>
          </cell>
          <cell r="S91">
            <v>2.1000000000000001E-2</v>
          </cell>
          <cell r="X91">
            <v>1.7000000000000001E-2</v>
          </cell>
          <cell r="AC91">
            <v>0.02</v>
          </cell>
          <cell r="AH91">
            <v>1.2E-2</v>
          </cell>
          <cell r="AN91">
            <v>1.4999999999999999E-2</v>
          </cell>
          <cell r="AP91">
            <v>1.7999999999999999E-2</v>
          </cell>
          <cell r="AQ91">
            <v>1.9E-2</v>
          </cell>
          <cell r="AR91">
            <v>0.02</v>
          </cell>
          <cell r="AS91">
            <v>0.02</v>
          </cell>
          <cell r="AT91">
            <v>0.02</v>
          </cell>
        </row>
        <row r="92">
          <cell r="B92">
            <v>-0.245</v>
          </cell>
          <cell r="C92">
            <v>-0.11714489345249024</v>
          </cell>
          <cell r="D92">
            <v>1.2389445968929591</v>
          </cell>
          <cell r="E92">
            <v>0.34806061236185237</v>
          </cell>
          <cell r="F92">
            <v>-0.28329086480931398</v>
          </cell>
          <cell r="G92">
            <v>5.5624240136701752E-2</v>
          </cell>
          <cell r="H92">
            <v>0.3252156115358662</v>
          </cell>
          <cell r="I92">
            <v>0.24132780409190069</v>
          </cell>
          <cell r="N92">
            <v>6.365560172384499E-2</v>
          </cell>
          <cell r="S92">
            <v>5.7092375820804175E-2</v>
          </cell>
          <cell r="X92">
            <v>4.2495807135648933E-2</v>
          </cell>
          <cell r="AC92">
            <v>2.8567117279455267E-2</v>
          </cell>
          <cell r="AH92">
            <v>4.2766439468461481E-2</v>
          </cell>
          <cell r="AN92">
            <v>0.10487947572416623</v>
          </cell>
          <cell r="AP92">
            <v>-0.20673117750247438</v>
          </cell>
          <cell r="AQ92">
            <v>4.9384919294952034E-2</v>
          </cell>
          <cell r="AR92">
            <v>5.0514974599100482E-2</v>
          </cell>
          <cell r="AS92">
            <v>5.0473489662633986E-2</v>
          </cell>
          <cell r="AT92">
            <v>5.0097411016474247E-2</v>
          </cell>
        </row>
        <row r="94">
          <cell r="B94">
            <v>-8870</v>
          </cell>
          <cell r="C94">
            <v>-12080</v>
          </cell>
          <cell r="D94">
            <v>-7283</v>
          </cell>
          <cell r="E94">
            <v>-6807</v>
          </cell>
          <cell r="F94">
            <v>-10131</v>
          </cell>
          <cell r="G94">
            <v>-12714</v>
          </cell>
          <cell r="H94">
            <v>-11390</v>
          </cell>
          <cell r="I94">
            <v>-8346</v>
          </cell>
          <cell r="J94">
            <v>-2369</v>
          </cell>
          <cell r="K94">
            <v>-2999</v>
          </cell>
          <cell r="L94">
            <v>-3575</v>
          </cell>
          <cell r="M94">
            <v>-2994</v>
          </cell>
          <cell r="N94">
            <v>-11937</v>
          </cell>
          <cell r="O94">
            <v>-1976</v>
          </cell>
          <cell r="P94">
            <v>-2928</v>
          </cell>
          <cell r="Q94">
            <v>-2543</v>
          </cell>
          <cell r="R94">
            <v>-2363</v>
          </cell>
          <cell r="S94">
            <v>-9810</v>
          </cell>
          <cell r="T94">
            <v>-2420</v>
          </cell>
          <cell r="U94">
            <v>-3249</v>
          </cell>
          <cell r="V94">
            <v>-3855</v>
          </cell>
          <cell r="W94">
            <v>-3371</v>
          </cell>
          <cell r="X94">
            <v>-12895</v>
          </cell>
          <cell r="Y94">
            <v>-3242.7838106445361</v>
          </cell>
          <cell r="Z94">
            <v>-3604.2478372607466</v>
          </cell>
          <cell r="AA94">
            <v>-4096.9764517089907</v>
          </cell>
          <cell r="AB94">
            <v>-3945.3161756640661</v>
          </cell>
          <cell r="AC94">
            <v>-14889.324275278337</v>
          </cell>
          <cell r="AD94">
            <v>-3170.1480336776262</v>
          </cell>
          <cell r="AE94">
            <v>-3501.3867040862515</v>
          </cell>
          <cell r="AF94">
            <v>-3779.2253744948766</v>
          </cell>
          <cell r="AG94">
            <v>-3548.8867040862515</v>
          </cell>
          <cell r="AH94">
            <v>-13999.646816345006</v>
          </cell>
          <cell r="AI94">
            <v>-3546</v>
          </cell>
          <cell r="AJ94">
            <v>-3726</v>
          </cell>
          <cell r="AK94">
            <v>-3503</v>
          </cell>
          <cell r="AL94">
            <v>-3184</v>
          </cell>
          <cell r="AM94">
            <v>-13959</v>
          </cell>
          <cell r="AN94">
            <v>-13987.477531204382</v>
          </cell>
          <cell r="AO94">
            <v>-14540.283134228437</v>
          </cell>
          <cell r="AP94">
            <v>-15533.361235662898</v>
          </cell>
          <cell r="AQ94">
            <v>-18911.932680967708</v>
          </cell>
          <cell r="AR94">
            <v>-19801.852655017028</v>
          </cell>
          <cell r="AS94">
            <v>-21389.761608484954</v>
          </cell>
          <cell r="AT94">
            <v>-22545.813639748547</v>
          </cell>
        </row>
        <row r="95">
          <cell r="C95">
            <v>0.36189402480270583</v>
          </cell>
          <cell r="D95">
            <v>-0.39710264900662251</v>
          </cell>
          <cell r="E95">
            <v>-6.5357682273788242E-2</v>
          </cell>
          <cell r="F95">
            <v>0.48832084618774796</v>
          </cell>
          <cell r="G95">
            <v>0.25496002368966542</v>
          </cell>
          <cell r="H95">
            <v>-0.10413717162183422</v>
          </cell>
          <cell r="I95">
            <v>-0.26725197541703249</v>
          </cell>
          <cell r="N95">
            <v>0.43026599568655644</v>
          </cell>
          <cell r="O95">
            <v>-0.16589278176445754</v>
          </cell>
          <cell r="P95">
            <v>-2.3674558186062011E-2</v>
          </cell>
          <cell r="Q95">
            <v>-0.28867132867132872</v>
          </cell>
          <cell r="R95">
            <v>-0.21075484301937208</v>
          </cell>
          <cell r="S95">
            <v>-0.1781854737371199</v>
          </cell>
          <cell r="T95">
            <v>0.22469635627530371</v>
          </cell>
          <cell r="U95">
            <v>0.10963114754098369</v>
          </cell>
          <cell r="V95">
            <v>0.51592607156901304</v>
          </cell>
          <cell r="W95">
            <v>0.42657638595006353</v>
          </cell>
          <cell r="X95">
            <v>0.3144750254841997</v>
          </cell>
          <cell r="Y95">
            <v>0.35335912968763239</v>
          </cell>
          <cell r="Z95">
            <v>0.15004717206788332</v>
          </cell>
          <cell r="AA95">
            <v>0.15635801628817125</v>
          </cell>
          <cell r="AB95">
            <v>0.11323819855080863</v>
          </cell>
          <cell r="AC95">
            <v>0.18009085093074773</v>
          </cell>
          <cell r="AD95">
            <v>0.30997852631306877</v>
          </cell>
          <cell r="AE95">
            <v>7.7681349364804975E-2</v>
          </cell>
          <cell r="AF95">
            <v>-1.9656193386543008E-2</v>
          </cell>
          <cell r="AG95">
            <v>5.2769713463735268E-2</v>
          </cell>
          <cell r="AH95">
            <v>8.5664739538193535E-2</v>
          </cell>
          <cell r="AI95">
            <v>0.46528925619834705</v>
          </cell>
          <cell r="AJ95">
            <v>5.0761421319796884E-2</v>
          </cell>
          <cell r="AK95">
            <v>-5.9849704777241053E-2</v>
          </cell>
          <cell r="AL95">
            <v>-9.106480159862973E-2</v>
          </cell>
          <cell r="AM95">
            <v>8.2512601783637063E-2</v>
          </cell>
          <cell r="AN95">
            <v>2.0400839031722295E-3</v>
          </cell>
          <cell r="AO95">
            <v>4.1642175960200367E-2</v>
          </cell>
          <cell r="AP95">
            <v>6.8298401913282847E-2</v>
          </cell>
          <cell r="AQ95">
            <v>0.21750420878309185</v>
          </cell>
          <cell r="AR95">
            <v>4.7056003691516191E-2</v>
          </cell>
          <cell r="AS95">
            <v>8.0189918647112668E-2</v>
          </cell>
          <cell r="AT95">
            <v>5.4046980626703434E-2</v>
          </cell>
        </row>
        <row r="97">
          <cell r="B97">
            <v>-444</v>
          </cell>
          <cell r="C97">
            <v>-459</v>
          </cell>
          <cell r="D97">
            <v>-544</v>
          </cell>
          <cell r="E97">
            <v>-939</v>
          </cell>
          <cell r="F97">
            <v>-1213</v>
          </cell>
          <cell r="G97">
            <v>-936</v>
          </cell>
          <cell r="H97">
            <v>-716</v>
          </cell>
          <cell r="I97">
            <v>-849</v>
          </cell>
          <cell r="J97">
            <v>-289</v>
          </cell>
          <cell r="K97">
            <v>-387</v>
          </cell>
          <cell r="L97">
            <v>-394</v>
          </cell>
          <cell r="M97">
            <v>-656</v>
          </cell>
          <cell r="N97">
            <v>-1726</v>
          </cell>
          <cell r="O97">
            <v>-497</v>
          </cell>
          <cell r="P97">
            <v>-637</v>
          </cell>
          <cell r="Q97">
            <v>-490</v>
          </cell>
          <cell r="R97">
            <v>-564</v>
          </cell>
          <cell r="S97">
            <v>-2188</v>
          </cell>
          <cell r="T97">
            <v>-480</v>
          </cell>
          <cell r="U97">
            <v>-302</v>
          </cell>
          <cell r="V97">
            <v>-529</v>
          </cell>
          <cell r="W97">
            <v>-662</v>
          </cell>
          <cell r="X97">
            <v>-1973</v>
          </cell>
          <cell r="Y97">
            <v>-342.19899999999996</v>
          </cell>
          <cell r="Z97">
            <v>-534.20700000000011</v>
          </cell>
          <cell r="AA97">
            <v>-693.81</v>
          </cell>
          <cell r="AB97">
            <v>-818.221</v>
          </cell>
          <cell r="AC97">
            <v>-2388.4369999999999</v>
          </cell>
          <cell r="AD97">
            <v>-485</v>
          </cell>
          <cell r="AE97">
            <v>-544</v>
          </cell>
          <cell r="AF97">
            <v>-501.6</v>
          </cell>
          <cell r="AG97">
            <v>-571.5</v>
          </cell>
          <cell r="AH97">
            <v>-2102.1000000000004</v>
          </cell>
          <cell r="AI97">
            <v>-482</v>
          </cell>
          <cell r="AJ97">
            <v>-542</v>
          </cell>
          <cell r="AK97">
            <v>-498</v>
          </cell>
          <cell r="AL97">
            <v>-570</v>
          </cell>
          <cell r="AM97">
            <v>-2092</v>
          </cell>
          <cell r="AN97">
            <v>-2584.8000000000002</v>
          </cell>
          <cell r="AO97">
            <v>-2584.8000000000002</v>
          </cell>
          <cell r="AP97">
            <v>-2658.5598014888346</v>
          </cell>
          <cell r="AQ97">
            <v>-3978.4701492537315</v>
          </cell>
          <cell r="AR97">
            <v>-4439.2761194029845</v>
          </cell>
          <cell r="AS97">
            <v>-4744.6940298507461</v>
          </cell>
          <cell r="AT97">
            <v>-4744.694029850747</v>
          </cell>
        </row>
        <row r="99">
          <cell r="B99">
            <v>4.5999999999999999E-2</v>
          </cell>
          <cell r="C99">
            <v>4.3869479235332909E-2</v>
          </cell>
          <cell r="D99">
            <v>-0.22210364046009734</v>
          </cell>
          <cell r="E99">
            <v>0.24507964271158822</v>
          </cell>
          <cell r="F99">
            <v>0.37432262352390144</v>
          </cell>
          <cell r="G99">
            <v>1.9535207664098699</v>
          </cell>
          <cell r="H99">
            <v>1.4999999999999999E-2</v>
          </cell>
          <cell r="I99">
            <v>2.3E-2</v>
          </cell>
          <cell r="N99">
            <v>2.3100000000000002E-2</v>
          </cell>
          <cell r="S99">
            <v>2.1000000000000001E-2</v>
          </cell>
          <cell r="X99">
            <v>1.7000000000000001E-2</v>
          </cell>
          <cell r="AC99">
            <v>0.02</v>
          </cell>
          <cell r="AH99">
            <v>1.2E-2</v>
          </cell>
          <cell r="AN99">
            <v>1.4999999999999999E-2</v>
          </cell>
          <cell r="AO99">
            <v>1.4999999999999999E-2</v>
          </cell>
          <cell r="AP99">
            <v>1.7999999999999999E-2</v>
          </cell>
          <cell r="AQ99">
            <v>1.9E-2</v>
          </cell>
          <cell r="AR99">
            <v>0.02</v>
          </cell>
          <cell r="AS99">
            <v>0.02</v>
          </cell>
          <cell r="AT99">
            <v>0.02</v>
          </cell>
        </row>
        <row r="100">
          <cell r="B100">
            <v>-0.2</v>
          </cell>
          <cell r="C100">
            <v>-9.6618357487923134E-3</v>
          </cell>
          <cell r="D100">
            <v>0.52357723577235782</v>
          </cell>
          <cell r="E100">
            <v>0.38633938100320164</v>
          </cell>
          <cell r="F100">
            <v>-6.004618937644346E-2</v>
          </cell>
          <cell r="G100">
            <v>-0.73873873873873874</v>
          </cell>
          <cell r="H100">
            <v>-0.24634752220959111</v>
          </cell>
          <cell r="I100">
            <v>0.15909500483297578</v>
          </cell>
          <cell r="N100">
            <v>0.98707846392617915</v>
          </cell>
          <cell r="S100">
            <v>0.24159737062816444</v>
          </cell>
          <cell r="X100">
            <v>-0.1133365330514704</v>
          </cell>
          <cell r="AC100">
            <v>7.3096971706514191E-2</v>
          </cell>
          <cell r="AH100">
            <v>5.2799753189801679E-2</v>
          </cell>
          <cell r="AN100">
            <v>0.21145568013970562</v>
          </cell>
          <cell r="AO100">
            <v>0.21145568013970562</v>
          </cell>
          <cell r="AP100">
            <v>1.0349685804404318E-2</v>
          </cell>
          <cell r="AQ100">
            <v>0.46857281993031674</v>
          </cell>
          <cell r="AR100">
            <v>9.39459959067801E-2</v>
          </cell>
          <cell r="AS100">
            <v>4.7842190587761957E-2</v>
          </cell>
          <cell r="AT100">
            <v>-1.9607843137254721E-2</v>
          </cell>
        </row>
        <row r="102">
          <cell r="B102">
            <v>0</v>
          </cell>
          <cell r="C102">
            <v>0</v>
          </cell>
          <cell r="D102">
            <v>0</v>
          </cell>
          <cell r="E102">
            <v>0</v>
          </cell>
          <cell r="F102">
            <v>0</v>
          </cell>
          <cell r="G102">
            <v>0</v>
          </cell>
          <cell r="H102">
            <v>0</v>
          </cell>
          <cell r="I102">
            <v>0</v>
          </cell>
          <cell r="Y102">
            <v>-327.82499999999999</v>
          </cell>
          <cell r="Z102">
            <v>-364.25</v>
          </cell>
          <cell r="AA102">
            <v>-400.67500000000001</v>
          </cell>
          <cell r="AB102">
            <v>-364.25</v>
          </cell>
          <cell r="AC102">
            <v>-1457</v>
          </cell>
          <cell r="AD102">
            <v>-196.69499999999999</v>
          </cell>
          <cell r="AE102">
            <v>-218.54999999999998</v>
          </cell>
          <cell r="AF102">
            <v>-240.405</v>
          </cell>
          <cell r="AG102">
            <v>-218.54999999999998</v>
          </cell>
          <cell r="AH102">
            <v>-874.19999999999993</v>
          </cell>
          <cell r="AN102">
            <v>-599.6</v>
          </cell>
          <cell r="AO102">
            <v>-599.6</v>
          </cell>
          <cell r="AP102">
            <v>-919.8</v>
          </cell>
          <cell r="AQ102">
            <v>-1936</v>
          </cell>
          <cell r="AR102">
            <v>-1373</v>
          </cell>
          <cell r="AS102">
            <v>-1586</v>
          </cell>
          <cell r="AT102">
            <v>-1585</v>
          </cell>
        </row>
        <row r="104">
          <cell r="B104">
            <v>-1707</v>
          </cell>
          <cell r="C104">
            <v>-2755</v>
          </cell>
          <cell r="D104">
            <v>-2018</v>
          </cell>
          <cell r="E104">
            <v>-1385</v>
          </cell>
          <cell r="F104">
            <v>-1125</v>
          </cell>
          <cell r="G104">
            <v>-423</v>
          </cell>
          <cell r="H104">
            <v>-580</v>
          </cell>
          <cell r="I104">
            <v>-633</v>
          </cell>
          <cell r="J104">
            <v>-183</v>
          </cell>
          <cell r="K104">
            <v>-201</v>
          </cell>
          <cell r="L104">
            <v>-274</v>
          </cell>
          <cell r="M104">
            <v>-200</v>
          </cell>
          <cell r="N104">
            <v>-858</v>
          </cell>
          <cell r="O104">
            <v>-177</v>
          </cell>
          <cell r="P104">
            <v>-167</v>
          </cell>
          <cell r="Q104">
            <v>-153</v>
          </cell>
          <cell r="R104">
            <v>-133</v>
          </cell>
          <cell r="S104">
            <v>-630</v>
          </cell>
          <cell r="T104">
            <v>-154</v>
          </cell>
          <cell r="U104">
            <v>-204</v>
          </cell>
          <cell r="V104">
            <v>-246</v>
          </cell>
          <cell r="W104">
            <v>-230</v>
          </cell>
          <cell r="X104">
            <v>-834</v>
          </cell>
          <cell r="Y104">
            <v>-146.30441064453581</v>
          </cell>
          <cell r="Z104">
            <v>-127.28483726074616</v>
          </cell>
          <cell r="AA104">
            <v>-160.93485170898938</v>
          </cell>
          <cell r="AB104">
            <v>-105.33917566406578</v>
          </cell>
          <cell r="AC104">
            <v>-539.86327527833714</v>
          </cell>
          <cell r="AD104">
            <v>-118</v>
          </cell>
          <cell r="AE104">
            <v>-105</v>
          </cell>
          <cell r="AF104">
            <v>-140</v>
          </cell>
          <cell r="AG104">
            <v>-125</v>
          </cell>
          <cell r="AH104">
            <v>-488</v>
          </cell>
          <cell r="AI104">
            <v>-172</v>
          </cell>
          <cell r="AJ104">
            <v>-164</v>
          </cell>
          <cell r="AK104">
            <v>-178</v>
          </cell>
          <cell r="AL104">
            <v>-175</v>
          </cell>
          <cell r="AM104">
            <v>-689</v>
          </cell>
          <cell r="AN104">
            <v>-653.87822499999993</v>
          </cell>
          <cell r="AO104">
            <v>-653.87822499999993</v>
          </cell>
          <cell r="AP104">
            <v>-688.37579827571153</v>
          </cell>
          <cell r="AQ104">
            <v>-748.40130259218085</v>
          </cell>
          <cell r="AR104">
            <v>-805.5277925533594</v>
          </cell>
          <cell r="AS104">
            <v>-867.10969654069186</v>
          </cell>
          <cell r="AT104">
            <v>-933.73341215069627</v>
          </cell>
        </row>
        <row r="106">
          <cell r="B106">
            <v>4.5999999999999999E-2</v>
          </cell>
          <cell r="C106">
            <v>0.50443314832069985</v>
          </cell>
          <cell r="D106">
            <v>-0.216293351813307</v>
          </cell>
          <cell r="E106">
            <v>-0.23131813676907831</v>
          </cell>
          <cell r="F106">
            <v>-5.6520219271363192E-2</v>
          </cell>
          <cell r="G106">
            <v>-0.36654864667154352</v>
          </cell>
          <cell r="H106">
            <v>1.4999999999999999E-2</v>
          </cell>
          <cell r="I106">
            <v>2.3E-2</v>
          </cell>
          <cell r="N106">
            <v>2.3100000000000002E-2</v>
          </cell>
          <cell r="S106">
            <v>2.1000000000000001E-2</v>
          </cell>
          <cell r="X106">
            <v>1.7000000000000001E-2</v>
          </cell>
          <cell r="AC106">
            <v>0.02</v>
          </cell>
          <cell r="AH106">
            <v>1.2E-2</v>
          </cell>
          <cell r="AN106">
            <v>1.4999999999999999E-2</v>
          </cell>
          <cell r="AO106">
            <v>1.4999999999999999E-2</v>
          </cell>
          <cell r="AP106">
            <v>1.7999999999999999E-2</v>
          </cell>
          <cell r="AQ106">
            <v>1.9E-2</v>
          </cell>
          <cell r="AR106">
            <v>0.02</v>
          </cell>
          <cell r="AS106">
            <v>0.02</v>
          </cell>
          <cell r="AT106">
            <v>0.02</v>
          </cell>
        </row>
        <row r="107">
          <cell r="B107">
            <v>0.20300000000000001</v>
          </cell>
          <cell r="C107">
            <v>7.2791164658634555E-2</v>
          </cell>
          <cell r="D107">
            <v>-6.5356418655435955E-2</v>
          </cell>
          <cell r="E107">
            <v>-0.1071428571428571</v>
          </cell>
          <cell r="F107">
            <v>-0.13906542056074767</v>
          </cell>
          <cell r="G107">
            <v>-0.40642640034737298</v>
          </cell>
          <cell r="H107">
            <v>0.35089496791624453</v>
          </cell>
          <cell r="I107">
            <v>6.6841945596116892E-2</v>
          </cell>
          <cell r="N107">
            <v>0.32484628772048163</v>
          </cell>
          <cell r="S107">
            <v>-0.28083669513640119</v>
          </cell>
          <cell r="X107">
            <v>0.30168094769864684</v>
          </cell>
          <cell r="AC107">
            <v>-0.32143881940882713</v>
          </cell>
          <cell r="AH107">
            <v>-0.42180642837508642</v>
          </cell>
          <cell r="AN107">
            <v>-6.5000000000000002E-2</v>
          </cell>
          <cell r="AO107">
            <v>-6.5000000000000002E-2</v>
          </cell>
          <cell r="AP107">
            <v>3.4143817899638274E-2</v>
          </cell>
          <cell r="AQ107">
            <v>6.6927127569220257E-2</v>
          </cell>
          <cell r="AR107">
            <v>5.522682445759397E-2</v>
          </cell>
          <cell r="AS107">
            <v>5.5342290467050415E-2</v>
          </cell>
          <cell r="AT107">
            <v>5.5719844357976722E-2</v>
          </cell>
        </row>
        <row r="109">
          <cell r="B109">
            <v>-6719</v>
          </cell>
          <cell r="C109">
            <v>-8866</v>
          </cell>
          <cell r="D109">
            <v>-4721</v>
          </cell>
          <cell r="E109">
            <v>-4483</v>
          </cell>
          <cell r="F109">
            <v>-7793</v>
          </cell>
          <cell r="G109">
            <v>-11355</v>
          </cell>
          <cell r="H109">
            <v>-10094</v>
          </cell>
          <cell r="I109">
            <v>-6864</v>
          </cell>
          <cell r="J109">
            <v>-1897</v>
          </cell>
          <cell r="K109">
            <v>-2411</v>
          </cell>
          <cell r="L109">
            <v>-2907</v>
          </cell>
          <cell r="M109">
            <v>-2138</v>
          </cell>
          <cell r="N109">
            <v>-9353</v>
          </cell>
          <cell r="O109">
            <v>-1302</v>
          </cell>
          <cell r="P109">
            <v>-2124</v>
          </cell>
          <cell r="Q109">
            <v>-1900</v>
          </cell>
          <cell r="R109">
            <v>-1666</v>
          </cell>
          <cell r="S109">
            <v>-6992</v>
          </cell>
          <cell r="T109">
            <v>-1786</v>
          </cell>
          <cell r="U109">
            <v>-2743</v>
          </cell>
          <cell r="V109">
            <v>-3080</v>
          </cell>
          <cell r="W109">
            <v>-2479</v>
          </cell>
          <cell r="X109">
            <v>-10088</v>
          </cell>
          <cell r="Y109">
            <v>-2426.4554000000003</v>
          </cell>
          <cell r="Z109">
            <v>-2578.5060000000003</v>
          </cell>
          <cell r="AA109">
            <v>-2841.5566000000008</v>
          </cell>
          <cell r="AB109">
            <v>-2657.5060000000003</v>
          </cell>
          <cell r="AC109">
            <v>-10504.024000000001</v>
          </cell>
          <cell r="AD109">
            <v>-2370.4530336776261</v>
          </cell>
          <cell r="AE109">
            <v>-2633.8367040862513</v>
          </cell>
          <cell r="AF109">
            <v>-2897.2203744948765</v>
          </cell>
          <cell r="AG109">
            <v>-2633.8367040862513</v>
          </cell>
          <cell r="AH109">
            <v>-10535.346816345005</v>
          </cell>
          <cell r="AI109">
            <v>-2892</v>
          </cell>
          <cell r="AJ109">
            <v>-3020</v>
          </cell>
          <cell r="AK109">
            <v>-2827</v>
          </cell>
          <cell r="AL109">
            <v>-2439</v>
          </cell>
          <cell r="AM109">
            <v>-11178</v>
          </cell>
          <cell r="AN109">
            <v>-10149.199306204382</v>
          </cell>
          <cell r="AO109">
            <v>-10702.004909228437</v>
          </cell>
          <cell r="AP109">
            <v>-11266.625635898352</v>
          </cell>
          <cell r="AQ109">
            <v>-12249.061229121797</v>
          </cell>
          <cell r="AR109">
            <v>-13184.048743060683</v>
          </cell>
          <cell r="AS109">
            <v>-14191.957882093517</v>
          </cell>
          <cell r="AT109">
            <v>-15282.386197747104</v>
          </cell>
        </row>
        <row r="110">
          <cell r="AC110">
            <v>-10242.024000000001</v>
          </cell>
          <cell r="AH110">
            <v>-10535.346816345005</v>
          </cell>
        </row>
        <row r="111">
          <cell r="B111">
            <v>4.5999999999999999E-2</v>
          </cell>
          <cell r="C111">
            <v>9.7526552626258312E-2</v>
          </cell>
          <cell r="D111">
            <v>-0.11679861284871229</v>
          </cell>
          <cell r="E111">
            <v>-8.7680692203341626E-2</v>
          </cell>
          <cell r="F111">
            <v>0.18837308884937043</v>
          </cell>
          <cell r="G111">
            <v>0.19802683279928202</v>
          </cell>
          <cell r="H111">
            <v>1.4999999999999999E-2</v>
          </cell>
          <cell r="I111">
            <v>2.3E-2</v>
          </cell>
          <cell r="N111">
            <v>2.3100000000000002E-2</v>
          </cell>
          <cell r="S111">
            <v>2.1000000000000001E-2</v>
          </cell>
          <cell r="X111">
            <v>1.7000000000000001E-2</v>
          </cell>
          <cell r="AC111">
            <v>0.02</v>
          </cell>
          <cell r="AH111">
            <v>1.2E-2</v>
          </cell>
          <cell r="AM111">
            <v>1.2E-2</v>
          </cell>
          <cell r="AN111">
            <v>1.4999999999999999E-2</v>
          </cell>
          <cell r="AO111">
            <v>1.4999999999999999E-2</v>
          </cell>
          <cell r="AP111">
            <v>1.7999999999999999E-2</v>
          </cell>
          <cell r="AQ111">
            <v>1.9E-2</v>
          </cell>
          <cell r="AR111">
            <v>0.02</v>
          </cell>
          <cell r="AS111">
            <v>0.02</v>
          </cell>
          <cell r="AT111">
            <v>0.02</v>
          </cell>
        </row>
        <row r="112">
          <cell r="B112">
            <v>0.22323830016137713</v>
          </cell>
          <cell r="C112">
            <v>0.20228671943711518</v>
          </cell>
          <cell r="D112">
            <v>-0.39709826871494758</v>
          </cell>
          <cell r="E112">
            <v>4.084934277047525E-2</v>
          </cell>
          <cell r="F112">
            <v>0.46279386050126292</v>
          </cell>
          <cell r="G112">
            <v>0.21623057510957633</v>
          </cell>
          <cell r="H112">
            <v>-0.12418955647671537</v>
          </cell>
          <cell r="I112">
            <v>-0.33528062023431349</v>
          </cell>
          <cell r="N112">
            <v>0.33185079671249174</v>
          </cell>
          <cell r="S112">
            <v>-0.2678083982753704</v>
          </cell>
          <cell r="T112">
            <v>0.34880608760140608</v>
          </cell>
          <cell r="U112">
            <v>0.26984391521164697</v>
          </cell>
          <cell r="V112">
            <v>0.5939553899498009</v>
          </cell>
          <cell r="W112">
            <v>0.46312212200514424</v>
          </cell>
          <cell r="X112">
            <v>0.41867429893188812</v>
          </cell>
          <cell r="Y112">
            <v>0.35163513814616776</v>
          </cell>
          <cell r="Z112">
            <v>-3.7705725609619378E-2</v>
          </cell>
          <cell r="AA112">
            <v>-1.3512817308226177E-2</v>
          </cell>
          <cell r="AB112">
            <v>6.6038477584159816E-2</v>
          </cell>
          <cell r="AC112">
            <v>0.04</v>
          </cell>
          <cell r="AD112">
            <v>0.31150330063738285</v>
          </cell>
          <cell r="AE112">
            <v>-5.1182851323220424E-2</v>
          </cell>
          <cell r="AF112">
            <v>-7.0498057564140515E-2</v>
          </cell>
          <cell r="AG112">
            <v>4.9861007995323225E-2</v>
          </cell>
          <cell r="AH112">
            <v>3.1960919437116091E-2</v>
          </cell>
          <cell r="AM112">
            <v>-0.29411764705882359</v>
          </cell>
          <cell r="AN112">
            <v>-0.10545615144769913</v>
          </cell>
          <cell r="AO112">
            <v>-5.6732223903177309E-2</v>
          </cell>
          <cell r="AP112">
            <v>3.4143817899638274E-2</v>
          </cell>
          <cell r="AQ112">
            <v>6.6927127569220257E-2</v>
          </cell>
          <cell r="AR112">
            <v>5.522682445759397E-2</v>
          </cell>
          <cell r="AS112">
            <v>5.5342290467050415E-2</v>
          </cell>
          <cell r="AT112">
            <v>5.5719844357976722E-2</v>
          </cell>
        </row>
        <row r="114">
          <cell r="B114">
            <v>-1450.846</v>
          </cell>
          <cell r="C114">
            <v>-2158.9814000000001</v>
          </cell>
          <cell r="D114">
            <v>-1040.2138</v>
          </cell>
          <cell r="E114">
            <v>-1310</v>
          </cell>
          <cell r="F114">
            <v>-2160</v>
          </cell>
          <cell r="G114">
            <v>-2929</v>
          </cell>
          <cell r="H114">
            <v>-3152</v>
          </cell>
          <cell r="I114">
            <v>-3106</v>
          </cell>
          <cell r="J114">
            <v>-738</v>
          </cell>
          <cell r="K114">
            <v>-938</v>
          </cell>
          <cell r="L114">
            <v>-880</v>
          </cell>
          <cell r="M114">
            <v>-614</v>
          </cell>
          <cell r="N114">
            <v>-3170</v>
          </cell>
          <cell r="O114">
            <v>-716</v>
          </cell>
          <cell r="P114">
            <v>-770</v>
          </cell>
          <cell r="Q114">
            <v>-882</v>
          </cell>
          <cell r="R114">
            <v>-898</v>
          </cell>
          <cell r="S114">
            <v>-3266</v>
          </cell>
          <cell r="T114">
            <v>-782</v>
          </cell>
          <cell r="U114">
            <v>-843</v>
          </cell>
          <cell r="V114">
            <v>-1118</v>
          </cell>
          <cell r="W114">
            <v>-1065</v>
          </cell>
          <cell r="X114">
            <v>-3808</v>
          </cell>
          <cell r="Y114">
            <v>-776.7927365628442</v>
          </cell>
          <cell r="Z114">
            <v>-888.47536253591284</v>
          </cell>
          <cell r="AA114">
            <v>-1085.874670778778</v>
          </cell>
          <cell r="AB114">
            <v>-1044.6991974915636</v>
          </cell>
          <cell r="AC114">
            <v>-3795.8419673690987</v>
          </cell>
          <cell r="AD114">
            <v>-737</v>
          </cell>
          <cell r="AE114">
            <v>-677</v>
          </cell>
          <cell r="AF114">
            <v>-787.68704120073232</v>
          </cell>
          <cell r="AG114">
            <v>-830.36752690975675</v>
          </cell>
          <cell r="AH114">
            <v>-3024.5545681104886</v>
          </cell>
          <cell r="AI114">
            <v>-939</v>
          </cell>
          <cell r="AJ114">
            <v>-887</v>
          </cell>
          <cell r="AK114">
            <v>-816</v>
          </cell>
          <cell r="AL114">
            <v>-855</v>
          </cell>
          <cell r="AM114">
            <v>-3497</v>
          </cell>
          <cell r="AN114">
            <v>-3245.0433677956216</v>
          </cell>
          <cell r="AO114">
            <v>-3679.3188609145213</v>
          </cell>
          <cell r="AP114">
            <v>-3930.2737879296428</v>
          </cell>
          <cell r="AQ114">
            <v>-5708.1959375873284</v>
          </cell>
          <cell r="AR114">
            <v>-6154.825044335028</v>
          </cell>
          <cell r="AS114">
            <v>-6627.7396829815607</v>
          </cell>
          <cell r="AT114">
            <v>-7067.7415317742007</v>
          </cell>
        </row>
        <row r="116">
          <cell r="B116">
            <v>794.154</v>
          </cell>
          <cell r="C116">
            <v>712.01859999999999</v>
          </cell>
          <cell r="D116">
            <v>988.78620000000001</v>
          </cell>
          <cell r="E116">
            <v>1375</v>
          </cell>
          <cell r="F116">
            <v>1439</v>
          </cell>
          <cell r="G116">
            <v>1544</v>
          </cell>
          <cell r="H116">
            <v>1535</v>
          </cell>
          <cell r="I116">
            <v>1778</v>
          </cell>
          <cell r="J116">
            <v>481</v>
          </cell>
          <cell r="K116">
            <v>397</v>
          </cell>
          <cell r="L116">
            <v>543</v>
          </cell>
          <cell r="M116">
            <v>492</v>
          </cell>
          <cell r="N116">
            <v>1913</v>
          </cell>
          <cell r="O116">
            <v>533</v>
          </cell>
          <cell r="P116">
            <v>401</v>
          </cell>
          <cell r="Q116">
            <v>473</v>
          </cell>
          <cell r="R116">
            <v>453</v>
          </cell>
          <cell r="S116">
            <v>1860</v>
          </cell>
          <cell r="T116">
            <v>405</v>
          </cell>
          <cell r="U116">
            <v>366</v>
          </cell>
          <cell r="V116">
            <v>456</v>
          </cell>
          <cell r="W116">
            <v>452</v>
          </cell>
          <cell r="X116">
            <v>1679</v>
          </cell>
          <cell r="Y116">
            <v>473.68240000000003</v>
          </cell>
          <cell r="Z116">
            <v>496.33688000000001</v>
          </cell>
          <cell r="AA116">
            <v>506.604376</v>
          </cell>
          <cell r="AB116">
            <v>575.42424000000005</v>
          </cell>
          <cell r="AC116">
            <v>2052.047896</v>
          </cell>
          <cell r="AD116">
            <v>421</v>
          </cell>
          <cell r="AE116">
            <v>386</v>
          </cell>
          <cell r="AF116">
            <v>432.053988</v>
          </cell>
          <cell r="AG116">
            <v>454.80613600000004</v>
          </cell>
          <cell r="AH116">
            <v>1701.360124</v>
          </cell>
          <cell r="AI116">
            <v>420</v>
          </cell>
          <cell r="AJ116">
            <v>385</v>
          </cell>
          <cell r="AK116">
            <v>425</v>
          </cell>
          <cell r="AL116">
            <v>402</v>
          </cell>
          <cell r="AM116">
            <v>1632</v>
          </cell>
          <cell r="AN116">
            <v>2062.4791009999999</v>
          </cell>
          <cell r="AO116">
            <v>1832.741681</v>
          </cell>
          <cell r="AP116">
            <v>1911.1746546181141</v>
          </cell>
          <cell r="AQ116">
            <v>2103.3147111687349</v>
          </cell>
          <cell r="AR116">
            <v>2263.9668682062784</v>
          </cell>
          <cell r="AS116">
            <v>2407.2974217413721</v>
          </cell>
          <cell r="AT116">
            <v>2565.8330727903949</v>
          </cell>
        </row>
        <row r="117">
          <cell r="C117">
            <v>-0.10342502839499645</v>
          </cell>
          <cell r="D117">
            <v>0.38870838486522685</v>
          </cell>
          <cell r="E117">
            <v>0.39059384121663498</v>
          </cell>
          <cell r="F117">
            <v>4.6545454545454445E-2</v>
          </cell>
          <cell r="G117">
            <v>7.2967338429464901E-2</v>
          </cell>
          <cell r="H117">
            <v>-5.8290155440414715E-3</v>
          </cell>
          <cell r="I117">
            <v>0.15830618892508141</v>
          </cell>
          <cell r="N117">
            <v>7.5928008998875196E-2</v>
          </cell>
          <cell r="O117">
            <v>0.10810810810810811</v>
          </cell>
          <cell r="P117">
            <v>1.0075566750629816E-2</v>
          </cell>
          <cell r="Q117">
            <v>-0.12891344383057091</v>
          </cell>
          <cell r="R117">
            <v>-7.9268292682926789E-2</v>
          </cell>
          <cell r="S117">
            <v>-2.7705175117616276E-2</v>
          </cell>
          <cell r="T117">
            <v>-0.24015009380863039</v>
          </cell>
          <cell r="U117">
            <v>-8.7281795511221949E-2</v>
          </cell>
          <cell r="V117">
            <v>-3.5940803382663811E-2</v>
          </cell>
          <cell r="W117">
            <v>-2.2075055187638082E-3</v>
          </cell>
          <cell r="X117">
            <v>-9.7311827956989227E-2</v>
          </cell>
          <cell r="Y117">
            <v>-8.0228349514563035E-2</v>
          </cell>
          <cell r="Z117">
            <v>0.15966560747663561</v>
          </cell>
          <cell r="AA117">
            <v>1.3208751999999935E-2</v>
          </cell>
          <cell r="AB117">
            <v>-4.2555341098169608E-2</v>
          </cell>
          <cell r="AC117">
            <v>3.9373268101761116E-3</v>
          </cell>
          <cell r="AD117">
            <v>3.9506172839506082E-2</v>
          </cell>
          <cell r="AE117">
            <v>5.464480874316946E-2</v>
          </cell>
          <cell r="AF117">
            <v>-5.2513184210526309E-2</v>
          </cell>
          <cell r="AG117">
            <v>6.2082654867257059E-3</v>
          </cell>
          <cell r="AH117">
            <v>1.3317524717093576E-2</v>
          </cell>
          <cell r="AI117">
            <v>3.7037037037036979E-2</v>
          </cell>
          <cell r="AJ117">
            <v>-8.333333333333337E-2</v>
          </cell>
          <cell r="AK117">
            <v>0.10389610389610393</v>
          </cell>
          <cell r="AL117">
            <v>-5.4117647058823493E-2</v>
          </cell>
          <cell r="AM117">
            <v>-2.7992852888624187E-2</v>
          </cell>
          <cell r="AN117">
            <v>0.26377395894607836</v>
          </cell>
          <cell r="AO117">
            <v>0.12300348100490188</v>
          </cell>
          <cell r="AP117">
            <v>4.279543289227683E-2</v>
          </cell>
          <cell r="AQ117">
            <v>0.10053505894206927</v>
          </cell>
          <cell r="AR117">
            <v>7.6380465645236262E-2</v>
          </cell>
          <cell r="AS117">
            <v>6.3309474863761261E-2</v>
          </cell>
          <cell r="AT117">
            <v>6.5856279169003828E-2</v>
          </cell>
        </row>
        <row r="119">
          <cell r="B119">
            <v>575.154</v>
          </cell>
          <cell r="C119">
            <v>508.01859999999999</v>
          </cell>
          <cell r="D119">
            <v>710.78620000000001</v>
          </cell>
          <cell r="E119">
            <v>925</v>
          </cell>
          <cell r="F119">
            <v>1034</v>
          </cell>
          <cell r="G119">
            <v>978</v>
          </cell>
          <cell r="H119">
            <v>1065</v>
          </cell>
          <cell r="I119">
            <v>1281</v>
          </cell>
          <cell r="J119">
            <v>375</v>
          </cell>
          <cell r="K119">
            <v>289</v>
          </cell>
          <cell r="L119">
            <v>386</v>
          </cell>
          <cell r="M119">
            <v>350</v>
          </cell>
          <cell r="N119">
            <v>1400</v>
          </cell>
          <cell r="O119">
            <v>421</v>
          </cell>
          <cell r="P119">
            <v>289</v>
          </cell>
          <cell r="Q119">
            <v>356</v>
          </cell>
          <cell r="R119">
            <v>331</v>
          </cell>
          <cell r="S119">
            <v>1397</v>
          </cell>
          <cell r="T119">
            <v>299</v>
          </cell>
          <cell r="U119">
            <v>253</v>
          </cell>
          <cell r="V119">
            <v>342</v>
          </cell>
          <cell r="W119">
            <v>322</v>
          </cell>
          <cell r="X119">
            <v>1216</v>
          </cell>
          <cell r="Y119">
            <v>382.22</v>
          </cell>
          <cell r="Z119">
            <v>399.62</v>
          </cell>
          <cell r="AA119">
            <v>403.39</v>
          </cell>
          <cell r="AB119">
            <v>450.08</v>
          </cell>
          <cell r="AC119">
            <v>1635.31</v>
          </cell>
          <cell r="AD119">
            <v>264</v>
          </cell>
          <cell r="AE119">
            <v>267</v>
          </cell>
          <cell r="AF119">
            <v>350.15999999999997</v>
          </cell>
          <cell r="AG119">
            <v>364.32000000000005</v>
          </cell>
          <cell r="AH119">
            <v>1245.48</v>
          </cell>
          <cell r="AI119">
            <v>261</v>
          </cell>
          <cell r="AJ119">
            <v>269</v>
          </cell>
          <cell r="AK119">
            <v>342.92</v>
          </cell>
          <cell r="AL119">
            <v>298.82</v>
          </cell>
          <cell r="AM119">
            <v>1171.74</v>
          </cell>
          <cell r="AN119">
            <v>1774.85742</v>
          </cell>
          <cell r="AO119">
            <v>1534.68</v>
          </cell>
          <cell r="AP119">
            <v>1565.3735999999999</v>
          </cell>
          <cell r="AQ119">
            <v>1659.2960160000002</v>
          </cell>
          <cell r="AR119">
            <v>1758.8537769600002</v>
          </cell>
          <cell r="AS119">
            <v>1864.3850035776004</v>
          </cell>
          <cell r="AT119">
            <v>1976.2481037922562</v>
          </cell>
        </row>
        <row r="120">
          <cell r="B120">
            <v>416</v>
          </cell>
          <cell r="C120">
            <v>291</v>
          </cell>
          <cell r="D120">
            <v>389</v>
          </cell>
          <cell r="E120">
            <v>496</v>
          </cell>
          <cell r="F120">
            <v>510</v>
          </cell>
          <cell r="G120">
            <v>444</v>
          </cell>
          <cell r="H120">
            <v>562</v>
          </cell>
          <cell r="I120">
            <v>787</v>
          </cell>
          <cell r="J120">
            <v>236</v>
          </cell>
          <cell r="K120">
            <v>161</v>
          </cell>
          <cell r="L120">
            <v>227</v>
          </cell>
          <cell r="M120">
            <v>225</v>
          </cell>
          <cell r="N120">
            <v>849</v>
          </cell>
          <cell r="O120">
            <v>257</v>
          </cell>
          <cell r="P120">
            <v>179</v>
          </cell>
          <cell r="Q120">
            <v>225</v>
          </cell>
          <cell r="R120">
            <v>223</v>
          </cell>
          <cell r="S120">
            <v>884</v>
          </cell>
          <cell r="T120">
            <v>220</v>
          </cell>
          <cell r="U120">
            <v>171</v>
          </cell>
          <cell r="V120">
            <v>244</v>
          </cell>
          <cell r="W120">
            <v>234</v>
          </cell>
          <cell r="X120">
            <v>869</v>
          </cell>
          <cell r="Y120">
            <v>250.42</v>
          </cell>
          <cell r="Z120">
            <v>261.82</v>
          </cell>
          <cell r="AA120">
            <v>264.29000000000002</v>
          </cell>
          <cell r="AB120">
            <v>294.88</v>
          </cell>
          <cell r="AC120">
            <v>1071.4100000000001</v>
          </cell>
          <cell r="AD120">
            <v>244</v>
          </cell>
          <cell r="AE120">
            <v>210</v>
          </cell>
          <cell r="AF120">
            <v>277.20999999999998</v>
          </cell>
          <cell r="AG120">
            <v>288.42</v>
          </cell>
          <cell r="AH120">
            <v>1019.6300000000001</v>
          </cell>
          <cell r="AI120">
            <v>244</v>
          </cell>
          <cell r="AJ120">
            <v>210</v>
          </cell>
          <cell r="AK120">
            <v>252</v>
          </cell>
          <cell r="AL120">
            <v>219</v>
          </cell>
          <cell r="AM120">
            <v>925</v>
          </cell>
          <cell r="AN120">
            <v>1162.83762</v>
          </cell>
          <cell r="AO120">
            <v>1005.48</v>
          </cell>
          <cell r="AP120">
            <v>1025.5896</v>
          </cell>
          <cell r="AQ120">
            <v>1087.1249760000001</v>
          </cell>
          <cell r="AR120">
            <v>1152.3524745600002</v>
          </cell>
          <cell r="AS120">
            <v>1221.4936230336002</v>
          </cell>
          <cell r="AT120">
            <v>1294.7832404156161</v>
          </cell>
        </row>
        <row r="121">
          <cell r="B121">
            <v>159.154</v>
          </cell>
          <cell r="C121">
            <v>217.01859999999999</v>
          </cell>
          <cell r="D121">
            <v>321.78620000000001</v>
          </cell>
          <cell r="E121">
            <v>429</v>
          </cell>
          <cell r="F121">
            <v>524</v>
          </cell>
          <cell r="G121">
            <v>534</v>
          </cell>
          <cell r="H121">
            <v>503</v>
          </cell>
          <cell r="I121">
            <v>494</v>
          </cell>
          <cell r="J121">
            <v>139</v>
          </cell>
          <cell r="K121">
            <v>128</v>
          </cell>
          <cell r="L121">
            <v>159</v>
          </cell>
          <cell r="M121">
            <v>125</v>
          </cell>
          <cell r="N121">
            <v>551</v>
          </cell>
          <cell r="O121">
            <v>164</v>
          </cell>
          <cell r="P121">
            <v>110</v>
          </cell>
          <cell r="Q121">
            <v>131</v>
          </cell>
          <cell r="R121">
            <v>108</v>
          </cell>
          <cell r="S121">
            <v>513</v>
          </cell>
          <cell r="T121">
            <v>79</v>
          </cell>
          <cell r="U121">
            <v>82</v>
          </cell>
          <cell r="V121">
            <v>98</v>
          </cell>
          <cell r="W121">
            <v>88</v>
          </cell>
          <cell r="X121">
            <v>347</v>
          </cell>
          <cell r="Y121">
            <v>131.80000000000001</v>
          </cell>
          <cell r="Z121">
            <v>137.80000000000001</v>
          </cell>
          <cell r="AA121">
            <v>139.1</v>
          </cell>
          <cell r="AB121">
            <v>155.19999999999999</v>
          </cell>
          <cell r="AC121">
            <v>563.9</v>
          </cell>
          <cell r="AD121">
            <v>20</v>
          </cell>
          <cell r="AE121">
            <v>57</v>
          </cell>
          <cell r="AF121">
            <v>72.95</v>
          </cell>
          <cell r="AG121">
            <v>75.900000000000006</v>
          </cell>
          <cell r="AH121">
            <v>225.85</v>
          </cell>
          <cell r="AI121">
            <v>17</v>
          </cell>
          <cell r="AJ121">
            <v>59</v>
          </cell>
          <cell r="AK121">
            <v>90.920000000000016</v>
          </cell>
          <cell r="AL121">
            <v>79.819999999999993</v>
          </cell>
          <cell r="AM121">
            <v>246.74</v>
          </cell>
          <cell r="AN121">
            <v>612.01980000000003</v>
          </cell>
          <cell r="AO121">
            <v>529.20000000000005</v>
          </cell>
          <cell r="AP121">
            <v>539.78399999999999</v>
          </cell>
          <cell r="AQ121">
            <v>572.17104000000006</v>
          </cell>
          <cell r="AR121">
            <v>606.5013024000001</v>
          </cell>
          <cell r="AS121">
            <v>642.89138054400019</v>
          </cell>
          <cell r="AT121">
            <v>681.4648633766401</v>
          </cell>
        </row>
        <row r="123">
          <cell r="B123">
            <v>219</v>
          </cell>
          <cell r="C123">
            <v>204</v>
          </cell>
          <cell r="D123">
            <v>278</v>
          </cell>
          <cell r="E123">
            <v>450</v>
          </cell>
          <cell r="F123">
            <v>405</v>
          </cell>
          <cell r="G123">
            <v>566</v>
          </cell>
          <cell r="H123">
            <v>470</v>
          </cell>
          <cell r="I123">
            <v>497</v>
          </cell>
          <cell r="J123">
            <v>106</v>
          </cell>
          <cell r="K123">
            <v>108</v>
          </cell>
          <cell r="L123">
            <v>157</v>
          </cell>
          <cell r="M123">
            <v>142</v>
          </cell>
          <cell r="N123">
            <v>513</v>
          </cell>
          <cell r="O123">
            <v>112</v>
          </cell>
          <cell r="P123">
            <v>112</v>
          </cell>
          <cell r="Q123">
            <v>117</v>
          </cell>
          <cell r="R123">
            <v>122</v>
          </cell>
          <cell r="S123">
            <v>463</v>
          </cell>
          <cell r="T123">
            <v>106</v>
          </cell>
          <cell r="U123">
            <v>113</v>
          </cell>
          <cell r="V123">
            <v>114</v>
          </cell>
          <cell r="W123">
            <v>130</v>
          </cell>
          <cell r="X123">
            <v>463</v>
          </cell>
          <cell r="Y123">
            <v>87.712400000000002</v>
          </cell>
          <cell r="Z123">
            <v>92.966880000000018</v>
          </cell>
          <cell r="AA123">
            <v>99.464376000000001</v>
          </cell>
          <cell r="AB123">
            <v>121.59424000000001</v>
          </cell>
          <cell r="AC123">
            <v>401.73789600000003</v>
          </cell>
          <cell r="AD123">
            <v>157</v>
          </cell>
          <cell r="AE123">
            <v>119</v>
          </cell>
          <cell r="AF123">
            <v>78.143988000000007</v>
          </cell>
          <cell r="AG123">
            <v>86.736136000000016</v>
          </cell>
          <cell r="AH123">
            <v>440.88012400000002</v>
          </cell>
          <cell r="AI123">
            <v>159</v>
          </cell>
          <cell r="AJ123">
            <v>116</v>
          </cell>
          <cell r="AK123">
            <v>82.08</v>
          </cell>
          <cell r="AL123">
            <v>103.18</v>
          </cell>
          <cell r="AM123">
            <v>460.26</v>
          </cell>
          <cell r="AN123">
            <v>259.62168099999997</v>
          </cell>
          <cell r="AO123">
            <v>270.06168100000002</v>
          </cell>
          <cell r="AP123">
            <v>304.80105461811416</v>
          </cell>
          <cell r="AQ123">
            <v>366.0186951687345</v>
          </cell>
          <cell r="AR123">
            <v>387.11309124627792</v>
          </cell>
          <cell r="AS123">
            <v>412.91241816377169</v>
          </cell>
          <cell r="AT123">
            <v>429.58496899813895</v>
          </cell>
        </row>
        <row r="124">
          <cell r="B124">
            <v>127</v>
          </cell>
          <cell r="C124">
            <v>135</v>
          </cell>
          <cell r="D124">
            <v>139</v>
          </cell>
          <cell r="E124">
            <v>174</v>
          </cell>
          <cell r="F124">
            <v>184</v>
          </cell>
          <cell r="G124">
            <v>195</v>
          </cell>
          <cell r="H124">
            <v>175</v>
          </cell>
          <cell r="I124">
            <v>187</v>
          </cell>
          <cell r="J124">
            <v>54</v>
          </cell>
          <cell r="K124">
            <v>58</v>
          </cell>
          <cell r="L124">
            <v>52</v>
          </cell>
          <cell r="M124">
            <v>58</v>
          </cell>
          <cell r="N124">
            <v>222</v>
          </cell>
          <cell r="O124">
            <v>63</v>
          </cell>
          <cell r="P124">
            <v>71</v>
          </cell>
          <cell r="Q124">
            <v>61</v>
          </cell>
          <cell r="R124">
            <v>79</v>
          </cell>
          <cell r="S124">
            <v>274</v>
          </cell>
          <cell r="T124">
            <v>60</v>
          </cell>
          <cell r="U124">
            <v>58</v>
          </cell>
          <cell r="V124">
            <v>66</v>
          </cell>
          <cell r="W124">
            <v>64</v>
          </cell>
          <cell r="X124">
            <v>248</v>
          </cell>
          <cell r="Y124">
            <v>64.022400000000005</v>
          </cell>
          <cell r="Z124">
            <v>67.856880000000018</v>
          </cell>
          <cell r="AA124">
            <v>72.604376000000002</v>
          </cell>
          <cell r="AB124">
            <v>88.75424000000001</v>
          </cell>
          <cell r="AC124">
            <v>293.23789600000003</v>
          </cell>
          <cell r="AD124">
            <v>55</v>
          </cell>
          <cell r="AE124">
            <v>54</v>
          </cell>
          <cell r="AF124">
            <v>60.143988000000007</v>
          </cell>
          <cell r="AG124">
            <v>54.736136000000009</v>
          </cell>
          <cell r="AH124">
            <v>223.88012400000002</v>
          </cell>
          <cell r="AI124">
            <v>55</v>
          </cell>
          <cell r="AJ124">
            <v>49</v>
          </cell>
          <cell r="AK124">
            <v>48</v>
          </cell>
          <cell r="AL124">
            <v>48</v>
          </cell>
          <cell r="AM124">
            <v>200</v>
          </cell>
          <cell r="AN124">
            <v>186.681681</v>
          </cell>
          <cell r="AO124">
            <v>197.121681</v>
          </cell>
          <cell r="AP124">
            <v>229.7796402260546</v>
          </cell>
          <cell r="AQ124">
            <v>266.0186951687345</v>
          </cell>
          <cell r="AR124">
            <v>281.11309124627792</v>
          </cell>
          <cell r="AS124">
            <v>296.91241816377169</v>
          </cell>
          <cell r="AT124">
            <v>313.58496899813895</v>
          </cell>
        </row>
        <row r="125">
          <cell r="B125">
            <v>92</v>
          </cell>
          <cell r="C125">
            <v>69</v>
          </cell>
          <cell r="D125">
            <v>139</v>
          </cell>
          <cell r="E125">
            <v>276</v>
          </cell>
          <cell r="F125">
            <v>221</v>
          </cell>
          <cell r="G125">
            <v>371</v>
          </cell>
          <cell r="H125">
            <v>295</v>
          </cell>
          <cell r="I125">
            <v>310</v>
          </cell>
          <cell r="J125">
            <v>52</v>
          </cell>
          <cell r="K125">
            <v>50</v>
          </cell>
          <cell r="L125">
            <v>105</v>
          </cell>
          <cell r="M125">
            <v>84</v>
          </cell>
          <cell r="N125">
            <v>291</v>
          </cell>
          <cell r="O125">
            <v>49</v>
          </cell>
          <cell r="P125">
            <v>41</v>
          </cell>
          <cell r="Q125">
            <v>56</v>
          </cell>
          <cell r="R125">
            <v>43</v>
          </cell>
          <cell r="S125">
            <v>189</v>
          </cell>
          <cell r="T125">
            <v>46</v>
          </cell>
          <cell r="U125">
            <v>55</v>
          </cell>
          <cell r="V125">
            <v>48</v>
          </cell>
          <cell r="W125">
            <v>66</v>
          </cell>
          <cell r="X125">
            <v>215</v>
          </cell>
          <cell r="Y125">
            <v>23.69</v>
          </cell>
          <cell r="Z125">
            <v>25.11</v>
          </cell>
          <cell r="AA125">
            <v>26.86</v>
          </cell>
          <cell r="AB125">
            <v>32.840000000000003</v>
          </cell>
          <cell r="AC125">
            <v>108.5</v>
          </cell>
          <cell r="AD125">
            <v>102</v>
          </cell>
          <cell r="AE125">
            <v>65</v>
          </cell>
          <cell r="AF125">
            <v>18</v>
          </cell>
          <cell r="AG125">
            <v>32</v>
          </cell>
          <cell r="AH125">
            <v>217</v>
          </cell>
          <cell r="AI125">
            <v>104</v>
          </cell>
          <cell r="AJ125">
            <v>67</v>
          </cell>
          <cell r="AK125">
            <v>34.08</v>
          </cell>
          <cell r="AL125">
            <v>55.180000000000007</v>
          </cell>
          <cell r="AM125">
            <v>260.26</v>
          </cell>
          <cell r="AN125">
            <v>72.94</v>
          </cell>
          <cell r="AO125">
            <v>72.94</v>
          </cell>
          <cell r="AP125">
            <v>75.021414392059569</v>
          </cell>
          <cell r="AQ125">
            <v>100</v>
          </cell>
          <cell r="AR125">
            <v>106</v>
          </cell>
          <cell r="AS125">
            <v>116</v>
          </cell>
          <cell r="AT125">
            <v>116</v>
          </cell>
        </row>
        <row r="127">
          <cell r="G127">
            <v>0</v>
          </cell>
          <cell r="H127">
            <v>0</v>
          </cell>
          <cell r="I127">
            <v>0</v>
          </cell>
          <cell r="N127">
            <v>0</v>
          </cell>
          <cell r="Y127">
            <v>3.75</v>
          </cell>
          <cell r="Z127">
            <v>3.75</v>
          </cell>
          <cell r="AA127">
            <v>3.75</v>
          </cell>
          <cell r="AB127">
            <v>3.75</v>
          </cell>
          <cell r="AC127">
            <v>15</v>
          </cell>
          <cell r="AD127">
            <v>3.75</v>
          </cell>
          <cell r="AE127">
            <v>3.75</v>
          </cell>
          <cell r="AF127">
            <v>3.75</v>
          </cell>
          <cell r="AG127">
            <v>3.75</v>
          </cell>
          <cell r="AH127">
            <v>15</v>
          </cell>
          <cell r="AN127">
            <v>28</v>
          </cell>
          <cell r="AO127">
            <v>28</v>
          </cell>
          <cell r="AP127">
            <v>41</v>
          </cell>
          <cell r="AQ127">
            <v>78</v>
          </cell>
          <cell r="AR127">
            <v>118</v>
          </cell>
          <cell r="AS127">
            <v>130</v>
          </cell>
          <cell r="AT127">
            <v>160</v>
          </cell>
        </row>
        <row r="129">
          <cell r="B129">
            <v>-2245</v>
          </cell>
          <cell r="C129">
            <v>-2871</v>
          </cell>
          <cell r="D129">
            <v>-2029</v>
          </cell>
          <cell r="E129">
            <v>-2685</v>
          </cell>
          <cell r="F129">
            <v>-3599</v>
          </cell>
          <cell r="G129">
            <v>-4473</v>
          </cell>
          <cell r="H129">
            <v>-4687</v>
          </cell>
          <cell r="I129">
            <v>-4884</v>
          </cell>
          <cell r="J129">
            <v>-1219</v>
          </cell>
          <cell r="K129">
            <v>-1335</v>
          </cell>
          <cell r="L129">
            <v>-1423</v>
          </cell>
          <cell r="M129">
            <v>-1106</v>
          </cell>
          <cell r="N129">
            <v>-5083</v>
          </cell>
          <cell r="O129">
            <v>-1249</v>
          </cell>
          <cell r="P129">
            <v>-1171</v>
          </cell>
          <cell r="Q129">
            <v>-1355</v>
          </cell>
          <cell r="R129">
            <v>-1351</v>
          </cell>
          <cell r="S129">
            <v>-5126</v>
          </cell>
          <cell r="T129">
            <v>-1187</v>
          </cell>
          <cell r="U129">
            <v>-1209</v>
          </cell>
          <cell r="V129">
            <v>-1574</v>
          </cell>
          <cell r="W129">
            <v>-1517</v>
          </cell>
          <cell r="X129">
            <v>-5487</v>
          </cell>
          <cell r="Y129">
            <v>-1250.4751365628442</v>
          </cell>
          <cell r="Z129">
            <v>-1384.8122425359129</v>
          </cell>
          <cell r="AA129">
            <v>-1592.479046778778</v>
          </cell>
          <cell r="AB129">
            <v>-1620.1234374915637</v>
          </cell>
          <cell r="AC129">
            <v>-5847.8898633690987</v>
          </cell>
          <cell r="AD129">
            <v>-1158</v>
          </cell>
          <cell r="AE129">
            <v>-1063</v>
          </cell>
          <cell r="AF129">
            <v>-1219.7410292007323</v>
          </cell>
          <cell r="AG129">
            <v>-1285.1736629097568</v>
          </cell>
          <cell r="AH129">
            <v>-4725.9146921104884</v>
          </cell>
          <cell r="AI129">
            <v>-1359</v>
          </cell>
          <cell r="AJ129">
            <v>-1272</v>
          </cell>
          <cell r="AK129">
            <v>-1241</v>
          </cell>
          <cell r="AL129">
            <v>-1257</v>
          </cell>
          <cell r="AM129">
            <v>-5129</v>
          </cell>
          <cell r="AN129">
            <v>-5307.5224687956215</v>
          </cell>
          <cell r="AO129">
            <v>-5512.0605419145213</v>
          </cell>
          <cell r="AP129">
            <v>-5841.4484425477567</v>
          </cell>
          <cell r="AQ129">
            <v>-7811.5106487560633</v>
          </cell>
          <cell r="AR129">
            <v>-8418.7919125413064</v>
          </cell>
          <cell r="AS129">
            <v>-9035.0371047229328</v>
          </cell>
          <cell r="AT129">
            <v>-9633.5746045645956</v>
          </cell>
        </row>
        <row r="130">
          <cell r="C130">
            <v>0.27884187082405343</v>
          </cell>
          <cell r="D130">
            <v>-0.29327760362243116</v>
          </cell>
          <cell r="E130">
            <v>0.32331197634302611</v>
          </cell>
          <cell r="F130">
            <v>0.34040968342644318</v>
          </cell>
          <cell r="G130">
            <v>0.24284523478744102</v>
          </cell>
          <cell r="H130">
            <v>4.7842611222892906E-2</v>
          </cell>
          <cell r="I130">
            <v>4.2031149989332217E-2</v>
          </cell>
          <cell r="N130">
            <v>4.0745290745290763E-2</v>
          </cell>
          <cell r="S130">
            <v>8.4595711194177525E-3</v>
          </cell>
          <cell r="X130">
            <v>7.0425282871634742E-2</v>
          </cell>
          <cell r="Y130">
            <v>-2.4590377096065374E-2</v>
          </cell>
          <cell r="Z130">
            <v>0.18057309679105948</v>
          </cell>
          <cell r="AA130">
            <v>8.6274929589889471E-2</v>
          </cell>
          <cell r="AB130">
            <v>7.8098590254973344E-2</v>
          </cell>
          <cell r="AC130">
            <v>7.8150786019376639E-2</v>
          </cell>
          <cell r="AD130">
            <v>-2.4431339511373218E-2</v>
          </cell>
          <cell r="AE130">
            <v>-0.12076095947063692</v>
          </cell>
          <cell r="AF130">
            <v>-0.22506923176573546</v>
          </cell>
          <cell r="AG130">
            <v>-0.15281894336865076</v>
          </cell>
          <cell r="AH130">
            <v>-0.13870699979761469</v>
          </cell>
          <cell r="AN130">
            <v>3.4806486409752591E-2</v>
          </cell>
          <cell r="AO130">
            <v>7.4685229462764902E-2</v>
          </cell>
          <cell r="AP130">
            <v>5.9757671043073834E-2</v>
          </cell>
          <cell r="AQ130">
            <v>0.33725577236269522</v>
          </cell>
          <cell r="AR130">
            <v>7.7741846755588595E-2</v>
          </cell>
          <cell r="AS130">
            <v>7.319876754093646E-2</v>
          </cell>
          <cell r="AT130">
            <v>6.6246269152429482E-2</v>
          </cell>
        </row>
        <row r="132">
          <cell r="B132">
            <v>-1803</v>
          </cell>
          <cell r="C132">
            <v>-2379</v>
          </cell>
          <cell r="D132">
            <v>-1673</v>
          </cell>
          <cell r="E132">
            <v>-2307</v>
          </cell>
          <cell r="F132">
            <v>-3071</v>
          </cell>
          <cell r="G132">
            <v>-3672</v>
          </cell>
          <cell r="H132">
            <v>-3964</v>
          </cell>
          <cell r="I132">
            <v>-3503</v>
          </cell>
          <cell r="J132">
            <v>-865</v>
          </cell>
          <cell r="K132">
            <v>-965</v>
          </cell>
          <cell r="L132">
            <v>-987</v>
          </cell>
          <cell r="M132">
            <v>-623</v>
          </cell>
          <cell r="N132">
            <v>-3440</v>
          </cell>
          <cell r="O132">
            <v>-808</v>
          </cell>
          <cell r="P132">
            <v>-902</v>
          </cell>
          <cell r="Q132">
            <v>-1094</v>
          </cell>
          <cell r="R132">
            <v>-1099</v>
          </cell>
          <cell r="S132">
            <v>-3903</v>
          </cell>
          <cell r="T132">
            <v>-761</v>
          </cell>
          <cell r="U132">
            <v>-972</v>
          </cell>
          <cell r="V132">
            <v>-1252</v>
          </cell>
          <cell r="W132">
            <v>-1208</v>
          </cell>
          <cell r="X132">
            <v>-4193</v>
          </cell>
          <cell r="Y132">
            <v>-1022.9541365628443</v>
          </cell>
          <cell r="Z132">
            <v>-1065.5792425359127</v>
          </cell>
          <cell r="AA132">
            <v>-1180.4990467787779</v>
          </cell>
          <cell r="AB132">
            <v>-1117.3244374915637</v>
          </cell>
          <cell r="AC132">
            <v>-4386.3568633690993</v>
          </cell>
          <cell r="AD132">
            <v>-955</v>
          </cell>
          <cell r="AE132">
            <v>-827</v>
          </cell>
          <cell r="AF132">
            <v>-1086.3410292007322</v>
          </cell>
          <cell r="AG132">
            <v>-1162.6736629097568</v>
          </cell>
          <cell r="AH132">
            <v>-4031.0146921104888</v>
          </cell>
          <cell r="AI132">
            <v>-1080</v>
          </cell>
          <cell r="AJ132">
            <v>-1003</v>
          </cell>
          <cell r="AK132">
            <v>-1082</v>
          </cell>
          <cell r="AL132">
            <v>-1053</v>
          </cell>
          <cell r="AM132">
            <v>-4218</v>
          </cell>
          <cell r="AN132">
            <v>-4270.6224687956219</v>
          </cell>
          <cell r="AO132">
            <v>-4475.1605419145217</v>
          </cell>
          <cell r="AP132">
            <v>-4701.9842986271606</v>
          </cell>
          <cell r="AQ132">
            <v>-5093.4584099500935</v>
          </cell>
          <cell r="AR132">
            <v>-5466.6501214965292</v>
          </cell>
          <cell r="AS132">
            <v>-5868.6266569617392</v>
          </cell>
          <cell r="AT132">
            <v>-6303.164156803402</v>
          </cell>
        </row>
        <row r="133">
          <cell r="B133">
            <v>-844</v>
          </cell>
          <cell r="C133">
            <v>-1086</v>
          </cell>
          <cell r="D133">
            <v>-420</v>
          </cell>
          <cell r="E133">
            <v>-490</v>
          </cell>
          <cell r="F133">
            <v>-896</v>
          </cell>
          <cell r="G133">
            <v>-1255</v>
          </cell>
          <cell r="H133">
            <v>-1068</v>
          </cell>
          <cell r="I133">
            <v>-771</v>
          </cell>
          <cell r="J133">
            <v>-203</v>
          </cell>
          <cell r="K133">
            <v>-242</v>
          </cell>
          <cell r="L133">
            <v>-270</v>
          </cell>
          <cell r="M133">
            <v>-209</v>
          </cell>
          <cell r="N133">
            <v>-924</v>
          </cell>
          <cell r="O133">
            <v>-156</v>
          </cell>
          <cell r="P133">
            <v>-239</v>
          </cell>
          <cell r="Q133">
            <v>-214</v>
          </cell>
          <cell r="R133">
            <v>-187</v>
          </cell>
          <cell r="S133">
            <v>-796</v>
          </cell>
          <cell r="T133">
            <v>-200</v>
          </cell>
          <cell r="U133">
            <v>-292</v>
          </cell>
          <cell r="V133">
            <v>-309</v>
          </cell>
          <cell r="W133">
            <v>-268</v>
          </cell>
          <cell r="X133">
            <v>-1069</v>
          </cell>
          <cell r="Y133">
            <v>-226.40473540625149</v>
          </cell>
          <cell r="Z133">
            <v>-267.44150792343879</v>
          </cell>
          <cell r="AA133">
            <v>-319.99254854687666</v>
          </cell>
          <cell r="AB133">
            <v>-302.15889621250108</v>
          </cell>
          <cell r="AC133">
            <v>-1115.9976880890681</v>
          </cell>
          <cell r="AD133">
            <v>-223</v>
          </cell>
          <cell r="AE133">
            <v>-236</v>
          </cell>
          <cell r="AF133">
            <v>-218.63322246969258</v>
          </cell>
          <cell r="AG133">
            <v>-198.03020224517508</v>
          </cell>
          <cell r="AH133">
            <v>-875.66342471486769</v>
          </cell>
          <cell r="AI133">
            <v>-273</v>
          </cell>
          <cell r="AJ133">
            <v>-284</v>
          </cell>
          <cell r="AK133">
            <v>-265</v>
          </cell>
          <cell r="AL133">
            <v>-218</v>
          </cell>
          <cell r="AM133">
            <v>-1040</v>
          </cell>
          <cell r="AN133">
            <v>-818.1929903722629</v>
          </cell>
          <cell r="AO133">
            <v>-851.36132655370625</v>
          </cell>
          <cell r="AP133">
            <v>-896.2777936021289</v>
          </cell>
          <cell r="AQ133">
            <v>-974.43209057680565</v>
          </cell>
          <cell r="AR133">
            <v>-1048.8118182007161</v>
          </cell>
          <cell r="AS133">
            <v>-1128.9925758186323</v>
          </cell>
          <cell r="AT133">
            <v>-1215.7378637530492</v>
          </cell>
        </row>
        <row r="134">
          <cell r="G134">
            <v>-45</v>
          </cell>
          <cell r="H134">
            <v>-60</v>
          </cell>
          <cell r="I134">
            <v>-65.098439375750303</v>
          </cell>
          <cell r="J134">
            <v>-70.209999999999994</v>
          </cell>
          <cell r="K134">
            <v>-73.23</v>
          </cell>
          <cell r="L134">
            <v>-66.510000000000005</v>
          </cell>
          <cell r="M134">
            <v>-59.34</v>
          </cell>
          <cell r="N134">
            <v>-269.28999999999996</v>
          </cell>
          <cell r="O134">
            <v>-64.86</v>
          </cell>
          <cell r="P134">
            <v>-90.32</v>
          </cell>
          <cell r="Q134">
            <v>-81</v>
          </cell>
          <cell r="R134">
            <v>-70.38</v>
          </cell>
          <cell r="S134">
            <v>-306.56</v>
          </cell>
          <cell r="T134">
            <v>-74.98</v>
          </cell>
          <cell r="U134">
            <v>-99.99</v>
          </cell>
          <cell r="V134">
            <v>-93.4</v>
          </cell>
          <cell r="W134">
            <v>-94.47</v>
          </cell>
          <cell r="X134">
            <v>-362.84000000000003</v>
          </cell>
          <cell r="Y134">
            <v>-46.817411406251459</v>
          </cell>
          <cell r="Z134">
            <v>-40.731147923438769</v>
          </cell>
          <cell r="AA134">
            <v>-51.499152546876601</v>
          </cell>
          <cell r="AB134">
            <v>-33.708536212501052</v>
          </cell>
          <cell r="AC134">
            <v>-172.7562480890679</v>
          </cell>
          <cell r="AD134">
            <v>-63</v>
          </cell>
          <cell r="AE134">
            <v>-38</v>
          </cell>
          <cell r="AF134">
            <v>-44.800000000000004</v>
          </cell>
          <cell r="AG134">
            <v>-40</v>
          </cell>
          <cell r="AH134">
            <v>-185.8</v>
          </cell>
          <cell r="AI134">
            <v>-92.661665107577164</v>
          </cell>
          <cell r="AJ134">
            <v>-58.111689378865293</v>
          </cell>
          <cell r="AK134">
            <v>-62.901711642914769</v>
          </cell>
          <cell r="AL134">
            <v>-61.875278300618447</v>
          </cell>
          <cell r="AM134">
            <v>-275.55034442997567</v>
          </cell>
          <cell r="AN134">
            <v>-209.24103199999999</v>
          </cell>
          <cell r="AO134">
            <v>-209.24103199999999</v>
          </cell>
          <cell r="AP134">
            <v>-220.28025544822771</v>
          </cell>
          <cell r="AQ134">
            <v>-239.48841682949788</v>
          </cell>
          <cell r="AR134">
            <v>-257.76889361707504</v>
          </cell>
          <cell r="AS134">
            <v>-277.47510289302141</v>
          </cell>
          <cell r="AT134">
            <v>-298.79469188822281</v>
          </cell>
        </row>
        <row r="135">
          <cell r="G135">
            <v>-1210</v>
          </cell>
          <cell r="H135">
            <v>-1008</v>
          </cell>
          <cell r="I135">
            <v>-705.90156062424967</v>
          </cell>
          <cell r="J135">
            <v>-132.79000000000002</v>
          </cell>
          <cell r="K135">
            <v>-168.76999999999998</v>
          </cell>
          <cell r="L135">
            <v>-203.49</v>
          </cell>
          <cell r="M135">
            <v>-149.66</v>
          </cell>
          <cell r="N135">
            <v>-654.71</v>
          </cell>
          <cell r="O135">
            <v>-91.14</v>
          </cell>
          <cell r="P135">
            <v>-148.68</v>
          </cell>
          <cell r="Q135">
            <v>-133</v>
          </cell>
          <cell r="R135">
            <v>-116.62</v>
          </cell>
          <cell r="S135">
            <v>-489.44</v>
          </cell>
          <cell r="T135">
            <v>-125.02</v>
          </cell>
          <cell r="U135">
            <v>-192.01</v>
          </cell>
          <cell r="V135">
            <v>-215.6</v>
          </cell>
          <cell r="W135">
            <v>-173.53</v>
          </cell>
          <cell r="X135">
            <v>-706.16</v>
          </cell>
          <cell r="Y135">
            <v>-179.58732400000002</v>
          </cell>
          <cell r="Z135">
            <v>-226.71036000000001</v>
          </cell>
          <cell r="AA135">
            <v>-268.49339600000008</v>
          </cell>
          <cell r="AB135">
            <v>-268.45036000000005</v>
          </cell>
          <cell r="AC135">
            <v>-943.24144000000013</v>
          </cell>
          <cell r="AD135">
            <v>-160</v>
          </cell>
          <cell r="AE135">
            <v>-198</v>
          </cell>
          <cell r="AF135">
            <v>-173.83322246969257</v>
          </cell>
          <cell r="AG135">
            <v>-158.03020224517508</v>
          </cell>
          <cell r="AH135">
            <v>-689.86342471486773</v>
          </cell>
          <cell r="AI135">
            <v>-180.33833489242284</v>
          </cell>
          <cell r="AJ135">
            <v>-225.88831062113471</v>
          </cell>
          <cell r="AK135">
            <v>-202.09828835708524</v>
          </cell>
          <cell r="AL135">
            <v>-156.12472169938155</v>
          </cell>
          <cell r="AM135">
            <v>-764.44965557002433</v>
          </cell>
          <cell r="AN135">
            <v>-608.95195837226288</v>
          </cell>
          <cell r="AO135">
            <v>-642.12029455370623</v>
          </cell>
          <cell r="AP135">
            <v>-675.99753815390113</v>
          </cell>
          <cell r="AQ135">
            <v>-734.9436737473078</v>
          </cell>
          <cell r="AR135">
            <v>-791.04292458364091</v>
          </cell>
          <cell r="AS135">
            <v>-851.51747292561095</v>
          </cell>
          <cell r="AT135">
            <v>-916.94317186482624</v>
          </cell>
        </row>
        <row r="136">
          <cell r="B136">
            <v>-509</v>
          </cell>
          <cell r="C136">
            <v>-509</v>
          </cell>
          <cell r="D136">
            <v>-640</v>
          </cell>
          <cell r="E136">
            <v>-1023</v>
          </cell>
          <cell r="F136">
            <v>-1227</v>
          </cell>
          <cell r="G136">
            <v>-1428</v>
          </cell>
          <cell r="H136">
            <v>-2083</v>
          </cell>
          <cell r="I136">
            <v>-1950</v>
          </cell>
          <cell r="J136">
            <v>-449</v>
          </cell>
          <cell r="K136">
            <v>-525</v>
          </cell>
          <cell r="L136">
            <v>-490</v>
          </cell>
          <cell r="M136">
            <v>-250</v>
          </cell>
          <cell r="N136">
            <v>-1714</v>
          </cell>
          <cell r="O136">
            <v>-465</v>
          </cell>
          <cell r="P136">
            <v>-485</v>
          </cell>
          <cell r="Q136">
            <v>-655</v>
          </cell>
          <cell r="R136">
            <v>-671</v>
          </cell>
          <cell r="S136">
            <v>-2276</v>
          </cell>
          <cell r="T136">
            <v>-474</v>
          </cell>
          <cell r="U136">
            <v>-495</v>
          </cell>
          <cell r="V136">
            <v>-769</v>
          </cell>
          <cell r="W136">
            <v>-777</v>
          </cell>
          <cell r="X136">
            <v>-2515</v>
          </cell>
          <cell r="Y136">
            <v>-570.21701900000005</v>
          </cell>
          <cell r="Z136">
            <v>-605.94891000000007</v>
          </cell>
          <cell r="AA136">
            <v>-667.76580100000012</v>
          </cell>
          <cell r="AB136">
            <v>-624.51391000000001</v>
          </cell>
          <cell r="AC136">
            <v>-2468.4456400000004</v>
          </cell>
          <cell r="AD136">
            <v>-585</v>
          </cell>
          <cell r="AE136">
            <v>-511</v>
          </cell>
          <cell r="AF136">
            <v>-680.84678800629592</v>
          </cell>
          <cell r="AG136">
            <v>-618.95162546026904</v>
          </cell>
          <cell r="AH136">
            <v>-2395.7984134665649</v>
          </cell>
          <cell r="AI136">
            <v>-585</v>
          </cell>
          <cell r="AJ136">
            <v>-524</v>
          </cell>
          <cell r="AK136">
            <v>-649</v>
          </cell>
          <cell r="AL136">
            <v>-669</v>
          </cell>
          <cell r="AM136">
            <v>-2427</v>
          </cell>
          <cell r="AN136">
            <v>-2537.2998265510955</v>
          </cell>
          <cell r="AO136">
            <v>-2675.5012273071093</v>
          </cell>
          <cell r="AP136">
            <v>-2816.656408974588</v>
          </cell>
          <cell r="AQ136">
            <v>-3062.2653072804492</v>
          </cell>
          <cell r="AR136">
            <v>-3296.0121857651707</v>
          </cell>
          <cell r="AS136">
            <v>-3547.9894705233792</v>
          </cell>
          <cell r="AT136">
            <v>-3820.5965494367761</v>
          </cell>
        </row>
        <row r="137">
          <cell r="B137">
            <v>-450</v>
          </cell>
          <cell r="C137">
            <v>-784</v>
          </cell>
          <cell r="D137">
            <v>-613</v>
          </cell>
          <cell r="E137">
            <v>-794</v>
          </cell>
          <cell r="F137">
            <v>-948</v>
          </cell>
          <cell r="G137">
            <v>-989</v>
          </cell>
          <cell r="H137">
            <v>-813</v>
          </cell>
          <cell r="I137">
            <v>-782</v>
          </cell>
          <cell r="J137">
            <v>-213</v>
          </cell>
          <cell r="K137">
            <v>-198</v>
          </cell>
          <cell r="L137">
            <v>-227</v>
          </cell>
          <cell r="M137">
            <v>-164</v>
          </cell>
          <cell r="N137">
            <v>-802</v>
          </cell>
          <cell r="O137">
            <v>-187</v>
          </cell>
          <cell r="P137">
            <v>-178</v>
          </cell>
          <cell r="Q137">
            <v>-225</v>
          </cell>
          <cell r="R137">
            <v>-241</v>
          </cell>
          <cell r="S137">
            <v>-831</v>
          </cell>
          <cell r="T137">
            <v>-87</v>
          </cell>
          <cell r="U137">
            <v>-185</v>
          </cell>
          <cell r="V137">
            <v>-174</v>
          </cell>
          <cell r="W137">
            <v>-163</v>
          </cell>
          <cell r="X137">
            <v>-609</v>
          </cell>
          <cell r="Y137">
            <v>-226.33238215659276</v>
          </cell>
          <cell r="Z137">
            <v>-192.18882461247387</v>
          </cell>
          <cell r="AA137">
            <v>-192.74069723190118</v>
          </cell>
          <cell r="AB137">
            <v>-190.65163127906257</v>
          </cell>
          <cell r="AC137">
            <v>-801.91353528003037</v>
          </cell>
          <cell r="AD137">
            <v>-147</v>
          </cell>
          <cell r="AE137">
            <v>-80</v>
          </cell>
          <cell r="AF137">
            <v>-186.86101872474384</v>
          </cell>
          <cell r="AG137">
            <v>-345.69183520431261</v>
          </cell>
          <cell r="AH137">
            <v>-759.55285392905648</v>
          </cell>
          <cell r="AI137">
            <v>-222</v>
          </cell>
          <cell r="AJ137">
            <v>-195</v>
          </cell>
          <cell r="AK137">
            <v>-168</v>
          </cell>
          <cell r="AL137">
            <v>-166</v>
          </cell>
          <cell r="AM137">
            <v>-751</v>
          </cell>
          <cell r="AN137">
            <v>-915.12965187226291</v>
          </cell>
          <cell r="AO137">
            <v>-948.29798805370615</v>
          </cell>
          <cell r="AP137">
            <v>-989.05009605044381</v>
          </cell>
          <cell r="AQ137">
            <v>-1056.7610120928384</v>
          </cell>
          <cell r="AR137">
            <v>-1121.8261175306425</v>
          </cell>
          <cell r="AS137">
            <v>-1191.6446106197284</v>
          </cell>
          <cell r="AT137">
            <v>-1266.8297436135774</v>
          </cell>
        </row>
        <row r="138">
          <cell r="G138">
            <v>-118</v>
          </cell>
          <cell r="H138">
            <v>-124</v>
          </cell>
          <cell r="I138">
            <v>-156</v>
          </cell>
          <cell r="J138">
            <v>-69</v>
          </cell>
          <cell r="K138">
            <v>-35</v>
          </cell>
          <cell r="L138">
            <v>-32</v>
          </cell>
          <cell r="M138">
            <v>-30</v>
          </cell>
          <cell r="N138">
            <v>-166</v>
          </cell>
          <cell r="O138">
            <v>-34</v>
          </cell>
          <cell r="P138">
            <v>-36</v>
          </cell>
          <cell r="Q138">
            <v>-57</v>
          </cell>
          <cell r="R138">
            <v>-62</v>
          </cell>
          <cell r="S138">
            <v>-189</v>
          </cell>
          <cell r="T138">
            <v>-21</v>
          </cell>
          <cell r="U138">
            <v>-23</v>
          </cell>
          <cell r="V138">
            <v>-25</v>
          </cell>
          <cell r="W138">
            <v>-27</v>
          </cell>
          <cell r="X138">
            <v>-96</v>
          </cell>
          <cell r="Y138">
            <v>-93.15789473684211</v>
          </cell>
          <cell r="Z138">
            <v>-42.786885245901644</v>
          </cell>
          <cell r="AA138">
            <v>-37.578125</v>
          </cell>
          <cell r="AB138">
            <v>-37.703125</v>
          </cell>
          <cell r="AC138">
            <v>-211.22602998274374</v>
          </cell>
          <cell r="AD138">
            <v>-89</v>
          </cell>
          <cell r="AE138">
            <v>-57</v>
          </cell>
          <cell r="AF138">
            <v>-38</v>
          </cell>
          <cell r="AG138">
            <v>-38</v>
          </cell>
          <cell r="AH138">
            <v>-222</v>
          </cell>
          <cell r="AI138">
            <v>-89</v>
          </cell>
          <cell r="AJ138">
            <v>-55</v>
          </cell>
          <cell r="AK138">
            <v>-16</v>
          </cell>
          <cell r="AL138">
            <v>-19</v>
          </cell>
          <cell r="AM138">
            <v>-179</v>
          </cell>
          <cell r="AN138">
            <v>-225.32999999999998</v>
          </cell>
          <cell r="AO138">
            <v>-225.32999999999998</v>
          </cell>
          <cell r="AP138">
            <v>-229.38593999999998</v>
          </cell>
          <cell r="AQ138">
            <v>-233.74427285999997</v>
          </cell>
          <cell r="AR138">
            <v>-238.41915831719996</v>
          </cell>
          <cell r="AS138">
            <v>-243.18754148354395</v>
          </cell>
          <cell r="AT138">
            <v>-248.05129231321484</v>
          </cell>
        </row>
        <row r="139">
          <cell r="G139">
            <v>-39</v>
          </cell>
          <cell r="H139">
            <v>-54</v>
          </cell>
          <cell r="I139">
            <v>-41</v>
          </cell>
          <cell r="J139">
            <v>-11</v>
          </cell>
          <cell r="K139">
            <v>-3</v>
          </cell>
          <cell r="L139">
            <v>-6</v>
          </cell>
          <cell r="M139">
            <v>-8</v>
          </cell>
          <cell r="N139">
            <v>-28</v>
          </cell>
          <cell r="O139">
            <v>-7</v>
          </cell>
          <cell r="P139">
            <v>-6</v>
          </cell>
          <cell r="Q139">
            <v>-15</v>
          </cell>
          <cell r="R139">
            <v>-12</v>
          </cell>
          <cell r="S139">
            <v>-40</v>
          </cell>
          <cell r="T139">
            <v>-7</v>
          </cell>
          <cell r="U139">
            <v>-12</v>
          </cell>
          <cell r="V139">
            <v>-9</v>
          </cell>
          <cell r="W139">
            <v>-13</v>
          </cell>
          <cell r="X139">
            <v>-41</v>
          </cell>
          <cell r="Y139">
            <v>-8.280701754385964</v>
          </cell>
          <cell r="Z139">
            <v>-12.360655737704917</v>
          </cell>
          <cell r="AA139">
            <v>-9.140625</v>
          </cell>
          <cell r="AB139">
            <v>-12.796875</v>
          </cell>
          <cell r="AC139">
            <v>-42.578857492090883</v>
          </cell>
          <cell r="AD139">
            <v>-5</v>
          </cell>
          <cell r="AE139">
            <v>-14</v>
          </cell>
          <cell r="AF139">
            <v>-9</v>
          </cell>
          <cell r="AG139">
            <v>-13</v>
          </cell>
          <cell r="AH139">
            <v>-41</v>
          </cell>
          <cell r="AI139">
            <v>-5</v>
          </cell>
          <cell r="AJ139">
            <v>-14</v>
          </cell>
          <cell r="AK139">
            <v>-9</v>
          </cell>
          <cell r="AL139">
            <v>-17</v>
          </cell>
          <cell r="AM139">
            <v>-45</v>
          </cell>
          <cell r="AN139">
            <v>-41.614999999999995</v>
          </cell>
          <cell r="AO139">
            <v>-41.614999999999995</v>
          </cell>
          <cell r="AP139">
            <v>-42.364069999999998</v>
          </cell>
          <cell r="AQ139">
            <v>-43.168987329999993</v>
          </cell>
          <cell r="AR139">
            <v>-44.032367076599996</v>
          </cell>
          <cell r="AS139">
            <v>-44.913014418132001</v>
          </cell>
          <cell r="AT139">
            <v>-45.811274706494643</v>
          </cell>
        </row>
        <row r="140">
          <cell r="G140">
            <v>-832</v>
          </cell>
          <cell r="H140">
            <v>-812</v>
          </cell>
          <cell r="I140">
            <v>-585</v>
          </cell>
          <cell r="J140">
            <v>-133</v>
          </cell>
          <cell r="K140">
            <v>-160</v>
          </cell>
          <cell r="L140">
            <v>-189</v>
          </cell>
          <cell r="M140">
            <v>-126</v>
          </cell>
          <cell r="N140">
            <v>-608</v>
          </cell>
          <cell r="O140">
            <v>-146</v>
          </cell>
          <cell r="P140">
            <v>-136</v>
          </cell>
          <cell r="Q140">
            <v>-153</v>
          </cell>
          <cell r="R140">
            <v>-167</v>
          </cell>
          <cell r="S140">
            <v>-602</v>
          </cell>
          <cell r="T140">
            <v>-59</v>
          </cell>
          <cell r="U140">
            <v>-150</v>
          </cell>
          <cell r="V140">
            <v>-140</v>
          </cell>
          <cell r="W140">
            <v>-123</v>
          </cell>
          <cell r="X140">
            <v>-472</v>
          </cell>
          <cell r="Y140">
            <v>-124.89378566536469</v>
          </cell>
          <cell r="Z140">
            <v>-137.04128362886729</v>
          </cell>
          <cell r="AA140">
            <v>-146.02194723190118</v>
          </cell>
          <cell r="AB140">
            <v>-140.15163127906257</v>
          </cell>
          <cell r="AC140">
            <v>-548.10864780519569</v>
          </cell>
          <cell r="AD140">
            <v>-53</v>
          </cell>
          <cell r="AE140">
            <v>-9</v>
          </cell>
          <cell r="AF140">
            <v>-139.86101872474384</v>
          </cell>
          <cell r="AG140">
            <v>-294.69183520431261</v>
          </cell>
          <cell r="AH140">
            <v>-496.55285392905648</v>
          </cell>
          <cell r="AI140">
            <v>-128</v>
          </cell>
          <cell r="AJ140">
            <v>-126</v>
          </cell>
          <cell r="AK140">
            <v>-143</v>
          </cell>
          <cell r="AL140">
            <v>-130</v>
          </cell>
          <cell r="AM140">
            <v>-527</v>
          </cell>
          <cell r="AN140">
            <v>-648.18465187226298</v>
          </cell>
          <cell r="AO140">
            <v>-681.35298805370621</v>
          </cell>
          <cell r="AP140">
            <v>-717.30008605044384</v>
          </cell>
          <cell r="AQ140">
            <v>-779.84775190283858</v>
          </cell>
          <cell r="AR140">
            <v>-839.37459213684258</v>
          </cell>
          <cell r="AS140">
            <v>-903.54405471805239</v>
          </cell>
          <cell r="AT140">
            <v>-972.96717659386798</v>
          </cell>
        </row>
        <row r="141">
          <cell r="G141">
            <v>-67</v>
          </cell>
          <cell r="H141">
            <v>-47</v>
          </cell>
          <cell r="I141">
            <v>-48.080999999999996</v>
          </cell>
          <cell r="J141">
            <v>-9.4159999999999968</v>
          </cell>
          <cell r="K141">
            <v>-12.75200000000001</v>
          </cell>
          <cell r="L141">
            <v>-8.1146666666666647</v>
          </cell>
          <cell r="M141">
            <v>-8.7333333333333343</v>
          </cell>
          <cell r="N141">
            <v>-39.016000000000005</v>
          </cell>
          <cell r="O141">
            <v>-6.304000000000002</v>
          </cell>
          <cell r="P141">
            <v>-9.9915264797507746</v>
          </cell>
          <cell r="Q141">
            <v>-8.5749034267912805</v>
          </cell>
          <cell r="R141">
            <v>-10.94335202492212</v>
          </cell>
          <cell r="S141">
            <v>-35.813781931464177</v>
          </cell>
          <cell r="T141">
            <v>-7.6273146417445474</v>
          </cell>
          <cell r="U141">
            <v>-17.206454828660441</v>
          </cell>
          <cell r="V141">
            <v>-37.254629283489095</v>
          </cell>
          <cell r="W141">
            <v>-12.500261682242993</v>
          </cell>
          <cell r="X141">
            <v>-74.588660436137076</v>
          </cell>
          <cell r="Y141">
            <v>-3.5710156653646683</v>
          </cell>
          <cell r="Z141">
            <v>-8.1159836288672622</v>
          </cell>
          <cell r="AA141">
            <v>-3.9441172319011355</v>
          </cell>
          <cell r="AB141">
            <v>-7.2763312790625605</v>
          </cell>
          <cell r="AC141">
            <v>-22.907447805195627</v>
          </cell>
          <cell r="AD141">
            <v>148</v>
          </cell>
          <cell r="AE141">
            <v>136</v>
          </cell>
          <cell r="AF141">
            <v>5</v>
          </cell>
          <cell r="AG141">
            <v>-163</v>
          </cell>
          <cell r="AH141">
            <v>126</v>
          </cell>
          <cell r="AI141">
            <v>-7.8073021806853689</v>
          </cell>
          <cell r="AJ141">
            <v>-11.623077881619935</v>
          </cell>
          <cell r="AK141">
            <v>-12.145046728971977</v>
          </cell>
          <cell r="AL141">
            <v>-18.266666666666666</v>
          </cell>
          <cell r="AM141">
            <v>-49.842093457943918</v>
          </cell>
          <cell r="AN141">
            <v>127.88999999999999</v>
          </cell>
          <cell r="AO141">
            <v>127.88999999999999</v>
          </cell>
          <cell r="AP141">
            <v>130.19201999999999</v>
          </cell>
          <cell r="AQ141">
            <v>132.66566837999997</v>
          </cell>
          <cell r="AR141">
            <v>135.31898174759996</v>
          </cell>
          <cell r="AS141">
            <v>138.02536138255198</v>
          </cell>
          <cell r="AT141">
            <v>140.78586861020301</v>
          </cell>
        </row>
        <row r="142">
          <cell r="G142">
            <v>-765</v>
          </cell>
          <cell r="H142">
            <v>-765</v>
          </cell>
          <cell r="I142">
            <v>-536.91899999999998</v>
          </cell>
          <cell r="J142">
            <v>-123.584</v>
          </cell>
          <cell r="K142">
            <v>-147.24799999999999</v>
          </cell>
          <cell r="L142">
            <v>-180.88533333333334</v>
          </cell>
          <cell r="M142">
            <v>-117.26666666666667</v>
          </cell>
          <cell r="N142">
            <v>-568.98400000000004</v>
          </cell>
          <cell r="O142">
            <v>-139.696</v>
          </cell>
          <cell r="P142">
            <v>-126.00847352024923</v>
          </cell>
          <cell r="Q142">
            <v>-144.42509657320872</v>
          </cell>
          <cell r="R142">
            <v>-156.05664797507788</v>
          </cell>
          <cell r="S142">
            <v>-566.18621806853582</v>
          </cell>
          <cell r="T142">
            <v>-51.372685358255453</v>
          </cell>
          <cell r="U142">
            <v>-132.79354517133956</v>
          </cell>
          <cell r="V142">
            <v>-102.74537071651091</v>
          </cell>
          <cell r="W142">
            <v>-110.49973831775701</v>
          </cell>
          <cell r="X142">
            <v>-397.4113395638629</v>
          </cell>
          <cell r="Y142">
            <v>-121.32277000000002</v>
          </cell>
          <cell r="Z142">
            <v>-128.92530000000002</v>
          </cell>
          <cell r="AA142">
            <v>-142.07783000000003</v>
          </cell>
          <cell r="AB142">
            <v>-132.87530000000001</v>
          </cell>
          <cell r="AC142">
            <v>-525.20120000000009</v>
          </cell>
          <cell r="AD142">
            <v>-201</v>
          </cell>
          <cell r="AE142">
            <v>-145</v>
          </cell>
          <cell r="AF142">
            <v>-144.86101872474384</v>
          </cell>
          <cell r="AG142">
            <v>-131.69183520431258</v>
          </cell>
          <cell r="AH142">
            <v>-622.55285392905648</v>
          </cell>
          <cell r="AI142">
            <v>-120.19269781931463</v>
          </cell>
          <cell r="AJ142">
            <v>-114.37692211838007</v>
          </cell>
          <cell r="AK142">
            <v>-130.85495327102802</v>
          </cell>
          <cell r="AL142">
            <v>-111.73333333333333</v>
          </cell>
          <cell r="AM142">
            <v>-477.15790654205608</v>
          </cell>
          <cell r="AN142">
            <v>-776.07465187226296</v>
          </cell>
          <cell r="AO142">
            <v>-809.2429880537062</v>
          </cell>
          <cell r="AP142">
            <v>-847.49210605044379</v>
          </cell>
          <cell r="AQ142">
            <v>-912.51342028283852</v>
          </cell>
          <cell r="AR142">
            <v>-974.69357388444257</v>
          </cell>
          <cell r="AS142">
            <v>-1041.5694161006045</v>
          </cell>
          <cell r="AT142">
            <v>-1113.753045204071</v>
          </cell>
        </row>
        <row r="144">
          <cell r="B144">
            <v>-442</v>
          </cell>
          <cell r="C144">
            <v>-492</v>
          </cell>
          <cell r="D144">
            <v>-356</v>
          </cell>
          <cell r="E144">
            <v>-378</v>
          </cell>
          <cell r="F144">
            <v>-528</v>
          </cell>
          <cell r="G144">
            <v>-801</v>
          </cell>
          <cell r="H144">
            <v>-723</v>
          </cell>
          <cell r="I144">
            <v>-1381</v>
          </cell>
          <cell r="J144">
            <v>-354</v>
          </cell>
          <cell r="K144">
            <v>-370</v>
          </cell>
          <cell r="L144">
            <v>-436</v>
          </cell>
          <cell r="M144">
            <v>-483</v>
          </cell>
          <cell r="N144">
            <v>-1643</v>
          </cell>
          <cell r="O144">
            <v>-441</v>
          </cell>
          <cell r="P144">
            <v>-269</v>
          </cell>
          <cell r="Q144">
            <v>-261</v>
          </cell>
          <cell r="R144">
            <v>-252</v>
          </cell>
          <cell r="S144">
            <v>-1223</v>
          </cell>
          <cell r="T144">
            <v>-426</v>
          </cell>
          <cell r="U144">
            <v>-237</v>
          </cell>
          <cell r="V144">
            <v>-322</v>
          </cell>
          <cell r="W144">
            <v>-309</v>
          </cell>
          <cell r="X144">
            <v>-1294</v>
          </cell>
          <cell r="Y144">
            <v>-227.52099999999996</v>
          </cell>
          <cell r="Z144">
            <v>-319.23300000000006</v>
          </cell>
          <cell r="AA144">
            <v>-411.98</v>
          </cell>
          <cell r="AB144">
            <v>-502.79899999999998</v>
          </cell>
          <cell r="AC144">
            <v>-1461.5329999999999</v>
          </cell>
          <cell r="AD144">
            <v>-203</v>
          </cell>
          <cell r="AE144">
            <v>-236</v>
          </cell>
          <cell r="AF144">
            <v>-133.4</v>
          </cell>
          <cell r="AG144">
            <v>-122.5</v>
          </cell>
          <cell r="AH144">
            <v>-694.9</v>
          </cell>
          <cell r="AI144">
            <v>-279</v>
          </cell>
          <cell r="AJ144">
            <v>-269</v>
          </cell>
          <cell r="AK144">
            <v>-159</v>
          </cell>
          <cell r="AL144">
            <v>-204</v>
          </cell>
          <cell r="AM144">
            <v>-911</v>
          </cell>
          <cell r="AN144">
            <v>-608.5</v>
          </cell>
          <cell r="AO144">
            <v>-608.5</v>
          </cell>
          <cell r="AP144">
            <v>-625.86414392059567</v>
          </cell>
          <cell r="AQ144">
            <v>-1762.0522388059701</v>
          </cell>
          <cell r="AR144">
            <v>-1966.1417910447763</v>
          </cell>
          <cell r="AS144">
            <v>-2101.4104477611941</v>
          </cell>
          <cell r="AT144">
            <v>-2101.4104477611941</v>
          </cell>
        </row>
        <row r="145">
          <cell r="B145">
            <v>-6</v>
          </cell>
          <cell r="C145">
            <v>-70</v>
          </cell>
          <cell r="D145">
            <v>-103</v>
          </cell>
          <cell r="E145">
            <v>-166</v>
          </cell>
          <cell r="F145">
            <v>-279</v>
          </cell>
          <cell r="G145">
            <v>-270</v>
          </cell>
          <cell r="H145">
            <v>-291</v>
          </cell>
          <cell r="I145">
            <v>-343</v>
          </cell>
          <cell r="N145">
            <v>-324</v>
          </cell>
          <cell r="S145">
            <v>-364.90000000000003</v>
          </cell>
          <cell r="X145">
            <v>-358.76</v>
          </cell>
          <cell r="AC145">
            <v>-293.23789600000003</v>
          </cell>
          <cell r="AH145">
            <v>-240.42992754000002</v>
          </cell>
          <cell r="AN145">
            <v>-186.681681</v>
          </cell>
          <cell r="AO145">
            <v>-197.121681</v>
          </cell>
          <cell r="AP145">
            <v>-229.7796402260546</v>
          </cell>
          <cell r="AQ145">
            <v>-266.0186951687345</v>
          </cell>
          <cell r="AR145">
            <v>-281.11309124627792</v>
          </cell>
          <cell r="AS145">
            <v>-296.91241816377169</v>
          </cell>
          <cell r="AT145">
            <v>-313.58496899813895</v>
          </cell>
        </row>
        <row r="146">
          <cell r="B146">
            <v>-436</v>
          </cell>
          <cell r="C146">
            <v>-422</v>
          </cell>
          <cell r="D146">
            <v>-253</v>
          </cell>
          <cell r="E146">
            <v>-212</v>
          </cell>
          <cell r="F146">
            <v>-249</v>
          </cell>
          <cell r="G146">
            <v>-531</v>
          </cell>
          <cell r="H146">
            <v>-432</v>
          </cell>
          <cell r="I146">
            <v>-1038</v>
          </cell>
          <cell r="N146">
            <v>-1319</v>
          </cell>
          <cell r="S146">
            <v>-858.09999999999991</v>
          </cell>
          <cell r="X146">
            <v>-935.24</v>
          </cell>
          <cell r="AC146">
            <v>-1168.2951039999998</v>
          </cell>
          <cell r="AH146">
            <v>-454.47007245999998</v>
          </cell>
          <cell r="AN146">
            <v>-421.81831899999997</v>
          </cell>
          <cell r="AO146">
            <v>-411.37831900000003</v>
          </cell>
          <cell r="AP146">
            <v>-396.08450369454107</v>
          </cell>
          <cell r="AQ146">
            <v>-1496.0335436372357</v>
          </cell>
          <cell r="AR146">
            <v>-1685.0286997984983</v>
          </cell>
          <cell r="AS146">
            <v>-1804.4980295974224</v>
          </cell>
          <cell r="AT146">
            <v>-1787.8254787630551</v>
          </cell>
        </row>
        <row r="148">
          <cell r="Y148">
            <v>0</v>
          </cell>
          <cell r="Z148">
            <v>0</v>
          </cell>
          <cell r="AA148">
            <v>0</v>
          </cell>
          <cell r="AB148">
            <v>0</v>
          </cell>
          <cell r="AC148">
            <v>0</v>
          </cell>
          <cell r="AD148">
            <v>0</v>
          </cell>
          <cell r="AE148">
            <v>0</v>
          </cell>
          <cell r="AF148">
            <v>0</v>
          </cell>
          <cell r="AG148">
            <v>0</v>
          </cell>
          <cell r="AH148">
            <v>0</v>
          </cell>
          <cell r="AN148">
            <v>-428.4</v>
          </cell>
          <cell r="AO148">
            <v>-428.4</v>
          </cell>
          <cell r="AP148">
            <v>-513.6</v>
          </cell>
          <cell r="AQ148">
            <v>-956</v>
          </cell>
          <cell r="AR148">
            <v>-986</v>
          </cell>
          <cell r="AS148">
            <v>-1065</v>
          </cell>
          <cell r="AT148">
            <v>-1229</v>
          </cell>
        </row>
        <row r="150">
          <cell r="B150">
            <v>-3074</v>
          </cell>
          <cell r="C150">
            <v>-1763</v>
          </cell>
          <cell r="D150">
            <v>-2368</v>
          </cell>
          <cell r="E150">
            <v>-765</v>
          </cell>
          <cell r="F150">
            <v>-592</v>
          </cell>
          <cell r="G150">
            <v>-1745</v>
          </cell>
          <cell r="H150">
            <v>-1713.7672000000002</v>
          </cell>
          <cell r="I150">
            <v>-1895</v>
          </cell>
          <cell r="J150">
            <v>-303.41399999999999</v>
          </cell>
          <cell r="K150">
            <v>-656.31200000000001</v>
          </cell>
          <cell r="L150">
            <v>-305.79999999999995</v>
          </cell>
          <cell r="M150">
            <v>-645.26700000000005</v>
          </cell>
          <cell r="N150">
            <v>-1910.7930000000001</v>
          </cell>
          <cell r="O150">
            <v>-226.83999999999997</v>
          </cell>
          <cell r="P150">
            <v>-719.95</v>
          </cell>
          <cell r="Q150">
            <v>-189</v>
          </cell>
          <cell r="R150">
            <v>-589</v>
          </cell>
          <cell r="S150">
            <v>-1724.73</v>
          </cell>
          <cell r="T150">
            <v>-481.63</v>
          </cell>
          <cell r="U150">
            <v>-619.46</v>
          </cell>
          <cell r="V150">
            <v>-435.37</v>
          </cell>
          <cell r="W150">
            <v>-469.84000000000003</v>
          </cell>
          <cell r="X150">
            <v>-2006.3000000000002</v>
          </cell>
          <cell r="Y150">
            <v>-162.01822870767325</v>
          </cell>
          <cell r="Z150">
            <v>-288.15136491392332</v>
          </cell>
          <cell r="AA150">
            <v>-195.14701808105872</v>
          </cell>
          <cell r="AB150">
            <v>-377.23345189118737</v>
          </cell>
          <cell r="AC150">
            <v>-1022.5500635938424</v>
          </cell>
          <cell r="AD150">
            <v>-280</v>
          </cell>
          <cell r="AE150">
            <v>-475</v>
          </cell>
          <cell r="AF150">
            <v>-148.04669720903149</v>
          </cell>
          <cell r="AG150">
            <v>-268.15068426827833</v>
          </cell>
          <cell r="AH150">
            <v>-1171.1973814773098</v>
          </cell>
          <cell r="AI150">
            <v>-337.08999999999992</v>
          </cell>
          <cell r="AJ150">
            <v>-507.26</v>
          </cell>
          <cell r="AK150">
            <v>-324.31999999999994</v>
          </cell>
          <cell r="AL150">
            <v>-300</v>
          </cell>
          <cell r="AM150">
            <v>-1468.67</v>
          </cell>
          <cell r="AN150">
            <v>-1545.5097056658749</v>
          </cell>
          <cell r="AO150">
            <v>-1545.4697056658749</v>
          </cell>
          <cell r="AP150">
            <v>-2189.5578306820817</v>
          </cell>
          <cell r="AQ150">
            <v>-2245.1656492586735</v>
          </cell>
          <cell r="AR150">
            <v>-3472.2069980118058</v>
          </cell>
          <cell r="AS150">
            <v>-4204.2249111667825</v>
          </cell>
          <cell r="AT150">
            <v>-4885.3939689609197</v>
          </cell>
        </row>
        <row r="152">
          <cell r="B152">
            <v>-108</v>
          </cell>
          <cell r="C152">
            <v>-142</v>
          </cell>
          <cell r="D152">
            <v>-79</v>
          </cell>
          <cell r="E152">
            <v>578</v>
          </cell>
          <cell r="F152">
            <v>-65</v>
          </cell>
          <cell r="G152">
            <v>-321</v>
          </cell>
          <cell r="H152">
            <v>-227</v>
          </cell>
          <cell r="I152">
            <v>-403</v>
          </cell>
          <cell r="J152">
            <v>-99</v>
          </cell>
          <cell r="K152">
            <v>-95</v>
          </cell>
          <cell r="L152">
            <v>-156</v>
          </cell>
          <cell r="M152">
            <v>-5</v>
          </cell>
          <cell r="N152">
            <v>-355</v>
          </cell>
          <cell r="O152">
            <v>-124</v>
          </cell>
          <cell r="P152">
            <v>-145</v>
          </cell>
          <cell r="Q152">
            <v>-84</v>
          </cell>
          <cell r="R152">
            <v>-72</v>
          </cell>
          <cell r="S152">
            <v>-425</v>
          </cell>
          <cell r="T152">
            <v>-418</v>
          </cell>
          <cell r="U152">
            <v>-263</v>
          </cell>
          <cell r="V152">
            <v>-317</v>
          </cell>
          <cell r="W152">
            <v>-188</v>
          </cell>
          <cell r="X152">
            <v>-1186</v>
          </cell>
          <cell r="Y152">
            <v>-171.24281249999996</v>
          </cell>
          <cell r="Z152">
            <v>-198.94687500000001</v>
          </cell>
          <cell r="AA152">
            <v>-214.98750000000001</v>
          </cell>
          <cell r="AB152">
            <v>-215.35</v>
          </cell>
          <cell r="AC152">
            <v>-800.52718749999985</v>
          </cell>
          <cell r="AD152">
            <v>-180</v>
          </cell>
          <cell r="AE152">
            <v>-242</v>
          </cell>
          <cell r="AF152">
            <v>-73.972562500000038</v>
          </cell>
          <cell r="AG152">
            <v>-157.31006250000002</v>
          </cell>
          <cell r="AH152">
            <v>-653.28262500000005</v>
          </cell>
          <cell r="AI152">
            <v>-179</v>
          </cell>
          <cell r="AJ152">
            <v>-241</v>
          </cell>
          <cell r="AK152">
            <v>-114</v>
          </cell>
          <cell r="AL152">
            <v>-21</v>
          </cell>
          <cell r="AM152">
            <v>-555</v>
          </cell>
          <cell r="AN152">
            <v>-1021.8499999999999</v>
          </cell>
          <cell r="AO152">
            <v>-1021.8499999999999</v>
          </cell>
          <cell r="AP152">
            <v>-1071.9055119851116</v>
          </cell>
          <cell r="AQ152">
            <v>-1235.82262509</v>
          </cell>
          <cell r="AR152">
            <v>-1563.8761587917998</v>
          </cell>
          <cell r="AS152">
            <v>-1734.9507631676358</v>
          </cell>
          <cell r="AT152">
            <v>-1923.0668596309886</v>
          </cell>
        </row>
        <row r="154">
          <cell r="B154">
            <v>3</v>
          </cell>
          <cell r="C154">
            <v>68</v>
          </cell>
          <cell r="D154">
            <v>146</v>
          </cell>
          <cell r="E154">
            <v>802</v>
          </cell>
          <cell r="F154">
            <v>163</v>
          </cell>
          <cell r="G154">
            <v>186</v>
          </cell>
          <cell r="H154">
            <v>347</v>
          </cell>
          <cell r="I154">
            <v>286</v>
          </cell>
          <cell r="J154">
            <v>64</v>
          </cell>
          <cell r="K154">
            <v>30</v>
          </cell>
          <cell r="L154">
            <v>60</v>
          </cell>
          <cell r="M154">
            <v>109</v>
          </cell>
          <cell r="N154">
            <v>263</v>
          </cell>
          <cell r="O154">
            <v>27</v>
          </cell>
          <cell r="P154">
            <v>26</v>
          </cell>
          <cell r="Q154">
            <v>44</v>
          </cell>
          <cell r="R154">
            <v>54</v>
          </cell>
          <cell r="S154">
            <v>151</v>
          </cell>
          <cell r="T154">
            <v>16</v>
          </cell>
          <cell r="U154">
            <v>93</v>
          </cell>
          <cell r="V154">
            <v>112</v>
          </cell>
          <cell r="W154">
            <v>63</v>
          </cell>
          <cell r="X154">
            <v>284</v>
          </cell>
          <cell r="Y154">
            <v>16.795000000000002</v>
          </cell>
          <cell r="Z154">
            <v>16.795000000000002</v>
          </cell>
          <cell r="AA154">
            <v>16.795000000000002</v>
          </cell>
          <cell r="AB154">
            <v>16.795000000000002</v>
          </cell>
          <cell r="AC154">
            <v>67.180000000000007</v>
          </cell>
          <cell r="AD154">
            <v>22</v>
          </cell>
          <cell r="AE154">
            <v>138</v>
          </cell>
          <cell r="AF154">
            <v>144.85399999999998</v>
          </cell>
          <cell r="AG154">
            <v>61.853999999999999</v>
          </cell>
          <cell r="AH154">
            <v>366.70799999999997</v>
          </cell>
          <cell r="AI154">
            <v>23</v>
          </cell>
          <cell r="AJ154">
            <v>139</v>
          </cell>
          <cell r="AK154">
            <v>119</v>
          </cell>
          <cell r="AL154">
            <v>179</v>
          </cell>
          <cell r="AM154">
            <v>460</v>
          </cell>
          <cell r="AN154">
            <v>107.105</v>
          </cell>
          <cell r="AO154">
            <v>107.105</v>
          </cell>
          <cell r="AP154">
            <v>110.08648801488836</v>
          </cell>
          <cell r="AQ154">
            <v>116.37031491</v>
          </cell>
          <cell r="AR154">
            <v>117.5177212082</v>
          </cell>
          <cell r="AS154">
            <v>118.66807563236399</v>
          </cell>
          <cell r="AT154">
            <v>118.82143714501127</v>
          </cell>
        </row>
        <row r="156">
          <cell r="B156">
            <v>0</v>
          </cell>
          <cell r="C156">
            <v>68</v>
          </cell>
          <cell r="D156">
            <v>134</v>
          </cell>
          <cell r="E156">
            <v>793</v>
          </cell>
          <cell r="F156">
            <v>147</v>
          </cell>
          <cell r="G156">
            <v>84</v>
          </cell>
          <cell r="H156">
            <v>262</v>
          </cell>
          <cell r="I156">
            <v>252</v>
          </cell>
          <cell r="J156">
            <v>58</v>
          </cell>
          <cell r="K156">
            <v>21</v>
          </cell>
          <cell r="L156">
            <v>52</v>
          </cell>
          <cell r="M156">
            <v>47</v>
          </cell>
          <cell r="N156">
            <v>178</v>
          </cell>
          <cell r="O156">
            <v>13</v>
          </cell>
          <cell r="P156">
            <v>23</v>
          </cell>
          <cell r="Q156">
            <v>43</v>
          </cell>
          <cell r="R156">
            <v>52</v>
          </cell>
          <cell r="S156">
            <v>131</v>
          </cell>
          <cell r="T156">
            <v>10</v>
          </cell>
          <cell r="U156">
            <v>71</v>
          </cell>
          <cell r="V156">
            <v>104</v>
          </cell>
          <cell r="W156">
            <v>40</v>
          </cell>
          <cell r="X156">
            <v>225</v>
          </cell>
          <cell r="Y156">
            <v>14.5</v>
          </cell>
          <cell r="Z156">
            <v>14.5</v>
          </cell>
          <cell r="AA156">
            <v>14.5</v>
          </cell>
          <cell r="AB156">
            <v>14.5</v>
          </cell>
          <cell r="AC156">
            <v>58</v>
          </cell>
          <cell r="AD156">
            <v>22</v>
          </cell>
          <cell r="AE156">
            <v>138</v>
          </cell>
          <cell r="AF156">
            <v>115</v>
          </cell>
          <cell r="AG156">
            <v>32</v>
          </cell>
          <cell r="AH156">
            <v>307</v>
          </cell>
          <cell r="AI156">
            <v>22</v>
          </cell>
          <cell r="AJ156">
            <v>138</v>
          </cell>
          <cell r="AK156">
            <v>115</v>
          </cell>
          <cell r="AL156">
            <v>178</v>
          </cell>
          <cell r="AM156">
            <v>453</v>
          </cell>
          <cell r="AN156">
            <v>100</v>
          </cell>
          <cell r="AO156">
            <v>100</v>
          </cell>
          <cell r="AP156">
            <v>102.85359801488836</v>
          </cell>
          <cell r="AQ156">
            <v>109</v>
          </cell>
          <cell r="AR156">
            <v>110</v>
          </cell>
          <cell r="AS156">
            <v>111</v>
          </cell>
          <cell r="AT156">
            <v>111</v>
          </cell>
        </row>
        <row r="157">
          <cell r="B157">
            <v>3</v>
          </cell>
          <cell r="C157">
            <v>0</v>
          </cell>
          <cell r="D157">
            <v>12</v>
          </cell>
          <cell r="E157">
            <v>9</v>
          </cell>
          <cell r="F157">
            <v>16</v>
          </cell>
          <cell r="G157">
            <v>102</v>
          </cell>
          <cell r="H157">
            <v>85</v>
          </cell>
          <cell r="I157">
            <v>34</v>
          </cell>
          <cell r="J157">
            <v>6</v>
          </cell>
          <cell r="K157">
            <v>9</v>
          </cell>
          <cell r="L157">
            <v>8</v>
          </cell>
          <cell r="M157">
            <v>62</v>
          </cell>
          <cell r="N157">
            <v>85</v>
          </cell>
          <cell r="O157">
            <v>14</v>
          </cell>
          <cell r="P157">
            <v>3</v>
          </cell>
          <cell r="Q157">
            <v>1</v>
          </cell>
          <cell r="R157">
            <v>2</v>
          </cell>
          <cell r="S157">
            <v>20</v>
          </cell>
          <cell r="T157">
            <v>6</v>
          </cell>
          <cell r="U157">
            <v>22</v>
          </cell>
          <cell r="V157">
            <v>8</v>
          </cell>
          <cell r="W157">
            <v>23</v>
          </cell>
          <cell r="X157">
            <v>59</v>
          </cell>
          <cell r="Y157">
            <v>2.2949999999999999</v>
          </cell>
          <cell r="Z157">
            <v>2.2949999999999999</v>
          </cell>
          <cell r="AA157">
            <v>2.2949999999999999</v>
          </cell>
          <cell r="AB157">
            <v>2.2949999999999999</v>
          </cell>
          <cell r="AC157">
            <v>9.18</v>
          </cell>
          <cell r="AD157">
            <v>0</v>
          </cell>
          <cell r="AE157">
            <v>0</v>
          </cell>
          <cell r="AF157">
            <v>29.853999999999999</v>
          </cell>
          <cell r="AG157">
            <v>29.853999999999999</v>
          </cell>
          <cell r="AH157">
            <v>59.707999999999998</v>
          </cell>
          <cell r="AI157">
            <v>1</v>
          </cell>
          <cell r="AJ157">
            <v>1</v>
          </cell>
          <cell r="AK157">
            <v>4</v>
          </cell>
          <cell r="AL157">
            <v>1</v>
          </cell>
          <cell r="AM157">
            <v>7</v>
          </cell>
          <cell r="AN157">
            <v>7.1049999999999995</v>
          </cell>
          <cell r="AO157">
            <v>7.1049999999999995</v>
          </cell>
          <cell r="AP157">
            <v>7.2328899999999994</v>
          </cell>
          <cell r="AQ157">
            <v>7.3703149099999985</v>
          </cell>
          <cell r="AR157">
            <v>7.5177212081999985</v>
          </cell>
          <cell r="AS157">
            <v>7.6680756323639985</v>
          </cell>
          <cell r="AT157">
            <v>7.821437145011279</v>
          </cell>
        </row>
        <row r="159">
          <cell r="B159">
            <v>-111</v>
          </cell>
          <cell r="C159">
            <v>-210</v>
          </cell>
          <cell r="D159">
            <v>-225</v>
          </cell>
          <cell r="E159">
            <v>-224</v>
          </cell>
          <cell r="F159">
            <v>-228</v>
          </cell>
          <cell r="G159">
            <v>-507</v>
          </cell>
          <cell r="H159">
            <v>-574</v>
          </cell>
          <cell r="I159">
            <v>-689</v>
          </cell>
          <cell r="J159">
            <v>-163</v>
          </cell>
          <cell r="K159">
            <v>-125</v>
          </cell>
          <cell r="L159">
            <v>-216</v>
          </cell>
          <cell r="M159">
            <v>-114</v>
          </cell>
          <cell r="N159">
            <v>-618</v>
          </cell>
          <cell r="O159">
            <v>-151</v>
          </cell>
          <cell r="P159">
            <v>-171</v>
          </cell>
          <cell r="Q159">
            <v>-128</v>
          </cell>
          <cell r="R159">
            <v>-126</v>
          </cell>
          <cell r="S159">
            <v>-576</v>
          </cell>
          <cell r="T159">
            <v>-434</v>
          </cell>
          <cell r="U159">
            <v>-356</v>
          </cell>
          <cell r="V159">
            <v>-429</v>
          </cell>
          <cell r="W159">
            <v>-251</v>
          </cell>
          <cell r="X159">
            <v>-1470</v>
          </cell>
          <cell r="Y159">
            <v>-188.03781249999997</v>
          </cell>
          <cell r="Z159">
            <v>-215.74187499999999</v>
          </cell>
          <cell r="AA159">
            <v>-231.7825</v>
          </cell>
          <cell r="AB159">
            <v>-232.14500000000001</v>
          </cell>
          <cell r="AC159">
            <v>-867.70718749999992</v>
          </cell>
          <cell r="AD159">
            <v>-202</v>
          </cell>
          <cell r="AE159">
            <v>-380</v>
          </cell>
          <cell r="AF159">
            <v>-218.82656250000002</v>
          </cell>
          <cell r="AG159">
            <v>-219.16406250000003</v>
          </cell>
          <cell r="AH159">
            <v>-1019.990625</v>
          </cell>
          <cell r="AI159">
            <v>-202</v>
          </cell>
          <cell r="AJ159">
            <v>-380</v>
          </cell>
          <cell r="AK159">
            <v>-233</v>
          </cell>
          <cell r="AL159">
            <v>-200</v>
          </cell>
          <cell r="AM159">
            <v>-1015</v>
          </cell>
          <cell r="AN159">
            <v>-1128.9549999999999</v>
          </cell>
          <cell r="AO159">
            <v>-1128.9549999999999</v>
          </cell>
          <cell r="AP159">
            <v>-1181.992</v>
          </cell>
          <cell r="AQ159">
            <v>-1352.1929399999999</v>
          </cell>
          <cell r="AR159">
            <v>-1681.3938799999999</v>
          </cell>
          <cell r="AS159">
            <v>-1853.6188387999998</v>
          </cell>
          <cell r="AT159">
            <v>-2041.8882967759998</v>
          </cell>
        </row>
        <row r="161">
          <cell r="B161">
            <v>0</v>
          </cell>
          <cell r="C161">
            <v>0</v>
          </cell>
          <cell r="D161">
            <v>0</v>
          </cell>
          <cell r="E161">
            <v>0</v>
          </cell>
          <cell r="F161">
            <v>0</v>
          </cell>
          <cell r="G161">
            <v>0</v>
          </cell>
          <cell r="Y161">
            <v>0</v>
          </cell>
          <cell r="Z161">
            <v>0</v>
          </cell>
          <cell r="AA161">
            <v>0</v>
          </cell>
          <cell r="AB161">
            <v>0</v>
          </cell>
          <cell r="AC161">
            <v>0</v>
          </cell>
          <cell r="AD161">
            <v>0</v>
          </cell>
          <cell r="AE161">
            <v>0</v>
          </cell>
          <cell r="AF161">
            <v>0</v>
          </cell>
          <cell r="AG161">
            <v>0</v>
          </cell>
          <cell r="AH161">
            <v>0</v>
          </cell>
          <cell r="AN161">
            <v>0</v>
          </cell>
          <cell r="AO161">
            <v>0</v>
          </cell>
          <cell r="AP161">
            <v>0</v>
          </cell>
          <cell r="AQ161">
            <v>-119</v>
          </cell>
          <cell r="AR161">
            <v>-397</v>
          </cell>
          <cell r="AS161">
            <v>-517</v>
          </cell>
          <cell r="AT161">
            <v>-652</v>
          </cell>
        </row>
        <row r="163">
          <cell r="B163">
            <v>-111</v>
          </cell>
          <cell r="C163">
            <v>-210</v>
          </cell>
          <cell r="D163">
            <v>-225</v>
          </cell>
          <cell r="E163">
            <v>-224</v>
          </cell>
          <cell r="F163">
            <v>-228</v>
          </cell>
          <cell r="G163">
            <v>-507</v>
          </cell>
          <cell r="H163">
            <v>-574</v>
          </cell>
          <cell r="I163">
            <v>-689</v>
          </cell>
          <cell r="J163">
            <v>-163</v>
          </cell>
          <cell r="K163">
            <v>-125</v>
          </cell>
          <cell r="L163">
            <v>-216</v>
          </cell>
          <cell r="M163">
            <v>-114</v>
          </cell>
          <cell r="N163">
            <v>-618</v>
          </cell>
          <cell r="O163">
            <v>-151</v>
          </cell>
          <cell r="P163">
            <v>-171</v>
          </cell>
          <cell r="Q163">
            <v>-128</v>
          </cell>
          <cell r="R163">
            <v>-126</v>
          </cell>
          <cell r="S163">
            <v>-576</v>
          </cell>
          <cell r="T163">
            <v>-434</v>
          </cell>
          <cell r="U163">
            <v>-356</v>
          </cell>
          <cell r="V163">
            <v>-429</v>
          </cell>
          <cell r="W163">
            <v>-251</v>
          </cell>
          <cell r="X163">
            <v>-1470</v>
          </cell>
          <cell r="Y163">
            <v>-188.03781249999997</v>
          </cell>
          <cell r="Z163">
            <v>-215.74187499999999</v>
          </cell>
          <cell r="AA163">
            <v>-231.7825</v>
          </cell>
          <cell r="AB163">
            <v>-232.14500000000001</v>
          </cell>
          <cell r="AC163">
            <v>-867.70718749999992</v>
          </cell>
          <cell r="AD163">
            <v>-202</v>
          </cell>
          <cell r="AE163">
            <v>-380</v>
          </cell>
          <cell r="AF163">
            <v>-218.82656250000002</v>
          </cell>
          <cell r="AG163">
            <v>-219.16406250000003</v>
          </cell>
          <cell r="AH163">
            <v>-1019.990625</v>
          </cell>
          <cell r="AI163">
            <v>-202</v>
          </cell>
          <cell r="AJ163">
            <v>-380</v>
          </cell>
          <cell r="AK163">
            <v>-233</v>
          </cell>
          <cell r="AL163">
            <v>-200</v>
          </cell>
          <cell r="AM163">
            <v>-1015</v>
          </cell>
          <cell r="AN163">
            <v>-1128.9549999999999</v>
          </cell>
          <cell r="AO163">
            <v>-1128.9549999999999</v>
          </cell>
          <cell r="AP163">
            <v>-1181.992</v>
          </cell>
          <cell r="AQ163">
            <v>-1233.1929399999999</v>
          </cell>
          <cell r="AR163">
            <v>-1284.3938799999999</v>
          </cell>
          <cell r="AS163">
            <v>-1336.6188387999998</v>
          </cell>
          <cell r="AT163">
            <v>-1389.8882967759998</v>
          </cell>
        </row>
        <row r="164">
          <cell r="I164">
            <v>-175</v>
          </cell>
          <cell r="J164">
            <v>-73</v>
          </cell>
          <cell r="K164">
            <v>-25</v>
          </cell>
          <cell r="L164">
            <v>-67</v>
          </cell>
          <cell r="M164">
            <v>-24</v>
          </cell>
          <cell r="N164">
            <v>-189</v>
          </cell>
          <cell r="O164">
            <v>-40</v>
          </cell>
          <cell r="P164">
            <v>-66</v>
          </cell>
          <cell r="Q164">
            <v>-18</v>
          </cell>
          <cell r="R164">
            <v>-11</v>
          </cell>
          <cell r="S164">
            <v>-135</v>
          </cell>
          <cell r="T164">
            <v>-299</v>
          </cell>
          <cell r="U164">
            <v>-209</v>
          </cell>
          <cell r="V164">
            <v>-268</v>
          </cell>
          <cell r="W164">
            <v>-91</v>
          </cell>
          <cell r="X164">
            <v>-867</v>
          </cell>
          <cell r="Y164">
            <v>-38.037812500000001</v>
          </cell>
          <cell r="Z164">
            <v>-65.741874999999993</v>
          </cell>
          <cell r="AA164">
            <v>-81.782499999999999</v>
          </cell>
          <cell r="AB164">
            <v>-82.144999999999996</v>
          </cell>
          <cell r="AC164">
            <v>-267.70718749999992</v>
          </cell>
          <cell r="AD164">
            <v>-24</v>
          </cell>
          <cell r="AE164">
            <v>-212</v>
          </cell>
          <cell r="AF164">
            <v>-48.826562500000023</v>
          </cell>
          <cell r="AG164">
            <v>-49.164062500000028</v>
          </cell>
          <cell r="AH164">
            <v>-333.99062500000002</v>
          </cell>
          <cell r="AI164">
            <v>-24</v>
          </cell>
          <cell r="AJ164">
            <v>-212</v>
          </cell>
          <cell r="AK164">
            <v>-73</v>
          </cell>
          <cell r="AL164">
            <v>-50</v>
          </cell>
          <cell r="AM164">
            <v>-359</v>
          </cell>
        </row>
        <row r="165">
          <cell r="I165">
            <v>-514</v>
          </cell>
          <cell r="J165">
            <v>-90</v>
          </cell>
          <cell r="K165">
            <v>-100</v>
          </cell>
          <cell r="L165">
            <v>-149</v>
          </cell>
          <cell r="M165">
            <v>-90</v>
          </cell>
          <cell r="N165">
            <v>-429</v>
          </cell>
          <cell r="O165">
            <v>-111</v>
          </cell>
          <cell r="P165">
            <v>-105</v>
          </cell>
          <cell r="Q165">
            <v>-110</v>
          </cell>
          <cell r="R165">
            <v>-115</v>
          </cell>
          <cell r="S165">
            <v>-441</v>
          </cell>
          <cell r="T165">
            <v>-135</v>
          </cell>
          <cell r="U165">
            <v>-147</v>
          </cell>
          <cell r="V165">
            <v>-161</v>
          </cell>
          <cell r="W165">
            <v>-160</v>
          </cell>
          <cell r="X165">
            <v>-603</v>
          </cell>
          <cell r="Y165">
            <v>-150</v>
          </cell>
          <cell r="Z165">
            <v>-150</v>
          </cell>
          <cell r="AA165">
            <v>-150</v>
          </cell>
          <cell r="AB165">
            <v>-150</v>
          </cell>
          <cell r="AC165">
            <v>-600</v>
          </cell>
          <cell r="AD165">
            <v>-178</v>
          </cell>
          <cell r="AE165">
            <v>-168</v>
          </cell>
          <cell r="AF165">
            <v>-170</v>
          </cell>
          <cell r="AG165">
            <v>-170</v>
          </cell>
          <cell r="AH165">
            <v>-686</v>
          </cell>
          <cell r="AI165">
            <v>-178</v>
          </cell>
          <cell r="AJ165">
            <v>-168</v>
          </cell>
          <cell r="AK165">
            <v>-160</v>
          </cell>
          <cell r="AL165">
            <v>-150</v>
          </cell>
          <cell r="AM165">
            <v>-656</v>
          </cell>
        </row>
        <row r="167">
          <cell r="B167">
            <v>-2966</v>
          </cell>
          <cell r="C167">
            <v>-1621</v>
          </cell>
          <cell r="D167">
            <v>-2289</v>
          </cell>
          <cell r="E167">
            <v>-1343</v>
          </cell>
          <cell r="F167">
            <v>-527</v>
          </cell>
          <cell r="G167">
            <v>-1424</v>
          </cell>
          <cell r="H167">
            <v>-1486.7672000000002</v>
          </cell>
          <cell r="I167">
            <v>-1492</v>
          </cell>
          <cell r="J167">
            <v>-204.41399999999999</v>
          </cell>
          <cell r="K167">
            <v>-561.31200000000001</v>
          </cell>
          <cell r="L167">
            <v>-149.79999999999995</v>
          </cell>
          <cell r="M167">
            <v>-640.26700000000005</v>
          </cell>
          <cell r="N167">
            <v>-1555.7930000000001</v>
          </cell>
          <cell r="O167">
            <v>-102.83999999999997</v>
          </cell>
          <cell r="P167">
            <v>-574.95000000000005</v>
          </cell>
          <cell r="Q167">
            <v>-105</v>
          </cell>
          <cell r="R167">
            <v>-517</v>
          </cell>
          <cell r="S167">
            <v>-1299.73</v>
          </cell>
          <cell r="T167">
            <v>-63.629999999999995</v>
          </cell>
          <cell r="U167">
            <v>-356.46000000000004</v>
          </cell>
          <cell r="V167">
            <v>-118.37</v>
          </cell>
          <cell r="W167">
            <v>-281.84000000000003</v>
          </cell>
          <cell r="X167">
            <v>-820.30000000000018</v>
          </cell>
          <cell r="Y167">
            <v>9.2245837923267118</v>
          </cell>
          <cell r="Z167">
            <v>-89.204489913923339</v>
          </cell>
          <cell r="AA167">
            <v>19.840481918941236</v>
          </cell>
          <cell r="AB167">
            <v>-161.88345189118741</v>
          </cell>
          <cell r="AC167">
            <v>-222.02287609384257</v>
          </cell>
          <cell r="AD167">
            <v>-100</v>
          </cell>
          <cell r="AE167">
            <v>-233</v>
          </cell>
          <cell r="AF167">
            <v>-74.074134709031455</v>
          </cell>
          <cell r="AG167">
            <v>-110.84062176827831</v>
          </cell>
          <cell r="AH167">
            <v>-517.91475647730977</v>
          </cell>
          <cell r="AI167">
            <v>-158.08999999999992</v>
          </cell>
          <cell r="AJ167">
            <v>-266.26</v>
          </cell>
          <cell r="AK167">
            <v>-210.31999999999994</v>
          </cell>
          <cell r="AL167">
            <v>-279</v>
          </cell>
          <cell r="AM167">
            <v>-913.67000000000007</v>
          </cell>
          <cell r="AN167">
            <v>-523.65970566587498</v>
          </cell>
          <cell r="AO167">
            <v>-523.61970566587502</v>
          </cell>
          <cell r="AP167">
            <v>-1117.6523186969698</v>
          </cell>
          <cell r="AQ167">
            <v>-1009.3430241686738</v>
          </cell>
          <cell r="AR167">
            <v>-1908.3308392200061</v>
          </cell>
          <cell r="AS167">
            <v>-2469.2741479991464</v>
          </cell>
          <cell r="AT167">
            <v>-2962.3271093299313</v>
          </cell>
        </row>
        <row r="169">
          <cell r="B169">
            <v>1452</v>
          </cell>
          <cell r="C169">
            <v>1585</v>
          </cell>
          <cell r="D169">
            <v>1436</v>
          </cell>
          <cell r="E169">
            <v>1855</v>
          </cell>
          <cell r="F169">
            <v>2003</v>
          </cell>
          <cell r="G169">
            <v>1419</v>
          </cell>
          <cell r="H169">
            <v>1250</v>
          </cell>
          <cell r="I169">
            <v>1338</v>
          </cell>
          <cell r="J169">
            <v>418</v>
          </cell>
          <cell r="K169">
            <v>410</v>
          </cell>
          <cell r="L169">
            <v>414</v>
          </cell>
          <cell r="M169">
            <v>358</v>
          </cell>
          <cell r="N169">
            <v>1600</v>
          </cell>
          <cell r="O169">
            <v>336</v>
          </cell>
          <cell r="P169">
            <v>331</v>
          </cell>
          <cell r="Q169">
            <v>358</v>
          </cell>
          <cell r="R169">
            <v>378</v>
          </cell>
          <cell r="S169">
            <v>1403.06</v>
          </cell>
          <cell r="T169">
            <v>380</v>
          </cell>
          <cell r="U169">
            <v>414</v>
          </cell>
          <cell r="V169">
            <v>448</v>
          </cell>
          <cell r="W169">
            <v>493</v>
          </cell>
          <cell r="X169">
            <v>1735</v>
          </cell>
          <cell r="Y169">
            <v>549.56187499999999</v>
          </cell>
          <cell r="Z169">
            <v>554.61628984375</v>
          </cell>
          <cell r="AA169">
            <v>572.27950188661453</v>
          </cell>
          <cell r="AB169">
            <v>577.66729932648582</v>
          </cell>
          <cell r="AC169">
            <v>2254.1249660568506</v>
          </cell>
          <cell r="AD169">
            <v>448</v>
          </cell>
          <cell r="AE169">
            <v>389</v>
          </cell>
          <cell r="AF169">
            <v>525.45500000000004</v>
          </cell>
          <cell r="AG169">
            <v>653.76148169075316</v>
          </cell>
          <cell r="AH169">
            <v>2016.216481690753</v>
          </cell>
          <cell r="AI169">
            <v>413</v>
          </cell>
          <cell r="AJ169">
            <v>382</v>
          </cell>
          <cell r="AK169">
            <v>368</v>
          </cell>
          <cell r="AL169">
            <v>402</v>
          </cell>
          <cell r="AM169">
            <v>1565</v>
          </cell>
          <cell r="AN169">
            <v>1949.5049999999999</v>
          </cell>
          <cell r="AO169">
            <v>1949.5049999999999</v>
          </cell>
          <cell r="AP169">
            <v>2113.0017709451304</v>
          </cell>
          <cell r="AQ169">
            <v>2212.9950515013488</v>
          </cell>
          <cell r="AR169">
            <v>1580.5378367957464</v>
          </cell>
          <cell r="AS169">
            <v>1431.0051695179225</v>
          </cell>
          <cell r="AT169">
            <v>1225.0150865275559</v>
          </cell>
        </row>
        <row r="171">
          <cell r="B171">
            <v>526</v>
          </cell>
          <cell r="C171">
            <v>473</v>
          </cell>
          <cell r="D171">
            <v>294</v>
          </cell>
          <cell r="E171">
            <v>499</v>
          </cell>
          <cell r="F171">
            <v>970</v>
          </cell>
          <cell r="G171">
            <v>718</v>
          </cell>
          <cell r="H171">
            <v>590</v>
          </cell>
          <cell r="I171">
            <v>530</v>
          </cell>
          <cell r="J171">
            <v>194</v>
          </cell>
          <cell r="K171">
            <v>194</v>
          </cell>
          <cell r="L171">
            <v>196</v>
          </cell>
          <cell r="M171">
            <v>146</v>
          </cell>
          <cell r="N171">
            <v>730</v>
          </cell>
          <cell r="O171">
            <v>140</v>
          </cell>
          <cell r="P171">
            <v>127</v>
          </cell>
          <cell r="Q171">
            <v>152</v>
          </cell>
          <cell r="R171">
            <v>177</v>
          </cell>
          <cell r="S171">
            <v>596</v>
          </cell>
          <cell r="T171">
            <v>178</v>
          </cell>
          <cell r="U171">
            <v>199</v>
          </cell>
          <cell r="V171">
            <v>221</v>
          </cell>
          <cell r="W171">
            <v>260</v>
          </cell>
          <cell r="X171">
            <v>858</v>
          </cell>
          <cell r="Y171">
            <v>241.015625</v>
          </cell>
          <cell r="Z171">
            <v>213.43453124999999</v>
          </cell>
          <cell r="AA171">
            <v>223.60725490487499</v>
          </cell>
          <cell r="AB171">
            <v>230.64942908374999</v>
          </cell>
          <cell r="AC171">
            <v>908.70684023862498</v>
          </cell>
          <cell r="AD171">
            <v>201</v>
          </cell>
          <cell r="AE171">
            <v>135</v>
          </cell>
          <cell r="AF171">
            <v>208.135625</v>
          </cell>
          <cell r="AG171">
            <v>168.37666489387811</v>
          </cell>
          <cell r="AH171">
            <v>712.51228989387801</v>
          </cell>
          <cell r="AI171">
            <v>202</v>
          </cell>
          <cell r="AJ171">
            <v>163</v>
          </cell>
          <cell r="AK171">
            <v>148</v>
          </cell>
          <cell r="AL171">
            <v>177</v>
          </cell>
          <cell r="AM171">
            <v>690</v>
          </cell>
          <cell r="AN171">
            <v>599.09699999999998</v>
          </cell>
          <cell r="AO171">
            <v>599.09699999999998</v>
          </cell>
          <cell r="AP171">
            <v>557.88900000000001</v>
          </cell>
          <cell r="AQ171">
            <v>454.71599999999995</v>
          </cell>
          <cell r="AR171">
            <v>338.55860516917767</v>
          </cell>
          <cell r="AS171">
            <v>214.40822870496754</v>
          </cell>
          <cell r="AT171">
            <v>-53.323357453904791</v>
          </cell>
        </row>
        <row r="172">
          <cell r="B172">
            <v>321</v>
          </cell>
          <cell r="C172">
            <v>285</v>
          </cell>
          <cell r="D172">
            <v>215</v>
          </cell>
          <cell r="E172">
            <v>372</v>
          </cell>
          <cell r="F172">
            <v>579</v>
          </cell>
          <cell r="G172">
            <v>506</v>
          </cell>
          <cell r="H172">
            <v>388</v>
          </cell>
          <cell r="I172">
            <v>350</v>
          </cell>
          <cell r="J172">
            <v>122</v>
          </cell>
          <cell r="K172">
            <v>144</v>
          </cell>
          <cell r="L172">
            <v>139</v>
          </cell>
          <cell r="M172">
            <v>108</v>
          </cell>
          <cell r="N172">
            <v>513</v>
          </cell>
          <cell r="O172">
            <v>95</v>
          </cell>
          <cell r="P172">
            <v>94</v>
          </cell>
          <cell r="Q172">
            <v>103</v>
          </cell>
          <cell r="R172">
            <v>144</v>
          </cell>
          <cell r="S172">
            <v>436</v>
          </cell>
          <cell r="T172">
            <v>147</v>
          </cell>
          <cell r="U172">
            <v>168</v>
          </cell>
          <cell r="V172">
            <v>159</v>
          </cell>
          <cell r="W172">
            <v>229</v>
          </cell>
          <cell r="X172">
            <v>703</v>
          </cell>
          <cell r="Y172">
            <v>216.109375</v>
          </cell>
          <cell r="Z172">
            <v>184.015625</v>
          </cell>
          <cell r="AA172">
            <v>183.407098654875</v>
          </cell>
          <cell r="AB172">
            <v>191.33989783375</v>
          </cell>
          <cell r="AC172">
            <v>774.87199648862497</v>
          </cell>
          <cell r="AD172">
            <v>163</v>
          </cell>
          <cell r="AE172">
            <v>110</v>
          </cell>
          <cell r="AF172">
            <v>171.17750000000001</v>
          </cell>
          <cell r="AG172">
            <v>136.17666489387813</v>
          </cell>
          <cell r="AH172">
            <v>580.35416489387808</v>
          </cell>
          <cell r="AI172">
            <v>163</v>
          </cell>
          <cell r="AJ172">
            <v>110</v>
          </cell>
          <cell r="AK172">
            <v>105</v>
          </cell>
          <cell r="AL172">
            <v>114</v>
          </cell>
          <cell r="AM172">
            <v>492</v>
          </cell>
          <cell r="AN172">
            <v>586.70399999999995</v>
          </cell>
          <cell r="AO172">
            <v>586.70399999999995</v>
          </cell>
          <cell r="AP172">
            <v>545.49599999999998</v>
          </cell>
          <cell r="AQ172">
            <v>442.32299999999998</v>
          </cell>
          <cell r="AR172">
            <v>309.69260516917768</v>
          </cell>
          <cell r="AS172">
            <v>168.04922870496756</v>
          </cell>
          <cell r="AT172">
            <v>-118.24635745390479</v>
          </cell>
        </row>
        <row r="173">
          <cell r="B173">
            <v>205</v>
          </cell>
          <cell r="C173">
            <v>188</v>
          </cell>
          <cell r="D173">
            <v>79</v>
          </cell>
          <cell r="E173">
            <v>127</v>
          </cell>
          <cell r="F173">
            <v>391</v>
          </cell>
          <cell r="G173">
            <v>212</v>
          </cell>
          <cell r="H173">
            <v>202</v>
          </cell>
          <cell r="I173">
            <v>180</v>
          </cell>
          <cell r="J173">
            <v>72</v>
          </cell>
          <cell r="K173">
            <v>50</v>
          </cell>
          <cell r="L173">
            <v>57</v>
          </cell>
          <cell r="M173">
            <v>38</v>
          </cell>
          <cell r="N173">
            <v>217</v>
          </cell>
          <cell r="O173">
            <v>45</v>
          </cell>
          <cell r="P173">
            <v>33</v>
          </cell>
          <cell r="Q173">
            <v>49</v>
          </cell>
          <cell r="R173">
            <v>33</v>
          </cell>
          <cell r="S173">
            <v>160</v>
          </cell>
          <cell r="T173">
            <v>31</v>
          </cell>
          <cell r="U173">
            <v>31</v>
          </cell>
          <cell r="V173">
            <v>62</v>
          </cell>
          <cell r="W173">
            <v>31</v>
          </cell>
          <cell r="X173">
            <v>155</v>
          </cell>
          <cell r="Y173">
            <v>24.90625</v>
          </cell>
          <cell r="Z173">
            <v>29.418906249999999</v>
          </cell>
          <cell r="AA173">
            <v>40.200156249999999</v>
          </cell>
          <cell r="AB173">
            <v>39.309531249999999</v>
          </cell>
          <cell r="AC173">
            <v>133.83484375</v>
          </cell>
          <cell r="AD173">
            <v>38</v>
          </cell>
          <cell r="AE173">
            <v>25</v>
          </cell>
          <cell r="AF173">
            <v>36.958125000000003</v>
          </cell>
          <cell r="AG173">
            <v>32.200000000000003</v>
          </cell>
          <cell r="AH173">
            <v>132.15812499999998</v>
          </cell>
          <cell r="AI173">
            <v>39</v>
          </cell>
          <cell r="AJ173">
            <v>53</v>
          </cell>
          <cell r="AK173">
            <v>43</v>
          </cell>
          <cell r="AL173">
            <v>63</v>
          </cell>
          <cell r="AM173">
            <v>198</v>
          </cell>
          <cell r="AN173">
            <v>12.392999999999999</v>
          </cell>
          <cell r="AO173">
            <v>12.392999999999999</v>
          </cell>
          <cell r="AP173">
            <v>12.392999999999999</v>
          </cell>
          <cell r="AQ173">
            <v>12.392999999999999</v>
          </cell>
          <cell r="AR173">
            <v>28.866</v>
          </cell>
          <cell r="AS173">
            <v>46.358999999999995</v>
          </cell>
          <cell r="AT173">
            <v>64.923000000000002</v>
          </cell>
        </row>
        <row r="175">
          <cell r="B175">
            <v>23</v>
          </cell>
          <cell r="C175">
            <v>18</v>
          </cell>
          <cell r="D175">
            <v>36</v>
          </cell>
          <cell r="E175">
            <v>22</v>
          </cell>
          <cell r="F175">
            <v>42</v>
          </cell>
          <cell r="G175">
            <v>20</v>
          </cell>
          <cell r="H175">
            <v>8</v>
          </cell>
          <cell r="I175">
            <v>15</v>
          </cell>
          <cell r="J175">
            <v>7</v>
          </cell>
          <cell r="K175">
            <v>7</v>
          </cell>
          <cell r="L175">
            <v>11</v>
          </cell>
          <cell r="M175">
            <v>6</v>
          </cell>
          <cell r="N175">
            <v>31</v>
          </cell>
          <cell r="O175">
            <v>5</v>
          </cell>
          <cell r="P175">
            <v>7</v>
          </cell>
          <cell r="Q175">
            <v>5</v>
          </cell>
          <cell r="R175">
            <v>6</v>
          </cell>
          <cell r="S175">
            <v>23.06</v>
          </cell>
          <cell r="T175">
            <v>15</v>
          </cell>
          <cell r="U175">
            <v>10</v>
          </cell>
          <cell r="V175">
            <v>10</v>
          </cell>
          <cell r="W175">
            <v>11</v>
          </cell>
          <cell r="X175">
            <v>46</v>
          </cell>
          <cell r="Y175">
            <v>13.25</v>
          </cell>
          <cell r="Z175">
            <v>13.25</v>
          </cell>
          <cell r="AA175">
            <v>13.25</v>
          </cell>
          <cell r="AB175">
            <v>13.25</v>
          </cell>
          <cell r="AC175">
            <v>53</v>
          </cell>
          <cell r="AD175">
            <v>4</v>
          </cell>
          <cell r="AE175">
            <v>7</v>
          </cell>
          <cell r="AF175">
            <v>9</v>
          </cell>
          <cell r="AG175">
            <v>149</v>
          </cell>
          <cell r="AH175">
            <v>169</v>
          </cell>
          <cell r="AI175">
            <v>4</v>
          </cell>
          <cell r="AJ175">
            <v>7</v>
          </cell>
          <cell r="AK175">
            <v>9</v>
          </cell>
          <cell r="AL175">
            <v>3</v>
          </cell>
          <cell r="AM175">
            <v>23</v>
          </cell>
          <cell r="AN175">
            <v>24</v>
          </cell>
          <cell r="AO175">
            <v>24</v>
          </cell>
          <cell r="AP175">
            <v>24.684863523573206</v>
          </cell>
          <cell r="AQ175">
            <v>57</v>
          </cell>
          <cell r="AR175">
            <v>58</v>
          </cell>
          <cell r="AS175">
            <v>59</v>
          </cell>
          <cell r="AT175">
            <v>59</v>
          </cell>
        </row>
        <row r="177">
          <cell r="B177">
            <v>903</v>
          </cell>
          <cell r="C177">
            <v>1094</v>
          </cell>
          <cell r="D177">
            <v>1106</v>
          </cell>
          <cell r="E177">
            <v>1334</v>
          </cell>
          <cell r="F177">
            <v>991</v>
          </cell>
          <cell r="G177">
            <v>681</v>
          </cell>
          <cell r="H177">
            <v>652</v>
          </cell>
          <cell r="I177">
            <v>793</v>
          </cell>
          <cell r="J177">
            <v>217</v>
          </cell>
          <cell r="K177">
            <v>209</v>
          </cell>
          <cell r="L177">
            <v>207</v>
          </cell>
          <cell r="M177">
            <v>206</v>
          </cell>
          <cell r="N177">
            <v>839</v>
          </cell>
          <cell r="O177">
            <v>191</v>
          </cell>
          <cell r="P177">
            <v>197</v>
          </cell>
          <cell r="Q177">
            <v>201</v>
          </cell>
          <cell r="R177">
            <v>195</v>
          </cell>
          <cell r="S177">
            <v>784</v>
          </cell>
          <cell r="T177">
            <v>187</v>
          </cell>
          <cell r="U177">
            <v>205</v>
          </cell>
          <cell r="V177">
            <v>217</v>
          </cell>
          <cell r="W177">
            <v>222</v>
          </cell>
          <cell r="X177">
            <v>831</v>
          </cell>
          <cell r="Y177">
            <v>295.29624999999999</v>
          </cell>
          <cell r="Z177">
            <v>327.93175859375003</v>
          </cell>
          <cell r="AA177">
            <v>335.42224698173959</v>
          </cell>
          <cell r="AB177">
            <v>333.76787024273585</v>
          </cell>
          <cell r="AC177">
            <v>1292.4181258182255</v>
          </cell>
          <cell r="AD177">
            <v>243</v>
          </cell>
          <cell r="AE177">
            <v>247</v>
          </cell>
          <cell r="AF177">
            <v>308.31937500000004</v>
          </cell>
          <cell r="AG177">
            <v>336.38481679687504</v>
          </cell>
          <cell r="AH177">
            <v>1134.704191796875</v>
          </cell>
          <cell r="AI177">
            <v>207</v>
          </cell>
          <cell r="AJ177">
            <v>212</v>
          </cell>
          <cell r="AK177">
            <v>211</v>
          </cell>
          <cell r="AL177">
            <v>222</v>
          </cell>
          <cell r="AM177">
            <v>852</v>
          </cell>
          <cell r="AN177">
            <v>1326.4079999999999</v>
          </cell>
          <cell r="AO177">
            <v>1326.4079999999999</v>
          </cell>
          <cell r="AP177">
            <v>1530.4279074215574</v>
          </cell>
          <cell r="AQ177">
            <v>1701.2790515013487</v>
          </cell>
          <cell r="AR177">
            <v>1183.9792316265687</v>
          </cell>
          <cell r="AS177">
            <v>1157.5969408129549</v>
          </cell>
          <cell r="AT177">
            <v>1219.3384439814606</v>
          </cell>
        </row>
        <row r="178">
          <cell r="B178">
            <v>11</v>
          </cell>
          <cell r="C178">
            <v>11</v>
          </cell>
          <cell r="D178">
            <v>16</v>
          </cell>
          <cell r="E178">
            <v>43</v>
          </cell>
          <cell r="F178">
            <v>41</v>
          </cell>
          <cell r="G178">
            <v>26</v>
          </cell>
          <cell r="H178">
            <v>132</v>
          </cell>
          <cell r="I178">
            <v>39</v>
          </cell>
          <cell r="J178">
            <v>3</v>
          </cell>
          <cell r="K178">
            <v>3</v>
          </cell>
          <cell r="L178">
            <v>3</v>
          </cell>
          <cell r="M178">
            <v>1</v>
          </cell>
          <cell r="N178">
            <v>10</v>
          </cell>
          <cell r="O178">
            <v>1</v>
          </cell>
          <cell r="P178">
            <v>2</v>
          </cell>
          <cell r="Q178">
            <v>0</v>
          </cell>
          <cell r="R178">
            <v>0</v>
          </cell>
          <cell r="S178">
            <v>3</v>
          </cell>
          <cell r="T178">
            <v>3</v>
          </cell>
          <cell r="U178">
            <v>8</v>
          </cell>
          <cell r="V178">
            <v>16</v>
          </cell>
          <cell r="W178">
            <v>14</v>
          </cell>
          <cell r="X178">
            <v>41</v>
          </cell>
          <cell r="Y178">
            <v>2</v>
          </cell>
          <cell r="Z178">
            <v>2</v>
          </cell>
          <cell r="AA178">
            <v>3</v>
          </cell>
          <cell r="AB178">
            <v>3</v>
          </cell>
          <cell r="AC178">
            <v>10</v>
          </cell>
          <cell r="AD178">
            <v>2</v>
          </cell>
          <cell r="AE178">
            <v>0</v>
          </cell>
          <cell r="AF178">
            <v>3</v>
          </cell>
          <cell r="AG178">
            <v>3</v>
          </cell>
          <cell r="AH178">
            <v>8</v>
          </cell>
          <cell r="AI178">
            <v>3</v>
          </cell>
          <cell r="AJ178">
            <v>3</v>
          </cell>
          <cell r="AK178">
            <v>2</v>
          </cell>
          <cell r="AL178">
            <v>6</v>
          </cell>
          <cell r="AM178">
            <v>14</v>
          </cell>
          <cell r="AN178">
            <v>14</v>
          </cell>
          <cell r="AO178">
            <v>14</v>
          </cell>
          <cell r="AP178">
            <v>15</v>
          </cell>
          <cell r="AQ178">
            <v>17</v>
          </cell>
          <cell r="AR178">
            <v>20</v>
          </cell>
          <cell r="AS178">
            <v>20</v>
          </cell>
          <cell r="AT178">
            <v>20</v>
          </cell>
        </row>
        <row r="179">
          <cell r="B179">
            <v>892</v>
          </cell>
          <cell r="C179">
            <v>1083</v>
          </cell>
          <cell r="D179">
            <v>1090</v>
          </cell>
          <cell r="E179">
            <v>1291</v>
          </cell>
          <cell r="F179">
            <v>950</v>
          </cell>
          <cell r="G179">
            <v>655</v>
          </cell>
          <cell r="H179">
            <v>520</v>
          </cell>
          <cell r="I179">
            <v>754</v>
          </cell>
          <cell r="J179">
            <v>214</v>
          </cell>
          <cell r="K179">
            <v>206</v>
          </cell>
          <cell r="L179">
            <v>204</v>
          </cell>
          <cell r="M179">
            <v>205</v>
          </cell>
          <cell r="N179">
            <v>829</v>
          </cell>
          <cell r="O179">
            <v>190</v>
          </cell>
          <cell r="P179">
            <v>195</v>
          </cell>
          <cell r="Q179">
            <v>201</v>
          </cell>
          <cell r="R179">
            <v>195</v>
          </cell>
          <cell r="S179">
            <v>781</v>
          </cell>
          <cell r="T179">
            <v>184</v>
          </cell>
          <cell r="U179">
            <v>197</v>
          </cell>
          <cell r="V179">
            <v>201</v>
          </cell>
          <cell r="W179">
            <v>208</v>
          </cell>
          <cell r="X179">
            <v>790</v>
          </cell>
          <cell r="Y179">
            <v>293.29624999999999</v>
          </cell>
          <cell r="Z179">
            <v>325.93175859375003</v>
          </cell>
          <cell r="AA179">
            <v>332.42224698173959</v>
          </cell>
          <cell r="AB179">
            <v>330.76787024273585</v>
          </cell>
          <cell r="AC179">
            <v>1282.4181258182255</v>
          </cell>
          <cell r="AD179">
            <v>241</v>
          </cell>
          <cell r="AE179">
            <v>247</v>
          </cell>
          <cell r="AF179">
            <v>305.31937500000004</v>
          </cell>
          <cell r="AG179">
            <v>333.38481679687504</v>
          </cell>
          <cell r="AH179">
            <v>1126.704191796875</v>
          </cell>
          <cell r="AI179">
            <v>204</v>
          </cell>
          <cell r="AJ179">
            <v>209</v>
          </cell>
          <cell r="AK179">
            <v>209</v>
          </cell>
          <cell r="AL179">
            <v>216</v>
          </cell>
          <cell r="AM179">
            <v>838</v>
          </cell>
          <cell r="AN179">
            <v>1312.4079999999999</v>
          </cell>
          <cell r="AO179">
            <v>1312.4079999999999</v>
          </cell>
          <cell r="AP179">
            <v>1515.4279074215574</v>
          </cell>
          <cell r="AQ179">
            <v>1684.2790515013487</v>
          </cell>
          <cell r="AR179">
            <v>1163.9792316265687</v>
          </cell>
          <cell r="AS179">
            <v>1137.5969408129549</v>
          </cell>
          <cell r="AT179">
            <v>1199.3384439814606</v>
          </cell>
        </row>
        <row r="181">
          <cell r="B181">
            <v>4418</v>
          </cell>
          <cell r="C181">
            <v>3206</v>
          </cell>
          <cell r="D181">
            <v>3725</v>
          </cell>
          <cell r="E181">
            <v>3198</v>
          </cell>
          <cell r="F181">
            <v>2530</v>
          </cell>
          <cell r="G181">
            <v>2843</v>
          </cell>
          <cell r="H181">
            <v>2736.7672000000002</v>
          </cell>
          <cell r="I181">
            <v>2830</v>
          </cell>
          <cell r="J181">
            <v>622.41399999999999</v>
          </cell>
          <cell r="K181">
            <v>971.31200000000001</v>
          </cell>
          <cell r="L181">
            <v>563.79999999999995</v>
          </cell>
          <cell r="M181">
            <v>998.26700000000005</v>
          </cell>
          <cell r="N181">
            <v>3155.7930000000001</v>
          </cell>
          <cell r="O181">
            <v>438.84</v>
          </cell>
          <cell r="P181">
            <v>905.95</v>
          </cell>
          <cell r="Q181">
            <v>463</v>
          </cell>
          <cell r="R181">
            <v>895</v>
          </cell>
          <cell r="S181">
            <v>2702.79</v>
          </cell>
          <cell r="T181">
            <v>443.63</v>
          </cell>
          <cell r="U181">
            <v>770.46</v>
          </cell>
          <cell r="V181">
            <v>566.37</v>
          </cell>
          <cell r="W181">
            <v>774.84</v>
          </cell>
          <cell r="X181">
            <v>2555.3000000000002</v>
          </cell>
          <cell r="Y181">
            <v>540.33729120767327</v>
          </cell>
          <cell r="Z181">
            <v>643.82077975767334</v>
          </cell>
          <cell r="AA181">
            <v>552.43901996767329</v>
          </cell>
          <cell r="AB181">
            <v>739.55075121767322</v>
          </cell>
          <cell r="AC181">
            <v>2476.1478421506931</v>
          </cell>
          <cell r="AD181">
            <v>548</v>
          </cell>
          <cell r="AE181">
            <v>622</v>
          </cell>
          <cell r="AF181">
            <v>599.5291347090315</v>
          </cell>
          <cell r="AG181">
            <v>764.60210345903147</v>
          </cell>
          <cell r="AH181">
            <v>2534.1312381680627</v>
          </cell>
          <cell r="AI181">
            <v>571.08999999999992</v>
          </cell>
          <cell r="AJ181">
            <v>648.26</v>
          </cell>
          <cell r="AK181">
            <v>578.31999999999994</v>
          </cell>
          <cell r="AL181">
            <v>681</v>
          </cell>
          <cell r="AM181">
            <v>2478.67</v>
          </cell>
          <cell r="AN181">
            <v>2473.1647056658749</v>
          </cell>
          <cell r="AO181">
            <v>2473.1247056658749</v>
          </cell>
          <cell r="AP181">
            <v>3230.6540896421002</v>
          </cell>
          <cell r="AQ181">
            <v>3222.3380756700226</v>
          </cell>
          <cell r="AR181">
            <v>3488.8686760157525</v>
          </cell>
          <cell r="AS181">
            <v>3900.2793175170686</v>
          </cell>
          <cell r="AT181">
            <v>4187.3421958574872</v>
          </cell>
        </row>
        <row r="182">
          <cell r="C182">
            <v>0.29393917050806168</v>
          </cell>
          <cell r="D182">
            <v>0.26526075003548794</v>
          </cell>
          <cell r="E182">
            <v>0.1683866891322662</v>
          </cell>
          <cell r="F182">
            <v>0.15245555890328413</v>
          </cell>
          <cell r="G182">
            <v>0.18304146278650527</v>
          </cell>
          <cell r="H182">
            <v>0.16976410892624527</v>
          </cell>
          <cell r="I182">
            <v>0.16004071707289488</v>
          </cell>
          <cell r="N182">
            <v>0.15204977113948448</v>
          </cell>
          <cell r="S182">
            <v>0.10699881235154395</v>
          </cell>
          <cell r="X182">
            <v>0.101707530647986</v>
          </cell>
          <cell r="AC182">
            <v>0.11224755111639992</v>
          </cell>
          <cell r="AH182">
            <v>0.13248990264950244</v>
          </cell>
          <cell r="AN182">
            <v>0.1397965482308377</v>
          </cell>
          <cell r="AP182">
            <v>0.17046406607311895</v>
          </cell>
          <cell r="AQ182">
            <v>0.14635959482119501</v>
          </cell>
          <cell r="AR182">
            <v>0.14680175166568704</v>
          </cell>
          <cell r="AS182">
            <v>0.15326967049227022</v>
          </cell>
          <cell r="AT182">
            <v>0.1560783066122732</v>
          </cell>
        </row>
        <row r="184">
          <cell r="B184">
            <v>3579</v>
          </cell>
          <cell r="C184">
            <v>2204</v>
          </cell>
          <cell r="D184">
            <v>2589</v>
          </cell>
          <cell r="E184">
            <v>2488</v>
          </cell>
          <cell r="F184">
            <v>1851</v>
          </cell>
          <cell r="G184">
            <v>1879</v>
          </cell>
          <cell r="H184">
            <v>1699</v>
          </cell>
          <cell r="I184">
            <v>1732</v>
          </cell>
          <cell r="J184">
            <v>240.41399999999999</v>
          </cell>
          <cell r="K184">
            <v>697.31200000000001</v>
          </cell>
          <cell r="L184">
            <v>265.8</v>
          </cell>
          <cell r="M184">
            <v>708.26700000000005</v>
          </cell>
          <cell r="N184">
            <v>1911.7930000000001</v>
          </cell>
          <cell r="O184">
            <v>203.83999999999997</v>
          </cell>
          <cell r="P184">
            <v>636.95000000000005</v>
          </cell>
          <cell r="Q184">
            <v>214</v>
          </cell>
          <cell r="R184">
            <v>679</v>
          </cell>
          <cell r="S184">
            <v>1733.79</v>
          </cell>
          <cell r="T184">
            <v>187.63</v>
          </cell>
          <cell r="U184">
            <v>597.46</v>
          </cell>
          <cell r="V184">
            <v>367.37</v>
          </cell>
          <cell r="W184">
            <v>546.84</v>
          </cell>
          <cell r="X184">
            <v>1699.3000000000002</v>
          </cell>
          <cell r="Y184">
            <v>383.81110000000001</v>
          </cell>
          <cell r="Z184">
            <v>483.03400000000005</v>
          </cell>
          <cell r="AA184">
            <v>396.74099999999999</v>
          </cell>
          <cell r="AB184">
            <v>579.13</v>
          </cell>
          <cell r="AC184">
            <v>1842.7161000000001</v>
          </cell>
          <cell r="AD184">
            <v>371</v>
          </cell>
          <cell r="AE184">
            <v>452</v>
          </cell>
          <cell r="AF184">
            <v>397</v>
          </cell>
          <cell r="AG184">
            <v>578</v>
          </cell>
          <cell r="AH184">
            <v>1798</v>
          </cell>
          <cell r="AI184">
            <v>371.09</v>
          </cell>
          <cell r="AJ184">
            <v>452.26</v>
          </cell>
          <cell r="AK184">
            <v>372.32</v>
          </cell>
          <cell r="AL184">
            <v>490</v>
          </cell>
          <cell r="AM184">
            <v>1685.67</v>
          </cell>
          <cell r="AN184">
            <v>1682.9894349999997</v>
          </cell>
          <cell r="AO184">
            <v>1682.9894349999997</v>
          </cell>
          <cell r="AP184">
            <v>2097.2950203428568</v>
          </cell>
          <cell r="AQ184">
            <v>2312.926342575714</v>
          </cell>
          <cell r="AR184">
            <v>2579.8823343872141</v>
          </cell>
          <cell r="AS184">
            <v>2924.3971410578588</v>
          </cell>
          <cell r="AT184">
            <v>3255.9297841886232</v>
          </cell>
        </row>
        <row r="186">
          <cell r="B186">
            <v>1378.6390000000001</v>
          </cell>
          <cell r="J186">
            <v>185.37</v>
          </cell>
          <cell r="K186">
            <v>642.31200000000001</v>
          </cell>
          <cell r="L186">
            <v>203.59300000000002</v>
          </cell>
          <cell r="M186">
            <v>649.45600000000002</v>
          </cell>
          <cell r="N186">
            <v>1680.731</v>
          </cell>
          <cell r="O186">
            <v>154.79999999999998</v>
          </cell>
          <cell r="P186">
            <v>596.95000000000005</v>
          </cell>
          <cell r="Q186">
            <v>165</v>
          </cell>
          <cell r="R186">
            <v>639</v>
          </cell>
          <cell r="S186">
            <v>1555.75</v>
          </cell>
          <cell r="T186">
            <v>147.39999999999998</v>
          </cell>
          <cell r="U186">
            <v>555.22</v>
          </cell>
          <cell r="V186">
            <v>322</v>
          </cell>
          <cell r="W186">
            <v>529.84</v>
          </cell>
          <cell r="X186">
            <v>1554.46</v>
          </cell>
          <cell r="Y186">
            <v>356.23110000000003</v>
          </cell>
          <cell r="Z186">
            <v>444.91400000000004</v>
          </cell>
          <cell r="AA186">
            <v>386.89099999999996</v>
          </cell>
          <cell r="AB186">
            <v>540.61</v>
          </cell>
          <cell r="AC186">
            <v>1728.6461000000002</v>
          </cell>
          <cell r="AD186">
            <v>349</v>
          </cell>
          <cell r="AE186">
            <v>401</v>
          </cell>
          <cell r="AF186">
            <v>387</v>
          </cell>
          <cell r="AG186">
            <v>540</v>
          </cell>
          <cell r="AH186">
            <v>1677</v>
          </cell>
          <cell r="AI186">
            <v>371.09</v>
          </cell>
          <cell r="AJ186">
            <v>427.26</v>
          </cell>
          <cell r="AK186">
            <v>366.32</v>
          </cell>
          <cell r="AL186">
            <v>489</v>
          </cell>
          <cell r="AM186">
            <v>1653.67</v>
          </cell>
          <cell r="AN186">
            <v>1551.5499999999997</v>
          </cell>
          <cell r="AO186">
            <v>1551.5499999999997</v>
          </cell>
          <cell r="AP186">
            <v>1976.1423799999998</v>
          </cell>
          <cell r="AQ186">
            <v>2206.9052380499998</v>
          </cell>
          <cell r="AR186">
            <v>2490.0433460214999</v>
          </cell>
          <cell r="AS186">
            <v>2851.9839726921446</v>
          </cell>
          <cell r="AT186">
            <v>3201.8719358229091</v>
          </cell>
        </row>
        <row r="187">
          <cell r="B187">
            <v>83.480999999999995</v>
          </cell>
          <cell r="J187">
            <v>55.043999999999997</v>
          </cell>
          <cell r="K187">
            <v>55.000000000000007</v>
          </cell>
          <cell r="L187">
            <v>62.207000000000001</v>
          </cell>
          <cell r="M187">
            <v>58.811</v>
          </cell>
          <cell r="N187">
            <v>231.06200000000001</v>
          </cell>
          <cell r="O187">
            <v>49.04</v>
          </cell>
          <cell r="P187">
            <v>40</v>
          </cell>
          <cell r="Q187">
            <v>49</v>
          </cell>
          <cell r="R187">
            <v>40</v>
          </cell>
          <cell r="S187">
            <v>178.04000000000002</v>
          </cell>
          <cell r="T187">
            <v>40.230000000000004</v>
          </cell>
          <cell r="U187">
            <v>42.24</v>
          </cell>
          <cell r="V187">
            <v>45.370000000000005</v>
          </cell>
          <cell r="W187">
            <v>17</v>
          </cell>
          <cell r="X187">
            <v>144.84000000000003</v>
          </cell>
          <cell r="Y187">
            <v>27.58</v>
          </cell>
          <cell r="Z187">
            <v>38.119999999999997</v>
          </cell>
          <cell r="AA187">
            <v>9.85</v>
          </cell>
          <cell r="AB187">
            <v>38.520000000000003</v>
          </cell>
          <cell r="AC187">
            <v>114.07</v>
          </cell>
          <cell r="AD187">
            <v>22</v>
          </cell>
          <cell r="AE187">
            <v>51</v>
          </cell>
          <cell r="AF187">
            <v>10</v>
          </cell>
          <cell r="AG187">
            <v>38</v>
          </cell>
          <cell r="AH187">
            <v>121</v>
          </cell>
          <cell r="AI187">
            <v>0</v>
          </cell>
          <cell r="AJ187">
            <v>25</v>
          </cell>
          <cell r="AK187">
            <v>6</v>
          </cell>
          <cell r="AL187">
            <v>1</v>
          </cell>
          <cell r="AM187">
            <v>32</v>
          </cell>
          <cell r="AN187">
            <v>131.43943499999997</v>
          </cell>
          <cell r="AO187">
            <v>131.43943499999997</v>
          </cell>
          <cell r="AP187">
            <v>121.15264034285717</v>
          </cell>
          <cell r="AQ187">
            <v>106.02110452571431</v>
          </cell>
          <cell r="AR187">
            <v>89.8389883657143</v>
          </cell>
          <cell r="AS187">
            <v>72.413168365714299</v>
          </cell>
          <cell r="AT187">
            <v>54.057848365714307</v>
          </cell>
        </row>
        <row r="189">
          <cell r="B189">
            <v>13</v>
          </cell>
          <cell r="C189">
            <v>0</v>
          </cell>
          <cell r="D189">
            <v>5</v>
          </cell>
          <cell r="E189">
            <v>47</v>
          </cell>
          <cell r="F189">
            <v>142</v>
          </cell>
          <cell r="G189">
            <v>202</v>
          </cell>
          <cell r="H189">
            <v>213</v>
          </cell>
          <cell r="I189">
            <v>219</v>
          </cell>
          <cell r="J189">
            <v>87.643000000000001</v>
          </cell>
          <cell r="K189">
            <v>28</v>
          </cell>
          <cell r="L189">
            <v>97.439000000000007</v>
          </cell>
          <cell r="M189">
            <v>38.244</v>
          </cell>
          <cell r="N189">
            <v>251.32599999999999</v>
          </cell>
          <cell r="O189">
            <v>72.3</v>
          </cell>
          <cell r="P189">
            <v>28</v>
          </cell>
          <cell r="Q189">
            <v>82</v>
          </cell>
          <cell r="R189">
            <v>37</v>
          </cell>
          <cell r="S189">
            <v>219.3</v>
          </cell>
          <cell r="T189">
            <v>62</v>
          </cell>
          <cell r="U189">
            <v>31</v>
          </cell>
          <cell r="V189">
            <v>65</v>
          </cell>
          <cell r="W189">
            <v>13</v>
          </cell>
          <cell r="X189">
            <v>171</v>
          </cell>
          <cell r="Y189">
            <v>74.771000000000001</v>
          </cell>
          <cell r="Z189">
            <v>36.880000000000003</v>
          </cell>
          <cell r="AA189">
            <v>68.495999999999995</v>
          </cell>
          <cell r="AB189">
            <v>35.076000000000001</v>
          </cell>
          <cell r="AC189">
            <v>215.22300000000001</v>
          </cell>
          <cell r="AD189">
            <v>61</v>
          </cell>
          <cell r="AE189">
            <v>27</v>
          </cell>
          <cell r="AF189">
            <v>68</v>
          </cell>
          <cell r="AG189">
            <v>35</v>
          </cell>
          <cell r="AH189">
            <v>191</v>
          </cell>
          <cell r="AI189">
            <v>61</v>
          </cell>
          <cell r="AJ189">
            <v>27</v>
          </cell>
          <cell r="AK189">
            <v>64</v>
          </cell>
          <cell r="AL189">
            <v>31</v>
          </cell>
          <cell r="AM189">
            <v>183</v>
          </cell>
          <cell r="AN189">
            <v>224.54444000000001</v>
          </cell>
          <cell r="AO189">
            <v>224.54444000000001</v>
          </cell>
          <cell r="AP189">
            <v>266.5493371428571</v>
          </cell>
          <cell r="AQ189">
            <v>263.50683428571426</v>
          </cell>
          <cell r="AR189">
            <v>258.5861142857143</v>
          </cell>
          <cell r="AS189">
            <v>246.68725428571429</v>
          </cell>
          <cell r="AT189">
            <v>222.69534728571429</v>
          </cell>
        </row>
        <row r="190">
          <cell r="B190">
            <v>5.3890000000000002</v>
          </cell>
          <cell r="J190">
            <v>66.331999999999994</v>
          </cell>
          <cell r="K190">
            <v>24.8</v>
          </cell>
          <cell r="L190">
            <v>76.513000000000005</v>
          </cell>
          <cell r="M190">
            <v>34.978000000000002</v>
          </cell>
          <cell r="N190">
            <v>202.62299999999999</v>
          </cell>
          <cell r="O190">
            <v>59.93</v>
          </cell>
          <cell r="P190">
            <v>26</v>
          </cell>
          <cell r="Q190">
            <v>66</v>
          </cell>
          <cell r="R190">
            <v>31</v>
          </cell>
          <cell r="S190">
            <v>182.93</v>
          </cell>
          <cell r="T190">
            <v>48</v>
          </cell>
          <cell r="U190">
            <v>30</v>
          </cell>
          <cell r="V190">
            <v>51</v>
          </cell>
          <cell r="W190">
            <v>13</v>
          </cell>
          <cell r="X190">
            <v>142</v>
          </cell>
          <cell r="Y190">
            <v>61.301000000000002</v>
          </cell>
          <cell r="Z190">
            <v>34.380000000000003</v>
          </cell>
          <cell r="AA190">
            <v>58.805999999999997</v>
          </cell>
          <cell r="AB190">
            <v>32.725999999999999</v>
          </cell>
          <cell r="AC190">
            <v>187.21300000000002</v>
          </cell>
          <cell r="AD190">
            <v>60</v>
          </cell>
          <cell r="AE190">
            <v>25</v>
          </cell>
          <cell r="AF190">
            <v>58</v>
          </cell>
          <cell r="AG190">
            <v>33</v>
          </cell>
          <cell r="AH190">
            <v>176</v>
          </cell>
          <cell r="AI190">
            <v>61</v>
          </cell>
          <cell r="AJ190">
            <v>27</v>
          </cell>
          <cell r="AK190">
            <v>64</v>
          </cell>
          <cell r="AL190">
            <v>31</v>
          </cell>
          <cell r="AM190">
            <v>183</v>
          </cell>
          <cell r="AN190">
            <v>172.68</v>
          </cell>
          <cell r="AO190">
            <v>172.68</v>
          </cell>
          <cell r="AP190">
            <v>211.52875999999998</v>
          </cell>
          <cell r="AQ190">
            <v>213.26971999999998</v>
          </cell>
          <cell r="AR190">
            <v>215.55531999999999</v>
          </cell>
          <cell r="AS190">
            <v>212.98277999999999</v>
          </cell>
          <cell r="AT190">
            <v>198.317193</v>
          </cell>
        </row>
        <row r="191">
          <cell r="B191">
            <v>7.5540000000000003</v>
          </cell>
          <cell r="J191">
            <v>21.311</v>
          </cell>
          <cell r="K191">
            <v>3.2</v>
          </cell>
          <cell r="L191">
            <v>20.925999999999998</v>
          </cell>
          <cell r="M191">
            <v>3.266</v>
          </cell>
          <cell r="N191">
            <v>48.702999999999996</v>
          </cell>
          <cell r="O191">
            <v>12.37</v>
          </cell>
          <cell r="P191">
            <v>2</v>
          </cell>
          <cell r="Q191">
            <v>16</v>
          </cell>
          <cell r="R191">
            <v>6</v>
          </cell>
          <cell r="S191">
            <v>36.369999999999997</v>
          </cell>
          <cell r="T191">
            <v>14</v>
          </cell>
          <cell r="U191">
            <v>1</v>
          </cell>
          <cell r="V191">
            <v>14</v>
          </cell>
          <cell r="W191">
            <v>0</v>
          </cell>
          <cell r="X191">
            <v>29</v>
          </cell>
          <cell r="Y191">
            <v>13.47</v>
          </cell>
          <cell r="Z191">
            <v>2.5</v>
          </cell>
          <cell r="AA191">
            <v>9.69</v>
          </cell>
          <cell r="AB191">
            <v>2.35</v>
          </cell>
          <cell r="AC191">
            <v>28.01</v>
          </cell>
          <cell r="AD191">
            <v>1</v>
          </cell>
          <cell r="AE191">
            <v>2</v>
          </cell>
          <cell r="AF191">
            <v>10</v>
          </cell>
          <cell r="AG191">
            <v>2</v>
          </cell>
          <cell r="AH191">
            <v>15</v>
          </cell>
          <cell r="AI191">
            <v>0</v>
          </cell>
          <cell r="AJ191">
            <v>0</v>
          </cell>
          <cell r="AK191">
            <v>0</v>
          </cell>
          <cell r="AL191">
            <v>0</v>
          </cell>
          <cell r="AM191">
            <v>0</v>
          </cell>
          <cell r="AN191">
            <v>51.864439999999995</v>
          </cell>
          <cell r="AO191">
            <v>51.864439999999995</v>
          </cell>
          <cell r="AP191">
            <v>55.02057714285715</v>
          </cell>
          <cell r="AQ191">
            <v>50.237114285714291</v>
          </cell>
          <cell r="AR191">
            <v>43.030794285714293</v>
          </cell>
          <cell r="AS191">
            <v>33.704474285714284</v>
          </cell>
          <cell r="AT191">
            <v>24.378154285714292</v>
          </cell>
        </row>
        <row r="192">
          <cell r="B192">
            <v>16</v>
          </cell>
          <cell r="C192">
            <v>0</v>
          </cell>
          <cell r="D192">
            <v>65</v>
          </cell>
          <cell r="E192">
            <v>87</v>
          </cell>
          <cell r="F192">
            <v>160</v>
          </cell>
          <cell r="G192">
            <v>171</v>
          </cell>
          <cell r="H192">
            <v>164</v>
          </cell>
          <cell r="I192">
            <v>177</v>
          </cell>
          <cell r="J192">
            <v>54.326999999999998</v>
          </cell>
          <cell r="K192">
            <v>50.5</v>
          </cell>
          <cell r="L192">
            <v>59.141000000000005</v>
          </cell>
          <cell r="M192">
            <v>56.282000000000004</v>
          </cell>
          <cell r="N192">
            <v>220.25</v>
          </cell>
          <cell r="O192">
            <v>55.3</v>
          </cell>
          <cell r="P192">
            <v>39</v>
          </cell>
          <cell r="Q192">
            <v>51</v>
          </cell>
          <cell r="R192">
            <v>33</v>
          </cell>
          <cell r="S192">
            <v>178.3</v>
          </cell>
          <cell r="T192">
            <v>42.25</v>
          </cell>
          <cell r="U192">
            <v>42.72</v>
          </cell>
          <cell r="V192">
            <v>30.27</v>
          </cell>
          <cell r="W192">
            <v>26</v>
          </cell>
          <cell r="X192">
            <v>141.24</v>
          </cell>
          <cell r="Y192">
            <v>34.846000000000004</v>
          </cell>
          <cell r="Z192">
            <v>43.877000000000002</v>
          </cell>
          <cell r="AA192">
            <v>19.079999999999998</v>
          </cell>
          <cell r="AB192">
            <v>39.298999999999999</v>
          </cell>
          <cell r="AC192">
            <v>137.102</v>
          </cell>
          <cell r="AD192">
            <v>37</v>
          </cell>
          <cell r="AE192">
            <v>42</v>
          </cell>
          <cell r="AF192">
            <v>19</v>
          </cell>
          <cell r="AG192">
            <v>39</v>
          </cell>
          <cell r="AH192">
            <v>137</v>
          </cell>
          <cell r="AI192">
            <v>37</v>
          </cell>
          <cell r="AJ192">
            <v>27</v>
          </cell>
          <cell r="AK192">
            <v>28</v>
          </cell>
          <cell r="AL192">
            <v>22</v>
          </cell>
          <cell r="AM192">
            <v>114</v>
          </cell>
          <cell r="AN192">
            <v>136.513284</v>
          </cell>
          <cell r="AO192">
            <v>136.513284</v>
          </cell>
          <cell r="AP192">
            <v>117.6528132</v>
          </cell>
          <cell r="AQ192">
            <v>118.66141509000002</v>
          </cell>
          <cell r="AR192">
            <v>118.90775784550002</v>
          </cell>
          <cell r="AS192">
            <v>117.786224388465</v>
          </cell>
          <cell r="AT192">
            <v>113.54084338771897</v>
          </cell>
        </row>
        <row r="193">
          <cell r="B193">
            <v>7.7670000000000003</v>
          </cell>
          <cell r="J193">
            <v>22.081</v>
          </cell>
          <cell r="K193">
            <v>8.9</v>
          </cell>
          <cell r="L193">
            <v>19.331</v>
          </cell>
          <cell r="M193">
            <v>8.0150000000000006</v>
          </cell>
          <cell r="N193">
            <v>58.326999999999998</v>
          </cell>
          <cell r="O193">
            <v>19.43</v>
          </cell>
          <cell r="P193">
            <v>8</v>
          </cell>
          <cell r="Q193">
            <v>19</v>
          </cell>
          <cell r="R193">
            <v>8</v>
          </cell>
          <cell r="S193">
            <v>54.43</v>
          </cell>
          <cell r="T193">
            <v>18.25</v>
          </cell>
          <cell r="U193">
            <v>6.72</v>
          </cell>
          <cell r="V193">
            <v>18.059999999999999</v>
          </cell>
          <cell r="W193">
            <v>10</v>
          </cell>
          <cell r="X193">
            <v>53.03</v>
          </cell>
          <cell r="Y193">
            <v>20.956</v>
          </cell>
          <cell r="Z193">
            <v>13.537000000000001</v>
          </cell>
          <cell r="AA193">
            <v>19.079999999999998</v>
          </cell>
          <cell r="AB193">
            <v>7.9089999999999998</v>
          </cell>
          <cell r="AC193">
            <v>61.481999999999999</v>
          </cell>
          <cell r="AD193">
            <v>17</v>
          </cell>
          <cell r="AE193">
            <v>-4</v>
          </cell>
          <cell r="AF193">
            <v>19</v>
          </cell>
          <cell r="AG193">
            <v>8</v>
          </cell>
          <cell r="AH193">
            <v>40</v>
          </cell>
          <cell r="AI193">
            <v>37</v>
          </cell>
          <cell r="AJ193">
            <v>27</v>
          </cell>
          <cell r="AK193">
            <v>28</v>
          </cell>
          <cell r="AL193">
            <v>22</v>
          </cell>
          <cell r="AM193">
            <v>114</v>
          </cell>
          <cell r="AN193">
            <v>61.17</v>
          </cell>
          <cell r="AO193">
            <v>61.17</v>
          </cell>
          <cell r="AP193">
            <v>54.127133999999998</v>
          </cell>
          <cell r="AQ193">
            <v>64.36692085</v>
          </cell>
          <cell r="AR193">
            <v>72.772559765500006</v>
          </cell>
          <cell r="AS193">
            <v>79.289026308464997</v>
          </cell>
          <cell r="AT193">
            <v>83.859645307718949</v>
          </cell>
        </row>
        <row r="194">
          <cell r="B194">
            <v>8.1980000000000004</v>
          </cell>
          <cell r="J194">
            <v>32.246000000000002</v>
          </cell>
          <cell r="K194">
            <v>41.6</v>
          </cell>
          <cell r="L194">
            <v>39.81</v>
          </cell>
          <cell r="M194">
            <v>48.267000000000003</v>
          </cell>
          <cell r="N194">
            <v>161.923</v>
          </cell>
          <cell r="O194">
            <v>35.869999999999997</v>
          </cell>
          <cell r="P194">
            <v>31</v>
          </cell>
          <cell r="Q194">
            <v>32</v>
          </cell>
          <cell r="R194">
            <v>25</v>
          </cell>
          <cell r="S194">
            <v>123.87</v>
          </cell>
          <cell r="T194">
            <v>24</v>
          </cell>
          <cell r="U194">
            <v>36</v>
          </cell>
          <cell r="V194">
            <v>12.21</v>
          </cell>
          <cell r="W194">
            <v>16</v>
          </cell>
          <cell r="X194">
            <v>88.210000000000008</v>
          </cell>
          <cell r="Y194">
            <v>13.89</v>
          </cell>
          <cell r="Z194">
            <v>30.34</v>
          </cell>
          <cell r="AA194">
            <v>0</v>
          </cell>
          <cell r="AB194">
            <v>31.39</v>
          </cell>
          <cell r="AC194">
            <v>75.62</v>
          </cell>
          <cell r="AD194">
            <v>20</v>
          </cell>
          <cell r="AE194">
            <v>46</v>
          </cell>
          <cell r="AF194">
            <v>0</v>
          </cell>
          <cell r="AG194">
            <v>31</v>
          </cell>
          <cell r="AH194">
            <v>97</v>
          </cell>
          <cell r="AI194">
            <v>0</v>
          </cell>
          <cell r="AJ194">
            <v>0</v>
          </cell>
          <cell r="AK194">
            <v>0</v>
          </cell>
          <cell r="AL194">
            <v>0</v>
          </cell>
          <cell r="AM194">
            <v>0</v>
          </cell>
          <cell r="AN194">
            <v>75.343283999999997</v>
          </cell>
          <cell r="AO194">
            <v>75.343283999999997</v>
          </cell>
          <cell r="AP194">
            <v>63.525679200000006</v>
          </cell>
          <cell r="AQ194">
            <v>54.294494240000013</v>
          </cell>
          <cell r="AR194">
            <v>46.135198080000009</v>
          </cell>
          <cell r="AS194">
            <v>38.497198080000011</v>
          </cell>
          <cell r="AT194">
            <v>29.681198080000012</v>
          </cell>
        </row>
        <row r="195">
          <cell r="B195">
            <v>61</v>
          </cell>
          <cell r="C195">
            <v>0</v>
          </cell>
          <cell r="D195">
            <v>84</v>
          </cell>
          <cell r="E195">
            <v>96</v>
          </cell>
          <cell r="F195">
            <v>133</v>
          </cell>
          <cell r="G195">
            <v>158</v>
          </cell>
          <cell r="H195">
            <v>68</v>
          </cell>
          <cell r="I195">
            <v>45</v>
          </cell>
          <cell r="J195">
            <v>5.0870000000000006</v>
          </cell>
          <cell r="K195">
            <v>7.3000000000000007</v>
          </cell>
          <cell r="L195">
            <v>2.3820000000000001</v>
          </cell>
          <cell r="M195">
            <v>3.706</v>
          </cell>
          <cell r="N195">
            <v>18.475000000000001</v>
          </cell>
          <cell r="O195">
            <v>0.58000000000000007</v>
          </cell>
          <cell r="P195">
            <v>2</v>
          </cell>
          <cell r="Q195">
            <v>1</v>
          </cell>
          <cell r="R195">
            <v>1</v>
          </cell>
          <cell r="S195">
            <v>4.58</v>
          </cell>
          <cell r="T195">
            <v>0.59</v>
          </cell>
          <cell r="U195">
            <v>4.74</v>
          </cell>
          <cell r="V195">
            <v>0.23</v>
          </cell>
          <cell r="W195">
            <v>64</v>
          </cell>
          <cell r="X195">
            <v>69.56</v>
          </cell>
          <cell r="Y195">
            <v>0.28499999999999998</v>
          </cell>
          <cell r="Z195">
            <v>15.856999999999999</v>
          </cell>
          <cell r="AA195">
            <v>0.61299999999999999</v>
          </cell>
          <cell r="AB195">
            <v>102.97499999999999</v>
          </cell>
          <cell r="AC195">
            <v>119.73</v>
          </cell>
          <cell r="AD195">
            <v>2</v>
          </cell>
          <cell r="AE195">
            <v>16</v>
          </cell>
          <cell r="AF195">
            <v>1</v>
          </cell>
          <cell r="AG195">
            <v>103</v>
          </cell>
          <cell r="AH195">
            <v>122</v>
          </cell>
          <cell r="AI195">
            <v>2.13</v>
          </cell>
          <cell r="AJ195">
            <v>5</v>
          </cell>
          <cell r="AK195">
            <v>3.79</v>
          </cell>
          <cell r="AL195">
            <v>7</v>
          </cell>
          <cell r="AM195">
            <v>17.920000000000002</v>
          </cell>
          <cell r="AN195">
            <v>9.9217909999999989</v>
          </cell>
          <cell r="AO195">
            <v>9.9217909999999989</v>
          </cell>
          <cell r="AP195">
            <v>28.172783999999993</v>
          </cell>
          <cell r="AQ195">
            <v>32.4696912</v>
          </cell>
          <cell r="AR195">
            <v>37.097560255999994</v>
          </cell>
          <cell r="AS195">
            <v>42.243760383679991</v>
          </cell>
          <cell r="AT195">
            <v>47.806691515190394</v>
          </cell>
        </row>
        <row r="196">
          <cell r="B196">
            <v>53.176000000000002</v>
          </cell>
          <cell r="J196">
            <v>4.1740000000000004</v>
          </cell>
          <cell r="K196">
            <v>3.7</v>
          </cell>
          <cell r="L196">
            <v>1.3320000000000001</v>
          </cell>
          <cell r="M196">
            <v>1.4430000000000001</v>
          </cell>
          <cell r="N196">
            <v>10.649000000000001</v>
          </cell>
          <cell r="O196">
            <v>0.05</v>
          </cell>
          <cell r="P196">
            <v>1</v>
          </cell>
          <cell r="Q196">
            <v>0</v>
          </cell>
          <cell r="R196">
            <v>0</v>
          </cell>
          <cell r="S196">
            <v>1.05</v>
          </cell>
          <cell r="T196">
            <v>0.56999999999999995</v>
          </cell>
          <cell r="U196">
            <v>3.5</v>
          </cell>
          <cell r="V196">
            <v>0.23</v>
          </cell>
          <cell r="W196">
            <v>64</v>
          </cell>
          <cell r="X196">
            <v>68.3</v>
          </cell>
          <cell r="Y196">
            <v>0.22500000000000001</v>
          </cell>
          <cell r="Z196">
            <v>13.196999999999999</v>
          </cell>
          <cell r="AA196">
            <v>0.58299999999999996</v>
          </cell>
          <cell r="AB196">
            <v>100.345</v>
          </cell>
          <cell r="AC196">
            <v>114.35</v>
          </cell>
          <cell r="AD196">
            <v>2</v>
          </cell>
          <cell r="AE196">
            <v>15</v>
          </cell>
          <cell r="AF196">
            <v>1</v>
          </cell>
          <cell r="AG196">
            <v>100</v>
          </cell>
          <cell r="AH196">
            <v>118</v>
          </cell>
          <cell r="AI196">
            <v>2.13</v>
          </cell>
          <cell r="AJ196">
            <v>5</v>
          </cell>
          <cell r="AK196">
            <v>3.79</v>
          </cell>
          <cell r="AL196">
            <v>7</v>
          </cell>
          <cell r="AM196">
            <v>17.920000000000002</v>
          </cell>
          <cell r="AN196">
            <v>6.42</v>
          </cell>
          <cell r="AO196">
            <v>6.42</v>
          </cell>
          <cell r="AP196">
            <v>25.686079999999993</v>
          </cell>
          <cell r="AQ196">
            <v>30.971875199999996</v>
          </cell>
          <cell r="AR196">
            <v>36.416244255999992</v>
          </cell>
          <cell r="AS196">
            <v>42.023944383679989</v>
          </cell>
          <cell r="AT196">
            <v>47.799875515190394</v>
          </cell>
        </row>
        <row r="197">
          <cell r="B197">
            <v>7.81</v>
          </cell>
          <cell r="J197">
            <v>0.91300000000000003</v>
          </cell>
          <cell r="K197">
            <v>3.6</v>
          </cell>
          <cell r="L197">
            <v>1.05</v>
          </cell>
          <cell r="M197">
            <v>2.2629999999999999</v>
          </cell>
          <cell r="N197">
            <v>7.8259999999999996</v>
          </cell>
          <cell r="O197">
            <v>0.53</v>
          </cell>
          <cell r="P197">
            <v>1</v>
          </cell>
          <cell r="Q197">
            <v>1</v>
          </cell>
          <cell r="R197">
            <v>1</v>
          </cell>
          <cell r="S197">
            <v>3.5300000000000002</v>
          </cell>
          <cell r="T197">
            <v>0.02</v>
          </cell>
          <cell r="U197">
            <v>1.24</v>
          </cell>
          <cell r="V197">
            <v>0</v>
          </cell>
          <cell r="W197">
            <v>0</v>
          </cell>
          <cell r="X197">
            <v>1.26</v>
          </cell>
          <cell r="Y197">
            <v>0.06</v>
          </cell>
          <cell r="Z197">
            <v>2.66</v>
          </cell>
          <cell r="AA197">
            <v>0.03</v>
          </cell>
          <cell r="AB197">
            <v>2.63</v>
          </cell>
          <cell r="AC197">
            <v>5.38</v>
          </cell>
          <cell r="AD197">
            <v>0</v>
          </cell>
          <cell r="AE197">
            <v>1</v>
          </cell>
          <cell r="AF197">
            <v>0</v>
          </cell>
          <cell r="AG197">
            <v>3</v>
          </cell>
          <cell r="AH197">
            <v>4</v>
          </cell>
          <cell r="AI197">
            <v>0</v>
          </cell>
          <cell r="AJ197">
            <v>0</v>
          </cell>
          <cell r="AK197">
            <v>0</v>
          </cell>
          <cell r="AL197">
            <v>0</v>
          </cell>
          <cell r="AM197">
            <v>0</v>
          </cell>
          <cell r="AN197">
            <v>3.5017909999999999</v>
          </cell>
          <cell r="AO197">
            <v>3.5017909999999999</v>
          </cell>
          <cell r="AP197">
            <v>2.4867040000000005</v>
          </cell>
          <cell r="AQ197">
            <v>1.4978160000000005</v>
          </cell>
          <cell r="AR197">
            <v>0.68131600000000048</v>
          </cell>
          <cell r="AS197">
            <v>0.21981600000000048</v>
          </cell>
          <cell r="AT197">
            <v>6.81600000000051E-3</v>
          </cell>
        </row>
        <row r="198">
          <cell r="B198">
            <v>1372</v>
          </cell>
          <cell r="C198">
            <v>0</v>
          </cell>
          <cell r="D198">
            <v>2189</v>
          </cell>
          <cell r="E198">
            <v>2044</v>
          </cell>
          <cell r="F198">
            <v>52</v>
          </cell>
          <cell r="G198">
            <v>51</v>
          </cell>
          <cell r="H198">
            <v>48</v>
          </cell>
          <cell r="I198">
            <v>19</v>
          </cell>
          <cell r="J198">
            <v>1.0149999999999999</v>
          </cell>
          <cell r="K198">
            <v>7.6999999999999993</v>
          </cell>
          <cell r="L198">
            <v>0.83799999999999997</v>
          </cell>
          <cell r="M198">
            <v>6.0350000000000001</v>
          </cell>
          <cell r="N198">
            <v>15.587999999999999</v>
          </cell>
          <cell r="O198">
            <v>1.02</v>
          </cell>
          <cell r="P198">
            <v>6</v>
          </cell>
          <cell r="Q198">
            <v>1</v>
          </cell>
          <cell r="R198">
            <v>5</v>
          </cell>
          <cell r="S198">
            <v>13.02</v>
          </cell>
          <cell r="T198">
            <v>0.78999999999999992</v>
          </cell>
          <cell r="U198">
            <v>3</v>
          </cell>
          <cell r="V198">
            <v>0.87</v>
          </cell>
          <cell r="W198">
            <v>1.8399999999999999</v>
          </cell>
          <cell r="X198">
            <v>6.5</v>
          </cell>
          <cell r="Y198">
            <v>0.98299999999999998</v>
          </cell>
          <cell r="Z198">
            <v>3.83</v>
          </cell>
          <cell r="AA198">
            <v>0.53600000000000003</v>
          </cell>
          <cell r="AB198">
            <v>3.423</v>
          </cell>
          <cell r="AC198">
            <v>8.7720000000000002</v>
          </cell>
          <cell r="AD198">
            <v>2</v>
          </cell>
          <cell r="AE198">
            <v>3</v>
          </cell>
          <cell r="AF198">
            <v>1</v>
          </cell>
          <cell r="AG198">
            <v>3</v>
          </cell>
          <cell r="AH198">
            <v>9</v>
          </cell>
          <cell r="AI198">
            <v>2</v>
          </cell>
          <cell r="AJ198">
            <v>3</v>
          </cell>
          <cell r="AK198">
            <v>3</v>
          </cell>
          <cell r="AL198">
            <v>6</v>
          </cell>
          <cell r="AM198">
            <v>14</v>
          </cell>
          <cell r="AN198">
            <v>3.7599200000000002</v>
          </cell>
          <cell r="AO198">
            <v>3.7599200000000002</v>
          </cell>
          <cell r="AP198">
            <v>-2.9776639999999999</v>
          </cell>
          <cell r="AQ198">
            <v>-4.8468479999999996</v>
          </cell>
          <cell r="AR198">
            <v>-5.0708479999999998</v>
          </cell>
          <cell r="AS198">
            <v>-5.0708479999999998</v>
          </cell>
          <cell r="AT198">
            <v>-5.0708479999999998</v>
          </cell>
        </row>
        <row r="199">
          <cell r="B199">
            <v>1312.307</v>
          </cell>
          <cell r="J199">
            <v>0.441</v>
          </cell>
          <cell r="K199">
            <v>1.1000000000000001</v>
          </cell>
          <cell r="L199">
            <v>0.41699999999999998</v>
          </cell>
          <cell r="M199">
            <v>1.02</v>
          </cell>
          <cell r="N199">
            <v>2.9780000000000002</v>
          </cell>
          <cell r="O199">
            <v>0.75</v>
          </cell>
          <cell r="P199">
            <v>2</v>
          </cell>
          <cell r="Q199">
            <v>1</v>
          </cell>
          <cell r="R199">
            <v>1</v>
          </cell>
          <cell r="S199">
            <v>4.75</v>
          </cell>
          <cell r="T199">
            <v>0.57999999999999996</v>
          </cell>
          <cell r="U199">
            <v>2</v>
          </cell>
          <cell r="V199">
            <v>0.71</v>
          </cell>
          <cell r="W199">
            <v>0.84</v>
          </cell>
          <cell r="X199">
            <v>4.13</v>
          </cell>
          <cell r="Y199">
            <v>0.82299999999999995</v>
          </cell>
          <cell r="Z199">
            <v>1.21</v>
          </cell>
          <cell r="AA199">
            <v>0.40600000000000003</v>
          </cell>
          <cell r="AB199">
            <v>1.2729999999999999</v>
          </cell>
          <cell r="AC199">
            <v>3.7119999999999997</v>
          </cell>
          <cell r="AD199">
            <v>1</v>
          </cell>
          <cell r="AE199">
            <v>1</v>
          </cell>
          <cell r="AF199">
            <v>1</v>
          </cell>
          <cell r="AG199">
            <v>1</v>
          </cell>
          <cell r="AH199">
            <v>4</v>
          </cell>
          <cell r="AI199">
            <v>2</v>
          </cell>
          <cell r="AJ199">
            <v>3</v>
          </cell>
          <cell r="AK199">
            <v>3</v>
          </cell>
          <cell r="AL199">
            <v>6</v>
          </cell>
          <cell r="AM199">
            <v>14</v>
          </cell>
          <cell r="AN199">
            <v>3.03</v>
          </cell>
          <cell r="AO199">
            <v>3.03</v>
          </cell>
          <cell r="AP199">
            <v>-3.0973440000000001</v>
          </cell>
          <cell r="AQ199">
            <v>-4.8385280000000002</v>
          </cell>
          <cell r="AR199">
            <v>-5.0625280000000004</v>
          </cell>
          <cell r="AS199">
            <v>-5.0625280000000004</v>
          </cell>
          <cell r="AT199">
            <v>-5.0625280000000004</v>
          </cell>
        </row>
        <row r="200">
          <cell r="B200">
            <v>59.918999999999997</v>
          </cell>
          <cell r="J200">
            <v>0.57400000000000007</v>
          </cell>
          <cell r="K200">
            <v>6.6</v>
          </cell>
          <cell r="L200">
            <v>0.42099999999999999</v>
          </cell>
          <cell r="M200">
            <v>5.0149999999999997</v>
          </cell>
          <cell r="N200">
            <v>12.61</v>
          </cell>
          <cell r="O200">
            <v>0.27</v>
          </cell>
          <cell r="P200">
            <v>4</v>
          </cell>
          <cell r="Q200">
            <v>0</v>
          </cell>
          <cell r="R200">
            <v>4</v>
          </cell>
          <cell r="S200">
            <v>8.27</v>
          </cell>
          <cell r="T200">
            <v>0.21</v>
          </cell>
          <cell r="U200">
            <v>1</v>
          </cell>
          <cell r="V200">
            <v>0.16</v>
          </cell>
          <cell r="W200">
            <v>1</v>
          </cell>
          <cell r="X200">
            <v>2.37</v>
          </cell>
          <cell r="Y200">
            <v>0.16</v>
          </cell>
          <cell r="Z200">
            <v>2.62</v>
          </cell>
          <cell r="AA200">
            <v>0.13</v>
          </cell>
          <cell r="AB200">
            <v>2.15</v>
          </cell>
          <cell r="AC200">
            <v>5.0599999999999996</v>
          </cell>
          <cell r="AD200">
            <v>1</v>
          </cell>
          <cell r="AE200">
            <v>2</v>
          </cell>
          <cell r="AF200">
            <v>0</v>
          </cell>
          <cell r="AG200">
            <v>2</v>
          </cell>
          <cell r="AH200">
            <v>5</v>
          </cell>
          <cell r="AI200">
            <v>0</v>
          </cell>
          <cell r="AJ200">
            <v>0</v>
          </cell>
          <cell r="AK200">
            <v>0</v>
          </cell>
          <cell r="AL200">
            <v>0</v>
          </cell>
          <cell r="AM200">
            <v>0</v>
          </cell>
          <cell r="AN200">
            <v>0.72992000000000012</v>
          </cell>
          <cell r="AO200">
            <v>0.72992000000000012</v>
          </cell>
          <cell r="AP200">
            <v>0.11968000000000018</v>
          </cell>
          <cell r="AQ200">
            <v>-8.3199999999998223E-3</v>
          </cell>
          <cell r="AR200">
            <v>-8.3199999999998223E-3</v>
          </cell>
          <cell r="AS200">
            <v>-8.3199999999998223E-3</v>
          </cell>
          <cell r="AT200">
            <v>-8.3199999999998223E-3</v>
          </cell>
        </row>
        <row r="201">
          <cell r="B201">
            <v>0</v>
          </cell>
          <cell r="C201">
            <v>0</v>
          </cell>
          <cell r="D201">
            <v>0</v>
          </cell>
          <cell r="E201">
            <v>0</v>
          </cell>
          <cell r="F201">
            <v>1246</v>
          </cell>
          <cell r="G201">
            <v>1130</v>
          </cell>
          <cell r="H201">
            <v>1022</v>
          </cell>
          <cell r="I201">
            <v>1073</v>
          </cell>
          <cell r="J201">
            <v>74.95</v>
          </cell>
          <cell r="K201">
            <v>561.19399999999996</v>
          </cell>
          <cell r="L201">
            <v>74</v>
          </cell>
          <cell r="M201">
            <v>542</v>
          </cell>
          <cell r="N201">
            <v>1252.144</v>
          </cell>
          <cell r="O201">
            <v>67.8</v>
          </cell>
          <cell r="P201">
            <v>525</v>
          </cell>
          <cell r="Q201">
            <v>64</v>
          </cell>
          <cell r="R201">
            <v>524</v>
          </cell>
          <cell r="S201">
            <v>1180.8</v>
          </cell>
          <cell r="T201">
            <v>80</v>
          </cell>
          <cell r="U201">
            <v>487</v>
          </cell>
          <cell r="V201">
            <v>214</v>
          </cell>
          <cell r="W201">
            <v>348</v>
          </cell>
          <cell r="X201">
            <v>1129</v>
          </cell>
          <cell r="Y201">
            <v>272.92610000000002</v>
          </cell>
          <cell r="Z201">
            <v>339.19400000000002</v>
          </cell>
          <cell r="AA201">
            <v>270.54399999999998</v>
          </cell>
          <cell r="AB201">
            <v>326.488</v>
          </cell>
          <cell r="AC201">
            <v>1209.1521</v>
          </cell>
          <cell r="AD201">
            <v>269</v>
          </cell>
          <cell r="AE201">
            <v>338</v>
          </cell>
          <cell r="AF201">
            <v>271</v>
          </cell>
          <cell r="AG201">
            <v>326</v>
          </cell>
          <cell r="AH201">
            <v>1204</v>
          </cell>
          <cell r="AI201">
            <v>268.95999999999998</v>
          </cell>
          <cell r="AJ201">
            <v>338.26</v>
          </cell>
          <cell r="AK201">
            <v>267.52999999999997</v>
          </cell>
          <cell r="AL201">
            <v>325</v>
          </cell>
          <cell r="AM201">
            <v>1199.75</v>
          </cell>
          <cell r="AN201">
            <v>1136.3899999999999</v>
          </cell>
          <cell r="AO201">
            <v>1136.3899999999999</v>
          </cell>
          <cell r="AP201">
            <v>1014.645</v>
          </cell>
          <cell r="AQ201">
            <v>954.80899999999997</v>
          </cell>
          <cell r="AR201">
            <v>896.05799999999999</v>
          </cell>
          <cell r="AS201">
            <v>896.05799999999999</v>
          </cell>
          <cell r="AT201">
            <v>896.05799999999999</v>
          </cell>
        </row>
        <row r="207">
          <cell r="B207">
            <v>0</v>
          </cell>
          <cell r="C207">
            <v>0</v>
          </cell>
          <cell r="D207">
            <v>246</v>
          </cell>
          <cell r="E207">
            <v>137</v>
          </cell>
          <cell r="F207">
            <v>118</v>
          </cell>
          <cell r="G207">
            <v>102</v>
          </cell>
          <cell r="H207">
            <v>95</v>
          </cell>
          <cell r="I207">
            <v>150</v>
          </cell>
          <cell r="J207">
            <v>17.391999999999999</v>
          </cell>
          <cell r="K207">
            <v>42.618000000000002</v>
          </cell>
          <cell r="L207">
            <v>32</v>
          </cell>
          <cell r="M207">
            <v>62</v>
          </cell>
          <cell r="N207">
            <v>154.01</v>
          </cell>
          <cell r="O207">
            <v>6.84</v>
          </cell>
          <cell r="P207">
            <v>34.950000000000003</v>
          </cell>
          <cell r="Q207">
            <v>15</v>
          </cell>
          <cell r="R207">
            <v>75</v>
          </cell>
          <cell r="S207">
            <v>131.79000000000002</v>
          </cell>
          <cell r="T207">
            <v>0</v>
          </cell>
          <cell r="U207">
            <v>26</v>
          </cell>
          <cell r="V207">
            <v>38</v>
          </cell>
          <cell r="W207">
            <v>94</v>
          </cell>
          <cell r="X207">
            <v>158</v>
          </cell>
          <cell r="Y207">
            <v>0</v>
          </cell>
          <cell r="Z207">
            <v>43.396000000000001</v>
          </cell>
          <cell r="AA207">
            <v>37.472000000000001</v>
          </cell>
          <cell r="AB207">
            <v>71.869</v>
          </cell>
          <cell r="AC207">
            <v>152.73699999999999</v>
          </cell>
          <cell r="AD207">
            <v>0</v>
          </cell>
          <cell r="AE207">
            <v>26</v>
          </cell>
          <cell r="AF207">
            <v>37</v>
          </cell>
          <cell r="AG207">
            <v>72</v>
          </cell>
          <cell r="AH207">
            <v>135</v>
          </cell>
          <cell r="AI207">
            <v>0</v>
          </cell>
          <cell r="AJ207">
            <v>27</v>
          </cell>
          <cell r="AK207">
            <v>0</v>
          </cell>
          <cell r="AL207">
            <v>98</v>
          </cell>
          <cell r="AM207">
            <v>125</v>
          </cell>
          <cell r="AN207">
            <v>171.86</v>
          </cell>
          <cell r="AO207">
            <v>171.86</v>
          </cell>
          <cell r="AP207">
            <v>388.92024999999995</v>
          </cell>
          <cell r="AQ207">
            <v>582.28874999999994</v>
          </cell>
          <cell r="AR207">
            <v>811.44124999999997</v>
          </cell>
          <cell r="AS207">
            <v>1059.1602499999999</v>
          </cell>
          <cell r="AT207">
            <v>1308.15725</v>
          </cell>
        </row>
        <row r="208">
          <cell r="B208">
            <v>0</v>
          </cell>
          <cell r="C208">
            <v>0</v>
          </cell>
          <cell r="D208">
            <v>0</v>
          </cell>
          <cell r="E208">
            <v>77</v>
          </cell>
          <cell r="F208">
            <v>0</v>
          </cell>
          <cell r="G208">
            <v>65</v>
          </cell>
          <cell r="H208">
            <v>89</v>
          </cell>
          <cell r="I208">
            <v>49</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284.33249999999998</v>
          </cell>
          <cell r="AQ208">
            <v>366.03749999999997</v>
          </cell>
          <cell r="AR208">
            <v>462.86249999999995</v>
          </cell>
          <cell r="AS208">
            <v>567.53250000000003</v>
          </cell>
          <cell r="AT208">
            <v>672.74249999999995</v>
          </cell>
        </row>
        <row r="209">
          <cell r="J209">
            <v>0</v>
          </cell>
          <cell r="K209">
            <v>1</v>
          </cell>
          <cell r="L209">
            <v>1.1399999999999999</v>
          </cell>
          <cell r="M209">
            <v>3</v>
          </cell>
          <cell r="N209">
            <v>5.14</v>
          </cell>
          <cell r="O209">
            <v>0</v>
          </cell>
          <cell r="P209">
            <v>2</v>
          </cell>
          <cell r="Q209">
            <v>0</v>
          </cell>
          <cell r="R209">
            <v>4</v>
          </cell>
          <cell r="S209">
            <v>6</v>
          </cell>
          <cell r="T209">
            <v>2</v>
          </cell>
          <cell r="U209">
            <v>3</v>
          </cell>
          <cell r="V209">
            <v>19</v>
          </cell>
          <cell r="W209">
            <v>0</v>
          </cell>
          <cell r="X209">
            <v>24</v>
          </cell>
          <cell r="Y209">
            <v>0</v>
          </cell>
          <cell r="Z209">
            <v>0</v>
          </cell>
          <cell r="AA209">
            <v>0</v>
          </cell>
          <cell r="AB209">
            <v>0</v>
          </cell>
          <cell r="AC209">
            <v>0</v>
          </cell>
          <cell r="AD209">
            <v>0</v>
          </cell>
          <cell r="AE209">
            <v>0</v>
          </cell>
          <cell r="AF209">
            <v>0</v>
          </cell>
          <cell r="AG209">
            <v>0</v>
          </cell>
          <cell r="AH209">
            <v>0</v>
          </cell>
          <cell r="AI209">
            <v>0</v>
          </cell>
          <cell r="AJ209">
            <v>25</v>
          </cell>
          <cell r="AK209">
            <v>6</v>
          </cell>
          <cell r="AL209">
            <v>1</v>
          </cell>
          <cell r="AM209">
            <v>32</v>
          </cell>
          <cell r="AN209">
            <v>0</v>
          </cell>
        </row>
        <row r="211">
          <cell r="B211">
            <v>0</v>
          </cell>
          <cell r="C211">
            <v>0</v>
          </cell>
          <cell r="D211">
            <v>0</v>
          </cell>
          <cell r="E211">
            <v>3</v>
          </cell>
          <cell r="F211">
            <v>45</v>
          </cell>
          <cell r="G211">
            <v>223</v>
          </cell>
          <cell r="H211">
            <v>358</v>
          </cell>
          <cell r="I211">
            <v>398</v>
          </cell>
          <cell r="J211">
            <v>172</v>
          </cell>
          <cell r="K211">
            <v>41</v>
          </cell>
          <cell r="L211">
            <v>101</v>
          </cell>
          <cell r="M211">
            <v>101</v>
          </cell>
          <cell r="N211">
            <v>415</v>
          </cell>
          <cell r="O211">
            <v>89</v>
          </cell>
          <cell r="P211">
            <v>101</v>
          </cell>
          <cell r="Q211">
            <v>86</v>
          </cell>
          <cell r="R211">
            <v>56</v>
          </cell>
          <cell r="S211">
            <v>332</v>
          </cell>
          <cell r="T211">
            <v>112</v>
          </cell>
          <cell r="U211">
            <v>19</v>
          </cell>
          <cell r="V211">
            <v>26</v>
          </cell>
          <cell r="W211">
            <v>57</v>
          </cell>
          <cell r="X211">
            <v>214</v>
          </cell>
          <cell r="Y211">
            <v>27.99</v>
          </cell>
          <cell r="Z211">
            <v>27.99</v>
          </cell>
          <cell r="AA211">
            <v>27.99</v>
          </cell>
          <cell r="AB211">
            <v>27.99</v>
          </cell>
          <cell r="AC211">
            <v>111.96</v>
          </cell>
          <cell r="AD211">
            <v>55</v>
          </cell>
          <cell r="AE211">
            <v>55</v>
          </cell>
          <cell r="AF211">
            <v>79</v>
          </cell>
          <cell r="AG211">
            <v>58</v>
          </cell>
          <cell r="AH211">
            <v>247</v>
          </cell>
          <cell r="AI211">
            <v>55</v>
          </cell>
          <cell r="AJ211">
            <v>55</v>
          </cell>
          <cell r="AK211">
            <v>79</v>
          </cell>
          <cell r="AL211">
            <v>68</v>
          </cell>
          <cell r="AM211">
            <v>257</v>
          </cell>
          <cell r="AN211">
            <v>321.04000000000002</v>
          </cell>
          <cell r="AO211">
            <v>321</v>
          </cell>
          <cell r="AP211">
            <v>560</v>
          </cell>
          <cell r="AQ211">
            <v>288</v>
          </cell>
          <cell r="AR211">
            <v>310</v>
          </cell>
          <cell r="AS211">
            <v>313</v>
          </cell>
          <cell r="AT211">
            <v>313</v>
          </cell>
        </row>
        <row r="213">
          <cell r="B213">
            <v>18</v>
          </cell>
          <cell r="C213">
            <v>56</v>
          </cell>
          <cell r="D213">
            <v>152</v>
          </cell>
          <cell r="E213">
            <v>201</v>
          </cell>
          <cell r="F213">
            <v>298</v>
          </cell>
          <cell r="G213">
            <v>320</v>
          </cell>
          <cell r="H213">
            <v>288.7672</v>
          </cell>
          <cell r="I213">
            <v>268</v>
          </cell>
          <cell r="J213">
            <v>85</v>
          </cell>
          <cell r="K213">
            <v>118</v>
          </cell>
          <cell r="L213">
            <v>80</v>
          </cell>
          <cell r="M213">
            <v>83</v>
          </cell>
          <cell r="N213">
            <v>366</v>
          </cell>
          <cell r="O213">
            <v>58</v>
          </cell>
          <cell r="P213">
            <v>68</v>
          </cell>
          <cell r="Q213">
            <v>65</v>
          </cell>
          <cell r="R213">
            <v>65</v>
          </cell>
          <cell r="S213">
            <v>256</v>
          </cell>
          <cell r="T213">
            <v>57</v>
          </cell>
          <cell r="U213">
            <v>59</v>
          </cell>
          <cell r="V213">
            <v>52</v>
          </cell>
          <cell r="W213">
            <v>55</v>
          </cell>
          <cell r="X213">
            <v>223</v>
          </cell>
          <cell r="Y213">
            <v>31.574999999999999</v>
          </cell>
          <cell r="Z213">
            <v>35.075000000000003</v>
          </cell>
          <cell r="AA213">
            <v>28.475000000000001</v>
          </cell>
          <cell r="AB213">
            <v>32.774999999999999</v>
          </cell>
          <cell r="AC213">
            <v>127.9</v>
          </cell>
          <cell r="AD213">
            <v>43</v>
          </cell>
          <cell r="AE213">
            <v>38</v>
          </cell>
          <cell r="AF213">
            <v>28</v>
          </cell>
          <cell r="AG213">
            <v>32</v>
          </cell>
          <cell r="AH213">
            <v>141</v>
          </cell>
          <cell r="AI213">
            <v>42</v>
          </cell>
          <cell r="AJ213">
            <v>37</v>
          </cell>
          <cell r="AK213">
            <v>27</v>
          </cell>
          <cell r="AL213">
            <v>30</v>
          </cell>
          <cell r="AM213">
            <v>136</v>
          </cell>
          <cell r="AN213">
            <v>78.393200000000007</v>
          </cell>
          <cell r="AO213">
            <v>78.393200000000007</v>
          </cell>
          <cell r="AP213">
            <v>56.0946</v>
          </cell>
          <cell r="AQ213">
            <v>37.176600000000001</v>
          </cell>
          <cell r="AR213">
            <v>32.097000000000001</v>
          </cell>
          <cell r="AS213">
            <v>32.097000000000001</v>
          </cell>
          <cell r="AT213">
            <v>32.097000000000001</v>
          </cell>
        </row>
        <row r="215">
          <cell r="G215">
            <v>31</v>
          </cell>
          <cell r="H215">
            <v>3</v>
          </cell>
          <cell r="I215">
            <v>38</v>
          </cell>
          <cell r="J215">
            <v>24</v>
          </cell>
          <cell r="K215">
            <v>46</v>
          </cell>
          <cell r="L215">
            <v>13</v>
          </cell>
          <cell r="M215">
            <v>24</v>
          </cell>
          <cell r="N215">
            <v>107</v>
          </cell>
          <cell r="O215">
            <v>12</v>
          </cell>
          <cell r="P215">
            <v>20</v>
          </cell>
          <cell r="Q215">
            <v>18</v>
          </cell>
          <cell r="R215">
            <v>24</v>
          </cell>
          <cell r="S215">
            <v>74</v>
          </cell>
          <cell r="T215">
            <v>19</v>
          </cell>
          <cell r="U215">
            <v>24</v>
          </cell>
          <cell r="V215">
            <v>16</v>
          </cell>
          <cell r="W215">
            <v>21</v>
          </cell>
          <cell r="X215">
            <v>80</v>
          </cell>
          <cell r="Y215">
            <v>0</v>
          </cell>
          <cell r="Z215">
            <v>5.7</v>
          </cell>
          <cell r="AA215">
            <v>0</v>
          </cell>
          <cell r="AB215">
            <v>5.4</v>
          </cell>
          <cell r="AC215">
            <v>11.1</v>
          </cell>
          <cell r="AD215">
            <v>12</v>
          </cell>
          <cell r="AE215">
            <v>1</v>
          </cell>
          <cell r="AF215">
            <v>0</v>
          </cell>
          <cell r="AG215">
            <v>5</v>
          </cell>
          <cell r="AH215">
            <v>18</v>
          </cell>
          <cell r="AI215">
            <v>11</v>
          </cell>
          <cell r="AJ215">
            <v>0</v>
          </cell>
          <cell r="AK215">
            <v>0</v>
          </cell>
          <cell r="AL215">
            <v>5</v>
          </cell>
          <cell r="AM215">
            <v>16</v>
          </cell>
          <cell r="AN215">
            <v>18.414000000000001</v>
          </cell>
          <cell r="AO215">
            <v>18.414000000000001</v>
          </cell>
          <cell r="AP215">
            <v>18.414000000000001</v>
          </cell>
          <cell r="AQ215">
            <v>18.414000000000001</v>
          </cell>
          <cell r="AR215">
            <v>18.414000000000001</v>
          </cell>
          <cell r="AS215">
            <v>18.414000000000001</v>
          </cell>
          <cell r="AT215">
            <v>18.414000000000001</v>
          </cell>
        </row>
        <row r="216">
          <cell r="B216">
            <v>0</v>
          </cell>
          <cell r="C216">
            <v>0</v>
          </cell>
          <cell r="D216">
            <v>0</v>
          </cell>
          <cell r="E216">
            <v>0</v>
          </cell>
          <cell r="F216">
            <v>273.49821600000001</v>
          </cell>
          <cell r="G216">
            <v>286.10000000000002</v>
          </cell>
          <cell r="H216">
            <v>285.7672</v>
          </cell>
          <cell r="I216">
            <v>230</v>
          </cell>
          <cell r="J216">
            <v>61</v>
          </cell>
          <cell r="K216">
            <v>72</v>
          </cell>
          <cell r="L216">
            <v>67</v>
          </cell>
          <cell r="M216">
            <v>59</v>
          </cell>
          <cell r="N216">
            <v>259</v>
          </cell>
          <cell r="O216">
            <v>46</v>
          </cell>
          <cell r="P216">
            <v>48</v>
          </cell>
          <cell r="Q216">
            <v>47</v>
          </cell>
          <cell r="R216">
            <v>41</v>
          </cell>
          <cell r="S216">
            <v>182</v>
          </cell>
          <cell r="T216">
            <v>38</v>
          </cell>
          <cell r="U216">
            <v>35</v>
          </cell>
          <cell r="V216">
            <v>36</v>
          </cell>
          <cell r="W216">
            <v>34</v>
          </cell>
          <cell r="X216">
            <v>143</v>
          </cell>
          <cell r="Y216">
            <v>31.574999999999999</v>
          </cell>
          <cell r="Z216">
            <v>29.375</v>
          </cell>
          <cell r="AA216">
            <v>28.475000000000001</v>
          </cell>
          <cell r="AB216">
            <v>27.375</v>
          </cell>
          <cell r="AC216">
            <v>116.8</v>
          </cell>
          <cell r="AD216">
            <v>31</v>
          </cell>
          <cell r="AE216">
            <v>37</v>
          </cell>
          <cell r="AF216">
            <v>28</v>
          </cell>
          <cell r="AG216">
            <v>27</v>
          </cell>
          <cell r="AH216">
            <v>123</v>
          </cell>
          <cell r="AI216">
            <v>31</v>
          </cell>
          <cell r="AJ216">
            <v>37</v>
          </cell>
          <cell r="AK216">
            <v>27</v>
          </cell>
          <cell r="AL216">
            <v>25</v>
          </cell>
          <cell r="AM216">
            <v>120</v>
          </cell>
          <cell r="AN216">
            <v>59.979199999999999</v>
          </cell>
          <cell r="AO216">
            <v>59.979199999999999</v>
          </cell>
          <cell r="AP216">
            <v>37.680599999999998</v>
          </cell>
          <cell r="AQ216">
            <v>18.762599999999999</v>
          </cell>
          <cell r="AR216">
            <v>13.683</v>
          </cell>
          <cell r="AS216">
            <v>13.683</v>
          </cell>
          <cell r="AT216">
            <v>13.683</v>
          </cell>
        </row>
        <row r="217">
          <cell r="B217">
            <v>0</v>
          </cell>
          <cell r="C217">
            <v>0</v>
          </cell>
          <cell r="D217">
            <v>0</v>
          </cell>
          <cell r="E217">
            <v>0</v>
          </cell>
          <cell r="F217">
            <v>273.49821600000001</v>
          </cell>
          <cell r="G217">
            <v>243.10000000000002</v>
          </cell>
          <cell r="H217">
            <v>105.76719999999999</v>
          </cell>
          <cell r="I217">
            <v>141.73830000000001</v>
          </cell>
          <cell r="J217">
            <v>38.05192473524999</v>
          </cell>
          <cell r="K217">
            <v>38.05192473524999</v>
          </cell>
          <cell r="L217">
            <v>38.05192473524999</v>
          </cell>
          <cell r="M217">
            <v>38.05192473524999</v>
          </cell>
          <cell r="N217">
            <v>152.20769894099996</v>
          </cell>
          <cell r="O217">
            <v>18.950358575000003</v>
          </cell>
          <cell r="P217">
            <v>18.702049774999999</v>
          </cell>
          <cell r="Q217">
            <v>18.779646275000001</v>
          </cell>
          <cell r="R217">
            <v>18.669717900000002</v>
          </cell>
          <cell r="S217">
            <v>75.103065799999996</v>
          </cell>
          <cell r="T217">
            <v>24.7723375152</v>
          </cell>
          <cell r="U217">
            <v>23.213946715300001</v>
          </cell>
          <cell r="V217">
            <v>22.983896380499996</v>
          </cell>
          <cell r="W217">
            <v>21.672154158000001</v>
          </cell>
          <cell r="X217">
            <v>92.617335765900009</v>
          </cell>
          <cell r="Y217">
            <v>20.157270011999998</v>
          </cell>
          <cell r="Z217">
            <v>18.318234858</v>
          </cell>
          <cell r="AA217">
            <v>17.564090708000002</v>
          </cell>
          <cell r="AB217">
            <v>16.235203500000001</v>
          </cell>
          <cell r="AC217">
            <v>72.277715581999999</v>
          </cell>
          <cell r="AD217">
            <v>20.288800267136295</v>
          </cell>
          <cell r="AE217">
            <v>21.252990150895243</v>
          </cell>
          <cell r="AF217">
            <v>20.323842632222838</v>
          </cell>
          <cell r="AG217">
            <v>18.996831582761793</v>
          </cell>
          <cell r="AH217">
            <v>86.137749999999997</v>
          </cell>
          <cell r="AI217">
            <v>20.288800267136295</v>
          </cell>
          <cell r="AJ217">
            <v>21.252990150895243</v>
          </cell>
          <cell r="AK217">
            <v>20.323842632222838</v>
          </cell>
          <cell r="AL217">
            <v>18.996831582761793</v>
          </cell>
          <cell r="AM217">
            <v>80.859220028043239</v>
          </cell>
          <cell r="AN217">
            <v>58.995199999999997</v>
          </cell>
          <cell r="AO217">
            <v>58.995199999999997</v>
          </cell>
          <cell r="AP217">
            <v>36.696599999999997</v>
          </cell>
          <cell r="AQ217">
            <v>17.778600000000001</v>
          </cell>
          <cell r="AR217">
            <v>12.699</v>
          </cell>
          <cell r="AS217">
            <v>12.699</v>
          </cell>
          <cell r="AT217">
            <v>12.699</v>
          </cell>
        </row>
        <row r="218">
          <cell r="G218">
            <v>43</v>
          </cell>
          <cell r="H218">
            <v>180</v>
          </cell>
          <cell r="I218">
            <v>88.26169999999999</v>
          </cell>
          <cell r="J218">
            <v>22.94807526475001</v>
          </cell>
          <cell r="K218">
            <v>33.94807526475001</v>
          </cell>
          <cell r="L218">
            <v>28.94807526475001</v>
          </cell>
          <cell r="M218">
            <v>20.94807526475001</v>
          </cell>
          <cell r="N218">
            <v>106.79230105900004</v>
          </cell>
          <cell r="O218">
            <v>27.049641424999997</v>
          </cell>
          <cell r="P218">
            <v>29.297950225000001</v>
          </cell>
          <cell r="Q218">
            <v>28.220353724999999</v>
          </cell>
          <cell r="R218">
            <v>22.330282099999998</v>
          </cell>
          <cell r="S218">
            <v>106.898227475</v>
          </cell>
          <cell r="T218">
            <v>13.2276624848</v>
          </cell>
          <cell r="U218">
            <v>11.786053284699999</v>
          </cell>
          <cell r="V218">
            <v>13.016103619500004</v>
          </cell>
          <cell r="W218">
            <v>12.327845841999999</v>
          </cell>
          <cell r="X218">
            <v>50.357665230999999</v>
          </cell>
          <cell r="Y218">
            <v>11.417729988000001</v>
          </cell>
          <cell r="Z218">
            <v>11.056765142</v>
          </cell>
          <cell r="AA218">
            <v>10.910909291999999</v>
          </cell>
          <cell r="AB218">
            <v>11.139796499999999</v>
          </cell>
          <cell r="AC218">
            <v>44.525200921999996</v>
          </cell>
          <cell r="AD218">
            <v>10.711199732863705</v>
          </cell>
          <cell r="AE218">
            <v>15.747009849104757</v>
          </cell>
          <cell r="AF218">
            <v>7.6761573677771615</v>
          </cell>
          <cell r="AG218">
            <v>8.0031684172382072</v>
          </cell>
          <cell r="AH218">
            <v>42.137535366983833</v>
          </cell>
          <cell r="AI218">
            <v>10.711199732863705</v>
          </cell>
          <cell r="AJ218">
            <v>15.747009849104757</v>
          </cell>
          <cell r="AK218">
            <v>6.6761573677771615</v>
          </cell>
          <cell r="AL218">
            <v>6.0031684172382072</v>
          </cell>
          <cell r="AM218">
            <v>39.140779971956761</v>
          </cell>
          <cell r="AN218">
            <v>0.98399999999999987</v>
          </cell>
          <cell r="AO218">
            <v>0.98399999999999987</v>
          </cell>
          <cell r="AP218">
            <v>0.98399999999999987</v>
          </cell>
          <cell r="AQ218">
            <v>0.98399999999999987</v>
          </cell>
          <cell r="AR218">
            <v>0.98399999999999987</v>
          </cell>
          <cell r="AS218">
            <v>0.98399999999999987</v>
          </cell>
          <cell r="AT218">
            <v>0.98399999999999987</v>
          </cell>
        </row>
        <row r="220">
          <cell r="B220">
            <v>0</v>
          </cell>
          <cell r="C220">
            <v>0</v>
          </cell>
          <cell r="D220">
            <v>0</v>
          </cell>
          <cell r="E220">
            <v>68</v>
          </cell>
          <cell r="F220">
            <v>29</v>
          </cell>
          <cell r="G220">
            <v>82</v>
          </cell>
          <cell r="H220">
            <v>61</v>
          </cell>
          <cell r="I220">
            <v>35</v>
          </cell>
          <cell r="J220">
            <v>12</v>
          </cell>
          <cell r="K220">
            <v>8</v>
          </cell>
          <cell r="L220">
            <v>12</v>
          </cell>
          <cell r="M220">
            <v>11</v>
          </cell>
          <cell r="N220">
            <v>43</v>
          </cell>
          <cell r="O220">
            <v>11</v>
          </cell>
          <cell r="P220">
            <v>11</v>
          </cell>
          <cell r="Q220">
            <v>8</v>
          </cell>
          <cell r="R220">
            <v>10</v>
          </cell>
          <cell r="S220">
            <v>40</v>
          </cell>
          <cell r="T220">
            <v>12</v>
          </cell>
          <cell r="U220">
            <v>12</v>
          </cell>
          <cell r="V220">
            <v>33</v>
          </cell>
          <cell r="W220">
            <v>33</v>
          </cell>
          <cell r="X220">
            <v>90</v>
          </cell>
          <cell r="Y220">
            <v>0</v>
          </cell>
          <cell r="Z220">
            <v>0</v>
          </cell>
          <cell r="AA220">
            <v>0</v>
          </cell>
          <cell r="AB220">
            <v>0</v>
          </cell>
          <cell r="AC220">
            <v>0</v>
          </cell>
          <cell r="AD220">
            <v>3</v>
          </cell>
          <cell r="AE220">
            <v>3</v>
          </cell>
          <cell r="AF220">
            <v>0</v>
          </cell>
          <cell r="AG220">
            <v>0</v>
          </cell>
          <cell r="AH220">
            <v>6</v>
          </cell>
          <cell r="AI220">
            <v>22</v>
          </cell>
          <cell r="AJ220">
            <v>23</v>
          </cell>
          <cell r="AK220">
            <v>22</v>
          </cell>
          <cell r="AL220">
            <v>23</v>
          </cell>
          <cell r="AM220">
            <v>90</v>
          </cell>
          <cell r="AN220">
            <v>0</v>
          </cell>
          <cell r="AO220">
            <v>0</v>
          </cell>
          <cell r="AP220">
            <v>0</v>
          </cell>
          <cell r="AQ220">
            <v>0</v>
          </cell>
          <cell r="AR220">
            <v>0</v>
          </cell>
          <cell r="AS220">
            <v>0</v>
          </cell>
          <cell r="AT220">
            <v>0</v>
          </cell>
        </row>
        <row r="222">
          <cell r="B222">
            <v>821</v>
          </cell>
          <cell r="C222">
            <v>946</v>
          </cell>
          <cell r="D222">
            <v>984</v>
          </cell>
          <cell r="E222">
            <v>438</v>
          </cell>
          <cell r="F222">
            <v>307</v>
          </cell>
          <cell r="G222">
            <v>339</v>
          </cell>
          <cell r="H222">
            <v>330</v>
          </cell>
          <cell r="I222">
            <v>397</v>
          </cell>
          <cell r="J222">
            <v>113</v>
          </cell>
          <cell r="K222">
            <v>107</v>
          </cell>
          <cell r="L222">
            <v>105</v>
          </cell>
          <cell r="M222">
            <v>95</v>
          </cell>
          <cell r="N222">
            <v>420</v>
          </cell>
          <cell r="O222">
            <v>77</v>
          </cell>
          <cell r="P222">
            <v>89</v>
          </cell>
          <cell r="Q222">
            <v>90</v>
          </cell>
          <cell r="R222">
            <v>85</v>
          </cell>
          <cell r="S222">
            <v>341</v>
          </cell>
          <cell r="T222">
            <v>75</v>
          </cell>
          <cell r="U222">
            <v>83</v>
          </cell>
          <cell r="V222">
            <v>88</v>
          </cell>
          <cell r="W222">
            <v>83</v>
          </cell>
          <cell r="X222">
            <v>329</v>
          </cell>
          <cell r="Y222">
            <v>71.015852820000006</v>
          </cell>
          <cell r="Z222">
            <v>66.03534762000001</v>
          </cell>
          <cell r="AA222">
            <v>61.80549408000001</v>
          </cell>
          <cell r="AB222">
            <v>56.487131580000003</v>
          </cell>
          <cell r="AC222">
            <v>255.3438261</v>
          </cell>
          <cell r="AD222">
            <v>52.012078142979028</v>
          </cell>
          <cell r="AE222">
            <v>44.048354131169567</v>
          </cell>
          <cell r="AF222">
            <v>60.68281750326674</v>
          </cell>
          <cell r="AG222">
            <v>56.410630003266739</v>
          </cell>
          <cell r="AH222">
            <v>213.15387978068208</v>
          </cell>
          <cell r="AI222">
            <v>81</v>
          </cell>
          <cell r="AJ222">
            <v>81</v>
          </cell>
          <cell r="AK222">
            <v>78</v>
          </cell>
          <cell r="AL222">
            <v>70</v>
          </cell>
          <cell r="AM222">
            <v>310</v>
          </cell>
          <cell r="AN222">
            <v>164.21296198873992</v>
          </cell>
          <cell r="AO222">
            <v>164.21296198873992</v>
          </cell>
          <cell r="AP222">
            <v>152.17386062210898</v>
          </cell>
          <cell r="AQ222">
            <v>157.4430244171742</v>
          </cell>
          <cell r="AR222">
            <v>158.00073295140376</v>
          </cell>
          <cell r="AS222">
            <v>149.78517645920957</v>
          </cell>
          <cell r="AT222">
            <v>133.31541166886348</v>
          </cell>
        </row>
        <row r="224">
          <cell r="B224">
            <v>576</v>
          </cell>
          <cell r="C224">
            <v>553</v>
          </cell>
          <cell r="D224">
            <v>538</v>
          </cell>
          <cell r="E224">
            <v>372</v>
          </cell>
          <cell r="F224">
            <v>236</v>
          </cell>
          <cell r="G224">
            <v>237</v>
          </cell>
          <cell r="H224">
            <v>224</v>
          </cell>
          <cell r="I224">
            <v>300</v>
          </cell>
          <cell r="J224">
            <v>83</v>
          </cell>
          <cell r="K224">
            <v>78</v>
          </cell>
          <cell r="L224">
            <v>72</v>
          </cell>
          <cell r="M224">
            <v>68</v>
          </cell>
          <cell r="N224">
            <v>301</v>
          </cell>
          <cell r="O224">
            <v>61</v>
          </cell>
          <cell r="P224">
            <v>67</v>
          </cell>
          <cell r="Q224">
            <v>64</v>
          </cell>
          <cell r="R224">
            <v>61</v>
          </cell>
          <cell r="S224">
            <v>253</v>
          </cell>
          <cell r="T224">
            <v>52</v>
          </cell>
          <cell r="U224">
            <v>52</v>
          </cell>
          <cell r="V224">
            <v>50</v>
          </cell>
          <cell r="W224">
            <v>49</v>
          </cell>
          <cell r="X224">
            <v>203</v>
          </cell>
          <cell r="Y224">
            <v>52.057499999999997</v>
          </cell>
          <cell r="Z224">
            <v>46.633125</v>
          </cell>
          <cell r="AA224">
            <v>41.033437499999998</v>
          </cell>
          <cell r="AB224">
            <v>35.454374999999999</v>
          </cell>
          <cell r="AC224">
            <v>175.1784375</v>
          </cell>
          <cell r="AD224">
            <v>46</v>
          </cell>
          <cell r="AE224">
            <v>53</v>
          </cell>
          <cell r="AF224">
            <v>44.773203125000002</v>
          </cell>
          <cell r="AG224">
            <v>40.501015625000001</v>
          </cell>
          <cell r="AH224">
            <v>184.27421875000002</v>
          </cell>
          <cell r="AI224">
            <v>47</v>
          </cell>
          <cell r="AJ224">
            <v>47</v>
          </cell>
          <cell r="AK224">
            <v>46</v>
          </cell>
          <cell r="AL224">
            <v>45</v>
          </cell>
          <cell r="AM224">
            <v>185</v>
          </cell>
          <cell r="AN224">
            <v>119.81693749999999</v>
          </cell>
          <cell r="AO224">
            <v>119.81693749999999</v>
          </cell>
          <cell r="AP224">
            <v>83.052249999999987</v>
          </cell>
          <cell r="AQ224">
            <v>63.527249999999995</v>
          </cell>
          <cell r="AR224">
            <v>56.427249999999994</v>
          </cell>
          <cell r="AS224">
            <v>40.452249999999999</v>
          </cell>
          <cell r="AT224">
            <v>15.602249999999998</v>
          </cell>
        </row>
        <row r="225">
          <cell r="B225">
            <v>245</v>
          </cell>
          <cell r="C225">
            <v>393</v>
          </cell>
          <cell r="D225">
            <v>446</v>
          </cell>
          <cell r="E225">
            <v>66</v>
          </cell>
          <cell r="F225">
            <v>71</v>
          </cell>
          <cell r="G225">
            <v>102</v>
          </cell>
          <cell r="H225">
            <v>106</v>
          </cell>
          <cell r="I225">
            <v>97</v>
          </cell>
          <cell r="J225">
            <v>30</v>
          </cell>
          <cell r="K225">
            <v>29</v>
          </cell>
          <cell r="L225">
            <v>33</v>
          </cell>
          <cell r="M225">
            <v>27</v>
          </cell>
          <cell r="N225">
            <v>119</v>
          </cell>
          <cell r="O225">
            <v>16</v>
          </cell>
          <cell r="P225">
            <v>22</v>
          </cell>
          <cell r="Q225">
            <v>26</v>
          </cell>
          <cell r="R225">
            <v>24</v>
          </cell>
          <cell r="S225">
            <v>88</v>
          </cell>
          <cell r="T225">
            <v>23</v>
          </cell>
          <cell r="U225">
            <v>31</v>
          </cell>
          <cell r="V225">
            <v>38</v>
          </cell>
          <cell r="W225">
            <v>34</v>
          </cell>
          <cell r="X225">
            <v>126</v>
          </cell>
          <cell r="Y225">
            <v>18.958352820000002</v>
          </cell>
          <cell r="Z225">
            <v>19.402222620000003</v>
          </cell>
          <cell r="AA225">
            <v>20.772056580000005</v>
          </cell>
          <cell r="AB225">
            <v>21.032756580000004</v>
          </cell>
          <cell r="AC225">
            <v>80.165388600000014</v>
          </cell>
          <cell r="AD225">
            <v>6.0120781429790284</v>
          </cell>
          <cell r="AE225">
            <v>-8.9516458688304326</v>
          </cell>
          <cell r="AF225">
            <v>15.909614378266737</v>
          </cell>
          <cell r="AG225">
            <v>15.909614378266737</v>
          </cell>
          <cell r="AH225">
            <v>28.879661030682069</v>
          </cell>
          <cell r="AI225">
            <v>34</v>
          </cell>
          <cell r="AJ225">
            <v>34</v>
          </cell>
          <cell r="AK225">
            <v>32</v>
          </cell>
          <cell r="AL225">
            <v>25</v>
          </cell>
          <cell r="AM225">
            <v>125</v>
          </cell>
          <cell r="AN225">
            <v>44.396024488739926</v>
          </cell>
          <cell r="AO225">
            <v>44.396024488739926</v>
          </cell>
          <cell r="AP225">
            <v>69.121610622108975</v>
          </cell>
          <cell r="AQ225">
            <v>93.915774417174205</v>
          </cell>
          <cell r="AR225">
            <v>101.57348295140376</v>
          </cell>
          <cell r="AS225">
            <v>109.33292645920957</v>
          </cell>
          <cell r="AT225">
            <v>117.71316166886346</v>
          </cell>
        </row>
        <row r="228">
          <cell r="Y228">
            <v>25.945338387673221</v>
          </cell>
          <cell r="Z228">
            <v>31.686432137673222</v>
          </cell>
          <cell r="AA228">
            <v>37.42752588767322</v>
          </cell>
          <cell r="AB228">
            <v>43.168619637673217</v>
          </cell>
          <cell r="AC228">
            <v>138.2279160506929</v>
          </cell>
          <cell r="AD228">
            <v>23.987921857020972</v>
          </cell>
          <cell r="AE228">
            <v>29.951645868830433</v>
          </cell>
          <cell r="AF228">
            <v>34.846317205764727</v>
          </cell>
          <cell r="AG228">
            <v>40.191473455764729</v>
          </cell>
          <cell r="AH228">
            <v>128.97735838738086</v>
          </cell>
          <cell r="AN228">
            <v>226.5291086771347</v>
          </cell>
          <cell r="AO228">
            <v>226.5291086771347</v>
          </cell>
          <cell r="AP228">
            <v>365.0906086771347</v>
          </cell>
          <cell r="AQ228">
            <v>426.79210867713471</v>
          </cell>
          <cell r="AR228">
            <v>408.8886086771347</v>
          </cell>
          <cell r="AS228">
            <v>481</v>
          </cell>
          <cell r="AT228">
            <v>453</v>
          </cell>
        </row>
        <row r="230">
          <cell r="B230">
            <v>-91</v>
          </cell>
          <cell r="C230">
            <v>-147</v>
          </cell>
          <cell r="D230">
            <v>-187</v>
          </cell>
          <cell r="E230">
            <v>-283</v>
          </cell>
          <cell r="F230">
            <v>-349</v>
          </cell>
          <cell r="G230">
            <v>-353</v>
          </cell>
          <cell r="H230">
            <v>-323</v>
          </cell>
          <cell r="I230">
            <v>-17</v>
          </cell>
          <cell r="J230">
            <v>73</v>
          </cell>
          <cell r="K230">
            <v>37</v>
          </cell>
          <cell r="L230">
            <v>62</v>
          </cell>
          <cell r="M230">
            <v>22</v>
          </cell>
          <cell r="N230">
            <v>194</v>
          </cell>
          <cell r="O230">
            <v>14</v>
          </cell>
          <cell r="P230">
            <v>56</v>
          </cell>
          <cell r="Q230">
            <v>66</v>
          </cell>
          <cell r="R230">
            <v>89</v>
          </cell>
          <cell r="S230">
            <v>225</v>
          </cell>
          <cell r="T230">
            <v>12</v>
          </cell>
          <cell r="U230">
            <v>-6</v>
          </cell>
          <cell r="V230">
            <v>-39</v>
          </cell>
          <cell r="W230">
            <v>-18</v>
          </cell>
          <cell r="X230">
            <v>-51</v>
          </cell>
          <cell r="Y230">
            <v>-28.736922598010352</v>
          </cell>
          <cell r="Z230">
            <v>-33.168102826269006</v>
          </cell>
          <cell r="AA230">
            <v>-34.962871037811382</v>
          </cell>
          <cell r="AB230">
            <v>-32.37775846656745</v>
          </cell>
          <cell r="AC230">
            <v>-129.24565492865818</v>
          </cell>
          <cell r="AD230">
            <v>9</v>
          </cell>
          <cell r="AE230">
            <v>32</v>
          </cell>
          <cell r="AF230">
            <v>-30</v>
          </cell>
          <cell r="AG230">
            <v>-32</v>
          </cell>
          <cell r="AH230">
            <v>-21</v>
          </cell>
          <cell r="AI230">
            <v>9</v>
          </cell>
          <cell r="AJ230">
            <v>32</v>
          </cell>
          <cell r="AK230">
            <v>-18</v>
          </cell>
          <cell r="AL230">
            <v>7</v>
          </cell>
          <cell r="AM230">
            <v>30</v>
          </cell>
          <cell r="AN230">
            <v>30.225000000000023</v>
          </cell>
          <cell r="AO230">
            <v>30.225000000000023</v>
          </cell>
          <cell r="AP230">
            <v>30.499050000000011</v>
          </cell>
          <cell r="AQ230">
            <v>43.793531950000101</v>
          </cell>
          <cell r="AR230">
            <v>44.109402589000069</v>
          </cell>
          <cell r="AS230">
            <v>44.431590640780087</v>
          </cell>
          <cell r="AT230">
            <v>44.760222453595702</v>
          </cell>
        </row>
        <row r="232">
          <cell r="B232">
            <v>137</v>
          </cell>
          <cell r="C232">
            <v>87</v>
          </cell>
          <cell r="D232">
            <v>197</v>
          </cell>
          <cell r="E232">
            <v>432</v>
          </cell>
          <cell r="F232">
            <v>353</v>
          </cell>
          <cell r="G232">
            <v>520</v>
          </cell>
          <cell r="H232">
            <v>452</v>
          </cell>
          <cell r="I232">
            <v>606</v>
          </cell>
          <cell r="J232">
            <v>135</v>
          </cell>
          <cell r="K232">
            <v>81</v>
          </cell>
          <cell r="L232">
            <v>115</v>
          </cell>
          <cell r="M232">
            <v>82</v>
          </cell>
          <cell r="N232">
            <v>413</v>
          </cell>
          <cell r="O232">
            <v>84</v>
          </cell>
          <cell r="P232">
            <v>137</v>
          </cell>
          <cell r="Q232">
            <v>156</v>
          </cell>
          <cell r="R232">
            <v>149</v>
          </cell>
          <cell r="S232">
            <v>526</v>
          </cell>
          <cell r="T232">
            <v>120</v>
          </cell>
          <cell r="U232">
            <v>150</v>
          </cell>
          <cell r="V232">
            <v>131</v>
          </cell>
          <cell r="W232">
            <v>144</v>
          </cell>
          <cell r="X232">
            <v>545</v>
          </cell>
          <cell r="Y232">
            <v>109</v>
          </cell>
          <cell r="Z232">
            <v>109</v>
          </cell>
          <cell r="AA232">
            <v>109</v>
          </cell>
          <cell r="AB232">
            <v>109</v>
          </cell>
          <cell r="AC232">
            <v>436</v>
          </cell>
          <cell r="AD232">
            <v>214</v>
          </cell>
          <cell r="AE232">
            <v>192</v>
          </cell>
          <cell r="AF232">
            <v>109</v>
          </cell>
          <cell r="AG232">
            <v>109</v>
          </cell>
          <cell r="AH232">
            <v>624</v>
          </cell>
          <cell r="AI232">
            <v>144</v>
          </cell>
          <cell r="AJ232">
            <v>145</v>
          </cell>
          <cell r="AK232">
            <v>145</v>
          </cell>
          <cell r="AL232">
            <v>145</v>
          </cell>
          <cell r="AM232">
            <v>579</v>
          </cell>
          <cell r="AN232">
            <v>587.45999999999992</v>
          </cell>
          <cell r="AO232">
            <v>587.45999999999992</v>
          </cell>
          <cell r="AP232">
            <v>597.76427999999999</v>
          </cell>
          <cell r="AQ232">
            <v>621.83680131999995</v>
          </cell>
          <cell r="AR232">
            <v>633.7135373463999</v>
          </cell>
          <cell r="AS232">
            <v>645.82780809332792</v>
          </cell>
          <cell r="AT232">
            <v>658.18436425519451</v>
          </cell>
        </row>
        <row r="234">
          <cell r="B234">
            <v>2</v>
          </cell>
          <cell r="C234">
            <v>7</v>
          </cell>
          <cell r="D234">
            <v>0</v>
          </cell>
          <cell r="E234">
            <v>0</v>
          </cell>
          <cell r="F234">
            <v>0</v>
          </cell>
          <cell r="G234">
            <v>12</v>
          </cell>
          <cell r="H234">
            <v>12</v>
          </cell>
          <cell r="I234">
            <v>12</v>
          </cell>
          <cell r="J234">
            <v>3</v>
          </cell>
          <cell r="K234">
            <v>3</v>
          </cell>
          <cell r="L234">
            <v>3</v>
          </cell>
          <cell r="M234">
            <v>4</v>
          </cell>
          <cell r="N234">
            <v>13</v>
          </cell>
          <cell r="O234">
            <v>7</v>
          </cell>
          <cell r="P234">
            <v>9</v>
          </cell>
          <cell r="Q234">
            <v>3</v>
          </cell>
          <cell r="R234">
            <v>3</v>
          </cell>
          <cell r="S234">
            <v>22</v>
          </cell>
          <cell r="T234">
            <v>32</v>
          </cell>
          <cell r="U234">
            <v>15</v>
          </cell>
          <cell r="V234">
            <v>10</v>
          </cell>
          <cell r="W234">
            <v>3</v>
          </cell>
          <cell r="X234">
            <v>60</v>
          </cell>
          <cell r="Y234">
            <v>6</v>
          </cell>
          <cell r="Z234">
            <v>6</v>
          </cell>
          <cell r="AA234">
            <v>6</v>
          </cell>
          <cell r="AB234">
            <v>6</v>
          </cell>
          <cell r="AC234">
            <v>24</v>
          </cell>
          <cell r="AD234">
            <v>3</v>
          </cell>
          <cell r="AE234">
            <v>4</v>
          </cell>
          <cell r="AF234">
            <v>6</v>
          </cell>
          <cell r="AG234">
            <v>6</v>
          </cell>
          <cell r="AH234">
            <v>19</v>
          </cell>
          <cell r="AI234">
            <v>3</v>
          </cell>
          <cell r="AJ234">
            <v>4</v>
          </cell>
          <cell r="AK234">
            <v>4</v>
          </cell>
          <cell r="AL234">
            <v>4</v>
          </cell>
          <cell r="AM234">
            <v>15</v>
          </cell>
          <cell r="AN234">
            <v>15</v>
          </cell>
          <cell r="AO234">
            <v>15</v>
          </cell>
          <cell r="AP234">
            <v>15</v>
          </cell>
          <cell r="AQ234">
            <v>28</v>
          </cell>
          <cell r="AR234">
            <v>28</v>
          </cell>
          <cell r="AS234">
            <v>28</v>
          </cell>
          <cell r="AT234">
            <v>28</v>
          </cell>
        </row>
        <row r="235">
          <cell r="B235">
            <v>135</v>
          </cell>
          <cell r="C235">
            <v>80</v>
          </cell>
          <cell r="D235">
            <v>197</v>
          </cell>
          <cell r="E235">
            <v>432</v>
          </cell>
          <cell r="F235">
            <v>353</v>
          </cell>
          <cell r="G235">
            <v>508</v>
          </cell>
          <cell r="H235">
            <v>440</v>
          </cell>
          <cell r="I235">
            <v>594</v>
          </cell>
          <cell r="J235">
            <v>132</v>
          </cell>
          <cell r="K235">
            <v>78</v>
          </cell>
          <cell r="L235">
            <v>112</v>
          </cell>
          <cell r="M235">
            <v>78</v>
          </cell>
          <cell r="N235">
            <v>400</v>
          </cell>
          <cell r="O235">
            <v>77</v>
          </cell>
          <cell r="P235">
            <v>128</v>
          </cell>
          <cell r="Q235">
            <v>153</v>
          </cell>
          <cell r="R235">
            <v>146</v>
          </cell>
          <cell r="S235">
            <v>504</v>
          </cell>
          <cell r="T235">
            <v>88</v>
          </cell>
          <cell r="U235">
            <v>135</v>
          </cell>
          <cell r="V235">
            <v>121</v>
          </cell>
          <cell r="W235">
            <v>141</v>
          </cell>
          <cell r="X235">
            <v>485</v>
          </cell>
          <cell r="Y235">
            <v>103</v>
          </cell>
          <cell r="Z235">
            <v>103</v>
          </cell>
          <cell r="AA235">
            <v>103</v>
          </cell>
          <cell r="AB235">
            <v>103</v>
          </cell>
          <cell r="AC235">
            <v>412</v>
          </cell>
          <cell r="AD235">
            <v>211</v>
          </cell>
          <cell r="AE235">
            <v>188</v>
          </cell>
          <cell r="AF235">
            <v>103</v>
          </cell>
          <cell r="AG235">
            <v>103</v>
          </cell>
          <cell r="AH235">
            <v>605</v>
          </cell>
          <cell r="AI235">
            <v>141</v>
          </cell>
          <cell r="AJ235">
            <v>141</v>
          </cell>
          <cell r="AK235">
            <v>141</v>
          </cell>
          <cell r="AL235">
            <v>141</v>
          </cell>
          <cell r="AM235">
            <v>564</v>
          </cell>
          <cell r="AN235">
            <v>572.45999999999992</v>
          </cell>
          <cell r="AO235">
            <v>572.45999999999992</v>
          </cell>
          <cell r="AP235">
            <v>582.76427999999999</v>
          </cell>
          <cell r="AQ235">
            <v>593.83680131999995</v>
          </cell>
          <cell r="AR235">
            <v>605.7135373463999</v>
          </cell>
          <cell r="AS235">
            <v>617.82780809332792</v>
          </cell>
          <cell r="AT235">
            <v>630.18436425519451</v>
          </cell>
        </row>
        <row r="237">
          <cell r="B237">
            <v>-228</v>
          </cell>
          <cell r="C237">
            <v>-234</v>
          </cell>
          <cell r="D237">
            <v>-384</v>
          </cell>
          <cell r="E237">
            <v>-715</v>
          </cell>
          <cell r="F237">
            <v>-702</v>
          </cell>
          <cell r="G237">
            <v>-873</v>
          </cell>
          <cell r="H237">
            <v>-775</v>
          </cell>
          <cell r="I237">
            <v>-623</v>
          </cell>
          <cell r="J237">
            <v>-62</v>
          </cell>
          <cell r="K237">
            <v>-44</v>
          </cell>
          <cell r="L237">
            <v>-53</v>
          </cell>
          <cell r="M237">
            <v>-60</v>
          </cell>
          <cell r="N237">
            <v>-219</v>
          </cell>
          <cell r="O237">
            <v>-70</v>
          </cell>
          <cell r="P237">
            <v>-81</v>
          </cell>
          <cell r="Q237">
            <v>-90</v>
          </cell>
          <cell r="R237">
            <v>-60</v>
          </cell>
          <cell r="S237">
            <v>-301</v>
          </cell>
          <cell r="T237">
            <v>-108</v>
          </cell>
          <cell r="U237">
            <v>-156</v>
          </cell>
          <cell r="V237">
            <v>-170</v>
          </cell>
          <cell r="W237">
            <v>-162</v>
          </cell>
          <cell r="X237">
            <v>-596</v>
          </cell>
          <cell r="Y237">
            <v>-137.73692259801035</v>
          </cell>
          <cell r="Z237">
            <v>-142.16810282626901</v>
          </cell>
          <cell r="AA237">
            <v>-143.9628710378114</v>
          </cell>
          <cell r="AB237">
            <v>-141.37775846656746</v>
          </cell>
          <cell r="AC237">
            <v>-565.24565492865827</v>
          </cell>
          <cell r="AD237">
            <v>-205</v>
          </cell>
          <cell r="AE237">
            <v>-160</v>
          </cell>
          <cell r="AF237">
            <v>-139</v>
          </cell>
          <cell r="AG237">
            <v>-141</v>
          </cell>
          <cell r="AH237">
            <v>-645</v>
          </cell>
          <cell r="AI237">
            <v>-135</v>
          </cell>
          <cell r="AJ237">
            <v>-113</v>
          </cell>
          <cell r="AK237">
            <v>-163</v>
          </cell>
          <cell r="AL237">
            <v>-138</v>
          </cell>
          <cell r="AM237">
            <v>-549</v>
          </cell>
          <cell r="AN237">
            <v>-557.2349999999999</v>
          </cell>
          <cell r="AO237">
            <v>-557.2349999999999</v>
          </cell>
          <cell r="AP237">
            <v>-567.26522999999997</v>
          </cell>
          <cell r="AQ237">
            <v>-578.04326936999985</v>
          </cell>
          <cell r="AR237">
            <v>-589.60413475739983</v>
          </cell>
          <cell r="AS237">
            <v>-601.39621745254783</v>
          </cell>
          <cell r="AT237">
            <v>-613.42414180159881</v>
          </cell>
        </row>
        <row r="239">
          <cell r="B239">
            <v>-20</v>
          </cell>
          <cell r="C239">
            <v>-31</v>
          </cell>
          <cell r="D239">
            <v>-16</v>
          </cell>
          <cell r="E239">
            <v>-24</v>
          </cell>
          <cell r="F239">
            <v>-33</v>
          </cell>
          <cell r="G239">
            <v>-18</v>
          </cell>
          <cell r="H239">
            <v>-22</v>
          </cell>
          <cell r="I239">
            <v>-25</v>
          </cell>
          <cell r="J239">
            <v>-31</v>
          </cell>
          <cell r="K239">
            <v>-10</v>
          </cell>
          <cell r="L239">
            <v>-4</v>
          </cell>
          <cell r="M239">
            <v>-1</v>
          </cell>
          <cell r="N239">
            <v>-46</v>
          </cell>
          <cell r="O239">
            <v>-4</v>
          </cell>
          <cell r="P239">
            <v>0</v>
          </cell>
          <cell r="Q239">
            <v>-15</v>
          </cell>
          <cell r="R239">
            <v>-17</v>
          </cell>
          <cell r="S239">
            <v>-36</v>
          </cell>
          <cell r="T239">
            <v>-8</v>
          </cell>
          <cell r="U239">
            <v>-29</v>
          </cell>
          <cell r="V239">
            <v>-23</v>
          </cell>
          <cell r="W239">
            <v>-24</v>
          </cell>
          <cell r="X239">
            <v>-84</v>
          </cell>
          <cell r="Y239">
            <v>-17</v>
          </cell>
          <cell r="Z239">
            <v>-17</v>
          </cell>
          <cell r="AA239">
            <v>-17</v>
          </cell>
          <cell r="AB239">
            <v>-17</v>
          </cell>
          <cell r="AC239">
            <v>-68</v>
          </cell>
          <cell r="AD239">
            <v>-40</v>
          </cell>
          <cell r="AE239">
            <v>-21</v>
          </cell>
          <cell r="AF239">
            <v>-17</v>
          </cell>
          <cell r="AG239">
            <v>-17</v>
          </cell>
          <cell r="AH239">
            <v>-95</v>
          </cell>
          <cell r="AI239">
            <v>-40</v>
          </cell>
          <cell r="AJ239">
            <v>-21</v>
          </cell>
          <cell r="AK239">
            <v>-16</v>
          </cell>
          <cell r="AL239">
            <v>-10</v>
          </cell>
          <cell r="AM239">
            <v>-87</v>
          </cell>
          <cell r="AN239">
            <v>-88.304999999999993</v>
          </cell>
          <cell r="AO239">
            <v>-88.304999999999993</v>
          </cell>
          <cell r="AP239">
            <v>-89.89448999999999</v>
          </cell>
          <cell r="AQ239">
            <v>-91.602485309999977</v>
          </cell>
          <cell r="AR239">
            <v>-93.434535016199973</v>
          </cell>
          <cell r="AS239">
            <v>-95.303225716523968</v>
          </cell>
          <cell r="AT239">
            <v>-97.20929023085445</v>
          </cell>
        </row>
        <row r="240">
          <cell r="B240">
            <v>-208</v>
          </cell>
          <cell r="C240">
            <v>-203</v>
          </cell>
          <cell r="D240">
            <v>-368</v>
          </cell>
          <cell r="E240">
            <v>-691</v>
          </cell>
          <cell r="F240">
            <v>-669</v>
          </cell>
          <cell r="G240">
            <v>-855</v>
          </cell>
          <cell r="H240">
            <v>-753</v>
          </cell>
          <cell r="I240">
            <v>-598</v>
          </cell>
          <cell r="J240">
            <v>-31</v>
          </cell>
          <cell r="K240">
            <v>-34</v>
          </cell>
          <cell r="L240">
            <v>-49</v>
          </cell>
          <cell r="M240">
            <v>-59</v>
          </cell>
          <cell r="N240">
            <v>-173</v>
          </cell>
          <cell r="O240">
            <v>-66</v>
          </cell>
          <cell r="P240">
            <v>-81</v>
          </cell>
          <cell r="Q240">
            <v>-75</v>
          </cell>
          <cell r="R240">
            <v>-43</v>
          </cell>
          <cell r="S240">
            <v>-265</v>
          </cell>
          <cell r="T240">
            <v>-100</v>
          </cell>
          <cell r="U240">
            <v>-127</v>
          </cell>
          <cell r="V240">
            <v>-147</v>
          </cell>
          <cell r="W240">
            <v>-138</v>
          </cell>
          <cell r="X240">
            <v>-512</v>
          </cell>
          <cell r="Y240">
            <v>-120.73692259801035</v>
          </cell>
          <cell r="Z240">
            <v>-125.16810282626901</v>
          </cell>
          <cell r="AA240">
            <v>-126.9628710378114</v>
          </cell>
          <cell r="AB240">
            <v>-124.37775846656746</v>
          </cell>
          <cell r="AC240">
            <v>-497.24565492865821</v>
          </cell>
          <cell r="AD240">
            <v>-165</v>
          </cell>
          <cell r="AE240">
            <v>-139</v>
          </cell>
          <cell r="AF240">
            <v>-122</v>
          </cell>
          <cell r="AG240">
            <v>-124</v>
          </cell>
          <cell r="AH240">
            <v>-550</v>
          </cell>
          <cell r="AI240">
            <v>-95</v>
          </cell>
          <cell r="AJ240">
            <v>-92</v>
          </cell>
          <cell r="AK240">
            <v>-147</v>
          </cell>
          <cell r="AL240">
            <v>-128</v>
          </cell>
          <cell r="AM240">
            <v>-462</v>
          </cell>
          <cell r="AN240">
            <v>-468.92999999999995</v>
          </cell>
          <cell r="AO240">
            <v>-468.92999999999995</v>
          </cell>
          <cell r="AP240">
            <v>-477.37073999999996</v>
          </cell>
          <cell r="AQ240">
            <v>-486.44078405999988</v>
          </cell>
          <cell r="AR240">
            <v>-496.16959974119987</v>
          </cell>
          <cell r="AS240">
            <v>-506.09299173602386</v>
          </cell>
          <cell r="AT240">
            <v>-516.21485157074437</v>
          </cell>
        </row>
        <row r="245">
          <cell r="B245">
            <v>-16</v>
          </cell>
          <cell r="C245">
            <v>21</v>
          </cell>
          <cell r="D245">
            <v>77</v>
          </cell>
          <cell r="E245">
            <v>96</v>
          </cell>
          <cell r="F245">
            <v>1769</v>
          </cell>
          <cell r="G245">
            <v>438</v>
          </cell>
          <cell r="H245">
            <v>-498</v>
          </cell>
          <cell r="I245">
            <v>180.2</v>
          </cell>
          <cell r="J245">
            <v>139</v>
          </cell>
          <cell r="K245">
            <v>171</v>
          </cell>
          <cell r="L245">
            <v>137</v>
          </cell>
          <cell r="M245">
            <v>239</v>
          </cell>
          <cell r="N245">
            <v>686</v>
          </cell>
          <cell r="O245">
            <v>380</v>
          </cell>
          <cell r="P245">
            <v>324</v>
          </cell>
          <cell r="Q245">
            <v>494</v>
          </cell>
          <cell r="R245">
            <v>1164</v>
          </cell>
          <cell r="S245">
            <v>2362</v>
          </cell>
          <cell r="T245">
            <v>1259</v>
          </cell>
          <cell r="U245">
            <v>162</v>
          </cell>
          <cell r="V245">
            <v>2526</v>
          </cell>
          <cell r="W245">
            <v>515</v>
          </cell>
          <cell r="X245">
            <v>4462</v>
          </cell>
          <cell r="Y245">
            <v>1431.06</v>
          </cell>
          <cell r="Z245">
            <v>1746.84</v>
          </cell>
          <cell r="AA245">
            <v>250.41</v>
          </cell>
          <cell r="AB245">
            <v>251.2</v>
          </cell>
          <cell r="AC245">
            <v>3679.51</v>
          </cell>
          <cell r="AD245">
            <v>1618</v>
          </cell>
          <cell r="AE245">
            <v>322</v>
          </cell>
          <cell r="AF245">
            <v>310.7</v>
          </cell>
          <cell r="AG245">
            <v>446.7</v>
          </cell>
          <cell r="AH245">
            <v>2697.4</v>
          </cell>
          <cell r="AI245">
            <v>1806</v>
          </cell>
          <cell r="AJ245">
            <v>701</v>
          </cell>
          <cell r="AK245">
            <v>423</v>
          </cell>
          <cell r="AL245">
            <v>632</v>
          </cell>
          <cell r="AM245">
            <v>3421</v>
          </cell>
          <cell r="AN245">
            <v>3670</v>
          </cell>
          <cell r="AO245">
            <v>3340</v>
          </cell>
          <cell r="AP245">
            <v>2639.2549627791568</v>
          </cell>
          <cell r="AQ245">
            <v>3356.5514552238801</v>
          </cell>
          <cell r="AR245">
            <v>3175.3363752902155</v>
          </cell>
          <cell r="AS245">
            <v>3116.5595808225535</v>
          </cell>
          <cell r="AT245">
            <v>3428.7136310625538</v>
          </cell>
        </row>
        <row r="247">
          <cell r="B247">
            <v>21</v>
          </cell>
          <cell r="C247">
            <v>89</v>
          </cell>
          <cell r="D247">
            <v>213</v>
          </cell>
          <cell r="E247">
            <v>451</v>
          </cell>
          <cell r="F247">
            <v>1916</v>
          </cell>
          <cell r="G247">
            <v>522</v>
          </cell>
          <cell r="H247">
            <v>229</v>
          </cell>
          <cell r="I247">
            <v>597</v>
          </cell>
          <cell r="J247">
            <v>146</v>
          </cell>
          <cell r="K247">
            <v>113</v>
          </cell>
          <cell r="L247">
            <v>76</v>
          </cell>
          <cell r="M247">
            <v>35</v>
          </cell>
          <cell r="N247">
            <v>370</v>
          </cell>
          <cell r="O247">
            <v>222.33</v>
          </cell>
          <cell r="P247">
            <v>159</v>
          </cell>
          <cell r="Q247">
            <v>402</v>
          </cell>
          <cell r="R247">
            <v>918.79</v>
          </cell>
          <cell r="S247">
            <v>1702.1200000000001</v>
          </cell>
          <cell r="T247">
            <v>1074</v>
          </cell>
          <cell r="U247">
            <v>279</v>
          </cell>
          <cell r="V247">
            <v>332</v>
          </cell>
          <cell r="W247">
            <v>265</v>
          </cell>
          <cell r="X247">
            <v>1950</v>
          </cell>
          <cell r="Y247">
            <v>1504.25</v>
          </cell>
          <cell r="Z247">
            <v>1987.25</v>
          </cell>
          <cell r="AA247">
            <v>217.25</v>
          </cell>
          <cell r="AB247">
            <v>257.25</v>
          </cell>
          <cell r="AC247">
            <v>3966</v>
          </cell>
          <cell r="AD247">
            <v>1572</v>
          </cell>
          <cell r="AE247">
            <v>295</v>
          </cell>
          <cell r="AF247">
            <v>300.7</v>
          </cell>
          <cell r="AG247">
            <v>260.7</v>
          </cell>
          <cell r="AH247">
            <v>2428.4</v>
          </cell>
          <cell r="AI247">
            <v>1618</v>
          </cell>
          <cell r="AJ247">
            <v>549</v>
          </cell>
          <cell r="AK247">
            <v>254</v>
          </cell>
          <cell r="AL247">
            <v>304</v>
          </cell>
          <cell r="AM247">
            <v>2725</v>
          </cell>
          <cell r="AN247">
            <v>1970</v>
          </cell>
          <cell r="AO247">
            <v>1640</v>
          </cell>
          <cell r="AP247">
            <v>1581.2</v>
          </cell>
          <cell r="AQ247">
            <v>1619.28</v>
          </cell>
          <cell r="AR247">
            <v>1236.8456000000001</v>
          </cell>
          <cell r="AS247">
            <v>1044.7025119999998</v>
          </cell>
          <cell r="AT247">
            <v>1356.8565622400001</v>
          </cell>
        </row>
        <row r="249">
          <cell r="B249">
            <v>21</v>
          </cell>
          <cell r="C249">
            <v>39</v>
          </cell>
          <cell r="D249">
            <v>30</v>
          </cell>
          <cell r="E249">
            <v>148</v>
          </cell>
          <cell r="F249">
            <v>189</v>
          </cell>
          <cell r="G249">
            <v>480</v>
          </cell>
          <cell r="H249">
            <v>347</v>
          </cell>
          <cell r="I249">
            <v>813</v>
          </cell>
          <cell r="J249">
            <v>150</v>
          </cell>
          <cell r="K249">
            <v>105</v>
          </cell>
          <cell r="L249">
            <v>83</v>
          </cell>
          <cell r="M249">
            <v>111</v>
          </cell>
          <cell r="N249">
            <v>449</v>
          </cell>
          <cell r="O249">
            <v>208.33</v>
          </cell>
          <cell r="P249">
            <v>202</v>
          </cell>
          <cell r="Q249">
            <v>407</v>
          </cell>
          <cell r="R249">
            <v>212.79000000000002</v>
          </cell>
          <cell r="S249">
            <v>1030.1200000000001</v>
          </cell>
          <cell r="T249">
            <v>397.70000000000005</v>
          </cell>
          <cell r="U249">
            <v>258</v>
          </cell>
          <cell r="V249">
            <v>240</v>
          </cell>
          <cell r="W249">
            <v>293</v>
          </cell>
          <cell r="X249">
            <v>1188.7</v>
          </cell>
          <cell r="Y249">
            <v>0</v>
          </cell>
          <cell r="Z249">
            <v>0</v>
          </cell>
          <cell r="AA249">
            <v>0</v>
          </cell>
          <cell r="AB249">
            <v>0</v>
          </cell>
          <cell r="AC249">
            <v>0</v>
          </cell>
          <cell r="AD249">
            <v>334</v>
          </cell>
          <cell r="AE249">
            <v>356</v>
          </cell>
          <cell r="AF249">
            <v>0</v>
          </cell>
          <cell r="AG249">
            <v>0</v>
          </cell>
          <cell r="AH249">
            <v>690</v>
          </cell>
          <cell r="AI249">
            <v>296</v>
          </cell>
          <cell r="AJ249">
            <v>225</v>
          </cell>
          <cell r="AK249">
            <v>190</v>
          </cell>
          <cell r="AL249">
            <v>255</v>
          </cell>
          <cell r="AM249">
            <v>966</v>
          </cell>
          <cell r="AN249">
            <v>700</v>
          </cell>
          <cell r="AO249">
            <v>700</v>
          </cell>
          <cell r="AP249">
            <v>714</v>
          </cell>
          <cell r="AQ249">
            <v>728.28</v>
          </cell>
          <cell r="AR249">
            <v>742.84559999999999</v>
          </cell>
          <cell r="AS249">
            <v>757.70251199999996</v>
          </cell>
          <cell r="AT249">
            <v>772.85656224000002</v>
          </cell>
        </row>
        <row r="250">
          <cell r="B250">
            <v>0</v>
          </cell>
          <cell r="C250">
            <v>0</v>
          </cell>
          <cell r="D250">
            <v>0</v>
          </cell>
          <cell r="E250">
            <v>0</v>
          </cell>
          <cell r="F250">
            <v>1469</v>
          </cell>
          <cell r="G250">
            <v>7</v>
          </cell>
          <cell r="H250">
            <v>0</v>
          </cell>
          <cell r="I250">
            <v>0</v>
          </cell>
          <cell r="J250">
            <v>0</v>
          </cell>
          <cell r="K250">
            <v>0</v>
          </cell>
          <cell r="L250">
            <v>27</v>
          </cell>
          <cell r="M250">
            <v>0</v>
          </cell>
          <cell r="N250">
            <v>27</v>
          </cell>
          <cell r="O250">
            <v>0</v>
          </cell>
          <cell r="P250">
            <v>0</v>
          </cell>
          <cell r="Q250">
            <v>12</v>
          </cell>
          <cell r="R250">
            <v>767</v>
          </cell>
          <cell r="S250">
            <v>779</v>
          </cell>
          <cell r="T250">
            <v>641.29999999999995</v>
          </cell>
          <cell r="U250">
            <v>0</v>
          </cell>
          <cell r="V250">
            <v>102</v>
          </cell>
          <cell r="W250">
            <v>0</v>
          </cell>
          <cell r="X250">
            <v>743.3</v>
          </cell>
          <cell r="Y250">
            <v>1287</v>
          </cell>
          <cell r="Z250">
            <v>1770</v>
          </cell>
          <cell r="AA250">
            <v>0</v>
          </cell>
          <cell r="AB250">
            <v>40</v>
          </cell>
          <cell r="AC250">
            <v>3097</v>
          </cell>
          <cell r="AD250">
            <v>1283</v>
          </cell>
          <cell r="AE250">
            <v>0</v>
          </cell>
          <cell r="AF250">
            <v>40</v>
          </cell>
          <cell r="AG250">
            <v>0</v>
          </cell>
          <cell r="AH250">
            <v>1323</v>
          </cell>
          <cell r="AI250">
            <v>1283</v>
          </cell>
          <cell r="AJ250">
            <v>0</v>
          </cell>
          <cell r="AK250">
            <v>-150</v>
          </cell>
          <cell r="AL250">
            <v>16</v>
          </cell>
          <cell r="AM250">
            <v>1149</v>
          </cell>
          <cell r="AN250">
            <v>410</v>
          </cell>
          <cell r="AO250">
            <v>80</v>
          </cell>
          <cell r="AP250">
            <v>0</v>
          </cell>
          <cell r="AQ250">
            <v>0</v>
          </cell>
          <cell r="AR250">
            <v>0</v>
          </cell>
          <cell r="AS250">
            <v>0</v>
          </cell>
          <cell r="AT250">
            <v>0</v>
          </cell>
        </row>
        <row r="251">
          <cell r="G251">
            <v>-107</v>
          </cell>
          <cell r="H251">
            <v>-143</v>
          </cell>
          <cell r="I251">
            <v>-216</v>
          </cell>
          <cell r="J251">
            <v>-4</v>
          </cell>
          <cell r="K251">
            <v>8</v>
          </cell>
          <cell r="L251">
            <v>-34</v>
          </cell>
          <cell r="M251">
            <v>-76</v>
          </cell>
          <cell r="N251">
            <v>-106</v>
          </cell>
          <cell r="O251">
            <v>14</v>
          </cell>
          <cell r="P251">
            <v>-43</v>
          </cell>
          <cell r="Q251">
            <v>-17</v>
          </cell>
          <cell r="R251">
            <v>-61</v>
          </cell>
          <cell r="S251">
            <v>-107</v>
          </cell>
          <cell r="T251">
            <v>-17</v>
          </cell>
          <cell r="U251">
            <v>-9</v>
          </cell>
          <cell r="V251">
            <v>-37</v>
          </cell>
          <cell r="W251">
            <v>-34</v>
          </cell>
          <cell r="X251">
            <v>-97</v>
          </cell>
          <cell r="Y251">
            <v>0</v>
          </cell>
          <cell r="Z251">
            <v>0</v>
          </cell>
          <cell r="AA251">
            <v>0</v>
          </cell>
          <cell r="AB251">
            <v>0</v>
          </cell>
          <cell r="AC251">
            <v>0</v>
          </cell>
          <cell r="AD251">
            <v>-45</v>
          </cell>
          <cell r="AE251">
            <v>-61</v>
          </cell>
          <cell r="AF251">
            <v>0</v>
          </cell>
          <cell r="AG251">
            <v>0</v>
          </cell>
          <cell r="AH251">
            <v>-106</v>
          </cell>
          <cell r="AI251">
            <v>-45</v>
          </cell>
          <cell r="AJ251">
            <v>-4</v>
          </cell>
          <cell r="AK251">
            <v>54</v>
          </cell>
          <cell r="AL251">
            <v>-20</v>
          </cell>
          <cell r="AM251">
            <v>-15</v>
          </cell>
          <cell r="AN251">
            <v>0</v>
          </cell>
          <cell r="AO251">
            <v>0</v>
          </cell>
          <cell r="AP251">
            <v>0</v>
          </cell>
          <cell r="AQ251">
            <v>0</v>
          </cell>
          <cell r="AR251">
            <v>0</v>
          </cell>
          <cell r="AS251">
            <v>0</v>
          </cell>
          <cell r="AT251">
            <v>0</v>
          </cell>
        </row>
        <row r="252">
          <cell r="B252">
            <v>0</v>
          </cell>
          <cell r="C252">
            <v>50</v>
          </cell>
          <cell r="D252">
            <v>183</v>
          </cell>
          <cell r="E252">
            <v>303</v>
          </cell>
          <cell r="F252">
            <v>258</v>
          </cell>
          <cell r="G252">
            <v>142</v>
          </cell>
          <cell r="H252">
            <v>25</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row>
        <row r="253">
          <cell r="B253">
            <v>0</v>
          </cell>
          <cell r="C253">
            <v>0</v>
          </cell>
          <cell r="D253">
            <v>0</v>
          </cell>
          <cell r="E253">
            <v>0</v>
          </cell>
          <cell r="F253">
            <v>0</v>
          </cell>
          <cell r="G253">
            <v>0</v>
          </cell>
          <cell r="H253">
            <v>0</v>
          </cell>
          <cell r="I253">
            <v>0</v>
          </cell>
          <cell r="T253">
            <v>52</v>
          </cell>
          <cell r="U253">
            <v>30</v>
          </cell>
          <cell r="V253">
            <v>27</v>
          </cell>
          <cell r="W253">
            <v>6</v>
          </cell>
          <cell r="X253">
            <v>115</v>
          </cell>
          <cell r="Y253">
            <v>217.25</v>
          </cell>
          <cell r="Z253">
            <v>217.25</v>
          </cell>
          <cell r="AA253">
            <v>217.25</v>
          </cell>
          <cell r="AB253">
            <v>217.25</v>
          </cell>
          <cell r="AC253">
            <v>869</v>
          </cell>
          <cell r="AF253">
            <v>260.7</v>
          </cell>
          <cell r="AG253">
            <v>260.7</v>
          </cell>
          <cell r="AH253">
            <v>521.4</v>
          </cell>
          <cell r="AI253">
            <v>84</v>
          </cell>
          <cell r="AJ253">
            <v>328</v>
          </cell>
          <cell r="AK253">
            <v>160</v>
          </cell>
          <cell r="AL253">
            <v>53</v>
          </cell>
          <cell r="AM253">
            <v>625</v>
          </cell>
          <cell r="AN253">
            <v>860</v>
          </cell>
          <cell r="AO253">
            <v>860</v>
          </cell>
          <cell r="AP253">
            <v>867.2</v>
          </cell>
          <cell r="AQ253">
            <v>891</v>
          </cell>
          <cell r="AR253">
            <v>494</v>
          </cell>
          <cell r="AS253">
            <v>287</v>
          </cell>
          <cell r="AT253">
            <v>584</v>
          </cell>
        </row>
        <row r="255">
          <cell r="B255">
            <v>-37</v>
          </cell>
          <cell r="C255">
            <v>-68</v>
          </cell>
          <cell r="D255">
            <v>-136</v>
          </cell>
          <cell r="E255">
            <v>-355</v>
          </cell>
          <cell r="F255">
            <v>-147</v>
          </cell>
          <cell r="G255">
            <v>-84</v>
          </cell>
          <cell r="H255">
            <v>-727</v>
          </cell>
          <cell r="I255">
            <v>-416.8</v>
          </cell>
          <cell r="J255">
            <v>-58</v>
          </cell>
          <cell r="K255">
            <v>-36</v>
          </cell>
          <cell r="L255">
            <v>-52</v>
          </cell>
          <cell r="M255">
            <v>-47</v>
          </cell>
          <cell r="N255">
            <v>-193</v>
          </cell>
          <cell r="O255">
            <v>-13</v>
          </cell>
          <cell r="P255">
            <v>-23</v>
          </cell>
          <cell r="Q255">
            <v>-43</v>
          </cell>
          <cell r="R255">
            <v>-52</v>
          </cell>
          <cell r="S255">
            <v>-131</v>
          </cell>
          <cell r="T255">
            <v>-10</v>
          </cell>
          <cell r="U255">
            <v>-321</v>
          </cell>
          <cell r="V255">
            <v>-104</v>
          </cell>
          <cell r="W255">
            <v>-93</v>
          </cell>
          <cell r="X255">
            <v>-528</v>
          </cell>
          <cell r="Y255">
            <v>-14.5</v>
          </cell>
          <cell r="Z255">
            <v>-276.5</v>
          </cell>
          <cell r="AA255">
            <v>-14.5</v>
          </cell>
          <cell r="AB255">
            <v>-14.5</v>
          </cell>
          <cell r="AC255">
            <v>-320</v>
          </cell>
          <cell r="AD255">
            <v>-62</v>
          </cell>
          <cell r="AE255">
            <v>-138</v>
          </cell>
          <cell r="AF255">
            <v>-115</v>
          </cell>
          <cell r="AG255">
            <v>-32</v>
          </cell>
          <cell r="AH255">
            <v>-347</v>
          </cell>
          <cell r="AI255">
            <v>-62</v>
          </cell>
          <cell r="AJ255">
            <v>-138</v>
          </cell>
          <cell r="AK255">
            <v>-115</v>
          </cell>
          <cell r="AL255">
            <v>-37</v>
          </cell>
          <cell r="AM255">
            <v>-493</v>
          </cell>
          <cell r="AN255">
            <v>-100</v>
          </cell>
          <cell r="AO255">
            <v>-100</v>
          </cell>
          <cell r="AP255">
            <v>-102.85359801488836</v>
          </cell>
          <cell r="AQ255">
            <v>0</v>
          </cell>
          <cell r="AR255">
            <v>0</v>
          </cell>
          <cell r="AS255">
            <v>0</v>
          </cell>
          <cell r="AT255">
            <v>0</v>
          </cell>
        </row>
        <row r="257">
          <cell r="C257">
            <v>-68</v>
          </cell>
          <cell r="D257">
            <v>-134</v>
          </cell>
          <cell r="E257">
            <v>-222</v>
          </cell>
          <cell r="F257">
            <v>-147</v>
          </cell>
          <cell r="G257">
            <v>-84</v>
          </cell>
          <cell r="H257">
            <v>-262</v>
          </cell>
          <cell r="I257">
            <v>-252</v>
          </cell>
          <cell r="J257">
            <v>-58</v>
          </cell>
          <cell r="K257">
            <v>-21</v>
          </cell>
          <cell r="L257">
            <v>-52</v>
          </cell>
          <cell r="M257">
            <v>-47</v>
          </cell>
          <cell r="N257">
            <v>-178</v>
          </cell>
          <cell r="O257">
            <v>-13</v>
          </cell>
          <cell r="P257">
            <v>-23</v>
          </cell>
          <cell r="Q257">
            <v>-43</v>
          </cell>
          <cell r="R257">
            <v>-52</v>
          </cell>
          <cell r="S257">
            <v>-131</v>
          </cell>
          <cell r="T257">
            <v>-10</v>
          </cell>
          <cell r="U257">
            <v>-71</v>
          </cell>
          <cell r="V257">
            <v>-104</v>
          </cell>
          <cell r="W257">
            <v>-40</v>
          </cell>
          <cell r="X257">
            <v>-225</v>
          </cell>
          <cell r="Y257">
            <v>-14.5</v>
          </cell>
          <cell r="Z257">
            <v>-14.5</v>
          </cell>
          <cell r="AA257">
            <v>-14.5</v>
          </cell>
          <cell r="AB257">
            <v>-14.5</v>
          </cell>
          <cell r="AC257">
            <v>-58</v>
          </cell>
          <cell r="AD257">
            <v>-22</v>
          </cell>
          <cell r="AE257">
            <v>-138</v>
          </cell>
          <cell r="AF257">
            <v>-115</v>
          </cell>
          <cell r="AG257">
            <v>-32</v>
          </cell>
          <cell r="AH257">
            <v>-307</v>
          </cell>
          <cell r="AI257">
            <v>-22</v>
          </cell>
          <cell r="AJ257">
            <v>-138</v>
          </cell>
          <cell r="AK257">
            <v>-115</v>
          </cell>
          <cell r="AL257">
            <v>-37</v>
          </cell>
          <cell r="AM257">
            <v>-453</v>
          </cell>
          <cell r="AN257">
            <v>-100</v>
          </cell>
          <cell r="AO257">
            <v>-100</v>
          </cell>
          <cell r="AP257">
            <v>-102.85359801488836</v>
          </cell>
          <cell r="AQ257">
            <v>-109</v>
          </cell>
          <cell r="AR257">
            <v>-110</v>
          </cell>
          <cell r="AS257">
            <v>-111</v>
          </cell>
          <cell r="AT257">
            <v>-111</v>
          </cell>
        </row>
        <row r="258">
          <cell r="B258">
            <v>-37</v>
          </cell>
          <cell r="D258">
            <v>-2</v>
          </cell>
          <cell r="E258">
            <v>-133</v>
          </cell>
          <cell r="F258">
            <v>0</v>
          </cell>
          <cell r="G258">
            <v>0</v>
          </cell>
          <cell r="H258">
            <v>-465</v>
          </cell>
          <cell r="I258">
            <v>-164.8</v>
          </cell>
          <cell r="J258">
            <v>0</v>
          </cell>
          <cell r="K258">
            <v>-15</v>
          </cell>
          <cell r="L258">
            <v>0</v>
          </cell>
          <cell r="M258">
            <v>0</v>
          </cell>
          <cell r="N258">
            <v>-15</v>
          </cell>
          <cell r="O258">
            <v>0</v>
          </cell>
          <cell r="P258">
            <v>0</v>
          </cell>
          <cell r="Q258">
            <v>0</v>
          </cell>
          <cell r="R258">
            <v>0</v>
          </cell>
          <cell r="S258">
            <v>0</v>
          </cell>
          <cell r="T258">
            <v>0</v>
          </cell>
          <cell r="U258">
            <v>-250</v>
          </cell>
          <cell r="V258">
            <v>0</v>
          </cell>
          <cell r="W258">
            <v>-53</v>
          </cell>
          <cell r="X258">
            <v>-303</v>
          </cell>
          <cell r="Y258">
            <v>0</v>
          </cell>
          <cell r="Z258">
            <v>-262</v>
          </cell>
          <cell r="AA258">
            <v>0</v>
          </cell>
          <cell r="AB258">
            <v>0</v>
          </cell>
          <cell r="AC258">
            <v>-262</v>
          </cell>
          <cell r="AD258">
            <v>-40</v>
          </cell>
          <cell r="AE258">
            <v>0</v>
          </cell>
          <cell r="AF258">
            <v>0</v>
          </cell>
          <cell r="AG258">
            <v>0</v>
          </cell>
          <cell r="AH258">
            <v>-40</v>
          </cell>
          <cell r="AI258">
            <v>-40</v>
          </cell>
          <cell r="AJ258">
            <v>0</v>
          </cell>
          <cell r="AK258">
            <v>0</v>
          </cell>
          <cell r="AL258">
            <v>0</v>
          </cell>
          <cell r="AM258">
            <v>-40</v>
          </cell>
          <cell r="AN258">
            <v>0</v>
          </cell>
          <cell r="AO258">
            <v>0</v>
          </cell>
          <cell r="AP258">
            <v>0</v>
          </cell>
          <cell r="AQ258">
            <v>109</v>
          </cell>
          <cell r="AR258">
            <v>110</v>
          </cell>
          <cell r="AS258">
            <v>111</v>
          </cell>
          <cell r="AT258">
            <v>111</v>
          </cell>
        </row>
        <row r="260">
          <cell r="J260">
            <v>51</v>
          </cell>
          <cell r="K260">
            <v>94</v>
          </cell>
          <cell r="L260">
            <v>113</v>
          </cell>
          <cell r="M260">
            <v>251</v>
          </cell>
          <cell r="N260">
            <v>509</v>
          </cell>
          <cell r="O260">
            <v>170.67</v>
          </cell>
          <cell r="P260">
            <v>188</v>
          </cell>
          <cell r="Q260">
            <v>135</v>
          </cell>
          <cell r="R260">
            <v>297.20999999999998</v>
          </cell>
          <cell r="S260">
            <v>790.87999999999988</v>
          </cell>
          <cell r="T260">
            <v>195</v>
          </cell>
          <cell r="U260">
            <v>204</v>
          </cell>
          <cell r="V260">
            <v>2298</v>
          </cell>
          <cell r="W260">
            <v>343</v>
          </cell>
          <cell r="X260">
            <v>3040</v>
          </cell>
          <cell r="Y260">
            <v>-58.69</v>
          </cell>
          <cell r="Z260">
            <v>36.090000000000003</v>
          </cell>
          <cell r="AA260">
            <v>47.66</v>
          </cell>
          <cell r="AB260">
            <v>8.4499999999999886</v>
          </cell>
          <cell r="AC260">
            <v>33.509999999999877</v>
          </cell>
          <cell r="AD260">
            <v>108</v>
          </cell>
          <cell r="AE260">
            <v>165</v>
          </cell>
          <cell r="AF260">
            <v>125</v>
          </cell>
          <cell r="AG260">
            <v>218</v>
          </cell>
          <cell r="AH260">
            <v>616</v>
          </cell>
          <cell r="AI260">
            <v>250</v>
          </cell>
          <cell r="AJ260">
            <v>290</v>
          </cell>
          <cell r="AK260">
            <v>284</v>
          </cell>
          <cell r="AL260">
            <v>365</v>
          </cell>
          <cell r="AM260">
            <v>1189</v>
          </cell>
          <cell r="AN260">
            <v>1800</v>
          </cell>
          <cell r="AO260">
            <v>1800</v>
          </cell>
          <cell r="AP260">
            <v>1160.9085607940449</v>
          </cell>
          <cell r="AQ260">
            <v>1737.2714552238804</v>
          </cell>
          <cell r="AR260">
            <v>1938.4907752902154</v>
          </cell>
          <cell r="AS260">
            <v>2071.8570688225536</v>
          </cell>
          <cell r="AT260">
            <v>2071.8570688225536</v>
          </cell>
        </row>
        <row r="262">
          <cell r="B262">
            <v>473</v>
          </cell>
          <cell r="C262">
            <v>1530</v>
          </cell>
          <cell r="D262">
            <v>969</v>
          </cell>
          <cell r="E262">
            <v>1500</v>
          </cell>
          <cell r="F262">
            <v>2325</v>
          </cell>
          <cell r="G262">
            <v>3961</v>
          </cell>
          <cell r="H262">
            <v>5584</v>
          </cell>
          <cell r="I262">
            <v>1249.8</v>
          </cell>
          <cell r="J262">
            <v>324.63</v>
          </cell>
          <cell r="K262">
            <v>454.16999999999996</v>
          </cell>
          <cell r="L262">
            <v>161.93</v>
          </cell>
          <cell r="M262">
            <v>967.98</v>
          </cell>
          <cell r="N262">
            <v>1908.71</v>
          </cell>
          <cell r="O262">
            <v>461.68</v>
          </cell>
          <cell r="P262">
            <v>124.97</v>
          </cell>
          <cell r="Q262">
            <v>41.32</v>
          </cell>
          <cell r="R262">
            <v>505.98</v>
          </cell>
          <cell r="S262">
            <v>1133.95</v>
          </cell>
          <cell r="T262">
            <v>638.80999999999995</v>
          </cell>
          <cell r="U262">
            <v>1473.31</v>
          </cell>
          <cell r="V262">
            <v>3938.19</v>
          </cell>
          <cell r="W262">
            <v>48</v>
          </cell>
          <cell r="X262">
            <v>6098.31</v>
          </cell>
          <cell r="Y262">
            <v>1232.94</v>
          </cell>
          <cell r="Z262">
            <v>1969.45</v>
          </cell>
          <cell r="AA262">
            <v>509.75</v>
          </cell>
          <cell r="AB262">
            <v>1350.99</v>
          </cell>
          <cell r="AC262">
            <v>5063.13</v>
          </cell>
          <cell r="AD262">
            <v>1169</v>
          </cell>
          <cell r="AE262">
            <v>2098</v>
          </cell>
          <cell r="AF262">
            <v>905.3125</v>
          </cell>
          <cell r="AG262">
            <v>1395.3125</v>
          </cell>
          <cell r="AH262">
            <v>5567.625</v>
          </cell>
          <cell r="AI262">
            <v>1163.75</v>
          </cell>
          <cell r="AJ262">
            <v>2077.46</v>
          </cell>
          <cell r="AK262">
            <v>764.14</v>
          </cell>
          <cell r="AL262">
            <v>1946.1399999999999</v>
          </cell>
          <cell r="AM262">
            <v>5951.49</v>
          </cell>
          <cell r="AN262">
            <v>6779.18</v>
          </cell>
          <cell r="AO262">
            <v>8443.18</v>
          </cell>
          <cell r="AP262">
            <v>8475.76</v>
          </cell>
          <cell r="AQ262">
            <v>7797.7088000000003</v>
          </cell>
          <cell r="AR262">
            <v>8743.728063999999</v>
          </cell>
          <cell r="AS262">
            <v>7391.0733059200002</v>
          </cell>
          <cell r="AT262">
            <v>9388.8025750976012</v>
          </cell>
        </row>
        <row r="264">
          <cell r="B264">
            <v>541</v>
          </cell>
          <cell r="C264">
            <v>1591</v>
          </cell>
          <cell r="D264">
            <v>1044</v>
          </cell>
          <cell r="E264">
            <v>1340</v>
          </cell>
          <cell r="F264">
            <v>1496</v>
          </cell>
          <cell r="G264">
            <v>1351</v>
          </cell>
          <cell r="H264">
            <v>1625</v>
          </cell>
          <cell r="I264">
            <v>438.79999999999995</v>
          </cell>
          <cell r="J264">
            <v>65.63</v>
          </cell>
          <cell r="K264">
            <v>163.16999999999999</v>
          </cell>
          <cell r="L264">
            <v>78.930000000000007</v>
          </cell>
          <cell r="M264">
            <v>564.98</v>
          </cell>
          <cell r="N264">
            <v>872.71</v>
          </cell>
          <cell r="O264">
            <v>109.67999999999999</v>
          </cell>
          <cell r="P264">
            <v>34.97</v>
          </cell>
          <cell r="Q264">
            <v>46.32</v>
          </cell>
          <cell r="R264">
            <v>470.98</v>
          </cell>
          <cell r="S264">
            <v>661.95</v>
          </cell>
          <cell r="T264">
            <v>75.809999999999988</v>
          </cell>
          <cell r="U264">
            <v>369.31</v>
          </cell>
          <cell r="V264">
            <v>3832.19</v>
          </cell>
          <cell r="W264">
            <v>132</v>
          </cell>
          <cell r="X264">
            <v>4409.3100000000004</v>
          </cell>
          <cell r="Y264">
            <v>119</v>
          </cell>
          <cell r="Z264">
            <v>205</v>
          </cell>
          <cell r="AA264">
            <v>235</v>
          </cell>
          <cell r="AB264">
            <v>748</v>
          </cell>
          <cell r="AC264">
            <v>1307</v>
          </cell>
          <cell r="AD264">
            <v>103</v>
          </cell>
          <cell r="AE264">
            <v>236</v>
          </cell>
          <cell r="AF264">
            <v>743</v>
          </cell>
          <cell r="AG264">
            <v>418</v>
          </cell>
          <cell r="AH264">
            <v>1500</v>
          </cell>
          <cell r="AI264">
            <v>90.75</v>
          </cell>
          <cell r="AJ264">
            <v>229.45999999999998</v>
          </cell>
          <cell r="AK264">
            <v>690.14</v>
          </cell>
          <cell r="AL264">
            <v>513.14</v>
          </cell>
          <cell r="AM264">
            <v>1523.49</v>
          </cell>
          <cell r="AN264">
            <v>3544</v>
          </cell>
          <cell r="AO264">
            <v>5208</v>
          </cell>
          <cell r="AP264">
            <v>3935.96</v>
          </cell>
          <cell r="AQ264">
            <v>3719.7088000000003</v>
          </cell>
          <cell r="AR264">
            <v>4554.7280639999999</v>
          </cell>
          <cell r="AS264">
            <v>4389.0733059200002</v>
          </cell>
          <cell r="AT264">
            <v>4660.8025750976003</v>
          </cell>
        </row>
        <row r="265">
          <cell r="J265">
            <v>49.3</v>
          </cell>
          <cell r="K265">
            <v>41.87</v>
          </cell>
          <cell r="L265">
            <v>42.14</v>
          </cell>
          <cell r="M265">
            <v>561.29999999999995</v>
          </cell>
          <cell r="N265">
            <v>694.61</v>
          </cell>
          <cell r="O265">
            <v>36.160000000000004</v>
          </cell>
          <cell r="P265">
            <v>14.97</v>
          </cell>
          <cell r="Q265">
            <v>30.740000000000002</v>
          </cell>
          <cell r="R265">
            <v>455.01</v>
          </cell>
          <cell r="S265">
            <v>536.88</v>
          </cell>
          <cell r="T265">
            <v>64.17</v>
          </cell>
          <cell r="U265">
            <v>359.34000000000003</v>
          </cell>
          <cell r="V265">
            <v>3794.07</v>
          </cell>
          <cell r="W265">
            <v>102</v>
          </cell>
          <cell r="X265">
            <v>4319.58</v>
          </cell>
          <cell r="Y265">
            <v>74</v>
          </cell>
          <cell r="Z265">
            <v>150</v>
          </cell>
          <cell r="AA265">
            <v>180</v>
          </cell>
          <cell r="AB265">
            <v>687</v>
          </cell>
          <cell r="AC265">
            <v>1091</v>
          </cell>
          <cell r="AD265">
            <v>95</v>
          </cell>
          <cell r="AE265">
            <v>204</v>
          </cell>
          <cell r="AF265">
            <v>735</v>
          </cell>
          <cell r="AG265">
            <v>410</v>
          </cell>
          <cell r="AH265">
            <v>1444</v>
          </cell>
          <cell r="AI265">
            <v>83.11</v>
          </cell>
          <cell r="AJ265">
            <v>196.79999999999998</v>
          </cell>
          <cell r="AK265">
            <v>632</v>
          </cell>
          <cell r="AL265">
            <v>513</v>
          </cell>
          <cell r="AM265">
            <v>1424.91</v>
          </cell>
          <cell r="AN265">
            <v>3364</v>
          </cell>
          <cell r="AO265">
            <v>5028</v>
          </cell>
          <cell r="AP265">
            <v>3935.96</v>
          </cell>
          <cell r="AQ265">
            <v>3719.7088000000003</v>
          </cell>
          <cell r="AR265">
            <v>4554.7280639999999</v>
          </cell>
          <cell r="AS265">
            <v>4389.0733059200002</v>
          </cell>
          <cell r="AT265">
            <v>4660.8025750976003</v>
          </cell>
        </row>
        <row r="266">
          <cell r="J266">
            <v>16.329999999999998</v>
          </cell>
          <cell r="K266">
            <v>121.3</v>
          </cell>
          <cell r="L266">
            <v>36.79</v>
          </cell>
          <cell r="M266">
            <v>3.6799999999999997</v>
          </cell>
          <cell r="N266">
            <v>178.09999999999997</v>
          </cell>
          <cell r="O266">
            <v>73.52</v>
          </cell>
          <cell r="P266">
            <v>20</v>
          </cell>
          <cell r="Q266">
            <v>15.579999999999998</v>
          </cell>
          <cell r="R266">
            <v>15.97</v>
          </cell>
          <cell r="S266">
            <v>125.07</v>
          </cell>
          <cell r="T266">
            <v>11.64</v>
          </cell>
          <cell r="U266">
            <v>9.9700000000000006</v>
          </cell>
          <cell r="V266">
            <v>38.119999999999997</v>
          </cell>
          <cell r="W266">
            <v>30</v>
          </cell>
          <cell r="X266">
            <v>89.73</v>
          </cell>
          <cell r="Y266">
            <v>45</v>
          </cell>
          <cell r="Z266">
            <v>55</v>
          </cell>
          <cell r="AA266">
            <v>55</v>
          </cell>
          <cell r="AB266">
            <v>61</v>
          </cell>
          <cell r="AC266">
            <v>216</v>
          </cell>
          <cell r="AD266">
            <v>8</v>
          </cell>
          <cell r="AE266">
            <v>32</v>
          </cell>
          <cell r="AF266">
            <v>8</v>
          </cell>
          <cell r="AG266">
            <v>8</v>
          </cell>
          <cell r="AH266">
            <v>56</v>
          </cell>
          <cell r="AI266">
            <v>7.64</v>
          </cell>
          <cell r="AJ266">
            <v>32.659999999999997</v>
          </cell>
          <cell r="AK266">
            <v>58.14</v>
          </cell>
          <cell r="AL266">
            <v>0.14000000000000001</v>
          </cell>
          <cell r="AM266">
            <v>98.58</v>
          </cell>
          <cell r="AN266">
            <v>180</v>
          </cell>
          <cell r="AO266">
            <v>180</v>
          </cell>
          <cell r="AP266">
            <v>0</v>
          </cell>
          <cell r="AQ266">
            <v>0</v>
          </cell>
          <cell r="AR266">
            <v>0</v>
          </cell>
          <cell r="AS266">
            <v>0</v>
          </cell>
          <cell r="AT266">
            <v>0</v>
          </cell>
        </row>
        <row r="268">
          <cell r="B268">
            <v>0</v>
          </cell>
          <cell r="C268">
            <v>0</v>
          </cell>
          <cell r="D268">
            <v>304</v>
          </cell>
          <cell r="E268">
            <v>737</v>
          </cell>
          <cell r="F268">
            <v>534</v>
          </cell>
          <cell r="G268">
            <v>602</v>
          </cell>
          <cell r="H268">
            <v>156</v>
          </cell>
          <cell r="I268">
            <v>168</v>
          </cell>
          <cell r="J268">
            <v>40.1</v>
          </cell>
          <cell r="K268">
            <v>27.64</v>
          </cell>
          <cell r="L268">
            <v>18.27</v>
          </cell>
          <cell r="M268">
            <v>180.83</v>
          </cell>
          <cell r="N268">
            <v>266.84000000000003</v>
          </cell>
          <cell r="O268">
            <v>55.28</v>
          </cell>
          <cell r="P268">
            <v>4</v>
          </cell>
          <cell r="Q268">
            <v>22</v>
          </cell>
          <cell r="R268">
            <v>22</v>
          </cell>
          <cell r="S268">
            <v>103.28</v>
          </cell>
          <cell r="T268">
            <v>18.05</v>
          </cell>
          <cell r="U268">
            <v>42.92</v>
          </cell>
          <cell r="V268">
            <v>84.12</v>
          </cell>
          <cell r="W268">
            <v>93</v>
          </cell>
          <cell r="X268">
            <v>238.09</v>
          </cell>
          <cell r="Y268">
            <v>16</v>
          </cell>
          <cell r="Z268">
            <v>92</v>
          </cell>
          <cell r="AA268">
            <v>122</v>
          </cell>
          <cell r="AB268">
            <v>129</v>
          </cell>
          <cell r="AC268">
            <v>359</v>
          </cell>
          <cell r="AD268">
            <v>51</v>
          </cell>
          <cell r="AE268">
            <v>147</v>
          </cell>
          <cell r="AF268">
            <v>60</v>
          </cell>
          <cell r="AG268">
            <v>219</v>
          </cell>
          <cell r="AH268">
            <v>477</v>
          </cell>
          <cell r="AI268">
            <v>50.84</v>
          </cell>
          <cell r="AJ268">
            <v>176.23</v>
          </cell>
          <cell r="AK268">
            <v>154</v>
          </cell>
          <cell r="AL268">
            <v>397</v>
          </cell>
          <cell r="AM268">
            <v>778.07</v>
          </cell>
          <cell r="AN268">
            <v>528</v>
          </cell>
          <cell r="AO268">
            <v>528</v>
          </cell>
          <cell r="AP268">
            <v>348</v>
          </cell>
          <cell r="AQ268">
            <v>365.40000000000003</v>
          </cell>
          <cell r="AR268">
            <v>383.67000000000007</v>
          </cell>
          <cell r="AS268">
            <v>402.85350000000011</v>
          </cell>
          <cell r="AT268">
            <v>422.99617500000011</v>
          </cell>
        </row>
        <row r="269">
          <cell r="B269">
            <v>23.928999999999998</v>
          </cell>
          <cell r="C269">
            <v>40.534999999999997</v>
          </cell>
          <cell r="D269">
            <v>161.804</v>
          </cell>
          <cell r="E269">
            <v>965.29</v>
          </cell>
          <cell r="F269">
            <v>483.40800000000002</v>
          </cell>
          <cell r="J269">
            <v>36.1</v>
          </cell>
          <cell r="K269">
            <v>26.43</v>
          </cell>
          <cell r="L269">
            <v>18.27</v>
          </cell>
          <cell r="M269">
            <v>180.83</v>
          </cell>
          <cell r="N269">
            <v>261.63</v>
          </cell>
          <cell r="O269">
            <v>10.34</v>
          </cell>
          <cell r="P269">
            <v>4</v>
          </cell>
          <cell r="Q269">
            <v>10.74</v>
          </cell>
          <cell r="R269">
            <v>18.5</v>
          </cell>
          <cell r="S269">
            <v>43.58</v>
          </cell>
          <cell r="T269">
            <v>12</v>
          </cell>
          <cell r="U269">
            <v>39.61</v>
          </cell>
          <cell r="V269">
            <v>47.05</v>
          </cell>
          <cell r="W269">
            <v>63</v>
          </cell>
          <cell r="X269">
            <v>161.66</v>
          </cell>
          <cell r="Y269">
            <v>16</v>
          </cell>
          <cell r="Z269">
            <v>92</v>
          </cell>
          <cell r="AA269">
            <v>122</v>
          </cell>
          <cell r="AB269">
            <v>129</v>
          </cell>
          <cell r="AC269">
            <v>359</v>
          </cell>
          <cell r="AD269">
            <v>43</v>
          </cell>
          <cell r="AE269">
            <v>118</v>
          </cell>
          <cell r="AF269">
            <v>52</v>
          </cell>
          <cell r="AG269">
            <v>211</v>
          </cell>
          <cell r="AH269">
            <v>424</v>
          </cell>
          <cell r="AI269">
            <v>43.34</v>
          </cell>
          <cell r="AJ269">
            <v>146.22999999999999</v>
          </cell>
          <cell r="AK269">
            <v>96</v>
          </cell>
          <cell r="AL269">
            <v>397</v>
          </cell>
          <cell r="AM269">
            <v>682.57</v>
          </cell>
          <cell r="AN269">
            <v>348</v>
          </cell>
          <cell r="AO269">
            <v>348</v>
          </cell>
          <cell r="AP269">
            <v>348</v>
          </cell>
          <cell r="AQ269">
            <v>365.40000000000003</v>
          </cell>
          <cell r="AR269">
            <v>383.67000000000007</v>
          </cell>
          <cell r="AS269">
            <v>402.85350000000011</v>
          </cell>
          <cell r="AT269">
            <v>422.99617500000011</v>
          </cell>
        </row>
        <row r="270">
          <cell r="B270">
            <v>47.41</v>
          </cell>
          <cell r="C270">
            <v>137.55000000000001</v>
          </cell>
          <cell r="D270">
            <v>111.443</v>
          </cell>
          <cell r="E270">
            <v>69.510999999999996</v>
          </cell>
          <cell r="F270">
            <v>57.81</v>
          </cell>
          <cell r="J270">
            <v>4</v>
          </cell>
          <cell r="K270">
            <v>1.21</v>
          </cell>
          <cell r="L270">
            <v>0</v>
          </cell>
          <cell r="M270">
            <v>0</v>
          </cell>
          <cell r="N270">
            <v>5.21</v>
          </cell>
          <cell r="O270">
            <v>44.94</v>
          </cell>
          <cell r="P270">
            <v>0</v>
          </cell>
          <cell r="Q270">
            <v>11.26</v>
          </cell>
          <cell r="R270">
            <v>3.5</v>
          </cell>
          <cell r="S270">
            <v>59.699999999999996</v>
          </cell>
          <cell r="T270">
            <v>6.05</v>
          </cell>
          <cell r="U270">
            <v>3.31</v>
          </cell>
          <cell r="V270">
            <v>37.07</v>
          </cell>
          <cell r="W270">
            <v>30</v>
          </cell>
          <cell r="X270">
            <v>76.430000000000007</v>
          </cell>
          <cell r="Y270">
            <v>0</v>
          </cell>
          <cell r="Z270">
            <v>0</v>
          </cell>
          <cell r="AA270">
            <v>0</v>
          </cell>
          <cell r="AB270">
            <v>0</v>
          </cell>
          <cell r="AC270">
            <v>0</v>
          </cell>
          <cell r="AD270">
            <v>8</v>
          </cell>
          <cell r="AE270">
            <v>29</v>
          </cell>
          <cell r="AF270">
            <v>8</v>
          </cell>
          <cell r="AG270">
            <v>8</v>
          </cell>
          <cell r="AH270">
            <v>53</v>
          </cell>
          <cell r="AI270">
            <v>7.5</v>
          </cell>
          <cell r="AJ270">
            <v>30</v>
          </cell>
          <cell r="AK270">
            <v>58</v>
          </cell>
          <cell r="AL270">
            <v>0</v>
          </cell>
          <cell r="AM270">
            <v>95.5</v>
          </cell>
          <cell r="AN270">
            <v>180</v>
          </cell>
          <cell r="AO270">
            <v>180</v>
          </cell>
          <cell r="AP270">
            <v>0</v>
          </cell>
          <cell r="AQ270">
            <v>0</v>
          </cell>
          <cell r="AR270">
            <v>0</v>
          </cell>
          <cell r="AS270">
            <v>0</v>
          </cell>
          <cell r="AT270">
            <v>0</v>
          </cell>
        </row>
        <row r="271">
          <cell r="D271">
            <v>115</v>
          </cell>
          <cell r="E271">
            <v>526</v>
          </cell>
          <cell r="F271">
            <v>328</v>
          </cell>
        </row>
        <row r="272">
          <cell r="D272">
            <v>150</v>
          </cell>
          <cell r="E272">
            <v>205</v>
          </cell>
          <cell r="F272">
            <v>203</v>
          </cell>
        </row>
        <row r="273">
          <cell r="D273">
            <v>39</v>
          </cell>
          <cell r="E273">
            <v>6</v>
          </cell>
          <cell r="F273">
            <v>3</v>
          </cell>
        </row>
        <row r="274">
          <cell r="B274">
            <v>0</v>
          </cell>
          <cell r="C274">
            <v>0</v>
          </cell>
          <cell r="D274">
            <v>147</v>
          </cell>
          <cell r="E274">
            <v>292</v>
          </cell>
          <cell r="F274">
            <v>438</v>
          </cell>
          <cell r="G274">
            <v>275</v>
          </cell>
          <cell r="H274">
            <v>152</v>
          </cell>
          <cell r="I274">
            <v>185.9</v>
          </cell>
          <cell r="J274">
            <v>20.83</v>
          </cell>
          <cell r="K274">
            <v>130.69</v>
          </cell>
          <cell r="L274">
            <v>53.760000000000005</v>
          </cell>
          <cell r="M274">
            <v>30.900000000000002</v>
          </cell>
          <cell r="N274">
            <v>236.17999999999998</v>
          </cell>
          <cell r="O274">
            <v>52.269999999999996</v>
          </cell>
          <cell r="P274">
            <v>21</v>
          </cell>
          <cell r="Q274">
            <v>20</v>
          </cell>
          <cell r="R274">
            <v>5.9</v>
          </cell>
          <cell r="S274">
            <v>99.17</v>
          </cell>
          <cell r="T274">
            <v>10.99</v>
          </cell>
          <cell r="U274">
            <v>8.73</v>
          </cell>
          <cell r="V274">
            <v>6.88</v>
          </cell>
          <cell r="W274">
            <v>6</v>
          </cell>
          <cell r="X274">
            <v>32.6</v>
          </cell>
          <cell r="Y274">
            <v>45</v>
          </cell>
          <cell r="Z274">
            <v>55</v>
          </cell>
          <cell r="AA274">
            <v>55</v>
          </cell>
          <cell r="AB274">
            <v>61</v>
          </cell>
          <cell r="AC274">
            <v>216</v>
          </cell>
          <cell r="AD274">
            <v>23</v>
          </cell>
          <cell r="AE274">
            <v>26</v>
          </cell>
          <cell r="AF274">
            <v>83</v>
          </cell>
          <cell r="AG274">
            <v>80</v>
          </cell>
          <cell r="AH274">
            <v>212</v>
          </cell>
          <cell r="AI274">
            <v>23.14</v>
          </cell>
          <cell r="AJ274">
            <v>27.07</v>
          </cell>
          <cell r="AK274">
            <v>0.14000000000000001</v>
          </cell>
          <cell r="AL274">
            <v>8.14</v>
          </cell>
          <cell r="AM274">
            <v>58.49</v>
          </cell>
          <cell r="AN274">
            <v>353</v>
          </cell>
          <cell r="AO274">
            <v>353</v>
          </cell>
          <cell r="AP274">
            <v>363.59000000000003</v>
          </cell>
          <cell r="AQ274">
            <v>374.49770000000007</v>
          </cell>
          <cell r="AR274">
            <v>385.73263100000008</v>
          </cell>
          <cell r="AS274">
            <v>397.30460993000008</v>
          </cell>
          <cell r="AT274">
            <v>409.2237482279001</v>
          </cell>
        </row>
        <row r="275">
          <cell r="B275">
            <v>6.0780000000000003</v>
          </cell>
          <cell r="C275">
            <v>0</v>
          </cell>
          <cell r="D275">
            <v>14.896000000000001</v>
          </cell>
          <cell r="E275">
            <v>17.559000000000001</v>
          </cell>
          <cell r="F275">
            <v>293.09199999999998</v>
          </cell>
          <cell r="J275">
            <v>13.2</v>
          </cell>
          <cell r="K275">
            <v>15.44</v>
          </cell>
          <cell r="L275">
            <v>23.87</v>
          </cell>
          <cell r="M275">
            <v>29.76</v>
          </cell>
          <cell r="N275">
            <v>82.27000000000001</v>
          </cell>
          <cell r="O275">
            <v>25</v>
          </cell>
          <cell r="P275">
            <v>1</v>
          </cell>
          <cell r="Q275">
            <v>20</v>
          </cell>
          <cell r="R275">
            <v>4.3600000000000003</v>
          </cell>
          <cell r="S275">
            <v>50.36</v>
          </cell>
          <cell r="T275">
            <v>5.4</v>
          </cell>
          <cell r="U275">
            <v>4.7300000000000004</v>
          </cell>
          <cell r="V275">
            <v>5.83</v>
          </cell>
          <cell r="W275">
            <v>6</v>
          </cell>
          <cell r="X275">
            <v>21.96</v>
          </cell>
          <cell r="Y275">
            <v>0</v>
          </cell>
          <cell r="Z275">
            <v>0</v>
          </cell>
          <cell r="AA275">
            <v>0</v>
          </cell>
          <cell r="AB275">
            <v>0</v>
          </cell>
          <cell r="AC275">
            <v>0</v>
          </cell>
          <cell r="AD275">
            <v>23</v>
          </cell>
          <cell r="AE275">
            <v>26</v>
          </cell>
          <cell r="AF275">
            <v>83</v>
          </cell>
          <cell r="AG275">
            <v>80</v>
          </cell>
          <cell r="AH275">
            <v>212</v>
          </cell>
          <cell r="AI275">
            <v>23</v>
          </cell>
          <cell r="AJ275">
            <v>27</v>
          </cell>
          <cell r="AK275">
            <v>0</v>
          </cell>
          <cell r="AL275">
            <v>8</v>
          </cell>
          <cell r="AM275">
            <v>58</v>
          </cell>
          <cell r="AN275">
            <v>353</v>
          </cell>
          <cell r="AO275">
            <v>353</v>
          </cell>
          <cell r="AP275">
            <v>363.59000000000003</v>
          </cell>
          <cell r="AQ275">
            <v>374.49770000000007</v>
          </cell>
          <cell r="AR275">
            <v>385.73263100000008</v>
          </cell>
          <cell r="AS275">
            <v>397.30460993000008</v>
          </cell>
          <cell r="AT275">
            <v>409.2237482279001</v>
          </cell>
        </row>
        <row r="276">
          <cell r="B276">
            <v>62.753999999999998</v>
          </cell>
          <cell r="C276">
            <v>3.8490000000000002</v>
          </cell>
          <cell r="D276">
            <v>113.2</v>
          </cell>
          <cell r="E276">
            <v>59.691000000000003</v>
          </cell>
          <cell r="F276">
            <v>76.471000000000004</v>
          </cell>
          <cell r="J276">
            <v>7.63</v>
          </cell>
          <cell r="K276">
            <v>115.25</v>
          </cell>
          <cell r="L276">
            <v>29.89</v>
          </cell>
          <cell r="M276">
            <v>1.1399999999999999</v>
          </cell>
          <cell r="N276">
            <v>153.90999999999997</v>
          </cell>
          <cell r="O276">
            <v>27.27</v>
          </cell>
          <cell r="P276">
            <v>20</v>
          </cell>
          <cell r="Q276">
            <v>0</v>
          </cell>
          <cell r="R276">
            <v>1.54</v>
          </cell>
          <cell r="S276">
            <v>48.809999999999995</v>
          </cell>
          <cell r="T276">
            <v>5.59</v>
          </cell>
          <cell r="U276">
            <v>4</v>
          </cell>
          <cell r="V276">
            <v>1.05</v>
          </cell>
          <cell r="W276">
            <v>0</v>
          </cell>
          <cell r="X276">
            <v>10.64</v>
          </cell>
          <cell r="Y276">
            <v>45</v>
          </cell>
          <cell r="Z276">
            <v>55</v>
          </cell>
          <cell r="AA276">
            <v>55</v>
          </cell>
          <cell r="AB276">
            <v>61</v>
          </cell>
          <cell r="AC276">
            <v>216</v>
          </cell>
          <cell r="AD276">
            <v>0</v>
          </cell>
          <cell r="AE276">
            <v>0</v>
          </cell>
          <cell r="AF276">
            <v>0</v>
          </cell>
          <cell r="AG276">
            <v>0</v>
          </cell>
          <cell r="AH276">
            <v>0</v>
          </cell>
          <cell r="AI276">
            <v>0.14000000000000001</v>
          </cell>
          <cell r="AJ276">
            <v>7.0000000000000007E-2</v>
          </cell>
          <cell r="AK276">
            <v>0.14000000000000001</v>
          </cell>
          <cell r="AL276">
            <v>0.14000000000000001</v>
          </cell>
          <cell r="AM276">
            <v>0.49</v>
          </cell>
          <cell r="AN276">
            <v>0</v>
          </cell>
          <cell r="AO276">
            <v>0</v>
          </cell>
          <cell r="AP276">
            <v>0</v>
          </cell>
          <cell r="AQ276">
            <v>0</v>
          </cell>
          <cell r="AR276">
            <v>0</v>
          </cell>
          <cell r="AS276">
            <v>0</v>
          </cell>
          <cell r="AT276">
            <v>0</v>
          </cell>
        </row>
        <row r="277">
          <cell r="B277">
            <v>0</v>
          </cell>
          <cell r="C277">
            <v>0</v>
          </cell>
          <cell r="D277">
            <v>312</v>
          </cell>
          <cell r="E277">
            <v>177</v>
          </cell>
          <cell r="F277">
            <v>131</v>
          </cell>
          <cell r="G277">
            <v>253</v>
          </cell>
          <cell r="H277">
            <v>218</v>
          </cell>
          <cell r="I277">
            <v>22.2</v>
          </cell>
          <cell r="J277">
            <v>3.57</v>
          </cell>
          <cell r="K277">
            <v>4.84</v>
          </cell>
          <cell r="L277">
            <v>6.9</v>
          </cell>
          <cell r="M277">
            <v>7.45</v>
          </cell>
          <cell r="N277">
            <v>22.76</v>
          </cell>
          <cell r="O277">
            <v>0.99</v>
          </cell>
          <cell r="P277">
            <v>0</v>
          </cell>
          <cell r="Q277">
            <v>0.28999999999999998</v>
          </cell>
          <cell r="R277">
            <v>3.03</v>
          </cell>
          <cell r="S277">
            <v>4.3099999999999996</v>
          </cell>
          <cell r="T277">
            <v>45</v>
          </cell>
          <cell r="U277">
            <v>2.66</v>
          </cell>
          <cell r="V277">
            <v>0</v>
          </cell>
          <cell r="W277">
            <v>3</v>
          </cell>
          <cell r="X277">
            <v>50.66</v>
          </cell>
          <cell r="Y277">
            <v>58</v>
          </cell>
          <cell r="Z277">
            <v>58</v>
          </cell>
          <cell r="AA277">
            <v>58</v>
          </cell>
          <cell r="AB277">
            <v>58</v>
          </cell>
          <cell r="AC277">
            <v>232</v>
          </cell>
          <cell r="AD277">
            <v>17</v>
          </cell>
          <cell r="AE277">
            <v>26</v>
          </cell>
          <cell r="AF277">
            <v>59</v>
          </cell>
          <cell r="AG277">
            <v>59</v>
          </cell>
          <cell r="AH277">
            <v>161</v>
          </cell>
          <cell r="AI277">
            <v>16.77</v>
          </cell>
          <cell r="AJ277">
            <v>26.16</v>
          </cell>
          <cell r="AK277">
            <v>48</v>
          </cell>
          <cell r="AL277">
            <v>0</v>
          </cell>
          <cell r="AM277">
            <v>90.93</v>
          </cell>
          <cell r="AN277">
            <v>79</v>
          </cell>
          <cell r="AO277">
            <v>79</v>
          </cell>
          <cell r="AP277">
            <v>81.37</v>
          </cell>
          <cell r="AQ277">
            <v>83.81110000000001</v>
          </cell>
          <cell r="AR277">
            <v>86.325433000000018</v>
          </cell>
          <cell r="AS277">
            <v>88.915195990000015</v>
          </cell>
          <cell r="AT277">
            <v>91.582651869700015</v>
          </cell>
        </row>
        <row r="278">
          <cell r="B278">
            <v>45.832000000000001</v>
          </cell>
          <cell r="C278">
            <v>826.03099999999995</v>
          </cell>
          <cell r="D278">
            <v>182.79499999999999</v>
          </cell>
          <cell r="E278">
            <v>283.32400000000001</v>
          </cell>
          <cell r="J278">
            <v>0</v>
          </cell>
          <cell r="K278">
            <v>0</v>
          </cell>
          <cell r="L278">
            <v>0</v>
          </cell>
          <cell r="M278">
            <v>4.91</v>
          </cell>
          <cell r="N278">
            <v>4.91</v>
          </cell>
          <cell r="O278">
            <v>0.82</v>
          </cell>
          <cell r="P278">
            <v>0</v>
          </cell>
          <cell r="Q278">
            <v>0</v>
          </cell>
          <cell r="R278">
            <v>0</v>
          </cell>
          <cell r="S278">
            <v>0.82</v>
          </cell>
          <cell r="T278">
            <v>45</v>
          </cell>
          <cell r="U278">
            <v>0</v>
          </cell>
          <cell r="V278">
            <v>0</v>
          </cell>
          <cell r="W278">
            <v>3</v>
          </cell>
          <cell r="X278">
            <v>48</v>
          </cell>
          <cell r="Y278">
            <v>58</v>
          </cell>
          <cell r="Z278">
            <v>58</v>
          </cell>
          <cell r="AA278">
            <v>58</v>
          </cell>
          <cell r="AB278">
            <v>58</v>
          </cell>
          <cell r="AC278">
            <v>232</v>
          </cell>
          <cell r="AD278">
            <v>17</v>
          </cell>
          <cell r="AE278">
            <v>23</v>
          </cell>
          <cell r="AF278">
            <v>59</v>
          </cell>
          <cell r="AG278">
            <v>59</v>
          </cell>
          <cell r="AH278">
            <v>158</v>
          </cell>
          <cell r="AI278">
            <v>16.77</v>
          </cell>
          <cell r="AJ278">
            <v>23.57</v>
          </cell>
          <cell r="AK278">
            <v>48</v>
          </cell>
          <cell r="AL278">
            <v>0</v>
          </cell>
          <cell r="AM278">
            <v>88.34</v>
          </cell>
          <cell r="AN278">
            <v>79</v>
          </cell>
          <cell r="AO278">
            <v>79</v>
          </cell>
          <cell r="AP278">
            <v>81.37</v>
          </cell>
          <cell r="AQ278">
            <v>83.81110000000001</v>
          </cell>
          <cell r="AR278">
            <v>86.325433000000018</v>
          </cell>
          <cell r="AS278">
            <v>88.915195990000015</v>
          </cell>
          <cell r="AT278">
            <v>91.582651869700015</v>
          </cell>
        </row>
        <row r="279">
          <cell r="B279">
            <v>9.8680000000000003</v>
          </cell>
          <cell r="C279">
            <v>123.236</v>
          </cell>
          <cell r="D279">
            <v>27.771000000000001</v>
          </cell>
          <cell r="E279">
            <v>5.9720000000000004</v>
          </cell>
          <cell r="J279">
            <v>3.57</v>
          </cell>
          <cell r="K279">
            <v>4.84</v>
          </cell>
          <cell r="L279">
            <v>6.9</v>
          </cell>
          <cell r="M279">
            <v>2.54</v>
          </cell>
          <cell r="N279">
            <v>17.850000000000001</v>
          </cell>
          <cell r="O279">
            <v>0.17</v>
          </cell>
          <cell r="P279">
            <v>0</v>
          </cell>
          <cell r="Q279">
            <v>0.28999999999999998</v>
          </cell>
          <cell r="R279">
            <v>3.03</v>
          </cell>
          <cell r="S279">
            <v>3.4899999999999998</v>
          </cell>
          <cell r="T279">
            <v>0</v>
          </cell>
          <cell r="U279">
            <v>2.66</v>
          </cell>
          <cell r="V279">
            <v>0</v>
          </cell>
          <cell r="W279">
            <v>0</v>
          </cell>
          <cell r="X279">
            <v>2.66</v>
          </cell>
          <cell r="Y279">
            <v>0</v>
          </cell>
          <cell r="Z279">
            <v>0</v>
          </cell>
          <cell r="AA279">
            <v>0</v>
          </cell>
          <cell r="AB279">
            <v>0</v>
          </cell>
          <cell r="AC279">
            <v>0</v>
          </cell>
          <cell r="AD279">
            <v>0</v>
          </cell>
          <cell r="AE279">
            <v>3</v>
          </cell>
          <cell r="AF279">
            <v>0</v>
          </cell>
          <cell r="AG279">
            <v>0</v>
          </cell>
          <cell r="AH279">
            <v>3</v>
          </cell>
          <cell r="AI279">
            <v>0</v>
          </cell>
          <cell r="AJ279">
            <v>2.59</v>
          </cell>
          <cell r="AK279">
            <v>0</v>
          </cell>
          <cell r="AL279">
            <v>0</v>
          </cell>
          <cell r="AM279">
            <v>2.59</v>
          </cell>
          <cell r="AN279">
            <v>0</v>
          </cell>
          <cell r="AO279">
            <v>0</v>
          </cell>
          <cell r="AP279">
            <v>0</v>
          </cell>
          <cell r="AQ279">
            <v>0</v>
          </cell>
          <cell r="AR279">
            <v>0</v>
          </cell>
          <cell r="AS279">
            <v>0</v>
          </cell>
          <cell r="AT279">
            <v>0</v>
          </cell>
        </row>
        <row r="280">
          <cell r="B280">
            <v>0</v>
          </cell>
          <cell r="C280">
            <v>0</v>
          </cell>
          <cell r="D280">
            <v>281</v>
          </cell>
          <cell r="E280">
            <v>134</v>
          </cell>
          <cell r="F280">
            <v>127</v>
          </cell>
          <cell r="G280">
            <v>103</v>
          </cell>
          <cell r="H280">
            <v>64</v>
          </cell>
          <cell r="I280">
            <v>62.7</v>
          </cell>
          <cell r="J280">
            <v>1.1299999999999999</v>
          </cell>
          <cell r="K280">
            <v>0</v>
          </cell>
          <cell r="L280">
            <v>0</v>
          </cell>
          <cell r="M280">
            <v>0</v>
          </cell>
          <cell r="N280">
            <v>1.1299999999999999</v>
          </cell>
          <cell r="O280">
            <v>1.1399999999999999</v>
          </cell>
          <cell r="P280">
            <v>9.9700000000000006</v>
          </cell>
          <cell r="Q280">
            <v>4.03</v>
          </cell>
          <cell r="R280">
            <v>25.049999999999997</v>
          </cell>
          <cell r="S280">
            <v>40.19</v>
          </cell>
          <cell r="T280">
            <v>1.77</v>
          </cell>
          <cell r="U280">
            <v>0</v>
          </cell>
          <cell r="V280">
            <v>0.19</v>
          </cell>
          <cell r="W280">
            <v>30</v>
          </cell>
          <cell r="X280">
            <v>31.96</v>
          </cell>
          <cell r="Y280">
            <v>0</v>
          </cell>
          <cell r="Z280">
            <v>0</v>
          </cell>
          <cell r="AA280">
            <v>0</v>
          </cell>
          <cell r="AB280">
            <v>0</v>
          </cell>
          <cell r="AC280">
            <v>0</v>
          </cell>
          <cell r="AD280">
            <v>12</v>
          </cell>
          <cell r="AE280">
            <v>37</v>
          </cell>
          <cell r="AF280">
            <v>41</v>
          </cell>
          <cell r="AG280">
            <v>60</v>
          </cell>
          <cell r="AH280">
            <v>150</v>
          </cell>
          <cell r="AI280">
            <v>0</v>
          </cell>
          <cell r="AJ280">
            <v>0</v>
          </cell>
          <cell r="AK280">
            <v>0</v>
          </cell>
          <cell r="AL280">
            <v>0</v>
          </cell>
          <cell r="AM280">
            <v>0</v>
          </cell>
          <cell r="AN280">
            <v>0</v>
          </cell>
          <cell r="AO280">
            <v>0</v>
          </cell>
          <cell r="AP280">
            <v>0</v>
          </cell>
          <cell r="AQ280">
            <v>0</v>
          </cell>
          <cell r="AR280">
            <v>0</v>
          </cell>
          <cell r="AS280">
            <v>0</v>
          </cell>
          <cell r="AT280">
            <v>0</v>
          </cell>
        </row>
        <row r="281">
          <cell r="B281">
            <v>2.2669999999999999</v>
          </cell>
          <cell r="C281">
            <v>5.6029999999999998</v>
          </cell>
          <cell r="D281">
            <v>31.684000000000001</v>
          </cell>
          <cell r="E281">
            <v>16.132999999999999</v>
          </cell>
          <cell r="F281">
            <v>5.1539999999999999</v>
          </cell>
          <cell r="J281">
            <v>0</v>
          </cell>
          <cell r="K281">
            <v>0</v>
          </cell>
          <cell r="L281">
            <v>0</v>
          </cell>
          <cell r="M281">
            <v>0</v>
          </cell>
          <cell r="N281">
            <v>0</v>
          </cell>
          <cell r="O281">
            <v>0</v>
          </cell>
          <cell r="P281">
            <v>9.9700000000000006</v>
          </cell>
          <cell r="Q281">
            <v>0</v>
          </cell>
          <cell r="R281">
            <v>17.149999999999999</v>
          </cell>
          <cell r="S281">
            <v>27.119999999999997</v>
          </cell>
          <cell r="T281">
            <v>1.77</v>
          </cell>
          <cell r="U281">
            <v>0</v>
          </cell>
          <cell r="V281">
            <v>0.19</v>
          </cell>
          <cell r="W281">
            <v>30</v>
          </cell>
          <cell r="X281">
            <v>31.96</v>
          </cell>
          <cell r="Y281">
            <v>0</v>
          </cell>
          <cell r="Z281">
            <v>0</v>
          </cell>
          <cell r="AA281">
            <v>0</v>
          </cell>
          <cell r="AB281">
            <v>0</v>
          </cell>
          <cell r="AC281">
            <v>0</v>
          </cell>
          <cell r="AD281">
            <v>12</v>
          </cell>
          <cell r="AE281">
            <v>37</v>
          </cell>
          <cell r="AF281">
            <v>41</v>
          </cell>
          <cell r="AG281">
            <v>60</v>
          </cell>
          <cell r="AH281">
            <v>150</v>
          </cell>
          <cell r="AI281">
            <v>0</v>
          </cell>
          <cell r="AJ281">
            <v>0</v>
          </cell>
          <cell r="AK281">
            <v>0</v>
          </cell>
          <cell r="AL281">
            <v>0</v>
          </cell>
          <cell r="AM281">
            <v>0</v>
          </cell>
          <cell r="AN281">
            <v>0</v>
          </cell>
          <cell r="AO281">
            <v>0</v>
          </cell>
          <cell r="AP281">
            <v>0</v>
          </cell>
          <cell r="AQ281">
            <v>0</v>
          </cell>
          <cell r="AR281">
            <v>0</v>
          </cell>
          <cell r="AS281">
            <v>0</v>
          </cell>
          <cell r="AT281">
            <v>0</v>
          </cell>
        </row>
        <row r="282">
          <cell r="B282">
            <v>30</v>
          </cell>
          <cell r="C282">
            <v>61.04</v>
          </cell>
          <cell r="D282">
            <v>108.831</v>
          </cell>
          <cell r="E282">
            <v>10.16</v>
          </cell>
          <cell r="F282">
            <v>46.225000000000001</v>
          </cell>
          <cell r="J282">
            <v>1.1299999999999999</v>
          </cell>
          <cell r="K282">
            <v>0</v>
          </cell>
          <cell r="L282">
            <v>0</v>
          </cell>
          <cell r="M282">
            <v>0</v>
          </cell>
          <cell r="N282">
            <v>1.1299999999999999</v>
          </cell>
          <cell r="O282">
            <v>1.1399999999999999</v>
          </cell>
          <cell r="P282">
            <v>0</v>
          </cell>
          <cell r="Q282">
            <v>4.03</v>
          </cell>
          <cell r="R282">
            <v>7.9</v>
          </cell>
          <cell r="S282">
            <v>13.07</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row>
        <row r="283">
          <cell r="E283">
            <v>0</v>
          </cell>
          <cell r="F283">
            <v>118</v>
          </cell>
          <cell r="G283">
            <v>118</v>
          </cell>
        </row>
        <row r="284">
          <cell r="B284">
            <v>0</v>
          </cell>
          <cell r="C284">
            <v>357.06</v>
          </cell>
          <cell r="D284">
            <v>262.72000000000003</v>
          </cell>
          <cell r="E284">
            <v>598.98099999999999</v>
          </cell>
        </row>
        <row r="286">
          <cell r="F286">
            <v>148</v>
          </cell>
          <cell r="H286">
            <v>1035</v>
          </cell>
          <cell r="J286">
            <v>0</v>
          </cell>
          <cell r="K286">
            <v>0</v>
          </cell>
          <cell r="L286">
            <v>0</v>
          </cell>
          <cell r="M286">
            <v>345.8</v>
          </cell>
          <cell r="N286">
            <v>345.8</v>
          </cell>
          <cell r="O286">
            <v>0</v>
          </cell>
          <cell r="P286">
            <v>0</v>
          </cell>
          <cell r="Q286">
            <v>0</v>
          </cell>
          <cell r="R286">
            <v>415</v>
          </cell>
          <cell r="S286">
            <v>415</v>
          </cell>
          <cell r="T286">
            <v>0</v>
          </cell>
          <cell r="U286">
            <v>315</v>
          </cell>
          <cell r="V286">
            <v>3741</v>
          </cell>
          <cell r="W286">
            <v>0</v>
          </cell>
          <cell r="X286">
            <v>4056</v>
          </cell>
          <cell r="Y286">
            <v>0</v>
          </cell>
          <cell r="Z286">
            <v>0</v>
          </cell>
          <cell r="AA286">
            <v>0</v>
          </cell>
          <cell r="AB286">
            <v>500</v>
          </cell>
          <cell r="AC286">
            <v>500</v>
          </cell>
          <cell r="AD286">
            <v>0</v>
          </cell>
          <cell r="AE286">
            <v>0</v>
          </cell>
          <cell r="AF286">
            <v>500</v>
          </cell>
          <cell r="AG286">
            <v>0</v>
          </cell>
          <cell r="AH286">
            <v>500</v>
          </cell>
          <cell r="AI286">
            <v>0</v>
          </cell>
          <cell r="AJ286">
            <v>0</v>
          </cell>
          <cell r="AK286">
            <v>488</v>
          </cell>
          <cell r="AL286">
            <v>108</v>
          </cell>
          <cell r="AM286">
            <v>596</v>
          </cell>
          <cell r="AN286">
            <v>2584</v>
          </cell>
          <cell r="AO286">
            <v>4248</v>
          </cell>
          <cell r="AP286">
            <v>3143</v>
          </cell>
          <cell r="AQ286">
            <v>2896</v>
          </cell>
          <cell r="AR286">
            <v>3699</v>
          </cell>
          <cell r="AS286">
            <v>3500</v>
          </cell>
          <cell r="AT286">
            <v>3737</v>
          </cell>
        </row>
        <row r="288">
          <cell r="B288">
            <v>0</v>
          </cell>
          <cell r="C288">
            <v>0</v>
          </cell>
          <cell r="D288">
            <v>0</v>
          </cell>
          <cell r="E288">
            <v>133</v>
          </cell>
          <cell r="F288">
            <v>670</v>
          </cell>
          <cell r="G288">
            <v>1707</v>
          </cell>
          <cell r="H288">
            <v>2825</v>
          </cell>
          <cell r="I288">
            <v>585</v>
          </cell>
          <cell r="J288">
            <v>183</v>
          </cell>
          <cell r="K288">
            <v>44</v>
          </cell>
          <cell r="L288">
            <v>41</v>
          </cell>
          <cell r="M288">
            <v>348</v>
          </cell>
          <cell r="N288">
            <v>616</v>
          </cell>
          <cell r="O288">
            <v>150</v>
          </cell>
          <cell r="P288">
            <v>86</v>
          </cell>
          <cell r="Q288">
            <v>0</v>
          </cell>
          <cell r="R288">
            <v>4</v>
          </cell>
          <cell r="S288">
            <v>240</v>
          </cell>
          <cell r="T288">
            <v>47</v>
          </cell>
          <cell r="U288">
            <v>87</v>
          </cell>
          <cell r="V288">
            <v>84</v>
          </cell>
          <cell r="W288">
            <v>1</v>
          </cell>
          <cell r="X288">
            <v>219</v>
          </cell>
          <cell r="Y288">
            <v>550</v>
          </cell>
          <cell r="Z288">
            <v>1500</v>
          </cell>
          <cell r="AA288">
            <v>0</v>
          </cell>
          <cell r="AB288">
            <v>301.12</v>
          </cell>
          <cell r="AC288">
            <v>2351.12</v>
          </cell>
          <cell r="AD288">
            <v>550</v>
          </cell>
          <cell r="AE288">
            <v>1800</v>
          </cell>
          <cell r="AF288">
            <v>0</v>
          </cell>
          <cell r="AG288">
            <v>788</v>
          </cell>
          <cell r="AH288">
            <v>3138</v>
          </cell>
          <cell r="AI288">
            <v>550</v>
          </cell>
          <cell r="AJ288">
            <v>1800</v>
          </cell>
          <cell r="AK288">
            <v>0</v>
          </cell>
          <cell r="AL288">
            <v>788</v>
          </cell>
          <cell r="AM288">
            <v>3138</v>
          </cell>
          <cell r="AN288">
            <v>2785.18</v>
          </cell>
          <cell r="AO288">
            <v>2785.18</v>
          </cell>
          <cell r="AP288">
            <v>3795</v>
          </cell>
          <cell r="AQ288">
            <v>3720</v>
          </cell>
          <cell r="AR288">
            <v>3748</v>
          </cell>
          <cell r="AS288">
            <v>2828</v>
          </cell>
          <cell r="AT288">
            <v>4578</v>
          </cell>
        </row>
        <row r="290">
          <cell r="B290">
            <v>0</v>
          </cell>
          <cell r="C290">
            <v>0</v>
          </cell>
          <cell r="D290">
            <v>0</v>
          </cell>
          <cell r="E290">
            <v>133</v>
          </cell>
          <cell r="F290">
            <v>670</v>
          </cell>
          <cell r="G290">
            <v>1707</v>
          </cell>
          <cell r="H290">
            <v>1612</v>
          </cell>
          <cell r="I290">
            <v>-128</v>
          </cell>
          <cell r="J290">
            <v>-190</v>
          </cell>
          <cell r="K290">
            <v>-193</v>
          </cell>
          <cell r="L290">
            <v>-122</v>
          </cell>
          <cell r="M290">
            <v>251</v>
          </cell>
          <cell r="N290">
            <v>-254</v>
          </cell>
          <cell r="O290">
            <v>-121</v>
          </cell>
          <cell r="P290">
            <v>-308</v>
          </cell>
          <cell r="Q290">
            <v>-77</v>
          </cell>
          <cell r="R290">
            <v>-31</v>
          </cell>
          <cell r="S290">
            <v>-537</v>
          </cell>
          <cell r="T290">
            <v>-596</v>
          </cell>
          <cell r="U290">
            <v>67</v>
          </cell>
          <cell r="V290">
            <v>-66</v>
          </cell>
          <cell r="W290">
            <v>-59</v>
          </cell>
          <cell r="X290">
            <v>-654</v>
          </cell>
          <cell r="Y290">
            <v>92</v>
          </cell>
          <cell r="Z290">
            <v>708</v>
          </cell>
          <cell r="AA290">
            <v>0</v>
          </cell>
          <cell r="AB290">
            <v>301.12</v>
          </cell>
          <cell r="AC290">
            <v>1101.1199999999999</v>
          </cell>
          <cell r="AD290">
            <v>158</v>
          </cell>
          <cell r="AE290">
            <v>1437</v>
          </cell>
          <cell r="AF290">
            <v>-304</v>
          </cell>
          <cell r="AG290">
            <v>592</v>
          </cell>
          <cell r="AH290">
            <v>1883</v>
          </cell>
          <cell r="AI290">
            <v>158</v>
          </cell>
          <cell r="AJ290">
            <v>1437</v>
          </cell>
          <cell r="AK290">
            <v>-304</v>
          </cell>
          <cell r="AL290">
            <v>592</v>
          </cell>
          <cell r="AM290">
            <v>1883</v>
          </cell>
          <cell r="AN290">
            <v>1830.1799999999998</v>
          </cell>
          <cell r="AO290">
            <v>1830.1799999999998</v>
          </cell>
          <cell r="AP290">
            <v>2529</v>
          </cell>
          <cell r="AQ290">
            <v>2019</v>
          </cell>
          <cell r="AR290">
            <v>1848</v>
          </cell>
          <cell r="AS290">
            <v>1476</v>
          </cell>
          <cell r="AT290">
            <v>2430</v>
          </cell>
        </row>
        <row r="291">
          <cell r="B291">
            <v>428</v>
          </cell>
          <cell r="C291">
            <v>110</v>
          </cell>
          <cell r="D291">
            <v>-67</v>
          </cell>
          <cell r="E291">
            <v>-70</v>
          </cell>
          <cell r="F291">
            <v>1264</v>
          </cell>
          <cell r="G291">
            <v>2488</v>
          </cell>
          <cell r="H291">
            <v>715</v>
          </cell>
          <cell r="I291">
            <v>-484</v>
          </cell>
          <cell r="J291">
            <v>-377</v>
          </cell>
          <cell r="K291">
            <v>0</v>
          </cell>
          <cell r="L291">
            <v>-87</v>
          </cell>
          <cell r="M291">
            <v>595</v>
          </cell>
          <cell r="N291">
            <v>131</v>
          </cell>
          <cell r="O291">
            <v>-457</v>
          </cell>
          <cell r="P291">
            <v>-281</v>
          </cell>
          <cell r="Q291">
            <v>-732</v>
          </cell>
          <cell r="R291">
            <v>-134</v>
          </cell>
          <cell r="S291">
            <v>-1604</v>
          </cell>
          <cell r="T291">
            <v>-63</v>
          </cell>
          <cell r="U291">
            <v>284.2</v>
          </cell>
          <cell r="V291">
            <v>-609</v>
          </cell>
          <cell r="W291">
            <v>1275</v>
          </cell>
          <cell r="X291">
            <v>887.2</v>
          </cell>
          <cell r="Y291">
            <v>57.75</v>
          </cell>
          <cell r="Z291">
            <v>567.75</v>
          </cell>
          <cell r="AA291">
            <v>123.19</v>
          </cell>
          <cell r="AB291">
            <v>898.76</v>
          </cell>
          <cell r="AC291">
            <v>1647.45</v>
          </cell>
          <cell r="AD291">
            <v>91</v>
          </cell>
          <cell r="AE291">
            <v>1370</v>
          </cell>
          <cell r="AF291">
            <v>-220</v>
          </cell>
          <cell r="AG291">
            <v>1439</v>
          </cell>
          <cell r="AH291">
            <v>2680</v>
          </cell>
          <cell r="AI291">
            <v>327</v>
          </cell>
          <cell r="AJ291">
            <v>1189</v>
          </cell>
          <cell r="AK291">
            <v>-235</v>
          </cell>
          <cell r="AL291">
            <v>2003</v>
          </cell>
          <cell r="AM291">
            <v>3284</v>
          </cell>
          <cell r="AN291">
            <v>2072.02</v>
          </cell>
          <cell r="AO291">
            <v>2072.02</v>
          </cell>
          <cell r="AP291">
            <v>2829.1679404466504</v>
          </cell>
          <cell r="AQ291">
            <v>1657</v>
          </cell>
          <cell r="AR291">
            <v>1492</v>
          </cell>
          <cell r="AS291">
            <v>1149</v>
          </cell>
          <cell r="AT291">
            <v>2103</v>
          </cell>
        </row>
        <row r="293">
          <cell r="G293">
            <v>0</v>
          </cell>
          <cell r="H293">
            <v>0</v>
          </cell>
          <cell r="I293">
            <v>0</v>
          </cell>
          <cell r="J293">
            <v>0</v>
          </cell>
          <cell r="K293">
            <v>0</v>
          </cell>
          <cell r="L293">
            <v>0</v>
          </cell>
          <cell r="M293">
            <v>0</v>
          </cell>
          <cell r="N293">
            <v>0</v>
          </cell>
          <cell r="O293">
            <v>0</v>
          </cell>
          <cell r="P293">
            <v>0</v>
          </cell>
          <cell r="Q293">
            <v>244</v>
          </cell>
          <cell r="R293">
            <v>0</v>
          </cell>
          <cell r="S293">
            <v>244</v>
          </cell>
          <cell r="T293">
            <v>-7</v>
          </cell>
          <cell r="U293">
            <v>-25</v>
          </cell>
          <cell r="V293">
            <v>-8</v>
          </cell>
          <cell r="W293">
            <v>-28</v>
          </cell>
          <cell r="X293">
            <v>-68</v>
          </cell>
          <cell r="Y293">
            <v>-7.4</v>
          </cell>
          <cell r="Z293">
            <v>-27.6</v>
          </cell>
          <cell r="AA293">
            <v>-7.4</v>
          </cell>
          <cell r="AB293">
            <v>-27.6</v>
          </cell>
          <cell r="AC293">
            <v>-70</v>
          </cell>
          <cell r="AD293">
            <v>-8</v>
          </cell>
          <cell r="AE293">
            <v>-26</v>
          </cell>
          <cell r="AF293">
            <v>-8</v>
          </cell>
          <cell r="AG293">
            <v>-27</v>
          </cell>
          <cell r="AH293">
            <v>-69</v>
          </cell>
          <cell r="AI293">
            <v>-8</v>
          </cell>
          <cell r="AJ293">
            <v>-26</v>
          </cell>
          <cell r="AK293">
            <v>-8</v>
          </cell>
          <cell r="AL293">
            <v>-27</v>
          </cell>
          <cell r="AM293">
            <v>-69</v>
          </cell>
          <cell r="AN293">
            <v>-70</v>
          </cell>
          <cell r="AO293">
            <v>-70</v>
          </cell>
          <cell r="AP293">
            <v>0</v>
          </cell>
          <cell r="AQ293">
            <v>0</v>
          </cell>
          <cell r="AR293">
            <v>0</v>
          </cell>
          <cell r="AS293">
            <v>0</v>
          </cell>
          <cell r="AT293">
            <v>0</v>
          </cell>
        </row>
        <row r="295">
          <cell r="F295">
            <v>177</v>
          </cell>
          <cell r="G295">
            <v>178</v>
          </cell>
          <cell r="H295">
            <v>0</v>
          </cell>
          <cell r="I295">
            <v>0</v>
          </cell>
        </row>
        <row r="297">
          <cell r="B297">
            <v>-91</v>
          </cell>
          <cell r="C297">
            <v>-64</v>
          </cell>
          <cell r="D297">
            <v>-250</v>
          </cell>
          <cell r="E297">
            <v>-493</v>
          </cell>
          <cell r="F297">
            <v>-214</v>
          </cell>
          <cell r="G297">
            <v>-190</v>
          </cell>
          <cell r="H297">
            <v>63</v>
          </cell>
          <cell r="I297">
            <v>21</v>
          </cell>
          <cell r="J297">
            <v>58</v>
          </cell>
          <cell r="K297">
            <v>228</v>
          </cell>
          <cell r="L297">
            <v>11</v>
          </cell>
          <cell r="M297">
            <v>36</v>
          </cell>
          <cell r="N297">
            <v>333</v>
          </cell>
          <cell r="O297">
            <v>168</v>
          </cell>
          <cell r="P297">
            <v>-44</v>
          </cell>
          <cell r="Q297">
            <v>-60</v>
          </cell>
          <cell r="R297">
            <v>-9</v>
          </cell>
          <cell r="S297">
            <v>55</v>
          </cell>
          <cell r="T297">
            <v>57</v>
          </cell>
          <cell r="U297">
            <v>-33</v>
          </cell>
          <cell r="V297">
            <v>-59</v>
          </cell>
          <cell r="W297">
            <v>-124</v>
          </cell>
          <cell r="X297">
            <v>-159</v>
          </cell>
          <cell r="Y297">
            <v>289.19</v>
          </cell>
          <cell r="Z297">
            <v>-10.3</v>
          </cell>
          <cell r="AA297">
            <v>0</v>
          </cell>
          <cell r="AB297">
            <v>27.12</v>
          </cell>
          <cell r="AC297">
            <v>306.01</v>
          </cell>
          <cell r="AD297">
            <v>310</v>
          </cell>
          <cell r="AE297">
            <v>9</v>
          </cell>
          <cell r="AF297">
            <v>0</v>
          </cell>
          <cell r="AG297">
            <v>27</v>
          </cell>
          <cell r="AH297">
            <v>346</v>
          </cell>
          <cell r="AI297">
            <v>302</v>
          </cell>
          <cell r="AJ297">
            <v>11</v>
          </cell>
          <cell r="AK297">
            <v>23</v>
          </cell>
          <cell r="AL297">
            <v>633</v>
          </cell>
          <cell r="AM297">
            <v>969</v>
          </cell>
          <cell r="AN297">
            <v>0</v>
          </cell>
          <cell r="AO297">
            <v>0</v>
          </cell>
          <cell r="AP297">
            <v>0</v>
          </cell>
          <cell r="AQ297">
            <v>0</v>
          </cell>
          <cell r="AR297">
            <v>0</v>
          </cell>
          <cell r="AS297">
            <v>0</v>
          </cell>
          <cell r="AT297">
            <v>0</v>
          </cell>
        </row>
        <row r="299">
          <cell r="C299">
            <v>-50</v>
          </cell>
          <cell r="D299">
            <v>-368</v>
          </cell>
          <cell r="E299">
            <v>-420</v>
          </cell>
          <cell r="F299">
            <v>-283</v>
          </cell>
          <cell r="G299">
            <v>-187</v>
          </cell>
          <cell r="H299">
            <v>-77</v>
          </cell>
          <cell r="I299">
            <v>-13</v>
          </cell>
          <cell r="J299">
            <v>-14</v>
          </cell>
          <cell r="K299">
            <v>-4</v>
          </cell>
          <cell r="L299">
            <v>-1</v>
          </cell>
          <cell r="M299">
            <v>-7</v>
          </cell>
          <cell r="N299">
            <v>-26</v>
          </cell>
          <cell r="O299">
            <v>-19</v>
          </cell>
          <cell r="P299">
            <v>-61</v>
          </cell>
          <cell r="Q299">
            <v>-22</v>
          </cell>
          <cell r="R299">
            <v>-40</v>
          </cell>
          <cell r="S299">
            <v>-142</v>
          </cell>
          <cell r="T299">
            <v>-7</v>
          </cell>
          <cell r="U299">
            <v>-29</v>
          </cell>
          <cell r="V299">
            <v>-63</v>
          </cell>
          <cell r="W299">
            <v>-62</v>
          </cell>
          <cell r="X299">
            <v>-161</v>
          </cell>
          <cell r="Y299">
            <v>0</v>
          </cell>
          <cell r="Z299">
            <v>-10.3</v>
          </cell>
          <cell r="AA299">
            <v>0</v>
          </cell>
          <cell r="AB299">
            <v>-10.3</v>
          </cell>
          <cell r="AC299">
            <v>-20.6</v>
          </cell>
          <cell r="AD299">
            <v>0</v>
          </cell>
          <cell r="AE299">
            <v>-7</v>
          </cell>
          <cell r="AF299">
            <v>0</v>
          </cell>
          <cell r="AG299">
            <v>-10</v>
          </cell>
          <cell r="AH299">
            <v>-17</v>
          </cell>
          <cell r="AI299">
            <v>0</v>
          </cell>
          <cell r="AJ299">
            <v>-7</v>
          </cell>
          <cell r="AK299">
            <v>-6</v>
          </cell>
          <cell r="AL299">
            <v>-7</v>
          </cell>
          <cell r="AM299">
            <v>-20</v>
          </cell>
          <cell r="AN299">
            <v>0</v>
          </cell>
          <cell r="AO299">
            <v>0</v>
          </cell>
          <cell r="AP299">
            <v>0</v>
          </cell>
          <cell r="AQ299">
            <v>0</v>
          </cell>
          <cell r="AR299">
            <v>0</v>
          </cell>
          <cell r="AS299">
            <v>0</v>
          </cell>
          <cell r="AT299">
            <v>0</v>
          </cell>
        </row>
        <row r="300">
          <cell r="N300">
            <v>0</v>
          </cell>
          <cell r="S300">
            <v>0</v>
          </cell>
          <cell r="X300">
            <v>0</v>
          </cell>
          <cell r="AC300">
            <v>0</v>
          </cell>
          <cell r="AH300">
            <v>0</v>
          </cell>
          <cell r="AN300">
            <v>0</v>
          </cell>
          <cell r="AO300">
            <v>0</v>
          </cell>
          <cell r="AP300">
            <v>0</v>
          </cell>
          <cell r="AQ300">
            <v>0</v>
          </cell>
          <cell r="AR300">
            <v>0</v>
          </cell>
          <cell r="AS300">
            <v>0</v>
          </cell>
          <cell r="AT300">
            <v>0</v>
          </cell>
        </row>
        <row r="301">
          <cell r="N301">
            <v>0</v>
          </cell>
          <cell r="S301">
            <v>0</v>
          </cell>
          <cell r="X301">
            <v>0</v>
          </cell>
          <cell r="AC301">
            <v>0</v>
          </cell>
          <cell r="AH301">
            <v>0</v>
          </cell>
          <cell r="AN301">
            <v>0</v>
          </cell>
          <cell r="AO301">
            <v>0</v>
          </cell>
          <cell r="AP301">
            <v>0</v>
          </cell>
          <cell r="AQ301">
            <v>0</v>
          </cell>
          <cell r="AR301">
            <v>0</v>
          </cell>
          <cell r="AS301">
            <v>0</v>
          </cell>
          <cell r="AT301">
            <v>0</v>
          </cell>
        </row>
        <row r="302">
          <cell r="N302">
            <v>0</v>
          </cell>
          <cell r="S302">
            <v>0</v>
          </cell>
          <cell r="X302">
            <v>0</v>
          </cell>
          <cell r="AC302">
            <v>0</v>
          </cell>
          <cell r="AH302">
            <v>0</v>
          </cell>
          <cell r="AN302">
            <v>0</v>
          </cell>
          <cell r="AO302">
            <v>0</v>
          </cell>
          <cell r="AP302">
            <v>0</v>
          </cell>
          <cell r="AQ302">
            <v>0</v>
          </cell>
          <cell r="AR302">
            <v>0</v>
          </cell>
          <cell r="AS302">
            <v>0</v>
          </cell>
          <cell r="AT302">
            <v>0</v>
          </cell>
        </row>
        <row r="303">
          <cell r="G303">
            <v>46</v>
          </cell>
          <cell r="H303">
            <v>80</v>
          </cell>
          <cell r="I303">
            <v>3</v>
          </cell>
          <cell r="J303">
            <v>45</v>
          </cell>
          <cell r="K303">
            <v>216</v>
          </cell>
          <cell r="L303">
            <v>0</v>
          </cell>
          <cell r="M303">
            <v>5</v>
          </cell>
          <cell r="N303">
            <v>266</v>
          </cell>
          <cell r="O303">
            <v>85</v>
          </cell>
          <cell r="P303">
            <v>0</v>
          </cell>
          <cell r="Q303">
            <v>0</v>
          </cell>
          <cell r="R303">
            <v>-1</v>
          </cell>
          <cell r="S303">
            <v>84</v>
          </cell>
          <cell r="T303">
            <v>0</v>
          </cell>
          <cell r="U303">
            <v>0</v>
          </cell>
          <cell r="V303">
            <v>0</v>
          </cell>
          <cell r="W303">
            <v>0</v>
          </cell>
          <cell r="X303">
            <v>0</v>
          </cell>
          <cell r="Y303">
            <v>289.19</v>
          </cell>
          <cell r="Z303">
            <v>0</v>
          </cell>
          <cell r="AA303">
            <v>0</v>
          </cell>
          <cell r="AB303">
            <v>37.42</v>
          </cell>
          <cell r="AC303">
            <v>326.61</v>
          </cell>
          <cell r="AD303">
            <v>298</v>
          </cell>
          <cell r="AE303">
            <v>0</v>
          </cell>
          <cell r="AF303">
            <v>0</v>
          </cell>
          <cell r="AG303">
            <v>37</v>
          </cell>
          <cell r="AH303">
            <v>335</v>
          </cell>
          <cell r="AI303">
            <v>298</v>
          </cell>
          <cell r="AJ303">
            <v>0</v>
          </cell>
          <cell r="AK303">
            <v>0</v>
          </cell>
          <cell r="AL303">
            <v>656</v>
          </cell>
          <cell r="AM303">
            <v>954</v>
          </cell>
          <cell r="AN303">
            <v>0</v>
          </cell>
          <cell r="AO303">
            <v>0</v>
          </cell>
          <cell r="AP303">
            <v>0</v>
          </cell>
          <cell r="AQ303">
            <v>0</v>
          </cell>
          <cell r="AR303">
            <v>0</v>
          </cell>
          <cell r="AS303">
            <v>0</v>
          </cell>
          <cell r="AT303">
            <v>0</v>
          </cell>
        </row>
        <row r="304">
          <cell r="D304">
            <v>11</v>
          </cell>
          <cell r="E304">
            <v>-17</v>
          </cell>
          <cell r="F304">
            <v>48</v>
          </cell>
          <cell r="G304">
            <v>-10</v>
          </cell>
          <cell r="H304">
            <v>126</v>
          </cell>
          <cell r="I304">
            <v>53</v>
          </cell>
          <cell r="J304">
            <v>32</v>
          </cell>
          <cell r="K304">
            <v>19</v>
          </cell>
          <cell r="L304">
            <v>27</v>
          </cell>
          <cell r="M304">
            <v>35</v>
          </cell>
          <cell r="N304">
            <v>113</v>
          </cell>
          <cell r="O304">
            <v>115</v>
          </cell>
          <cell r="P304">
            <v>18</v>
          </cell>
          <cell r="Q304">
            <v>-18</v>
          </cell>
          <cell r="R304">
            <v>30</v>
          </cell>
          <cell r="S304">
            <v>145</v>
          </cell>
          <cell r="T304">
            <v>117</v>
          </cell>
          <cell r="U304">
            <v>17</v>
          </cell>
          <cell r="V304">
            <v>13</v>
          </cell>
          <cell r="W304">
            <v>-48</v>
          </cell>
          <cell r="X304">
            <v>99</v>
          </cell>
          <cell r="Y304">
            <v>0</v>
          </cell>
          <cell r="Z304">
            <v>0</v>
          </cell>
          <cell r="AA304">
            <v>0</v>
          </cell>
          <cell r="AB304">
            <v>0</v>
          </cell>
          <cell r="AC304">
            <v>0</v>
          </cell>
          <cell r="AD304">
            <v>27</v>
          </cell>
          <cell r="AE304">
            <v>20</v>
          </cell>
          <cell r="AF304">
            <v>0</v>
          </cell>
          <cell r="AG304">
            <v>-194</v>
          </cell>
          <cell r="AH304">
            <v>-147</v>
          </cell>
          <cell r="AI304">
            <v>27</v>
          </cell>
          <cell r="AJ304">
            <v>20</v>
          </cell>
          <cell r="AK304">
            <v>-20</v>
          </cell>
          <cell r="AL304">
            <v>-14</v>
          </cell>
          <cell r="AM304">
            <v>13</v>
          </cell>
          <cell r="AN304">
            <v>0</v>
          </cell>
          <cell r="AO304">
            <v>0</v>
          </cell>
          <cell r="AP304">
            <v>0</v>
          </cell>
          <cell r="AQ304">
            <v>0</v>
          </cell>
          <cell r="AR304">
            <v>0</v>
          </cell>
          <cell r="AS304">
            <v>0</v>
          </cell>
          <cell r="AT304">
            <v>0</v>
          </cell>
        </row>
        <row r="305">
          <cell r="B305">
            <v>-91</v>
          </cell>
          <cell r="C305">
            <v>-14</v>
          </cell>
          <cell r="D305">
            <v>107</v>
          </cell>
          <cell r="E305">
            <v>-56</v>
          </cell>
          <cell r="F305">
            <v>21</v>
          </cell>
          <cell r="G305">
            <v>-39</v>
          </cell>
          <cell r="H305">
            <v>-66</v>
          </cell>
          <cell r="I305">
            <v>-22</v>
          </cell>
          <cell r="J305">
            <v>-5</v>
          </cell>
          <cell r="K305">
            <v>-3</v>
          </cell>
          <cell r="L305">
            <v>-15</v>
          </cell>
          <cell r="M305">
            <v>3</v>
          </cell>
          <cell r="N305">
            <v>-20</v>
          </cell>
          <cell r="O305">
            <v>-13</v>
          </cell>
          <cell r="P305">
            <v>-1</v>
          </cell>
          <cell r="Q305">
            <v>-20</v>
          </cell>
          <cell r="R305">
            <v>2</v>
          </cell>
          <cell r="S305">
            <v>-32</v>
          </cell>
          <cell r="T305">
            <v>-53</v>
          </cell>
          <cell r="U305">
            <v>-21</v>
          </cell>
          <cell r="V305">
            <v>-9</v>
          </cell>
          <cell r="W305">
            <v>-14</v>
          </cell>
          <cell r="X305">
            <v>-97</v>
          </cell>
          <cell r="AC305">
            <v>0</v>
          </cell>
          <cell r="AD305">
            <v>-15</v>
          </cell>
          <cell r="AE305">
            <v>-4</v>
          </cell>
          <cell r="AG305">
            <v>194</v>
          </cell>
          <cell r="AH305">
            <v>175</v>
          </cell>
          <cell r="AI305">
            <v>-23</v>
          </cell>
          <cell r="AJ305">
            <v>-2</v>
          </cell>
          <cell r="AK305">
            <v>49</v>
          </cell>
          <cell r="AL305">
            <v>-2</v>
          </cell>
          <cell r="AM305">
            <v>22</v>
          </cell>
          <cell r="AN305">
            <v>0</v>
          </cell>
          <cell r="AO305">
            <v>0</v>
          </cell>
          <cell r="AP305">
            <v>0</v>
          </cell>
          <cell r="AQ305">
            <v>0</v>
          </cell>
          <cell r="AR305">
            <v>0</v>
          </cell>
          <cell r="AS305">
            <v>0</v>
          </cell>
          <cell r="AT305">
            <v>0</v>
          </cell>
        </row>
        <row r="307">
          <cell r="B307">
            <v>23</v>
          </cell>
          <cell r="C307">
            <v>3</v>
          </cell>
          <cell r="D307">
            <v>175</v>
          </cell>
          <cell r="E307">
            <v>520</v>
          </cell>
          <cell r="F307">
            <v>196</v>
          </cell>
          <cell r="G307">
            <v>915</v>
          </cell>
          <cell r="H307">
            <v>1071</v>
          </cell>
          <cell r="I307">
            <v>205</v>
          </cell>
          <cell r="J307">
            <v>18</v>
          </cell>
          <cell r="K307">
            <v>19</v>
          </cell>
          <cell r="L307">
            <v>31</v>
          </cell>
          <cell r="M307">
            <v>19</v>
          </cell>
          <cell r="N307">
            <v>87</v>
          </cell>
          <cell r="O307">
            <v>34</v>
          </cell>
          <cell r="P307">
            <v>48</v>
          </cell>
          <cell r="Q307">
            <v>55</v>
          </cell>
          <cell r="R307">
            <v>40</v>
          </cell>
          <cell r="S307">
            <v>177</v>
          </cell>
          <cell r="T307">
            <v>466</v>
          </cell>
          <cell r="U307">
            <v>75</v>
          </cell>
          <cell r="V307">
            <v>89</v>
          </cell>
          <cell r="W307">
            <v>67</v>
          </cell>
          <cell r="X307">
            <v>697</v>
          </cell>
          <cell r="Y307">
            <v>0</v>
          </cell>
          <cell r="Z307">
            <v>0</v>
          </cell>
          <cell r="AA307">
            <v>0</v>
          </cell>
          <cell r="AB307">
            <v>0</v>
          </cell>
          <cell r="AC307">
            <v>0</v>
          </cell>
          <cell r="AD307">
            <v>13.6875</v>
          </cell>
          <cell r="AE307">
            <v>20.6875</v>
          </cell>
          <cell r="AF307">
            <v>50</v>
          </cell>
          <cell r="AG307">
            <v>50</v>
          </cell>
          <cell r="AH307">
            <v>134.375</v>
          </cell>
          <cell r="AI307">
            <v>229</v>
          </cell>
          <cell r="AJ307">
            <v>63</v>
          </cell>
          <cell r="AK307">
            <v>59</v>
          </cell>
          <cell r="AL307">
            <v>39</v>
          </cell>
          <cell r="AM307">
            <v>390</v>
          </cell>
          <cell r="AN307">
            <v>50</v>
          </cell>
          <cell r="AO307">
            <v>50</v>
          </cell>
          <cell r="AP307">
            <v>50</v>
          </cell>
          <cell r="AQ307">
            <v>200</v>
          </cell>
          <cell r="AR307">
            <v>200</v>
          </cell>
          <cell r="AS307">
            <v>150</v>
          </cell>
          <cell r="AT307">
            <v>150</v>
          </cell>
        </row>
        <row r="308">
          <cell r="AD308">
            <v>44</v>
          </cell>
          <cell r="AE308">
            <v>-132</v>
          </cell>
          <cell r="AF308">
            <v>-108.6875</v>
          </cell>
          <cell r="AG308">
            <v>-107.6875</v>
          </cell>
        </row>
        <row r="310">
          <cell r="D310">
            <v>175</v>
          </cell>
          <cell r="E310">
            <v>520</v>
          </cell>
          <cell r="F310">
            <v>196</v>
          </cell>
          <cell r="G310">
            <v>915</v>
          </cell>
          <cell r="H310">
            <v>1071</v>
          </cell>
          <cell r="I310">
            <v>205</v>
          </cell>
        </row>
        <row r="313">
          <cell r="G313">
            <v>0</v>
          </cell>
          <cell r="H313">
            <v>0</v>
          </cell>
          <cell r="I313">
            <v>0</v>
          </cell>
          <cell r="U313">
            <v>1000</v>
          </cell>
          <cell r="X313">
            <v>1000</v>
          </cell>
          <cell r="Y313">
            <v>274.75</v>
          </cell>
          <cell r="Z313">
            <v>274.75</v>
          </cell>
          <cell r="AA313">
            <v>274.75</v>
          </cell>
          <cell r="AB313">
            <v>274.75</v>
          </cell>
          <cell r="AC313">
            <v>1099</v>
          </cell>
          <cell r="AD313">
            <v>192.3125</v>
          </cell>
          <cell r="AE313">
            <v>32.3125</v>
          </cell>
          <cell r="AF313">
            <v>112.3125</v>
          </cell>
          <cell r="AG313">
            <v>112.3125</v>
          </cell>
          <cell r="AH313">
            <v>449.25</v>
          </cell>
          <cell r="AN313">
            <v>399.99999999999994</v>
          </cell>
          <cell r="AO313">
            <v>399.99999999999994</v>
          </cell>
          <cell r="AP313">
            <v>694.8</v>
          </cell>
          <cell r="AQ313">
            <v>158</v>
          </cell>
          <cell r="AR313">
            <v>241</v>
          </cell>
          <cell r="AS313">
            <v>24</v>
          </cell>
          <cell r="AT313">
            <v>0</v>
          </cell>
        </row>
        <row r="315">
          <cell r="B315">
            <v>2189</v>
          </cell>
          <cell r="C315">
            <v>2042</v>
          </cell>
          <cell r="D315">
            <v>2302</v>
          </cell>
          <cell r="E315">
            <v>2406</v>
          </cell>
          <cell r="F315">
            <v>1604</v>
          </cell>
          <cell r="G315">
            <v>1488</v>
          </cell>
          <cell r="H315">
            <v>3235</v>
          </cell>
          <cell r="I315">
            <v>2744.4982</v>
          </cell>
          <cell r="J315">
            <v>867</v>
          </cell>
          <cell r="K315">
            <v>695.827</v>
          </cell>
          <cell r="L315">
            <v>945.49900000000002</v>
          </cell>
          <cell r="M315">
            <v>646.96299999999997</v>
          </cell>
          <cell r="N315">
            <v>3155.2889999999998</v>
          </cell>
          <cell r="O315">
            <v>871</v>
          </cell>
          <cell r="P315">
            <v>1008</v>
          </cell>
          <cell r="Q315">
            <v>700</v>
          </cell>
          <cell r="R315">
            <v>606</v>
          </cell>
          <cell r="S315">
            <v>3185</v>
          </cell>
          <cell r="T315">
            <v>1346.8899999999999</v>
          </cell>
          <cell r="U315">
            <v>412.62</v>
          </cell>
          <cell r="V315">
            <v>4023.73</v>
          </cell>
          <cell r="W315">
            <v>678.31999999999994</v>
          </cell>
          <cell r="X315">
            <v>6461.5599999999995</v>
          </cell>
          <cell r="Y315">
            <v>1110.4573499999999</v>
          </cell>
          <cell r="Z315">
            <v>1753.4739999999999</v>
          </cell>
          <cell r="AA315">
            <v>618.80600000000004</v>
          </cell>
          <cell r="AB315">
            <v>1398.6979999999999</v>
          </cell>
          <cell r="AC315">
            <v>4881.4353499999997</v>
          </cell>
          <cell r="AD315">
            <v>932</v>
          </cell>
          <cell r="AE315">
            <v>1183</v>
          </cell>
          <cell r="AF315">
            <v>922</v>
          </cell>
          <cell r="AG315">
            <v>1588</v>
          </cell>
          <cell r="AH315">
            <v>4625</v>
          </cell>
          <cell r="AI315">
            <v>932.13</v>
          </cell>
          <cell r="AJ315">
            <v>1182.3800000000001</v>
          </cell>
          <cell r="AK315">
            <v>737.29</v>
          </cell>
          <cell r="AL315">
            <v>1410</v>
          </cell>
          <cell r="AM315">
            <v>4261.8</v>
          </cell>
          <cell r="AN315">
            <v>3506.0819999999999</v>
          </cell>
          <cell r="AO315">
            <v>3506.0819999999999</v>
          </cell>
          <cell r="AP315">
            <v>4065.7451714285717</v>
          </cell>
          <cell r="AQ315">
            <v>4352.4323199999999</v>
          </cell>
          <cell r="AR315">
            <v>5035.7037700000001</v>
          </cell>
          <cell r="AS315">
            <v>5248.6440330999994</v>
          </cell>
          <cell r="AT315">
            <v>6164.6598440930002</v>
          </cell>
        </row>
        <row r="317">
          <cell r="B317">
            <v>2189</v>
          </cell>
          <cell r="C317">
            <v>2042</v>
          </cell>
          <cell r="D317">
            <v>2302</v>
          </cell>
          <cell r="E317">
            <v>2406</v>
          </cell>
          <cell r="F317">
            <v>1709.55663</v>
          </cell>
          <cell r="G317">
            <v>1666.58512</v>
          </cell>
          <cell r="H317">
            <v>3503.1035630000001</v>
          </cell>
          <cell r="I317">
            <v>2945.8195589000002</v>
          </cell>
          <cell r="J317">
            <v>867</v>
          </cell>
          <cell r="K317">
            <v>695.827</v>
          </cell>
          <cell r="L317">
            <v>945.49900000000002</v>
          </cell>
          <cell r="M317">
            <v>646.96299999999997</v>
          </cell>
          <cell r="N317">
            <v>3616.7634339999995</v>
          </cell>
          <cell r="O317">
            <v>912.44894109999996</v>
          </cell>
          <cell r="P317">
            <v>1204.6392318999999</v>
          </cell>
          <cell r="Q317">
            <v>741.0755527</v>
          </cell>
          <cell r="R317">
            <v>802.29928440000003</v>
          </cell>
          <cell r="S317">
            <v>3660.4630101000002</v>
          </cell>
          <cell r="T317">
            <v>1386.2827380087999</v>
          </cell>
          <cell r="U317">
            <v>600.58443382170003</v>
          </cell>
          <cell r="V317">
            <v>4062.2995808380001</v>
          </cell>
          <cell r="W317">
            <v>864.06796831399993</v>
          </cell>
          <cell r="X317">
            <v>6913.6547209173996</v>
          </cell>
          <cell r="Y317">
            <v>1148.7299153639999</v>
          </cell>
          <cell r="Z317">
            <v>1937.590214566</v>
          </cell>
          <cell r="AA317">
            <v>657.10685255200008</v>
          </cell>
          <cell r="AB317">
            <v>1582.9501940449998</v>
          </cell>
          <cell r="AC317">
            <v>5326.2694842359997</v>
          </cell>
          <cell r="AD317">
            <v>970.52230157748772</v>
          </cell>
          <cell r="AE317">
            <v>1365.2293157945098</v>
          </cell>
          <cell r="AF317">
            <v>959.5705321055442</v>
          </cell>
          <cell r="AG317">
            <v>1768.494229286157</v>
          </cell>
          <cell r="AH317">
            <v>5070.6554675710004</v>
          </cell>
          <cell r="AI317">
            <v>970.12558000000001</v>
          </cell>
          <cell r="AJ317">
            <v>1363.7632000000001</v>
          </cell>
          <cell r="AK317">
            <v>775.5346199999999</v>
          </cell>
          <cell r="AL317">
            <v>1598.9924000000001</v>
          </cell>
          <cell r="AM317">
            <v>4707.4554675710006</v>
          </cell>
          <cell r="AN317">
            <v>3971.1948500479998</v>
          </cell>
          <cell r="AO317">
            <v>3971.1948500479998</v>
          </cell>
          <cell r="AP317">
            <v>4606.266350594572</v>
          </cell>
          <cell r="AQ317">
            <v>4571.9603986299999</v>
          </cell>
          <cell r="AR317">
            <v>5035.7037700000001</v>
          </cell>
          <cell r="AS317">
            <v>5248.6440330999994</v>
          </cell>
          <cell r="AT317">
            <v>6164.6598440930002</v>
          </cell>
        </row>
        <row r="318">
          <cell r="B318">
            <v>0.19272497978104539</v>
          </cell>
          <cell r="C318">
            <v>0.1872188977471809</v>
          </cell>
          <cell r="D318">
            <v>0.16392758297495122</v>
          </cell>
          <cell r="E318">
            <v>0.1266849199663016</v>
          </cell>
          <cell r="F318">
            <v>0.10301636818318771</v>
          </cell>
          <cell r="G318">
            <v>0.10730009786247746</v>
          </cell>
          <cell r="H318">
            <v>0.21730063662303828</v>
          </cell>
          <cell r="I318">
            <v>0.16659048571509361</v>
          </cell>
          <cell r="J318">
            <v>0.17780968006562756</v>
          </cell>
          <cell r="K318">
            <v>0.12739417795679239</v>
          </cell>
          <cell r="L318">
            <v>0.18437968018720749</v>
          </cell>
          <cell r="M318">
            <v>0.12232236717716014</v>
          </cell>
          <cell r="N318">
            <v>0.17425986191279208</v>
          </cell>
          <cell r="O318">
            <v>0.16960017492565055</v>
          </cell>
          <cell r="P318">
            <v>0.20239234406922041</v>
          </cell>
          <cell r="Q318">
            <v>0.11584735855869939</v>
          </cell>
          <cell r="R318">
            <v>0.10653290192537512</v>
          </cell>
          <cell r="S318">
            <v>0.14491144141330167</v>
          </cell>
          <cell r="T318">
            <v>0.22722221570378626</v>
          </cell>
          <cell r="U318">
            <v>9.7087687329728431E-2</v>
          </cell>
          <cell r="V318">
            <v>0.62952108799597084</v>
          </cell>
          <cell r="W318">
            <v>0.13534899253038846</v>
          </cell>
          <cell r="X318">
            <v>0.27518128964008121</v>
          </cell>
          <cell r="Y318">
            <v>0.23306577192814448</v>
          </cell>
          <cell r="Z318">
            <v>0.37266194885450488</v>
          </cell>
          <cell r="AA318">
            <v>0.12045471990087731</v>
          </cell>
          <cell r="AB318">
            <v>0.24441890457434406</v>
          </cell>
          <cell r="AC318">
            <v>0.24144790388292045</v>
          </cell>
          <cell r="AD318">
            <v>0.19812307464265824</v>
          </cell>
          <cell r="AE318">
            <v>0.28875974718471936</v>
          </cell>
          <cell r="AF318">
            <v>0.19833584831825923</v>
          </cell>
          <cell r="AG318">
            <v>0.3799228863127283</v>
          </cell>
          <cell r="AH318">
            <v>0.26510491609475784</v>
          </cell>
          <cell r="AM318">
            <v>0.24719491496616572</v>
          </cell>
          <cell r="AN318">
            <v>0.22447325530602635</v>
          </cell>
          <cell r="AP318">
            <v>0.24304765219390118</v>
          </cell>
          <cell r="AQ318">
            <v>0.20765985932214737</v>
          </cell>
          <cell r="AR318">
            <v>0.21188820874442285</v>
          </cell>
          <cell r="AS318">
            <v>0.20625649498266649</v>
          </cell>
          <cell r="AT318">
            <v>0.22978052050739592</v>
          </cell>
        </row>
        <row r="320">
          <cell r="B320">
            <v>1247</v>
          </cell>
          <cell r="C320">
            <v>1316</v>
          </cell>
          <cell r="D320">
            <v>2112</v>
          </cell>
          <cell r="E320">
            <v>2200</v>
          </cell>
          <cell r="F320">
            <v>977</v>
          </cell>
          <cell r="G320">
            <v>881</v>
          </cell>
          <cell r="H320">
            <v>1262</v>
          </cell>
          <cell r="I320">
            <v>1210.4982</v>
          </cell>
          <cell r="J320">
            <v>288</v>
          </cell>
          <cell r="K320">
            <v>250.82700000000003</v>
          </cell>
          <cell r="L320">
            <v>558.49900000000002</v>
          </cell>
          <cell r="M320">
            <v>338.96299999999997</v>
          </cell>
          <cell r="N320">
            <v>1436.289</v>
          </cell>
          <cell r="O320">
            <v>373</v>
          </cell>
          <cell r="P320">
            <v>343</v>
          </cell>
          <cell r="Q320">
            <v>390</v>
          </cell>
          <cell r="R320">
            <v>305</v>
          </cell>
          <cell r="S320">
            <v>1411</v>
          </cell>
          <cell r="T320">
            <v>357.89</v>
          </cell>
          <cell r="U320">
            <v>182.61999999999998</v>
          </cell>
          <cell r="V320">
            <v>3651.73</v>
          </cell>
          <cell r="W320">
            <v>476.32</v>
          </cell>
          <cell r="X320">
            <v>4668.5599999999995</v>
          </cell>
          <cell r="Y320">
            <v>398.45734999999996</v>
          </cell>
          <cell r="Z320">
            <v>675.47399999999993</v>
          </cell>
          <cell r="AA320">
            <v>347.80599999999998</v>
          </cell>
          <cell r="AB320">
            <v>1114.6979999999999</v>
          </cell>
          <cell r="AC320">
            <v>2536.4353499999997</v>
          </cell>
          <cell r="AD320">
            <v>378</v>
          </cell>
          <cell r="AE320">
            <v>628</v>
          </cell>
          <cell r="AF320">
            <v>347</v>
          </cell>
          <cell r="AG320">
            <v>1115</v>
          </cell>
          <cell r="AH320">
            <v>2468</v>
          </cell>
          <cell r="AI320">
            <v>378.13</v>
          </cell>
          <cell r="AJ320">
            <v>627.38</v>
          </cell>
          <cell r="AK320">
            <v>375.28999999999996</v>
          </cell>
          <cell r="AL320">
            <v>984</v>
          </cell>
          <cell r="AM320">
            <v>2364.8000000000002</v>
          </cell>
          <cell r="AN320">
            <v>1831.0819999999999</v>
          </cell>
          <cell r="AO320">
            <v>1831.0819999999999</v>
          </cell>
          <cell r="AP320">
            <v>2121.7451714285717</v>
          </cell>
          <cell r="AQ320">
            <v>1814.4323199999999</v>
          </cell>
          <cell r="AR320">
            <v>1741.7037700000001</v>
          </cell>
          <cell r="AS320">
            <v>2152.6440330999999</v>
          </cell>
          <cell r="AT320">
            <v>2187.6598440930002</v>
          </cell>
        </row>
        <row r="322">
          <cell r="J322">
            <v>150</v>
          </cell>
          <cell r="K322">
            <v>146.755</v>
          </cell>
          <cell r="L322">
            <v>442.73</v>
          </cell>
          <cell r="M322">
            <v>215.92099999999999</v>
          </cell>
          <cell r="N322">
            <v>955.40599999999995</v>
          </cell>
          <cell r="O322">
            <v>275</v>
          </cell>
          <cell r="P322">
            <v>227</v>
          </cell>
          <cell r="Q322">
            <v>289</v>
          </cell>
          <cell r="R322">
            <v>196</v>
          </cell>
          <cell r="S322">
            <v>987</v>
          </cell>
          <cell r="T322">
            <v>273.53999999999996</v>
          </cell>
          <cell r="U322">
            <v>68.55</v>
          </cell>
          <cell r="V322">
            <v>3586.8</v>
          </cell>
          <cell r="W322">
            <v>356.05</v>
          </cell>
          <cell r="X322">
            <v>4284.9399999999996</v>
          </cell>
          <cell r="Y322">
            <v>303.77735000000001</v>
          </cell>
          <cell r="Z322">
            <v>576.37400000000002</v>
          </cell>
          <cell r="AA322">
            <v>303.43600000000004</v>
          </cell>
          <cell r="AB322">
            <v>1060.4379999999999</v>
          </cell>
          <cell r="AC322">
            <v>2244.0253499999999</v>
          </cell>
          <cell r="AD322">
            <v>299</v>
          </cell>
          <cell r="AE322">
            <v>526</v>
          </cell>
          <cell r="AF322">
            <v>302</v>
          </cell>
          <cell r="AG322">
            <v>1060</v>
          </cell>
          <cell r="AH322">
            <v>2187</v>
          </cell>
          <cell r="AI322">
            <v>298.48</v>
          </cell>
          <cell r="AJ322">
            <v>526.53</v>
          </cell>
          <cell r="AK322">
            <v>306.97000000000003</v>
          </cell>
          <cell r="AL322">
            <v>984</v>
          </cell>
          <cell r="AM322">
            <v>2115.98</v>
          </cell>
          <cell r="AN322">
            <v>1571.403</v>
          </cell>
          <cell r="AO322">
            <v>1571.403</v>
          </cell>
          <cell r="AP322">
            <v>1921.674</v>
          </cell>
          <cell r="AQ322">
            <v>1620.1350000000002</v>
          </cell>
          <cell r="AR322">
            <v>1518.1247699999999</v>
          </cell>
          <cell r="AS322">
            <v>1929.0650331000002</v>
          </cell>
          <cell r="AT322">
            <v>1940.080844093</v>
          </cell>
        </row>
        <row r="323">
          <cell r="J323">
            <v>138</v>
          </cell>
          <cell r="K323">
            <v>104.072</v>
          </cell>
          <cell r="L323">
            <v>115.76899999999999</v>
          </cell>
          <cell r="M323">
            <v>123.042</v>
          </cell>
          <cell r="N323">
            <v>480.88300000000004</v>
          </cell>
          <cell r="O323">
            <v>98</v>
          </cell>
          <cell r="P323">
            <v>116</v>
          </cell>
          <cell r="Q323">
            <v>101</v>
          </cell>
          <cell r="R323">
            <v>109</v>
          </cell>
          <cell r="S323">
            <v>424</v>
          </cell>
          <cell r="T323">
            <v>84.35</v>
          </cell>
          <cell r="U323">
            <v>114.07000000000001</v>
          </cell>
          <cell r="V323">
            <v>64.930000000000007</v>
          </cell>
          <cell r="W323">
            <v>120.27</v>
          </cell>
          <cell r="X323">
            <v>383.61999999999995</v>
          </cell>
          <cell r="Y323">
            <v>94.68</v>
          </cell>
          <cell r="Z323">
            <v>99.1</v>
          </cell>
          <cell r="AA323">
            <v>44.37</v>
          </cell>
          <cell r="AB323">
            <v>54.26</v>
          </cell>
          <cell r="AC323">
            <v>292.41000000000003</v>
          </cell>
          <cell r="AD323">
            <v>79</v>
          </cell>
          <cell r="AE323">
            <v>102</v>
          </cell>
          <cell r="AF323">
            <v>45</v>
          </cell>
          <cell r="AG323">
            <v>55</v>
          </cell>
          <cell r="AH323">
            <v>281</v>
          </cell>
          <cell r="AI323">
            <v>79.650000000000006</v>
          </cell>
          <cell r="AJ323">
            <v>100.85</v>
          </cell>
          <cell r="AK323">
            <v>68.319999999999993</v>
          </cell>
          <cell r="AL323">
            <v>0</v>
          </cell>
          <cell r="AM323">
            <v>248.82</v>
          </cell>
          <cell r="AN323">
            <v>259.67899999999997</v>
          </cell>
          <cell r="AO323">
            <v>259.67899999999997</v>
          </cell>
          <cell r="AP323">
            <v>200.07117142857143</v>
          </cell>
          <cell r="AQ323">
            <v>194.29732000000001</v>
          </cell>
          <cell r="AR323">
            <v>223.57900000000001</v>
          </cell>
          <cell r="AS323">
            <v>223.57900000000001</v>
          </cell>
          <cell r="AT323">
            <v>247.57900000000001</v>
          </cell>
        </row>
        <row r="325">
          <cell r="D325">
            <v>39</v>
          </cell>
          <cell r="E325">
            <v>32</v>
          </cell>
          <cell r="F325">
            <v>14</v>
          </cell>
          <cell r="G325">
            <v>19</v>
          </cell>
          <cell r="H325">
            <v>47</v>
          </cell>
          <cell r="I325">
            <v>71.383200000000002</v>
          </cell>
          <cell r="J325">
            <v>86</v>
          </cell>
          <cell r="K325">
            <v>5.5</v>
          </cell>
          <cell r="L325">
            <v>116.97499999999999</v>
          </cell>
          <cell r="M325">
            <v>9.2759999999999998</v>
          </cell>
          <cell r="N325">
            <v>217.751</v>
          </cell>
          <cell r="O325">
            <v>108</v>
          </cell>
          <cell r="P325">
            <v>23</v>
          </cell>
          <cell r="Q325">
            <v>120</v>
          </cell>
          <cell r="R325">
            <v>26</v>
          </cell>
          <cell r="S325">
            <v>277</v>
          </cell>
          <cell r="T325">
            <v>115.71</v>
          </cell>
          <cell r="U325">
            <v>24.73</v>
          </cell>
          <cell r="V325">
            <v>118.07</v>
          </cell>
          <cell r="W325">
            <v>31</v>
          </cell>
          <cell r="X325">
            <v>289.51</v>
          </cell>
          <cell r="Y325">
            <v>125.34099999999999</v>
          </cell>
          <cell r="Z325">
            <v>70.995000000000005</v>
          </cell>
          <cell r="AA325">
            <v>124.00699999999999</v>
          </cell>
          <cell r="AB325">
            <v>62.045000000000002</v>
          </cell>
          <cell r="AC325">
            <v>382.38799999999998</v>
          </cell>
          <cell r="AD325">
            <v>116</v>
          </cell>
          <cell r="AE325">
            <v>40</v>
          </cell>
          <cell r="AF325">
            <v>124</v>
          </cell>
          <cell r="AG325">
            <v>62</v>
          </cell>
          <cell r="AH325">
            <v>342</v>
          </cell>
          <cell r="AI325">
            <v>116.28999999999999</v>
          </cell>
          <cell r="AJ325">
            <v>38.799999999999997</v>
          </cell>
          <cell r="AK325">
            <v>104.66</v>
          </cell>
          <cell r="AL325">
            <v>52</v>
          </cell>
          <cell r="AM325">
            <v>311.75</v>
          </cell>
          <cell r="AN325">
            <v>399.71899999999999</v>
          </cell>
          <cell r="AO325">
            <v>399.71899999999999</v>
          </cell>
          <cell r="AP325">
            <v>308.68857142857144</v>
          </cell>
          <cell r="AQ325">
            <v>480.77400000000006</v>
          </cell>
          <cell r="AR325">
            <v>391.31400000000002</v>
          </cell>
          <cell r="AS325">
            <v>692.68100000000004</v>
          </cell>
          <cell r="AT325">
            <v>732.96635000000003</v>
          </cell>
        </row>
        <row r="326">
          <cell r="J326">
            <v>55</v>
          </cell>
          <cell r="K326">
            <v>4.407</v>
          </cell>
          <cell r="L326">
            <v>81.893000000000001</v>
          </cell>
          <cell r="M326">
            <v>8.2449999999999992</v>
          </cell>
          <cell r="N326">
            <v>149.54500000000002</v>
          </cell>
          <cell r="O326">
            <v>83</v>
          </cell>
          <cell r="P326">
            <v>22</v>
          </cell>
          <cell r="Q326">
            <v>95</v>
          </cell>
          <cell r="R326">
            <v>25</v>
          </cell>
          <cell r="S326">
            <v>225</v>
          </cell>
          <cell r="T326">
            <v>91.44</v>
          </cell>
          <cell r="U326">
            <v>24.73</v>
          </cell>
          <cell r="V326">
            <v>93.47</v>
          </cell>
          <cell r="W326">
            <v>29</v>
          </cell>
          <cell r="X326">
            <v>238.64</v>
          </cell>
          <cell r="Y326">
            <v>104.401</v>
          </cell>
          <cell r="Z326">
            <v>52.994999999999997</v>
          </cell>
          <cell r="AA326">
            <v>103.06699999999999</v>
          </cell>
          <cell r="AB326">
            <v>58.484999999999999</v>
          </cell>
          <cell r="AC326">
            <v>318.94799999999998</v>
          </cell>
          <cell r="AD326">
            <v>92</v>
          </cell>
          <cell r="AE326">
            <v>36</v>
          </cell>
          <cell r="AF326">
            <v>103</v>
          </cell>
          <cell r="AG326">
            <v>58</v>
          </cell>
          <cell r="AH326">
            <v>289</v>
          </cell>
          <cell r="AI326">
            <v>92</v>
          </cell>
          <cell r="AJ326">
            <v>35.799999999999997</v>
          </cell>
          <cell r="AK326">
            <v>83.69</v>
          </cell>
          <cell r="AL326">
            <v>52</v>
          </cell>
          <cell r="AM326">
            <v>263.49</v>
          </cell>
          <cell r="AN326">
            <v>354.63</v>
          </cell>
          <cell r="AO326">
            <v>354.63</v>
          </cell>
          <cell r="AP326">
            <v>252.68100000000001</v>
          </cell>
          <cell r="AQ326">
            <v>417.19500000000005</v>
          </cell>
          <cell r="AR326">
            <v>274.73500000000001</v>
          </cell>
          <cell r="AS326">
            <v>576.10200000000009</v>
          </cell>
          <cell r="AT326">
            <v>616.38735000000008</v>
          </cell>
        </row>
        <row r="327">
          <cell r="J327">
            <v>31</v>
          </cell>
          <cell r="K327">
            <v>1.093</v>
          </cell>
          <cell r="L327">
            <v>35.082000000000001</v>
          </cell>
          <cell r="M327">
            <v>1.0309999999999999</v>
          </cell>
          <cell r="N327">
            <v>68.206000000000017</v>
          </cell>
          <cell r="O327">
            <v>25</v>
          </cell>
          <cell r="P327">
            <v>1</v>
          </cell>
          <cell r="Q327">
            <v>25</v>
          </cell>
          <cell r="R327">
            <v>1</v>
          </cell>
          <cell r="S327">
            <v>52</v>
          </cell>
          <cell r="T327">
            <v>24.27</v>
          </cell>
          <cell r="U327">
            <v>0</v>
          </cell>
          <cell r="V327">
            <v>24.6</v>
          </cell>
          <cell r="W327">
            <v>2</v>
          </cell>
          <cell r="X327">
            <v>50.870000000000005</v>
          </cell>
          <cell r="Y327">
            <v>20.94</v>
          </cell>
          <cell r="Z327">
            <v>18</v>
          </cell>
          <cell r="AA327">
            <v>20.94</v>
          </cell>
          <cell r="AB327">
            <v>3.56</v>
          </cell>
          <cell r="AC327">
            <v>63.44</v>
          </cell>
          <cell r="AD327">
            <v>24</v>
          </cell>
          <cell r="AE327">
            <v>4</v>
          </cell>
          <cell r="AF327">
            <v>21</v>
          </cell>
          <cell r="AG327">
            <v>4</v>
          </cell>
          <cell r="AH327">
            <v>53</v>
          </cell>
          <cell r="AI327">
            <v>24.29</v>
          </cell>
          <cell r="AJ327">
            <v>3</v>
          </cell>
          <cell r="AK327">
            <v>20.97</v>
          </cell>
          <cell r="AL327">
            <v>0</v>
          </cell>
          <cell r="AM327">
            <v>48.26</v>
          </cell>
          <cell r="AN327">
            <v>45.088999999999999</v>
          </cell>
          <cell r="AO327">
            <v>45.088999999999999</v>
          </cell>
          <cell r="AP327">
            <v>56.007571428571424</v>
          </cell>
          <cell r="AQ327">
            <v>63.578999999999994</v>
          </cell>
          <cell r="AR327">
            <v>116.57899999999999</v>
          </cell>
          <cell r="AS327">
            <v>116.57899999999999</v>
          </cell>
          <cell r="AT327">
            <v>116.57899999999999</v>
          </cell>
        </row>
        <row r="328">
          <cell r="D328">
            <v>137</v>
          </cell>
          <cell r="E328">
            <v>183</v>
          </cell>
          <cell r="F328">
            <v>257</v>
          </cell>
          <cell r="G328">
            <v>300</v>
          </cell>
          <cell r="H328">
            <v>267</v>
          </cell>
          <cell r="I328">
            <v>361.88220000000001</v>
          </cell>
          <cell r="J328">
            <v>114</v>
          </cell>
          <cell r="K328">
            <v>99.800000000000011</v>
          </cell>
          <cell r="L328">
            <v>101.39999999999999</v>
          </cell>
          <cell r="M328">
            <v>117.262</v>
          </cell>
          <cell r="N328">
            <v>432.46199999999999</v>
          </cell>
          <cell r="O328">
            <v>101</v>
          </cell>
          <cell r="P328">
            <v>115</v>
          </cell>
          <cell r="Q328">
            <v>106</v>
          </cell>
          <cell r="R328">
            <v>115</v>
          </cell>
          <cell r="S328">
            <v>437</v>
          </cell>
          <cell r="T328">
            <v>97.789999999999992</v>
          </cell>
          <cell r="U328">
            <v>107.94</v>
          </cell>
          <cell r="V328">
            <v>77.86</v>
          </cell>
          <cell r="W328">
            <v>108.32</v>
          </cell>
          <cell r="X328">
            <v>391.90999999999997</v>
          </cell>
          <cell r="Y328">
            <v>121.845</v>
          </cell>
          <cell r="Z328">
            <v>87.334999999999994</v>
          </cell>
          <cell r="AA328">
            <v>74.174999999999997</v>
          </cell>
          <cell r="AB328">
            <v>62.731000000000002</v>
          </cell>
          <cell r="AC328">
            <v>346.08600000000001</v>
          </cell>
          <cell r="AD328">
            <v>98</v>
          </cell>
          <cell r="AE328">
            <v>99</v>
          </cell>
          <cell r="AF328">
            <v>74</v>
          </cell>
          <cell r="AG328">
            <v>63</v>
          </cell>
          <cell r="AH328">
            <v>334</v>
          </cell>
          <cell r="AI328">
            <v>97.52000000000001</v>
          </cell>
          <cell r="AJ328">
            <v>99.4</v>
          </cell>
          <cell r="AK328">
            <v>91.95</v>
          </cell>
          <cell r="AL328">
            <v>92</v>
          </cell>
          <cell r="AM328">
            <v>380.87</v>
          </cell>
          <cell r="AN328">
            <v>375.41199999999998</v>
          </cell>
          <cell r="AO328">
            <v>375.41199999999998</v>
          </cell>
          <cell r="AP328">
            <v>331.84960000000001</v>
          </cell>
          <cell r="AQ328">
            <v>360.71932000000004</v>
          </cell>
          <cell r="AR328">
            <v>377.45077000000003</v>
          </cell>
          <cell r="AS328">
            <v>423.02403310000005</v>
          </cell>
          <cell r="AT328">
            <v>486.75449409300006</v>
          </cell>
        </row>
        <row r="329">
          <cell r="J329">
            <v>19</v>
          </cell>
          <cell r="K329">
            <v>24.427</v>
          </cell>
          <cell r="L329">
            <v>29.946000000000002</v>
          </cell>
          <cell r="M329">
            <v>23.817</v>
          </cell>
          <cell r="N329">
            <v>97.19</v>
          </cell>
          <cell r="O329">
            <v>34</v>
          </cell>
          <cell r="P329">
            <v>26</v>
          </cell>
          <cell r="Q329">
            <v>37</v>
          </cell>
          <cell r="R329">
            <v>28</v>
          </cell>
          <cell r="S329">
            <v>125</v>
          </cell>
          <cell r="T329">
            <v>39.15</v>
          </cell>
          <cell r="U329">
            <v>11.82</v>
          </cell>
          <cell r="V329">
            <v>44.05</v>
          </cell>
          <cell r="W329">
            <v>10.050000000000001</v>
          </cell>
          <cell r="X329">
            <v>105.07</v>
          </cell>
          <cell r="Y329">
            <v>49.695</v>
          </cell>
          <cell r="Z329">
            <v>23.795000000000002</v>
          </cell>
          <cell r="AA329">
            <v>52.015000000000001</v>
          </cell>
          <cell r="AB329">
            <v>29.170999999999999</v>
          </cell>
          <cell r="AC329">
            <v>154.67600000000002</v>
          </cell>
          <cell r="AD329">
            <v>47</v>
          </cell>
          <cell r="AE329">
            <v>16</v>
          </cell>
          <cell r="AF329">
            <v>52</v>
          </cell>
          <cell r="AG329">
            <v>29</v>
          </cell>
          <cell r="AH329">
            <v>144</v>
          </cell>
          <cell r="AI329">
            <v>46.6</v>
          </cell>
          <cell r="AJ329">
            <v>16.399999999999999</v>
          </cell>
          <cell r="AK329">
            <v>47.6</v>
          </cell>
          <cell r="AL329">
            <v>92</v>
          </cell>
          <cell r="AM329">
            <v>202.6</v>
          </cell>
          <cell r="AN329">
            <v>189.63</v>
          </cell>
          <cell r="AO329">
            <v>189.63</v>
          </cell>
          <cell r="AP329">
            <v>206.642</v>
          </cell>
          <cell r="AQ329">
            <v>243.00100000000003</v>
          </cell>
          <cell r="AR329">
            <v>280.45077000000003</v>
          </cell>
          <cell r="AS329">
            <v>319.02403310000005</v>
          </cell>
          <cell r="AT329">
            <v>358.75449409300006</v>
          </cell>
        </row>
        <row r="330">
          <cell r="J330">
            <v>95</v>
          </cell>
          <cell r="K330">
            <v>75.373000000000005</v>
          </cell>
          <cell r="L330">
            <v>71.453999999999994</v>
          </cell>
          <cell r="M330">
            <v>93.444999999999993</v>
          </cell>
          <cell r="N330">
            <v>335.27199999999999</v>
          </cell>
          <cell r="O330">
            <v>67</v>
          </cell>
          <cell r="P330">
            <v>89</v>
          </cell>
          <cell r="Q330">
            <v>69</v>
          </cell>
          <cell r="R330">
            <v>87</v>
          </cell>
          <cell r="S330">
            <v>312</v>
          </cell>
          <cell r="T330">
            <v>58.64</v>
          </cell>
          <cell r="U330">
            <v>96.12</v>
          </cell>
          <cell r="V330">
            <v>33.81</v>
          </cell>
          <cell r="W330">
            <v>98.27</v>
          </cell>
          <cell r="X330">
            <v>286.83999999999997</v>
          </cell>
          <cell r="Y330">
            <v>72.150000000000006</v>
          </cell>
          <cell r="Z330">
            <v>63.54</v>
          </cell>
          <cell r="AA330">
            <v>22.16</v>
          </cell>
          <cell r="AB330">
            <v>33.56</v>
          </cell>
          <cell r="AC330">
            <v>191.41</v>
          </cell>
          <cell r="AD330">
            <v>51</v>
          </cell>
          <cell r="AE330">
            <v>83</v>
          </cell>
          <cell r="AF330">
            <v>22</v>
          </cell>
          <cell r="AG330">
            <v>34</v>
          </cell>
          <cell r="AH330">
            <v>190</v>
          </cell>
          <cell r="AI330">
            <v>50.92</v>
          </cell>
          <cell r="AJ330">
            <v>83</v>
          </cell>
          <cell r="AK330">
            <v>44.35</v>
          </cell>
          <cell r="AL330">
            <v>0</v>
          </cell>
          <cell r="AM330">
            <v>178.27</v>
          </cell>
          <cell r="AN330">
            <v>185.78199999999998</v>
          </cell>
          <cell r="AO330">
            <v>185.78199999999998</v>
          </cell>
          <cell r="AP330">
            <v>125.20760000000001</v>
          </cell>
          <cell r="AQ330">
            <v>117.71832000000001</v>
          </cell>
          <cell r="AR330">
            <v>97</v>
          </cell>
          <cell r="AS330">
            <v>104</v>
          </cell>
          <cell r="AT330">
            <v>128</v>
          </cell>
        </row>
        <row r="331">
          <cell r="D331">
            <v>311</v>
          </cell>
          <cell r="E331">
            <v>397</v>
          </cell>
          <cell r="F331">
            <v>507</v>
          </cell>
          <cell r="G331">
            <v>403</v>
          </cell>
          <cell r="H331">
            <v>401</v>
          </cell>
          <cell r="I331">
            <v>461.4</v>
          </cell>
          <cell r="J331">
            <v>76</v>
          </cell>
          <cell r="K331">
            <v>83.114999999999995</v>
          </cell>
          <cell r="L331">
            <v>33.388999999999996</v>
          </cell>
          <cell r="M331">
            <v>40.471000000000004</v>
          </cell>
          <cell r="N331">
            <v>232.97500000000002</v>
          </cell>
          <cell r="O331">
            <v>9</v>
          </cell>
          <cell r="P331">
            <v>28</v>
          </cell>
          <cell r="Q331">
            <v>8</v>
          </cell>
          <cell r="R331">
            <v>4</v>
          </cell>
          <cell r="S331">
            <v>49</v>
          </cell>
          <cell r="T331">
            <v>1.39</v>
          </cell>
          <cell r="U331">
            <v>24.95</v>
          </cell>
          <cell r="V331">
            <v>24.15</v>
          </cell>
          <cell r="W331">
            <v>20</v>
          </cell>
          <cell r="X331">
            <v>70.489999999999995</v>
          </cell>
          <cell r="Y331">
            <v>3</v>
          </cell>
          <cell r="Z331">
            <v>46.072000000000003</v>
          </cell>
          <cell r="AA331">
            <v>6.2469999999999999</v>
          </cell>
          <cell r="AB331">
            <v>35.443000000000005</v>
          </cell>
          <cell r="AC331">
            <v>90.762</v>
          </cell>
          <cell r="AD331">
            <v>16</v>
          </cell>
          <cell r="AE331">
            <v>28</v>
          </cell>
          <cell r="AF331">
            <v>6</v>
          </cell>
          <cell r="AG331">
            <v>35</v>
          </cell>
          <cell r="AH331">
            <v>85</v>
          </cell>
          <cell r="AI331">
            <v>16.32</v>
          </cell>
          <cell r="AJ331">
            <v>27.580000000000002</v>
          </cell>
          <cell r="AK331">
            <v>25.81</v>
          </cell>
          <cell r="AL331">
            <v>43</v>
          </cell>
          <cell r="AM331">
            <v>112.71</v>
          </cell>
          <cell r="AN331">
            <v>114.27800000000001</v>
          </cell>
          <cell r="AO331">
            <v>114.27800000000001</v>
          </cell>
          <cell r="AP331">
            <v>14.855999999999998</v>
          </cell>
          <cell r="AQ331">
            <v>13</v>
          </cell>
          <cell r="AR331">
            <v>10</v>
          </cell>
          <cell r="AS331">
            <v>3</v>
          </cell>
          <cell r="AT331">
            <v>3</v>
          </cell>
        </row>
        <row r="332">
          <cell r="J332">
            <v>71</v>
          </cell>
          <cell r="K332">
            <v>74.668999999999997</v>
          </cell>
          <cell r="L332">
            <v>28.337</v>
          </cell>
          <cell r="M332">
            <v>31.516999999999999</v>
          </cell>
          <cell r="N332">
            <v>205.52299999999997</v>
          </cell>
          <cell r="O332">
            <v>4</v>
          </cell>
          <cell r="P332">
            <v>19</v>
          </cell>
          <cell r="Q332">
            <v>2</v>
          </cell>
          <cell r="R332">
            <v>1</v>
          </cell>
          <cell r="S332">
            <v>26</v>
          </cell>
          <cell r="T332">
            <v>0.95</v>
          </cell>
          <cell r="U332">
            <v>22</v>
          </cell>
          <cell r="V332">
            <v>24.15</v>
          </cell>
          <cell r="W332">
            <v>17</v>
          </cell>
          <cell r="X332">
            <v>64.099999999999994</v>
          </cell>
          <cell r="Y332">
            <v>1.93</v>
          </cell>
          <cell r="Z332">
            <v>42.981999999999999</v>
          </cell>
          <cell r="AA332">
            <v>5.4969999999999999</v>
          </cell>
          <cell r="AB332">
            <v>32.773000000000003</v>
          </cell>
          <cell r="AC332">
            <v>83.182000000000002</v>
          </cell>
          <cell r="AD332">
            <v>16</v>
          </cell>
          <cell r="AE332">
            <v>25</v>
          </cell>
          <cell r="AF332">
            <v>5</v>
          </cell>
          <cell r="AG332">
            <v>32</v>
          </cell>
          <cell r="AH332">
            <v>78</v>
          </cell>
          <cell r="AI332">
            <v>16.32</v>
          </cell>
          <cell r="AJ332">
            <v>24.73</v>
          </cell>
          <cell r="AK332">
            <v>25.81</v>
          </cell>
          <cell r="AL332">
            <v>43</v>
          </cell>
          <cell r="AM332">
            <v>109.86</v>
          </cell>
          <cell r="AN332">
            <v>100.54</v>
          </cell>
          <cell r="AO332">
            <v>100.54</v>
          </cell>
          <cell r="AP332">
            <v>0</v>
          </cell>
          <cell r="AQ332">
            <v>0</v>
          </cell>
          <cell r="AR332">
            <v>0</v>
          </cell>
          <cell r="AS332">
            <v>0</v>
          </cell>
          <cell r="AT332">
            <v>0</v>
          </cell>
        </row>
        <row r="333">
          <cell r="J333">
            <v>5</v>
          </cell>
          <cell r="K333">
            <v>8.4459999999999997</v>
          </cell>
          <cell r="L333">
            <v>5.0519999999999996</v>
          </cell>
          <cell r="M333">
            <v>8.9540000000000006</v>
          </cell>
          <cell r="N333">
            <v>27.451999999999998</v>
          </cell>
          <cell r="O333">
            <v>5</v>
          </cell>
          <cell r="P333">
            <v>9</v>
          </cell>
          <cell r="Q333">
            <v>6</v>
          </cell>
          <cell r="R333">
            <v>3</v>
          </cell>
          <cell r="S333">
            <v>23</v>
          </cell>
          <cell r="T333">
            <v>0.44</v>
          </cell>
          <cell r="U333">
            <v>2.95</v>
          </cell>
          <cell r="V333">
            <v>0</v>
          </cell>
          <cell r="W333">
            <v>3</v>
          </cell>
          <cell r="X333">
            <v>6.3900000000000006</v>
          </cell>
          <cell r="Y333">
            <v>1.07</v>
          </cell>
          <cell r="Z333">
            <v>3.09</v>
          </cell>
          <cell r="AA333">
            <v>0.75</v>
          </cell>
          <cell r="AB333">
            <v>2.67</v>
          </cell>
          <cell r="AC333">
            <v>7.58</v>
          </cell>
          <cell r="AD333">
            <v>0</v>
          </cell>
          <cell r="AE333">
            <v>3</v>
          </cell>
          <cell r="AF333">
            <v>1</v>
          </cell>
          <cell r="AG333">
            <v>3</v>
          </cell>
          <cell r="AH333">
            <v>7</v>
          </cell>
          <cell r="AI333">
            <v>0</v>
          </cell>
          <cell r="AJ333">
            <v>2.85</v>
          </cell>
          <cell r="AK333">
            <v>0</v>
          </cell>
          <cell r="AL333">
            <v>0</v>
          </cell>
          <cell r="AM333">
            <v>2.85</v>
          </cell>
          <cell r="AN333">
            <v>13.738</v>
          </cell>
          <cell r="AO333">
            <v>13.738</v>
          </cell>
          <cell r="AP333">
            <v>14.855999999999998</v>
          </cell>
          <cell r="AQ333">
            <v>13</v>
          </cell>
          <cell r="AR333">
            <v>10</v>
          </cell>
          <cell r="AS333">
            <v>3</v>
          </cell>
          <cell r="AT333">
            <v>3</v>
          </cell>
        </row>
        <row r="334">
          <cell r="D334">
            <v>1467</v>
          </cell>
          <cell r="E334">
            <v>1382</v>
          </cell>
          <cell r="F334">
            <v>143</v>
          </cell>
          <cell r="G334">
            <v>109</v>
          </cell>
          <cell r="H334">
            <v>115</v>
          </cell>
          <cell r="I334">
            <v>74.5184</v>
          </cell>
          <cell r="J334">
            <v>10</v>
          </cell>
          <cell r="K334">
            <v>24.812000000000001</v>
          </cell>
          <cell r="L334">
            <v>6.7349999999999994</v>
          </cell>
          <cell r="M334">
            <v>25.628</v>
          </cell>
          <cell r="N334">
            <v>67.174999999999997</v>
          </cell>
          <cell r="O334">
            <v>5</v>
          </cell>
          <cell r="P334">
            <v>27</v>
          </cell>
          <cell r="Q334">
            <v>6</v>
          </cell>
          <cell r="R334">
            <v>28</v>
          </cell>
          <cell r="S334">
            <v>66</v>
          </cell>
          <cell r="T334">
            <v>2</v>
          </cell>
          <cell r="U334">
            <v>25</v>
          </cell>
          <cell r="V334">
            <v>10.649999999999999</v>
          </cell>
          <cell r="W334">
            <v>17</v>
          </cell>
          <cell r="X334">
            <v>54.649999999999991</v>
          </cell>
          <cell r="Y334">
            <v>8.2409999999999997</v>
          </cell>
          <cell r="Z334">
            <v>30.807000000000002</v>
          </cell>
          <cell r="AA334">
            <v>3.2229999999999999</v>
          </cell>
          <cell r="AB334">
            <v>37.878</v>
          </cell>
          <cell r="AC334">
            <v>80.149000000000001</v>
          </cell>
          <cell r="AD334">
            <v>8</v>
          </cell>
          <cell r="AE334">
            <v>21</v>
          </cell>
          <cell r="AF334">
            <v>3</v>
          </cell>
          <cell r="AG334">
            <v>38</v>
          </cell>
          <cell r="AH334">
            <v>70</v>
          </cell>
          <cell r="AI334">
            <v>8.24</v>
          </cell>
          <cell r="AJ334">
            <v>22.4</v>
          </cell>
          <cell r="AK334">
            <v>11.89</v>
          </cell>
          <cell r="AL334">
            <v>29</v>
          </cell>
          <cell r="AM334">
            <v>71.53</v>
          </cell>
          <cell r="AN334">
            <v>62.05</v>
          </cell>
          <cell r="AO334">
            <v>62.05</v>
          </cell>
          <cell r="AP334">
            <v>51.412000000000006</v>
          </cell>
          <cell r="AQ334">
            <v>7</v>
          </cell>
          <cell r="AR334">
            <v>0</v>
          </cell>
          <cell r="AS334">
            <v>0</v>
          </cell>
          <cell r="AT334">
            <v>0</v>
          </cell>
        </row>
        <row r="335">
          <cell r="J335">
            <v>3</v>
          </cell>
          <cell r="K335">
            <v>5.6520000000000001</v>
          </cell>
          <cell r="L335">
            <v>2.5539999999999998</v>
          </cell>
          <cell r="M335">
            <v>6.016</v>
          </cell>
          <cell r="N335">
            <v>17.222000000000001</v>
          </cell>
          <cell r="O335">
            <v>4</v>
          </cell>
          <cell r="P335">
            <v>10</v>
          </cell>
          <cell r="Q335">
            <v>5</v>
          </cell>
          <cell r="R335">
            <v>10</v>
          </cell>
          <cell r="S335">
            <v>29</v>
          </cell>
          <cell r="T335">
            <v>1</v>
          </cell>
          <cell r="U335">
            <v>10</v>
          </cell>
          <cell r="V335">
            <v>4.13</v>
          </cell>
          <cell r="W335">
            <v>0</v>
          </cell>
          <cell r="X335">
            <v>15.129999999999999</v>
          </cell>
          <cell r="Y335">
            <v>7.7210000000000001</v>
          </cell>
          <cell r="Z335">
            <v>16.337</v>
          </cell>
          <cell r="AA335">
            <v>2.7029999999999998</v>
          </cell>
          <cell r="AB335">
            <v>23.408000000000001</v>
          </cell>
          <cell r="AC335">
            <v>50.168999999999997</v>
          </cell>
          <cell r="AD335">
            <v>4</v>
          </cell>
          <cell r="AE335">
            <v>9</v>
          </cell>
          <cell r="AF335">
            <v>2</v>
          </cell>
          <cell r="AG335">
            <v>24</v>
          </cell>
          <cell r="AH335">
            <v>39</v>
          </cell>
          <cell r="AI335">
            <v>3.8</v>
          </cell>
          <cell r="AJ335">
            <v>10.4</v>
          </cell>
          <cell r="AK335">
            <v>8.89</v>
          </cell>
          <cell r="AL335">
            <v>29</v>
          </cell>
          <cell r="AM335">
            <v>52.09</v>
          </cell>
          <cell r="AN335">
            <v>46.98</v>
          </cell>
          <cell r="AO335">
            <v>46.98</v>
          </cell>
          <cell r="AP335">
            <v>47.412000000000006</v>
          </cell>
          <cell r="AQ335">
            <v>7</v>
          </cell>
          <cell r="AR335">
            <v>0</v>
          </cell>
          <cell r="AS335">
            <v>0</v>
          </cell>
          <cell r="AT335">
            <v>0</v>
          </cell>
        </row>
        <row r="336">
          <cell r="J336">
            <v>7</v>
          </cell>
          <cell r="K336">
            <v>19.16</v>
          </cell>
          <cell r="L336">
            <v>4.181</v>
          </cell>
          <cell r="M336">
            <v>19.611999999999998</v>
          </cell>
          <cell r="N336">
            <v>49.953000000000003</v>
          </cell>
          <cell r="O336">
            <v>1</v>
          </cell>
          <cell r="P336">
            <v>17</v>
          </cell>
          <cell r="Q336">
            <v>1</v>
          </cell>
          <cell r="R336">
            <v>18</v>
          </cell>
          <cell r="S336">
            <v>37</v>
          </cell>
          <cell r="T336">
            <v>1</v>
          </cell>
          <cell r="U336">
            <v>15</v>
          </cell>
          <cell r="V336">
            <v>6.52</v>
          </cell>
          <cell r="W336">
            <v>17</v>
          </cell>
          <cell r="X336">
            <v>39.519999999999996</v>
          </cell>
          <cell r="Y336">
            <v>0.52</v>
          </cell>
          <cell r="Z336">
            <v>14.47</v>
          </cell>
          <cell r="AA336">
            <v>0.52</v>
          </cell>
          <cell r="AB336">
            <v>14.47</v>
          </cell>
          <cell r="AC336">
            <v>29.98</v>
          </cell>
          <cell r="AD336">
            <v>4</v>
          </cell>
          <cell r="AE336">
            <v>12</v>
          </cell>
          <cell r="AF336">
            <v>1</v>
          </cell>
          <cell r="AG336">
            <v>14</v>
          </cell>
          <cell r="AH336">
            <v>31</v>
          </cell>
          <cell r="AI336">
            <v>4.4400000000000004</v>
          </cell>
          <cell r="AJ336">
            <v>12</v>
          </cell>
          <cell r="AK336">
            <v>3</v>
          </cell>
          <cell r="AL336">
            <v>0</v>
          </cell>
          <cell r="AM336">
            <v>19.440000000000001</v>
          </cell>
          <cell r="AN336">
            <v>15.069999999999999</v>
          </cell>
          <cell r="AO336">
            <v>15.069999999999999</v>
          </cell>
          <cell r="AP336">
            <v>4</v>
          </cell>
          <cell r="AQ336">
            <v>0</v>
          </cell>
          <cell r="AR336">
            <v>0</v>
          </cell>
          <cell r="AS336">
            <v>0</v>
          </cell>
          <cell r="AT336">
            <v>0</v>
          </cell>
        </row>
        <row r="337">
          <cell r="T337">
            <v>141</v>
          </cell>
          <cell r="U337">
            <v>0</v>
          </cell>
          <cell r="V337">
            <v>3421</v>
          </cell>
          <cell r="W337">
            <v>300</v>
          </cell>
          <cell r="X337">
            <v>3862</v>
          </cell>
          <cell r="Y337">
            <v>140.03035</v>
          </cell>
          <cell r="Z337">
            <v>299.65800000000002</v>
          </cell>
          <cell r="AA337">
            <v>140.154</v>
          </cell>
          <cell r="AB337">
            <v>299.65699999999998</v>
          </cell>
          <cell r="AC337">
            <v>879.49935000000005</v>
          </cell>
          <cell r="AD337">
            <v>140</v>
          </cell>
          <cell r="AE337">
            <v>300</v>
          </cell>
          <cell r="AF337">
            <v>140</v>
          </cell>
          <cell r="AG337">
            <v>300</v>
          </cell>
          <cell r="AH337">
            <v>880</v>
          </cell>
          <cell r="AI337">
            <v>139.76</v>
          </cell>
          <cell r="AJ337">
            <v>299.7</v>
          </cell>
          <cell r="AK337">
            <v>140.97999999999999</v>
          </cell>
          <cell r="AL337">
            <v>298</v>
          </cell>
          <cell r="AM337">
            <v>878.44</v>
          </cell>
          <cell r="AN337">
            <v>879.62300000000005</v>
          </cell>
          <cell r="AO337">
            <v>879.62300000000005</v>
          </cell>
          <cell r="AP337">
            <v>887.93899999999996</v>
          </cell>
          <cell r="AQ337">
            <v>887.93899999999996</v>
          </cell>
          <cell r="AR337">
            <v>887.93899999999996</v>
          </cell>
          <cell r="AS337">
            <v>887.93899999999996</v>
          </cell>
          <cell r="AT337">
            <v>887.93899999999996</v>
          </cell>
        </row>
        <row r="340">
          <cell r="AC340">
            <v>294.5</v>
          </cell>
          <cell r="AH340">
            <v>294.5</v>
          </cell>
          <cell r="AN340">
            <v>294.5</v>
          </cell>
          <cell r="AP340">
            <v>294.5</v>
          </cell>
          <cell r="AQ340">
            <v>294.5</v>
          </cell>
          <cell r="AR340">
            <v>294.5</v>
          </cell>
          <cell r="AS340">
            <v>294.5</v>
          </cell>
          <cell r="AT340">
            <v>294.5</v>
          </cell>
        </row>
        <row r="341">
          <cell r="AC341">
            <v>575.29999999999995</v>
          </cell>
          <cell r="AH341">
            <v>575.29999999999995</v>
          </cell>
          <cell r="AN341">
            <v>575.29999999999995</v>
          </cell>
          <cell r="AP341">
            <v>575.29999999999995</v>
          </cell>
          <cell r="AQ341">
            <v>575.29999999999995</v>
          </cell>
          <cell r="AR341">
            <v>575.29999999999995</v>
          </cell>
          <cell r="AS341">
            <v>575.29999999999995</v>
          </cell>
          <cell r="AT341">
            <v>575.29999999999995</v>
          </cell>
        </row>
        <row r="342">
          <cell r="AC342">
            <v>9.699350000000095</v>
          </cell>
          <cell r="AH342">
            <v>10.200000000000045</v>
          </cell>
          <cell r="AN342">
            <v>9.8230000000000928</v>
          </cell>
          <cell r="AP342">
            <v>18.13900000000001</v>
          </cell>
          <cell r="AQ342">
            <v>18.13900000000001</v>
          </cell>
          <cell r="AR342">
            <v>18.13900000000001</v>
          </cell>
          <cell r="AS342">
            <v>18.13900000000001</v>
          </cell>
          <cell r="AT342">
            <v>18.13900000000001</v>
          </cell>
        </row>
        <row r="343">
          <cell r="D343">
            <v>158</v>
          </cell>
          <cell r="E343">
            <v>206</v>
          </cell>
          <cell r="F343">
            <v>56</v>
          </cell>
          <cell r="G343">
            <v>50</v>
          </cell>
          <cell r="H343">
            <v>432</v>
          </cell>
          <cell r="I343">
            <v>241.31440000000001</v>
          </cell>
          <cell r="J343">
            <v>2</v>
          </cell>
          <cell r="K343">
            <v>37.6</v>
          </cell>
          <cell r="L343">
            <v>300</v>
          </cell>
          <cell r="M343">
            <v>146.32599999999999</v>
          </cell>
          <cell r="N343">
            <v>485.92600000000004</v>
          </cell>
          <cell r="O343">
            <v>150</v>
          </cell>
          <cell r="P343">
            <v>150</v>
          </cell>
          <cell r="Q343">
            <v>150</v>
          </cell>
          <cell r="R343">
            <v>132</v>
          </cell>
          <cell r="S343">
            <v>582</v>
          </cell>
          <cell r="T343">
            <v>0</v>
          </cell>
          <cell r="U343">
            <v>0</v>
          </cell>
          <cell r="V343">
            <v>0</v>
          </cell>
          <cell r="W343">
            <v>0</v>
          </cell>
          <cell r="X343">
            <v>0</v>
          </cell>
          <cell r="Y343">
            <v>0</v>
          </cell>
          <cell r="Z343">
            <v>140.607</v>
          </cell>
          <cell r="AA343">
            <v>0</v>
          </cell>
          <cell r="AB343">
            <v>616.94399999999996</v>
          </cell>
          <cell r="AC343">
            <v>757.55099999999993</v>
          </cell>
          <cell r="AD343">
            <v>0</v>
          </cell>
          <cell r="AE343">
            <v>140</v>
          </cell>
          <cell r="AF343">
            <v>0</v>
          </cell>
          <cell r="AG343">
            <v>617</v>
          </cell>
          <cell r="AH343">
            <v>757</v>
          </cell>
          <cell r="AI343">
            <v>0</v>
          </cell>
          <cell r="AJ343">
            <v>139.5</v>
          </cell>
          <cell r="AK343">
            <v>0</v>
          </cell>
          <cell r="AL343">
            <v>470</v>
          </cell>
          <cell r="AM343">
            <v>609.5</v>
          </cell>
          <cell r="AN343">
            <v>0</v>
          </cell>
          <cell r="AO343">
            <v>0</v>
          </cell>
          <cell r="AP343">
            <v>527</v>
          </cell>
          <cell r="AQ343">
            <v>65</v>
          </cell>
          <cell r="AR343">
            <v>75</v>
          </cell>
          <cell r="AS343">
            <v>146</v>
          </cell>
          <cell r="AT343">
            <v>77</v>
          </cell>
        </row>
        <row r="345">
          <cell r="D345">
            <v>0</v>
          </cell>
          <cell r="E345">
            <v>0</v>
          </cell>
          <cell r="F345">
            <v>0</v>
          </cell>
          <cell r="G345">
            <v>0</v>
          </cell>
          <cell r="H345">
            <v>1213</v>
          </cell>
          <cell r="I345">
            <v>713</v>
          </cell>
          <cell r="J345">
            <v>373</v>
          </cell>
          <cell r="K345">
            <v>237</v>
          </cell>
          <cell r="L345">
            <v>163</v>
          </cell>
          <cell r="M345">
            <v>97</v>
          </cell>
          <cell r="N345">
            <v>870</v>
          </cell>
          <cell r="O345">
            <v>271</v>
          </cell>
          <cell r="P345">
            <v>394</v>
          </cell>
          <cell r="Q345">
            <v>77</v>
          </cell>
          <cell r="R345">
            <v>35</v>
          </cell>
          <cell r="S345">
            <v>777</v>
          </cell>
          <cell r="T345">
            <v>643</v>
          </cell>
          <cell r="U345">
            <v>20</v>
          </cell>
          <cell r="V345">
            <v>150</v>
          </cell>
          <cell r="W345">
            <v>60</v>
          </cell>
          <cell r="X345">
            <v>873</v>
          </cell>
          <cell r="Y345">
            <v>458</v>
          </cell>
          <cell r="Z345">
            <v>792</v>
          </cell>
          <cell r="AA345">
            <v>0</v>
          </cell>
          <cell r="AB345">
            <v>0</v>
          </cell>
          <cell r="AC345">
            <v>1250</v>
          </cell>
          <cell r="AD345">
            <v>392</v>
          </cell>
          <cell r="AE345">
            <v>363</v>
          </cell>
          <cell r="AF345">
            <v>304</v>
          </cell>
          <cell r="AG345">
            <v>196</v>
          </cell>
          <cell r="AH345">
            <v>1255</v>
          </cell>
          <cell r="AI345">
            <v>392</v>
          </cell>
          <cell r="AJ345">
            <v>363</v>
          </cell>
          <cell r="AK345">
            <v>304</v>
          </cell>
          <cell r="AL345">
            <v>196</v>
          </cell>
          <cell r="AM345">
            <v>1255</v>
          </cell>
          <cell r="AN345">
            <v>955</v>
          </cell>
          <cell r="AO345">
            <v>955</v>
          </cell>
          <cell r="AP345">
            <v>1266</v>
          </cell>
          <cell r="AQ345">
            <v>1701</v>
          </cell>
          <cell r="AR345">
            <v>1900</v>
          </cell>
          <cell r="AS345">
            <v>1352</v>
          </cell>
          <cell r="AT345">
            <v>2148</v>
          </cell>
        </row>
        <row r="347">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N347">
            <v>0</v>
          </cell>
          <cell r="AO347">
            <v>0</v>
          </cell>
          <cell r="AP347">
            <v>0</v>
          </cell>
          <cell r="AQ347">
            <v>0</v>
          </cell>
          <cell r="AR347">
            <v>0</v>
          </cell>
          <cell r="AS347">
            <v>0</v>
          </cell>
          <cell r="AT347">
            <v>0</v>
          </cell>
        </row>
        <row r="349">
          <cell r="D349">
            <v>0</v>
          </cell>
          <cell r="E349">
            <v>0</v>
          </cell>
          <cell r="F349">
            <v>0</v>
          </cell>
          <cell r="G349">
            <v>0</v>
          </cell>
          <cell r="H349">
            <v>32</v>
          </cell>
          <cell r="I349">
            <v>0</v>
          </cell>
          <cell r="J349">
            <v>0</v>
          </cell>
          <cell r="K349">
            <v>0</v>
          </cell>
          <cell r="L349">
            <v>0</v>
          </cell>
          <cell r="M349">
            <v>0</v>
          </cell>
          <cell r="N349">
            <v>0</v>
          </cell>
          <cell r="O349">
            <v>19</v>
          </cell>
          <cell r="P349">
            <v>61</v>
          </cell>
          <cell r="Q349">
            <v>22</v>
          </cell>
          <cell r="R349">
            <v>40</v>
          </cell>
          <cell r="S349">
            <v>142</v>
          </cell>
          <cell r="T349">
            <v>0</v>
          </cell>
          <cell r="U349">
            <v>0</v>
          </cell>
          <cell r="V349">
            <v>-1</v>
          </cell>
          <cell r="W349">
            <v>-79</v>
          </cell>
          <cell r="X349">
            <v>-80</v>
          </cell>
          <cell r="Y349">
            <v>0</v>
          </cell>
          <cell r="Z349">
            <v>14</v>
          </cell>
          <cell r="AA349">
            <v>0</v>
          </cell>
          <cell r="AB349">
            <v>14</v>
          </cell>
          <cell r="AC349">
            <v>28</v>
          </cell>
          <cell r="AD349">
            <v>0</v>
          </cell>
          <cell r="AE349">
            <v>7</v>
          </cell>
          <cell r="AF349">
            <v>0</v>
          </cell>
          <cell r="AG349">
            <v>7</v>
          </cell>
          <cell r="AH349">
            <v>14</v>
          </cell>
          <cell r="AI349">
            <v>0</v>
          </cell>
          <cell r="AJ349">
            <v>7</v>
          </cell>
          <cell r="AK349">
            <v>0</v>
          </cell>
          <cell r="AL349">
            <v>7</v>
          </cell>
          <cell r="AM349">
            <v>14</v>
          </cell>
          <cell r="AN349">
            <v>0</v>
          </cell>
          <cell r="AO349">
            <v>0</v>
          </cell>
          <cell r="AP349">
            <v>0</v>
          </cell>
          <cell r="AQ349">
            <v>0</v>
          </cell>
          <cell r="AR349">
            <v>0</v>
          </cell>
          <cell r="AS349">
            <v>0</v>
          </cell>
          <cell r="AT349">
            <v>0</v>
          </cell>
        </row>
        <row r="351">
          <cell r="B351">
            <v>942</v>
          </cell>
          <cell r="C351">
            <v>726</v>
          </cell>
          <cell r="D351">
            <v>190</v>
          </cell>
          <cell r="E351">
            <v>206</v>
          </cell>
          <cell r="F351">
            <v>627</v>
          </cell>
          <cell r="G351">
            <v>607</v>
          </cell>
          <cell r="H351">
            <v>728</v>
          </cell>
          <cell r="I351">
            <v>821</v>
          </cell>
          <cell r="J351">
            <v>206</v>
          </cell>
          <cell r="K351">
            <v>208</v>
          </cell>
          <cell r="L351">
            <v>224</v>
          </cell>
          <cell r="M351">
            <v>211</v>
          </cell>
          <cell r="N351">
            <v>849</v>
          </cell>
          <cell r="O351">
            <v>208</v>
          </cell>
          <cell r="P351">
            <v>210</v>
          </cell>
          <cell r="Q351">
            <v>211</v>
          </cell>
          <cell r="R351">
            <v>226</v>
          </cell>
          <cell r="S351">
            <v>855</v>
          </cell>
          <cell r="T351">
            <v>346</v>
          </cell>
          <cell r="U351">
            <v>210</v>
          </cell>
          <cell r="V351">
            <v>223</v>
          </cell>
          <cell r="W351">
            <v>221</v>
          </cell>
          <cell r="X351">
            <v>1000</v>
          </cell>
          <cell r="Y351">
            <v>254</v>
          </cell>
          <cell r="Z351">
            <v>272</v>
          </cell>
          <cell r="AA351">
            <v>271</v>
          </cell>
          <cell r="AB351">
            <v>270</v>
          </cell>
          <cell r="AC351">
            <v>1067</v>
          </cell>
          <cell r="AD351">
            <v>162</v>
          </cell>
          <cell r="AE351">
            <v>185</v>
          </cell>
          <cell r="AF351">
            <v>271</v>
          </cell>
          <cell r="AG351">
            <v>270</v>
          </cell>
          <cell r="AH351">
            <v>888</v>
          </cell>
          <cell r="AI351">
            <v>162</v>
          </cell>
          <cell r="AJ351">
            <v>185</v>
          </cell>
          <cell r="AK351">
            <v>58</v>
          </cell>
          <cell r="AL351">
            <v>223</v>
          </cell>
          <cell r="AM351">
            <v>628</v>
          </cell>
          <cell r="AN351">
            <v>720</v>
          </cell>
          <cell r="AO351">
            <v>720</v>
          </cell>
          <cell r="AP351">
            <v>678</v>
          </cell>
          <cell r="AQ351">
            <v>837</v>
          </cell>
          <cell r="AR351">
            <v>1394</v>
          </cell>
          <cell r="AS351">
            <v>1744</v>
          </cell>
          <cell r="AT351">
            <v>1829</v>
          </cell>
        </row>
        <row r="353">
          <cell r="E353">
            <v>18</v>
          </cell>
          <cell r="F353">
            <v>57</v>
          </cell>
          <cell r="G353">
            <v>1</v>
          </cell>
          <cell r="H353">
            <v>8</v>
          </cell>
          <cell r="I353">
            <v>19</v>
          </cell>
          <cell r="J353">
            <v>0</v>
          </cell>
          <cell r="K353">
            <v>0</v>
          </cell>
          <cell r="L353">
            <v>15</v>
          </cell>
          <cell r="M353">
            <v>0</v>
          </cell>
          <cell r="N353">
            <v>15</v>
          </cell>
          <cell r="O353">
            <v>0</v>
          </cell>
          <cell r="P353">
            <v>0</v>
          </cell>
          <cell r="Q353">
            <v>0</v>
          </cell>
          <cell r="R353">
            <v>13</v>
          </cell>
          <cell r="S353">
            <v>13</v>
          </cell>
          <cell r="T353">
            <v>172</v>
          </cell>
          <cell r="U353">
            <v>34</v>
          </cell>
          <cell r="V353">
            <v>46</v>
          </cell>
          <cell r="W353">
            <v>41</v>
          </cell>
          <cell r="X353">
            <v>293</v>
          </cell>
          <cell r="AD353">
            <v>1</v>
          </cell>
          <cell r="AE353">
            <v>20</v>
          </cell>
          <cell r="AF353">
            <v>0</v>
          </cell>
          <cell r="AG353">
            <v>0</v>
          </cell>
          <cell r="AH353">
            <v>21</v>
          </cell>
          <cell r="AI353">
            <v>1</v>
          </cell>
          <cell r="AJ353">
            <v>20</v>
          </cell>
          <cell r="AK353">
            <v>-109</v>
          </cell>
          <cell r="AL353">
            <v>55</v>
          </cell>
          <cell r="AM353">
            <v>-33</v>
          </cell>
        </row>
        <row r="354">
          <cell r="B354">
            <v>942</v>
          </cell>
          <cell r="C354">
            <v>726</v>
          </cell>
          <cell r="D354">
            <v>190</v>
          </cell>
          <cell r="E354">
            <v>188</v>
          </cell>
          <cell r="F354">
            <v>570</v>
          </cell>
          <cell r="G354">
            <v>606</v>
          </cell>
          <cell r="H354">
            <v>720</v>
          </cell>
          <cell r="I354">
            <v>802</v>
          </cell>
          <cell r="J354">
            <v>206</v>
          </cell>
          <cell r="K354">
            <v>208</v>
          </cell>
          <cell r="L354">
            <v>209</v>
          </cell>
          <cell r="M354">
            <v>211</v>
          </cell>
          <cell r="N354">
            <v>834</v>
          </cell>
          <cell r="O354">
            <v>208</v>
          </cell>
          <cell r="P354">
            <v>210</v>
          </cell>
          <cell r="Q354">
            <v>211</v>
          </cell>
          <cell r="R354">
            <v>213</v>
          </cell>
          <cell r="S354">
            <v>842</v>
          </cell>
          <cell r="T354">
            <v>174</v>
          </cell>
          <cell r="U354">
            <v>176</v>
          </cell>
          <cell r="V354">
            <v>177</v>
          </cell>
          <cell r="W354">
            <v>180</v>
          </cell>
          <cell r="X354">
            <v>707</v>
          </cell>
          <cell r="Y354">
            <v>250</v>
          </cell>
          <cell r="Z354">
            <v>250</v>
          </cell>
          <cell r="AA354">
            <v>250</v>
          </cell>
          <cell r="AB354">
            <v>250</v>
          </cell>
          <cell r="AC354">
            <v>1000</v>
          </cell>
          <cell r="AD354">
            <v>161</v>
          </cell>
          <cell r="AE354">
            <v>165</v>
          </cell>
          <cell r="AF354">
            <v>250</v>
          </cell>
          <cell r="AG354">
            <v>250</v>
          </cell>
          <cell r="AH354">
            <v>826</v>
          </cell>
          <cell r="AI354">
            <v>161</v>
          </cell>
          <cell r="AJ354">
            <v>165</v>
          </cell>
          <cell r="AK354">
            <v>167</v>
          </cell>
          <cell r="AL354">
            <v>168</v>
          </cell>
          <cell r="AM354">
            <v>661</v>
          </cell>
          <cell r="AN354">
            <v>720</v>
          </cell>
          <cell r="AO354">
            <v>720</v>
          </cell>
          <cell r="AP354">
            <v>678</v>
          </cell>
          <cell r="AQ354">
            <v>837</v>
          </cell>
          <cell r="AR354">
            <v>1394</v>
          </cell>
          <cell r="AS354">
            <v>1744</v>
          </cell>
          <cell r="AT354">
            <v>1829</v>
          </cell>
        </row>
        <row r="355">
          <cell r="B355">
            <v>942</v>
          </cell>
          <cell r="C355">
            <v>726</v>
          </cell>
          <cell r="D355">
            <v>190</v>
          </cell>
          <cell r="E355">
            <v>188</v>
          </cell>
          <cell r="F355">
            <v>570</v>
          </cell>
          <cell r="G355">
            <v>606</v>
          </cell>
          <cell r="H355">
            <v>720</v>
          </cell>
          <cell r="I355">
            <v>802</v>
          </cell>
          <cell r="Y355">
            <v>250</v>
          </cell>
          <cell r="Z355">
            <v>250</v>
          </cell>
          <cell r="AA355">
            <v>250</v>
          </cell>
          <cell r="AB355">
            <v>250</v>
          </cell>
          <cell r="AC355">
            <v>1000</v>
          </cell>
          <cell r="AD355">
            <v>0</v>
          </cell>
          <cell r="AE355">
            <v>0</v>
          </cell>
          <cell r="AF355">
            <v>250</v>
          </cell>
          <cell r="AG355">
            <v>250</v>
          </cell>
          <cell r="AH355">
            <v>500</v>
          </cell>
          <cell r="AN355">
            <v>702</v>
          </cell>
          <cell r="AO355">
            <v>702</v>
          </cell>
          <cell r="AP355">
            <v>500</v>
          </cell>
          <cell r="AQ355">
            <v>300</v>
          </cell>
          <cell r="AR355">
            <v>300</v>
          </cell>
          <cell r="AS355">
            <v>500</v>
          </cell>
          <cell r="AT355">
            <v>500</v>
          </cell>
        </row>
        <row r="356">
          <cell r="G356">
            <v>0</v>
          </cell>
          <cell r="H356">
            <v>0</v>
          </cell>
          <cell r="I356">
            <v>0</v>
          </cell>
          <cell r="Y356">
            <v>0</v>
          </cell>
          <cell r="Z356">
            <v>0</v>
          </cell>
          <cell r="AA356">
            <v>0</v>
          </cell>
          <cell r="AB356">
            <v>0</v>
          </cell>
          <cell r="AC356">
            <v>0</v>
          </cell>
          <cell r="AD356">
            <v>0</v>
          </cell>
          <cell r="AE356">
            <v>0</v>
          </cell>
          <cell r="AF356">
            <v>0</v>
          </cell>
          <cell r="AG356">
            <v>0</v>
          </cell>
          <cell r="AH356">
            <v>0</v>
          </cell>
          <cell r="AN356">
            <v>18</v>
          </cell>
          <cell r="AO356">
            <v>18</v>
          </cell>
          <cell r="AP356">
            <v>178</v>
          </cell>
          <cell r="AQ356">
            <v>537</v>
          </cell>
          <cell r="AR356">
            <v>1094</v>
          </cell>
          <cell r="AS356">
            <v>1244</v>
          </cell>
          <cell r="AT356">
            <v>1329</v>
          </cell>
        </row>
        <row r="357">
          <cell r="Y357">
            <v>4</v>
          </cell>
          <cell r="Z357">
            <v>22</v>
          </cell>
          <cell r="AA357">
            <v>21</v>
          </cell>
          <cell r="AB357">
            <v>20</v>
          </cell>
          <cell r="AC357">
            <v>67</v>
          </cell>
          <cell r="AD357">
            <v>0</v>
          </cell>
          <cell r="AE357">
            <v>0</v>
          </cell>
          <cell r="AF357">
            <v>21</v>
          </cell>
          <cell r="AG357">
            <v>20</v>
          </cell>
          <cell r="AH357">
            <v>41</v>
          </cell>
        </row>
        <row r="359">
          <cell r="B359">
            <v>2026</v>
          </cell>
          <cell r="C359">
            <v>1333</v>
          </cell>
          <cell r="D359">
            <v>-1960</v>
          </cell>
          <cell r="E359">
            <v>-4243</v>
          </cell>
          <cell r="F359">
            <v>-1301</v>
          </cell>
          <cell r="G359">
            <v>-380</v>
          </cell>
          <cell r="H359">
            <v>-389.23279999999977</v>
          </cell>
          <cell r="I359">
            <v>-2666.0018</v>
          </cell>
          <cell r="J359">
            <v>-1285.2159999999999</v>
          </cell>
          <cell r="K359">
            <v>-548.03099999999995</v>
          </cell>
          <cell r="L359">
            <v>-390.63100000000009</v>
          </cell>
          <cell r="M359">
            <v>-324.75</v>
          </cell>
          <cell r="N359">
            <v>-2548.6279999999997</v>
          </cell>
          <cell r="O359">
            <v>-1326.8400000000001</v>
          </cell>
          <cell r="P359">
            <v>679.98</v>
          </cell>
          <cell r="Q359">
            <v>-1076.32</v>
          </cell>
          <cell r="R359">
            <v>-498.98</v>
          </cell>
          <cell r="S359">
            <v>-2222.16</v>
          </cell>
          <cell r="T359">
            <v>-1399.5</v>
          </cell>
          <cell r="U359">
            <v>-1678.8</v>
          </cell>
          <cell r="V359">
            <v>-1410.9299999999998</v>
          </cell>
          <cell r="W359">
            <v>-859.75</v>
          </cell>
          <cell r="X359">
            <v>-5348.9800000000005</v>
          </cell>
          <cell r="Y359">
            <v>-2881.1785514869362</v>
          </cell>
          <cell r="Z359">
            <v>-990.16045246314934</v>
          </cell>
          <cell r="AA359">
            <v>819.39258760663836</v>
          </cell>
          <cell r="AB359">
            <v>-163.22317648661567</v>
          </cell>
          <cell r="AC359">
            <v>-3215.1695928300628</v>
          </cell>
          <cell r="AD359">
            <v>-2154.0948463223735</v>
          </cell>
          <cell r="AE359">
            <v>-923.52059291374826</v>
          </cell>
          <cell r="AF359">
            <v>-2671.0366004692401</v>
          </cell>
          <cell r="AG359">
            <v>164.8111819882588</v>
          </cell>
          <cell r="AH359">
            <v>-5585.8408577171031</v>
          </cell>
          <cell r="AI359">
            <v>-2207.79288</v>
          </cell>
          <cell r="AJ359">
            <v>-2012.677297</v>
          </cell>
          <cell r="AK359">
            <v>-2746.1094000000007</v>
          </cell>
          <cell r="AL359">
            <v>297.05319999999983</v>
          </cell>
          <cell r="AM359">
            <v>-6528.5263770000029</v>
          </cell>
          <cell r="AN359">
            <v>-2835.2294377421213</v>
          </cell>
          <cell r="AO359">
            <v>-4004.5503415991661</v>
          </cell>
          <cell r="AP359">
            <v>-2461.9513475713038</v>
          </cell>
          <cell r="AQ359">
            <v>-1952.7550472637113</v>
          </cell>
          <cell r="AR359">
            <v>-1434.793136308444</v>
          </cell>
          <cell r="AS359">
            <v>-1371.2071626717611</v>
          </cell>
          <cell r="AT359">
            <v>-1423.665258470432</v>
          </cell>
        </row>
        <row r="361">
          <cell r="B361">
            <v>706</v>
          </cell>
          <cell r="C361">
            <v>-410</v>
          </cell>
          <cell r="D361">
            <v>180</v>
          </cell>
          <cell r="E361">
            <v>-916</v>
          </cell>
          <cell r="F361">
            <v>718</v>
          </cell>
          <cell r="G361">
            <v>925</v>
          </cell>
          <cell r="H361">
            <v>-921</v>
          </cell>
          <cell r="I361">
            <v>-535</v>
          </cell>
          <cell r="J361">
            <v>-186</v>
          </cell>
          <cell r="K361">
            <v>264</v>
          </cell>
          <cell r="L361">
            <v>85</v>
          </cell>
          <cell r="M361">
            <v>414</v>
          </cell>
          <cell r="N361">
            <v>577</v>
          </cell>
          <cell r="O361">
            <v>-352</v>
          </cell>
          <cell r="P361">
            <v>-47</v>
          </cell>
          <cell r="Q361">
            <v>-645</v>
          </cell>
          <cell r="R361">
            <v>-699</v>
          </cell>
          <cell r="S361">
            <v>-1743</v>
          </cell>
          <cell r="T361">
            <v>554</v>
          </cell>
          <cell r="U361">
            <v>3.1999999999999886</v>
          </cell>
          <cell r="V361">
            <v>-597</v>
          </cell>
          <cell r="W361">
            <v>1291</v>
          </cell>
          <cell r="X361">
            <v>1251.2</v>
          </cell>
          <cell r="Y361">
            <v>-812.30533980582527</v>
          </cell>
          <cell r="Z361">
            <v>-656.86962616822427</v>
          </cell>
          <cell r="AA361">
            <v>550.56410071942446</v>
          </cell>
          <cell r="AB361">
            <v>558.48948096885806</v>
          </cell>
          <cell r="AC361">
            <v>-360.12138428576679</v>
          </cell>
          <cell r="AD361">
            <v>-89</v>
          </cell>
          <cell r="AE361">
            <v>-65</v>
          </cell>
          <cell r="AF361">
            <v>-617</v>
          </cell>
          <cell r="AG361">
            <v>1556</v>
          </cell>
          <cell r="AH361">
            <v>785</v>
          </cell>
          <cell r="AI361">
            <v>61</v>
          </cell>
          <cell r="AJ361">
            <v>-1310</v>
          </cell>
          <cell r="AK361">
            <v>376</v>
          </cell>
          <cell r="AL361">
            <v>1596</v>
          </cell>
          <cell r="AM361">
            <v>723</v>
          </cell>
          <cell r="AN361">
            <v>203.83999999999997</v>
          </cell>
          <cell r="AO361">
            <v>203.83999999999997</v>
          </cell>
          <cell r="AP361">
            <v>300.16794044665016</v>
          </cell>
          <cell r="AQ361">
            <v>-362</v>
          </cell>
          <cell r="AR361">
            <v>-356</v>
          </cell>
          <cell r="AS361">
            <v>-327</v>
          </cell>
          <cell r="AT361">
            <v>-327</v>
          </cell>
        </row>
        <row r="363">
          <cell r="B363">
            <v>278</v>
          </cell>
          <cell r="C363">
            <v>-520</v>
          </cell>
          <cell r="D363">
            <v>247</v>
          </cell>
          <cell r="E363">
            <v>-713</v>
          </cell>
          <cell r="F363">
            <v>124</v>
          </cell>
          <cell r="G363">
            <v>144</v>
          </cell>
          <cell r="H363">
            <v>-24</v>
          </cell>
          <cell r="I363">
            <v>-179</v>
          </cell>
          <cell r="J363">
            <v>1</v>
          </cell>
          <cell r="K363">
            <v>71</v>
          </cell>
          <cell r="L363">
            <v>50</v>
          </cell>
          <cell r="M363">
            <v>70</v>
          </cell>
          <cell r="N363">
            <v>192</v>
          </cell>
          <cell r="O363">
            <v>-16</v>
          </cell>
          <cell r="P363">
            <v>-74</v>
          </cell>
          <cell r="Q363">
            <v>10</v>
          </cell>
          <cell r="R363">
            <v>-596</v>
          </cell>
          <cell r="S363">
            <v>-676</v>
          </cell>
          <cell r="T363">
            <v>21</v>
          </cell>
          <cell r="U363">
            <v>-214</v>
          </cell>
          <cell r="V363">
            <v>-54</v>
          </cell>
          <cell r="W363">
            <v>-43</v>
          </cell>
          <cell r="X363">
            <v>-290</v>
          </cell>
          <cell r="Y363">
            <v>-778.05533980582527</v>
          </cell>
          <cell r="Z363">
            <v>-516.61962616822427</v>
          </cell>
          <cell r="AA363">
            <v>427.37410071942446</v>
          </cell>
          <cell r="AB363">
            <v>-39.150519031141869</v>
          </cell>
          <cell r="AC363">
            <v>-906.45138428576684</v>
          </cell>
          <cell r="AD363">
            <v>-22</v>
          </cell>
          <cell r="AE363">
            <v>2</v>
          </cell>
          <cell r="AF363">
            <v>-701</v>
          </cell>
          <cell r="AG363">
            <v>709</v>
          </cell>
          <cell r="AH363">
            <v>-12</v>
          </cell>
          <cell r="AI363">
            <v>-108</v>
          </cell>
          <cell r="AJ363">
            <v>-1062</v>
          </cell>
          <cell r="AK363">
            <v>307</v>
          </cell>
          <cell r="AL363">
            <v>185</v>
          </cell>
          <cell r="AM363">
            <v>-678</v>
          </cell>
          <cell r="AN363">
            <v>-38</v>
          </cell>
          <cell r="AO363">
            <v>-38</v>
          </cell>
          <cell r="AP363">
            <v>0</v>
          </cell>
          <cell r="AQ363">
            <v>0</v>
          </cell>
          <cell r="AR363">
            <v>0</v>
          </cell>
          <cell r="AS363">
            <v>0</v>
          </cell>
          <cell r="AT363">
            <v>0</v>
          </cell>
        </row>
        <row r="364">
          <cell r="Y364">
            <v>-804</v>
          </cell>
          <cell r="Z364">
            <v>-55</v>
          </cell>
          <cell r="AA364">
            <v>-631</v>
          </cell>
          <cell r="AB364">
            <v>-64</v>
          </cell>
          <cell r="AC364">
            <v>-1554</v>
          </cell>
          <cell r="AD364">
            <v>-804</v>
          </cell>
          <cell r="AE364">
            <v>-55</v>
          </cell>
          <cell r="AF364">
            <v>-631</v>
          </cell>
          <cell r="AG364">
            <v>-64</v>
          </cell>
          <cell r="AH364">
            <v>-1554</v>
          </cell>
        </row>
        <row r="365">
          <cell r="B365">
            <v>428</v>
          </cell>
          <cell r="C365">
            <v>110</v>
          </cell>
          <cell r="D365">
            <v>-67</v>
          </cell>
          <cell r="E365">
            <v>-203</v>
          </cell>
          <cell r="F365">
            <v>594</v>
          </cell>
          <cell r="G365">
            <v>781</v>
          </cell>
          <cell r="H365">
            <v>-897</v>
          </cell>
          <cell r="I365">
            <v>-356</v>
          </cell>
          <cell r="J365">
            <v>-187</v>
          </cell>
          <cell r="K365">
            <v>193</v>
          </cell>
          <cell r="L365">
            <v>35</v>
          </cell>
          <cell r="M365">
            <v>344</v>
          </cell>
          <cell r="N365">
            <v>385</v>
          </cell>
          <cell r="O365">
            <v>-336</v>
          </cell>
          <cell r="P365">
            <v>27</v>
          </cell>
          <cell r="Q365">
            <v>-655</v>
          </cell>
          <cell r="R365">
            <v>-103</v>
          </cell>
          <cell r="S365">
            <v>-1067</v>
          </cell>
          <cell r="T365">
            <v>533</v>
          </cell>
          <cell r="U365">
            <v>217.2</v>
          </cell>
          <cell r="V365">
            <v>-543</v>
          </cell>
          <cell r="W365">
            <v>1334</v>
          </cell>
          <cell r="X365">
            <v>1541.2</v>
          </cell>
          <cell r="Y365">
            <v>-34.25</v>
          </cell>
          <cell r="Z365">
            <v>-140.25</v>
          </cell>
          <cell r="AA365">
            <v>123.19</v>
          </cell>
          <cell r="AB365">
            <v>597.64</v>
          </cell>
          <cell r="AC365">
            <v>546.33000000000004</v>
          </cell>
          <cell r="AD365">
            <v>-67</v>
          </cell>
          <cell r="AE365">
            <v>-67</v>
          </cell>
          <cell r="AF365">
            <v>84</v>
          </cell>
          <cell r="AG365">
            <v>847</v>
          </cell>
          <cell r="AH365">
            <v>797</v>
          </cell>
          <cell r="AI365">
            <v>169</v>
          </cell>
          <cell r="AJ365">
            <v>-248</v>
          </cell>
          <cell r="AK365">
            <v>69</v>
          </cell>
          <cell r="AL365">
            <v>1411</v>
          </cell>
          <cell r="AM365">
            <v>1401</v>
          </cell>
          <cell r="AN365">
            <v>241.83999999999997</v>
          </cell>
          <cell r="AO365">
            <v>241.83999999999997</v>
          </cell>
          <cell r="AP365">
            <v>300.16794044665016</v>
          </cell>
          <cell r="AQ365">
            <v>-362</v>
          </cell>
          <cell r="AR365">
            <v>-356</v>
          </cell>
          <cell r="AS365">
            <v>-327</v>
          </cell>
          <cell r="AT365">
            <v>-327</v>
          </cell>
        </row>
        <row r="366">
          <cell r="B366">
            <v>428</v>
          </cell>
          <cell r="C366">
            <v>-172</v>
          </cell>
          <cell r="D366">
            <v>-26</v>
          </cell>
          <cell r="E366">
            <v>-461</v>
          </cell>
          <cell r="F366">
            <v>166</v>
          </cell>
          <cell r="G366">
            <v>300</v>
          </cell>
          <cell r="H366">
            <v>295</v>
          </cell>
          <cell r="I366">
            <v>-371</v>
          </cell>
          <cell r="J366">
            <v>21</v>
          </cell>
          <cell r="K366">
            <v>73</v>
          </cell>
          <cell r="L366">
            <v>110</v>
          </cell>
          <cell r="M366">
            <v>-201</v>
          </cell>
          <cell r="N366">
            <v>3</v>
          </cell>
          <cell r="O366">
            <v>27</v>
          </cell>
          <cell r="P366">
            <v>62</v>
          </cell>
          <cell r="Q366">
            <v>-390</v>
          </cell>
          <cell r="R366">
            <v>-172</v>
          </cell>
          <cell r="S366">
            <v>-473</v>
          </cell>
          <cell r="T366">
            <v>391</v>
          </cell>
          <cell r="U366">
            <v>93.2</v>
          </cell>
          <cell r="V366">
            <v>-182</v>
          </cell>
          <cell r="W366">
            <v>394</v>
          </cell>
          <cell r="X366">
            <v>696.2</v>
          </cell>
          <cell r="Y366">
            <v>302.39</v>
          </cell>
          <cell r="Z366">
            <v>-201.01</v>
          </cell>
          <cell r="AA366">
            <v>193.38</v>
          </cell>
          <cell r="AB366">
            <v>105.23</v>
          </cell>
          <cell r="AC366">
            <v>399.99</v>
          </cell>
          <cell r="AD366">
            <v>453</v>
          </cell>
          <cell r="AE366">
            <v>-126</v>
          </cell>
          <cell r="AF366">
            <v>155</v>
          </cell>
          <cell r="AG366">
            <v>586</v>
          </cell>
          <cell r="AH366">
            <v>1068</v>
          </cell>
          <cell r="AI366">
            <v>453</v>
          </cell>
          <cell r="AJ366">
            <v>-126</v>
          </cell>
          <cell r="AK366">
            <v>155</v>
          </cell>
          <cell r="AL366">
            <v>622</v>
          </cell>
          <cell r="AM366">
            <v>1104</v>
          </cell>
          <cell r="AN366">
            <v>387.57</v>
          </cell>
          <cell r="AO366">
            <v>387.57</v>
          </cell>
          <cell r="AP366">
            <v>398.62968982630281</v>
          </cell>
          <cell r="AQ366">
            <v>-206</v>
          </cell>
          <cell r="AR366">
            <v>-192</v>
          </cell>
          <cell r="AS366">
            <v>-279</v>
          </cell>
          <cell r="AT366">
            <v>-279</v>
          </cell>
        </row>
        <row r="367">
          <cell r="B367">
            <v>0</v>
          </cell>
          <cell r="C367">
            <v>282</v>
          </cell>
          <cell r="D367">
            <v>-41</v>
          </cell>
          <cell r="E367">
            <v>258</v>
          </cell>
          <cell r="F367">
            <v>428</v>
          </cell>
          <cell r="G367">
            <v>481</v>
          </cell>
          <cell r="H367">
            <v>-1192</v>
          </cell>
          <cell r="I367">
            <v>15</v>
          </cell>
          <cell r="J367">
            <v>-208</v>
          </cell>
          <cell r="K367">
            <v>120</v>
          </cell>
          <cell r="L367">
            <v>-75</v>
          </cell>
          <cell r="M367">
            <v>545</v>
          </cell>
          <cell r="N367">
            <v>382</v>
          </cell>
          <cell r="O367">
            <v>-363</v>
          </cell>
          <cell r="P367">
            <v>-35</v>
          </cell>
          <cell r="Q367">
            <v>-265</v>
          </cell>
          <cell r="R367">
            <v>69</v>
          </cell>
          <cell r="S367">
            <v>-594</v>
          </cell>
          <cell r="T367">
            <v>142</v>
          </cell>
          <cell r="U367">
            <v>123.99999999999999</v>
          </cell>
          <cell r="V367">
            <v>-361</v>
          </cell>
          <cell r="W367">
            <v>940</v>
          </cell>
          <cell r="X367">
            <v>845</v>
          </cell>
          <cell r="Y367">
            <v>-336.64</v>
          </cell>
          <cell r="Z367">
            <v>60.76</v>
          </cell>
          <cell r="AA367">
            <v>-70.19</v>
          </cell>
          <cell r="AB367">
            <v>492.41</v>
          </cell>
          <cell r="AC367">
            <v>146.34</v>
          </cell>
          <cell r="AD367">
            <v>-520</v>
          </cell>
          <cell r="AE367">
            <v>59</v>
          </cell>
          <cell r="AF367">
            <v>-71</v>
          </cell>
          <cell r="AG367">
            <v>261</v>
          </cell>
          <cell r="AH367">
            <v>-271</v>
          </cell>
          <cell r="AI367">
            <v>-284</v>
          </cell>
          <cell r="AJ367">
            <v>-122</v>
          </cell>
          <cell r="AK367">
            <v>-86</v>
          </cell>
          <cell r="AL367">
            <v>789</v>
          </cell>
          <cell r="AM367">
            <v>297</v>
          </cell>
          <cell r="AN367">
            <v>-145.73000000000002</v>
          </cell>
          <cell r="AO367">
            <v>-145.73000000000002</v>
          </cell>
          <cell r="AP367">
            <v>-98.461749379652645</v>
          </cell>
          <cell r="AQ367">
            <v>-156</v>
          </cell>
          <cell r="AR367">
            <v>-164</v>
          </cell>
          <cell r="AS367">
            <v>-48</v>
          </cell>
          <cell r="AT367">
            <v>-48</v>
          </cell>
        </row>
        <row r="368">
          <cell r="G368">
            <v>69</v>
          </cell>
          <cell r="H368">
            <v>-195</v>
          </cell>
          <cell r="I368">
            <v>21</v>
          </cell>
          <cell r="J368">
            <v>-191</v>
          </cell>
          <cell r="K368">
            <v>100</v>
          </cell>
          <cell r="L368">
            <v>-117</v>
          </cell>
          <cell r="M368">
            <v>247</v>
          </cell>
          <cell r="N368">
            <v>39</v>
          </cell>
          <cell r="O368">
            <v>-148</v>
          </cell>
          <cell r="P368">
            <v>32</v>
          </cell>
          <cell r="Q368">
            <v>-213</v>
          </cell>
          <cell r="R368">
            <v>-266</v>
          </cell>
          <cell r="S368">
            <v>-595</v>
          </cell>
          <cell r="T368">
            <v>140</v>
          </cell>
          <cell r="U368">
            <v>193</v>
          </cell>
          <cell r="V368">
            <v>-334</v>
          </cell>
          <cell r="W368">
            <v>726</v>
          </cell>
          <cell r="X368">
            <v>725</v>
          </cell>
          <cell r="Y368">
            <v>-381</v>
          </cell>
          <cell r="Z368">
            <v>14</v>
          </cell>
          <cell r="AA368">
            <v>-128.75</v>
          </cell>
          <cell r="AB368">
            <v>416.65</v>
          </cell>
          <cell r="AC368">
            <v>-79.099999999999994</v>
          </cell>
          <cell r="AD368">
            <v>-422</v>
          </cell>
          <cell r="AE368">
            <v>89</v>
          </cell>
          <cell r="AF368">
            <v>35</v>
          </cell>
          <cell r="AG368">
            <v>141</v>
          </cell>
          <cell r="AH368">
            <v>-157</v>
          </cell>
          <cell r="AI368">
            <v>-422</v>
          </cell>
          <cell r="AJ368">
            <v>89</v>
          </cell>
          <cell r="AK368">
            <v>35</v>
          </cell>
          <cell r="AL368">
            <v>141</v>
          </cell>
          <cell r="AM368">
            <v>-157</v>
          </cell>
          <cell r="AN368">
            <v>-50</v>
          </cell>
          <cell r="AO368">
            <v>-50</v>
          </cell>
          <cell r="AP368">
            <v>0</v>
          </cell>
          <cell r="AQ368">
            <v>0</v>
          </cell>
          <cell r="AR368">
            <v>0</v>
          </cell>
          <cell r="AS368">
            <v>0</v>
          </cell>
          <cell r="AT368">
            <v>0</v>
          </cell>
        </row>
        <row r="369">
          <cell r="J369">
            <v>-56</v>
          </cell>
          <cell r="K369">
            <v>25</v>
          </cell>
          <cell r="L369">
            <v>33</v>
          </cell>
          <cell r="M369">
            <v>146</v>
          </cell>
          <cell r="N369">
            <v>148</v>
          </cell>
          <cell r="O369">
            <v>-18</v>
          </cell>
          <cell r="P369">
            <v>-32</v>
          </cell>
          <cell r="Q369">
            <v>-108</v>
          </cell>
          <cell r="R369">
            <v>298</v>
          </cell>
          <cell r="S369">
            <v>140</v>
          </cell>
          <cell r="T369">
            <v>83</v>
          </cell>
          <cell r="U369">
            <v>-74</v>
          </cell>
          <cell r="V369">
            <v>-28</v>
          </cell>
          <cell r="W369">
            <v>195</v>
          </cell>
          <cell r="X369">
            <v>176</v>
          </cell>
          <cell r="Y369">
            <v>38</v>
          </cell>
          <cell r="Z369">
            <v>40.4</v>
          </cell>
          <cell r="AA369">
            <v>52.2</v>
          </cell>
          <cell r="AB369">
            <v>69.400000000000006</v>
          </cell>
          <cell r="AC369">
            <v>200</v>
          </cell>
          <cell r="AD369">
            <v>-84</v>
          </cell>
          <cell r="AE369">
            <v>13</v>
          </cell>
          <cell r="AF369">
            <v>-137</v>
          </cell>
          <cell r="AG369">
            <v>109</v>
          </cell>
          <cell r="AH369">
            <v>-99</v>
          </cell>
          <cell r="AI369">
            <v>-48</v>
          </cell>
          <cell r="AJ369">
            <v>32</v>
          </cell>
          <cell r="AK369">
            <v>-152</v>
          </cell>
          <cell r="AL369">
            <v>109</v>
          </cell>
          <cell r="AM369">
            <v>-59</v>
          </cell>
          <cell r="AN369">
            <v>216.84</v>
          </cell>
          <cell r="AO369">
            <v>216.84</v>
          </cell>
          <cell r="AP369">
            <v>223.02774193548393</v>
          </cell>
          <cell r="AQ369">
            <v>-155</v>
          </cell>
          <cell r="AR369">
            <v>-169</v>
          </cell>
          <cell r="AS369">
            <v>-56</v>
          </cell>
          <cell r="AT369">
            <v>-56</v>
          </cell>
        </row>
        <row r="370">
          <cell r="J370">
            <v>0</v>
          </cell>
          <cell r="K370">
            <v>0</v>
          </cell>
          <cell r="L370">
            <v>0</v>
          </cell>
          <cell r="M370">
            <v>135</v>
          </cell>
          <cell r="N370">
            <v>135</v>
          </cell>
          <cell r="O370">
            <v>-135</v>
          </cell>
          <cell r="P370">
            <v>0</v>
          </cell>
          <cell r="Q370">
            <v>0</v>
          </cell>
          <cell r="R370">
            <v>0</v>
          </cell>
          <cell r="S370">
            <v>-135</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200</v>
          </cell>
          <cell r="AJ370">
            <v>-200</v>
          </cell>
          <cell r="AK370">
            <v>0</v>
          </cell>
          <cell r="AL370">
            <v>528</v>
          </cell>
          <cell r="AM370">
            <v>528</v>
          </cell>
          <cell r="AN370">
            <v>0</v>
          </cell>
          <cell r="AO370">
            <v>0</v>
          </cell>
          <cell r="AP370">
            <v>0</v>
          </cell>
          <cell r="AQ370">
            <v>11</v>
          </cell>
          <cell r="AR370">
            <v>10</v>
          </cell>
          <cell r="AS370">
            <v>9</v>
          </cell>
          <cell r="AT370">
            <v>9</v>
          </cell>
        </row>
        <row r="371">
          <cell r="J371">
            <v>39</v>
          </cell>
          <cell r="K371">
            <v>-5</v>
          </cell>
          <cell r="L371">
            <v>9</v>
          </cell>
          <cell r="M371">
            <v>17</v>
          </cell>
          <cell r="N371">
            <v>60</v>
          </cell>
          <cell r="O371">
            <v>-62</v>
          </cell>
          <cell r="P371">
            <v>-35</v>
          </cell>
          <cell r="Q371">
            <v>56</v>
          </cell>
          <cell r="R371">
            <v>37</v>
          </cell>
          <cell r="S371">
            <v>-4</v>
          </cell>
          <cell r="T371">
            <v>-81</v>
          </cell>
          <cell r="U371">
            <v>5</v>
          </cell>
          <cell r="V371">
            <v>1</v>
          </cell>
          <cell r="W371">
            <v>19</v>
          </cell>
          <cell r="X371">
            <v>-56</v>
          </cell>
          <cell r="Y371">
            <v>6.36</v>
          </cell>
          <cell r="Z371">
            <v>6.36</v>
          </cell>
          <cell r="AA371">
            <v>6.36</v>
          </cell>
          <cell r="AB371">
            <v>6.36</v>
          </cell>
          <cell r="AC371">
            <v>25.44</v>
          </cell>
          <cell r="AD371">
            <v>-14</v>
          </cell>
          <cell r="AE371">
            <v>-43</v>
          </cell>
          <cell r="AF371">
            <v>31</v>
          </cell>
          <cell r="AG371">
            <v>11</v>
          </cell>
          <cell r="AH371">
            <v>-15</v>
          </cell>
          <cell r="AI371">
            <v>-14</v>
          </cell>
          <cell r="AJ371">
            <v>-43</v>
          </cell>
          <cell r="AK371">
            <v>31</v>
          </cell>
          <cell r="AL371">
            <v>11</v>
          </cell>
          <cell r="AM371">
            <v>-15</v>
          </cell>
          <cell r="AN371">
            <v>20.73</v>
          </cell>
          <cell r="AO371">
            <v>20.73</v>
          </cell>
          <cell r="AP371">
            <v>21.321550868486359</v>
          </cell>
          <cell r="AQ371">
            <v>-12</v>
          </cell>
          <cell r="AR371">
            <v>-5</v>
          </cell>
          <cell r="AS371">
            <v>-1</v>
          </cell>
          <cell r="AT371">
            <v>-1</v>
          </cell>
        </row>
        <row r="372">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AI372">
            <v>0</v>
          </cell>
          <cell r="AJ372">
            <v>0</v>
          </cell>
          <cell r="AK372">
            <v>0</v>
          </cell>
          <cell r="AL372">
            <v>0</v>
          </cell>
          <cell r="AM372">
            <v>0</v>
          </cell>
          <cell r="AN372">
            <v>-333.3</v>
          </cell>
          <cell r="AO372">
            <v>-333.3</v>
          </cell>
          <cell r="AP372">
            <v>-342.81104218362293</v>
          </cell>
        </row>
        <row r="374">
          <cell r="B374">
            <v>1320</v>
          </cell>
          <cell r="C374">
            <v>1743</v>
          </cell>
          <cell r="D374">
            <v>-2140</v>
          </cell>
          <cell r="E374">
            <v>-3327</v>
          </cell>
          <cell r="F374">
            <v>-2019</v>
          </cell>
          <cell r="G374">
            <v>-1305</v>
          </cell>
          <cell r="H374">
            <v>531.76720000000023</v>
          </cell>
          <cell r="I374">
            <v>-2131.0018</v>
          </cell>
          <cell r="J374">
            <v>-1099.2159999999999</v>
          </cell>
          <cell r="K374">
            <v>-812.03099999999995</v>
          </cell>
          <cell r="L374">
            <v>-475.63100000000009</v>
          </cell>
          <cell r="M374">
            <v>-738.75</v>
          </cell>
          <cell r="N374">
            <v>-3125.6279999999997</v>
          </cell>
          <cell r="O374">
            <v>-974.84000000000015</v>
          </cell>
          <cell r="P374">
            <v>726.98</v>
          </cell>
          <cell r="Q374">
            <v>-431.31999999999994</v>
          </cell>
          <cell r="R374">
            <v>200.01999999999998</v>
          </cell>
          <cell r="S374">
            <v>-479.16000000000008</v>
          </cell>
          <cell r="T374">
            <v>-1953.5</v>
          </cell>
          <cell r="U374">
            <v>-1682</v>
          </cell>
          <cell r="V374">
            <v>-813.92999999999984</v>
          </cell>
          <cell r="W374">
            <v>-2150.75</v>
          </cell>
          <cell r="X374">
            <v>-6600.18</v>
          </cell>
          <cell r="Y374">
            <v>-2068.8732116811107</v>
          </cell>
          <cell r="Z374">
            <v>-333.29082629492501</v>
          </cell>
          <cell r="AA374">
            <v>268.8284868872139</v>
          </cell>
          <cell r="AB374">
            <v>-721.71265745547373</v>
          </cell>
          <cell r="AC374">
            <v>-2855.0482085442959</v>
          </cell>
          <cell r="AD374">
            <v>-2065.0948463223735</v>
          </cell>
          <cell r="AE374">
            <v>-858.52059291374826</v>
          </cell>
          <cell r="AF374">
            <v>-2054.0366004692401</v>
          </cell>
          <cell r="AG374">
            <v>-1391.1888180117412</v>
          </cell>
          <cell r="AH374">
            <v>-6370.8408577171031</v>
          </cell>
          <cell r="AI374">
            <v>-2268.79288</v>
          </cell>
          <cell r="AJ374">
            <v>-702.67729699999995</v>
          </cell>
          <cell r="AK374">
            <v>-3122.1094000000007</v>
          </cell>
          <cell r="AL374">
            <v>-1298.9468000000002</v>
          </cell>
          <cell r="AM374">
            <v>-7251.5263770000029</v>
          </cell>
          <cell r="AN374">
            <v>-3039.0694377421214</v>
          </cell>
          <cell r="AO374">
            <v>-4208.3903415991663</v>
          </cell>
          <cell r="AP374">
            <v>-2762.1192880179542</v>
          </cell>
          <cell r="AQ374">
            <v>-1590.7550472637113</v>
          </cell>
          <cell r="AR374">
            <v>-1078.793136308444</v>
          </cell>
          <cell r="AS374">
            <v>-1044.2071626717611</v>
          </cell>
          <cell r="AT374">
            <v>-1096.665258470432</v>
          </cell>
        </row>
        <row r="376">
          <cell r="B376">
            <v>-903</v>
          </cell>
          <cell r="C376">
            <v>-1094</v>
          </cell>
          <cell r="D376">
            <v>-1106</v>
          </cell>
          <cell r="E376">
            <v>-1334</v>
          </cell>
          <cell r="F376">
            <v>-975</v>
          </cell>
          <cell r="G376">
            <v>-681</v>
          </cell>
          <cell r="H376">
            <v>-652</v>
          </cell>
          <cell r="I376">
            <v>-793</v>
          </cell>
          <cell r="J376">
            <v>-214</v>
          </cell>
          <cell r="K376">
            <v>-206</v>
          </cell>
          <cell r="L376">
            <v>-204</v>
          </cell>
          <cell r="M376">
            <v>-205</v>
          </cell>
          <cell r="N376">
            <v>-829</v>
          </cell>
          <cell r="O376">
            <v>-190</v>
          </cell>
          <cell r="P376">
            <v>-195</v>
          </cell>
          <cell r="Q376">
            <v>-201</v>
          </cell>
          <cell r="R376">
            <v>-195</v>
          </cell>
          <cell r="S376">
            <v>-781</v>
          </cell>
          <cell r="T376">
            <v>-184</v>
          </cell>
          <cell r="U376">
            <v>-197</v>
          </cell>
          <cell r="V376">
            <v>-201</v>
          </cell>
          <cell r="W376">
            <v>-208</v>
          </cell>
          <cell r="X376">
            <v>-790</v>
          </cell>
          <cell r="Y376">
            <v>-295.29624999999999</v>
          </cell>
          <cell r="Z376">
            <v>-327.93175859375003</v>
          </cell>
          <cell r="AA376">
            <v>-335.42224698173959</v>
          </cell>
          <cell r="AB376">
            <v>-333.76787024273585</v>
          </cell>
          <cell r="AC376">
            <v>-1292.4181258182255</v>
          </cell>
          <cell r="AD376">
            <v>-241</v>
          </cell>
          <cell r="AE376">
            <v>-247</v>
          </cell>
          <cell r="AF376">
            <v>-308.31937500000004</v>
          </cell>
          <cell r="AG376">
            <v>-336.38481679687504</v>
          </cell>
          <cell r="AH376">
            <v>-1134.704191796875</v>
          </cell>
          <cell r="AI376">
            <v>-204</v>
          </cell>
          <cell r="AJ376">
            <v>-209</v>
          </cell>
          <cell r="AK376">
            <v>-209</v>
          </cell>
          <cell r="AL376">
            <v>-216</v>
          </cell>
          <cell r="AM376">
            <v>-838</v>
          </cell>
          <cell r="AN376">
            <v>-1326.4079999999999</v>
          </cell>
          <cell r="AO376">
            <v>-1326.4079999999999</v>
          </cell>
          <cell r="AP376">
            <v>-1530.4279074215574</v>
          </cell>
          <cell r="AQ376">
            <v>-1701.2790515013487</v>
          </cell>
          <cell r="AR376">
            <v>-1183.9792316265687</v>
          </cell>
          <cell r="AS376">
            <v>-1157.5969408129549</v>
          </cell>
          <cell r="AT376">
            <v>-1219.3384439814606</v>
          </cell>
        </row>
        <row r="377">
          <cell r="B377">
            <v>504</v>
          </cell>
          <cell r="C377">
            <v>-735</v>
          </cell>
          <cell r="D377">
            <v>16</v>
          </cell>
          <cell r="E377">
            <v>775</v>
          </cell>
          <cell r="F377">
            <v>0</v>
          </cell>
          <cell r="G377">
            <v>-9</v>
          </cell>
          <cell r="H377">
            <v>1943</v>
          </cell>
          <cell r="I377">
            <v>-1742</v>
          </cell>
          <cell r="J377">
            <v>-63</v>
          </cell>
          <cell r="K377">
            <v>-335</v>
          </cell>
          <cell r="L377">
            <v>-162</v>
          </cell>
          <cell r="M377">
            <v>150</v>
          </cell>
          <cell r="N377">
            <v>-410</v>
          </cell>
          <cell r="O377">
            <v>-907</v>
          </cell>
          <cell r="P377">
            <v>492</v>
          </cell>
          <cell r="Q377">
            <v>-96</v>
          </cell>
          <cell r="R377">
            <v>1016</v>
          </cell>
          <cell r="S377">
            <v>505</v>
          </cell>
          <cell r="T377">
            <v>-689</v>
          </cell>
          <cell r="U377">
            <v>-803</v>
          </cell>
          <cell r="V377">
            <v>-722</v>
          </cell>
          <cell r="W377">
            <v>-887</v>
          </cell>
          <cell r="X377">
            <v>-3101</v>
          </cell>
          <cell r="Y377">
            <v>-1975</v>
          </cell>
          <cell r="Z377">
            <v>-54.015259701175012</v>
          </cell>
          <cell r="AA377">
            <v>520.07454186895336</v>
          </cell>
          <cell r="AB377">
            <v>-329.04859521273772</v>
          </cell>
          <cell r="AC377">
            <v>-1837.9893130449595</v>
          </cell>
          <cell r="AD377">
            <v>-994</v>
          </cell>
          <cell r="AE377">
            <v>-493</v>
          </cell>
          <cell r="AF377">
            <v>-1830</v>
          </cell>
          <cell r="AG377">
            <v>-970.52122668410607</v>
          </cell>
          <cell r="AH377">
            <v>-4287.5212266841063</v>
          </cell>
          <cell r="AI377">
            <v>-1326</v>
          </cell>
          <cell r="AJ377">
            <v>-641</v>
          </cell>
          <cell r="AK377">
            <v>-1541</v>
          </cell>
          <cell r="AL377">
            <v>-134</v>
          </cell>
          <cell r="AM377">
            <v>-3642</v>
          </cell>
          <cell r="AN377">
            <v>-1504.6614377421215</v>
          </cell>
          <cell r="AO377">
            <v>-2673.9823415991664</v>
          </cell>
          <cell r="AP377">
            <v>-1819.5945255155268</v>
          </cell>
          <cell r="AQ377">
            <v>0</v>
          </cell>
          <cell r="AR377">
            <v>0</v>
          </cell>
          <cell r="AS377">
            <v>0</v>
          </cell>
          <cell r="AT377">
            <v>0</v>
          </cell>
        </row>
        <row r="378">
          <cell r="E378">
            <v>-338</v>
          </cell>
          <cell r="F378">
            <v>90</v>
          </cell>
          <cell r="G378">
            <v>-37</v>
          </cell>
          <cell r="H378">
            <v>-363</v>
          </cell>
          <cell r="I378">
            <v>-1055</v>
          </cell>
          <cell r="J378">
            <v>26</v>
          </cell>
          <cell r="K378">
            <v>100</v>
          </cell>
          <cell r="L378">
            <v>71</v>
          </cell>
          <cell r="M378">
            <v>24</v>
          </cell>
          <cell r="N378">
            <v>221</v>
          </cell>
          <cell r="O378">
            <v>-42</v>
          </cell>
          <cell r="P378">
            <v>42</v>
          </cell>
          <cell r="Q378">
            <v>33</v>
          </cell>
          <cell r="R378">
            <v>29</v>
          </cell>
          <cell r="S378">
            <v>62</v>
          </cell>
          <cell r="T378">
            <v>0</v>
          </cell>
          <cell r="U378">
            <v>42</v>
          </cell>
          <cell r="V378">
            <v>-59</v>
          </cell>
          <cell r="W378">
            <v>115</v>
          </cell>
          <cell r="X378">
            <v>98</v>
          </cell>
          <cell r="Y378">
            <v>0</v>
          </cell>
          <cell r="Z378">
            <v>0</v>
          </cell>
          <cell r="AA378">
            <v>0</v>
          </cell>
          <cell r="AB378">
            <v>0</v>
          </cell>
          <cell r="AC378">
            <v>0</v>
          </cell>
          <cell r="AD378">
            <v>-168</v>
          </cell>
          <cell r="AE378">
            <v>160</v>
          </cell>
          <cell r="AF378">
            <v>0</v>
          </cell>
          <cell r="AG378">
            <v>0</v>
          </cell>
          <cell r="AH378">
            <v>-8</v>
          </cell>
          <cell r="AI378">
            <v>-166</v>
          </cell>
          <cell r="AJ378">
            <v>174</v>
          </cell>
          <cell r="AK378">
            <v>-195</v>
          </cell>
          <cell r="AL378">
            <v>26</v>
          </cell>
          <cell r="AM378">
            <v>-161</v>
          </cell>
          <cell r="AN378">
            <v>0</v>
          </cell>
          <cell r="AO378">
            <v>0</v>
          </cell>
          <cell r="AP378">
            <v>0</v>
          </cell>
          <cell r="AQ378">
            <v>0</v>
          </cell>
          <cell r="AR378">
            <v>0</v>
          </cell>
          <cell r="AS378">
            <v>0</v>
          </cell>
          <cell r="AT378">
            <v>0</v>
          </cell>
        </row>
        <row r="379">
          <cell r="B379">
            <v>2195</v>
          </cell>
          <cell r="C379">
            <v>730</v>
          </cell>
          <cell r="D379">
            <v>-3279</v>
          </cell>
          <cell r="E379">
            <v>-883</v>
          </cell>
          <cell r="F379">
            <v>267</v>
          </cell>
          <cell r="G379">
            <v>-7</v>
          </cell>
          <cell r="H379">
            <v>304</v>
          </cell>
          <cell r="I379">
            <v>959</v>
          </cell>
          <cell r="J379">
            <v>-398</v>
          </cell>
          <cell r="K379">
            <v>-62</v>
          </cell>
          <cell r="L379">
            <v>-293</v>
          </cell>
          <cell r="M379">
            <v>-197</v>
          </cell>
          <cell r="N379">
            <v>-950</v>
          </cell>
          <cell r="O379">
            <v>-367</v>
          </cell>
          <cell r="P379">
            <v>329</v>
          </cell>
          <cell r="Q379">
            <v>2</v>
          </cell>
          <cell r="R379">
            <v>-89</v>
          </cell>
          <cell r="S379">
            <v>-125</v>
          </cell>
          <cell r="T379">
            <v>-97</v>
          </cell>
          <cell r="U379">
            <v>370</v>
          </cell>
          <cell r="V379">
            <v>174</v>
          </cell>
          <cell r="W379">
            <v>-263</v>
          </cell>
          <cell r="X379">
            <v>184</v>
          </cell>
          <cell r="Y379">
            <v>-5.6142719999999144</v>
          </cell>
          <cell r="Z379">
            <v>48.656192000000033</v>
          </cell>
          <cell r="AA379">
            <v>84.176192000000128</v>
          </cell>
          <cell r="AB379">
            <v>-58.896192000000156</v>
          </cell>
          <cell r="AC379">
            <v>68.321920000000091</v>
          </cell>
          <cell r="AD379">
            <v>-135</v>
          </cell>
          <cell r="AE379">
            <v>-25</v>
          </cell>
          <cell r="AF379">
            <v>84.28277453075998</v>
          </cell>
          <cell r="AG379">
            <v>-84.28277453075998</v>
          </cell>
          <cell r="AH379">
            <v>-160</v>
          </cell>
          <cell r="AI379">
            <v>59</v>
          </cell>
          <cell r="AJ379">
            <v>-56</v>
          </cell>
          <cell r="AK379">
            <v>-61</v>
          </cell>
          <cell r="AL379">
            <v>-310</v>
          </cell>
          <cell r="AM379">
            <v>-368</v>
          </cell>
          <cell r="AN379">
            <v>-208</v>
          </cell>
          <cell r="AO379">
            <v>-208</v>
          </cell>
          <cell r="AP379">
            <v>587.90314491913</v>
          </cell>
          <cell r="AQ379">
            <v>110.52400423763743</v>
          </cell>
          <cell r="AR379">
            <v>105.18609531812467</v>
          </cell>
          <cell r="AS379">
            <v>113.3897781411938</v>
          </cell>
          <cell r="AT379">
            <v>122.67318551102858</v>
          </cell>
        </row>
        <row r="380">
          <cell r="G380">
            <v>0</v>
          </cell>
          <cell r="H380">
            <v>0</v>
          </cell>
          <cell r="I380">
            <v>0</v>
          </cell>
          <cell r="J380">
            <v>-132</v>
          </cell>
          <cell r="K380">
            <v>-3</v>
          </cell>
          <cell r="L380">
            <v>-37</v>
          </cell>
          <cell r="M380">
            <v>-54</v>
          </cell>
          <cell r="N380">
            <v>-226</v>
          </cell>
          <cell r="O380">
            <v>-9</v>
          </cell>
          <cell r="P380">
            <v>-103</v>
          </cell>
          <cell r="Q380">
            <v>0</v>
          </cell>
          <cell r="R380">
            <v>0</v>
          </cell>
          <cell r="S380">
            <v>-112</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row>
        <row r="381">
          <cell r="G381">
            <v>0</v>
          </cell>
          <cell r="H381">
            <v>0</v>
          </cell>
          <cell r="I381">
            <v>577</v>
          </cell>
          <cell r="J381">
            <v>73</v>
          </cell>
          <cell r="K381">
            <v>17</v>
          </cell>
          <cell r="L381">
            <v>158</v>
          </cell>
          <cell r="M381">
            <v>22</v>
          </cell>
          <cell r="N381">
            <v>270</v>
          </cell>
          <cell r="O381">
            <v>61</v>
          </cell>
          <cell r="P381">
            <v>212</v>
          </cell>
          <cell r="Q381">
            <v>-8</v>
          </cell>
          <cell r="R381">
            <v>251</v>
          </cell>
          <cell r="S381">
            <v>516</v>
          </cell>
          <cell r="T381">
            <v>-82</v>
          </cell>
          <cell r="U381">
            <v>-1016</v>
          </cell>
          <cell r="V381">
            <v>267</v>
          </cell>
          <cell r="W381">
            <v>262</v>
          </cell>
          <cell r="X381">
            <v>-569</v>
          </cell>
          <cell r="Y381">
            <v>0</v>
          </cell>
          <cell r="Z381">
            <v>0</v>
          </cell>
          <cell r="AA381">
            <v>0</v>
          </cell>
          <cell r="AB381">
            <v>0</v>
          </cell>
          <cell r="AC381">
            <v>0</v>
          </cell>
          <cell r="AD381">
            <v>2</v>
          </cell>
          <cell r="AE381">
            <v>124</v>
          </cell>
          <cell r="AF381">
            <v>0</v>
          </cell>
          <cell r="AG381">
            <v>0</v>
          </cell>
          <cell r="AH381">
            <v>126</v>
          </cell>
          <cell r="AI381">
            <v>34</v>
          </cell>
          <cell r="AJ381">
            <v>586</v>
          </cell>
          <cell r="AK381">
            <v>102</v>
          </cell>
          <cell r="AL381">
            <v>14</v>
          </cell>
          <cell r="AM381">
            <v>736</v>
          </cell>
          <cell r="AN381">
            <v>0</v>
          </cell>
          <cell r="AO381">
            <v>0</v>
          </cell>
          <cell r="AP381">
            <v>0</v>
          </cell>
          <cell r="AQ381">
            <v>0</v>
          </cell>
          <cell r="AR381">
            <v>0</v>
          </cell>
          <cell r="AS381">
            <v>0</v>
          </cell>
          <cell r="AT381">
            <v>0</v>
          </cell>
        </row>
        <row r="382">
          <cell r="B382">
            <v>-476</v>
          </cell>
          <cell r="C382">
            <v>2842</v>
          </cell>
          <cell r="D382">
            <v>2229</v>
          </cell>
          <cell r="E382">
            <v>-1885</v>
          </cell>
          <cell r="F382">
            <v>-1311</v>
          </cell>
          <cell r="G382">
            <v>-608</v>
          </cell>
          <cell r="H382">
            <v>-700.23279999999977</v>
          </cell>
          <cell r="I382">
            <v>-77.001800000000003</v>
          </cell>
          <cell r="J382">
            <v>-391.21599999999989</v>
          </cell>
          <cell r="K382">
            <v>-323.03099999999995</v>
          </cell>
          <cell r="L382">
            <v>-8.6310000000000855</v>
          </cell>
          <cell r="M382">
            <v>-478.75</v>
          </cell>
          <cell r="N382">
            <v>-1201.6279999999999</v>
          </cell>
          <cell r="O382">
            <v>479.15999999999985</v>
          </cell>
          <cell r="P382">
            <v>-50.019999999999982</v>
          </cell>
          <cell r="Q382">
            <v>-161.31999999999994</v>
          </cell>
          <cell r="R382">
            <v>-811.98</v>
          </cell>
          <cell r="S382">
            <v>-544.16000000000008</v>
          </cell>
          <cell r="T382">
            <v>-901.5</v>
          </cell>
          <cell r="U382">
            <v>-78</v>
          </cell>
          <cell r="V382">
            <v>-272.92999999999984</v>
          </cell>
          <cell r="W382">
            <v>-1169.75</v>
          </cell>
          <cell r="X382">
            <v>-2422.1799999999998</v>
          </cell>
          <cell r="Y382">
            <v>207.03731031888901</v>
          </cell>
          <cell r="Z382">
            <v>0</v>
          </cell>
          <cell r="AA382">
            <v>0</v>
          </cell>
          <cell r="AB382">
            <v>0</v>
          </cell>
          <cell r="AC382">
            <v>207.03731031888901</v>
          </cell>
          <cell r="AD382">
            <v>-529.09484632237354</v>
          </cell>
          <cell r="AE382">
            <v>-377.52059291374826</v>
          </cell>
          <cell r="AF382">
            <v>0</v>
          </cell>
          <cell r="AG382">
            <v>0</v>
          </cell>
          <cell r="AH382">
            <v>-906.6154392361218</v>
          </cell>
          <cell r="AI382">
            <v>-665.79287999999997</v>
          </cell>
          <cell r="AJ382">
            <v>-556.67729699999995</v>
          </cell>
          <cell r="AK382">
            <v>-1218.1094000000007</v>
          </cell>
          <cell r="AL382">
            <v>-678.94680000000017</v>
          </cell>
          <cell r="AM382">
            <v>-2978.5263770000029</v>
          </cell>
          <cell r="AN382">
            <v>0</v>
          </cell>
          <cell r="AO382">
            <v>0</v>
          </cell>
          <cell r="AP382">
            <v>0</v>
          </cell>
          <cell r="AQ382">
            <v>0</v>
          </cell>
          <cell r="AR382">
            <v>0</v>
          </cell>
          <cell r="AS382">
            <v>0</v>
          </cell>
          <cell r="AT382">
            <v>0</v>
          </cell>
        </row>
        <row r="387">
          <cell r="B387">
            <v>10719</v>
          </cell>
          <cell r="C387">
            <v>5556</v>
          </cell>
          <cell r="D387">
            <v>5623</v>
          </cell>
          <cell r="E387">
            <v>7835</v>
          </cell>
          <cell r="F387">
            <v>11053</v>
          </cell>
          <cell r="G387">
            <v>9908</v>
          </cell>
          <cell r="H387">
            <v>9205</v>
          </cell>
          <cell r="I387">
            <v>8246</v>
          </cell>
          <cell r="J387">
            <v>7681</v>
          </cell>
          <cell r="K387">
            <v>7455</v>
          </cell>
          <cell r="L387">
            <v>6225</v>
          </cell>
          <cell r="M387">
            <v>7100</v>
          </cell>
          <cell r="N387">
            <v>7100</v>
          </cell>
          <cell r="O387">
            <v>7614</v>
          </cell>
          <cell r="P387">
            <v>8680</v>
          </cell>
          <cell r="Q387">
            <v>10040</v>
          </cell>
          <cell r="R387">
            <v>13625</v>
          </cell>
          <cell r="S387">
            <v>13625</v>
          </cell>
          <cell r="T387">
            <v>14681</v>
          </cell>
          <cell r="U387">
            <v>15360</v>
          </cell>
          <cell r="V387">
            <v>16968</v>
          </cell>
          <cell r="W387">
            <v>16881</v>
          </cell>
          <cell r="X387">
            <v>16881</v>
          </cell>
          <cell r="Y387">
            <v>15686</v>
          </cell>
          <cell r="Z387">
            <v>16520</v>
          </cell>
          <cell r="AA387">
            <v>17009</v>
          </cell>
          <cell r="AB387">
            <v>17523</v>
          </cell>
          <cell r="AC387">
            <v>17523</v>
          </cell>
          <cell r="AD387">
            <v>16487</v>
          </cell>
          <cell r="AE387">
            <v>16594</v>
          </cell>
          <cell r="AF387">
            <v>13870.072198626121</v>
          </cell>
          <cell r="AG387">
            <v>13782.561629350095</v>
          </cell>
          <cell r="AH387">
            <v>13782.561629350095</v>
          </cell>
          <cell r="AI387">
            <v>16489</v>
          </cell>
          <cell r="AJ387">
            <v>15433</v>
          </cell>
          <cell r="AK387">
            <v>12839</v>
          </cell>
          <cell r="AL387">
            <v>14169</v>
          </cell>
          <cell r="AM387">
            <v>14169</v>
          </cell>
          <cell r="AN387">
            <v>14940.755326592</v>
          </cell>
          <cell r="AO387">
            <v>13801.755326592</v>
          </cell>
          <cell r="AP387">
            <v>13801.667413839999</v>
          </cell>
          <cell r="AQ387">
            <v>11742.507229204452</v>
          </cell>
          <cell r="AR387">
            <v>9308.1844124789768</v>
          </cell>
          <cell r="AS387">
            <v>4058.5437869220627</v>
          </cell>
          <cell r="AT387">
            <v>-903.81691283608006</v>
          </cell>
        </row>
        <row r="389">
          <cell r="B389">
            <v>9091</v>
          </cell>
          <cell r="C389">
            <v>5413</v>
          </cell>
          <cell r="D389">
            <v>5344</v>
          </cell>
          <cell r="E389">
            <v>7397</v>
          </cell>
          <cell r="F389">
            <v>10264</v>
          </cell>
          <cell r="G389">
            <v>9180</v>
          </cell>
          <cell r="H389">
            <v>8324</v>
          </cell>
          <cell r="I389">
            <v>7262</v>
          </cell>
          <cell r="J389">
            <v>6810</v>
          </cell>
          <cell r="K389">
            <v>6544</v>
          </cell>
          <cell r="L389">
            <v>5399</v>
          </cell>
          <cell r="M389">
            <v>6194</v>
          </cell>
          <cell r="N389">
            <v>6194</v>
          </cell>
          <cell r="O389">
            <v>6561</v>
          </cell>
          <cell r="P389">
            <v>7679</v>
          </cell>
          <cell r="Q389">
            <v>9193</v>
          </cell>
          <cell r="R389">
            <v>12038</v>
          </cell>
          <cell r="S389">
            <v>12038</v>
          </cell>
          <cell r="T389">
            <v>13044</v>
          </cell>
          <cell r="U389">
            <v>14008</v>
          </cell>
          <cell r="V389">
            <v>15795</v>
          </cell>
          <cell r="W389">
            <v>15659</v>
          </cell>
          <cell r="X389">
            <v>15659</v>
          </cell>
          <cell r="Y389">
            <v>13889</v>
          </cell>
          <cell r="Z389">
            <v>14033</v>
          </cell>
          <cell r="AA389">
            <v>14579</v>
          </cell>
          <cell r="AB389">
            <v>15204</v>
          </cell>
          <cell r="AC389">
            <v>15204</v>
          </cell>
          <cell r="AD389">
            <v>13924</v>
          </cell>
          <cell r="AE389">
            <v>14100</v>
          </cell>
          <cell r="AF389">
            <v>11707.072198626121</v>
          </cell>
          <cell r="AG389">
            <v>12205.561629350095</v>
          </cell>
          <cell r="AH389">
            <v>12205.561629350095</v>
          </cell>
          <cell r="AI389">
            <v>13924</v>
          </cell>
          <cell r="AJ389">
            <v>14100</v>
          </cell>
          <cell r="AK389">
            <v>11609</v>
          </cell>
          <cell r="AL389">
            <v>13599</v>
          </cell>
          <cell r="AM389">
            <v>13599</v>
          </cell>
          <cell r="AN389">
            <v>14737.755326592</v>
          </cell>
          <cell r="AO389">
            <v>13598.755326592</v>
          </cell>
          <cell r="AP389">
            <v>13598.667413839999</v>
          </cell>
          <cell r="AQ389">
            <v>11216.507229204452</v>
          </cell>
          <cell r="AR389">
            <v>8439.1844124789768</v>
          </cell>
          <cell r="AS389">
            <v>2825.5437869220627</v>
          </cell>
          <cell r="AT389">
            <v>-2500.8169128360801</v>
          </cell>
        </row>
        <row r="390">
          <cell r="Y390">
            <v>-1767</v>
          </cell>
          <cell r="Z390">
            <v>144</v>
          </cell>
          <cell r="AA390">
            <v>546</v>
          </cell>
          <cell r="AB390">
            <v>625</v>
          </cell>
          <cell r="AC390">
            <v>-452</v>
          </cell>
          <cell r="AD390">
            <v>-1735</v>
          </cell>
          <cell r="AE390">
            <v>176</v>
          </cell>
          <cell r="AF390">
            <v>-2392.9278013738785</v>
          </cell>
          <cell r="AG390">
            <v>498.48943072397378</v>
          </cell>
          <cell r="AH390">
            <v>-3453.4383706499048</v>
          </cell>
          <cell r="AN390">
            <v>1138.7553265919996</v>
          </cell>
          <cell r="AO390">
            <v>-0.24467340800038073</v>
          </cell>
          <cell r="AP390">
            <v>-8.7912752000192995E-2</v>
          </cell>
          <cell r="AQ390">
            <v>-2382.1601846355479</v>
          </cell>
          <cell r="AR390">
            <v>-2777.3228167254747</v>
          </cell>
          <cell r="AS390">
            <v>-5613.6406255569145</v>
          </cell>
          <cell r="AT390">
            <v>-5326.3606997581428</v>
          </cell>
        </row>
        <row r="391">
          <cell r="B391">
            <v>9402</v>
          </cell>
          <cell r="C391">
            <v>6607</v>
          </cell>
          <cell r="D391">
            <v>7546</v>
          </cell>
          <cell r="E391">
            <v>11759</v>
          </cell>
          <cell r="F391">
            <v>14105</v>
          </cell>
          <cell r="G391">
            <v>13001</v>
          </cell>
          <cell r="H391">
            <v>12656</v>
          </cell>
          <cell r="I391">
            <v>11507</v>
          </cell>
          <cell r="J391">
            <v>11188</v>
          </cell>
          <cell r="K391">
            <v>10548</v>
          </cell>
          <cell r="L391">
            <v>9207</v>
          </cell>
          <cell r="M391">
            <v>9723</v>
          </cell>
          <cell r="N391">
            <v>9723</v>
          </cell>
          <cell r="O391">
            <v>9982</v>
          </cell>
          <cell r="P391">
            <v>10708</v>
          </cell>
          <cell r="Q391">
            <v>12684</v>
          </cell>
          <cell r="R391">
            <v>15229</v>
          </cell>
          <cell r="S391">
            <v>15229</v>
          </cell>
          <cell r="T391">
            <v>15976</v>
          </cell>
          <cell r="U391">
            <v>16655</v>
          </cell>
          <cell r="V391">
            <v>18330</v>
          </cell>
          <cell r="W391">
            <v>17818</v>
          </cell>
          <cell r="X391">
            <v>17818</v>
          </cell>
          <cell r="Y391">
            <v>15764</v>
          </cell>
          <cell r="Z391">
            <v>15725.054313912</v>
          </cell>
          <cell r="AA391">
            <v>16232.75346136</v>
          </cell>
          <cell r="AB391">
            <v>16674.507529126</v>
          </cell>
          <cell r="AC391">
            <v>16674.507529126</v>
          </cell>
          <cell r="AD391">
            <v>15796</v>
          </cell>
          <cell r="AE391">
            <v>15499</v>
          </cell>
          <cell r="AF391">
            <v>13064.159296965434</v>
          </cell>
          <cell r="AG391">
            <v>13416.830994935679</v>
          </cell>
          <cell r="AH391">
            <v>13416.830994935679</v>
          </cell>
          <cell r="AI391">
            <v>15796</v>
          </cell>
          <cell r="AJ391">
            <v>15499</v>
          </cell>
          <cell r="AK391">
            <v>13006</v>
          </cell>
          <cell r="AL391">
            <v>14849</v>
          </cell>
          <cell r="AM391">
            <v>14849</v>
          </cell>
          <cell r="AN391">
            <v>15522</v>
          </cell>
          <cell r="AO391">
            <v>14383</v>
          </cell>
          <cell r="AP391">
            <v>13841</v>
          </cell>
          <cell r="AQ391">
            <v>11240.404022925053</v>
          </cell>
          <cell r="AR391">
            <v>8463.0829157836779</v>
          </cell>
          <cell r="AS391">
            <v>2849.4439714920627</v>
          </cell>
          <cell r="AT391">
            <v>-2476.9167282660801</v>
          </cell>
        </row>
        <row r="392">
          <cell r="B392">
            <v>3439</v>
          </cell>
          <cell r="C392">
            <v>3439</v>
          </cell>
          <cell r="D392">
            <v>3439</v>
          </cell>
          <cell r="E392">
            <v>3439</v>
          </cell>
          <cell r="F392">
            <v>3439</v>
          </cell>
          <cell r="G392">
            <v>3440</v>
          </cell>
          <cell r="H392">
            <v>3440</v>
          </cell>
          <cell r="I392">
            <v>3440</v>
          </cell>
          <cell r="J392">
            <v>3440</v>
          </cell>
          <cell r="K392">
            <v>3440</v>
          </cell>
          <cell r="L392">
            <v>3440</v>
          </cell>
          <cell r="M392">
            <v>3440</v>
          </cell>
          <cell r="N392">
            <v>3440</v>
          </cell>
          <cell r="O392">
            <v>3440</v>
          </cell>
          <cell r="P392">
            <v>3440</v>
          </cell>
          <cell r="Q392">
            <v>3440</v>
          </cell>
          <cell r="R392">
            <v>3440</v>
          </cell>
          <cell r="S392">
            <v>3440</v>
          </cell>
          <cell r="T392">
            <v>3440</v>
          </cell>
          <cell r="U392">
            <v>3440</v>
          </cell>
          <cell r="V392">
            <v>3440</v>
          </cell>
          <cell r="W392">
            <v>3440</v>
          </cell>
          <cell r="X392">
            <v>3440</v>
          </cell>
          <cell r="Y392">
            <v>3440</v>
          </cell>
          <cell r="Z392">
            <v>3440</v>
          </cell>
          <cell r="AA392">
            <v>3440</v>
          </cell>
          <cell r="AB392">
            <v>3440</v>
          </cell>
          <cell r="AC392">
            <v>3440</v>
          </cell>
          <cell r="AD392">
            <v>3198</v>
          </cell>
          <cell r="AE392">
            <v>2942</v>
          </cell>
          <cell r="AF392">
            <v>2942</v>
          </cell>
          <cell r="AG392">
            <v>2942</v>
          </cell>
          <cell r="AH392">
            <v>2942</v>
          </cell>
          <cell r="AI392">
            <v>3198</v>
          </cell>
          <cell r="AJ392">
            <v>2942</v>
          </cell>
          <cell r="AK392">
            <v>2942</v>
          </cell>
          <cell r="AL392">
            <v>2942</v>
          </cell>
          <cell r="AM392">
            <v>2942</v>
          </cell>
          <cell r="AN392">
            <v>2942</v>
          </cell>
          <cell r="AO392">
            <v>3198</v>
          </cell>
          <cell r="AP392">
            <v>3198</v>
          </cell>
          <cell r="AQ392">
            <v>3198</v>
          </cell>
          <cell r="AR392">
            <v>3198</v>
          </cell>
          <cell r="AS392">
            <v>3198</v>
          </cell>
          <cell r="AT392">
            <v>3198</v>
          </cell>
        </row>
        <row r="393">
          <cell r="B393">
            <v>757.56443999999999</v>
          </cell>
          <cell r="C393">
            <v>75.900000000000006</v>
          </cell>
          <cell r="D393">
            <v>47.3</v>
          </cell>
          <cell r="E393">
            <v>10</v>
          </cell>
          <cell r="F393">
            <v>269</v>
          </cell>
          <cell r="G393">
            <v>75</v>
          </cell>
          <cell r="H393">
            <v>486</v>
          </cell>
          <cell r="I393">
            <v>463</v>
          </cell>
          <cell r="J393">
            <v>495</v>
          </cell>
          <cell r="K393">
            <v>541</v>
          </cell>
          <cell r="L393">
            <v>540</v>
          </cell>
          <cell r="M393">
            <v>380</v>
          </cell>
          <cell r="N393">
            <v>380</v>
          </cell>
          <cell r="O393">
            <v>459</v>
          </cell>
          <cell r="P393">
            <v>476</v>
          </cell>
          <cell r="Q393">
            <v>628</v>
          </cell>
          <cell r="R393">
            <v>456</v>
          </cell>
          <cell r="S393">
            <v>456</v>
          </cell>
          <cell r="T393">
            <v>445</v>
          </cell>
          <cell r="U393">
            <v>254</v>
          </cell>
          <cell r="V393">
            <v>189</v>
          </cell>
          <cell r="W393">
            <v>183</v>
          </cell>
          <cell r="X393">
            <v>183</v>
          </cell>
          <cell r="Y393">
            <v>183</v>
          </cell>
          <cell r="Z393">
            <v>183</v>
          </cell>
          <cell r="AA393">
            <v>183</v>
          </cell>
          <cell r="AB393">
            <v>183</v>
          </cell>
          <cell r="AC393">
            <v>183</v>
          </cell>
          <cell r="AD393">
            <v>124</v>
          </cell>
          <cell r="AE393">
            <v>42</v>
          </cell>
          <cell r="AF393">
            <v>42</v>
          </cell>
          <cell r="AG393">
            <v>42</v>
          </cell>
          <cell r="AH393">
            <v>42</v>
          </cell>
          <cell r="AI393">
            <v>124</v>
          </cell>
          <cell r="AJ393">
            <v>42</v>
          </cell>
          <cell r="AK393">
            <v>42</v>
          </cell>
          <cell r="AL393">
            <v>42</v>
          </cell>
          <cell r="AM393">
            <v>42</v>
          </cell>
          <cell r="AN393">
            <v>42</v>
          </cell>
          <cell r="AO393">
            <v>124</v>
          </cell>
          <cell r="AP393">
            <v>124</v>
          </cell>
          <cell r="AQ393">
            <v>124</v>
          </cell>
          <cell r="AR393">
            <v>124</v>
          </cell>
          <cell r="AS393">
            <v>124</v>
          </cell>
          <cell r="AT393">
            <v>124</v>
          </cell>
        </row>
        <row r="394">
          <cell r="B394">
            <v>671.02618000000007</v>
          </cell>
          <cell r="C394">
            <v>40.9</v>
          </cell>
          <cell r="G394">
            <v>199</v>
          </cell>
          <cell r="H394">
            <v>199</v>
          </cell>
          <cell r="I394">
            <v>212</v>
          </cell>
          <cell r="J394">
            <v>226</v>
          </cell>
          <cell r="K394">
            <v>227</v>
          </cell>
          <cell r="L394">
            <v>218</v>
          </cell>
          <cell r="M394">
            <v>215</v>
          </cell>
          <cell r="N394">
            <v>215</v>
          </cell>
          <cell r="O394">
            <v>212</v>
          </cell>
          <cell r="P394">
            <v>209</v>
          </cell>
          <cell r="Q394">
            <v>209</v>
          </cell>
          <cell r="R394">
            <v>208</v>
          </cell>
          <cell r="S394">
            <v>208</v>
          </cell>
          <cell r="T394">
            <v>201</v>
          </cell>
          <cell r="U394">
            <v>201</v>
          </cell>
          <cell r="V394">
            <v>198</v>
          </cell>
          <cell r="W394">
            <v>196</v>
          </cell>
          <cell r="X394">
            <v>196</v>
          </cell>
          <cell r="Y394">
            <v>196</v>
          </cell>
          <cell r="Z394">
            <v>196</v>
          </cell>
          <cell r="AA394">
            <v>196</v>
          </cell>
          <cell r="AB394">
            <v>196</v>
          </cell>
          <cell r="AC394">
            <v>196</v>
          </cell>
          <cell r="AD394">
            <v>197</v>
          </cell>
          <cell r="AE394">
            <v>193</v>
          </cell>
          <cell r="AF394">
            <v>193</v>
          </cell>
          <cell r="AG394">
            <v>193</v>
          </cell>
          <cell r="AH394">
            <v>193</v>
          </cell>
          <cell r="AI394">
            <v>197</v>
          </cell>
          <cell r="AJ394">
            <v>193</v>
          </cell>
          <cell r="AK394">
            <v>193</v>
          </cell>
          <cell r="AL394">
            <v>193</v>
          </cell>
          <cell r="AM394">
            <v>193</v>
          </cell>
          <cell r="AN394">
            <v>193</v>
          </cell>
          <cell r="AO394">
            <v>197</v>
          </cell>
          <cell r="AP394">
            <v>197</v>
          </cell>
          <cell r="AQ394">
            <v>197</v>
          </cell>
          <cell r="AR394">
            <v>197</v>
          </cell>
          <cell r="AS394">
            <v>197</v>
          </cell>
          <cell r="AT394">
            <v>197</v>
          </cell>
        </row>
        <row r="395">
          <cell r="B395">
            <v>4534.4093800000001</v>
          </cell>
          <cell r="C395">
            <v>3051.2</v>
          </cell>
          <cell r="D395">
            <v>4059.7</v>
          </cell>
          <cell r="E395">
            <v>8310</v>
          </cell>
          <cell r="F395">
            <v>10397</v>
          </cell>
          <cell r="G395">
            <v>9287</v>
          </cell>
          <cell r="H395">
            <v>8531</v>
          </cell>
          <cell r="I395">
            <v>7392</v>
          </cell>
          <cell r="J395">
            <v>7027</v>
          </cell>
          <cell r="K395">
            <v>6340</v>
          </cell>
          <cell r="L395">
            <v>5009</v>
          </cell>
          <cell r="M395">
            <v>5688</v>
          </cell>
          <cell r="N395">
            <v>5688</v>
          </cell>
          <cell r="O395">
            <v>5871</v>
          </cell>
          <cell r="P395">
            <v>6583</v>
          </cell>
          <cell r="Q395">
            <v>8407</v>
          </cell>
          <cell r="R395">
            <v>11125</v>
          </cell>
          <cell r="S395">
            <v>11125</v>
          </cell>
          <cell r="T395">
            <v>11890</v>
          </cell>
          <cell r="U395">
            <v>12760</v>
          </cell>
          <cell r="V395">
            <v>14503</v>
          </cell>
          <cell r="W395">
            <v>13999</v>
          </cell>
          <cell r="X395">
            <v>13999</v>
          </cell>
          <cell r="Y395">
            <v>11945</v>
          </cell>
          <cell r="Z395">
            <v>11906.054313912</v>
          </cell>
          <cell r="AA395">
            <v>12413.75346136</v>
          </cell>
          <cell r="AB395">
            <v>12855.507529126</v>
          </cell>
          <cell r="AC395">
            <v>12855.507529126</v>
          </cell>
          <cell r="AD395">
            <v>12277</v>
          </cell>
          <cell r="AE395">
            <v>12322</v>
          </cell>
          <cell r="AF395">
            <v>9887.1592969654339</v>
          </cell>
          <cell r="AG395">
            <v>10239.830994935679</v>
          </cell>
          <cell r="AH395">
            <v>10239.830994935679</v>
          </cell>
          <cell r="AI395">
            <v>12277</v>
          </cell>
          <cell r="AJ395">
            <v>12322</v>
          </cell>
          <cell r="AK395">
            <v>9829</v>
          </cell>
          <cell r="AL395">
            <v>11672</v>
          </cell>
          <cell r="AM395">
            <v>11672</v>
          </cell>
          <cell r="AN395">
            <v>12345</v>
          </cell>
          <cell r="AO395">
            <v>10864</v>
          </cell>
          <cell r="AP395">
            <v>10322</v>
          </cell>
          <cell r="AQ395">
            <v>7721.4040229250531</v>
          </cell>
          <cell r="AR395">
            <v>4944.0829157836779</v>
          </cell>
          <cell r="AS395">
            <v>-669.5560285079373</v>
          </cell>
          <cell r="AT395">
            <v>-5995.9167282660801</v>
          </cell>
        </row>
        <row r="396">
          <cell r="C396">
            <v>2044.3</v>
          </cell>
          <cell r="D396">
            <v>3184</v>
          </cell>
          <cell r="E396">
            <v>7360</v>
          </cell>
          <cell r="F396">
            <v>9743</v>
          </cell>
          <cell r="G396">
            <v>8613</v>
          </cell>
          <cell r="H396">
            <v>8324</v>
          </cell>
          <cell r="I396">
            <v>7230</v>
          </cell>
          <cell r="J396">
            <v>6983</v>
          </cell>
          <cell r="K396">
            <v>6261</v>
          </cell>
          <cell r="L396">
            <v>4934</v>
          </cell>
          <cell r="M396">
            <v>5464</v>
          </cell>
          <cell r="N396">
            <v>5464</v>
          </cell>
          <cell r="O396">
            <v>5752</v>
          </cell>
          <cell r="P396">
            <v>6451</v>
          </cell>
          <cell r="Q396">
            <v>8427</v>
          </cell>
          <cell r="R396">
            <v>10965</v>
          </cell>
          <cell r="S396">
            <v>10965</v>
          </cell>
          <cell r="T396">
            <v>11722</v>
          </cell>
          <cell r="U396">
            <v>12404</v>
          </cell>
          <cell r="V396">
            <v>14082</v>
          </cell>
          <cell r="W396">
            <v>13720</v>
          </cell>
          <cell r="X396">
            <v>13720</v>
          </cell>
          <cell r="Y396">
            <v>11777</v>
          </cell>
          <cell r="Z396">
            <v>11738.054313912</v>
          </cell>
          <cell r="AA396">
            <v>12245.75346136</v>
          </cell>
          <cell r="AB396">
            <v>12687.507529126</v>
          </cell>
          <cell r="AC396">
            <v>12687.507529126</v>
          </cell>
          <cell r="AD396">
            <v>11956</v>
          </cell>
          <cell r="AE396">
            <v>11908</v>
          </cell>
          <cell r="AF396">
            <v>9473.1592969654339</v>
          </cell>
          <cell r="AG396">
            <v>9825.830994935679</v>
          </cell>
          <cell r="AH396">
            <v>9960.830994935679</v>
          </cell>
          <cell r="AI396">
            <v>11956</v>
          </cell>
          <cell r="AJ396">
            <v>11908</v>
          </cell>
          <cell r="AK396">
            <v>9415</v>
          </cell>
          <cell r="AL396">
            <v>11258</v>
          </cell>
          <cell r="AM396">
            <v>11504</v>
          </cell>
          <cell r="AN396">
            <v>12177</v>
          </cell>
          <cell r="AO396">
            <v>10696</v>
          </cell>
          <cell r="AP396">
            <v>8673</v>
          </cell>
          <cell r="AQ396">
            <v>6072.4040229250531</v>
          </cell>
          <cell r="AR396">
            <v>3295.0829157836779</v>
          </cell>
          <cell r="AS396">
            <v>-2318.5560285079373</v>
          </cell>
          <cell r="AT396">
            <v>-7644.9167282660801</v>
          </cell>
        </row>
        <row r="398">
          <cell r="B398">
            <v>311</v>
          </cell>
          <cell r="C398">
            <v>1194</v>
          </cell>
          <cell r="D398">
            <v>2202</v>
          </cell>
          <cell r="E398">
            <v>4362</v>
          </cell>
          <cell r="F398">
            <v>3841</v>
          </cell>
          <cell r="G398">
            <v>3821</v>
          </cell>
          <cell r="H398">
            <v>4332</v>
          </cell>
          <cell r="I398">
            <v>4245</v>
          </cell>
          <cell r="J398">
            <v>4378</v>
          </cell>
          <cell r="K398">
            <v>4004</v>
          </cell>
          <cell r="L398">
            <v>3808</v>
          </cell>
          <cell r="M398">
            <v>3529</v>
          </cell>
          <cell r="N398">
            <v>3529</v>
          </cell>
          <cell r="O398">
            <v>3421</v>
          </cell>
          <cell r="P398">
            <v>3029</v>
          </cell>
          <cell r="Q398">
            <v>3491</v>
          </cell>
          <cell r="R398">
            <v>3191</v>
          </cell>
          <cell r="S398">
            <v>3191</v>
          </cell>
          <cell r="T398">
            <v>2932</v>
          </cell>
          <cell r="U398">
            <v>2647</v>
          </cell>
          <cell r="V398">
            <v>2535</v>
          </cell>
          <cell r="W398">
            <v>2159</v>
          </cell>
          <cell r="X398">
            <v>2159</v>
          </cell>
          <cell r="Y398">
            <v>1875</v>
          </cell>
          <cell r="Z398">
            <v>1692.0543139120002</v>
          </cell>
          <cell r="AA398">
            <v>1653.7534613600001</v>
          </cell>
          <cell r="AB398">
            <v>1470.507529126</v>
          </cell>
          <cell r="AC398">
            <v>1470.5075291260002</v>
          </cell>
          <cell r="AD398">
            <v>1872</v>
          </cell>
          <cell r="AE398">
            <v>1399</v>
          </cell>
          <cell r="AF398">
            <v>1357.0870983393127</v>
          </cell>
          <cell r="AG398">
            <v>1211.2693655855844</v>
          </cell>
          <cell r="AH398">
            <v>1211.2693655855844</v>
          </cell>
          <cell r="AI398">
            <v>1872</v>
          </cell>
          <cell r="AJ398">
            <v>1399</v>
          </cell>
          <cell r="AK398">
            <v>1397</v>
          </cell>
          <cell r="AL398">
            <v>1250</v>
          </cell>
          <cell r="AM398">
            <v>1250</v>
          </cell>
          <cell r="AN398">
            <v>784.24467340799993</v>
          </cell>
          <cell r="AO398">
            <v>784.24467340799993</v>
          </cell>
          <cell r="AP398">
            <v>242.33258616000001</v>
          </cell>
          <cell r="AQ398">
            <v>23.89679372060241</v>
          </cell>
          <cell r="AR398">
            <v>23.89850330470026</v>
          </cell>
          <cell r="AS398">
            <v>23.900184570000022</v>
          </cell>
          <cell r="AT398">
            <v>23.900184570000022</v>
          </cell>
        </row>
        <row r="399">
          <cell r="D399">
            <v>998.10451999999998</v>
          </cell>
          <cell r="E399">
            <v>3011.7427668</v>
          </cell>
          <cell r="F399">
            <v>3248.9785719000001</v>
          </cell>
          <cell r="G399">
            <v>2946.28125</v>
          </cell>
          <cell r="H399">
            <v>2679.4815199999998</v>
          </cell>
          <cell r="I399">
            <v>2642.4189999999999</v>
          </cell>
          <cell r="J399">
            <v>2780.8110000000001</v>
          </cell>
          <cell r="K399">
            <v>2601.0704000000001</v>
          </cell>
          <cell r="L399">
            <v>2455.2689999999998</v>
          </cell>
          <cell r="M399">
            <v>2238.6689999999999</v>
          </cell>
          <cell r="N399">
            <v>2238.6689999999999</v>
          </cell>
          <cell r="O399">
            <v>2159.6536000000001</v>
          </cell>
          <cell r="P399">
            <v>1936.9086</v>
          </cell>
          <cell r="Q399">
            <v>2393.7222000000002</v>
          </cell>
          <cell r="R399">
            <v>2195.826</v>
          </cell>
          <cell r="S399">
            <v>2195.826</v>
          </cell>
          <cell r="T399">
            <v>2078.9630999999999</v>
          </cell>
          <cell r="U399">
            <v>1891.9802999999999</v>
          </cell>
          <cell r="V399">
            <v>1822.5419999999999</v>
          </cell>
          <cell r="W399">
            <v>1617.8107</v>
          </cell>
          <cell r="X399">
            <v>1617.8107</v>
          </cell>
          <cell r="Y399">
            <v>1583.7250307339998</v>
          </cell>
          <cell r="Z399">
            <v>1400.779344646</v>
          </cell>
          <cell r="AA399">
            <v>1362.4784920939999</v>
          </cell>
          <cell r="AB399">
            <v>1179.2325598599998</v>
          </cell>
          <cell r="AC399">
            <v>1179.23255986</v>
          </cell>
          <cell r="AD399">
            <v>1591</v>
          </cell>
          <cell r="AE399">
            <v>1378</v>
          </cell>
          <cell r="AF399">
            <v>1336.0870983393127</v>
          </cell>
          <cell r="AG399">
            <v>1190.2693655855844</v>
          </cell>
          <cell r="AH399">
            <v>1190.2693655855844</v>
          </cell>
          <cell r="AI399">
            <v>1591</v>
          </cell>
          <cell r="AJ399">
            <v>1378</v>
          </cell>
          <cell r="AK399">
            <v>1380</v>
          </cell>
          <cell r="AL399">
            <v>1226</v>
          </cell>
          <cell r="AM399">
            <v>1226</v>
          </cell>
          <cell r="AN399">
            <v>760.24467340799993</v>
          </cell>
          <cell r="AO399">
            <v>760.24467340799993</v>
          </cell>
          <cell r="AP399">
            <v>218.33258616000001</v>
          </cell>
          <cell r="AQ399">
            <v>-0.10320627939758796</v>
          </cell>
          <cell r="AR399">
            <v>-0.10149669529973945</v>
          </cell>
          <cell r="AS399">
            <v>-9.9815429999978389E-2</v>
          </cell>
          <cell r="AT399">
            <v>-9.9815429999978389E-2</v>
          </cell>
        </row>
        <row r="400">
          <cell r="B400">
            <v>311</v>
          </cell>
          <cell r="C400">
            <v>1194</v>
          </cell>
          <cell r="D400">
            <v>1203.8954800000001</v>
          </cell>
          <cell r="E400">
            <v>1350.2572332</v>
          </cell>
          <cell r="F400">
            <v>592.02142809999987</v>
          </cell>
          <cell r="G400">
            <v>874.71875</v>
          </cell>
          <cell r="H400">
            <v>1652.5184800000002</v>
          </cell>
          <cell r="I400">
            <v>1602.5810000000001</v>
          </cell>
          <cell r="J400">
            <v>1597.1889999999999</v>
          </cell>
          <cell r="K400">
            <v>1402.9295999999999</v>
          </cell>
          <cell r="L400">
            <v>1352.7310000000002</v>
          </cell>
          <cell r="M400">
            <v>1290.3310000000001</v>
          </cell>
          <cell r="N400">
            <v>1290.3310000000001</v>
          </cell>
          <cell r="O400">
            <v>1261.3463999999999</v>
          </cell>
          <cell r="P400">
            <v>1092.0914</v>
          </cell>
          <cell r="Q400">
            <v>1097.2777999999998</v>
          </cell>
          <cell r="R400">
            <v>995.17399999999998</v>
          </cell>
          <cell r="S400">
            <v>995.17399999999998</v>
          </cell>
          <cell r="T400">
            <v>853.03690000000006</v>
          </cell>
          <cell r="U400">
            <v>755.01970000000006</v>
          </cell>
          <cell r="V400">
            <v>712.45800000000008</v>
          </cell>
          <cell r="W400">
            <v>541.1893</v>
          </cell>
          <cell r="X400">
            <v>541.1893</v>
          </cell>
          <cell r="Y400">
            <v>291.2749692660002</v>
          </cell>
          <cell r="Z400">
            <v>291.2749692660002</v>
          </cell>
          <cell r="AA400">
            <v>291.2749692660002</v>
          </cell>
          <cell r="AB400">
            <v>291.2749692660002</v>
          </cell>
          <cell r="AC400">
            <v>291.2749692660002</v>
          </cell>
          <cell r="AD400">
            <v>281</v>
          </cell>
          <cell r="AE400">
            <v>21</v>
          </cell>
          <cell r="AF400">
            <v>21</v>
          </cell>
          <cell r="AG400">
            <v>21</v>
          </cell>
          <cell r="AH400">
            <v>21</v>
          </cell>
          <cell r="AI400">
            <v>281</v>
          </cell>
          <cell r="AJ400">
            <v>21</v>
          </cell>
          <cell r="AK400">
            <v>17</v>
          </cell>
          <cell r="AL400">
            <v>24</v>
          </cell>
          <cell r="AM400">
            <v>24</v>
          </cell>
          <cell r="AN400">
            <v>24</v>
          </cell>
          <cell r="AO400">
            <v>24</v>
          </cell>
          <cell r="AP400">
            <v>24</v>
          </cell>
          <cell r="AQ400">
            <v>24</v>
          </cell>
          <cell r="AR400">
            <v>24</v>
          </cell>
          <cell r="AS400">
            <v>24</v>
          </cell>
          <cell r="AT400">
            <v>24</v>
          </cell>
        </row>
        <row r="401">
          <cell r="G401" t="str">
            <v/>
          </cell>
        </row>
        <row r="402">
          <cell r="B402">
            <v>1628</v>
          </cell>
          <cell r="C402">
            <v>143</v>
          </cell>
          <cell r="D402">
            <v>279</v>
          </cell>
          <cell r="E402">
            <v>438</v>
          </cell>
          <cell r="F402">
            <v>789</v>
          </cell>
          <cell r="G402">
            <v>728</v>
          </cell>
          <cell r="H402">
            <v>881</v>
          </cell>
          <cell r="I402">
            <v>984</v>
          </cell>
          <cell r="J402">
            <v>871</v>
          </cell>
          <cell r="K402">
            <v>911</v>
          </cell>
          <cell r="L402">
            <v>826</v>
          </cell>
          <cell r="M402">
            <v>906</v>
          </cell>
          <cell r="N402">
            <v>906</v>
          </cell>
          <cell r="O402">
            <v>1053</v>
          </cell>
          <cell r="P402">
            <v>1001</v>
          </cell>
          <cell r="Q402">
            <v>847</v>
          </cell>
          <cell r="R402">
            <v>1587</v>
          </cell>
          <cell r="S402">
            <v>1587</v>
          </cell>
          <cell r="T402">
            <v>1637</v>
          </cell>
          <cell r="U402">
            <v>1352</v>
          </cell>
          <cell r="V402">
            <v>1173</v>
          </cell>
          <cell r="W402">
            <v>1222</v>
          </cell>
          <cell r="X402">
            <v>1222</v>
          </cell>
          <cell r="Y402">
            <v>1797</v>
          </cell>
          <cell r="Z402">
            <v>2487</v>
          </cell>
          <cell r="AA402">
            <v>2430</v>
          </cell>
          <cell r="AB402">
            <v>2319</v>
          </cell>
          <cell r="AC402">
            <v>2319</v>
          </cell>
          <cell r="AD402">
            <v>2563</v>
          </cell>
          <cell r="AE402">
            <v>2494</v>
          </cell>
          <cell r="AF402">
            <v>2163</v>
          </cell>
          <cell r="AG402">
            <v>1577</v>
          </cell>
          <cell r="AH402">
            <v>1577</v>
          </cell>
          <cell r="AI402">
            <v>2565</v>
          </cell>
          <cell r="AJ402">
            <v>1333</v>
          </cell>
          <cell r="AK402">
            <v>1230</v>
          </cell>
          <cell r="AL402">
            <v>570</v>
          </cell>
          <cell r="AM402">
            <v>570</v>
          </cell>
          <cell r="AN402">
            <v>203</v>
          </cell>
          <cell r="AO402">
            <v>203</v>
          </cell>
          <cell r="AP402">
            <v>203</v>
          </cell>
          <cell r="AQ402">
            <v>526</v>
          </cell>
          <cell r="AR402">
            <v>869</v>
          </cell>
          <cell r="AS402">
            <v>1233</v>
          </cell>
          <cell r="AT402">
            <v>1597</v>
          </cell>
        </row>
        <row r="403">
          <cell r="Y403">
            <v>578</v>
          </cell>
          <cell r="Z403">
            <v>690</v>
          </cell>
          <cell r="AA403">
            <v>-57</v>
          </cell>
          <cell r="AB403">
            <v>-111</v>
          </cell>
          <cell r="AC403">
            <v>1100</v>
          </cell>
          <cell r="AD403">
            <v>1341</v>
          </cell>
          <cell r="AE403">
            <v>-69</v>
          </cell>
          <cell r="AF403">
            <v>-331</v>
          </cell>
          <cell r="AG403">
            <v>-586</v>
          </cell>
          <cell r="AH403">
            <v>355</v>
          </cell>
        </row>
        <row r="404">
          <cell r="Y404">
            <v>515</v>
          </cell>
          <cell r="Z404">
            <v>0</v>
          </cell>
          <cell r="AA404">
            <v>736</v>
          </cell>
          <cell r="AB404">
            <v>-151</v>
          </cell>
          <cell r="AC404">
            <v>1100</v>
          </cell>
        </row>
        <row r="405">
          <cell r="D405">
            <v>998.06263115000002</v>
          </cell>
          <cell r="E405">
            <v>1930.6908190050001</v>
          </cell>
          <cell r="F405">
            <v>225.50298321875002</v>
          </cell>
          <cell r="G405">
            <v>-178.58512000000002</v>
          </cell>
          <cell r="H405">
            <v>-268.10356300000001</v>
          </cell>
          <cell r="I405">
            <v>-201.32135889999998</v>
          </cell>
          <cell r="N405">
            <v>-461.47443399999997</v>
          </cell>
          <cell r="O405">
            <v>-41.448941099999999</v>
          </cell>
          <cell r="P405">
            <v>-196.6392319</v>
          </cell>
          <cell r="Q405">
            <v>462.71444730000002</v>
          </cell>
          <cell r="R405">
            <v>-196.2992844</v>
          </cell>
          <cell r="S405">
            <v>28.326989900000001</v>
          </cell>
          <cell r="T405">
            <v>-39.392738008800002</v>
          </cell>
          <cell r="U405">
            <v>-187.9644338217</v>
          </cell>
          <cell r="V405">
            <v>-38.569580838</v>
          </cell>
          <cell r="W405">
            <v>-185.74796831400002</v>
          </cell>
          <cell r="X405">
            <v>-452.09472091739997</v>
          </cell>
          <cell r="Y405">
            <v>-38.272565364000002</v>
          </cell>
          <cell r="Z405">
            <v>-184.116214566</v>
          </cell>
          <cell r="AA405">
            <v>-38.300852552000002</v>
          </cell>
          <cell r="AB405">
            <v>-184.25219404499998</v>
          </cell>
          <cell r="AC405">
            <v>-444.83413423600001</v>
          </cell>
          <cell r="AD405">
            <v>-38.522301577487774</v>
          </cell>
          <cell r="AE405">
            <v>-182.22931579450974</v>
          </cell>
          <cell r="AF405">
            <v>-37.570532105544245</v>
          </cell>
          <cell r="AG405">
            <v>-180.49422928615706</v>
          </cell>
          <cell r="AH405">
            <v>-445.65546757099997</v>
          </cell>
          <cell r="AI405">
            <v>-37.995580000000004</v>
          </cell>
          <cell r="AJ405">
            <v>-181.38319999999999</v>
          </cell>
          <cell r="AK405">
            <v>-38.244619999999998</v>
          </cell>
          <cell r="AL405">
            <v>-188.9924</v>
          </cell>
          <cell r="AM405">
            <v>-445.65546757099997</v>
          </cell>
          <cell r="AN405">
            <v>-465.11285004799993</v>
          </cell>
          <cell r="AO405">
            <v>-465.11285004799993</v>
          </cell>
          <cell r="AP405">
            <v>-540.52117916600002</v>
          </cell>
          <cell r="AQ405">
            <v>-219.52807862999998</v>
          </cell>
          <cell r="AR405">
            <v>0</v>
          </cell>
          <cell r="AS405">
            <v>0</v>
          </cell>
          <cell r="AT405">
            <v>0</v>
          </cell>
        </row>
        <row r="407">
          <cell r="D407">
            <v>998.06263115000002</v>
          </cell>
          <cell r="E407">
            <v>1930.6908190050001</v>
          </cell>
          <cell r="F407">
            <v>331.05961321875003</v>
          </cell>
          <cell r="G407">
            <v>0</v>
          </cell>
          <cell r="H407">
            <v>0</v>
          </cell>
          <cell r="I407">
            <v>0</v>
          </cell>
          <cell r="N407">
            <v>0</v>
          </cell>
          <cell r="O407">
            <v>0</v>
          </cell>
          <cell r="P407">
            <v>0</v>
          </cell>
          <cell r="Q407">
            <v>503.79</v>
          </cell>
          <cell r="R407">
            <v>0</v>
          </cell>
          <cell r="S407">
            <v>503.79</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row>
        <row r="409">
          <cell r="F409">
            <v>105.55663000000001</v>
          </cell>
          <cell r="G409">
            <v>178.58512000000002</v>
          </cell>
          <cell r="H409">
            <v>268.10356300000001</v>
          </cell>
          <cell r="I409">
            <v>201.32135889999998</v>
          </cell>
          <cell r="N409">
            <v>461.47443399999997</v>
          </cell>
          <cell r="O409">
            <v>41.448941099999999</v>
          </cell>
          <cell r="P409">
            <v>196.6392319</v>
          </cell>
          <cell r="Q409">
            <v>41.075552699999996</v>
          </cell>
          <cell r="R409">
            <v>196.2992844</v>
          </cell>
          <cell r="S409">
            <v>475.46301010000002</v>
          </cell>
          <cell r="T409">
            <v>39.392738008800002</v>
          </cell>
          <cell r="U409">
            <v>187.9644338217</v>
          </cell>
          <cell r="V409">
            <v>38.569580838</v>
          </cell>
          <cell r="W409">
            <v>185.74796831400002</v>
          </cell>
          <cell r="X409">
            <v>452.09472091739997</v>
          </cell>
          <cell r="Y409">
            <v>38.272565364000002</v>
          </cell>
          <cell r="Z409">
            <v>184.116214566</v>
          </cell>
          <cell r="AA409">
            <v>38.300852552000002</v>
          </cell>
          <cell r="AB409">
            <v>184.25219404499998</v>
          </cell>
          <cell r="AC409">
            <v>444.83413423600001</v>
          </cell>
          <cell r="AD409">
            <v>38.522301577487774</v>
          </cell>
          <cell r="AE409">
            <v>182.22931579450974</v>
          </cell>
          <cell r="AF409">
            <v>37.570532105544245</v>
          </cell>
          <cell r="AG409">
            <v>180.49422928615706</v>
          </cell>
          <cell r="AH409">
            <v>445.65546757099997</v>
          </cell>
          <cell r="AI409">
            <v>37.995580000000004</v>
          </cell>
          <cell r="AJ409">
            <v>181.38319999999999</v>
          </cell>
          <cell r="AK409">
            <v>38.244619999999998</v>
          </cell>
          <cell r="AL409">
            <v>188.9924</v>
          </cell>
          <cell r="AM409">
            <v>445.65546757099997</v>
          </cell>
          <cell r="AN409">
            <v>465.11285004799993</v>
          </cell>
          <cell r="AO409">
            <v>465.11285004799993</v>
          </cell>
          <cell r="AP409">
            <v>540.52117916600002</v>
          </cell>
          <cell r="AQ409">
            <v>219.52807862999998</v>
          </cell>
          <cell r="AR409">
            <v>0</v>
          </cell>
          <cell r="AS409">
            <v>0</v>
          </cell>
          <cell r="AT409">
            <v>0</v>
          </cell>
        </row>
        <row r="411">
          <cell r="H411">
            <v>1950.7</v>
          </cell>
          <cell r="I411">
            <v>1810.0830000000001</v>
          </cell>
          <cell r="N411">
            <v>1505.8810000000001</v>
          </cell>
          <cell r="O411">
            <v>1477.5940000000001</v>
          </cell>
          <cell r="P411">
            <v>1341.615</v>
          </cell>
          <cell r="Q411">
            <v>1663.328</v>
          </cell>
          <cell r="R411">
            <v>1527.3489999999999</v>
          </cell>
          <cell r="S411">
            <v>1527.3489999999999</v>
          </cell>
          <cell r="T411">
            <v>1499.0618119999999</v>
          </cell>
          <cell r="U411">
            <v>1363.0823329999998</v>
          </cell>
          <cell r="V411">
            <v>1334.7951449999998</v>
          </cell>
          <cell r="W411">
            <v>1198.8156659999997</v>
          </cell>
          <cell r="X411">
            <v>1198.815666</v>
          </cell>
          <cell r="Y411">
            <v>1170.528478</v>
          </cell>
          <cell r="Z411">
            <v>1034.5489989999999</v>
          </cell>
          <cell r="AA411">
            <v>1006.2618109999999</v>
          </cell>
          <cell r="AB411">
            <v>870.28233199999988</v>
          </cell>
          <cell r="AC411">
            <v>870.282332</v>
          </cell>
          <cell r="AD411">
            <v>1170.528478</v>
          </cell>
          <cell r="AE411">
            <v>1034.5489989999999</v>
          </cell>
          <cell r="AF411">
            <v>1006.2618109999999</v>
          </cell>
          <cell r="AG411">
            <v>870.28233199999988</v>
          </cell>
          <cell r="AH411">
            <v>870.282332</v>
          </cell>
          <cell r="AI411">
            <v>1170.515666</v>
          </cell>
          <cell r="AJ411">
            <v>1034.528478</v>
          </cell>
          <cell r="AK411">
            <v>1006.2489989999999</v>
          </cell>
          <cell r="AL411">
            <v>870.26181099999985</v>
          </cell>
          <cell r="AM411">
            <v>870.26181099999985</v>
          </cell>
          <cell r="AN411">
            <v>539.94650100000001</v>
          </cell>
          <cell r="AO411">
            <v>539.94650100000001</v>
          </cell>
          <cell r="AP411">
            <v>155.50754000000001</v>
          </cell>
          <cell r="AQ411">
            <v>-7.5789999999983593E-2</v>
          </cell>
          <cell r="AR411">
            <v>-7.5789999999983593E-2</v>
          </cell>
          <cell r="AS411">
            <v>-7.5789999999983593E-2</v>
          </cell>
          <cell r="AT411">
            <v>-7.5789999999983593E-2</v>
          </cell>
        </row>
        <row r="414">
          <cell r="B414">
            <v>12950.154</v>
          </cell>
          <cell r="C414">
            <v>12647.018599999999</v>
          </cell>
          <cell r="D414">
            <v>15821.7862</v>
          </cell>
          <cell r="E414">
            <v>22081</v>
          </cell>
          <cell r="F414">
            <v>19114</v>
          </cell>
          <cell r="G414">
            <v>17657</v>
          </cell>
          <cell r="H414">
            <v>18170</v>
          </cell>
          <cell r="I414">
            <v>19913</v>
          </cell>
          <cell r="J414">
            <v>5493</v>
          </cell>
          <cell r="K414">
            <v>5983</v>
          </cell>
          <cell r="L414">
            <v>5717</v>
          </cell>
          <cell r="M414">
            <v>5838</v>
          </cell>
          <cell r="N414">
            <v>23031</v>
          </cell>
          <cell r="O414">
            <v>5827</v>
          </cell>
          <cell r="P414">
            <v>6446</v>
          </cell>
          <cell r="Q414">
            <v>6955</v>
          </cell>
          <cell r="R414">
            <v>8112</v>
          </cell>
          <cell r="S414">
            <v>27340.06</v>
          </cell>
          <cell r="T414">
            <v>6617</v>
          </cell>
          <cell r="U414">
            <v>6843</v>
          </cell>
          <cell r="V414">
            <v>7144</v>
          </cell>
          <cell r="W414">
            <v>7084</v>
          </cell>
          <cell r="X414">
            <v>27688</v>
          </cell>
          <cell r="Y414">
            <v>5604.1368750000001</v>
          </cell>
          <cell r="Z414">
            <v>5879.7352898437503</v>
          </cell>
          <cell r="AA414">
            <v>6153.2933018866152</v>
          </cell>
          <cell r="AB414">
            <v>7179.8442993264862</v>
          </cell>
          <cell r="AC414">
            <v>24817.009766056854</v>
          </cell>
          <cell r="AD414">
            <v>5582.5828799999999</v>
          </cell>
          <cell r="AE414">
            <v>5446.9072969999997</v>
          </cell>
          <cell r="AF414">
            <v>5617.4184000000005</v>
          </cell>
          <cell r="AG414">
            <v>5479.4922816907547</v>
          </cell>
          <cell r="AH414">
            <v>22133.900858690751</v>
          </cell>
          <cell r="AM414">
            <v>21647.496377000003</v>
          </cell>
          <cell r="AN414">
            <v>20335.241470000001</v>
          </cell>
          <cell r="AO414">
            <v>19788.866050000001</v>
          </cell>
          <cell r="AP414">
            <v>21772.964641321472</v>
          </cell>
          <cell r="AQ414">
            <v>24967.784542168076</v>
          </cell>
          <cell r="AR414">
            <v>26097.620908624245</v>
          </cell>
          <cell r="AS414">
            <v>27642.670770449797</v>
          </cell>
          <cell r="AT414">
            <v>28830.491075393365</v>
          </cell>
        </row>
        <row r="415">
          <cell r="B415">
            <v>11358.154</v>
          </cell>
          <cell r="C415">
            <v>10907.018599999999</v>
          </cell>
          <cell r="D415">
            <v>14042.7862</v>
          </cell>
          <cell r="E415">
            <v>18992</v>
          </cell>
          <cell r="F415">
            <v>16595</v>
          </cell>
          <cell r="G415">
            <v>15532</v>
          </cell>
          <cell r="H415">
            <v>16121</v>
          </cell>
          <cell r="I415">
            <v>17683</v>
          </cell>
          <cell r="J415">
            <v>4876</v>
          </cell>
          <cell r="K415">
            <v>5462</v>
          </cell>
          <cell r="L415">
            <v>5128</v>
          </cell>
          <cell r="M415">
            <v>5289</v>
          </cell>
          <cell r="N415">
            <v>20755</v>
          </cell>
          <cell r="O415">
            <v>5380</v>
          </cell>
          <cell r="P415">
            <v>5952</v>
          </cell>
          <cell r="Q415">
            <v>6397</v>
          </cell>
          <cell r="R415">
            <v>7531</v>
          </cell>
          <cell r="S415">
            <v>25260</v>
          </cell>
          <cell r="T415">
            <v>6101</v>
          </cell>
          <cell r="U415">
            <v>6186</v>
          </cell>
          <cell r="V415">
            <v>6453</v>
          </cell>
          <cell r="W415">
            <v>6384</v>
          </cell>
          <cell r="X415">
            <v>25124</v>
          </cell>
          <cell r="Y415">
            <v>4928.78</v>
          </cell>
          <cell r="Z415">
            <v>5199.3240000000005</v>
          </cell>
          <cell r="AA415">
            <v>5455.2188000000006</v>
          </cell>
          <cell r="AB415">
            <v>6476.3820000000005</v>
          </cell>
          <cell r="AC415">
            <v>22059.704800000003</v>
          </cell>
          <cell r="AD415">
            <v>4898.5828799999999</v>
          </cell>
          <cell r="AE415">
            <v>4727.9072969999997</v>
          </cell>
          <cell r="AF415">
            <v>4838.1094000000003</v>
          </cell>
          <cell r="AG415">
            <v>4654.8768000000009</v>
          </cell>
          <cell r="AH415">
            <v>19126.976376999999</v>
          </cell>
          <cell r="AM415">
            <v>19043.496377000003</v>
          </cell>
          <cell r="AN415">
            <v>17691.171470000001</v>
          </cell>
          <cell r="AO415">
            <v>17144.796050000001</v>
          </cell>
          <cell r="AP415">
            <v>18952.112102361454</v>
          </cell>
          <cell r="AQ415">
            <v>22016.582374436726</v>
          </cell>
          <cell r="AR415">
            <v>23765.851813273897</v>
          </cell>
          <cell r="AS415">
            <v>25447.169717206183</v>
          </cell>
          <cell r="AT415">
            <v>26828.470187465602</v>
          </cell>
        </row>
        <row r="416">
          <cell r="B416">
            <v>0.23649229322228604</v>
          </cell>
          <cell r="C416">
            <v>0.19371104830642388</v>
          </cell>
          <cell r="D416">
            <v>0.31555360409692795</v>
          </cell>
          <cell r="E416">
            <v>0.39245522748212169</v>
          </cell>
          <cell r="F416">
            <v>0.31076779026217227</v>
          </cell>
          <cell r="G416">
            <v>0.25711267457357784</v>
          </cell>
          <cell r="H416">
            <v>0.269258697692838</v>
          </cell>
          <cell r="I416">
            <v>0.30310802305475504</v>
          </cell>
          <cell r="N416">
            <v>0.2688884741222195</v>
          </cell>
          <cell r="S416">
            <v>0.35808085971724579</v>
          </cell>
          <cell r="X416">
            <v>0.28409853142645558</v>
          </cell>
          <cell r="AC416">
            <v>0.23110999479924238</v>
          </cell>
          <cell r="AH416">
            <v>0.2013056364413838</v>
          </cell>
          <cell r="AM416">
            <v>0.20042703471161258</v>
          </cell>
          <cell r="AN416">
            <v>0.18266547673772485</v>
          </cell>
          <cell r="AO416">
            <v>0.1790585087875512</v>
          </cell>
          <cell r="AP416">
            <v>0.18899302227077908</v>
          </cell>
          <cell r="AQ416">
            <v>0.20507479492930861</v>
          </cell>
          <cell r="AR416">
            <v>0.2129249965737629</v>
          </cell>
          <cell r="AS416">
            <v>0.21945873055050427</v>
          </cell>
          <cell r="AT416">
            <v>0.22268149030057369</v>
          </cell>
        </row>
        <row r="417">
          <cell r="I417">
            <v>7.6116017035061795E-2</v>
          </cell>
          <cell r="N417">
            <v>6.5717114878347804E-2</v>
          </cell>
          <cell r="S417">
            <v>6.3288417948054801E-2</v>
          </cell>
          <cell r="X417">
            <v>7.8795615391831733E-2</v>
          </cell>
          <cell r="AC417">
            <v>2.5189859831099396E-2</v>
          </cell>
          <cell r="AH417">
            <v>3.2914742909524286E-2</v>
          </cell>
          <cell r="AM417">
            <v>1.832901445824239E-2</v>
          </cell>
          <cell r="AN417">
            <v>5.0779198614457614E-2</v>
          </cell>
          <cell r="AO417">
            <v>3.3396162582237682E-2</v>
          </cell>
          <cell r="AP417">
            <v>-2.4982297033268056E-2</v>
          </cell>
          <cell r="AQ417">
            <v>9.9255344646580576E-2</v>
          </cell>
          <cell r="AR417">
            <v>6.7902871883240054E-2</v>
          </cell>
          <cell r="AS417">
            <v>5.9425384884800418E-2</v>
          </cell>
          <cell r="AT417">
            <v>4.3259011511616999E-2</v>
          </cell>
        </row>
        <row r="418">
          <cell r="B418">
            <v>2085.154</v>
          </cell>
          <cell r="C418">
            <v>2567.0185999999999</v>
          </cell>
          <cell r="D418">
            <v>3763.7862</v>
          </cell>
          <cell r="E418">
            <v>4457</v>
          </cell>
          <cell r="F418">
            <v>3883</v>
          </cell>
          <cell r="G418">
            <v>3952</v>
          </cell>
          <cell r="H418">
            <v>4796</v>
          </cell>
          <cell r="I418">
            <v>5835</v>
          </cell>
          <cell r="J418">
            <v>1716</v>
          </cell>
          <cell r="K418">
            <v>1683</v>
          </cell>
          <cell r="L418">
            <v>1665</v>
          </cell>
          <cell r="M418">
            <v>1548</v>
          </cell>
          <cell r="N418">
            <v>6612</v>
          </cell>
          <cell r="O418">
            <v>1535</v>
          </cell>
          <cell r="P418">
            <v>1499</v>
          </cell>
          <cell r="Q418">
            <v>1611</v>
          </cell>
          <cell r="R418">
            <v>1767</v>
          </cell>
          <cell r="S418">
            <v>6412</v>
          </cell>
          <cell r="T418">
            <v>1515</v>
          </cell>
          <cell r="U418">
            <v>1700</v>
          </cell>
          <cell r="V418">
            <v>1688</v>
          </cell>
          <cell r="W418">
            <v>1717</v>
          </cell>
          <cell r="X418">
            <v>6620</v>
          </cell>
          <cell r="Y418">
            <v>1700.22</v>
          </cell>
          <cell r="Z418">
            <v>1777.62</v>
          </cell>
          <cell r="AA418">
            <v>1794.39</v>
          </cell>
          <cell r="AB418">
            <v>2002.08</v>
          </cell>
          <cell r="AC418">
            <v>7274.31</v>
          </cell>
          <cell r="AD418">
            <v>1561</v>
          </cell>
          <cell r="AE418">
            <v>1576</v>
          </cell>
          <cell r="AF418">
            <v>1809.1599999999999</v>
          </cell>
          <cell r="AG418">
            <v>1882.3200000000002</v>
          </cell>
          <cell r="AH418">
            <v>6828.48</v>
          </cell>
          <cell r="AM418">
            <v>6463.74</v>
          </cell>
          <cell r="AN418">
            <v>7895.0554200000006</v>
          </cell>
          <cell r="AO418">
            <v>6826.68</v>
          </cell>
          <cell r="AP418">
            <v>6963.2136</v>
          </cell>
          <cell r="AQ418">
            <v>7381.0064160000011</v>
          </cell>
          <cell r="AR418">
            <v>7823.8668009600005</v>
          </cell>
          <cell r="AS418">
            <v>8293.2988090176004</v>
          </cell>
          <cell r="AT418">
            <v>8790.8967375586581</v>
          </cell>
        </row>
        <row r="419">
          <cell r="B419">
            <v>5.0483775254633496E-2</v>
          </cell>
          <cell r="C419">
            <v>5.2229382770562771E-2</v>
          </cell>
          <cell r="D419">
            <v>0.10806438002537855</v>
          </cell>
          <cell r="E419">
            <v>0.12833151974569018</v>
          </cell>
          <cell r="F419">
            <v>9.3146163575042143E-2</v>
          </cell>
          <cell r="G419">
            <v>8.0788045427375971E-2</v>
          </cell>
          <cell r="H419">
            <v>9.7438804638715418E-2</v>
          </cell>
          <cell r="I419">
            <v>0.12389543351610691</v>
          </cell>
          <cell r="N419">
            <v>0.10361342529061275</v>
          </cell>
          <cell r="S419">
            <v>0.12383924578605367</v>
          </cell>
          <cell r="X419">
            <v>9.4580968392737053E-2</v>
          </cell>
          <cell r="AC419">
            <v>9.0003386596606366E-2</v>
          </cell>
          <cell r="AH419">
            <v>8.3069170658017513E-2</v>
          </cell>
          <cell r="AM419">
            <v>7.8632070555827091E-2</v>
          </cell>
          <cell r="AN419">
            <v>9.1765829221584383E-2</v>
          </cell>
          <cell r="AO419">
            <v>8.0376171067695831E-2</v>
          </cell>
          <cell r="AP419">
            <v>7.928358542436445E-2</v>
          </cell>
          <cell r="AQ419">
            <v>7.8613524909074972E-2</v>
          </cell>
          <cell r="AR419">
            <v>8.033727105241735E-2</v>
          </cell>
          <cell r="AS419">
            <v>8.2171853884281776E-2</v>
          </cell>
          <cell r="AT419">
            <v>8.4037104025993375E-2</v>
          </cell>
        </row>
        <row r="420">
          <cell r="B420">
            <v>1510</v>
          </cell>
          <cell r="C420">
            <v>2059</v>
          </cell>
          <cell r="D420">
            <v>3053</v>
          </cell>
          <cell r="E420">
            <v>3532</v>
          </cell>
          <cell r="F420">
            <v>2849</v>
          </cell>
          <cell r="G420">
            <v>2974</v>
          </cell>
          <cell r="H420">
            <v>3731</v>
          </cell>
          <cell r="I420">
            <v>4554</v>
          </cell>
          <cell r="J420">
            <v>1341</v>
          </cell>
          <cell r="K420">
            <v>1394</v>
          </cell>
          <cell r="L420">
            <v>1279</v>
          </cell>
          <cell r="M420">
            <v>1198</v>
          </cell>
          <cell r="N420">
            <v>5212</v>
          </cell>
          <cell r="O420">
            <v>1114</v>
          </cell>
          <cell r="P420">
            <v>1210</v>
          </cell>
          <cell r="Q420">
            <v>1255</v>
          </cell>
          <cell r="R420">
            <v>1436</v>
          </cell>
          <cell r="S420">
            <v>5015</v>
          </cell>
          <cell r="T420">
            <v>1216</v>
          </cell>
          <cell r="U420">
            <v>1447</v>
          </cell>
          <cell r="V420">
            <v>1346</v>
          </cell>
          <cell r="W420">
            <v>1395</v>
          </cell>
          <cell r="X420">
            <v>5404</v>
          </cell>
          <cell r="Y420">
            <v>1318</v>
          </cell>
          <cell r="Z420">
            <v>1378</v>
          </cell>
          <cell r="AA420">
            <v>1391</v>
          </cell>
          <cell r="AB420">
            <v>1552</v>
          </cell>
          <cell r="AC420">
            <v>5639</v>
          </cell>
          <cell r="AD420">
            <v>1297</v>
          </cell>
          <cell r="AE420">
            <v>1309</v>
          </cell>
          <cell r="AF420">
            <v>1459</v>
          </cell>
          <cell r="AG420">
            <v>1518</v>
          </cell>
          <cell r="AH420">
            <v>5583</v>
          </cell>
          <cell r="AM420">
            <v>5292</v>
          </cell>
          <cell r="AN420">
            <v>6120.1980000000003</v>
          </cell>
          <cell r="AO420">
            <v>5292</v>
          </cell>
          <cell r="AP420">
            <v>5397.84</v>
          </cell>
          <cell r="AQ420">
            <v>5721.7104000000008</v>
          </cell>
          <cell r="AR420">
            <v>6065.0130240000008</v>
          </cell>
          <cell r="AS420">
            <v>6428.9138054400009</v>
          </cell>
          <cell r="AT420">
            <v>6814.648633766401</v>
          </cell>
        </row>
        <row r="421">
          <cell r="B421">
            <v>3.1440264215967836E-2</v>
          </cell>
          <cell r="C421">
            <v>3.6568292682926828E-2</v>
          </cell>
          <cell r="D421">
            <v>6.8603561970338983E-2</v>
          </cell>
          <cell r="E421">
            <v>7.2986092221296012E-2</v>
          </cell>
          <cell r="F421">
            <v>5.3352059925093634E-2</v>
          </cell>
          <cell r="G421">
            <v>4.9230819867487799E-2</v>
          </cell>
          <cell r="H421">
            <v>6.231649408175538E-2</v>
          </cell>
          <cell r="I421">
            <v>7.80610720461095E-2</v>
          </cell>
          <cell r="N421">
            <v>6.7523330625150965E-2</v>
          </cell>
          <cell r="S421">
            <v>7.1091667121218838E-2</v>
          </cell>
          <cell r="X421">
            <v>6.1107644635749324E-2</v>
          </cell>
          <cell r="AC421">
            <v>5.9077366287917307E-2</v>
          </cell>
          <cell r="AH421">
            <v>5.8759384970209494E-2</v>
          </cell>
          <cell r="AM421">
            <v>5.5696698058812222E-2</v>
          </cell>
          <cell r="AN421">
            <v>6.3192473562027493E-2</v>
          </cell>
          <cell r="AO421">
            <v>5.5269110565110559E-2</v>
          </cell>
          <cell r="AP421">
            <v>5.3827989715562616E-2</v>
          </cell>
          <cell r="AQ421">
            <v>5.3295219347363046E-2</v>
          </cell>
          <cell r="AR421">
            <v>5.4338169214441887E-2</v>
          </cell>
          <cell r="AS421">
            <v>5.5443543554727914E-2</v>
          </cell>
          <cell r="AT421">
            <v>5.6562901389392399E-2</v>
          </cell>
        </row>
        <row r="422">
          <cell r="B422">
            <v>0.14293828095418401</v>
          </cell>
          <cell r="C422">
            <v>0.20196174595389896</v>
          </cell>
          <cell r="D422">
            <v>0.23387467442929372</v>
          </cell>
          <cell r="E422">
            <v>0.2004881648407788</v>
          </cell>
          <cell r="F422">
            <v>0.18797835840591184</v>
          </cell>
          <cell r="G422">
            <v>0.21261080926508436</v>
          </cell>
          <cell r="H422">
            <v>0.25579322638146168</v>
          </cell>
          <cell r="I422">
            <v>0.28632505501414651</v>
          </cell>
          <cell r="N422">
            <v>0.27661607048084069</v>
          </cell>
          <cell r="S422">
            <v>0.2143162393162393</v>
          </cell>
          <cell r="X422">
            <v>0.23049690765621667</v>
          </cell>
          <cell r="AC422">
            <v>0.28184209810558231</v>
          </cell>
          <cell r="AH422">
            <v>0.32039039072944286</v>
          </cell>
          <cell r="AM422">
            <v>0.30393711634058934</v>
          </cell>
          <cell r="AN422">
            <v>0.39160013233990093</v>
          </cell>
          <cell r="AO422">
            <v>0.34561005809343992</v>
          </cell>
          <cell r="AP422">
            <v>0.31675722163482345</v>
          </cell>
          <cell r="AQ422">
            <v>0.28733156691075201</v>
          </cell>
          <cell r="AR422">
            <v>0.28206889951716874</v>
          </cell>
          <cell r="AS422">
            <v>0.27903426386202124</v>
          </cell>
          <cell r="AT422">
            <v>0.28087007201886455</v>
          </cell>
        </row>
        <row r="423">
          <cell r="B423">
            <v>15872</v>
          </cell>
          <cell r="C423">
            <v>18601</v>
          </cell>
          <cell r="D423">
            <v>13646</v>
          </cell>
          <cell r="E423">
            <v>13629</v>
          </cell>
          <cell r="F423">
            <v>17190</v>
          </cell>
          <cell r="G423">
            <v>21410</v>
          </cell>
          <cell r="H423">
            <v>20162.767200000002</v>
          </cell>
          <cell r="I423">
            <v>17372</v>
          </cell>
          <cell r="J423">
            <v>4435.4139999999998</v>
          </cell>
          <cell r="K423">
            <v>5474.3119999999999</v>
          </cell>
          <cell r="L423">
            <v>5830.8</v>
          </cell>
          <cell r="M423">
            <v>5272.2669999999998</v>
          </cell>
          <cell r="N423">
            <v>21012.793000000001</v>
          </cell>
          <cell r="O423">
            <v>3884.84</v>
          </cell>
          <cell r="P423">
            <v>5256.95</v>
          </cell>
          <cell r="Q423">
            <v>4579</v>
          </cell>
          <cell r="R423">
            <v>4795</v>
          </cell>
          <cell r="S423">
            <v>18515.79</v>
          </cell>
          <cell r="T423">
            <v>4592.63</v>
          </cell>
          <cell r="U423">
            <v>5740.46</v>
          </cell>
          <cell r="V423">
            <v>6594.37</v>
          </cell>
          <cell r="W423">
            <v>6075.84</v>
          </cell>
          <cell r="X423">
            <v>23003.3</v>
          </cell>
          <cell r="Y423">
            <v>5359.3709735130633</v>
          </cell>
          <cell r="Z423">
            <v>5990.7908373806022</v>
          </cell>
          <cell r="AA423">
            <v>6617.6398894932536</v>
          </cell>
          <cell r="AB423">
            <v>6678.5131228398714</v>
          </cell>
          <cell r="AC423">
            <v>24646.314823226789</v>
          </cell>
          <cell r="AD423">
            <v>5283.1480336776258</v>
          </cell>
          <cell r="AE423">
            <v>5726.3867040862515</v>
          </cell>
          <cell r="AF423">
            <v>5956.322100904641</v>
          </cell>
          <cell r="AG423">
            <v>5958.8265329550395</v>
          </cell>
          <cell r="AH423">
            <v>22924.683371623556</v>
          </cell>
          <cell r="AM423">
            <v>23130.67</v>
          </cell>
          <cell r="AN423">
            <v>23454.354705665879</v>
          </cell>
          <cell r="AO423">
            <v>24211.658381808833</v>
          </cell>
          <cell r="AP423">
            <v>26354.720997852753</v>
          </cell>
          <cell r="AQ423">
            <v>31876.01761476379</v>
          </cell>
          <cell r="AR423">
            <v>33980.511258331484</v>
          </cell>
          <cell r="AS423">
            <v>36780.093086977504</v>
          </cell>
          <cell r="AT423">
            <v>39022.042878748223</v>
          </cell>
        </row>
        <row r="424">
          <cell r="B424">
            <v>11115</v>
          </cell>
          <cell r="C424">
            <v>14951</v>
          </cell>
          <cell r="D424">
            <v>9312</v>
          </cell>
          <cell r="E424">
            <v>9492</v>
          </cell>
          <cell r="F424">
            <v>13730</v>
          </cell>
          <cell r="G424">
            <v>17187</v>
          </cell>
          <cell r="H424">
            <v>16077</v>
          </cell>
          <cell r="I424">
            <v>13230</v>
          </cell>
          <cell r="J424">
            <v>3588</v>
          </cell>
          <cell r="K424">
            <v>4334</v>
          </cell>
          <cell r="L424">
            <v>4998</v>
          </cell>
          <cell r="M424">
            <v>4100</v>
          </cell>
          <cell r="N424">
            <v>17020</v>
          </cell>
          <cell r="O424">
            <v>3225</v>
          </cell>
          <cell r="P424">
            <v>4099</v>
          </cell>
          <cell r="Q424">
            <v>3898</v>
          </cell>
          <cell r="R424">
            <v>3714</v>
          </cell>
          <cell r="S424">
            <v>14936</v>
          </cell>
          <cell r="T424">
            <v>3607</v>
          </cell>
          <cell r="U424">
            <v>4458</v>
          </cell>
          <cell r="V424">
            <v>5429</v>
          </cell>
          <cell r="W424">
            <v>4888</v>
          </cell>
          <cell r="X424">
            <v>18382</v>
          </cell>
          <cell r="Y424">
            <v>4493.2589472073805</v>
          </cell>
          <cell r="Z424">
            <v>4989.0600797966599</v>
          </cell>
          <cell r="AA424">
            <v>5689.4554984877686</v>
          </cell>
          <cell r="AB424">
            <v>5565.4396131556296</v>
          </cell>
          <cell r="AC424">
            <v>20737.214138647436</v>
          </cell>
          <cell r="AD424">
            <v>4328.1480336776258</v>
          </cell>
          <cell r="AE424">
            <v>4564.3867040862515</v>
          </cell>
          <cell r="AF424">
            <v>4998.9664036956092</v>
          </cell>
          <cell r="AG424">
            <v>4834.0603669960083</v>
          </cell>
          <cell r="AH424">
            <v>18725.561508455496</v>
          </cell>
          <cell r="AM424">
            <v>19088</v>
          </cell>
          <cell r="AN424">
            <v>19295.000000000004</v>
          </cell>
          <cell r="AO424">
            <v>20052.343676142958</v>
          </cell>
          <cell r="AP424">
            <v>21374.809678210655</v>
          </cell>
          <cell r="AQ424">
            <v>26723.44332972377</v>
          </cell>
          <cell r="AR424">
            <v>28220.644567558335</v>
          </cell>
          <cell r="AS424">
            <v>30424.798713207885</v>
          </cell>
          <cell r="AT424">
            <v>32179.388244313144</v>
          </cell>
        </row>
        <row r="425">
          <cell r="B425">
            <v>0.23142949454336589</v>
          </cell>
          <cell r="C425">
            <v>0.26553304706286496</v>
          </cell>
          <cell r="D425">
            <v>0.2092487288135593</v>
          </cell>
          <cell r="E425">
            <v>0.19614495678497784</v>
          </cell>
          <cell r="F425">
            <v>0.25711610486891384</v>
          </cell>
          <cell r="G425">
            <v>0.28450911266392498</v>
          </cell>
          <cell r="H425">
            <v>0.26852379398348464</v>
          </cell>
          <cell r="I425">
            <v>0.22677821325648412</v>
          </cell>
          <cell r="N425">
            <v>0.22050020860323663</v>
          </cell>
          <cell r="S425">
            <v>0.21172983850897797</v>
          </cell>
          <cell r="X425">
            <v>0.20786097773766543</v>
          </cell>
          <cell r="AC425">
            <v>0.21725483161196171</v>
          </cell>
          <cell r="AH425">
            <v>0.19708086646223774</v>
          </cell>
          <cell r="AM425">
            <v>0.20089542187199694</v>
          </cell>
          <cell r="AN425">
            <v>0.19922538084214281</v>
          </cell>
          <cell r="AO425">
            <v>0.20942464091578622</v>
          </cell>
          <cell r="AP425">
            <v>0.21315248979792498</v>
          </cell>
          <cell r="AQ425">
            <v>0.24891713743052324</v>
          </cell>
          <cell r="AR425">
            <v>0.25283674639848636</v>
          </cell>
          <cell r="AS425">
            <v>0.26238626051763048</v>
          </cell>
          <cell r="AT425">
            <v>0.26709514486414099</v>
          </cell>
        </row>
        <row r="426">
          <cell r="C426">
            <v>0.32211920827710305</v>
          </cell>
          <cell r="D426">
            <v>-0.40016540699618752</v>
          </cell>
          <cell r="E426">
            <v>-3.6701030927835734E-3</v>
          </cell>
          <cell r="F426">
            <v>0.42348124736620318</v>
          </cell>
          <cell r="G426">
            <v>0.22878441369264393</v>
          </cell>
          <cell r="H426">
            <v>-8.7583696980275766E-2</v>
          </cell>
          <cell r="I426">
            <v>-0.20008527710393728</v>
          </cell>
          <cell r="N426">
            <v>0.26337014361300082</v>
          </cell>
          <cell r="S426">
            <v>-0.1434441833137485</v>
          </cell>
          <cell r="X426">
            <v>0.21014525956437424</v>
          </cell>
          <cell r="AC426">
            <v>0.12944289087957153</v>
          </cell>
          <cell r="AH426">
            <v>6.6107756027600217E-3</v>
          </cell>
          <cell r="AM426">
            <v>2.6094009305374088E-2</v>
          </cell>
          <cell r="AN426">
            <v>-4.0940791728428794E-3</v>
          </cell>
          <cell r="AO426">
            <v>3.4995998628233549E-2</v>
          </cell>
          <cell r="AP426">
            <v>4.7102843823505269E-2</v>
          </cell>
          <cell r="AQ426">
            <v>0.22691923745299003</v>
          </cell>
          <cell r="AR426">
            <v>3.5319373116555974E-2</v>
          </cell>
          <cell r="AS426">
            <v>5.6965015846819345E-2</v>
          </cell>
          <cell r="AT426">
            <v>3.6931095082977761E-2</v>
          </cell>
        </row>
        <row r="427">
          <cell r="B427">
            <v>8426</v>
          </cell>
          <cell r="C427">
            <v>11621</v>
          </cell>
          <cell r="D427">
            <v>6739</v>
          </cell>
          <cell r="E427">
            <v>5868</v>
          </cell>
          <cell r="F427">
            <v>8918</v>
          </cell>
          <cell r="G427">
            <v>11778</v>
          </cell>
          <cell r="H427">
            <v>10674</v>
          </cell>
          <cell r="I427">
            <v>7497</v>
          </cell>
          <cell r="J427">
            <v>2080</v>
          </cell>
          <cell r="K427">
            <v>2612</v>
          </cell>
          <cell r="L427">
            <v>3181</v>
          </cell>
          <cell r="M427">
            <v>2338</v>
          </cell>
          <cell r="N427">
            <v>10211</v>
          </cell>
          <cell r="O427">
            <v>1479</v>
          </cell>
          <cell r="P427">
            <v>2291</v>
          </cell>
          <cell r="Q427">
            <v>2053</v>
          </cell>
          <cell r="R427">
            <v>1799</v>
          </cell>
          <cell r="S427">
            <v>7622</v>
          </cell>
          <cell r="X427">
            <v>10922</v>
          </cell>
          <cell r="AC427">
            <v>11043.887275278339</v>
          </cell>
          <cell r="AH427">
            <v>11023.346816345005</v>
          </cell>
          <cell r="AM427">
            <v>11867</v>
          </cell>
          <cell r="AN427">
            <v>10803.077531204382</v>
          </cell>
          <cell r="AO427">
            <v>11355.883134228437</v>
          </cell>
          <cell r="AP427">
            <v>11955.001434174064</v>
          </cell>
          <cell r="AQ427">
            <v>12997.462531713978</v>
          </cell>
          <cell r="AR427">
            <v>15362.576535614042</v>
          </cell>
          <cell r="AS427">
            <v>16645.067578634211</v>
          </cell>
          <cell r="AT427">
            <v>17801.1196098978</v>
          </cell>
        </row>
        <row r="428">
          <cell r="B428">
            <v>0.20400233761896813</v>
          </cell>
          <cell r="C428">
            <v>0.23644458874458876</v>
          </cell>
          <cell r="D428">
            <v>0.19348757296337027</v>
          </cell>
          <cell r="E428">
            <v>0.16895879691893873</v>
          </cell>
          <cell r="F428">
            <v>0.21392672849915681</v>
          </cell>
          <cell r="G428">
            <v>0.24076963538553497</v>
          </cell>
          <cell r="H428">
            <v>0.21686025869759143</v>
          </cell>
          <cell r="I428">
            <v>0.15918492974640161</v>
          </cell>
          <cell r="N428">
            <v>0.16001159794955336</v>
          </cell>
          <cell r="S428">
            <v>0.14720878530587977</v>
          </cell>
          <cell r="X428">
            <v>0.1560443106926698</v>
          </cell>
          <cell r="AC428">
            <v>0.1366435106513495</v>
          </cell>
          <cell r="AH428">
            <v>0.13410016254122109</v>
          </cell>
          <cell r="AM428">
            <v>0.14436329142044699</v>
          </cell>
          <cell r="AN428">
            <v>0.12556635958307646</v>
          </cell>
          <cell r="AO428">
            <v>0.13370223965697922</v>
          </cell>
          <cell r="AP428">
            <v>0.13612039381568575</v>
          </cell>
          <cell r="AQ428">
            <v>0.1384332009625048</v>
          </cell>
          <cell r="AR428">
            <v>0.15774648349760956</v>
          </cell>
          <cell r="AS428">
            <v>0.16492304117612597</v>
          </cell>
          <cell r="AT428">
            <v>0.17017086937726644</v>
          </cell>
        </row>
        <row r="429">
          <cell r="B429">
            <v>1694</v>
          </cell>
          <cell r="C429">
            <v>-1885</v>
          </cell>
          <cell r="D429">
            <v>5771</v>
          </cell>
          <cell r="E429">
            <v>10810</v>
          </cell>
          <cell r="F429">
            <v>5025</v>
          </cell>
          <cell r="G429">
            <v>1274</v>
          </cell>
          <cell r="H429">
            <v>3196</v>
          </cell>
          <cell r="I429">
            <v>7559</v>
          </cell>
          <cell r="J429">
            <v>2026</v>
          </cell>
          <cell r="K429">
            <v>2066</v>
          </cell>
          <cell r="L429">
            <v>1010</v>
          </cell>
          <cell r="M429">
            <v>1803</v>
          </cell>
          <cell r="N429">
            <v>6905</v>
          </cell>
          <cell r="O429">
            <v>2871</v>
          </cell>
          <cell r="P429">
            <v>2623</v>
          </cell>
          <cell r="Q429">
            <v>3381</v>
          </cell>
          <cell r="R429">
            <v>4715</v>
          </cell>
          <cell r="S429">
            <v>13590</v>
          </cell>
          <cell r="X429">
            <v>10550</v>
          </cell>
          <cell r="AC429">
            <v>5118.332628721666</v>
          </cell>
          <cell r="AH429">
            <v>3425.9694366549938</v>
          </cell>
          <cell r="AM429">
            <v>3452.4963770000031</v>
          </cell>
          <cell r="AN429">
            <v>1641.2148377956182</v>
          </cell>
          <cell r="AO429">
            <v>771.77123477156238</v>
          </cell>
          <cell r="AP429">
            <v>1507.5762120804429</v>
          </cell>
          <cell r="AQ429">
            <v>1001.3349823002827</v>
          </cell>
          <cell r="AR429">
            <v>1700.0322900505889</v>
          </cell>
          <cell r="AS429">
            <v>1650.1106869798568</v>
          </cell>
          <cell r="AT429">
            <v>1716.8234749266594</v>
          </cell>
        </row>
        <row r="430">
          <cell r="B430">
            <v>3.5271395749569216E-2</v>
          </cell>
          <cell r="C430">
            <v>-3.3478014428031604E-2</v>
          </cell>
          <cell r="D430">
            <v>0.12967938294491524</v>
          </cell>
          <cell r="E430">
            <v>0.22338042381432893</v>
          </cell>
          <cell r="F430">
            <v>9.4101123595505612E-2</v>
          </cell>
          <cell r="G430">
            <v>2.1089463520907688E-2</v>
          </cell>
          <cell r="H430">
            <v>5.3380733070300238E-2</v>
          </cell>
          <cell r="I430">
            <v>0.12957040922190199</v>
          </cell>
          <cell r="N430">
            <v>8.9456753255308399E-2</v>
          </cell>
          <cell r="S430">
            <v>0.192649203624599</v>
          </cell>
          <cell r="X430">
            <v>0.11929786286216791</v>
          </cell>
          <cell r="AC430">
            <v>5.3622559228655525E-2</v>
          </cell>
          <cell r="AH430">
            <v>3.6057291245671239E-2</v>
          </cell>
          <cell r="AM430">
            <v>3.6336479262833017E-2</v>
          </cell>
          <cell r="AN430">
            <v>1.6945926463001172E-2</v>
          </cell>
          <cell r="AO430">
            <v>8.0603003978763008E-3</v>
          </cell>
          <cell r="AP430">
            <v>1.5033753656887371E-2</v>
          </cell>
          <cell r="AQ430">
            <v>9.3269955644524512E-3</v>
          </cell>
          <cell r="AR430">
            <v>1.5231070713490365E-2</v>
          </cell>
          <cell r="AS430">
            <v>1.4230706230074922E-2</v>
          </cell>
          <cell r="AT430">
            <v>1.4249966819140246E-2</v>
          </cell>
        </row>
        <row r="431">
          <cell r="B431">
            <v>-0.15324526134405514</v>
          </cell>
          <cell r="C431">
            <v>-0.17797516317416695</v>
          </cell>
          <cell r="D431">
            <v>-9.5051774364406774E-2</v>
          </cell>
          <cell r="E431">
            <v>-6.7675382792962743E-2</v>
          </cell>
          <cell r="F431">
            <v>-0.13636704119850188</v>
          </cell>
          <cell r="G431">
            <v>-0.16123341812687667</v>
          </cell>
          <cell r="H431">
            <v>-0.12792335249856995</v>
          </cell>
          <cell r="I431">
            <v>-6.4999469740634003E-2</v>
          </cell>
          <cell r="N431">
            <v>-8.712478865198392E-2</v>
          </cell>
          <cell r="S431">
            <v>-6.7972989799849309E-2</v>
          </cell>
          <cell r="X431">
            <v>-8.4707136559289076E-2</v>
          </cell>
          <cell r="AC431">
            <v>-9.6911650202630165E-2</v>
          </cell>
          <cell r="AH431">
            <v>-8.8582659939083708E-2</v>
          </cell>
          <cell r="AM431">
            <v>-9.121755141264655E-2</v>
          </cell>
          <cell r="AN431">
            <v>-8.1231498356869006E-2</v>
          </cell>
          <cell r="AO431">
            <v>-9.6588129834300596E-2</v>
          </cell>
          <cell r="AP431">
            <v>-0.10107278704725019</v>
          </cell>
          <cell r="AQ431">
            <v>-0.12286112727841822</v>
          </cell>
          <cell r="AR431">
            <v>-0.12307223634774088</v>
          </cell>
          <cell r="AS431">
            <v>-0.12902372654022662</v>
          </cell>
          <cell r="AT431">
            <v>-0.13057171144007218</v>
          </cell>
        </row>
        <row r="432">
          <cell r="B432">
            <v>243.15400000000045</v>
          </cell>
          <cell r="C432">
            <v>-4043.9814000000006</v>
          </cell>
          <cell r="D432">
            <v>4730.7862000000005</v>
          </cell>
          <cell r="E432">
            <v>9500</v>
          </cell>
          <cell r="F432">
            <v>2865</v>
          </cell>
          <cell r="G432">
            <v>-1655</v>
          </cell>
          <cell r="H432">
            <v>44</v>
          </cell>
          <cell r="I432">
            <v>4453</v>
          </cell>
          <cell r="J432">
            <v>1288</v>
          </cell>
          <cell r="K432">
            <v>1128</v>
          </cell>
          <cell r="L432">
            <v>130</v>
          </cell>
          <cell r="M432">
            <v>1189</v>
          </cell>
          <cell r="N432">
            <v>3735</v>
          </cell>
          <cell r="O432">
            <v>2155</v>
          </cell>
          <cell r="P432">
            <v>1853</v>
          </cell>
          <cell r="Q432">
            <v>2499</v>
          </cell>
          <cell r="R432">
            <v>3817</v>
          </cell>
          <cell r="S432">
            <v>10324</v>
          </cell>
          <cell r="T432">
            <v>2494</v>
          </cell>
          <cell r="U432">
            <v>1728</v>
          </cell>
          <cell r="V432">
            <v>1024</v>
          </cell>
          <cell r="W432">
            <v>1496</v>
          </cell>
          <cell r="X432">
            <v>6742</v>
          </cell>
          <cell r="Y432">
            <v>435.52105279261923</v>
          </cell>
          <cell r="Z432">
            <v>210.2639202033406</v>
          </cell>
          <cell r="AA432">
            <v>-234.23669848776808</v>
          </cell>
          <cell r="AB432">
            <v>910.94238684437096</v>
          </cell>
          <cell r="AC432">
            <v>1322.4906613525673</v>
          </cell>
          <cell r="AD432">
            <v>570.43484632237414</v>
          </cell>
          <cell r="AE432">
            <v>163.52059291374826</v>
          </cell>
          <cell r="AF432">
            <v>-160.85700369560891</v>
          </cell>
          <cell r="AG432">
            <v>-179.18356699600736</v>
          </cell>
          <cell r="AH432">
            <v>401.41486854450341</v>
          </cell>
          <cell r="AM432">
            <v>-44.503622999996878</v>
          </cell>
          <cell r="AN432">
            <v>-1603.8285300000025</v>
          </cell>
          <cell r="AO432">
            <v>-2907.5476261429576</v>
          </cell>
          <cell r="AP432">
            <v>-2422.6975758492008</v>
          </cell>
          <cell r="AQ432">
            <v>-4706.8609552870439</v>
          </cell>
          <cell r="AR432">
            <v>-4454.7927542844373</v>
          </cell>
          <cell r="AS432">
            <v>-4977.628996001702</v>
          </cell>
          <cell r="AT432">
            <v>-5350.9180568475422</v>
          </cell>
        </row>
        <row r="433">
          <cell r="B433">
            <v>5.0627986789201704E-3</v>
          </cell>
          <cell r="C433">
            <v>-7.1821998756441088E-2</v>
          </cell>
          <cell r="D433">
            <v>0.10630487528336865</v>
          </cell>
          <cell r="E433">
            <v>0.19631027069714385</v>
          </cell>
          <cell r="F433">
            <v>5.365168539325843E-2</v>
          </cell>
          <cell r="G433">
            <v>-2.739643809034711E-2</v>
          </cell>
          <cell r="H433">
            <v>7.3490370935331997E-4</v>
          </cell>
          <cell r="I433">
            <v>7.6329809798270892E-2</v>
          </cell>
          <cell r="N433">
            <v>4.8388265518982891E-2</v>
          </cell>
          <cell r="S433">
            <v>0.14635102120826785</v>
          </cell>
          <cell r="X433">
            <v>7.6237553688790149E-2</v>
          </cell>
          <cell r="AC433">
            <v>1.3855163187280656E-2</v>
          </cell>
          <cell r="AH433">
            <v>4.2247699791460713E-3</v>
          </cell>
          <cell r="AM433">
            <v>-4.6838716038436075E-4</v>
          </cell>
          <cell r="AN433">
            <v>-1.6559904104417957E-2</v>
          </cell>
          <cell r="AO433">
            <v>-3.0366132128235048E-2</v>
          </cell>
          <cell r="AP433">
            <v>-2.4159467527145907E-2</v>
          </cell>
          <cell r="AQ433">
            <v>-4.3842342501214625E-2</v>
          </cell>
          <cell r="AR433">
            <v>-3.9911749824723432E-2</v>
          </cell>
          <cell r="AS433">
            <v>-4.2927529967126198E-2</v>
          </cell>
          <cell r="AT433">
            <v>-4.4413654563567294E-2</v>
          </cell>
        </row>
        <row r="434">
          <cell r="B434">
            <v>-4174.8459999999995</v>
          </cell>
          <cell r="C434">
            <v>-7249.9814000000006</v>
          </cell>
          <cell r="D434">
            <v>1005.7862000000005</v>
          </cell>
          <cell r="E434">
            <v>6302</v>
          </cell>
          <cell r="F434">
            <v>335</v>
          </cell>
          <cell r="G434">
            <v>-4498</v>
          </cell>
          <cell r="H434">
            <v>-2692.7672000000002</v>
          </cell>
          <cell r="I434">
            <v>1623</v>
          </cell>
          <cell r="J434">
            <v>665.58600000000001</v>
          </cell>
          <cell r="K434">
            <v>156.68799999999999</v>
          </cell>
          <cell r="L434">
            <v>-433.79999999999995</v>
          </cell>
          <cell r="M434">
            <v>190.73299999999995</v>
          </cell>
          <cell r="N434">
            <v>579.20699999999988</v>
          </cell>
          <cell r="O434">
            <v>1716.16</v>
          </cell>
          <cell r="P434">
            <v>947.05</v>
          </cell>
          <cell r="Q434">
            <v>2036</v>
          </cell>
          <cell r="R434">
            <v>2922</v>
          </cell>
          <cell r="S434">
            <v>7621.2100000000009</v>
          </cell>
          <cell r="T434">
            <v>2050.37</v>
          </cell>
          <cell r="U434">
            <v>957.54</v>
          </cell>
          <cell r="V434">
            <v>457.63</v>
          </cell>
          <cell r="W434">
            <v>721.15999999999985</v>
          </cell>
          <cell r="X434">
            <v>4186.7</v>
          </cell>
          <cell r="Y434">
            <v>-104.81623841505345</v>
          </cell>
          <cell r="Z434">
            <v>-433.55685955433205</v>
          </cell>
          <cell r="AA434">
            <v>-786.6757184554416</v>
          </cell>
          <cell r="AB434">
            <v>171.39163562669734</v>
          </cell>
          <cell r="AC434">
            <v>-1153.6571807981259</v>
          </cell>
          <cell r="AD434">
            <v>22.434846322373687</v>
          </cell>
          <cell r="AE434">
            <v>-458.47940708625174</v>
          </cell>
          <cell r="AF434">
            <v>-760.38613840463984</v>
          </cell>
          <cell r="AG434">
            <v>-943.78567045503894</v>
          </cell>
          <cell r="AH434">
            <v>-2132.7163696235575</v>
          </cell>
          <cell r="AM434">
            <v>-2523.173622999997</v>
          </cell>
          <cell r="AN434">
            <v>-4076.9932356658787</v>
          </cell>
          <cell r="AO434">
            <v>-5380.6723318088334</v>
          </cell>
          <cell r="AP434">
            <v>-5653.3516654913001</v>
          </cell>
          <cell r="AQ434">
            <v>-7929.1990309570683</v>
          </cell>
          <cell r="AR434">
            <v>-7943.6614303001916</v>
          </cell>
          <cell r="AS434">
            <v>-8877.9083135187739</v>
          </cell>
          <cell r="AT434">
            <v>-9538.2602527050276</v>
          </cell>
        </row>
        <row r="435">
          <cell r="B435">
            <v>-8.6926000861573802E-2</v>
          </cell>
          <cell r="C435">
            <v>-0.12876126361387841</v>
          </cell>
          <cell r="D435">
            <v>2.2600889584216112E-2</v>
          </cell>
          <cell r="E435">
            <v>0.13022603430877899</v>
          </cell>
          <cell r="F435">
            <v>6.2734082397003744E-3</v>
          </cell>
          <cell r="G435">
            <v>-7.4458718145245503E-2</v>
          </cell>
          <cell r="H435">
            <v>-4.4975559175112576E-2</v>
          </cell>
          <cell r="I435">
            <v>2.7820184438040345E-2</v>
          </cell>
          <cell r="N435">
            <v>7.5038345666542218E-3</v>
          </cell>
          <cell r="S435">
            <v>0.10803679449270275</v>
          </cell>
          <cell r="X435">
            <v>4.7342593596686099E-2</v>
          </cell>
          <cell r="AC435">
            <v>-1.2086367767458223E-2</v>
          </cell>
          <cell r="AH435">
            <v>-2.244619419576898E-2</v>
          </cell>
          <cell r="AM435">
            <v>-2.6555638592250592E-2</v>
          </cell>
          <cell r="AN435">
            <v>-4.2095907233292283E-2</v>
          </cell>
          <cell r="AO435">
            <v>-5.6195195393305683E-2</v>
          </cell>
          <cell r="AP435">
            <v>-5.637598656287042E-2</v>
          </cell>
          <cell r="AQ435">
            <v>-7.3857006395107908E-2</v>
          </cell>
          <cell r="AR435">
            <v>-7.116951229516226E-2</v>
          </cell>
          <cell r="AS435">
            <v>-7.6563897285253923E-2</v>
          </cell>
          <cell r="AT435">
            <v>-7.9169404483578162E-2</v>
          </cell>
        </row>
        <row r="436">
          <cell r="B436">
            <v>-11331.846</v>
          </cell>
          <cell r="C436">
            <v>-13428.981400000001</v>
          </cell>
          <cell r="D436">
            <v>-7373.2137999999995</v>
          </cell>
          <cell r="E436">
            <v>-5578</v>
          </cell>
          <cell r="F436">
            <v>-9191</v>
          </cell>
          <cell r="G436">
            <v>-13477</v>
          </cell>
          <cell r="H436">
            <v>-11790.7672</v>
          </cell>
          <cell r="I436">
            <v>-6946</v>
          </cell>
          <cell r="J436">
            <v>-1331.414</v>
          </cell>
          <cell r="K436">
            <v>-2467.3119999999999</v>
          </cell>
          <cell r="L436">
            <v>-2678.8</v>
          </cell>
          <cell r="M436">
            <v>-1959.2670000000001</v>
          </cell>
          <cell r="N436">
            <v>-8436.7929999999997</v>
          </cell>
          <cell r="O436">
            <v>-867.83999999999992</v>
          </cell>
          <cell r="P436">
            <v>-2240.9499999999998</v>
          </cell>
          <cell r="Q436">
            <v>-1592</v>
          </cell>
          <cell r="R436">
            <v>-1594</v>
          </cell>
          <cell r="S436">
            <v>-6294.7899999999991</v>
          </cell>
          <cell r="T436">
            <v>-1543.63</v>
          </cell>
          <cell r="U436">
            <v>-2885.46</v>
          </cell>
          <cell r="V436">
            <v>-3422.37</v>
          </cell>
          <cell r="W436">
            <v>-2654.84</v>
          </cell>
          <cell r="X436">
            <v>-10609.3</v>
          </cell>
          <cell r="Y436">
            <v>-2474.1064985130638</v>
          </cell>
          <cell r="Z436">
            <v>-2743.1864275368516</v>
          </cell>
          <cell r="AA436">
            <v>-3087.9997636066387</v>
          </cell>
          <cell r="AB436">
            <v>-2736.7150635133848</v>
          </cell>
          <cell r="AC436">
            <v>-9446.7798371192439</v>
          </cell>
          <cell r="AD436">
            <v>-2350.1480336776267</v>
          </cell>
          <cell r="AE436">
            <v>-2776.3867040862519</v>
          </cell>
          <cell r="AF436">
            <v>-2834.2470889046399</v>
          </cell>
          <cell r="AG436">
            <v>-2731.877187264286</v>
          </cell>
          <cell r="AH436">
            <v>-9726.9816555454254</v>
          </cell>
          <cell r="AM436">
            <v>-11278.929999999998</v>
          </cell>
          <cell r="AN436">
            <v>-8429.0418579887428</v>
          </cell>
          <cell r="AO436">
            <v>-10265.200954131698</v>
          </cell>
          <cell r="AP436">
            <v>-11244.058406570688</v>
          </cell>
          <cell r="AQ436">
            <v>-12431.513229464341</v>
          </cell>
          <cell r="AR436">
            <v>-14275.681934142523</v>
          </cell>
          <cell r="AS436">
            <v>-15820.101165268123</v>
          </cell>
          <cell r="AT436">
            <v>-17474.605744648008</v>
          </cell>
        </row>
        <row r="437">
          <cell r="B437">
            <v>-0.23594452469844915</v>
          </cell>
          <cell r="C437">
            <v>-0.23850166210237031</v>
          </cell>
          <cell r="D437">
            <v>-0.16568251878442794</v>
          </cell>
          <cell r="E437">
            <v>-0.11526512525775456</v>
          </cell>
          <cell r="F437">
            <v>-0.17211610486891385</v>
          </cell>
          <cell r="G437">
            <v>-0.22309474087227071</v>
          </cell>
          <cell r="H437">
            <v>-0.19693360344094221</v>
          </cell>
          <cell r="I437">
            <v>-0.11906284726224785</v>
          </cell>
          <cell r="N437">
            <v>-0.10930168134208734</v>
          </cell>
          <cell r="S437">
            <v>-8.9233721889925635E-2</v>
          </cell>
          <cell r="X437">
            <v>-0.11996841862214198</v>
          </cell>
          <cell r="AC437">
            <v>-9.8969830232098849E-2</v>
          </cell>
          <cell r="AH437">
            <v>-0.10237353747024171</v>
          </cell>
          <cell r="AM437">
            <v>-0.1187073240053815</v>
          </cell>
          <cell r="AN437">
            <v>-8.703182556580305E-2</v>
          </cell>
          <cell r="AO437">
            <v>-0.10720871627116087</v>
          </cell>
          <cell r="AP437">
            <v>-0.11212726947632244</v>
          </cell>
          <cell r="AQ437">
            <v>-0.1157940856957646</v>
          </cell>
          <cell r="AR437">
            <v>-0.1278998771345404</v>
          </cell>
          <cell r="AS437">
            <v>-0.13643400651204002</v>
          </cell>
          <cell r="AT437">
            <v>-0.14504260669515201</v>
          </cell>
        </row>
        <row r="438">
          <cell r="B438">
            <v>-0.27435593087326765</v>
          </cell>
          <cell r="C438">
            <v>-0.27323035748917751</v>
          </cell>
          <cell r="D438">
            <v>-0.21169687536756615</v>
          </cell>
          <cell r="E438">
            <v>-0.16060875412642131</v>
          </cell>
          <cell r="F438">
            <v>-0.22047550590219223</v>
          </cell>
          <cell r="G438">
            <v>-0.27550113568439927</v>
          </cell>
          <cell r="H438">
            <v>-0.23954926224799286</v>
          </cell>
          <cell r="I438">
            <v>-0.14748546378798261</v>
          </cell>
          <cell r="N438">
            <v>-0.13220886587989483</v>
          </cell>
          <cell r="S438">
            <v>-0.12157549063967447</v>
          </cell>
          <cell r="X438">
            <v>-0.15157671721587088</v>
          </cell>
          <cell r="AC438">
            <v>-0.11688286281080534</v>
          </cell>
          <cell r="AH438">
            <v>-0.11832974529205748</v>
          </cell>
          <cell r="AM438">
            <v>-0.13720935859954678</v>
          </cell>
          <cell r="AN438">
            <v>-9.7972461812279615E-2</v>
          </cell>
          <cell r="AO438">
            <v>-0.12086073287946175</v>
          </cell>
          <cell r="AP438">
            <v>-0.12802555205169786</v>
          </cell>
          <cell r="AQ438">
            <v>-0.13240539566575957</v>
          </cell>
          <cell r="AR438">
            <v>-0.14658599873665831</v>
          </cell>
          <cell r="AS438">
            <v>-0.15674908999703077</v>
          </cell>
          <cell r="AT438">
            <v>-0.1670495405209402</v>
          </cell>
        </row>
        <row r="439">
          <cell r="B439">
            <v>8410</v>
          </cell>
          <cell r="C439">
            <v>7475</v>
          </cell>
          <cell r="D439">
            <v>9549</v>
          </cell>
          <cell r="E439">
            <v>14030</v>
          </cell>
          <cell r="F439">
            <v>11115</v>
          </cell>
          <cell r="G439">
            <v>9724</v>
          </cell>
          <cell r="H439">
            <v>9798</v>
          </cell>
          <cell r="I439">
            <v>9487</v>
          </cell>
          <cell r="J439">
            <v>2389</v>
          </cell>
          <cell r="K439">
            <v>2976</v>
          </cell>
          <cell r="L439">
            <v>2565</v>
          </cell>
          <cell r="M439">
            <v>2525</v>
          </cell>
          <cell r="N439">
            <v>10455</v>
          </cell>
          <cell r="O439">
            <v>2810</v>
          </cell>
          <cell r="P439">
            <v>3430</v>
          </cell>
          <cell r="Q439">
            <v>3968</v>
          </cell>
          <cell r="R439">
            <v>4911</v>
          </cell>
          <cell r="S439">
            <v>15119.06</v>
          </cell>
          <cell r="T439">
            <v>3568</v>
          </cell>
          <cell r="U439">
            <v>3988</v>
          </cell>
          <cell r="V439">
            <v>3972</v>
          </cell>
          <cell r="W439">
            <v>3663</v>
          </cell>
          <cell r="X439">
            <v>15191</v>
          </cell>
          <cell r="Y439">
            <v>2718.8724000000002</v>
          </cell>
          <cell r="Z439">
            <v>2632.1308800000006</v>
          </cell>
          <cell r="AA439">
            <v>2623.6531760000003</v>
          </cell>
          <cell r="AB439">
            <v>3238.0462400000006</v>
          </cell>
          <cell r="AC439">
            <v>11212.702696000004</v>
          </cell>
          <cell r="AD439">
            <v>2649.5828800000004</v>
          </cell>
          <cell r="AE439">
            <v>2496.9072970000002</v>
          </cell>
          <cell r="AF439">
            <v>2495.3433880000002</v>
          </cell>
          <cell r="AG439">
            <v>2252.5429360000003</v>
          </cell>
          <cell r="AH439">
            <v>9894.3765010000006</v>
          </cell>
          <cell r="AM439">
            <v>9697.7563770000015</v>
          </cell>
          <cell r="AN439">
            <v>6203.365730999999</v>
          </cell>
          <cell r="AO439">
            <v>6735.8457309999994</v>
          </cell>
          <cell r="AP439">
            <v>8076.8975820498745</v>
          </cell>
          <cell r="AQ439">
            <v>7804.4310655457566</v>
          </cell>
          <cell r="AR439">
            <v>7895.3497431124124</v>
          </cell>
          <cell r="AS439">
            <v>8269.4288487404156</v>
          </cell>
          <cell r="AT439">
            <v>9119.7289412931441</v>
          </cell>
        </row>
        <row r="440">
          <cell r="X440">
            <v>103</v>
          </cell>
          <cell r="AC440">
            <v>-1595.2279160506928</v>
          </cell>
          <cell r="AH440">
            <v>-958.17735838738076</v>
          </cell>
          <cell r="AM440">
            <v>98</v>
          </cell>
          <cell r="AN440">
            <v>-893.43710867713469</v>
          </cell>
          <cell r="AO440">
            <v>-893.43710867713469</v>
          </cell>
          <cell r="AP440">
            <v>-1414.5955320104681</v>
          </cell>
          <cell r="AQ440">
            <v>-2281.1509086771348</v>
          </cell>
          <cell r="AR440">
            <v>-1502.558158677135</v>
          </cell>
          <cell r="AS440">
            <v>-1586.75</v>
          </cell>
          <cell r="AT440">
            <v>-1836.6750000000002</v>
          </cell>
        </row>
        <row r="441">
          <cell r="B441">
            <v>-3074</v>
          </cell>
          <cell r="C441">
            <v>-1763</v>
          </cell>
          <cell r="D441">
            <v>-2368</v>
          </cell>
          <cell r="E441">
            <v>-765</v>
          </cell>
          <cell r="F441">
            <v>-592</v>
          </cell>
          <cell r="G441">
            <v>-1745</v>
          </cell>
          <cell r="H441">
            <v>-1713.7672000000002</v>
          </cell>
          <cell r="I441">
            <v>-1895</v>
          </cell>
          <cell r="J441">
            <v>-303.41399999999999</v>
          </cell>
          <cell r="K441">
            <v>-656.31200000000001</v>
          </cell>
          <cell r="L441">
            <v>-305.79999999999995</v>
          </cell>
          <cell r="M441">
            <v>-645.26700000000005</v>
          </cell>
          <cell r="N441">
            <v>-1910.7930000000001</v>
          </cell>
          <cell r="O441">
            <v>-226.83999999999997</v>
          </cell>
          <cell r="P441">
            <v>-719.95</v>
          </cell>
          <cell r="Q441">
            <v>-189</v>
          </cell>
          <cell r="R441">
            <v>-589</v>
          </cell>
          <cell r="S441">
            <v>-1724.73</v>
          </cell>
          <cell r="T441">
            <v>-481.63</v>
          </cell>
          <cell r="U441">
            <v>-619.46</v>
          </cell>
          <cell r="V441">
            <v>-435.37</v>
          </cell>
          <cell r="W441">
            <v>-469.84000000000003</v>
          </cell>
          <cell r="X441">
            <v>-2006.3000000000002</v>
          </cell>
          <cell r="Y441">
            <v>-162.01822870767325</v>
          </cell>
          <cell r="Z441">
            <v>-288.15136491392332</v>
          </cell>
          <cell r="AA441">
            <v>-195.14701808105872</v>
          </cell>
          <cell r="AB441">
            <v>-377.23345189118737</v>
          </cell>
          <cell r="AC441">
            <v>-1022.5500635938424</v>
          </cell>
          <cell r="AD441">
            <v>-280</v>
          </cell>
          <cell r="AE441">
            <v>-475</v>
          </cell>
          <cell r="AF441">
            <v>-148.04669720903149</v>
          </cell>
          <cell r="AG441">
            <v>-268.15068426827833</v>
          </cell>
          <cell r="AH441">
            <v>-1171.1973814773098</v>
          </cell>
          <cell r="AM441">
            <v>-1468.67</v>
          </cell>
          <cell r="AN441">
            <v>-1545.5097056658749</v>
          </cell>
          <cell r="AO441">
            <v>-1545.4697056658749</v>
          </cell>
          <cell r="AP441">
            <v>-2189.5578306820817</v>
          </cell>
          <cell r="AQ441">
            <v>-2245.1656492586735</v>
          </cell>
          <cell r="AR441">
            <v>-3472.2069980118058</v>
          </cell>
          <cell r="AS441">
            <v>-4204.2249111667825</v>
          </cell>
          <cell r="AT441">
            <v>-4885.3939689609197</v>
          </cell>
        </row>
        <row r="442">
          <cell r="B442">
            <v>1380</v>
          </cell>
          <cell r="C442">
            <v>3648</v>
          </cell>
          <cell r="D442">
            <v>-3403</v>
          </cell>
          <cell r="E442">
            <v>-10045</v>
          </cell>
          <cell r="F442">
            <v>-4433</v>
          </cell>
          <cell r="G442">
            <v>471</v>
          </cell>
          <cell r="H442">
            <v>-1482.2327999999998</v>
          </cell>
          <cell r="I442">
            <v>-5664</v>
          </cell>
          <cell r="J442">
            <v>-1722.5860000000002</v>
          </cell>
          <cell r="K442">
            <v>-1409.6880000000001</v>
          </cell>
          <cell r="L442">
            <v>-704.19999999999982</v>
          </cell>
          <cell r="M442">
            <v>-1157.7330000000002</v>
          </cell>
          <cell r="N442">
            <v>-4994.2069999999985</v>
          </cell>
          <cell r="O442">
            <v>-2644.16</v>
          </cell>
          <cell r="P442">
            <v>-1903.0500000000002</v>
          </cell>
          <cell r="Q442">
            <v>-3192</v>
          </cell>
          <cell r="R442">
            <v>-4126</v>
          </cell>
          <cell r="S442">
            <v>-11865.27</v>
          </cell>
          <cell r="T442">
            <v>-2794.37</v>
          </cell>
          <cell r="U442">
            <v>-1951.54</v>
          </cell>
          <cell r="V442">
            <v>-1706.63</v>
          </cell>
          <cell r="W442">
            <v>-2091.16</v>
          </cell>
          <cell r="X442">
            <v>-8543.7000000000007</v>
          </cell>
          <cell r="Y442">
            <v>-1050.2955606477908</v>
          </cell>
          <cell r="Z442">
            <v>-810.58791782533081</v>
          </cell>
          <cell r="AA442">
            <v>-656.49095420995127</v>
          </cell>
          <cell r="AB442">
            <v>-1578.4081324447466</v>
          </cell>
          <cell r="AC442">
            <v>-4095.7825651278217</v>
          </cell>
          <cell r="AD442">
            <v>-1027.4348463223737</v>
          </cell>
          <cell r="AE442">
            <v>-365.52059291374826</v>
          </cell>
          <cell r="AF442">
            <v>-478.78334029609232</v>
          </cell>
          <cell r="AG442">
            <v>-383.03327564547089</v>
          </cell>
          <cell r="AH442">
            <v>-2254.7720551776838</v>
          </cell>
          <cell r="AM442">
            <v>-1983.826377000003</v>
          </cell>
          <cell r="AN442">
            <v>-95.705132129744015</v>
          </cell>
          <cell r="AO442">
            <v>773.69847089431278</v>
          </cell>
          <cell r="AP442">
            <v>681.98161860163964</v>
          </cell>
          <cell r="AQ442">
            <v>1243.8306669583908</v>
          </cell>
          <cell r="AR442">
            <v>1772.1747079612178</v>
          </cell>
          <cell r="AS442" t="e">
            <v>#REF!</v>
          </cell>
          <cell r="AT442" t="e">
            <v>#REF!</v>
          </cell>
        </row>
        <row r="443">
          <cell r="B443">
            <v>-3074</v>
          </cell>
          <cell r="C443">
            <v>-1763</v>
          </cell>
          <cell r="D443">
            <v>-2368</v>
          </cell>
          <cell r="E443">
            <v>-765</v>
          </cell>
          <cell r="F443">
            <v>-592</v>
          </cell>
          <cell r="G443">
            <v>-1745</v>
          </cell>
          <cell r="H443">
            <v>-1713.7672000000002</v>
          </cell>
          <cell r="I443">
            <v>-1895</v>
          </cell>
          <cell r="J443">
            <v>-303.41399999999999</v>
          </cell>
          <cell r="K443">
            <v>-656.31200000000001</v>
          </cell>
          <cell r="L443">
            <v>-305.79999999999995</v>
          </cell>
          <cell r="M443">
            <v>-645.26700000000005</v>
          </cell>
          <cell r="N443">
            <v>-1910.7930000000001</v>
          </cell>
          <cell r="O443">
            <v>-226.83999999999997</v>
          </cell>
          <cell r="P443">
            <v>-719.95</v>
          </cell>
          <cell r="Q443">
            <v>-189</v>
          </cell>
          <cell r="R443">
            <v>-589</v>
          </cell>
          <cell r="S443">
            <v>-1724.73</v>
          </cell>
          <cell r="T443">
            <v>-481.63</v>
          </cell>
          <cell r="U443">
            <v>-619.46</v>
          </cell>
          <cell r="V443">
            <v>-435.37</v>
          </cell>
          <cell r="W443">
            <v>-469.84000000000003</v>
          </cell>
          <cell r="X443">
            <v>-2006.3000000000002</v>
          </cell>
          <cell r="Y443">
            <v>-162.01822870767325</v>
          </cell>
          <cell r="Z443">
            <v>-288.15136491392332</v>
          </cell>
          <cell r="AA443">
            <v>-195.14701808105872</v>
          </cell>
          <cell r="AB443">
            <v>-377.23345189118737</v>
          </cell>
          <cell r="AC443">
            <v>-1022.5500635938424</v>
          </cell>
          <cell r="AD443">
            <v>-280</v>
          </cell>
          <cell r="AE443">
            <v>-475</v>
          </cell>
          <cell r="AF443">
            <v>-148.04669720903149</v>
          </cell>
          <cell r="AG443">
            <v>-268.15068426827833</v>
          </cell>
          <cell r="AH443">
            <v>-1171.1973814773098</v>
          </cell>
          <cell r="AM443">
            <v>-1468.67</v>
          </cell>
          <cell r="AN443">
            <v>-1545.5097056658749</v>
          </cell>
          <cell r="AO443">
            <v>-1545.4697056658749</v>
          </cell>
          <cell r="AP443">
            <v>-2189.5578306820817</v>
          </cell>
          <cell r="AQ443">
            <v>-2245.1656492586735</v>
          </cell>
          <cell r="AR443">
            <v>-3472.2069980118058</v>
          </cell>
          <cell r="AS443">
            <v>-4204.2249111667825</v>
          </cell>
          <cell r="AT443">
            <v>-4885.3939689609197</v>
          </cell>
        </row>
        <row r="444">
          <cell r="B444">
            <v>9402</v>
          </cell>
          <cell r="C444">
            <v>6607</v>
          </cell>
          <cell r="D444">
            <v>7546</v>
          </cell>
          <cell r="E444">
            <v>11759</v>
          </cell>
          <cell r="F444">
            <v>14105</v>
          </cell>
          <cell r="G444">
            <v>13001</v>
          </cell>
          <cell r="H444">
            <v>12656</v>
          </cell>
          <cell r="I444">
            <v>11507</v>
          </cell>
          <cell r="J444">
            <v>11188</v>
          </cell>
          <cell r="K444">
            <v>10548</v>
          </cell>
          <cell r="L444">
            <v>9207</v>
          </cell>
          <cell r="M444">
            <v>9723</v>
          </cell>
          <cell r="N444">
            <v>9723</v>
          </cell>
          <cell r="O444">
            <v>9982</v>
          </cell>
          <cell r="P444">
            <v>10708</v>
          </cell>
          <cell r="Q444">
            <v>12684</v>
          </cell>
          <cell r="R444">
            <v>15229</v>
          </cell>
          <cell r="S444">
            <v>15229</v>
          </cell>
          <cell r="T444">
            <v>15976</v>
          </cell>
          <cell r="U444">
            <v>16655</v>
          </cell>
          <cell r="V444">
            <v>18330</v>
          </cell>
          <cell r="W444">
            <v>17818</v>
          </cell>
          <cell r="X444">
            <v>17818</v>
          </cell>
          <cell r="Y444">
            <v>15764</v>
          </cell>
          <cell r="Z444">
            <v>15725.054313912</v>
          </cell>
          <cell r="AA444">
            <v>16232.75346136</v>
          </cell>
          <cell r="AB444">
            <v>16674.507529126</v>
          </cell>
          <cell r="AC444">
            <v>16674.507529126</v>
          </cell>
          <cell r="AD444">
            <v>15796</v>
          </cell>
          <cell r="AE444">
            <v>15499</v>
          </cell>
          <cell r="AF444">
            <v>13064.159296965434</v>
          </cell>
          <cell r="AG444">
            <v>13416.830994935679</v>
          </cell>
          <cell r="AH444">
            <v>13416.830994935679</v>
          </cell>
          <cell r="AM444">
            <v>14849</v>
          </cell>
          <cell r="AN444">
            <v>15522</v>
          </cell>
          <cell r="AO444">
            <v>14383</v>
          </cell>
          <cell r="AP444">
            <v>13841</v>
          </cell>
          <cell r="AQ444">
            <v>11240.404022925053</v>
          </cell>
          <cell r="AR444">
            <v>8463.0829157836779</v>
          </cell>
          <cell r="AS444">
            <v>2849.4439714920627</v>
          </cell>
          <cell r="AT444">
            <v>-2476.9167282660801</v>
          </cell>
        </row>
        <row r="445">
          <cell r="B445">
            <v>10.150607287449393</v>
          </cell>
          <cell r="C445">
            <v>5.3029228814126146</v>
          </cell>
          <cell r="D445">
            <v>9.7242268041237114</v>
          </cell>
          <cell r="E445">
            <v>14.865992414664982</v>
          </cell>
          <cell r="F445">
            <v>12.32774945375091</v>
          </cell>
          <cell r="G445">
            <v>9.0773258858439512</v>
          </cell>
          <cell r="H445">
            <v>9.4465385333084537</v>
          </cell>
          <cell r="I445">
            <v>10.43718820861678</v>
          </cell>
          <cell r="J445">
            <v>9.3545150501672243</v>
          </cell>
          <cell r="K445">
            <v>7.3013382556529764</v>
          </cell>
          <cell r="L445">
            <v>5.5264105642256904</v>
          </cell>
          <cell r="M445">
            <v>7.1143902439024389</v>
          </cell>
          <cell r="N445">
            <v>6.8552291421856646</v>
          </cell>
          <cell r="O445">
            <v>9.2855813953488369</v>
          </cell>
          <cell r="P445">
            <v>7.8370334227860461</v>
          </cell>
          <cell r="Q445">
            <v>9.7619291944586966</v>
          </cell>
          <cell r="R445">
            <v>12.301292407108239</v>
          </cell>
          <cell r="S445">
            <v>12.235404392072843</v>
          </cell>
          <cell r="T445">
            <v>13.287496534516219</v>
          </cell>
          <cell r="U445">
            <v>11.207940780619111</v>
          </cell>
          <cell r="V445">
            <v>10.128937189169276</v>
          </cell>
          <cell r="W445">
            <v>10.935761047463176</v>
          </cell>
          <cell r="X445">
            <v>11.631813730823632</v>
          </cell>
          <cell r="Y445">
            <v>10.525100056695507</v>
          </cell>
          <cell r="Z445">
            <v>9.4557215562051766</v>
          </cell>
          <cell r="AA445">
            <v>8.5593885736559105</v>
          </cell>
          <cell r="AB445">
            <v>8.9882428099897105</v>
          </cell>
          <cell r="AC445">
            <v>9.6490342922486185</v>
          </cell>
          <cell r="AD445">
            <v>10.948793717606382</v>
          </cell>
          <cell r="AE445">
            <v>10.186910753721572</v>
          </cell>
          <cell r="AF445">
            <v>7.8401162812221141</v>
          </cell>
          <cell r="AG445">
            <v>8.3264357349801941</v>
          </cell>
          <cell r="AH445">
            <v>8.5979783231882241</v>
          </cell>
          <cell r="AM445">
            <v>9.3350796311818947</v>
          </cell>
          <cell r="AN445">
            <v>9.6534853589012677</v>
          </cell>
          <cell r="AO445">
            <v>8.6072731839991388</v>
          </cell>
          <cell r="AP445">
            <v>7.7704551526048498</v>
          </cell>
          <cell r="AQ445">
            <v>5.0474351905494093</v>
          </cell>
          <cell r="AR445">
            <v>3.5986773706136828</v>
          </cell>
          <cell r="AS445">
            <v>1.123863726436451</v>
          </cell>
          <cell r="AT445">
            <v>-0.92366581096971967</v>
          </cell>
        </row>
        <row r="446">
          <cell r="B446">
            <v>7.108366935483871</v>
          </cell>
          <cell r="C446">
            <v>4.262351486479222</v>
          </cell>
          <cell r="D446">
            <v>6.6357907078997505</v>
          </cell>
          <cell r="E446">
            <v>10.353510895883778</v>
          </cell>
          <cell r="F446">
            <v>9.8464223385689351</v>
          </cell>
          <cell r="G446">
            <v>7.2868752919196638</v>
          </cell>
          <cell r="H446">
            <v>7.5322994355655704</v>
          </cell>
          <cell r="I446">
            <v>7.948653004835367</v>
          </cell>
          <cell r="J446">
            <v>7.5672755688645985</v>
          </cell>
          <cell r="K446">
            <v>5.7804524111888398</v>
          </cell>
          <cell r="L446">
            <v>4.7370858201275983</v>
          </cell>
          <cell r="M446">
            <v>5.5325346762597576</v>
          </cell>
          <cell r="N446">
            <v>5.5526173983629876</v>
          </cell>
          <cell r="O446">
            <v>7.7084255722243382</v>
          </cell>
          <cell r="P446">
            <v>6.110767650443699</v>
          </cell>
          <cell r="Q446">
            <v>8.3101113780301379</v>
          </cell>
          <cell r="R446">
            <v>9.5280500521376439</v>
          </cell>
          <cell r="S446">
            <v>9.8698462231425168</v>
          </cell>
          <cell r="T446">
            <v>10.435850482185588</v>
          </cell>
          <cell r="U446">
            <v>8.7040062991467586</v>
          </cell>
          <cell r="V446">
            <v>8.338931543119358</v>
          </cell>
          <cell r="W446">
            <v>8.7977958603254862</v>
          </cell>
          <cell r="X446">
            <v>9.2950141936156996</v>
          </cell>
          <cell r="Y446">
            <v>8.8241698948860279</v>
          </cell>
          <cell r="Z446">
            <v>7.8746135898082441</v>
          </cell>
          <cell r="AA446">
            <v>7.3588562081472029</v>
          </cell>
          <cell r="AB446">
            <v>7.4902185063172784</v>
          </cell>
          <cell r="AC446">
            <v>8.1186210508413428</v>
          </cell>
          <cell r="AD446">
            <v>8.9696521274670733</v>
          </cell>
          <cell r="AE446">
            <v>8.1197799594673796</v>
          </cell>
          <cell r="AF446">
            <v>6.5799795959563339</v>
          </cell>
          <cell r="AG446">
            <v>6.7547683696115968</v>
          </cell>
          <cell r="AH446">
            <v>7.0230837795787524</v>
          </cell>
          <cell r="AM446">
            <v>7.7035382027412096</v>
          </cell>
          <cell r="AN446">
            <v>7.941552958393868</v>
          </cell>
          <cell r="AO446">
            <v>7.1286318879204966</v>
          </cell>
          <cell r="AP446">
            <v>6.3021725790051937</v>
          </cell>
          <cell r="AQ446">
            <v>4.2315464216780638</v>
          </cell>
          <cell r="AR446">
            <v>2.9886835491477184</v>
          </cell>
          <cell r="AS446">
            <v>0.92966941592682828</v>
          </cell>
          <cell r="AT446">
            <v>-0.76169771099760619</v>
          </cell>
        </row>
        <row r="447">
          <cell r="B447">
            <v>6.2468301865898903</v>
          </cell>
          <cell r="C447">
            <v>3.8407208254614154</v>
          </cell>
          <cell r="D447">
            <v>5.6779533483822426</v>
          </cell>
          <cell r="E447">
            <v>8.8000000000000007</v>
          </cell>
          <cell r="F447">
            <v>8.9557656464452204</v>
          </cell>
          <cell r="G447">
            <v>6.7606190079132471</v>
          </cell>
          <cell r="H447">
            <v>6.4173425740768284</v>
          </cell>
          <cell r="I447">
            <v>6.7962017085398232</v>
          </cell>
          <cell r="J447">
            <v>6.3299470769351478</v>
          </cell>
          <cell r="K447">
            <v>5.128571657785991</v>
          </cell>
          <cell r="L447">
            <v>4.0761188371410411</v>
          </cell>
          <cell r="M447">
            <v>4.9278368977046005</v>
          </cell>
          <cell r="N447">
            <v>4.737235130996269</v>
          </cell>
          <cell r="O447">
            <v>6.242275661872787</v>
          </cell>
          <cell r="P447">
            <v>4.9715323656613943</v>
          </cell>
          <cell r="Q447">
            <v>7.1525300013245428</v>
          </cell>
          <cell r="R447">
            <v>8.1623293089458944</v>
          </cell>
          <cell r="S447">
            <v>8.2407068460469333</v>
          </cell>
          <cell r="T447">
            <v>8.0161731907065441</v>
          </cell>
          <cell r="U447">
            <v>7.8796167605289069</v>
          </cell>
          <cell r="V447">
            <v>5.1601487296630433</v>
          </cell>
          <cell r="W447">
            <v>7.7024076175157488</v>
          </cell>
          <cell r="X447">
            <v>7.1469841096662048</v>
          </cell>
          <cell r="Y447">
            <v>7.2666359676178862</v>
          </cell>
          <cell r="Z447">
            <v>5.9501634233578358</v>
          </cell>
          <cell r="AA447">
            <v>6.6941519905597104</v>
          </cell>
          <cell r="AB447">
            <v>6.0550438425526103</v>
          </cell>
          <cell r="AC447">
            <v>6.6759038292100543</v>
          </cell>
          <cell r="AD447">
            <v>7.5776300091883311</v>
          </cell>
          <cell r="AE447">
            <v>6.5566155682498168</v>
          </cell>
          <cell r="AF447">
            <v>5.6670165328806643</v>
          </cell>
          <cell r="AG447">
            <v>5.2088549476925001</v>
          </cell>
          <cell r="AH447">
            <v>5.7510278001643327</v>
          </cell>
          <cell r="AN447">
            <v>6.7916232497588549</v>
          </cell>
          <cell r="AO447">
            <v>6.1241492683538512</v>
          </cell>
          <cell r="AP447">
            <v>5.3645576005291513</v>
          </cell>
          <cell r="AQ447">
            <v>3.7007498255605173</v>
          </cell>
          <cell r="AR447">
            <v>2.6029432869297775</v>
          </cell>
          <cell r="AS447">
            <v>0.81357019032509292</v>
          </cell>
          <cell r="AT447">
            <v>-0.6577820232094167</v>
          </cell>
        </row>
        <row r="448">
          <cell r="B448">
            <v>5446</v>
          </cell>
          <cell r="C448">
            <v>2044.3</v>
          </cell>
          <cell r="D448">
            <v>3184</v>
          </cell>
          <cell r="E448">
            <v>7360</v>
          </cell>
          <cell r="F448">
            <v>9743</v>
          </cell>
          <cell r="G448">
            <v>8613</v>
          </cell>
          <cell r="H448">
            <v>8324</v>
          </cell>
          <cell r="I448">
            <v>7230</v>
          </cell>
          <cell r="J448">
            <v>6983</v>
          </cell>
          <cell r="K448">
            <v>6261</v>
          </cell>
          <cell r="L448">
            <v>4934</v>
          </cell>
          <cell r="M448">
            <v>5464</v>
          </cell>
          <cell r="N448">
            <v>5464</v>
          </cell>
          <cell r="O448">
            <v>5752</v>
          </cell>
          <cell r="P448">
            <v>6451</v>
          </cell>
          <cell r="Q448">
            <v>8427</v>
          </cell>
          <cell r="R448">
            <v>10965</v>
          </cell>
          <cell r="S448">
            <v>10965</v>
          </cell>
          <cell r="T448">
            <v>11722</v>
          </cell>
          <cell r="U448">
            <v>12404</v>
          </cell>
          <cell r="V448">
            <v>14082</v>
          </cell>
          <cell r="W448">
            <v>13720</v>
          </cell>
          <cell r="X448">
            <v>13720</v>
          </cell>
          <cell r="Y448">
            <v>11777</v>
          </cell>
          <cell r="Z448">
            <v>11738.054313912</v>
          </cell>
          <cell r="AA448">
            <v>12245.75346136</v>
          </cell>
          <cell r="AB448">
            <v>12687.507529126</v>
          </cell>
          <cell r="AC448">
            <v>12687.507529126</v>
          </cell>
          <cell r="AD448">
            <v>11956</v>
          </cell>
          <cell r="AE448">
            <v>11908</v>
          </cell>
          <cell r="AF448">
            <v>9473.1592969654339</v>
          </cell>
          <cell r="AG448">
            <v>9825.830994935679</v>
          </cell>
          <cell r="AH448">
            <v>9318.830994935679</v>
          </cell>
          <cell r="AM448">
            <v>10751</v>
          </cell>
          <cell r="AN448">
            <v>11424</v>
          </cell>
          <cell r="AO448">
            <v>10285</v>
          </cell>
          <cell r="AP448">
            <v>9743</v>
          </cell>
          <cell r="AQ448">
            <v>7142.4040229250531</v>
          </cell>
          <cell r="AR448">
            <v>4365.0829157836779</v>
          </cell>
          <cell r="AS448">
            <v>-1248.5560285079373</v>
          </cell>
          <cell r="AT448">
            <v>-6574.9167282660801</v>
          </cell>
        </row>
        <row r="449">
          <cell r="B449">
            <v>5.8796221322537114</v>
          </cell>
          <cell r="C449">
            <v>1.6407999464918732</v>
          </cell>
          <cell r="D449">
            <v>4.1030927835051543</v>
          </cell>
          <cell r="E449">
            <v>9.3046776232616946</v>
          </cell>
          <cell r="F449">
            <v>8.5153678077203203</v>
          </cell>
          <cell r="G449">
            <v>6.0136149415255717</v>
          </cell>
          <cell r="H449">
            <v>6.2130994588542636</v>
          </cell>
          <cell r="I449">
            <v>6.5578231292517009</v>
          </cell>
          <cell r="J449">
            <v>5.8386287625418056</v>
          </cell>
          <cell r="K449">
            <v>4.3338717120443002</v>
          </cell>
          <cell r="L449">
            <v>2.9615846338535414</v>
          </cell>
          <cell r="M449">
            <v>3.9980487804878049</v>
          </cell>
          <cell r="N449">
            <v>3.8524089306698004</v>
          </cell>
          <cell r="O449">
            <v>5.3506976744186048</v>
          </cell>
          <cell r="P449">
            <v>4.7213954623078802</v>
          </cell>
          <cell r="Q449">
            <v>6.485633658286301</v>
          </cell>
          <cell r="R449">
            <v>8.8570274636510504</v>
          </cell>
          <cell r="S449">
            <v>8.809587573647562</v>
          </cell>
          <cell r="T449">
            <v>9.7493762129193247</v>
          </cell>
          <cell r="U449">
            <v>8.347240915208614</v>
          </cell>
          <cell r="V449">
            <v>7.7815435623503406</v>
          </cell>
          <cell r="W449">
            <v>8.4206219312602304</v>
          </cell>
          <cell r="X449">
            <v>8.9565879664889572</v>
          </cell>
          <cell r="Y449">
            <v>7.863112367908081</v>
          </cell>
          <cell r="Z449">
            <v>7.0582759835538456</v>
          </cell>
          <cell r="AA449">
            <v>6.4570784311160523</v>
          </cell>
          <cell r="AB449">
            <v>6.8390864393543165</v>
          </cell>
          <cell r="AC449">
            <v>7.3418777147007059</v>
          </cell>
          <cell r="AD449">
            <v>8.2871472326982705</v>
          </cell>
          <cell r="AE449">
            <v>7.8266812862324331</v>
          </cell>
          <cell r="AF449">
            <v>5.6850707918113841</v>
          </cell>
          <cell r="AG449">
            <v>6.0978744051400833</v>
          </cell>
          <cell r="AH449">
            <v>5.9718354447600044</v>
          </cell>
          <cell r="AM449">
            <v>6.7588013411567474</v>
          </cell>
          <cell r="AN449">
            <v>7.1048458149779723</v>
          </cell>
          <cell r="AO449">
            <v>6.1548915175854235</v>
          </cell>
          <cell r="AP449">
            <v>5.4698030887818119</v>
          </cell>
          <cell r="AQ449">
            <v>3.2072531678494056</v>
          </cell>
          <cell r="AR449">
            <v>1.8561232669228209</v>
          </cell>
          <cell r="AS449">
            <v>-0.49244934973361165</v>
          </cell>
          <cell r="AT449">
            <v>-2.4518489953933873</v>
          </cell>
        </row>
        <row r="450">
          <cell r="B450">
            <v>4.117439516129032</v>
          </cell>
          <cell r="C450">
            <v>1.3188323208429655</v>
          </cell>
          <cell r="D450">
            <v>2.7999413747618349</v>
          </cell>
          <cell r="E450">
            <v>6.4802993616552937</v>
          </cell>
          <cell r="F450">
            <v>6.8013961605584639</v>
          </cell>
          <cell r="G450">
            <v>4.8274638019616996</v>
          </cell>
          <cell r="H450">
            <v>4.9540818980442323</v>
          </cell>
          <cell r="I450">
            <v>4.994243610407552</v>
          </cell>
          <cell r="J450">
            <v>4.7231216747748919</v>
          </cell>
          <cell r="K450">
            <v>3.4311160927619766</v>
          </cell>
          <cell r="L450">
            <v>2.5385881868697262</v>
          </cell>
          <cell r="M450">
            <v>3.1090989891065837</v>
          </cell>
          <cell r="N450">
            <v>3.1203848055801053</v>
          </cell>
          <cell r="O450">
            <v>4.4418817763408533</v>
          </cell>
          <cell r="P450">
            <v>3.6814122257202371</v>
          </cell>
          <cell r="Q450">
            <v>5.5210744704083865</v>
          </cell>
          <cell r="R450">
            <v>6.8602711157455687</v>
          </cell>
          <cell r="S450">
            <v>7.1063670521214588</v>
          </cell>
          <cell r="T450">
            <v>7.6570505353141876</v>
          </cell>
          <cell r="U450">
            <v>6.4824073332102303</v>
          </cell>
          <cell r="V450">
            <v>6.4063739219970968</v>
          </cell>
          <cell r="W450">
            <v>6.7743719386948964</v>
          </cell>
          <cell r="X450">
            <v>7.1572339620837013</v>
          </cell>
          <cell r="Y450">
            <v>6.5923781306821079</v>
          </cell>
          <cell r="Z450">
            <v>5.8780491420282921</v>
          </cell>
          <cell r="AA450">
            <v>5.5514142500270074</v>
          </cell>
          <cell r="AB450">
            <v>5.6992509990296858</v>
          </cell>
          <cell r="AC450">
            <v>6.1773977749416273</v>
          </cell>
          <cell r="AD450">
            <v>6.7891340108886</v>
          </cell>
          <cell r="AE450">
            <v>6.2384889191133333</v>
          </cell>
          <cell r="AF450">
            <v>4.7713131374443263</v>
          </cell>
          <cell r="AG450">
            <v>4.946862074568374</v>
          </cell>
          <cell r="AH450">
            <v>4.877972363956296</v>
          </cell>
          <cell r="AM450">
            <v>5.5775297473008782</v>
          </cell>
          <cell r="AN450">
            <v>5.8448847440208445</v>
          </cell>
          <cell r="AO450">
            <v>5.0975442513566227</v>
          </cell>
          <cell r="AP450">
            <v>4.4362450283395418</v>
          </cell>
          <cell r="AQ450">
            <v>2.6888192029171005</v>
          </cell>
          <cell r="AR450">
            <v>1.5415010854658977</v>
          </cell>
          <cell r="AS450">
            <v>-0.40735819527874079</v>
          </cell>
          <cell r="AT450">
            <v>-2.021908514230097</v>
          </cell>
        </row>
        <row r="451">
          <cell r="B451">
            <v>3.6184042965505787</v>
          </cell>
          <cell r="C451">
            <v>1.1883737828803953</v>
          </cell>
          <cell r="D451">
            <v>2.3957863054928517</v>
          </cell>
          <cell r="E451">
            <v>5.5079513564078582</v>
          </cell>
          <cell r="F451">
            <v>6.1861768658855567</v>
          </cell>
          <cell r="G451">
            <v>4.4788255915050224</v>
          </cell>
          <cell r="H451">
            <v>4.2207616613950316</v>
          </cell>
          <cell r="I451">
            <v>4.2701432478267938</v>
          </cell>
          <cell r="J451">
            <v>3.9508420127134549</v>
          </cell>
          <cell r="K451">
            <v>3.0441777729804786</v>
          </cell>
          <cell r="L451">
            <v>2.1843782277021719</v>
          </cell>
          <cell r="M451">
            <v>2.7692791123169735</v>
          </cell>
          <cell r="N451">
            <v>2.6621673100651666</v>
          </cell>
          <cell r="O451">
            <v>3.5970316176209445</v>
          </cell>
          <cell r="P451">
            <v>2.9950836095332138</v>
          </cell>
          <cell r="Q451">
            <v>4.7520001829992058</v>
          </cell>
          <cell r="R451">
            <v>5.8769414191734013</v>
          </cell>
          <cell r="S451">
            <v>5.933373863477879</v>
          </cell>
          <cell r="T451">
            <v>5.8816713909277736</v>
          </cell>
          <cell r="U451">
            <v>5.8684338815731349</v>
          </cell>
          <cell r="V451">
            <v>3.9642779275021809</v>
          </cell>
          <cell r="W451">
            <v>5.9309143850216675</v>
          </cell>
          <cell r="X451">
            <v>5.50323391989114</v>
          </cell>
          <cell r="Y451">
            <v>5.4287726332552557</v>
          </cell>
          <cell r="Z451">
            <v>4.4415326043253307</v>
          </cell>
          <cell r="AA451">
            <v>5.0499710418443415</v>
          </cell>
          <cell r="AB451">
            <v>4.6072373776187314</v>
          </cell>
          <cell r="AC451">
            <v>5.0796450779055347</v>
          </cell>
          <cell r="AD451">
            <v>5.7355117998136036</v>
          </cell>
          <cell r="AE451">
            <v>5.0374977860970915</v>
          </cell>
          <cell r="AF451">
            <v>4.109300042520549</v>
          </cell>
          <cell r="AG451">
            <v>3.8147106729211955</v>
          </cell>
          <cell r="AH451">
            <v>3.9944496682664714</v>
          </cell>
          <cell r="AM451">
            <v>4.6343637667086375</v>
          </cell>
          <cell r="AN451">
            <v>4.9985507025670115</v>
          </cell>
          <cell r="AO451">
            <v>4.3792585152624186</v>
          </cell>
          <cell r="AP451">
            <v>3.7762361608233164</v>
          </cell>
          <cell r="AQ451">
            <v>2.3515391784862421</v>
          </cell>
          <cell r="AR451">
            <v>1.3425442460619992</v>
          </cell>
          <cell r="AS451">
            <v>-0.35648637976652153</v>
          </cell>
          <cell r="AT451">
            <v>-1.746066784804607</v>
          </cell>
        </row>
        <row r="452">
          <cell r="B452">
            <v>9091</v>
          </cell>
          <cell r="C452">
            <v>5413</v>
          </cell>
          <cell r="D452">
            <v>5344</v>
          </cell>
          <cell r="E452">
            <v>7397</v>
          </cell>
          <cell r="F452">
            <v>10264</v>
          </cell>
          <cell r="G452">
            <v>9180</v>
          </cell>
          <cell r="H452">
            <v>8324</v>
          </cell>
          <cell r="I452">
            <v>7262</v>
          </cell>
          <cell r="J452">
            <v>6810</v>
          </cell>
          <cell r="K452">
            <v>6544</v>
          </cell>
          <cell r="L452">
            <v>5399</v>
          </cell>
          <cell r="M452">
            <v>6194</v>
          </cell>
          <cell r="N452">
            <v>6194</v>
          </cell>
          <cell r="O452">
            <v>6561</v>
          </cell>
          <cell r="P452">
            <v>7679</v>
          </cell>
          <cell r="Q452">
            <v>9193</v>
          </cell>
          <cell r="R452">
            <v>12038</v>
          </cell>
          <cell r="S452">
            <v>12038</v>
          </cell>
          <cell r="T452">
            <v>13044</v>
          </cell>
          <cell r="U452">
            <v>14008</v>
          </cell>
          <cell r="V452">
            <v>15795</v>
          </cell>
          <cell r="W452">
            <v>15659</v>
          </cell>
          <cell r="X452">
            <v>15659</v>
          </cell>
          <cell r="Y452">
            <v>13889</v>
          </cell>
          <cell r="Z452">
            <v>14033</v>
          </cell>
          <cell r="AA452">
            <v>14579</v>
          </cell>
          <cell r="AB452">
            <v>15204</v>
          </cell>
          <cell r="AC452">
            <v>15204</v>
          </cell>
          <cell r="AD452">
            <v>13924</v>
          </cell>
          <cell r="AE452">
            <v>14100</v>
          </cell>
          <cell r="AF452">
            <v>11707.072198626121</v>
          </cell>
          <cell r="AG452">
            <v>12205.561629350095</v>
          </cell>
          <cell r="AH452">
            <v>12205.561629350095</v>
          </cell>
          <cell r="AM452">
            <v>13599</v>
          </cell>
          <cell r="AN452">
            <v>14737.755326592</v>
          </cell>
          <cell r="AO452">
            <v>13598.755326592</v>
          </cell>
          <cell r="AP452">
            <v>13598.667413839999</v>
          </cell>
          <cell r="AQ452">
            <v>11216.507229204452</v>
          </cell>
          <cell r="AR452">
            <v>8439.1844124789768</v>
          </cell>
          <cell r="AS452">
            <v>2825.5437869220627</v>
          </cell>
          <cell r="AT452">
            <v>-2500.8169128360801</v>
          </cell>
        </row>
        <row r="453">
          <cell r="B453">
            <v>9.8148448043184882</v>
          </cell>
          <cell r="C453">
            <v>4.3445923349608719</v>
          </cell>
          <cell r="D453">
            <v>6.8865979381443303</v>
          </cell>
          <cell r="E453">
            <v>9.3514538558786349</v>
          </cell>
          <cell r="F453">
            <v>8.9707210487982518</v>
          </cell>
          <cell r="G453">
            <v>6.4094955489614245</v>
          </cell>
          <cell r="H453">
            <v>6.2130994588542636</v>
          </cell>
          <cell r="I453">
            <v>6.5868480725623586</v>
          </cell>
          <cell r="J453">
            <v>5.6939799331103682</v>
          </cell>
          <cell r="K453">
            <v>4.5297646515920622</v>
          </cell>
          <cell r="L453">
            <v>3.2406962785114044</v>
          </cell>
          <cell r="M453">
            <v>4.5321951219512195</v>
          </cell>
          <cell r="N453">
            <v>4.3670975323149239</v>
          </cell>
          <cell r="O453">
            <v>6.1032558139534885</v>
          </cell>
          <cell r="P453">
            <v>5.620151256404001</v>
          </cell>
          <cell r="Q453">
            <v>7.0751667521806061</v>
          </cell>
          <cell r="R453">
            <v>9.7237479806138936</v>
          </cell>
          <cell r="S453">
            <v>9.6716657739689342</v>
          </cell>
          <cell r="T453">
            <v>10.848904907125036</v>
          </cell>
          <cell r="U453">
            <v>9.4266487213997312</v>
          </cell>
          <cell r="V453">
            <v>8.7281267268373544</v>
          </cell>
          <cell r="W453">
            <v>9.6106792144026194</v>
          </cell>
          <cell r="X453">
            <v>10.222391469916223</v>
          </cell>
          <cell r="Y453">
            <v>9.2732247327736559</v>
          </cell>
          <cell r="Z453">
            <v>8.4382627843030171</v>
          </cell>
          <cell r="AA453">
            <v>7.6873788733605695</v>
          </cell>
          <cell r="AB453">
            <v>8.1955789965238317</v>
          </cell>
          <cell r="AC453">
            <v>8.7980959631398203</v>
          </cell>
          <cell r="AD453">
            <v>9.6512410562136779</v>
          </cell>
          <cell r="AE453">
            <v>9.2674005824552665</v>
          </cell>
          <cell r="AF453">
            <v>7.0256956657908605</v>
          </cell>
          <cell r="AG453">
            <v>7.5747264428153391</v>
          </cell>
          <cell r="AH453">
            <v>7.8217542094032444</v>
          </cell>
          <cell r="AM453">
            <v>8.5492455993294207</v>
          </cell>
          <cell r="AN453">
            <v>9.1657457330450356</v>
          </cell>
          <cell r="AO453">
            <v>8.1379546727623424</v>
          </cell>
          <cell r="AP453">
            <v>7.6344075770849429</v>
          </cell>
          <cell r="AQ453">
            <v>5.0367044803969394</v>
          </cell>
          <cell r="AR453">
            <v>3.5885152342042934</v>
          </cell>
          <cell r="AS453">
            <v>1.1144371327704263</v>
          </cell>
          <cell r="AT453">
            <v>-0.93257841715920131</v>
          </cell>
        </row>
        <row r="454">
          <cell r="B454">
            <v>6.873235887096774</v>
          </cell>
          <cell r="C454">
            <v>3.4920703188000646</v>
          </cell>
          <cell r="D454">
            <v>4.6993990913088082</v>
          </cell>
          <cell r="E454">
            <v>6.5128769535549198</v>
          </cell>
          <cell r="F454">
            <v>7.165095986038394</v>
          </cell>
          <cell r="G454">
            <v>5.1452592246613733</v>
          </cell>
          <cell r="H454">
            <v>4.9540818980442323</v>
          </cell>
          <cell r="I454">
            <v>5.0163481464425512</v>
          </cell>
          <cell r="J454">
            <v>4.6061089224140073</v>
          </cell>
          <cell r="K454">
            <v>3.5862040745942139</v>
          </cell>
          <cell r="L454">
            <v>2.777834945462029</v>
          </cell>
          <cell r="M454">
            <v>3.5244800765970314</v>
          </cell>
          <cell r="N454">
            <v>3.537273697980083</v>
          </cell>
          <cell r="O454">
            <v>5.0666179302107679</v>
          </cell>
          <cell r="P454">
            <v>4.3821988034887154</v>
          </cell>
          <cell r="Q454">
            <v>6.0229307709106799</v>
          </cell>
          <cell r="R454">
            <v>7.5315954118873831</v>
          </cell>
          <cell r="S454">
            <v>7.8017735133094508</v>
          </cell>
          <cell r="T454">
            <v>8.520608017628243</v>
          </cell>
          <cell r="U454">
            <v>7.3206676816840464</v>
          </cell>
          <cell r="V454">
            <v>7.1856750531134885</v>
          </cell>
          <cell r="W454">
            <v>7.7317704218675933</v>
          </cell>
          <cell r="X454">
            <v>8.1687410067251225</v>
          </cell>
          <cell r="Y454">
            <v>7.7746064241355013</v>
          </cell>
          <cell r="Z454">
            <v>7.0272859031091226</v>
          </cell>
          <cell r="AA454">
            <v>6.6091538267956684</v>
          </cell>
          <cell r="AB454">
            <v>6.8296639028845147</v>
          </cell>
          <cell r="AC454">
            <v>7.4026482786002665</v>
          </cell>
          <cell r="AD454">
            <v>7.9066495456350676</v>
          </cell>
          <cell r="AE454">
            <v>7.3868570506800468</v>
          </cell>
          <cell r="AF454">
            <v>5.8964602653950138</v>
          </cell>
          <cell r="AG454">
            <v>6.1449489569033853</v>
          </cell>
          <cell r="AH454">
            <v>6.3890408943880725</v>
          </cell>
          <cell r="AM454">
            <v>7.0550485567430608</v>
          </cell>
          <cell r="AN454">
            <v>7.540308234375833</v>
          </cell>
          <cell r="AO454">
            <v>6.7399374857242877</v>
          </cell>
          <cell r="AP454">
            <v>6.1918321571067052</v>
          </cell>
          <cell r="AQ454">
            <v>4.2225502688928298</v>
          </cell>
          <cell r="AR454">
            <v>2.9802439457092591</v>
          </cell>
          <cell r="AS454">
            <v>0.92187165929359272</v>
          </cell>
          <cell r="AT454">
            <v>-0.7690474598493301</v>
          </cell>
        </row>
        <row r="455">
          <cell r="B455">
            <v>6.040197109794585</v>
          </cell>
          <cell r="C455">
            <v>3.1466356634210144</v>
          </cell>
          <cell r="D455">
            <v>4.0210684725357408</v>
          </cell>
          <cell r="E455">
            <v>5.5356407857811041</v>
          </cell>
          <cell r="F455">
            <v>6.516978276860244</v>
          </cell>
          <cell r="G455">
            <v>4.7736699094410904</v>
          </cell>
          <cell r="H455">
            <v>4.2207616613950316</v>
          </cell>
          <cell r="I455">
            <v>4.2890429136539669</v>
          </cell>
          <cell r="J455">
            <v>3.8529620659571284</v>
          </cell>
          <cell r="K455">
            <v>3.1817759697147823</v>
          </cell>
          <cell r="L455">
            <v>2.3902428154365678</v>
          </cell>
          <cell r="M455">
            <v>3.1392596672202298</v>
          </cell>
          <cell r="N455">
            <v>3.0178375399970063</v>
          </cell>
          <cell r="O455">
            <v>4.102942357999134</v>
          </cell>
          <cell r="P455">
            <v>3.5652219869176176</v>
          </cell>
          <cell r="Q455">
            <v>5.1839489358385782</v>
          </cell>
          <cell r="R455">
            <v>6.4520402010040492</v>
          </cell>
          <cell r="S455">
            <v>6.5139949446919028</v>
          </cell>
          <cell r="T455">
            <v>6.5450026977701654</v>
          </cell>
          <cell r="U455">
            <v>6.627299404472466</v>
          </cell>
          <cell r="V455">
            <v>4.4465111393904948</v>
          </cell>
          <cell r="W455">
            <v>6.7691099384150357</v>
          </cell>
          <cell r="X455">
            <v>6.2809868769369794</v>
          </cell>
          <cell r="Y455">
            <v>6.4023285304646551</v>
          </cell>
          <cell r="Z455">
            <v>5.3099112825390389</v>
          </cell>
          <cell r="AA455">
            <v>6.0121680590221604</v>
          </cell>
          <cell r="AB455">
            <v>5.5210558045785527</v>
          </cell>
          <cell r="AC455">
            <v>6.0871627927850316</v>
          </cell>
          <cell r="AD455">
            <v>6.6795973821181516</v>
          </cell>
          <cell r="AE455">
            <v>5.9647899549856396</v>
          </cell>
          <cell r="AF455">
            <v>5.0783345635300359</v>
          </cell>
          <cell r="AG455">
            <v>4.7386003525276399</v>
          </cell>
          <cell r="AH455">
            <v>5.2318259262196198</v>
          </cell>
          <cell r="AM455">
            <v>5.8620326354265435</v>
          </cell>
          <cell r="AN455">
            <v>6.448478400034765</v>
          </cell>
          <cell r="AO455">
            <v>5.7902250910012816</v>
          </cell>
          <cell r="AP455">
            <v>5.2706332369036533</v>
          </cell>
          <cell r="AQ455">
            <v>3.6928821319248968</v>
          </cell>
          <cell r="AR455">
            <v>2.5955929573437793</v>
          </cell>
          <cell r="AS455">
            <v>0.806746235229307</v>
          </cell>
          <cell r="AT455">
            <v>-0.66412907217643569</v>
          </cell>
        </row>
        <row r="457">
          <cell r="F457">
            <v>12785</v>
          </cell>
          <cell r="G457">
            <v>11875</v>
          </cell>
          <cell r="H457">
            <v>10950</v>
          </cell>
          <cell r="I457">
            <v>10265</v>
          </cell>
          <cell r="J457">
            <v>8834</v>
          </cell>
          <cell r="K457">
            <v>7936</v>
          </cell>
          <cell r="L457">
            <v>6524</v>
          </cell>
          <cell r="M457">
            <v>7129</v>
          </cell>
          <cell r="N457">
            <v>7129</v>
          </cell>
          <cell r="O457">
            <v>7479</v>
          </cell>
          <cell r="P457">
            <v>8126</v>
          </cell>
          <cell r="Q457">
            <v>9948</v>
          </cell>
          <cell r="R457">
            <v>13227</v>
          </cell>
          <cell r="S457">
            <v>13527</v>
          </cell>
          <cell r="T457">
            <v>14334</v>
          </cell>
          <cell r="U457">
            <v>14731</v>
          </cell>
          <cell r="V457">
            <v>16230</v>
          </cell>
          <cell r="W457">
            <v>15917</v>
          </cell>
          <cell r="X457">
            <v>15917</v>
          </cell>
          <cell r="Y457">
            <v>14259.81</v>
          </cell>
          <cell r="Z457">
            <v>14910.864313911999</v>
          </cell>
          <cell r="AA457">
            <v>15361.56346136</v>
          </cell>
          <cell r="AB457">
            <v>15654.897529125999</v>
          </cell>
          <cell r="AC457">
            <v>15654.897529125999</v>
          </cell>
          <cell r="AD457">
            <v>15196</v>
          </cell>
          <cell r="AE457">
            <v>15079</v>
          </cell>
          <cell r="AF457">
            <v>12313.159296965434</v>
          </cell>
          <cell r="AG457">
            <v>12042.830994935679</v>
          </cell>
          <cell r="AH457">
            <v>12177.830994935679</v>
          </cell>
          <cell r="AM457">
            <v>12714</v>
          </cell>
          <cell r="AN457">
            <v>13020</v>
          </cell>
          <cell r="AO457">
            <v>11539</v>
          </cell>
          <cell r="AP457">
            <v>9516</v>
          </cell>
          <cell r="AQ457">
            <v>7238.4040229250531</v>
          </cell>
          <cell r="AR457">
            <v>4804.0829157836779</v>
          </cell>
          <cell r="AS457">
            <v>-445.5560285079373</v>
          </cell>
          <cell r="AT457">
            <v>-5407.9167282660801</v>
          </cell>
        </row>
        <row r="458">
          <cell r="F458">
            <v>9743</v>
          </cell>
          <cell r="G458">
            <v>8613</v>
          </cell>
          <cell r="H458">
            <v>8324</v>
          </cell>
          <cell r="I458">
            <v>7230</v>
          </cell>
          <cell r="J458">
            <v>6983</v>
          </cell>
          <cell r="K458">
            <v>6261</v>
          </cell>
          <cell r="L458">
            <v>4934</v>
          </cell>
          <cell r="M458">
            <v>5464</v>
          </cell>
          <cell r="N458">
            <v>5464</v>
          </cell>
          <cell r="O458">
            <v>5752</v>
          </cell>
          <cell r="P458">
            <v>6451</v>
          </cell>
          <cell r="Q458">
            <v>8427</v>
          </cell>
          <cell r="R458">
            <v>10965</v>
          </cell>
          <cell r="S458">
            <v>10965</v>
          </cell>
          <cell r="T458">
            <v>11722</v>
          </cell>
          <cell r="U458">
            <v>12404</v>
          </cell>
          <cell r="V458">
            <v>14082</v>
          </cell>
          <cell r="W458">
            <v>13720</v>
          </cell>
          <cell r="X458">
            <v>13720</v>
          </cell>
          <cell r="Y458">
            <v>11777</v>
          </cell>
          <cell r="Z458">
            <v>11738.054313912</v>
          </cell>
          <cell r="AA458">
            <v>12245.75346136</v>
          </cell>
          <cell r="AB458">
            <v>12687.507529126</v>
          </cell>
          <cell r="AC458">
            <v>12687.507529126</v>
          </cell>
          <cell r="AD458">
            <v>11956</v>
          </cell>
          <cell r="AE458">
            <v>11908</v>
          </cell>
          <cell r="AF458">
            <v>9473.1592969654339</v>
          </cell>
          <cell r="AG458">
            <v>9825.830994935679</v>
          </cell>
          <cell r="AH458">
            <v>9960.830994935679</v>
          </cell>
          <cell r="AM458">
            <v>11504</v>
          </cell>
          <cell r="AN458">
            <v>12177</v>
          </cell>
          <cell r="AO458">
            <v>10696</v>
          </cell>
          <cell r="AP458">
            <v>8673</v>
          </cell>
          <cell r="AQ458">
            <v>6072.4040229250531</v>
          </cell>
          <cell r="AR458">
            <v>3295.0829157836779</v>
          </cell>
          <cell r="AS458">
            <v>-2318.5560285079373</v>
          </cell>
          <cell r="AT458">
            <v>-7644.9167282660801</v>
          </cell>
        </row>
        <row r="459">
          <cell r="F459">
            <v>854</v>
          </cell>
          <cell r="G459">
            <v>808</v>
          </cell>
          <cell r="H459">
            <v>728</v>
          </cell>
          <cell r="I459">
            <v>725</v>
          </cell>
          <cell r="J459">
            <v>680</v>
          </cell>
          <cell r="K459">
            <v>464</v>
          </cell>
          <cell r="L459">
            <v>464</v>
          </cell>
          <cell r="M459">
            <v>459</v>
          </cell>
          <cell r="N459">
            <v>459</v>
          </cell>
          <cell r="O459">
            <v>374</v>
          </cell>
          <cell r="P459">
            <v>374</v>
          </cell>
          <cell r="Q459">
            <v>374</v>
          </cell>
          <cell r="R459">
            <v>375</v>
          </cell>
          <cell r="S459">
            <v>375</v>
          </cell>
          <cell r="T459">
            <v>375</v>
          </cell>
          <cell r="U459">
            <v>375</v>
          </cell>
          <cell r="V459">
            <v>375</v>
          </cell>
          <cell r="W459">
            <v>375</v>
          </cell>
          <cell r="X459">
            <v>375</v>
          </cell>
          <cell r="Y459">
            <v>85.81</v>
          </cell>
          <cell r="Z459">
            <v>85.81</v>
          </cell>
          <cell r="AA459">
            <v>85.81</v>
          </cell>
          <cell r="AB459">
            <v>48.39</v>
          </cell>
          <cell r="AC459">
            <v>48.39</v>
          </cell>
          <cell r="AD459">
            <v>77</v>
          </cell>
          <cell r="AE459">
            <v>77</v>
          </cell>
          <cell r="AF459">
            <v>77</v>
          </cell>
          <cell r="AG459">
            <v>40</v>
          </cell>
          <cell r="AH459">
            <v>40</v>
          </cell>
          <cell r="AM459">
            <v>40</v>
          </cell>
          <cell r="AN459">
            <v>40</v>
          </cell>
          <cell r="AO459">
            <v>40</v>
          </cell>
          <cell r="AP459">
            <v>40</v>
          </cell>
          <cell r="AQ459">
            <v>40</v>
          </cell>
          <cell r="AR459">
            <v>40</v>
          </cell>
          <cell r="AS459">
            <v>40</v>
          </cell>
          <cell r="AT459">
            <v>40</v>
          </cell>
        </row>
        <row r="460">
          <cell r="F460">
            <v>1888</v>
          </cell>
          <cell r="G460">
            <v>2154</v>
          </cell>
          <cell r="H460">
            <v>1598</v>
          </cell>
          <cell r="I460">
            <v>2010</v>
          </cell>
          <cell r="J460">
            <v>871</v>
          </cell>
          <cell r="K460">
            <v>911</v>
          </cell>
          <cell r="L460">
            <v>826</v>
          </cell>
          <cell r="M460">
            <v>906</v>
          </cell>
          <cell r="N460">
            <v>906</v>
          </cell>
          <cell r="O460">
            <v>1053</v>
          </cell>
          <cell r="P460">
            <v>1001</v>
          </cell>
          <cell r="Q460">
            <v>847</v>
          </cell>
          <cell r="R460">
            <v>1587</v>
          </cell>
          <cell r="S460">
            <v>1587</v>
          </cell>
          <cell r="T460">
            <v>1637</v>
          </cell>
          <cell r="U460">
            <v>1352</v>
          </cell>
          <cell r="V460">
            <v>1173</v>
          </cell>
          <cell r="W460">
            <v>1222</v>
          </cell>
          <cell r="X460">
            <v>1222</v>
          </cell>
          <cell r="Y460">
            <v>1797</v>
          </cell>
          <cell r="Z460">
            <v>2487</v>
          </cell>
          <cell r="AA460">
            <v>2430</v>
          </cell>
          <cell r="AB460">
            <v>2319</v>
          </cell>
          <cell r="AC460">
            <v>2319</v>
          </cell>
          <cell r="AD460">
            <v>2563</v>
          </cell>
          <cell r="AE460">
            <v>2494</v>
          </cell>
          <cell r="AF460">
            <v>2163</v>
          </cell>
          <cell r="AG460">
            <v>1577</v>
          </cell>
          <cell r="AH460">
            <v>1577</v>
          </cell>
          <cell r="AM460">
            <v>570</v>
          </cell>
          <cell r="AN460">
            <v>203</v>
          </cell>
          <cell r="AO460">
            <v>203</v>
          </cell>
          <cell r="AP460">
            <v>203</v>
          </cell>
          <cell r="AQ460">
            <v>526</v>
          </cell>
          <cell r="AR460">
            <v>869</v>
          </cell>
          <cell r="AS460">
            <v>1233</v>
          </cell>
          <cell r="AT460">
            <v>1597</v>
          </cell>
        </row>
        <row r="461">
          <cell r="F461">
            <v>300</v>
          </cell>
          <cell r="G461">
            <v>300</v>
          </cell>
          <cell r="H461">
            <v>300</v>
          </cell>
          <cell r="I461">
            <v>300</v>
          </cell>
          <cell r="J461">
            <v>300</v>
          </cell>
          <cell r="K461">
            <v>300</v>
          </cell>
          <cell r="L461">
            <v>300</v>
          </cell>
          <cell r="M461">
            <v>300</v>
          </cell>
          <cell r="N461">
            <v>300</v>
          </cell>
          <cell r="O461">
            <v>300</v>
          </cell>
          <cell r="P461">
            <v>300</v>
          </cell>
          <cell r="Q461">
            <v>300</v>
          </cell>
          <cell r="R461">
            <v>300</v>
          </cell>
          <cell r="S461">
            <v>600</v>
          </cell>
          <cell r="T461">
            <v>600</v>
          </cell>
          <cell r="U461">
            <v>600</v>
          </cell>
          <cell r="V461">
            <v>600</v>
          </cell>
          <cell r="W461">
            <v>600</v>
          </cell>
          <cell r="X461">
            <v>600</v>
          </cell>
          <cell r="Y461">
            <v>600</v>
          </cell>
          <cell r="Z461">
            <v>600</v>
          </cell>
          <cell r="AA461">
            <v>600</v>
          </cell>
          <cell r="AB461">
            <v>600</v>
          </cell>
          <cell r="AC461">
            <v>600</v>
          </cell>
          <cell r="AD461">
            <v>600</v>
          </cell>
          <cell r="AE461">
            <v>600</v>
          </cell>
          <cell r="AF461">
            <v>600</v>
          </cell>
          <cell r="AG461">
            <v>600</v>
          </cell>
          <cell r="AH461">
            <v>600</v>
          </cell>
          <cell r="AM461">
            <v>600</v>
          </cell>
          <cell r="AN461">
            <v>600</v>
          </cell>
          <cell r="AO461">
            <v>600</v>
          </cell>
          <cell r="AP461">
            <v>600</v>
          </cell>
          <cell r="AQ461">
            <v>600</v>
          </cell>
          <cell r="AR461">
            <v>600</v>
          </cell>
          <cell r="AS461">
            <v>600</v>
          </cell>
          <cell r="AT461">
            <v>600</v>
          </cell>
        </row>
        <row r="462">
          <cell r="B462">
            <v>13796</v>
          </cell>
          <cell r="C462">
            <v>14830</v>
          </cell>
          <cell r="D462">
            <v>14800</v>
          </cell>
          <cell r="E462">
            <v>15000</v>
          </cell>
          <cell r="F462">
            <v>15000</v>
          </cell>
          <cell r="G462">
            <v>15000</v>
          </cell>
          <cell r="H462">
            <v>20154</v>
          </cell>
          <cell r="I462">
            <v>16054</v>
          </cell>
          <cell r="J462">
            <v>16334</v>
          </cell>
          <cell r="K462">
            <v>16878</v>
          </cell>
          <cell r="L462">
            <v>17247</v>
          </cell>
          <cell r="M462">
            <v>17303</v>
          </cell>
          <cell r="N462">
            <v>17303</v>
          </cell>
          <cell r="O462">
            <v>18401</v>
          </cell>
          <cell r="P462">
            <v>18106</v>
          </cell>
          <cell r="Q462">
            <v>18403</v>
          </cell>
          <cell r="R462">
            <v>17582</v>
          </cell>
          <cell r="S462">
            <v>17582</v>
          </cell>
          <cell r="T462">
            <v>18458</v>
          </cell>
          <cell r="U462">
            <v>19466</v>
          </cell>
          <cell r="V462">
            <v>20405</v>
          </cell>
          <cell r="W462">
            <v>21514</v>
          </cell>
          <cell r="X462">
            <v>21514</v>
          </cell>
          <cell r="Y462">
            <v>23508.296249999999</v>
          </cell>
          <cell r="Z462">
            <v>23890.243268294926</v>
          </cell>
          <cell r="AA462">
            <v>23705.59097340771</v>
          </cell>
          <cell r="AB462">
            <v>24368.407438863185</v>
          </cell>
          <cell r="AC462">
            <v>21587.407438863185</v>
          </cell>
          <cell r="AD462">
            <v>22751</v>
          </cell>
          <cell r="AE462">
            <v>23491</v>
          </cell>
          <cell r="AF462">
            <v>25629.319374999999</v>
          </cell>
          <cell r="AG462">
            <v>26936.225418480979</v>
          </cell>
          <cell r="AH462">
            <v>23880.225418480979</v>
          </cell>
          <cell r="AM462">
            <v>26008</v>
          </cell>
          <cell r="AN462">
            <v>28839.06943774212</v>
          </cell>
          <cell r="AO462">
            <v>30008.390341599166</v>
          </cell>
          <cell r="AP462">
            <v>33358.412774536249</v>
          </cell>
          <cell r="AQ462">
            <v>23215.279051501348</v>
          </cell>
          <cell r="AR462">
            <v>22697.97923162657</v>
          </cell>
          <cell r="AS462">
            <v>23908.596940812953</v>
          </cell>
          <cell r="AT462">
            <v>24710.338443981462</v>
          </cell>
        </row>
        <row r="463">
          <cell r="B463">
            <v>2.3E-2</v>
          </cell>
          <cell r="C463">
            <v>2.3E-2</v>
          </cell>
          <cell r="D463">
            <v>2.3E-2</v>
          </cell>
          <cell r="E463">
            <v>2.3E-2</v>
          </cell>
          <cell r="F463">
            <v>2.3E-2</v>
          </cell>
          <cell r="G463">
            <v>2.3E-2</v>
          </cell>
          <cell r="H463">
            <v>2.3E-2</v>
          </cell>
          <cell r="I463">
            <v>2.3E-2</v>
          </cell>
          <cell r="N463">
            <v>2.3100000000000002E-2</v>
          </cell>
          <cell r="S463">
            <v>2.1000000000000001E-2</v>
          </cell>
          <cell r="X463">
            <v>1.7000000000000001E-2</v>
          </cell>
          <cell r="AC463">
            <v>0.02</v>
          </cell>
          <cell r="AH463">
            <v>1.2E-2</v>
          </cell>
          <cell r="AM463">
            <v>1.2E-2</v>
          </cell>
          <cell r="AN463">
            <v>1.4999999999999999E-2</v>
          </cell>
          <cell r="AO463">
            <v>1.4999999999999999E-2</v>
          </cell>
          <cell r="AP463">
            <v>1.7999999999999999E-2</v>
          </cell>
          <cell r="AQ463">
            <v>1.9E-2</v>
          </cell>
          <cell r="AR463">
            <v>0.02</v>
          </cell>
          <cell r="AS463">
            <v>0.02</v>
          </cell>
          <cell r="AT463">
            <v>0.02</v>
          </cell>
        </row>
        <row r="464">
          <cell r="C464">
            <v>8.1299999999999997E-2</v>
          </cell>
          <cell r="D464">
            <v>9.2700000000000005E-2</v>
          </cell>
          <cell r="E464">
            <v>8.3500000000000005E-2</v>
          </cell>
          <cell r="F464">
            <v>6.08E-2</v>
          </cell>
          <cell r="G464">
            <v>3.8700000000000005E-2</v>
          </cell>
          <cell r="H464">
            <v>3.4099999999999998E-2</v>
          </cell>
          <cell r="I464">
            <v>5.0700000000000002E-2</v>
          </cell>
          <cell r="N464">
            <v>6.1700000000000005E-2</v>
          </cell>
          <cell r="S464">
            <v>5.5900000000000005E-2</v>
          </cell>
          <cell r="T464">
            <v>5.7000000000000002E-2</v>
          </cell>
          <cell r="U464">
            <v>5.9799999999999999E-2</v>
          </cell>
          <cell r="V464">
            <v>5.8299999999999998E-2</v>
          </cell>
          <cell r="W464">
            <v>5.9299999999999999E-2</v>
          </cell>
          <cell r="X464">
            <v>5.8599999999999999E-2</v>
          </cell>
          <cell r="Y464">
            <v>6.25E-2</v>
          </cell>
          <cell r="Z464">
            <v>6.25E-2</v>
          </cell>
          <cell r="AA464">
            <v>6.25E-2</v>
          </cell>
          <cell r="AB464">
            <v>6.25E-2</v>
          </cell>
          <cell r="AC464">
            <v>6.25E-2</v>
          </cell>
          <cell r="AD464">
            <v>5.7030320000000002E-2</v>
          </cell>
          <cell r="AE464">
            <v>5.8530730000000003E-2</v>
          </cell>
          <cell r="AF464">
            <v>5.7500000000000002E-2</v>
          </cell>
          <cell r="AG464">
            <v>5.7500000000000002E-2</v>
          </cell>
          <cell r="AH464">
            <v>5.5500000000000001E-2</v>
          </cell>
          <cell r="AM464">
            <v>5.5500000000000001E-2</v>
          </cell>
          <cell r="AN464">
            <v>5.0999999999999997E-2</v>
          </cell>
          <cell r="AO464">
            <v>5.0999999999999997E-2</v>
          </cell>
          <cell r="AP464">
            <v>5.0999999999999997E-2</v>
          </cell>
          <cell r="AQ464">
            <v>5.0999999999999997E-2</v>
          </cell>
          <cell r="AR464">
            <v>5.0999999999999997E-2</v>
          </cell>
          <cell r="AS464">
            <v>5.0999999999999997E-2</v>
          </cell>
          <cell r="AT464">
            <v>5.0999999999999997E-2</v>
          </cell>
        </row>
        <row r="520">
          <cell r="B520">
            <v>1987</v>
          </cell>
          <cell r="C520">
            <v>1988</v>
          </cell>
          <cell r="D520">
            <v>1989</v>
          </cell>
          <cell r="E520">
            <v>1990</v>
          </cell>
          <cell r="F520">
            <v>1991</v>
          </cell>
          <cell r="G520">
            <v>1992</v>
          </cell>
          <cell r="H520">
            <v>1993</v>
          </cell>
          <cell r="I520">
            <v>1994</v>
          </cell>
          <cell r="J520" t="str">
            <v>1995</v>
          </cell>
          <cell r="K520" t="str">
            <v>1995</v>
          </cell>
          <cell r="L520" t="str">
            <v>1995</v>
          </cell>
          <cell r="M520" t="str">
            <v>1995</v>
          </cell>
          <cell r="N520">
            <v>1995</v>
          </cell>
          <cell r="O520">
            <v>1996</v>
          </cell>
          <cell r="P520">
            <v>1996</v>
          </cell>
          <cell r="Q520">
            <v>1996</v>
          </cell>
          <cell r="R520">
            <v>1996</v>
          </cell>
          <cell r="S520">
            <v>1996</v>
          </cell>
          <cell r="T520">
            <v>1997</v>
          </cell>
          <cell r="U520">
            <v>1997</v>
          </cell>
          <cell r="V520">
            <v>1997</v>
          </cell>
          <cell r="W520">
            <v>1997</v>
          </cell>
          <cell r="X520">
            <v>1997</v>
          </cell>
          <cell r="Y520">
            <v>1998</v>
          </cell>
          <cell r="Z520">
            <v>1998</v>
          </cell>
          <cell r="AA520">
            <v>1998</v>
          </cell>
          <cell r="AB520">
            <v>1998</v>
          </cell>
          <cell r="AC520">
            <v>1998</v>
          </cell>
          <cell r="AD520">
            <v>1998</v>
          </cell>
          <cell r="AE520">
            <v>1998</v>
          </cell>
          <cell r="AF520">
            <v>1998</v>
          </cell>
          <cell r="AG520">
            <v>1998</v>
          </cell>
          <cell r="AN520" t="e">
            <v>#REF!</v>
          </cell>
          <cell r="AP520" t="e">
            <v>#REF!</v>
          </cell>
          <cell r="AQ520" t="e">
            <v>#REF!</v>
          </cell>
          <cell r="AR520" t="e">
            <v>#REF!</v>
          </cell>
          <cell r="AS520" t="e">
            <v>#REF!</v>
          </cell>
        </row>
        <row r="521">
          <cell r="J521" t="str">
            <v>Q1</v>
          </cell>
          <cell r="K521" t="str">
            <v>Q2</v>
          </cell>
          <cell r="L521" t="str">
            <v>Q3</v>
          </cell>
          <cell r="M521" t="str">
            <v>Q4</v>
          </cell>
          <cell r="O521" t="str">
            <v>Q1</v>
          </cell>
          <cell r="P521" t="str">
            <v>Q2</v>
          </cell>
          <cell r="Q521" t="str">
            <v>Q3</v>
          </cell>
          <cell r="R521" t="str">
            <v>Q4</v>
          </cell>
          <cell r="T521" t="str">
            <v>Q1</v>
          </cell>
          <cell r="U521" t="str">
            <v>Q2</v>
          </cell>
          <cell r="V521" t="str">
            <v>Q3</v>
          </cell>
          <cell r="W521" t="str">
            <v>Q4</v>
          </cell>
          <cell r="Y521" t="str">
            <v>Q1</v>
          </cell>
          <cell r="Z521" t="str">
            <v>Q2</v>
          </cell>
          <cell r="AA521" t="str">
            <v>Q3</v>
          </cell>
          <cell r="AB521" t="str">
            <v>Q4</v>
          </cell>
          <cell r="AD521" t="str">
            <v>Q1</v>
          </cell>
          <cell r="AE521" t="str">
            <v>Q2</v>
          </cell>
          <cell r="AF521" t="str">
            <v>Q3</v>
          </cell>
          <cell r="AG521" t="str">
            <v>Q4</v>
          </cell>
        </row>
        <row r="522">
          <cell r="O522" t="str">
            <v>Prel.</v>
          </cell>
          <cell r="P522" t="str">
            <v>Prel.</v>
          </cell>
          <cell r="Q522" t="str">
            <v>Prel.</v>
          </cell>
          <cell r="R522" t="str">
            <v>Prel.</v>
          </cell>
          <cell r="S522" t="str">
            <v>Prel.</v>
          </cell>
          <cell r="T522" t="str">
            <v>Prel.</v>
          </cell>
          <cell r="U522" t="str">
            <v>Prel.</v>
          </cell>
          <cell r="V522" t="str">
            <v>Prel.</v>
          </cell>
          <cell r="W522" t="str">
            <v>Prel.</v>
          </cell>
          <cell r="X522" t="str">
            <v>Prel.</v>
          </cell>
          <cell r="Y522" t="str">
            <v>Prog.</v>
          </cell>
          <cell r="Z522" t="str">
            <v>Prog.</v>
          </cell>
          <cell r="AA522" t="str">
            <v>Prog.</v>
          </cell>
          <cell r="AB522" t="str">
            <v>Prog.</v>
          </cell>
          <cell r="AC522" t="str">
            <v>Prog.</v>
          </cell>
          <cell r="AD522" t="str">
            <v>Prog.</v>
          </cell>
          <cell r="AE522" t="str">
            <v>Prog.</v>
          </cell>
          <cell r="AF522" t="str">
            <v>Prog.</v>
          </cell>
          <cell r="AG522" t="str">
            <v>Prog.</v>
          </cell>
          <cell r="AN522" t="str">
            <v>Proj.</v>
          </cell>
          <cell r="AP522" t="str">
            <v>Proj.</v>
          </cell>
          <cell r="AQ522" t="str">
            <v>Proj.</v>
          </cell>
          <cell r="AR522" t="str">
            <v>Proj.</v>
          </cell>
          <cell r="AS522" t="str">
            <v>Proj.</v>
          </cell>
        </row>
        <row r="524">
          <cell r="G524">
            <v>-3753</v>
          </cell>
          <cell r="H524">
            <v>-1992.7672000000002</v>
          </cell>
          <cell r="I524">
            <v>2541</v>
          </cell>
          <cell r="N524">
            <v>2018.2069999999999</v>
          </cell>
          <cell r="S524">
            <v>8824.27</v>
          </cell>
          <cell r="X524">
            <v>4684.7</v>
          </cell>
        </row>
        <row r="525">
          <cell r="G525">
            <v>1274</v>
          </cell>
          <cell r="H525">
            <v>3196</v>
          </cell>
          <cell r="I525">
            <v>7559</v>
          </cell>
          <cell r="N525">
            <v>6905</v>
          </cell>
          <cell r="S525">
            <v>13590</v>
          </cell>
          <cell r="X525">
            <v>10550</v>
          </cell>
        </row>
        <row r="526">
          <cell r="G526">
            <v>13988</v>
          </cell>
          <cell r="H526">
            <v>14586</v>
          </cell>
          <cell r="I526">
            <v>15905</v>
          </cell>
          <cell r="N526">
            <v>18842</v>
          </cell>
          <cell r="S526">
            <v>23400</v>
          </cell>
          <cell r="X526">
            <v>23445</v>
          </cell>
        </row>
        <row r="527">
          <cell r="G527">
            <v>11014</v>
          </cell>
          <cell r="H527">
            <v>10855</v>
          </cell>
          <cell r="I527">
            <v>11351</v>
          </cell>
          <cell r="N527">
            <v>13630</v>
          </cell>
          <cell r="S527">
            <v>18385</v>
          </cell>
          <cell r="X527">
            <v>18041</v>
          </cell>
        </row>
        <row r="528">
          <cell r="G528">
            <v>2974</v>
          </cell>
          <cell r="H528">
            <v>3731</v>
          </cell>
          <cell r="I528">
            <v>4554</v>
          </cell>
          <cell r="N528">
            <v>5212</v>
          </cell>
          <cell r="S528">
            <v>5015</v>
          </cell>
          <cell r="X528">
            <v>5404</v>
          </cell>
        </row>
        <row r="529">
          <cell r="G529">
            <v>1112</v>
          </cell>
          <cell r="H529">
            <v>1315</v>
          </cell>
          <cell r="I529">
            <v>1641</v>
          </cell>
          <cell r="N529">
            <v>1776</v>
          </cell>
          <cell r="S529">
            <v>1743</v>
          </cell>
          <cell r="X529">
            <v>1780</v>
          </cell>
        </row>
        <row r="530">
          <cell r="G530">
            <v>1862</v>
          </cell>
          <cell r="H530">
            <v>2416</v>
          </cell>
          <cell r="I530">
            <v>2913</v>
          </cell>
          <cell r="N530">
            <v>3436</v>
          </cell>
          <cell r="S530">
            <v>3272</v>
          </cell>
          <cell r="X530">
            <v>3624</v>
          </cell>
        </row>
        <row r="531">
          <cell r="G531">
            <v>-12714</v>
          </cell>
          <cell r="H531">
            <v>-11390</v>
          </cell>
          <cell r="I531">
            <v>-8346</v>
          </cell>
          <cell r="N531">
            <v>-11937</v>
          </cell>
          <cell r="S531">
            <v>-9810</v>
          </cell>
          <cell r="X531">
            <v>-12895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real"/>
      <sheetName val="Indcorr"/>
      <sheetName val="#REF"/>
      <sheetName val="Sum1"/>
      <sheetName val="Projections"/>
      <sheetName val="PDVSA"/>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Info"/>
      <sheetName val="Instructions"/>
      <sheetName val="Project Info"/>
      <sheetName val="Project Dashboard"/>
      <sheetName val="NAmerica"/>
      <sheetName val="XBorder"/>
      <sheetName val="Expenses"/>
      <sheetName val="Reuse"/>
      <sheetName val="Schedule"/>
      <sheetName val="Process"/>
      <sheetName val="Reference"/>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ourcePlan(New)"/>
      <sheetName val="Change Summary"/>
      <sheetName val="Change List"/>
      <sheetName val="High Level Plan"/>
      <sheetName val="ResourcePlan(Existing)"/>
      <sheetName val="ResourcePlan(Proposed)"/>
      <sheetName val="Assumptions"/>
      <sheetName val="Estimation Metrics"/>
    </sheetNames>
    <sheetDataSet>
      <sheetData sheetId="0" refreshError="1"/>
      <sheetData sheetId="1"/>
      <sheetData sheetId="2"/>
      <sheetData sheetId="3"/>
      <sheetData sheetId="4"/>
      <sheetData sheetId="5"/>
      <sheetData sheetId="6"/>
      <sheetData sheetId="7" refreshError="1">
        <row r="41">
          <cell r="C41" t="str">
            <v>Add Design</v>
          </cell>
          <cell r="D41">
            <v>34</v>
          </cell>
        </row>
        <row r="42">
          <cell r="C42" t="str">
            <v>Add Requirement</v>
          </cell>
          <cell r="D42">
            <v>16</v>
          </cell>
        </row>
        <row r="43">
          <cell r="C43" t="str">
            <v>Add Requirement &amp; Design</v>
          </cell>
          <cell r="D43">
            <v>50</v>
          </cell>
        </row>
        <row r="44">
          <cell r="C44" t="str">
            <v>Add Requirement, Design &amp; Testing</v>
          </cell>
          <cell r="D44">
            <v>98</v>
          </cell>
        </row>
        <row r="45">
          <cell r="C45" t="str">
            <v>Add Testing</v>
          </cell>
          <cell r="D45">
            <v>48</v>
          </cell>
        </row>
        <row r="46">
          <cell r="C46" t="str">
            <v>Design Extention</v>
          </cell>
          <cell r="D46">
            <v>17</v>
          </cell>
        </row>
        <row r="47">
          <cell r="C47" t="str">
            <v>Device Feature (Not a use case)</v>
          </cell>
          <cell r="D47">
            <v>0</v>
          </cell>
        </row>
        <row r="48">
          <cell r="C48" t="str">
            <v>No Metric</v>
          </cell>
          <cell r="D48" t="str">
            <v>TBD</v>
          </cell>
        </row>
        <row r="49">
          <cell r="C49" t="str">
            <v>Remove Design</v>
          </cell>
          <cell r="D49">
            <v>-34</v>
          </cell>
        </row>
        <row r="50">
          <cell r="C50" t="str">
            <v>Remove Design &amp; Testing</v>
          </cell>
          <cell r="D50">
            <v>-82</v>
          </cell>
        </row>
        <row r="51">
          <cell r="C51" t="str">
            <v>Remove Requirement</v>
          </cell>
          <cell r="D51">
            <v>-16</v>
          </cell>
        </row>
        <row r="52">
          <cell r="C52" t="str">
            <v>Remove Requirement &amp; Design</v>
          </cell>
          <cell r="D52">
            <v>-50</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Project Overview"/>
      <sheetName val="Steps of Doneness (Metrics)"/>
      <sheetName val="Metrics"/>
      <sheetName val="WBS"/>
      <sheetName val="Add-Ins"/>
      <sheetName val="Objective Risks"/>
      <sheetName val="Resource Plan"/>
      <sheetName val="Roles&amp;Rates"/>
      <sheetName val="Varie"/>
      <sheetName val="Temp-Resource"/>
      <sheetName val="Export Results"/>
      <sheetName val="Rowsfortabs"/>
      <sheetName val="Total LOE"/>
      <sheetName val="Temp"/>
      <sheetName val="Roles"/>
      <sheetName val="Add_Ins"/>
    </sheetNames>
    <sheetDataSet>
      <sheetData sheetId="0" refreshError="1"/>
      <sheetData sheetId="1" refreshError="1"/>
      <sheetData sheetId="2"/>
      <sheetData sheetId="3" refreshError="1">
        <row r="5">
          <cell r="B5" t="str">
            <v>Metric</v>
          </cell>
          <cell r="D5" t="str">
            <v>Low</v>
          </cell>
          <cell r="E5" t="str">
            <v>Medium</v>
          </cell>
          <cell r="F5" t="str">
            <v>High</v>
          </cell>
        </row>
        <row r="6">
          <cell r="B6" t="str">
            <v>No Metric</v>
          </cell>
        </row>
        <row r="7">
          <cell r="B7" t="str">
            <v>Implementation Estimation</v>
          </cell>
        </row>
        <row r="8">
          <cell r="B8" t="str">
            <v>Ramp Up</v>
          </cell>
        </row>
        <row r="9">
          <cell r="B9" t="str">
            <v>High Level Component Design</v>
          </cell>
        </row>
        <row r="10">
          <cell r="B10" t="str">
            <v>Document Creation</v>
          </cell>
        </row>
        <row r="11">
          <cell r="B11" t="str">
            <v>Low Level Component Design</v>
          </cell>
        </row>
        <row r="12">
          <cell r="B12" t="str">
            <v>Client Check Point</v>
          </cell>
        </row>
        <row r="13">
          <cell r="B13" t="str">
            <v>SLA - ETL4 &amp; Fact Design</v>
          </cell>
        </row>
        <row r="14">
          <cell r="B14" t="str">
            <v>NY ICA / MA ARB - Metric Design</v>
          </cell>
        </row>
        <row r="15">
          <cell r="B15" t="str">
            <v>Domain Design - Source Data &amp; Metric Id. Layer</v>
          </cell>
        </row>
        <row r="16">
          <cell r="B16" t="str">
            <v>Domain Design  - Metric SQLs</v>
          </cell>
        </row>
        <row r="17">
          <cell r="B17" t="str">
            <v>Domain Design - Aggregation</v>
          </cell>
        </row>
        <row r="18">
          <cell r="B18" t="str">
            <v>Domain Design - Post Aggregation</v>
          </cell>
        </row>
        <row r="19">
          <cell r="B19" t="str">
            <v>Domain Design - Report Generation</v>
          </cell>
        </row>
        <row r="20">
          <cell r="B20" t="str">
            <v>Domain Design - Validations</v>
          </cell>
        </row>
        <row r="21">
          <cell r="B21" t="str">
            <v>Domain Design - Scheduler Integration</v>
          </cell>
        </row>
      </sheetData>
      <sheetData sheetId="4"/>
      <sheetData sheetId="5" refreshError="1"/>
      <sheetData sheetId="6" refreshError="1"/>
      <sheetData sheetId="7"/>
      <sheetData sheetId="8"/>
      <sheetData sheetId="9"/>
      <sheetData sheetId="10"/>
      <sheetData sheetId="11"/>
      <sheetData sheetId="12"/>
      <sheetData sheetId="13" refreshError="1"/>
      <sheetData sheetId="14" refreshError="1"/>
      <sheetData sheetId="15" refreshError="1"/>
      <sheetData sheetId="16"/>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d-Ins"/>
      <sheetName val="Roles"/>
      <sheetName val="Stories"/>
      <sheetName val="Project Overview"/>
      <sheetName val="Metrics"/>
      <sheetName val="Data"/>
      <sheetName val="Objective Risks"/>
      <sheetName val="Staffing Plan"/>
      <sheetName val="Help"/>
      <sheetName val="Tasks (Metrics)"/>
      <sheetName val="Track LOE Summary"/>
      <sheetName val="Export Results"/>
      <sheetName val="Export_Stories"/>
      <sheetName val="Retainer"/>
      <sheetName val="Total LOE"/>
      <sheetName val="Tasks"/>
      <sheetName val="Team"/>
      <sheetName val="Acceptance"/>
      <sheetName val="Sheet3"/>
      <sheetName val="By Track"/>
      <sheetName val="Sheet1"/>
    </sheetNames>
    <sheetDataSet>
      <sheetData sheetId="0" refreshError="1">
        <row r="9">
          <cell r="H9">
            <v>49.5</v>
          </cell>
        </row>
        <row r="13">
          <cell r="C13" t="str">
            <v>Site Dev</v>
          </cell>
          <cell r="H13">
            <v>6</v>
          </cell>
        </row>
        <row r="14">
          <cell r="C14" t="str">
            <v>Site Dev</v>
          </cell>
          <cell r="H14">
            <v>4</v>
          </cell>
        </row>
        <row r="15">
          <cell r="C15" t="str">
            <v>CMS</v>
          </cell>
          <cell r="H15">
            <v>10</v>
          </cell>
        </row>
        <row r="16">
          <cell r="C16" t="str">
            <v>CMS</v>
          </cell>
          <cell r="H16">
            <v>4</v>
          </cell>
        </row>
        <row r="17">
          <cell r="C17" t="str">
            <v>IA</v>
          </cell>
          <cell r="H17">
            <v>2</v>
          </cell>
        </row>
        <row r="18">
          <cell r="C18" t="str">
            <v>IA</v>
          </cell>
          <cell r="H18">
            <v>1</v>
          </cell>
        </row>
        <row r="23">
          <cell r="C23" t="str">
            <v>QA</v>
          </cell>
          <cell r="H23">
            <v>7.5</v>
          </cell>
        </row>
        <row r="24">
          <cell r="C24" t="str">
            <v>QA</v>
          </cell>
          <cell r="H24">
            <v>7.5</v>
          </cell>
        </row>
        <row r="25">
          <cell r="C25" t="str">
            <v>QA</v>
          </cell>
          <cell r="H25">
            <v>7.5</v>
          </cell>
        </row>
        <row r="26">
          <cell r="H26">
            <v>0</v>
          </cell>
        </row>
        <row r="27">
          <cell r="H27">
            <v>0</v>
          </cell>
        </row>
        <row r="28">
          <cell r="H28">
            <v>0</v>
          </cell>
        </row>
        <row r="29">
          <cell r="H29">
            <v>0</v>
          </cell>
        </row>
        <row r="30">
          <cell r="H30">
            <v>0</v>
          </cell>
        </row>
        <row r="31">
          <cell r="H31">
            <v>0</v>
          </cell>
        </row>
        <row r="32">
          <cell r="H32">
            <v>0</v>
          </cell>
        </row>
        <row r="33">
          <cell r="H33">
            <v>0</v>
          </cell>
        </row>
        <row r="34">
          <cell r="H34">
            <v>0</v>
          </cell>
        </row>
        <row r="35">
          <cell r="H35">
            <v>0</v>
          </cell>
        </row>
      </sheetData>
      <sheetData sheetId="1" refreshError="1">
        <row r="2">
          <cell r="A2" t="str">
            <v>APM</v>
          </cell>
          <cell r="B2" t="str">
            <v>Associate Business Consulting</v>
          </cell>
          <cell r="C2" t="str">
            <v>Bangalore</v>
          </cell>
          <cell r="D2" t="str">
            <v>Local</v>
          </cell>
        </row>
        <row r="3">
          <cell r="A3" t="str">
            <v>Account Director</v>
          </cell>
          <cell r="B3" t="str">
            <v>Associate Business Consulting TRM</v>
          </cell>
          <cell r="C3" t="str">
            <v>Gurgaon</v>
          </cell>
          <cell r="D3" t="str">
            <v>India Off-shore</v>
          </cell>
        </row>
        <row r="4">
          <cell r="A4" t="str">
            <v>Account Executive</v>
          </cell>
          <cell r="B4" t="str">
            <v>Associate Database L1</v>
          </cell>
          <cell r="C4" t="str">
            <v>NOIDA</v>
          </cell>
          <cell r="D4" t="str">
            <v>India On-shore</v>
          </cell>
        </row>
        <row r="5">
          <cell r="A5" t="str">
            <v>Account Manager</v>
          </cell>
          <cell r="B5" t="str">
            <v>Associate Database L2</v>
          </cell>
          <cell r="C5" t="str">
            <v>Amsterdam</v>
          </cell>
        </row>
        <row r="6">
          <cell r="A6" t="str">
            <v>Account Operations</v>
          </cell>
          <cell r="B6" t="str">
            <v>Associate Infrastructure L1</v>
          </cell>
          <cell r="C6" t="str">
            <v>Atlanta</v>
          </cell>
        </row>
        <row r="7">
          <cell r="A7" t="str">
            <v>Analyst Brand Strategy</v>
          </cell>
          <cell r="B7" t="str">
            <v>Associate Infrastructure L2</v>
          </cell>
          <cell r="C7" t="str">
            <v>Boston</v>
          </cell>
        </row>
        <row r="8">
          <cell r="A8" t="str">
            <v>Analyst Consumer &amp; Industry Research</v>
          </cell>
          <cell r="B8" t="str">
            <v>Associate Oracle L1</v>
          </cell>
          <cell r="C8" t="str">
            <v>Charleston</v>
          </cell>
        </row>
        <row r="9">
          <cell r="A9" t="str">
            <v>Analyst Experience Research</v>
          </cell>
          <cell r="B9" t="str">
            <v>Associate Oracle L2</v>
          </cell>
          <cell r="C9" t="str">
            <v>Chicago</v>
          </cell>
        </row>
        <row r="10">
          <cell r="A10" t="str">
            <v>Analyst Marketing Analytics</v>
          </cell>
          <cell r="B10" t="str">
            <v>Associate Program Management</v>
          </cell>
          <cell r="C10" t="str">
            <v>Denver</v>
          </cell>
        </row>
        <row r="11">
          <cell r="A11" t="str">
            <v>Analyst Marketing Strategy</v>
          </cell>
          <cell r="B11" t="str">
            <v>Associate QA L1</v>
          </cell>
          <cell r="C11" t="str">
            <v>Detroit</v>
          </cell>
        </row>
        <row r="12">
          <cell r="A12" t="str">
            <v>Architect - BridgeTrack</v>
          </cell>
          <cell r="B12" t="str">
            <v>Associate QA L2</v>
          </cell>
          <cell r="C12" t="str">
            <v>Dusseldorf</v>
          </cell>
        </row>
        <row r="13">
          <cell r="A13" t="str">
            <v>Architect - C++</v>
          </cell>
          <cell r="B13" t="str">
            <v>Associate QA Product L1</v>
          </cell>
          <cell r="C13" t="str">
            <v>Geneva</v>
          </cell>
        </row>
        <row r="14">
          <cell r="A14" t="str">
            <v>Architect - Java</v>
          </cell>
          <cell r="B14" t="str">
            <v>Associate QA Product L2</v>
          </cell>
          <cell r="C14" t="str">
            <v>Halifax</v>
          </cell>
        </row>
        <row r="15">
          <cell r="A15" t="str">
            <v>Architect - MSFT</v>
          </cell>
          <cell r="B15" t="str">
            <v>Associate Technology L1</v>
          </cell>
          <cell r="C15" t="str">
            <v>Houston</v>
          </cell>
        </row>
        <row r="16">
          <cell r="A16" t="str">
            <v>Art Director</v>
          </cell>
          <cell r="B16" t="str">
            <v>Associate Technology L2</v>
          </cell>
          <cell r="C16" t="str">
            <v>Kansas City</v>
          </cell>
        </row>
        <row r="17">
          <cell r="A17" t="str">
            <v>Assembler/Finisher</v>
          </cell>
          <cell r="B17" t="str">
            <v>Associate TRM Process Solutions L1</v>
          </cell>
          <cell r="C17" t="str">
            <v>London</v>
          </cell>
        </row>
        <row r="18">
          <cell r="A18" t="str">
            <v>Associate Media Operations</v>
          </cell>
          <cell r="B18" t="str">
            <v>Associate TRM Process Solutions L2</v>
          </cell>
          <cell r="C18" t="str">
            <v>Los Angeles</v>
          </cell>
        </row>
        <row r="19">
          <cell r="A19" t="str">
            <v>Benefits</v>
          </cell>
          <cell r="B19" t="str">
            <v>Consultant Infrastructure SAP L2</v>
          </cell>
          <cell r="C19" t="str">
            <v>Miami</v>
          </cell>
        </row>
        <row r="20">
          <cell r="A20" t="str">
            <v>Business Strategy Analyst</v>
          </cell>
          <cell r="B20" t="str">
            <v>Consultant SAP L1</v>
          </cell>
          <cell r="C20" t="str">
            <v>Munich</v>
          </cell>
        </row>
        <row r="21">
          <cell r="A21" t="str">
            <v>Business Strategy Analyst - TRM</v>
          </cell>
          <cell r="B21" t="str">
            <v>Consultant SAP L2</v>
          </cell>
          <cell r="C21" t="str">
            <v>New York</v>
          </cell>
        </row>
        <row r="22">
          <cell r="A22" t="str">
            <v>Client Executive</v>
          </cell>
          <cell r="B22" t="str">
            <v>Director Business Consulting</v>
          </cell>
          <cell r="C22" t="str">
            <v>San Diego</v>
          </cell>
        </row>
        <row r="23">
          <cell r="A23" t="str">
            <v>Content Strategist</v>
          </cell>
          <cell r="B23" t="str">
            <v>Director Business Consulting TRM</v>
          </cell>
          <cell r="C23" t="str">
            <v>San Francisco</v>
          </cell>
        </row>
        <row r="24">
          <cell r="A24" t="str">
            <v>Copywriter</v>
          </cell>
          <cell r="B24" t="str">
            <v>Director General Management</v>
          </cell>
          <cell r="C24" t="str">
            <v>Singapore</v>
          </cell>
        </row>
        <row r="25">
          <cell r="A25" t="str">
            <v>Creative Director - Content Strategy</v>
          </cell>
          <cell r="B25" t="str">
            <v>Director Program Management</v>
          </cell>
          <cell r="C25" t="str">
            <v>Stockholm</v>
          </cell>
        </row>
        <row r="26">
          <cell r="A26" t="str">
            <v>Creative Director - Copy</v>
          </cell>
          <cell r="B26" t="str">
            <v>Director SAP</v>
          </cell>
          <cell r="C26" t="str">
            <v>Toronto</v>
          </cell>
        </row>
        <row r="27">
          <cell r="A27" t="str">
            <v>Creative Director - Design</v>
          </cell>
          <cell r="B27" t="str">
            <v>Director Technology</v>
          </cell>
          <cell r="C27" t="str">
            <v>Washington DC</v>
          </cell>
        </row>
        <row r="28">
          <cell r="A28" t="str">
            <v>Creative Director - IA</v>
          </cell>
          <cell r="B28" t="str">
            <v>Director TRM Process Solutions</v>
          </cell>
          <cell r="C28" t="str">
            <v>Zurich</v>
          </cell>
        </row>
        <row r="29">
          <cell r="A29" t="str">
            <v>DBA - BridgeTrack</v>
          </cell>
          <cell r="B29" t="str">
            <v>Director QA</v>
          </cell>
        </row>
        <row r="30">
          <cell r="A30" t="str">
            <v>DBA - DB2 UDB</v>
          </cell>
          <cell r="B30" t="str">
            <v>Expert Database</v>
          </cell>
        </row>
        <row r="31">
          <cell r="A31" t="str">
            <v>DBA - MS SQL Server</v>
          </cell>
          <cell r="B31" t="str">
            <v>Expert Oracle</v>
          </cell>
        </row>
        <row r="32">
          <cell r="A32" t="str">
            <v>DBA - Oracle</v>
          </cell>
          <cell r="B32" t="str">
            <v>Expert SAP</v>
          </cell>
        </row>
        <row r="33">
          <cell r="A33" t="str">
            <v>DBA - Oracle ERP</v>
          </cell>
          <cell r="B33" t="str">
            <v>Expert Platform</v>
          </cell>
        </row>
        <row r="34">
          <cell r="A34" t="str">
            <v>DBA - Sybase</v>
          </cell>
          <cell r="B34" t="str">
            <v>Junior Associate Program Management</v>
          </cell>
        </row>
        <row r="35">
          <cell r="A35" t="str">
            <v>Designer</v>
          </cell>
          <cell r="B35" t="str">
            <v>Junior Associate Technology</v>
          </cell>
        </row>
        <row r="36">
          <cell r="A36" t="str">
            <v>Developer - AJAX</v>
          </cell>
          <cell r="B36" t="str">
            <v>Manager Business Consulting</v>
          </cell>
        </row>
        <row r="37">
          <cell r="A37" t="str">
            <v>Developer - BI</v>
          </cell>
          <cell r="B37" t="str">
            <v>Manager Business Consulting TRM</v>
          </cell>
        </row>
        <row r="38">
          <cell r="A38" t="str">
            <v>Developer - BridgeTrack</v>
          </cell>
          <cell r="B38" t="str">
            <v>Manager Oracle</v>
          </cell>
        </row>
        <row r="39">
          <cell r="A39" t="str">
            <v>Developer - C++</v>
          </cell>
          <cell r="B39" t="str">
            <v>Manager Program Management</v>
          </cell>
        </row>
        <row r="40">
          <cell r="A40" t="str">
            <v>Developer - CMS</v>
          </cell>
          <cell r="B40" t="str">
            <v>Manager QA</v>
          </cell>
        </row>
        <row r="41">
          <cell r="A41" t="str">
            <v>Developer - ETL</v>
          </cell>
          <cell r="B41" t="str">
            <v>Manager SAP</v>
          </cell>
        </row>
        <row r="42">
          <cell r="A42" t="str">
            <v>Developer - FLEX</v>
          </cell>
          <cell r="B42" t="str">
            <v>Manager Technology</v>
          </cell>
        </row>
        <row r="43">
          <cell r="A43" t="str">
            <v>Developer - Flash</v>
          </cell>
          <cell r="B43" t="str">
            <v>Manager TRM Process Solutions</v>
          </cell>
        </row>
        <row r="44">
          <cell r="A44" t="str">
            <v>Developer - Java</v>
          </cell>
          <cell r="B44" t="str">
            <v>Specialist Database</v>
          </cell>
        </row>
        <row r="45">
          <cell r="A45" t="str">
            <v>Developer - Java eCommerce</v>
          </cell>
          <cell r="B45" t="str">
            <v>Specialist Infrastructure</v>
          </cell>
        </row>
        <row r="46">
          <cell r="A46" t="str">
            <v>Developer - MSFT</v>
          </cell>
          <cell r="B46" t="str">
            <v>Specialist Infrastructure SAP</v>
          </cell>
        </row>
        <row r="47">
          <cell r="A47" t="str">
            <v>Developer - PL/SQL</v>
          </cell>
          <cell r="B47" t="str">
            <v>Specialist Oracle</v>
          </cell>
        </row>
        <row r="48">
          <cell r="A48" t="str">
            <v>Developer - T-SQL</v>
          </cell>
          <cell r="B48" t="str">
            <v>Specialist Platform</v>
          </cell>
        </row>
        <row r="49">
          <cell r="A49" t="str">
            <v>Digital Printing Technician</v>
          </cell>
          <cell r="B49" t="str">
            <v>Specialist SAP</v>
          </cell>
        </row>
        <row r="50">
          <cell r="A50" t="str">
            <v>Director Interactive Development</v>
          </cell>
          <cell r="B50" t="str">
            <v>Manager TRM</v>
          </cell>
        </row>
        <row r="51">
          <cell r="A51" t="str">
            <v>Director of Technology</v>
          </cell>
          <cell r="B51" t="str">
            <v>Senior Associate Business Consulting</v>
          </cell>
        </row>
        <row r="52">
          <cell r="A52" t="str">
            <v>Engagement Lead</v>
          </cell>
          <cell r="B52" t="str">
            <v>Senior Associate Business Consulting TRM</v>
          </cell>
        </row>
        <row r="53">
          <cell r="A53" t="str">
            <v>Engagement Lead - TRM Business Consulting</v>
          </cell>
          <cell r="B53" t="str">
            <v>Senior Associate Database L1</v>
          </cell>
        </row>
        <row r="54">
          <cell r="A54" t="str">
            <v>Engagement Lead Brand Strategy</v>
          </cell>
          <cell r="B54" t="str">
            <v>Senior Associate Database L2</v>
          </cell>
        </row>
        <row r="55">
          <cell r="A55" t="str">
            <v>Engagement Lead Experience Research</v>
          </cell>
          <cell r="B55" t="str">
            <v>Senior Associate Infrastructure L1</v>
          </cell>
        </row>
        <row r="56">
          <cell r="A56" t="str">
            <v>Engagement Lead Marketing Analytics</v>
          </cell>
          <cell r="B56" t="str">
            <v>Senior Associate Infrastructure L2</v>
          </cell>
        </row>
        <row r="57">
          <cell r="A57" t="str">
            <v>Engagement Lead Marketing Strategy</v>
          </cell>
          <cell r="B57" t="str">
            <v>Senior Associate Oracle L1</v>
          </cell>
        </row>
        <row r="58">
          <cell r="A58" t="str">
            <v>Engagement Lead-Business Consulting</v>
          </cell>
          <cell r="B58" t="str">
            <v>Senior Associate Oracle L2</v>
          </cell>
        </row>
        <row r="59">
          <cell r="A59" t="str">
            <v>Facilitator</v>
          </cell>
          <cell r="B59" t="str">
            <v>Senior Associate Platform L1</v>
          </cell>
        </row>
        <row r="60">
          <cell r="A60" t="str">
            <v>Finance</v>
          </cell>
          <cell r="B60" t="str">
            <v>Senior Associate Platform L2</v>
          </cell>
        </row>
        <row r="61">
          <cell r="A61" t="str">
            <v>Group Account Director</v>
          </cell>
          <cell r="B61" t="str">
            <v>Senior Associate Program Management</v>
          </cell>
        </row>
        <row r="62">
          <cell r="A62" t="str">
            <v>Hiring</v>
          </cell>
          <cell r="B62" t="str">
            <v>Senior Associate QA L1</v>
          </cell>
        </row>
        <row r="63">
          <cell r="A63" t="str">
            <v>Information Architect</v>
          </cell>
          <cell r="B63" t="str">
            <v>Senior Associate QA L2</v>
          </cell>
        </row>
        <row r="64">
          <cell r="A64" t="str">
            <v>Infrastructure Analyst</v>
          </cell>
          <cell r="B64" t="str">
            <v>Senior Associate QA Product L1</v>
          </cell>
        </row>
        <row r="65">
          <cell r="A65" t="str">
            <v>Interactive Program Director</v>
          </cell>
          <cell r="B65" t="str">
            <v xml:space="preserve"> Senior Associate QA Product L2 </v>
          </cell>
        </row>
        <row r="66">
          <cell r="A66" t="str">
            <v>Interactive Program Manager</v>
          </cell>
          <cell r="B66" t="str">
            <v>Senior Associate Technology L1</v>
          </cell>
        </row>
        <row r="67">
          <cell r="A67" t="str">
            <v>Interactive Project Manager</v>
          </cell>
          <cell r="B67" t="str">
            <v>Senior Associate Technology L2</v>
          </cell>
        </row>
        <row r="68">
          <cell r="A68" t="str">
            <v>Internal Assignment</v>
          </cell>
          <cell r="B68" t="str">
            <v>Senior Consultant Infrastructure SAP L1</v>
          </cell>
        </row>
        <row r="69">
          <cell r="A69" t="str">
            <v>Junior Associate PM</v>
          </cell>
          <cell r="B69" t="str">
            <v>Senior Consultant Infrastructure SAP L2</v>
          </cell>
        </row>
        <row r="70">
          <cell r="A70" t="str">
            <v>Lead Content Strategist</v>
          </cell>
          <cell r="B70" t="str">
            <v>Senior Consultant SAP L1</v>
          </cell>
        </row>
        <row r="71">
          <cell r="A71" t="str">
            <v>Lead Copywriter</v>
          </cell>
          <cell r="B71" t="str">
            <v>Senior Consultant SAP L2</v>
          </cell>
        </row>
        <row r="72">
          <cell r="A72" t="str">
            <v>Lead Designer</v>
          </cell>
          <cell r="B72" t="str">
            <v>Senior Associate TRM L1</v>
          </cell>
        </row>
        <row r="73">
          <cell r="A73" t="str">
            <v>Lead Facilitator</v>
          </cell>
          <cell r="B73" t="str">
            <v>Senior Associate TRM L2</v>
          </cell>
        </row>
        <row r="74">
          <cell r="A74" t="str">
            <v>Lead Information Architect</v>
          </cell>
          <cell r="B74" t="str">
            <v>Senior Associate TRM Process Solutions L1</v>
          </cell>
        </row>
        <row r="75">
          <cell r="A75" t="str">
            <v>Legal</v>
          </cell>
          <cell r="B75" t="str">
            <v>Senior Associate TRM Process Solutions L2</v>
          </cell>
        </row>
        <row r="76">
          <cell r="A76" t="str">
            <v>Marketing</v>
          </cell>
          <cell r="B76" t="str">
            <v>Senior Manager Business Consulting</v>
          </cell>
        </row>
        <row r="77">
          <cell r="A77" t="str">
            <v>Marketing Operations Lead</v>
          </cell>
          <cell r="B77" t="str">
            <v>Senior Manager Business Consulting TRM</v>
          </cell>
        </row>
        <row r="78">
          <cell r="A78" t="str">
            <v>Media Director</v>
          </cell>
          <cell r="B78" t="str">
            <v>Senior Manager Oracle</v>
          </cell>
        </row>
        <row r="79">
          <cell r="A79" t="str">
            <v>Media Planner</v>
          </cell>
          <cell r="B79" t="str">
            <v>Senior Manager QA</v>
          </cell>
        </row>
        <row r="80">
          <cell r="A80" t="str">
            <v>Media Supervisor - Operations</v>
          </cell>
          <cell r="B80" t="str">
            <v>Senior Manager Program Management</v>
          </cell>
        </row>
        <row r="81">
          <cell r="A81" t="str">
            <v>Media Supervisor - Planning</v>
          </cell>
          <cell r="B81" t="str">
            <v>Senior Manager SAP</v>
          </cell>
        </row>
        <row r="82">
          <cell r="A82" t="str">
            <v>Notetaker</v>
          </cell>
          <cell r="B82" t="str">
            <v>Senior Manager Technology</v>
          </cell>
        </row>
        <row r="83">
          <cell r="A83" t="str">
            <v>Ops</v>
          </cell>
          <cell r="B83" t="str">
            <v>Senior Manager TRM Process Solutions</v>
          </cell>
        </row>
        <row r="84">
          <cell r="A84" t="str">
            <v>Oracle Applications Specialist</v>
          </cell>
          <cell r="B84" t="str">
            <v>Senior Specialist Database</v>
          </cell>
        </row>
        <row r="85">
          <cell r="A85" t="str">
            <v>Oracle BI Consultant</v>
          </cell>
          <cell r="B85" t="str">
            <v>Senior Specialist Infrastructure</v>
          </cell>
        </row>
        <row r="86">
          <cell r="A86" t="str">
            <v>Oracle BI Manager</v>
          </cell>
          <cell r="B86" t="str">
            <v>Senior Specialist Infrastructure SAP</v>
          </cell>
        </row>
        <row r="87">
          <cell r="A87" t="str">
            <v>Oracle ECM Consultant</v>
          </cell>
          <cell r="B87" t="str">
            <v>Senior Specialist Oracle</v>
          </cell>
        </row>
        <row r="88">
          <cell r="A88" t="str">
            <v>Oracle ECM Manager</v>
          </cell>
          <cell r="B88" t="str">
            <v>Senior Specialist Platform</v>
          </cell>
        </row>
        <row r="89">
          <cell r="A89" t="str">
            <v>Oracle Engagement Manager</v>
          </cell>
          <cell r="B89" t="str">
            <v>Senior Specialist SAP</v>
          </cell>
        </row>
        <row r="90">
          <cell r="A90" t="str">
            <v>Oracle Functional Consultant</v>
          </cell>
          <cell r="B90" t="str">
            <v>Senior Manager TRM</v>
          </cell>
        </row>
        <row r="91">
          <cell r="A91" t="str">
            <v>Oracle Functional Consultant Manager</v>
          </cell>
          <cell r="B91" t="str">
            <v>Trainee QA</v>
          </cell>
        </row>
        <row r="92">
          <cell r="A92" t="str">
            <v>Oracle Middleware Consultant</v>
          </cell>
          <cell r="B92" t="str">
            <v>Trainee Technology</v>
          </cell>
        </row>
        <row r="93">
          <cell r="A93" t="str">
            <v>Oracle Middleware Manager</v>
          </cell>
          <cell r="B93" t="str">
            <v>Vice President Business Consulting</v>
          </cell>
        </row>
        <row r="94">
          <cell r="A94" t="str">
            <v>Oracle Specialist BI</v>
          </cell>
          <cell r="B94" t="str">
            <v>Vice President Business Consulting TRM</v>
          </cell>
        </row>
        <row r="95">
          <cell r="A95" t="str">
            <v>Oracle Specialist ECM</v>
          </cell>
          <cell r="B95" t="str">
            <v>Vice President General Management</v>
          </cell>
        </row>
        <row r="96">
          <cell r="A96" t="str">
            <v>Oracle Specialist Middleware</v>
          </cell>
          <cell r="B96" t="str">
            <v>Vice President Program Management</v>
          </cell>
        </row>
        <row r="97">
          <cell r="A97" t="str">
            <v>Oracle Sr. BI Consultant</v>
          </cell>
          <cell r="B97" t="str">
            <v>Vice President SAP</v>
          </cell>
        </row>
        <row r="98">
          <cell r="A98" t="str">
            <v>Oracle Sr. ECM Consultant</v>
          </cell>
          <cell r="B98" t="str">
            <v>Vice President Technology</v>
          </cell>
        </row>
        <row r="99">
          <cell r="A99" t="str">
            <v>Oracle Sr. Functional Consultant</v>
          </cell>
          <cell r="B99" t="str">
            <v>Vice President TRM Process Solutions</v>
          </cell>
        </row>
        <row r="100">
          <cell r="A100" t="str">
            <v>Oracle Sr. Middleware Consultant</v>
          </cell>
        </row>
        <row r="101">
          <cell r="A101" t="str">
            <v>Oracle Sr. Technical Consultant</v>
          </cell>
          <cell r="B101" t="str">
            <v>Account Coordinator</v>
          </cell>
        </row>
        <row r="102">
          <cell r="A102" t="str">
            <v>Oracle Technical Consultant</v>
          </cell>
          <cell r="B102" t="str">
            <v>Account Director</v>
          </cell>
        </row>
        <row r="103">
          <cell r="A103" t="str">
            <v>Oracle Technical Consultant Manager</v>
          </cell>
          <cell r="B103" t="str">
            <v>Account Executive</v>
          </cell>
        </row>
        <row r="104">
          <cell r="A104" t="str">
            <v>PM</v>
          </cell>
          <cell r="B104" t="str">
            <v>Account Manager</v>
          </cell>
        </row>
        <row r="105">
          <cell r="A105" t="str">
            <v>PMO Administrator</v>
          </cell>
          <cell r="B105" t="str">
            <v>Account Supervisor</v>
          </cell>
        </row>
        <row r="106">
          <cell r="A106" t="str">
            <v>PMO Lead</v>
          </cell>
          <cell r="B106" t="str">
            <v>Art Director</v>
          </cell>
        </row>
        <row r="107">
          <cell r="A107" t="str">
            <v>PMO Team Member</v>
          </cell>
          <cell r="B107" t="str">
            <v>Assistant Media Planner</v>
          </cell>
        </row>
        <row r="108">
          <cell r="A108" t="str">
            <v>People Strategist</v>
          </cell>
          <cell r="B108" t="str">
            <v>Associate Creative Director</v>
          </cell>
        </row>
        <row r="109">
          <cell r="A109" t="str">
            <v>Practitioner - TRM</v>
          </cell>
          <cell r="B109" t="str">
            <v>Associate Creative Operations</v>
          </cell>
        </row>
        <row r="110">
          <cell r="A110" t="str">
            <v>Print Manager</v>
          </cell>
          <cell r="B110" t="str">
            <v>Associate Marketing Strategy &amp; Analysis</v>
          </cell>
        </row>
        <row r="111">
          <cell r="A111" t="str">
            <v>Producer</v>
          </cell>
          <cell r="B111" t="str">
            <v>Associate Media Director</v>
          </cell>
        </row>
        <row r="112">
          <cell r="A112" t="str">
            <v>Production Director</v>
          </cell>
          <cell r="B112" t="str">
            <v>Associate Media Operations</v>
          </cell>
        </row>
        <row r="113">
          <cell r="A113" t="str">
            <v>Production/Logistics Manager</v>
          </cell>
          <cell r="B113" t="str">
            <v>Associate Production/Logistics</v>
          </cell>
        </row>
        <row r="114">
          <cell r="A114" t="str">
            <v>Program Manager</v>
          </cell>
          <cell r="B114" t="str">
            <v>Associate Search Director</v>
          </cell>
        </row>
        <row r="115">
          <cell r="A115" t="str">
            <v>Project Lead Brand Strategy</v>
          </cell>
          <cell r="B115" t="str">
            <v>Content Strategist</v>
          </cell>
        </row>
        <row r="116">
          <cell r="A116" t="str">
            <v>Project Lead Consumer &amp; Industry Research</v>
          </cell>
          <cell r="B116" t="str">
            <v>Copywriter</v>
          </cell>
        </row>
        <row r="117">
          <cell r="A117" t="str">
            <v>Project Lead Experience Research</v>
          </cell>
          <cell r="B117" t="str">
            <v>Creative Director</v>
          </cell>
        </row>
        <row r="118">
          <cell r="A118" t="str">
            <v>Project Lead Marketing Analytics</v>
          </cell>
          <cell r="B118" t="str">
            <v>Designer</v>
          </cell>
        </row>
        <row r="119">
          <cell r="A119" t="str">
            <v>Project Lead Marketing Strategy</v>
          </cell>
          <cell r="B119" t="str">
            <v>Director Creative Operations</v>
          </cell>
        </row>
        <row r="120">
          <cell r="A120" t="str">
            <v>Proof Reader</v>
          </cell>
          <cell r="B120" t="str">
            <v>Director Interactive Development</v>
          </cell>
        </row>
        <row r="121">
          <cell r="A121" t="str">
            <v>Relationship Developer</v>
          </cell>
          <cell r="B121" t="str">
            <v>Director Marketing Strategy &amp; Analysis</v>
          </cell>
        </row>
        <row r="122">
          <cell r="A122" t="str">
            <v>Relationship Manager</v>
          </cell>
          <cell r="B122" t="str">
            <v>Group Account Director</v>
          </cell>
        </row>
        <row r="123">
          <cell r="A123" t="str">
            <v>Requirement Analyst</v>
          </cell>
          <cell r="B123" t="str">
            <v>Information Architect</v>
          </cell>
        </row>
        <row r="124">
          <cell r="A124" t="str">
            <v>Requirement Analyst - TRM</v>
          </cell>
          <cell r="B124" t="str">
            <v>Interactive Developer</v>
          </cell>
        </row>
        <row r="125">
          <cell r="A125" t="str">
            <v>Retail Merchandise Installer</v>
          </cell>
          <cell r="B125" t="str">
            <v>Jr Copywriter</v>
          </cell>
        </row>
        <row r="126">
          <cell r="A126" t="str">
            <v>SAP ABAP Developer</v>
          </cell>
          <cell r="B126" t="str">
            <v>Jr Designer</v>
          </cell>
        </row>
        <row r="127">
          <cell r="A127" t="str">
            <v>SAP ABAP Team Lead</v>
          </cell>
          <cell r="B127" t="str">
            <v>Junior Associate Creative Operations</v>
          </cell>
        </row>
        <row r="128">
          <cell r="A128" t="str">
            <v>SAP BI ABAP Developer</v>
          </cell>
          <cell r="B128" t="str">
            <v>Junior Associate Production/Logistics</v>
          </cell>
        </row>
        <row r="129">
          <cell r="A129" t="str">
            <v>SAP BI Architect - Analytics</v>
          </cell>
          <cell r="B129" t="str">
            <v>Junior Interactive Developer</v>
          </cell>
        </row>
        <row r="130">
          <cell r="A130" t="str">
            <v>SAP BI Architect - Data Warehouse</v>
          </cell>
          <cell r="B130" t="str">
            <v>Manager Content Strategy</v>
          </cell>
        </row>
        <row r="131">
          <cell r="A131" t="str">
            <v>SAP BI Consultant - Analytics</v>
          </cell>
          <cell r="B131" t="str">
            <v>Manager Creative Operations</v>
          </cell>
        </row>
        <row r="132">
          <cell r="A132" t="str">
            <v>SAP BI Consultant - MDM</v>
          </cell>
          <cell r="B132" t="str">
            <v>Manager Information Architect</v>
          </cell>
        </row>
        <row r="133">
          <cell r="A133" t="str">
            <v>SAP BI Consultant - Portal</v>
          </cell>
          <cell r="B133" t="str">
            <v>Manager Interactive Development</v>
          </cell>
        </row>
        <row r="134">
          <cell r="A134" t="str">
            <v>SAP BI Developer - Extraction and Back End</v>
          </cell>
          <cell r="B134" t="str">
            <v>Manager Marketing Strategy &amp; Analysis</v>
          </cell>
        </row>
        <row r="135">
          <cell r="A135" t="str">
            <v>SAP BI Expert</v>
          </cell>
          <cell r="B135" t="str">
            <v>Manager Production/Logistics</v>
          </cell>
        </row>
        <row r="136">
          <cell r="A136" t="str">
            <v>SAP BI Planning Consultant</v>
          </cell>
          <cell r="B136" t="str">
            <v>Manager Copywriting</v>
          </cell>
        </row>
        <row r="137">
          <cell r="A137" t="str">
            <v>SAP BI Planning Consultant - BPC</v>
          </cell>
          <cell r="B137" t="str">
            <v>Media Director</v>
          </cell>
        </row>
        <row r="138">
          <cell r="A138" t="str">
            <v>SAP BI Portal Architect</v>
          </cell>
          <cell r="B138" t="str">
            <v>Media Planner</v>
          </cell>
        </row>
        <row r="139">
          <cell r="A139" t="str">
            <v>SAP BI Project Manager</v>
          </cell>
          <cell r="B139" t="str">
            <v>Media Supervisor</v>
          </cell>
        </row>
        <row r="140">
          <cell r="A140" t="str">
            <v>SAP BI Reporting Developer - All</v>
          </cell>
          <cell r="B140" t="str">
            <v>Search Analyst</v>
          </cell>
        </row>
        <row r="141">
          <cell r="A141" t="str">
            <v>SAP BI Strategic Consultant - Assessment</v>
          </cell>
          <cell r="B141" t="str">
            <v>Search Director</v>
          </cell>
        </row>
        <row r="142">
          <cell r="A142" t="str">
            <v>SAP BI Team Lead</v>
          </cell>
          <cell r="B142" t="str">
            <v>Search Manager</v>
          </cell>
        </row>
        <row r="143">
          <cell r="A143" t="str">
            <v>SAP BI Technical Consultant - Assessment</v>
          </cell>
          <cell r="B143" t="str">
            <v>Senior Art Director</v>
          </cell>
        </row>
        <row r="144">
          <cell r="A144" t="str">
            <v>SAP Consolidations Consultant</v>
          </cell>
          <cell r="B144" t="str">
            <v>Senior Associate Creative Operations</v>
          </cell>
        </row>
        <row r="145">
          <cell r="A145" t="str">
            <v>SAP Consultant - Archiving</v>
          </cell>
          <cell r="B145" t="str">
            <v>Senior Associate Marketing Strategy &amp; Analysis</v>
          </cell>
        </row>
        <row r="146">
          <cell r="A146" t="str">
            <v>SAP Consultant - Workflow</v>
          </cell>
          <cell r="B146" t="str">
            <v>Senior Associate Media Operations</v>
          </cell>
        </row>
        <row r="147">
          <cell r="A147" t="str">
            <v>SAP Consultant - XI</v>
          </cell>
          <cell r="B147" t="str">
            <v>Senior Associate Production/Logistics</v>
          </cell>
        </row>
        <row r="148">
          <cell r="A148" t="str">
            <v>SAP Engagement Manager</v>
          </cell>
          <cell r="B148" t="str">
            <v>Senior Content Strategist</v>
          </cell>
        </row>
        <row r="149">
          <cell r="A149" t="str">
            <v>SAP Functional Consultant</v>
          </cell>
          <cell r="B149" t="str">
            <v>Senior Copywriter</v>
          </cell>
        </row>
        <row r="150">
          <cell r="A150" t="str">
            <v>SAP Functional Team Lead</v>
          </cell>
          <cell r="B150" t="str">
            <v>Senior Information Architect</v>
          </cell>
        </row>
        <row r="151">
          <cell r="A151" t="str">
            <v>SAP Infra Consultant - Basis and Security</v>
          </cell>
          <cell r="B151" t="str">
            <v>Senior Interactive Developer</v>
          </cell>
        </row>
        <row r="152">
          <cell r="A152" t="str">
            <v>SAP Project Manager</v>
          </cell>
          <cell r="B152" t="str">
            <v>Senior Manager Creative Operations</v>
          </cell>
        </row>
        <row r="153">
          <cell r="A153" t="str">
            <v>SAP Sr ABAP Developer</v>
          </cell>
          <cell r="B153" t="str">
            <v>Senior Manager Interactive Development</v>
          </cell>
        </row>
        <row r="154">
          <cell r="A154" t="str">
            <v>SAP Sr BI Consultant - MDM</v>
          </cell>
          <cell r="B154" t="str">
            <v>Senior Manager Marketing Strategy &amp; Analysis</v>
          </cell>
        </row>
        <row r="155">
          <cell r="A155" t="str">
            <v>SAP Sr BI Planning Consultant</v>
          </cell>
          <cell r="B155" t="str">
            <v>Senior Manager Production/Logistics</v>
          </cell>
        </row>
        <row r="156">
          <cell r="A156" t="str">
            <v>SAP Sr BI Planning Consultant - BPC</v>
          </cell>
          <cell r="B156" t="str">
            <v>Senior Media Planner</v>
          </cell>
        </row>
        <row r="157">
          <cell r="A157" t="str">
            <v>SAP Sr Consolidations Consultant</v>
          </cell>
          <cell r="B157" t="str">
            <v>Senior Search Analyst</v>
          </cell>
        </row>
        <row r="158">
          <cell r="A158" t="str">
            <v>SAP Sr Functional Consultant</v>
          </cell>
          <cell r="B158" t="str">
            <v>VP Group Account Director</v>
          </cell>
        </row>
        <row r="159">
          <cell r="A159" t="str">
            <v>SAP Sr Infra Consultant - Basis and Security</v>
          </cell>
          <cell r="B159" t="str">
            <v>VP Creative</v>
          </cell>
        </row>
        <row r="160">
          <cell r="A160" t="str">
            <v>SAP Technical Team Lead</v>
          </cell>
          <cell r="B160" t="str">
            <v>VP Marketing Strategy &amp; Analysis</v>
          </cell>
        </row>
        <row r="161">
          <cell r="A161" t="str">
            <v>Search Analyst</v>
          </cell>
          <cell r="B161" t="str">
            <v>VP Media</v>
          </cell>
        </row>
        <row r="162">
          <cell r="A162" t="str">
            <v>Search Director</v>
          </cell>
        </row>
        <row r="163">
          <cell r="A163" t="str">
            <v>Search Manager</v>
          </cell>
          <cell r="B163" t="str">
            <v>Associate Alliances</v>
          </cell>
        </row>
        <row r="164">
          <cell r="A164" t="str">
            <v>Senior Associate Media Operations</v>
          </cell>
          <cell r="B164" t="str">
            <v>Associate Executive Admin</v>
          </cell>
        </row>
        <row r="165">
          <cell r="A165" t="str">
            <v>Senior Business Strategy Analyst</v>
          </cell>
          <cell r="B165" t="str">
            <v>Associate Expansion</v>
          </cell>
        </row>
        <row r="166">
          <cell r="A166" t="str">
            <v>Senior Business Strategy Analyst - TRM</v>
          </cell>
          <cell r="B166" t="str">
            <v>Associate Finance</v>
          </cell>
        </row>
        <row r="167">
          <cell r="A167" t="str">
            <v>Senior DBA - BridgeTrack</v>
          </cell>
          <cell r="B167" t="str">
            <v>Associate Financial Analyst</v>
          </cell>
        </row>
        <row r="168">
          <cell r="A168" t="str">
            <v>Senior DBA - DB2 UDB</v>
          </cell>
          <cell r="B168" t="str">
            <v>Associate GPM</v>
          </cell>
        </row>
        <row r="169">
          <cell r="A169" t="str">
            <v>Senior DBA - MS SQL Server</v>
          </cell>
          <cell r="B169" t="str">
            <v>Associate Hiring</v>
          </cell>
        </row>
        <row r="170">
          <cell r="A170" t="str">
            <v>Senior DBA - Oracle</v>
          </cell>
          <cell r="B170" t="str">
            <v>Associate IT</v>
          </cell>
        </row>
        <row r="171">
          <cell r="A171" t="str">
            <v>Senior DBA - Oracle ERP</v>
          </cell>
          <cell r="B171" t="str">
            <v>Associate IT GS Global Support L1</v>
          </cell>
        </row>
        <row r="172">
          <cell r="A172" t="str">
            <v>Senior DBA - Sybase</v>
          </cell>
          <cell r="B172" t="str">
            <v>Associate IT GS Global Support L2</v>
          </cell>
        </row>
        <row r="173">
          <cell r="A173" t="str">
            <v>Senior Developer - BI</v>
          </cell>
          <cell r="B173" t="str">
            <v>Associate Learning &amp; Development</v>
          </cell>
        </row>
        <row r="174">
          <cell r="A174" t="str">
            <v>Senior Developer - BridgeTrack</v>
          </cell>
          <cell r="B174" t="str">
            <v>Associate Legal</v>
          </cell>
        </row>
        <row r="175">
          <cell r="A175" t="str">
            <v>Senior Developer - C++ Platform</v>
          </cell>
          <cell r="B175" t="str">
            <v>Associate Marketing</v>
          </cell>
        </row>
        <row r="176">
          <cell r="A176" t="str">
            <v>Senior Developer - CMS</v>
          </cell>
          <cell r="B176" t="str">
            <v>Associate Office Services</v>
          </cell>
        </row>
        <row r="177">
          <cell r="A177" t="str">
            <v>Senior Developer - ETL</v>
          </cell>
          <cell r="B177" t="str">
            <v>Associate People Strategy</v>
          </cell>
        </row>
        <row r="178">
          <cell r="A178" t="str">
            <v>Senior Developer - Java</v>
          </cell>
          <cell r="B178" t="str">
            <v>Associate People Strategy Compensation</v>
          </cell>
        </row>
        <row r="179">
          <cell r="A179" t="str">
            <v>Senior Developer - Java Platform</v>
          </cell>
          <cell r="B179" t="str">
            <v>Associate Staffing</v>
          </cell>
        </row>
        <row r="180">
          <cell r="A180" t="str">
            <v>Senior Developer - Java eCommerce</v>
          </cell>
          <cell r="B180" t="str">
            <v>Chief Executive Officer</v>
          </cell>
        </row>
        <row r="181">
          <cell r="A181" t="str">
            <v>Senior Developer - MSFT</v>
          </cell>
          <cell r="B181" t="str">
            <v>Chief Financial Officer</v>
          </cell>
        </row>
        <row r="182">
          <cell r="A182" t="str">
            <v>Senior Developer - MSFT Platform</v>
          </cell>
          <cell r="B182" t="str">
            <v>Chief Information Officer</v>
          </cell>
        </row>
        <row r="183">
          <cell r="A183" t="str">
            <v>Senior Developer - PL/SQL</v>
          </cell>
          <cell r="B183" t="str">
            <v>Consultant DBA Oracle Applications L2</v>
          </cell>
        </row>
        <row r="184">
          <cell r="A184" t="str">
            <v>Senior Developer - T-SQL</v>
          </cell>
          <cell r="B184" t="str">
            <v xml:space="preserve"> Consultant Oracle Applications L1 </v>
          </cell>
        </row>
        <row r="185">
          <cell r="A185" t="str">
            <v>Senior Infrastructure Analyst</v>
          </cell>
          <cell r="B185" t="str">
            <v>Consultant Oracle Applications L2</v>
          </cell>
        </row>
        <row r="186">
          <cell r="A186" t="str">
            <v>Senior Media Planner</v>
          </cell>
          <cell r="B186" t="str">
            <v>Director Alliances</v>
          </cell>
        </row>
        <row r="187">
          <cell r="A187" t="str">
            <v>Senior Practitioner - TRM</v>
          </cell>
          <cell r="B187" t="str">
            <v>Director Business Development</v>
          </cell>
        </row>
        <row r="188">
          <cell r="A188" t="str">
            <v>Senior Producer</v>
          </cell>
          <cell r="B188" t="str">
            <v>Director Finance</v>
          </cell>
        </row>
        <row r="189">
          <cell r="A189" t="str">
            <v>Senior Requirement Analyst</v>
          </cell>
          <cell r="B189" t="str">
            <v>Director Hiring</v>
          </cell>
        </row>
        <row r="190">
          <cell r="A190" t="str">
            <v>Senior Requirement Analyst - TRM</v>
          </cell>
          <cell r="B190" t="str">
            <v>Director IT</v>
          </cell>
        </row>
        <row r="191">
          <cell r="A191" t="str">
            <v>Senior Search Analyst</v>
          </cell>
          <cell r="B191" t="str">
            <v>Director Learning &amp; Development</v>
          </cell>
        </row>
        <row r="192">
          <cell r="A192" t="str">
            <v>Senior Specialist Test Automation</v>
          </cell>
          <cell r="B192" t="str">
            <v>Director Legal</v>
          </cell>
        </row>
        <row r="193">
          <cell r="A193" t="str">
            <v>Senior Specialist Test Performance</v>
          </cell>
          <cell r="B193" t="str">
            <v>Director Marketing</v>
          </cell>
        </row>
        <row r="194">
          <cell r="A194" t="str">
            <v>Senior Specialist Test Product</v>
          </cell>
          <cell r="B194" t="str">
            <v>Director Office Services</v>
          </cell>
        </row>
        <row r="195">
          <cell r="A195" t="str">
            <v>Senior Technical Strategist</v>
          </cell>
          <cell r="B195" t="str">
            <v>Director Operations</v>
          </cell>
        </row>
        <row r="196">
          <cell r="A196" t="str">
            <v>Senior Technical Strategist - TRM</v>
          </cell>
          <cell r="B196" t="str">
            <v>Director People Strategy</v>
          </cell>
        </row>
        <row r="197">
          <cell r="A197" t="str">
            <v>Senior Test Delivery Manager</v>
          </cell>
          <cell r="B197" t="str">
            <v>Director People Strategy Compensation</v>
          </cell>
        </row>
        <row r="198">
          <cell r="A198" t="str">
            <v>Shipping Clerk</v>
          </cell>
          <cell r="B198" t="str">
            <v>Director Risk Management</v>
          </cell>
        </row>
        <row r="199">
          <cell r="A199" t="str">
            <v>Site Developer</v>
          </cell>
          <cell r="B199" t="str">
            <v>Executive Vice President</v>
          </cell>
        </row>
        <row r="200">
          <cell r="A200" t="str">
            <v>Specialist - C++</v>
          </cell>
          <cell r="B200" t="str">
            <v>Manager Alliances</v>
          </cell>
        </row>
        <row r="201">
          <cell r="A201" t="str">
            <v>Specialist - CMS</v>
          </cell>
          <cell r="B201" t="str">
            <v>Manager Expansion</v>
          </cell>
        </row>
        <row r="202">
          <cell r="A202" t="str">
            <v>Specialist - Data Integration</v>
          </cell>
          <cell r="B202" t="str">
            <v>Manager Finance</v>
          </cell>
        </row>
        <row r="203">
          <cell r="A203" t="str">
            <v>Specialist - Infrastructure</v>
          </cell>
          <cell r="B203" t="str">
            <v>Manager GPM</v>
          </cell>
        </row>
        <row r="204">
          <cell r="A204" t="str">
            <v>Specialist - Java</v>
          </cell>
          <cell r="B204" t="str">
            <v>Manager Hiring</v>
          </cell>
        </row>
        <row r="205">
          <cell r="A205" t="str">
            <v>Specialist - Java eCommerce</v>
          </cell>
          <cell r="B205" t="str">
            <v>Manager IT</v>
          </cell>
        </row>
        <row r="206">
          <cell r="A206" t="str">
            <v>Specialist - MSFT</v>
          </cell>
          <cell r="B206" t="str">
            <v>Manager Learning &amp; Development</v>
          </cell>
        </row>
        <row r="207">
          <cell r="A207" t="str">
            <v>Specialist BI/DW</v>
          </cell>
          <cell r="B207" t="str">
            <v>Manager Legal</v>
          </cell>
        </row>
        <row r="208">
          <cell r="A208" t="str">
            <v>Specialist DBA - BridgeTrack</v>
          </cell>
          <cell r="B208" t="str">
            <v>Manager Marketing</v>
          </cell>
        </row>
        <row r="209">
          <cell r="A209" t="str">
            <v>Specialist DBA - DB2 UDB</v>
          </cell>
          <cell r="B209" t="str">
            <v>Manager Office Services</v>
          </cell>
        </row>
        <row r="210">
          <cell r="A210" t="str">
            <v>Specialist DBA - MS SQL Server</v>
          </cell>
          <cell r="B210" t="str">
            <v>Manager Operations</v>
          </cell>
        </row>
        <row r="211">
          <cell r="A211" t="str">
            <v>Specialist DBA - Oracle</v>
          </cell>
          <cell r="B211" t="str">
            <v>Manager People Strategy</v>
          </cell>
        </row>
        <row r="212">
          <cell r="A212" t="str">
            <v>Specialist DBA - Oracle ERP</v>
          </cell>
          <cell r="B212" t="str">
            <v>Manager People Strategy Benefits</v>
          </cell>
        </row>
        <row r="213">
          <cell r="A213" t="str">
            <v>Specialist DBA - Sybase</v>
          </cell>
          <cell r="B213" t="str">
            <v>Manager People Strategy Expatriate</v>
          </cell>
        </row>
        <row r="214">
          <cell r="A214" t="str">
            <v>Specialist Test Automation</v>
          </cell>
          <cell r="B214" t="str">
            <v>Manager Staffing</v>
          </cell>
        </row>
        <row r="215">
          <cell r="A215" t="str">
            <v>Specialist Test Performance</v>
          </cell>
          <cell r="B215" t="str">
            <v>Payroll Analyst Finance</v>
          </cell>
        </row>
        <row r="216">
          <cell r="A216" t="str">
            <v>Specialist Test Product</v>
          </cell>
          <cell r="B216" t="str">
            <v>Senior Vice President</v>
          </cell>
        </row>
        <row r="217">
          <cell r="A217" t="str">
            <v>Staffing Strategist</v>
          </cell>
          <cell r="B217" t="str">
            <v>Senior Vice President General Counsel</v>
          </cell>
        </row>
        <row r="218">
          <cell r="A218" t="str">
            <v>Studio Manager</v>
          </cell>
          <cell r="B218" t="str">
            <v>Senior Associate Alliances</v>
          </cell>
        </row>
        <row r="219">
          <cell r="A219" t="str">
            <v>Support Specialist</v>
          </cell>
          <cell r="B219" t="str">
            <v>Senior Associate Executive Admin</v>
          </cell>
        </row>
        <row r="220">
          <cell r="A220" t="str">
            <v>TRM - Collateral</v>
          </cell>
          <cell r="B220" t="str">
            <v>Senior Associate Finance</v>
          </cell>
        </row>
        <row r="221">
          <cell r="A221" t="str">
            <v>TRM - Legal</v>
          </cell>
          <cell r="B221" t="str">
            <v>Senior Associate GPM</v>
          </cell>
        </row>
        <row r="222">
          <cell r="A222" t="str">
            <v>TRM - Loans</v>
          </cell>
          <cell r="B222" t="str">
            <v>Senior Associate Hiring</v>
          </cell>
        </row>
        <row r="223">
          <cell r="A223" t="str">
            <v>TRM Commodities - Confirmations</v>
          </cell>
          <cell r="B223" t="str">
            <v>Senior Associate IT</v>
          </cell>
        </row>
        <row r="224">
          <cell r="A224" t="str">
            <v>TRM Commodities - Middle Office</v>
          </cell>
          <cell r="B224" t="str">
            <v>Senior Associate IT GS Global Support L1</v>
          </cell>
        </row>
        <row r="225">
          <cell r="A225" t="str">
            <v>TRM Commodities - Settlements</v>
          </cell>
          <cell r="B225" t="str">
            <v>Senior Associate Learning &amp; Development</v>
          </cell>
        </row>
        <row r="226">
          <cell r="A226" t="str">
            <v>TRM Credit - Confirmations</v>
          </cell>
          <cell r="B226" t="str">
            <v>Senior Associate Legal</v>
          </cell>
        </row>
        <row r="227">
          <cell r="A227" t="str">
            <v>TRM Credit - Middle Office</v>
          </cell>
          <cell r="B227" t="str">
            <v>Senior Associate Marketing</v>
          </cell>
        </row>
        <row r="228">
          <cell r="A228" t="str">
            <v>TRM Credit - Settlements</v>
          </cell>
          <cell r="B228" t="str">
            <v>Senior Associate Office Services</v>
          </cell>
        </row>
        <row r="229">
          <cell r="A229" t="str">
            <v>TRM Developer - ETRM Package</v>
          </cell>
          <cell r="B229" t="str">
            <v>Senior Associate People Strategy</v>
          </cell>
        </row>
        <row r="230">
          <cell r="A230" t="str">
            <v>TRM Developer - Financial Package</v>
          </cell>
          <cell r="B230" t="str">
            <v>Senior Associate Staffing</v>
          </cell>
        </row>
        <row r="231">
          <cell r="A231" t="str">
            <v>TRM Developer - Java</v>
          </cell>
          <cell r="B231" t="str">
            <v>Senior Consultant Oracle Applications L1</v>
          </cell>
        </row>
        <row r="232">
          <cell r="A232" t="str">
            <v>TRM Developer - MSFT</v>
          </cell>
          <cell r="B232" t="str">
            <v>Senior Consultant Oracle Applications L2</v>
          </cell>
        </row>
        <row r="233">
          <cell r="A233" t="str">
            <v>TRM Equities - Confirmations</v>
          </cell>
          <cell r="B233" t="str">
            <v>Senior Manager Alliances</v>
          </cell>
        </row>
        <row r="234">
          <cell r="A234" t="str">
            <v>TRM Equities - Middle Office</v>
          </cell>
          <cell r="B234" t="str">
            <v>Senior Manager Business Development</v>
          </cell>
        </row>
        <row r="235">
          <cell r="A235" t="str">
            <v>TRM Equities - Settlements</v>
          </cell>
          <cell r="B235" t="str">
            <v>Senior Manager Expansion</v>
          </cell>
        </row>
        <row r="236">
          <cell r="A236" t="str">
            <v>TRM FXO - Confirmations</v>
          </cell>
          <cell r="B236" t="str">
            <v>Senior Manager Finance</v>
          </cell>
        </row>
        <row r="237">
          <cell r="A237" t="str">
            <v>TRM FXO - Middle Office</v>
          </cell>
          <cell r="B237" t="str">
            <v>Senior Manager GPM</v>
          </cell>
        </row>
        <row r="238">
          <cell r="A238" t="str">
            <v>TRM FXO - Settlements</v>
          </cell>
          <cell r="B238" t="str">
            <v>Senior Manager Hiring</v>
          </cell>
        </row>
        <row r="239">
          <cell r="A239" t="str">
            <v>TRM Interest Rates - Confirmations</v>
          </cell>
          <cell r="B239" t="str">
            <v>Senior Manager IT</v>
          </cell>
        </row>
        <row r="240">
          <cell r="A240" t="str">
            <v>TRM Interest Rates - Middle Office</v>
          </cell>
          <cell r="B240" t="str">
            <v>Senior Manager Learning &amp; Development</v>
          </cell>
        </row>
        <row r="241">
          <cell r="A241" t="str">
            <v>TRM Interest Rates - Settlements</v>
          </cell>
          <cell r="B241" t="str">
            <v>Senior Manager Legal</v>
          </cell>
        </row>
        <row r="242">
          <cell r="A242" t="str">
            <v>TRM Process Solutions - Business Analyst</v>
          </cell>
          <cell r="B242" t="str">
            <v>Senior Manager Marketing</v>
          </cell>
        </row>
        <row r="243">
          <cell r="A243" t="str">
            <v>TRM Process Solutions - Program Office Support</v>
          </cell>
          <cell r="B243" t="str">
            <v>Senior Manager Office Services</v>
          </cell>
        </row>
        <row r="244">
          <cell r="A244" t="str">
            <v>TRM Process Solutions - Programme Manager</v>
          </cell>
          <cell r="B244" t="str">
            <v>Senior Manager People Strategy</v>
          </cell>
        </row>
        <row r="245">
          <cell r="A245" t="str">
            <v>TRM Process Solutions - Project Manager</v>
          </cell>
          <cell r="B245" t="str">
            <v>Senior Manager People Strategy Benefits</v>
          </cell>
        </row>
        <row r="246">
          <cell r="A246" t="str">
            <v>TRM Specialist - ETRM Package</v>
          </cell>
          <cell r="B246" t="str">
            <v>Senior Manager People Strategy Compensation</v>
          </cell>
        </row>
        <row r="247">
          <cell r="A247" t="str">
            <v>TRM Specialist - Financial Package</v>
          </cell>
          <cell r="B247" t="str">
            <v>Senior Manager Staffing</v>
          </cell>
        </row>
        <row r="248">
          <cell r="A248" t="str">
            <v>TRM Systems Architect - Java</v>
          </cell>
          <cell r="B248" t="str">
            <v>Senior Specialist IT</v>
          </cell>
        </row>
        <row r="249">
          <cell r="A249" t="str">
            <v>TRM Systems Architect - MSFT</v>
          </cell>
          <cell r="B249" t="str">
            <v>Senior Specialist DBA Oracle Applications</v>
          </cell>
        </row>
        <row r="250">
          <cell r="A250" t="str">
            <v>Technical Strategist</v>
          </cell>
          <cell r="B250" t="str">
            <v>Senior Specialist Oracle Applications</v>
          </cell>
        </row>
        <row r="251">
          <cell r="A251" t="str">
            <v>Test Analyst</v>
          </cell>
          <cell r="B251" t="str">
            <v>Specialist DBA Oracle Applications</v>
          </cell>
        </row>
        <row r="252">
          <cell r="A252" t="str">
            <v>Test Analyst Automation</v>
          </cell>
          <cell r="B252" t="str">
            <v>Specialist Executive Admin</v>
          </cell>
        </row>
        <row r="253">
          <cell r="A253" t="str">
            <v>Test Analyst Performance</v>
          </cell>
          <cell r="B253" t="str">
            <v>Specialist IT</v>
          </cell>
        </row>
        <row r="254">
          <cell r="A254" t="str">
            <v>Test Analyst Product</v>
          </cell>
          <cell r="B254" t="str">
            <v>Specialist Oracle Applications</v>
          </cell>
        </row>
        <row r="255">
          <cell r="A255" t="str">
            <v>Test Delivery Director</v>
          </cell>
          <cell r="B255" t="str">
            <v>Vice President Alliances</v>
          </cell>
        </row>
        <row r="256">
          <cell r="A256" t="str">
            <v>Test Delivery Manager</v>
          </cell>
          <cell r="B256" t="str">
            <v>Vice President Business Development</v>
          </cell>
        </row>
        <row r="257">
          <cell r="A257" t="str">
            <v>Test Lead</v>
          </cell>
          <cell r="B257" t="str">
            <v>Vice President Finance</v>
          </cell>
        </row>
        <row r="258">
          <cell r="A258" t="str">
            <v>Test Lead Automation</v>
          </cell>
          <cell r="B258" t="str">
            <v>Vice President Learning &amp; Development</v>
          </cell>
        </row>
        <row r="259">
          <cell r="A259" t="str">
            <v>Test Lead Performance</v>
          </cell>
          <cell r="B259" t="str">
            <v>Vice President Legal</v>
          </cell>
        </row>
        <row r="260">
          <cell r="A260" t="str">
            <v>Test Lead Product</v>
          </cell>
          <cell r="B260" t="str">
            <v>Vice President Managing Director</v>
          </cell>
        </row>
        <row r="261">
          <cell r="A261" t="str">
            <v>Tester</v>
          </cell>
          <cell r="B261" t="str">
            <v>Vice President Marketing</v>
          </cell>
        </row>
        <row r="262">
          <cell r="A262" t="str">
            <v>Tester Product</v>
          </cell>
          <cell r="B262" t="str">
            <v>Vice President People Strategy</v>
          </cell>
        </row>
        <row r="263">
          <cell r="A263" t="str">
            <v>Track Lead - BridgeTrack</v>
          </cell>
          <cell r="B263" t="str">
            <v>Vice President Risk Management</v>
          </cell>
        </row>
        <row r="264">
          <cell r="A264" t="str">
            <v>Track Lead - Flash</v>
          </cell>
        </row>
        <row r="265">
          <cell r="A265" t="str">
            <v>Track Lead - Java</v>
          </cell>
        </row>
        <row r="266">
          <cell r="A266" t="str">
            <v>Track Lead - MSFT</v>
          </cell>
        </row>
        <row r="267">
          <cell r="A267" t="str">
            <v>Track Lead - Site Development</v>
          </cell>
        </row>
        <row r="268">
          <cell r="A268" t="str">
            <v>VP</v>
          </cell>
        </row>
      </sheetData>
      <sheetData sheetId="2" refreshError="1">
        <row r="11">
          <cell r="S11">
            <v>1140</v>
          </cell>
        </row>
        <row r="17">
          <cell r="T17">
            <v>1140</v>
          </cell>
        </row>
        <row r="18">
          <cell r="D18" t="str">
            <v>BA</v>
          </cell>
          <cell r="T18">
            <v>1.3</v>
          </cell>
        </row>
        <row r="19">
          <cell r="D19" t="str">
            <v>BA</v>
          </cell>
          <cell r="T19">
            <v>0.8</v>
          </cell>
        </row>
        <row r="20">
          <cell r="D20" t="str">
            <v>BA</v>
          </cell>
          <cell r="T20">
            <v>1.3</v>
          </cell>
        </row>
        <row r="21">
          <cell r="T21">
            <v>1.2999992370605469</v>
          </cell>
        </row>
        <row r="22">
          <cell r="D22" t="str">
            <v>BA</v>
          </cell>
          <cell r="T22">
            <v>1.7</v>
          </cell>
        </row>
        <row r="23">
          <cell r="D23" t="str">
            <v>BA</v>
          </cell>
          <cell r="T23">
            <v>1.6999998092651367</v>
          </cell>
        </row>
        <row r="24">
          <cell r="D24" t="str">
            <v>BA</v>
          </cell>
          <cell r="T24">
            <v>1.7</v>
          </cell>
        </row>
        <row r="25">
          <cell r="D25" t="str">
            <v>BA</v>
          </cell>
          <cell r="T25">
            <v>1.7</v>
          </cell>
        </row>
        <row r="26">
          <cell r="D26" t="str">
            <v>BA</v>
          </cell>
          <cell r="T26">
            <v>0.9</v>
          </cell>
        </row>
        <row r="27">
          <cell r="D27" t="str">
            <v>BA</v>
          </cell>
          <cell r="T27">
            <v>0.9</v>
          </cell>
        </row>
        <row r="28">
          <cell r="D28" t="str">
            <v>BA</v>
          </cell>
          <cell r="T28">
            <v>0.9</v>
          </cell>
        </row>
        <row r="29">
          <cell r="D29" t="str">
            <v>BA</v>
          </cell>
          <cell r="T29">
            <v>1.7</v>
          </cell>
        </row>
        <row r="30">
          <cell r="D30" t="str">
            <v>BA</v>
          </cell>
          <cell r="T30">
            <v>0.9</v>
          </cell>
        </row>
        <row r="31">
          <cell r="D31" t="str">
            <v>BA</v>
          </cell>
          <cell r="T31">
            <v>0.9</v>
          </cell>
        </row>
        <row r="32">
          <cell r="D32" t="str">
            <v>BA</v>
          </cell>
          <cell r="T32">
            <v>1.7</v>
          </cell>
        </row>
        <row r="33">
          <cell r="T33">
            <v>1.6999998092651367</v>
          </cell>
        </row>
        <row r="34">
          <cell r="D34" t="str">
            <v>BA</v>
          </cell>
          <cell r="T34">
            <v>1.6999998092651367</v>
          </cell>
        </row>
        <row r="35">
          <cell r="D35" t="str">
            <v>BA</v>
          </cell>
          <cell r="T35">
            <v>1.6999998092651367</v>
          </cell>
        </row>
        <row r="36">
          <cell r="D36" t="str">
            <v>BA</v>
          </cell>
          <cell r="T36">
            <v>0.9</v>
          </cell>
        </row>
        <row r="37">
          <cell r="D37" t="str">
            <v>BA</v>
          </cell>
          <cell r="T37">
            <v>0.9</v>
          </cell>
        </row>
        <row r="38">
          <cell r="T38">
            <v>0.89999961853027344</v>
          </cell>
        </row>
        <row r="39">
          <cell r="T39">
            <v>0.89999961853027344</v>
          </cell>
        </row>
        <row r="40">
          <cell r="T40">
            <v>0.89999961853027344</v>
          </cell>
        </row>
        <row r="41">
          <cell r="D41" t="str">
            <v>Graphic Design</v>
          </cell>
          <cell r="T41">
            <v>0.89999961853027344</v>
          </cell>
        </row>
        <row r="42">
          <cell r="T42">
            <v>0.89999961853027344</v>
          </cell>
        </row>
        <row r="43">
          <cell r="T43">
            <v>0.89999961853027344</v>
          </cell>
        </row>
        <row r="44">
          <cell r="D44" t="str">
            <v>CMS</v>
          </cell>
          <cell r="T44">
            <v>2</v>
          </cell>
        </row>
        <row r="45">
          <cell r="D45" t="str">
            <v>CMS</v>
          </cell>
          <cell r="T45">
            <v>2.5</v>
          </cell>
        </row>
        <row r="46">
          <cell r="D46" t="str">
            <v>CMS</v>
          </cell>
          <cell r="T46">
            <v>2</v>
          </cell>
        </row>
        <row r="47">
          <cell r="D47" t="str">
            <v>CMS</v>
          </cell>
          <cell r="T47">
            <v>8</v>
          </cell>
        </row>
        <row r="48">
          <cell r="T48">
            <v>8</v>
          </cell>
        </row>
        <row r="49">
          <cell r="T49">
            <v>8</v>
          </cell>
        </row>
        <row r="50">
          <cell r="D50" t="str">
            <v>Analytics</v>
          </cell>
          <cell r="T50">
            <v>8</v>
          </cell>
        </row>
        <row r="51">
          <cell r="D51" t="str">
            <v>Analytics</v>
          </cell>
          <cell r="T51">
            <v>8</v>
          </cell>
        </row>
        <row r="52">
          <cell r="D52" t="str">
            <v>Analytics</v>
          </cell>
          <cell r="T52">
            <v>8</v>
          </cell>
        </row>
        <row r="53">
          <cell r="D53" t="str">
            <v>Analytics</v>
          </cell>
          <cell r="T53">
            <v>8</v>
          </cell>
        </row>
        <row r="54">
          <cell r="D54" t="str">
            <v>Analytics</v>
          </cell>
          <cell r="T54">
            <v>8</v>
          </cell>
        </row>
        <row r="55">
          <cell r="T55">
            <v>8</v>
          </cell>
        </row>
        <row r="56">
          <cell r="T56">
            <v>8</v>
          </cell>
        </row>
        <row r="57">
          <cell r="D57" t="str">
            <v>CMS</v>
          </cell>
          <cell r="T57">
            <v>5.3</v>
          </cell>
        </row>
        <row r="58">
          <cell r="T58">
            <v>5.2999992370605469</v>
          </cell>
        </row>
        <row r="59">
          <cell r="T59">
            <v>5.2999992370605469</v>
          </cell>
        </row>
        <row r="60">
          <cell r="D60" t="str">
            <v>Architecture</v>
          </cell>
          <cell r="T60">
            <v>4</v>
          </cell>
        </row>
        <row r="61">
          <cell r="D61" t="str">
            <v>CMS</v>
          </cell>
          <cell r="T61">
            <v>8</v>
          </cell>
        </row>
        <row r="62">
          <cell r="D62" t="str">
            <v>Architecture</v>
          </cell>
          <cell r="T62">
            <v>6</v>
          </cell>
        </row>
        <row r="63">
          <cell r="T63">
            <v>6</v>
          </cell>
        </row>
        <row r="64">
          <cell r="T64">
            <v>6</v>
          </cell>
        </row>
        <row r="65">
          <cell r="D65" t="str">
            <v>QA</v>
          </cell>
          <cell r="T65">
            <v>5</v>
          </cell>
        </row>
        <row r="66">
          <cell r="D66" t="str">
            <v>QA</v>
          </cell>
          <cell r="T66">
            <v>8</v>
          </cell>
        </row>
        <row r="67">
          <cell r="D67" t="str">
            <v>QA</v>
          </cell>
          <cell r="T67">
            <v>3</v>
          </cell>
        </row>
        <row r="68">
          <cell r="D68" t="str">
            <v>QA</v>
          </cell>
          <cell r="T68">
            <v>1.5</v>
          </cell>
        </row>
        <row r="69">
          <cell r="D69" t="str">
            <v>QA</v>
          </cell>
          <cell r="T69">
            <v>8</v>
          </cell>
        </row>
        <row r="70">
          <cell r="D70" t="str">
            <v>QA</v>
          </cell>
          <cell r="T70">
            <v>4</v>
          </cell>
        </row>
        <row r="71">
          <cell r="D71" t="str">
            <v>QA</v>
          </cell>
          <cell r="T71">
            <v>8</v>
          </cell>
        </row>
        <row r="72">
          <cell r="T72">
            <v>8</v>
          </cell>
        </row>
        <row r="73">
          <cell r="T73">
            <v>8</v>
          </cell>
        </row>
        <row r="74">
          <cell r="T74">
            <v>8</v>
          </cell>
        </row>
        <row r="75">
          <cell r="T75">
            <v>8</v>
          </cell>
        </row>
        <row r="76">
          <cell r="D76" t="str">
            <v>Infra</v>
          </cell>
          <cell r="T76">
            <v>1</v>
          </cell>
        </row>
        <row r="77">
          <cell r="D77" t="str">
            <v>Infra</v>
          </cell>
          <cell r="T77">
            <v>4.2</v>
          </cell>
        </row>
        <row r="78">
          <cell r="D78" t="str">
            <v>Infra</v>
          </cell>
          <cell r="T78">
            <v>2.1</v>
          </cell>
        </row>
        <row r="79">
          <cell r="T79">
            <v>2.0999984741210938</v>
          </cell>
        </row>
        <row r="80">
          <cell r="D80" t="str">
            <v>Infra</v>
          </cell>
          <cell r="T80">
            <v>2.8</v>
          </cell>
        </row>
        <row r="81">
          <cell r="D81" t="str">
            <v>Infra</v>
          </cell>
          <cell r="T81">
            <v>7</v>
          </cell>
        </row>
        <row r="82">
          <cell r="D82" t="str">
            <v>Infra</v>
          </cell>
          <cell r="T82">
            <v>2.2000000000000002</v>
          </cell>
        </row>
        <row r="83">
          <cell r="D83" t="str">
            <v>Infra</v>
          </cell>
          <cell r="T83">
            <v>0.7</v>
          </cell>
        </row>
        <row r="84">
          <cell r="D84" t="str">
            <v>Infra</v>
          </cell>
          <cell r="T84">
            <v>1.4</v>
          </cell>
        </row>
        <row r="85">
          <cell r="D85" t="str">
            <v>Infra</v>
          </cell>
          <cell r="T85">
            <v>5.6</v>
          </cell>
        </row>
        <row r="86">
          <cell r="D86" t="str">
            <v>Infra</v>
          </cell>
          <cell r="T86">
            <v>6.2</v>
          </cell>
        </row>
        <row r="87">
          <cell r="T87">
            <v>6.1999969482421875</v>
          </cell>
        </row>
        <row r="88">
          <cell r="D88" t="str">
            <v>Infra</v>
          </cell>
          <cell r="T88">
            <v>4.2</v>
          </cell>
        </row>
        <row r="89">
          <cell r="D89" t="str">
            <v>Infra</v>
          </cell>
          <cell r="T89">
            <v>10.5</v>
          </cell>
        </row>
        <row r="90">
          <cell r="D90" t="str">
            <v>Infra</v>
          </cell>
          <cell r="T90">
            <v>3.4</v>
          </cell>
        </row>
        <row r="91">
          <cell r="D91" t="str">
            <v>Infra</v>
          </cell>
          <cell r="T91">
            <v>1.1000000000000001</v>
          </cell>
        </row>
        <row r="92">
          <cell r="D92" t="str">
            <v>Infra</v>
          </cell>
          <cell r="T92">
            <v>2.1</v>
          </cell>
        </row>
        <row r="93">
          <cell r="D93" t="str">
            <v>Infra</v>
          </cell>
          <cell r="T93">
            <v>4.2</v>
          </cell>
        </row>
        <row r="94">
          <cell r="D94" t="str">
            <v>Infra</v>
          </cell>
          <cell r="T94">
            <v>3.4</v>
          </cell>
        </row>
        <row r="95">
          <cell r="D95" t="str">
            <v>Infra</v>
          </cell>
          <cell r="T95">
            <v>2.9</v>
          </cell>
        </row>
        <row r="96">
          <cell r="D96" t="str">
            <v>Infra</v>
          </cell>
          <cell r="T96">
            <v>8</v>
          </cell>
        </row>
        <row r="97">
          <cell r="T97">
            <v>8</v>
          </cell>
        </row>
        <row r="98">
          <cell r="D98" t="str">
            <v>Infra</v>
          </cell>
          <cell r="T98">
            <v>2.7</v>
          </cell>
        </row>
        <row r="99">
          <cell r="D99" t="str">
            <v>Infra</v>
          </cell>
          <cell r="T99">
            <v>13.4</v>
          </cell>
        </row>
        <row r="100">
          <cell r="D100" t="str">
            <v>Infra</v>
          </cell>
          <cell r="T100">
            <v>4.3</v>
          </cell>
        </row>
        <row r="101">
          <cell r="D101" t="str">
            <v>Infra</v>
          </cell>
          <cell r="T101">
            <v>1.1000000000000001</v>
          </cell>
        </row>
        <row r="102">
          <cell r="D102" t="str">
            <v>Infra</v>
          </cell>
          <cell r="T102">
            <v>2.1</v>
          </cell>
        </row>
        <row r="103">
          <cell r="D103" t="str">
            <v>Infra</v>
          </cell>
          <cell r="T103">
            <v>5.4</v>
          </cell>
        </row>
        <row r="104">
          <cell r="D104" t="str">
            <v>Infra</v>
          </cell>
          <cell r="T104">
            <v>2.1</v>
          </cell>
        </row>
        <row r="105">
          <cell r="D105" t="str">
            <v>Infra</v>
          </cell>
          <cell r="T105">
            <v>4.8</v>
          </cell>
        </row>
        <row r="106">
          <cell r="D106" t="str">
            <v>Infra</v>
          </cell>
          <cell r="T106">
            <v>1.1000000000000001</v>
          </cell>
        </row>
        <row r="107">
          <cell r="D107" t="str">
            <v>Infra</v>
          </cell>
          <cell r="T107">
            <v>3.5</v>
          </cell>
        </row>
        <row r="108">
          <cell r="D108" t="str">
            <v>Infra</v>
          </cell>
          <cell r="T108">
            <v>1.1000000000000001</v>
          </cell>
        </row>
        <row r="109">
          <cell r="D109" t="str">
            <v>Infra</v>
          </cell>
          <cell r="T109">
            <v>5.9</v>
          </cell>
        </row>
        <row r="110">
          <cell r="T110">
            <v>5.8999977111816406</v>
          </cell>
        </row>
        <row r="111">
          <cell r="T111">
            <v>5.8999977111816406</v>
          </cell>
        </row>
        <row r="112">
          <cell r="T112">
            <v>5.8999977111816406</v>
          </cell>
        </row>
        <row r="113">
          <cell r="D113" t="str">
            <v>InfraBuild</v>
          </cell>
          <cell r="T113">
            <v>0.4</v>
          </cell>
        </row>
        <row r="114">
          <cell r="D114" t="str">
            <v>InfraBuild</v>
          </cell>
          <cell r="T114">
            <v>0.4</v>
          </cell>
        </row>
        <row r="115">
          <cell r="D115" t="str">
            <v>InfraBuild</v>
          </cell>
          <cell r="T115">
            <v>0.3</v>
          </cell>
        </row>
        <row r="116">
          <cell r="D116" t="str">
            <v>InfraBuild</v>
          </cell>
          <cell r="T116">
            <v>0.7</v>
          </cell>
        </row>
        <row r="117">
          <cell r="D117" t="str">
            <v>InfraBuild</v>
          </cell>
          <cell r="T117">
            <v>0.7</v>
          </cell>
        </row>
        <row r="118">
          <cell r="D118" t="str">
            <v>InfraBuild</v>
          </cell>
          <cell r="T118">
            <v>0.4</v>
          </cell>
        </row>
        <row r="119">
          <cell r="D119" t="str">
            <v>InfraBuild</v>
          </cell>
          <cell r="T119">
            <v>0.4</v>
          </cell>
        </row>
        <row r="120">
          <cell r="D120" t="str">
            <v>InfraBuild</v>
          </cell>
          <cell r="T120">
            <v>1.4</v>
          </cell>
        </row>
        <row r="121">
          <cell r="D121" t="str">
            <v>InfraBuild</v>
          </cell>
          <cell r="T121">
            <v>1.4</v>
          </cell>
        </row>
        <row r="122">
          <cell r="D122" t="str">
            <v>InfraBuild</v>
          </cell>
          <cell r="T122">
            <v>0.7</v>
          </cell>
        </row>
        <row r="123">
          <cell r="D123" t="str">
            <v>InfraBuild</v>
          </cell>
          <cell r="T123">
            <v>0.4</v>
          </cell>
        </row>
        <row r="124">
          <cell r="D124" t="str">
            <v>InfraBuild</v>
          </cell>
          <cell r="T124">
            <v>0.4</v>
          </cell>
        </row>
        <row r="125">
          <cell r="D125" t="str">
            <v>InfraBuild</v>
          </cell>
          <cell r="T125">
            <v>0.5</v>
          </cell>
        </row>
        <row r="126">
          <cell r="D126" t="str">
            <v>InfraBuild</v>
          </cell>
          <cell r="T126">
            <v>0.4</v>
          </cell>
        </row>
        <row r="127">
          <cell r="D127" t="str">
            <v>InfraBuild</v>
          </cell>
          <cell r="T127">
            <v>0.6</v>
          </cell>
        </row>
        <row r="128">
          <cell r="D128" t="str">
            <v>InfraBuild</v>
          </cell>
          <cell r="T128">
            <v>0.1</v>
          </cell>
        </row>
        <row r="129">
          <cell r="D129" t="str">
            <v>InfraBuild</v>
          </cell>
          <cell r="T129">
            <v>0.5</v>
          </cell>
        </row>
        <row r="130">
          <cell r="D130" t="str">
            <v>InfraBuild</v>
          </cell>
          <cell r="T130">
            <v>0.7</v>
          </cell>
        </row>
        <row r="131">
          <cell r="D131" t="str">
            <v>InfraBuild</v>
          </cell>
          <cell r="T131">
            <v>1.5</v>
          </cell>
        </row>
        <row r="132">
          <cell r="D132" t="str">
            <v>InfraBuild</v>
          </cell>
          <cell r="T132">
            <v>0.6</v>
          </cell>
        </row>
        <row r="133">
          <cell r="D133" t="str">
            <v>InfraBuild</v>
          </cell>
          <cell r="T133">
            <v>1.3</v>
          </cell>
        </row>
        <row r="134">
          <cell r="D134" t="str">
            <v>InfraBuild</v>
          </cell>
          <cell r="T134">
            <v>0.7</v>
          </cell>
        </row>
        <row r="135">
          <cell r="D135" t="str">
            <v>InfraBuild</v>
          </cell>
          <cell r="T135">
            <v>0.3</v>
          </cell>
        </row>
        <row r="136">
          <cell r="D136" t="str">
            <v>InfraBuild</v>
          </cell>
          <cell r="T136">
            <v>0.3</v>
          </cell>
        </row>
        <row r="137">
          <cell r="D137" t="str">
            <v>InfraBuild</v>
          </cell>
          <cell r="T137">
            <v>0.2</v>
          </cell>
        </row>
        <row r="138">
          <cell r="D138" t="str">
            <v>InfraBuild</v>
          </cell>
          <cell r="T138">
            <v>0.7</v>
          </cell>
        </row>
        <row r="139">
          <cell r="D139" t="str">
            <v>InfraBuild</v>
          </cell>
          <cell r="T139">
            <v>1.5</v>
          </cell>
        </row>
        <row r="140">
          <cell r="D140" t="str">
            <v>InfraBuild</v>
          </cell>
          <cell r="T140">
            <v>0.7</v>
          </cell>
        </row>
        <row r="141">
          <cell r="D141" t="str">
            <v>InfraBuild</v>
          </cell>
          <cell r="T141">
            <v>2.1</v>
          </cell>
        </row>
        <row r="142">
          <cell r="D142" t="str">
            <v>InfraBuild</v>
          </cell>
          <cell r="T142">
            <v>1.4</v>
          </cell>
        </row>
        <row r="143">
          <cell r="D143" t="str">
            <v>InfraBuild</v>
          </cell>
          <cell r="T143">
            <v>0.4</v>
          </cell>
        </row>
        <row r="144">
          <cell r="D144" t="str">
            <v>InfraBuild</v>
          </cell>
          <cell r="T144">
            <v>1.4</v>
          </cell>
        </row>
        <row r="145">
          <cell r="D145" t="str">
            <v>InfraBuild</v>
          </cell>
          <cell r="T145">
            <v>1.3</v>
          </cell>
        </row>
        <row r="146">
          <cell r="D146" t="str">
            <v>InfraBuild</v>
          </cell>
          <cell r="T146">
            <v>1.1000000000000001</v>
          </cell>
        </row>
        <row r="148">
          <cell r="T148">
            <v>1.0999994277954102</v>
          </cell>
        </row>
        <row r="149">
          <cell r="D149" t="str">
            <v>InfraBuild</v>
          </cell>
          <cell r="T149">
            <v>4.3</v>
          </cell>
        </row>
        <row r="150">
          <cell r="D150" t="str">
            <v>InfraBuild</v>
          </cell>
          <cell r="T150">
            <v>2.4</v>
          </cell>
        </row>
        <row r="151">
          <cell r="D151" t="str">
            <v>InfraBuild</v>
          </cell>
          <cell r="T151">
            <v>1</v>
          </cell>
        </row>
        <row r="152">
          <cell r="D152" t="str">
            <v>InfraBuild</v>
          </cell>
          <cell r="T152">
            <v>7.1</v>
          </cell>
        </row>
        <row r="153">
          <cell r="D153" t="str">
            <v>InfraBuild</v>
          </cell>
          <cell r="T153">
            <v>4.3</v>
          </cell>
        </row>
        <row r="154">
          <cell r="D154" t="str">
            <v>InfraBuild</v>
          </cell>
          <cell r="T154">
            <v>7.1</v>
          </cell>
        </row>
        <row r="155">
          <cell r="D155" t="str">
            <v>InfraBuild</v>
          </cell>
          <cell r="T155">
            <v>19.899999999999999</v>
          </cell>
        </row>
        <row r="156">
          <cell r="D156" t="str">
            <v>InfraBuild</v>
          </cell>
          <cell r="T156">
            <v>1.4</v>
          </cell>
        </row>
        <row r="157">
          <cell r="T157">
            <v>1.3999996185302734</v>
          </cell>
        </row>
        <row r="158">
          <cell r="T158">
            <v>1.3999996185302734</v>
          </cell>
        </row>
        <row r="159">
          <cell r="T159">
            <v>1.3999996185302734</v>
          </cell>
        </row>
        <row r="160">
          <cell r="D160" t="str">
            <v>CMS</v>
          </cell>
          <cell r="T160">
            <v>2.2999999999999998</v>
          </cell>
        </row>
        <row r="161">
          <cell r="D161" t="str">
            <v>CMS</v>
          </cell>
          <cell r="T161">
            <v>4.5</v>
          </cell>
        </row>
        <row r="162">
          <cell r="D162" t="str">
            <v>Site Dev</v>
          </cell>
          <cell r="T162">
            <v>1.5</v>
          </cell>
        </row>
        <row r="163">
          <cell r="D163" t="str">
            <v>Site Dev</v>
          </cell>
          <cell r="T163">
            <v>3</v>
          </cell>
        </row>
        <row r="164">
          <cell r="T164">
            <v>3</v>
          </cell>
        </row>
        <row r="165">
          <cell r="T165">
            <v>3</v>
          </cell>
        </row>
        <row r="166">
          <cell r="T166">
            <v>3</v>
          </cell>
        </row>
        <row r="167">
          <cell r="D167" t="str">
            <v>CMS</v>
          </cell>
          <cell r="T167">
            <v>3.5</v>
          </cell>
        </row>
        <row r="168">
          <cell r="T168">
            <v>3.5</v>
          </cell>
        </row>
        <row r="169">
          <cell r="D169" t="str">
            <v>CMS</v>
          </cell>
          <cell r="T169">
            <v>3.5</v>
          </cell>
        </row>
        <row r="170">
          <cell r="T170">
            <v>3.5</v>
          </cell>
        </row>
        <row r="171">
          <cell r="T171">
            <v>3.5</v>
          </cell>
        </row>
        <row r="172">
          <cell r="D172" t="str">
            <v>IA</v>
          </cell>
          <cell r="T172">
            <v>17.5</v>
          </cell>
        </row>
        <row r="173">
          <cell r="D173" t="str">
            <v>Graphic Design</v>
          </cell>
          <cell r="T173">
            <v>17.5</v>
          </cell>
        </row>
        <row r="174">
          <cell r="D174" t="str">
            <v>Site Dev</v>
          </cell>
          <cell r="T174">
            <v>22.5</v>
          </cell>
        </row>
        <row r="175">
          <cell r="D175" t="str">
            <v>CMS</v>
          </cell>
          <cell r="T175">
            <v>21</v>
          </cell>
        </row>
        <row r="176">
          <cell r="T176">
            <v>21</v>
          </cell>
        </row>
        <row r="177">
          <cell r="T177">
            <v>21</v>
          </cell>
        </row>
        <row r="178">
          <cell r="D178" t="str">
            <v>IA</v>
          </cell>
          <cell r="T178">
            <v>12.5</v>
          </cell>
        </row>
        <row r="179">
          <cell r="D179" t="str">
            <v>Graphic Design</v>
          </cell>
          <cell r="T179">
            <v>12.5</v>
          </cell>
        </row>
        <row r="180">
          <cell r="D180" t="str">
            <v>Site Dev</v>
          </cell>
          <cell r="T180">
            <v>13.5</v>
          </cell>
        </row>
        <row r="181">
          <cell r="D181" t="str">
            <v>CMS</v>
          </cell>
          <cell r="T181">
            <v>10.5</v>
          </cell>
        </row>
        <row r="182">
          <cell r="T182">
            <v>10.5</v>
          </cell>
        </row>
        <row r="183">
          <cell r="T183">
            <v>10.5</v>
          </cell>
        </row>
        <row r="184">
          <cell r="D184" t="str">
            <v>IA</v>
          </cell>
          <cell r="T184">
            <v>17.5</v>
          </cell>
        </row>
        <row r="185">
          <cell r="D185" t="str">
            <v>Graphic Design</v>
          </cell>
          <cell r="T185">
            <v>17.5</v>
          </cell>
        </row>
        <row r="186">
          <cell r="D186" t="str">
            <v>Site Dev</v>
          </cell>
          <cell r="T186">
            <v>13.5</v>
          </cell>
        </row>
        <row r="187">
          <cell r="D187" t="str">
            <v>CMS</v>
          </cell>
          <cell r="T187">
            <v>7.5</v>
          </cell>
        </row>
        <row r="188">
          <cell r="T188">
            <v>7.5</v>
          </cell>
        </row>
        <row r="189">
          <cell r="T189">
            <v>7.5</v>
          </cell>
        </row>
        <row r="190">
          <cell r="T190">
            <v>7.5</v>
          </cell>
        </row>
        <row r="191">
          <cell r="D191" t="str">
            <v>CMS</v>
          </cell>
          <cell r="T191">
            <v>6.6</v>
          </cell>
        </row>
        <row r="192">
          <cell r="D192" t="str">
            <v>CMS</v>
          </cell>
          <cell r="T192">
            <v>6.6</v>
          </cell>
        </row>
        <row r="193">
          <cell r="D193" t="str">
            <v>CMS</v>
          </cell>
          <cell r="T193">
            <v>3.3</v>
          </cell>
        </row>
        <row r="194">
          <cell r="D194" t="str">
            <v>CMS</v>
          </cell>
          <cell r="T194">
            <v>3.3</v>
          </cell>
        </row>
        <row r="195">
          <cell r="D195" t="str">
            <v>CMS</v>
          </cell>
          <cell r="T195">
            <v>3.3</v>
          </cell>
        </row>
        <row r="196">
          <cell r="D196" t="str">
            <v>CMS</v>
          </cell>
          <cell r="T196">
            <v>6.6</v>
          </cell>
        </row>
        <row r="197">
          <cell r="D197" t="str">
            <v>CMS</v>
          </cell>
          <cell r="T197">
            <v>3.3</v>
          </cell>
        </row>
        <row r="198">
          <cell r="D198" t="str">
            <v>CMS</v>
          </cell>
          <cell r="T198">
            <v>3.3</v>
          </cell>
        </row>
        <row r="199">
          <cell r="T199">
            <v>3.2999992370605469</v>
          </cell>
        </row>
        <row r="200">
          <cell r="D200" t="str">
            <v>CMS</v>
          </cell>
          <cell r="T200">
            <v>6.6</v>
          </cell>
        </row>
        <row r="201">
          <cell r="D201" t="str">
            <v>CMS</v>
          </cell>
          <cell r="T201">
            <v>6.6</v>
          </cell>
        </row>
        <row r="202">
          <cell r="D202" t="str">
            <v>CMS</v>
          </cell>
          <cell r="T202">
            <v>6.6</v>
          </cell>
        </row>
        <row r="203">
          <cell r="D203" t="str">
            <v>CMS</v>
          </cell>
          <cell r="T203">
            <v>6.6</v>
          </cell>
        </row>
        <row r="204">
          <cell r="D204" t="str">
            <v>CMS</v>
          </cell>
          <cell r="T204">
            <v>6.6</v>
          </cell>
        </row>
        <row r="205">
          <cell r="D205" t="str">
            <v>CMS</v>
          </cell>
          <cell r="T205">
            <v>6.5999984741210938</v>
          </cell>
        </row>
        <row r="206">
          <cell r="D206" t="str">
            <v>CMS</v>
          </cell>
          <cell r="T206">
            <v>6.6</v>
          </cell>
        </row>
        <row r="207">
          <cell r="T207">
            <v>6.5999984741210938</v>
          </cell>
        </row>
        <row r="208">
          <cell r="D208" t="str">
            <v>CMS</v>
          </cell>
          <cell r="T208">
            <v>11.3</v>
          </cell>
        </row>
        <row r="209">
          <cell r="D209" t="str">
            <v>CMS</v>
          </cell>
          <cell r="T209">
            <v>6.6</v>
          </cell>
        </row>
        <row r="210">
          <cell r="D210" t="str">
            <v>CMS</v>
          </cell>
          <cell r="T210">
            <v>6.6</v>
          </cell>
        </row>
        <row r="211">
          <cell r="T211">
            <v>6.5999984741210938</v>
          </cell>
        </row>
        <row r="212">
          <cell r="D212" t="str">
            <v>CMS</v>
          </cell>
          <cell r="T212">
            <v>6.5999984741210938</v>
          </cell>
        </row>
        <row r="213">
          <cell r="T213">
            <v>6.5999984741210938</v>
          </cell>
        </row>
        <row r="214">
          <cell r="D214" t="str">
            <v>CMS</v>
          </cell>
          <cell r="T214">
            <v>6.6</v>
          </cell>
        </row>
        <row r="215">
          <cell r="D215" t="str">
            <v>CMS</v>
          </cell>
          <cell r="T215">
            <v>3.3</v>
          </cell>
        </row>
        <row r="216">
          <cell r="D216" t="str">
            <v>CMS</v>
          </cell>
          <cell r="T216">
            <v>3.3</v>
          </cell>
        </row>
        <row r="217">
          <cell r="D217" t="str">
            <v>CMS</v>
          </cell>
          <cell r="T217">
            <v>6.6</v>
          </cell>
        </row>
        <row r="218">
          <cell r="D218" t="str">
            <v>CMS</v>
          </cell>
          <cell r="T218">
            <v>3.3</v>
          </cell>
        </row>
        <row r="219">
          <cell r="D219" t="str">
            <v>CMS</v>
          </cell>
          <cell r="T219">
            <v>6.6</v>
          </cell>
        </row>
        <row r="220">
          <cell r="T220">
            <v>6.5999984741210938</v>
          </cell>
        </row>
        <row r="221">
          <cell r="D221" t="str">
            <v>CMS</v>
          </cell>
          <cell r="T221">
            <v>6.6</v>
          </cell>
        </row>
        <row r="222">
          <cell r="T222">
            <v>6.5999984741210938</v>
          </cell>
        </row>
        <row r="223">
          <cell r="D223" t="str">
            <v>CMS</v>
          </cell>
          <cell r="T223">
            <v>6.6</v>
          </cell>
        </row>
        <row r="224">
          <cell r="T224">
            <v>6.5999984741210938</v>
          </cell>
        </row>
        <row r="225">
          <cell r="D225" t="str">
            <v>CMS</v>
          </cell>
          <cell r="T225">
            <v>3.3</v>
          </cell>
        </row>
        <row r="226">
          <cell r="T226">
            <v>3.2999992370605469</v>
          </cell>
        </row>
        <row r="227">
          <cell r="D227" t="str">
            <v>CMS</v>
          </cell>
          <cell r="T227">
            <v>6.6</v>
          </cell>
        </row>
        <row r="228">
          <cell r="T228">
            <v>6.5999984741210938</v>
          </cell>
        </row>
        <row r="229">
          <cell r="D229" t="str">
            <v>CMS</v>
          </cell>
          <cell r="T229">
            <v>6.6</v>
          </cell>
        </row>
        <row r="230">
          <cell r="D230" t="str">
            <v>CMS</v>
          </cell>
          <cell r="T230">
            <v>6.6</v>
          </cell>
        </row>
        <row r="231">
          <cell r="D231" t="str">
            <v>CMS</v>
          </cell>
          <cell r="T231">
            <v>6.6</v>
          </cell>
        </row>
        <row r="232">
          <cell r="D232" t="str">
            <v>CMS</v>
          </cell>
          <cell r="T232">
            <v>6.6</v>
          </cell>
        </row>
        <row r="233">
          <cell r="T233">
            <v>6.5999984741210938</v>
          </cell>
        </row>
        <row r="234">
          <cell r="D234" t="str">
            <v>CMS</v>
          </cell>
          <cell r="T234">
            <v>6.6</v>
          </cell>
        </row>
        <row r="235">
          <cell r="T235">
            <v>6.5999984741210938</v>
          </cell>
        </row>
        <row r="236">
          <cell r="D236" t="str">
            <v>CMS</v>
          </cell>
          <cell r="T236">
            <v>6.6</v>
          </cell>
        </row>
        <row r="237">
          <cell r="D237" t="str">
            <v>CMS</v>
          </cell>
          <cell r="T237">
            <v>6.6</v>
          </cell>
        </row>
        <row r="238">
          <cell r="D238" t="str">
            <v>CMS</v>
          </cell>
          <cell r="T238">
            <v>6.5999984741210938</v>
          </cell>
        </row>
        <row r="239">
          <cell r="T239">
            <v>6.5999984741210938</v>
          </cell>
        </row>
        <row r="240">
          <cell r="T240">
            <v>6.5999984741210938</v>
          </cell>
        </row>
        <row r="241">
          <cell r="T241">
            <v>6.5999984741210938</v>
          </cell>
        </row>
        <row r="242">
          <cell r="D242" t="str">
            <v>CMS</v>
          </cell>
          <cell r="T242">
            <v>3</v>
          </cell>
        </row>
        <row r="243">
          <cell r="D243" t="str">
            <v>CMS</v>
          </cell>
          <cell r="T243">
            <v>2.5</v>
          </cell>
        </row>
        <row r="244">
          <cell r="D244" t="str">
            <v>CMS</v>
          </cell>
          <cell r="T244">
            <v>2.5</v>
          </cell>
        </row>
        <row r="245">
          <cell r="D245" t="str">
            <v>CMS</v>
          </cell>
          <cell r="T245">
            <v>2.5</v>
          </cell>
        </row>
        <row r="246">
          <cell r="D246" t="str">
            <v>CMS</v>
          </cell>
          <cell r="T246">
            <v>2.5</v>
          </cell>
        </row>
        <row r="247">
          <cell r="T247">
            <v>2.5</v>
          </cell>
        </row>
        <row r="248">
          <cell r="T248">
            <v>2.5</v>
          </cell>
        </row>
        <row r="249">
          <cell r="T249">
            <v>2.5</v>
          </cell>
        </row>
        <row r="250">
          <cell r="D250" t="str">
            <v>CMS</v>
          </cell>
          <cell r="T250">
            <v>1.1000000000000001</v>
          </cell>
        </row>
        <row r="251">
          <cell r="D251" t="str">
            <v>CMS</v>
          </cell>
          <cell r="T251">
            <v>4</v>
          </cell>
        </row>
        <row r="252">
          <cell r="D252" t="str">
            <v>Graphic Design</v>
          </cell>
          <cell r="T252">
            <v>4</v>
          </cell>
        </row>
        <row r="253">
          <cell r="D253" t="str">
            <v>QA</v>
          </cell>
          <cell r="T253">
            <v>1.5</v>
          </cell>
        </row>
        <row r="254">
          <cell r="D254" t="str">
            <v>QA</v>
          </cell>
          <cell r="T254">
            <v>12</v>
          </cell>
        </row>
        <row r="255">
          <cell r="D255" t="str">
            <v>Infra</v>
          </cell>
          <cell r="T255">
            <v>4</v>
          </cell>
        </row>
        <row r="256">
          <cell r="D256" t="str">
            <v>CMS</v>
          </cell>
          <cell r="T256">
            <v>6</v>
          </cell>
        </row>
        <row r="257">
          <cell r="D257" t="str">
            <v>Site Dev</v>
          </cell>
          <cell r="T257">
            <v>2.5</v>
          </cell>
        </row>
        <row r="258">
          <cell r="D258" t="str">
            <v>CMS</v>
          </cell>
          <cell r="T258">
            <v>12</v>
          </cell>
        </row>
        <row r="259">
          <cell r="T259">
            <v>12</v>
          </cell>
        </row>
        <row r="260">
          <cell r="T260">
            <v>12</v>
          </cell>
        </row>
        <row r="261">
          <cell r="T261">
            <v>12</v>
          </cell>
        </row>
        <row r="262">
          <cell r="T262">
            <v>12</v>
          </cell>
        </row>
        <row r="263">
          <cell r="T263">
            <v>12</v>
          </cell>
        </row>
        <row r="264">
          <cell r="T264">
            <v>12</v>
          </cell>
        </row>
        <row r="265">
          <cell r="D265" t="str">
            <v>Infra</v>
          </cell>
          <cell r="T265">
            <v>5</v>
          </cell>
        </row>
        <row r="266">
          <cell r="T266">
            <v>5</v>
          </cell>
        </row>
        <row r="267">
          <cell r="T267">
            <v>5</v>
          </cell>
        </row>
        <row r="268">
          <cell r="T268">
            <v>5</v>
          </cell>
        </row>
        <row r="269">
          <cell r="D269" t="str">
            <v>CMS</v>
          </cell>
          <cell r="T269">
            <v>5</v>
          </cell>
        </row>
        <row r="270">
          <cell r="D270" t="str">
            <v>CMS</v>
          </cell>
          <cell r="T270">
            <v>5</v>
          </cell>
        </row>
        <row r="271">
          <cell r="D271" t="str">
            <v>QA</v>
          </cell>
          <cell r="T271">
            <v>5</v>
          </cell>
        </row>
        <row r="272">
          <cell r="T272">
            <v>5</v>
          </cell>
        </row>
        <row r="273">
          <cell r="T273">
            <v>5</v>
          </cell>
        </row>
        <row r="274">
          <cell r="T274">
            <v>5</v>
          </cell>
        </row>
        <row r="275">
          <cell r="D275" t="str">
            <v>Copywriting</v>
          </cell>
          <cell r="T275">
            <v>5</v>
          </cell>
        </row>
        <row r="276">
          <cell r="D276" t="str">
            <v>Copywriting</v>
          </cell>
          <cell r="T276">
            <v>5</v>
          </cell>
        </row>
        <row r="277">
          <cell r="D277" t="str">
            <v>Copywriting</v>
          </cell>
          <cell r="T277">
            <v>5</v>
          </cell>
        </row>
        <row r="278">
          <cell r="D278" t="str">
            <v>Copywriting</v>
          </cell>
          <cell r="T278">
            <v>5</v>
          </cell>
        </row>
        <row r="279">
          <cell r="D279" t="str">
            <v>Copywriting</v>
          </cell>
          <cell r="T279">
            <v>5</v>
          </cell>
        </row>
        <row r="280">
          <cell r="D280" t="str">
            <v>Copywriting</v>
          </cell>
          <cell r="T280">
            <v>5</v>
          </cell>
        </row>
        <row r="281">
          <cell r="D281" t="str">
            <v>Copywriting</v>
          </cell>
          <cell r="T281">
            <v>5</v>
          </cell>
        </row>
        <row r="282">
          <cell r="D282" t="str">
            <v>Copywriting</v>
          </cell>
          <cell r="T282">
            <v>5</v>
          </cell>
        </row>
        <row r="283">
          <cell r="D283" t="str">
            <v>Copywriting</v>
          </cell>
          <cell r="T283">
            <v>5</v>
          </cell>
        </row>
        <row r="284">
          <cell r="D284" t="str">
            <v>Copywriting</v>
          </cell>
          <cell r="T284">
            <v>5</v>
          </cell>
        </row>
        <row r="285">
          <cell r="D285" t="str">
            <v>Copywriting</v>
          </cell>
          <cell r="T285">
            <v>5</v>
          </cell>
        </row>
        <row r="286">
          <cell r="T286">
            <v>5</v>
          </cell>
        </row>
        <row r="287">
          <cell r="D287" t="str">
            <v>QA</v>
          </cell>
          <cell r="T287">
            <v>8</v>
          </cell>
        </row>
        <row r="288">
          <cell r="T288">
            <v>8</v>
          </cell>
        </row>
        <row r="289">
          <cell r="T289">
            <v>8</v>
          </cell>
        </row>
        <row r="290">
          <cell r="D290" t="str">
            <v>Copywriting</v>
          </cell>
          <cell r="T290">
            <v>8</v>
          </cell>
        </row>
        <row r="291">
          <cell r="D291" t="str">
            <v>Copywriting</v>
          </cell>
          <cell r="T291">
            <v>8</v>
          </cell>
        </row>
        <row r="292">
          <cell r="D292" t="str">
            <v>Copywriting</v>
          </cell>
          <cell r="T292">
            <v>8</v>
          </cell>
        </row>
        <row r="293">
          <cell r="D293" t="str">
            <v>Copywriting</v>
          </cell>
          <cell r="T293">
            <v>8</v>
          </cell>
        </row>
        <row r="294">
          <cell r="D294" t="str">
            <v>Copywriting</v>
          </cell>
          <cell r="T294">
            <v>8</v>
          </cell>
        </row>
        <row r="295">
          <cell r="D295" t="str">
            <v>Copywriting</v>
          </cell>
          <cell r="T295">
            <v>8</v>
          </cell>
        </row>
        <row r="296">
          <cell r="D296" t="str">
            <v>Copywriting</v>
          </cell>
          <cell r="T296">
            <v>8</v>
          </cell>
        </row>
        <row r="297">
          <cell r="D297" t="str">
            <v>Copywriting</v>
          </cell>
          <cell r="T297">
            <v>8</v>
          </cell>
        </row>
        <row r="298">
          <cell r="D298" t="str">
            <v>Copywriting</v>
          </cell>
          <cell r="T298">
            <v>8</v>
          </cell>
        </row>
        <row r="299">
          <cell r="T299">
            <v>8</v>
          </cell>
        </row>
        <row r="300">
          <cell r="D300" t="str">
            <v>QA</v>
          </cell>
          <cell r="T300">
            <v>4</v>
          </cell>
        </row>
        <row r="301">
          <cell r="T301">
            <v>4</v>
          </cell>
        </row>
        <row r="302">
          <cell r="T302">
            <v>4</v>
          </cell>
        </row>
        <row r="303">
          <cell r="D303" t="str">
            <v>Copywriting</v>
          </cell>
          <cell r="T303">
            <v>4</v>
          </cell>
        </row>
        <row r="304">
          <cell r="D304" t="str">
            <v>Copywriting</v>
          </cell>
          <cell r="T304">
            <v>4</v>
          </cell>
        </row>
        <row r="305">
          <cell r="D305" t="str">
            <v>Copywriting</v>
          </cell>
          <cell r="T305">
            <v>4</v>
          </cell>
        </row>
        <row r="306">
          <cell r="T306">
            <v>4</v>
          </cell>
        </row>
        <row r="307">
          <cell r="D307" t="str">
            <v>QA</v>
          </cell>
          <cell r="T307">
            <v>8</v>
          </cell>
        </row>
        <row r="308">
          <cell r="T308">
            <v>8</v>
          </cell>
        </row>
        <row r="309">
          <cell r="T309">
            <v>8</v>
          </cell>
        </row>
        <row r="310">
          <cell r="T310">
            <v>8</v>
          </cell>
        </row>
        <row r="311">
          <cell r="T311">
            <v>8</v>
          </cell>
        </row>
        <row r="312">
          <cell r="T312">
            <v>8</v>
          </cell>
        </row>
        <row r="313">
          <cell r="D313" t="str">
            <v>QA</v>
          </cell>
          <cell r="T313">
            <v>35.6</v>
          </cell>
        </row>
        <row r="314">
          <cell r="D314" t="str">
            <v>QA</v>
          </cell>
          <cell r="T314">
            <v>6.5</v>
          </cell>
        </row>
        <row r="315">
          <cell r="D315" t="str">
            <v>Site Dev</v>
          </cell>
          <cell r="T315">
            <v>5</v>
          </cell>
        </row>
        <row r="316">
          <cell r="D316" t="str">
            <v>CMS</v>
          </cell>
          <cell r="T316">
            <v>15</v>
          </cell>
        </row>
        <row r="317">
          <cell r="T317">
            <v>15</v>
          </cell>
        </row>
        <row r="318">
          <cell r="D318" t="str">
            <v>QA</v>
          </cell>
          <cell r="T318">
            <v>23.7</v>
          </cell>
        </row>
        <row r="319">
          <cell r="D319" t="str">
            <v>CMS</v>
          </cell>
          <cell r="T319">
            <v>10</v>
          </cell>
        </row>
        <row r="320">
          <cell r="T320">
            <v>10</v>
          </cell>
        </row>
        <row r="321">
          <cell r="D321" t="str">
            <v>QA</v>
          </cell>
          <cell r="T321">
            <v>35.6</v>
          </cell>
        </row>
        <row r="322">
          <cell r="D322" t="str">
            <v>QA</v>
          </cell>
          <cell r="T322">
            <v>8.8000000000000007</v>
          </cell>
        </row>
        <row r="323">
          <cell r="D323" t="str">
            <v>Site Dev</v>
          </cell>
          <cell r="T323">
            <v>2.5</v>
          </cell>
        </row>
        <row r="324">
          <cell r="D324" t="str">
            <v>CMS</v>
          </cell>
          <cell r="T324">
            <v>30</v>
          </cell>
        </row>
        <row r="325">
          <cell r="T325">
            <v>30</v>
          </cell>
        </row>
        <row r="326">
          <cell r="T326">
            <v>30</v>
          </cell>
        </row>
        <row r="327">
          <cell r="T327">
            <v>30</v>
          </cell>
        </row>
        <row r="328">
          <cell r="D328" t="str">
            <v>QA</v>
          </cell>
          <cell r="T328">
            <v>10</v>
          </cell>
        </row>
        <row r="329">
          <cell r="D329" t="str">
            <v>Site Dev</v>
          </cell>
          <cell r="T329">
            <v>2.5</v>
          </cell>
        </row>
        <row r="330">
          <cell r="D330" t="str">
            <v>CMS</v>
          </cell>
          <cell r="T330">
            <v>15</v>
          </cell>
        </row>
        <row r="331">
          <cell r="T331">
            <v>15</v>
          </cell>
        </row>
        <row r="332">
          <cell r="D332" t="str">
            <v>QA</v>
          </cell>
          <cell r="T332">
            <v>10</v>
          </cell>
        </row>
        <row r="333">
          <cell r="D333" t="str">
            <v>Site Dev</v>
          </cell>
          <cell r="T333">
            <v>2.5</v>
          </cell>
        </row>
        <row r="334">
          <cell r="D334" t="str">
            <v>CMS</v>
          </cell>
          <cell r="T334">
            <v>15</v>
          </cell>
        </row>
        <row r="335">
          <cell r="T335">
            <v>15</v>
          </cell>
        </row>
        <row r="336">
          <cell r="D336" t="str">
            <v>QA</v>
          </cell>
          <cell r="T336">
            <v>15</v>
          </cell>
        </row>
        <row r="337">
          <cell r="D337" t="str">
            <v>Site Dev</v>
          </cell>
          <cell r="T337">
            <v>2.5</v>
          </cell>
        </row>
        <row r="338">
          <cell r="D338" t="str">
            <v>CMS</v>
          </cell>
          <cell r="T338">
            <v>22.5</v>
          </cell>
        </row>
        <row r="339">
          <cell r="T339">
            <v>22.5</v>
          </cell>
        </row>
        <row r="340">
          <cell r="T340">
            <v>22.5</v>
          </cell>
        </row>
        <row r="341">
          <cell r="D341" t="str">
            <v>Infra</v>
          </cell>
          <cell r="T341">
            <v>3</v>
          </cell>
        </row>
        <row r="342">
          <cell r="T342">
            <v>3</v>
          </cell>
        </row>
        <row r="343">
          <cell r="D343" t="str">
            <v>Infra</v>
          </cell>
          <cell r="T343">
            <v>4</v>
          </cell>
        </row>
        <row r="344">
          <cell r="T344">
            <v>4</v>
          </cell>
        </row>
        <row r="345">
          <cell r="T345">
            <v>4</v>
          </cell>
        </row>
        <row r="346">
          <cell r="T346">
            <v>4</v>
          </cell>
        </row>
        <row r="347">
          <cell r="D347" t="str">
            <v>Bridge Track</v>
          </cell>
          <cell r="T347">
            <v>4</v>
          </cell>
        </row>
        <row r="348">
          <cell r="D348" t="str">
            <v>Bridge Track</v>
          </cell>
          <cell r="T348">
            <v>4</v>
          </cell>
        </row>
        <row r="349">
          <cell r="D349" t="str">
            <v>Bridge Track</v>
          </cell>
          <cell r="T349">
            <v>4</v>
          </cell>
        </row>
        <row r="350">
          <cell r="T350">
            <v>4</v>
          </cell>
        </row>
        <row r="351">
          <cell r="D351" t="str">
            <v>Bridge Track</v>
          </cell>
          <cell r="T351">
            <v>4</v>
          </cell>
        </row>
        <row r="352">
          <cell r="D352" t="str">
            <v>Bridge Track</v>
          </cell>
          <cell r="T352">
            <v>4</v>
          </cell>
        </row>
        <row r="353">
          <cell r="D353" t="str">
            <v>Bridge Track</v>
          </cell>
          <cell r="T353">
            <v>4</v>
          </cell>
        </row>
        <row r="354">
          <cell r="T354">
            <v>4</v>
          </cell>
        </row>
        <row r="355">
          <cell r="D355" t="str">
            <v>Bridge Track</v>
          </cell>
          <cell r="T355">
            <v>4</v>
          </cell>
        </row>
        <row r="356">
          <cell r="D356" t="str">
            <v>Bridge Track</v>
          </cell>
          <cell r="T356">
            <v>4</v>
          </cell>
        </row>
        <row r="357">
          <cell r="T357">
            <v>4</v>
          </cell>
        </row>
        <row r="358">
          <cell r="D358" t="str">
            <v>Bridge Track</v>
          </cell>
          <cell r="T358">
            <v>4</v>
          </cell>
        </row>
        <row r="359">
          <cell r="D359" t="str">
            <v>Bridge Track</v>
          </cell>
          <cell r="T359">
            <v>4</v>
          </cell>
        </row>
        <row r="360">
          <cell r="D360" t="str">
            <v>Bridge Track</v>
          </cell>
          <cell r="T360">
            <v>4</v>
          </cell>
        </row>
        <row r="361">
          <cell r="T361">
            <v>4</v>
          </cell>
        </row>
        <row r="362">
          <cell r="D362" t="str">
            <v>Bridge Track</v>
          </cell>
          <cell r="T362">
            <v>4</v>
          </cell>
        </row>
        <row r="363">
          <cell r="T363">
            <v>4</v>
          </cell>
        </row>
        <row r="364">
          <cell r="D364" t="str">
            <v xml:space="preserve"> </v>
          </cell>
          <cell r="T364">
            <v>4</v>
          </cell>
        </row>
        <row r="365">
          <cell r="T365">
            <v>4</v>
          </cell>
        </row>
        <row r="366">
          <cell r="T366">
            <v>4</v>
          </cell>
        </row>
        <row r="367">
          <cell r="T367">
            <v>4</v>
          </cell>
        </row>
        <row r="368">
          <cell r="T368">
            <v>4</v>
          </cell>
        </row>
        <row r="369">
          <cell r="D369" t="str">
            <v>.NET Arch</v>
          </cell>
          <cell r="T369">
            <v>6</v>
          </cell>
        </row>
        <row r="370">
          <cell r="T370">
            <v>6</v>
          </cell>
        </row>
        <row r="371">
          <cell r="D371" t="str">
            <v>.NET Arch</v>
          </cell>
          <cell r="T371">
            <v>6</v>
          </cell>
        </row>
        <row r="372">
          <cell r="D372" t="str">
            <v>.NET Arch</v>
          </cell>
          <cell r="T372">
            <v>4</v>
          </cell>
        </row>
        <row r="373">
          <cell r="T373">
            <v>4</v>
          </cell>
        </row>
        <row r="374">
          <cell r="D374" t="str">
            <v>QA</v>
          </cell>
          <cell r="T374">
            <v>4</v>
          </cell>
        </row>
        <row r="375">
          <cell r="T375">
            <v>4</v>
          </cell>
        </row>
        <row r="376">
          <cell r="D376" t="str">
            <v>.NET Arch</v>
          </cell>
          <cell r="T376">
            <v>4</v>
          </cell>
        </row>
        <row r="377">
          <cell r="T377">
            <v>4</v>
          </cell>
        </row>
        <row r="378">
          <cell r="T378">
            <v>4</v>
          </cell>
        </row>
        <row r="379">
          <cell r="T379">
            <v>4</v>
          </cell>
        </row>
        <row r="380">
          <cell r="D380" t="str">
            <v>.NET Arch</v>
          </cell>
          <cell r="T380">
            <v>1.5</v>
          </cell>
        </row>
        <row r="381">
          <cell r="D381" t="str">
            <v>.NET Arch</v>
          </cell>
          <cell r="T381">
            <v>3</v>
          </cell>
        </row>
        <row r="382">
          <cell r="T382">
            <v>3</v>
          </cell>
        </row>
        <row r="383">
          <cell r="T383">
            <v>3</v>
          </cell>
        </row>
        <row r="384">
          <cell r="D384" t="str">
            <v>Site Dev</v>
          </cell>
          <cell r="T384">
            <v>3</v>
          </cell>
        </row>
        <row r="385">
          <cell r="D385" t="str">
            <v>Site Dev</v>
          </cell>
          <cell r="T385">
            <v>2</v>
          </cell>
        </row>
        <row r="386">
          <cell r="D386" t="str">
            <v>Site Dev</v>
          </cell>
          <cell r="T386">
            <v>2</v>
          </cell>
        </row>
        <row r="387">
          <cell r="D387" t="str">
            <v>Site Dev</v>
          </cell>
          <cell r="T387">
            <v>2</v>
          </cell>
        </row>
        <row r="388">
          <cell r="D388" t="str">
            <v>Site Dev</v>
          </cell>
          <cell r="T388">
            <v>2.5</v>
          </cell>
        </row>
        <row r="389">
          <cell r="D389" t="str">
            <v>Site Dev</v>
          </cell>
          <cell r="T389">
            <v>0.7</v>
          </cell>
        </row>
        <row r="390">
          <cell r="T390">
            <v>0.69999980926513672</v>
          </cell>
        </row>
        <row r="391">
          <cell r="D391" t="str">
            <v>.NET</v>
          </cell>
          <cell r="T391">
            <v>0.69999980926513672</v>
          </cell>
        </row>
        <row r="392">
          <cell r="D392" t="str">
            <v>.NET</v>
          </cell>
          <cell r="T392">
            <v>3.5</v>
          </cell>
        </row>
        <row r="393">
          <cell r="D393" t="str">
            <v>.NET</v>
          </cell>
          <cell r="T393">
            <v>3.5</v>
          </cell>
        </row>
        <row r="394">
          <cell r="D394" t="str">
            <v>.NET</v>
          </cell>
          <cell r="T394">
            <v>2.5</v>
          </cell>
        </row>
        <row r="395">
          <cell r="D395" t="str">
            <v>.NET</v>
          </cell>
          <cell r="T395">
            <v>2.5</v>
          </cell>
        </row>
        <row r="396">
          <cell r="D396" t="str">
            <v>.NET</v>
          </cell>
          <cell r="T396">
            <v>6</v>
          </cell>
        </row>
        <row r="397">
          <cell r="D397" t="str">
            <v>.NET</v>
          </cell>
          <cell r="T397">
            <v>2.5</v>
          </cell>
        </row>
        <row r="398">
          <cell r="D398" t="str">
            <v>.NET</v>
          </cell>
          <cell r="T398">
            <v>2.5</v>
          </cell>
        </row>
        <row r="399">
          <cell r="D399" t="str">
            <v>.NET</v>
          </cell>
          <cell r="T399">
            <v>1.5</v>
          </cell>
        </row>
        <row r="400">
          <cell r="D400" t="str">
            <v>.NET</v>
          </cell>
          <cell r="T400">
            <v>1.5</v>
          </cell>
        </row>
        <row r="401">
          <cell r="D401" t="str">
            <v>.NET</v>
          </cell>
          <cell r="T401">
            <v>6</v>
          </cell>
        </row>
        <row r="402">
          <cell r="D402" t="str">
            <v>.NET</v>
          </cell>
          <cell r="T402">
            <v>2.5</v>
          </cell>
        </row>
        <row r="403">
          <cell r="D403" t="str">
            <v>.NET</v>
          </cell>
          <cell r="T403">
            <v>1.5</v>
          </cell>
        </row>
        <row r="404">
          <cell r="D404" t="str">
            <v>.NET</v>
          </cell>
          <cell r="T404">
            <v>4</v>
          </cell>
        </row>
        <row r="405">
          <cell r="D405" t="str">
            <v>.NET</v>
          </cell>
          <cell r="T405">
            <v>4</v>
          </cell>
        </row>
        <row r="406">
          <cell r="D406" t="str">
            <v>.NET</v>
          </cell>
          <cell r="T406">
            <v>2.5</v>
          </cell>
        </row>
        <row r="407">
          <cell r="D407" t="str">
            <v>.NET</v>
          </cell>
          <cell r="T407">
            <v>2.5</v>
          </cell>
        </row>
        <row r="408">
          <cell r="D408" t="str">
            <v>.NET</v>
          </cell>
          <cell r="T408">
            <v>2.5</v>
          </cell>
        </row>
        <row r="409">
          <cell r="D409" t="str">
            <v>.NET</v>
          </cell>
          <cell r="T409">
            <v>2.5</v>
          </cell>
        </row>
        <row r="410">
          <cell r="D410" t="str">
            <v>.NET</v>
          </cell>
          <cell r="T410">
            <v>4</v>
          </cell>
        </row>
        <row r="411">
          <cell r="D411" t="str">
            <v>.NET</v>
          </cell>
          <cell r="T411">
            <v>4</v>
          </cell>
        </row>
        <row r="412">
          <cell r="D412" t="str">
            <v>.NET</v>
          </cell>
          <cell r="T412">
            <v>4</v>
          </cell>
        </row>
        <row r="413">
          <cell r="D413" t="str">
            <v>.NET</v>
          </cell>
          <cell r="T413">
            <v>4</v>
          </cell>
        </row>
        <row r="414">
          <cell r="D414" t="str">
            <v>.NET</v>
          </cell>
          <cell r="T414">
            <v>4</v>
          </cell>
        </row>
        <row r="415">
          <cell r="D415" t="str">
            <v>.NET</v>
          </cell>
          <cell r="T415">
            <v>4</v>
          </cell>
        </row>
        <row r="416">
          <cell r="D416" t="str">
            <v>.NET</v>
          </cell>
          <cell r="T416">
            <v>4</v>
          </cell>
        </row>
        <row r="417">
          <cell r="D417" t="str">
            <v>.NET</v>
          </cell>
          <cell r="T417">
            <v>4</v>
          </cell>
        </row>
        <row r="418">
          <cell r="D418" t="str">
            <v>.NET</v>
          </cell>
          <cell r="T418">
            <v>4</v>
          </cell>
        </row>
        <row r="419">
          <cell r="D419" t="str">
            <v>.NET</v>
          </cell>
          <cell r="T419">
            <v>0.8</v>
          </cell>
        </row>
        <row r="420">
          <cell r="T420">
            <v>0.79999971389770508</v>
          </cell>
        </row>
        <row r="421">
          <cell r="D421" t="str">
            <v>.NET</v>
          </cell>
          <cell r="T421">
            <v>0.79999971389770508</v>
          </cell>
        </row>
        <row r="422">
          <cell r="D422" t="str">
            <v>.NET</v>
          </cell>
          <cell r="T422">
            <v>0.79999971389770508</v>
          </cell>
        </row>
        <row r="423">
          <cell r="D423" t="str">
            <v>.NET</v>
          </cell>
          <cell r="T423">
            <v>0.79999971389770508</v>
          </cell>
        </row>
        <row r="424">
          <cell r="D424" t="str">
            <v>.NET</v>
          </cell>
          <cell r="T424">
            <v>0.79999971389770508</v>
          </cell>
        </row>
        <row r="425">
          <cell r="D425" t="str">
            <v>.NET</v>
          </cell>
          <cell r="T425">
            <v>0.79999971389770508</v>
          </cell>
        </row>
        <row r="426">
          <cell r="T426">
            <v>0.79999971389770508</v>
          </cell>
        </row>
        <row r="427">
          <cell r="T427">
            <v>0.79999971389770508</v>
          </cell>
        </row>
        <row r="428">
          <cell r="T428">
            <v>0.79999971389770508</v>
          </cell>
        </row>
        <row r="429">
          <cell r="D429" t="str">
            <v>QA</v>
          </cell>
          <cell r="T429">
            <v>5</v>
          </cell>
        </row>
        <row r="430">
          <cell r="D430" t="str">
            <v>QA</v>
          </cell>
          <cell r="T430">
            <v>18</v>
          </cell>
        </row>
        <row r="431">
          <cell r="D431" t="str">
            <v>Site Dev</v>
          </cell>
          <cell r="T431">
            <v>18</v>
          </cell>
        </row>
        <row r="432">
          <cell r="D432" t="str">
            <v>.NET</v>
          </cell>
          <cell r="T432">
            <v>12.5</v>
          </cell>
        </row>
        <row r="433">
          <cell r="T433">
            <v>12.5</v>
          </cell>
        </row>
        <row r="434">
          <cell r="D434" t="str">
            <v>QA</v>
          </cell>
          <cell r="T434">
            <v>5</v>
          </cell>
        </row>
        <row r="435">
          <cell r="D435" t="str">
            <v>Site Dev</v>
          </cell>
          <cell r="T435">
            <v>5</v>
          </cell>
        </row>
        <row r="436">
          <cell r="D436" t="str">
            <v>.NET</v>
          </cell>
          <cell r="T436">
            <v>5</v>
          </cell>
        </row>
        <row r="437">
          <cell r="T437">
            <v>5</v>
          </cell>
        </row>
        <row r="438">
          <cell r="D438" t="str">
            <v>.NET Arch</v>
          </cell>
          <cell r="T438">
            <v>4</v>
          </cell>
        </row>
        <row r="439">
          <cell r="T439">
            <v>4</v>
          </cell>
        </row>
        <row r="440">
          <cell r="D440" t="str">
            <v>.NET Arch</v>
          </cell>
          <cell r="T440">
            <v>6</v>
          </cell>
        </row>
        <row r="441">
          <cell r="T441">
            <v>6</v>
          </cell>
        </row>
        <row r="442">
          <cell r="D442" t="str">
            <v>.NET Arch</v>
          </cell>
          <cell r="T442">
            <v>1.5</v>
          </cell>
        </row>
        <row r="443">
          <cell r="D443" t="str">
            <v>QA</v>
          </cell>
          <cell r="T443">
            <v>1.5</v>
          </cell>
        </row>
        <row r="444">
          <cell r="D444" t="str">
            <v>.NET</v>
          </cell>
          <cell r="T444">
            <v>1.5</v>
          </cell>
        </row>
        <row r="445">
          <cell r="T445">
            <v>1.5</v>
          </cell>
        </row>
        <row r="446">
          <cell r="T446">
            <v>1.5</v>
          </cell>
        </row>
        <row r="447">
          <cell r="T447">
            <v>1.5</v>
          </cell>
        </row>
        <row r="448">
          <cell r="T448">
            <v>1.5</v>
          </cell>
        </row>
        <row r="449">
          <cell r="T449">
            <v>1.5</v>
          </cell>
        </row>
        <row r="450">
          <cell r="T450">
            <v>1.5</v>
          </cell>
        </row>
        <row r="451">
          <cell r="T451">
            <v>1.5</v>
          </cell>
        </row>
        <row r="452">
          <cell r="T452">
            <v>1.5</v>
          </cell>
        </row>
        <row r="453">
          <cell r="T453">
            <v>1.5</v>
          </cell>
        </row>
        <row r="454">
          <cell r="T454">
            <v>1.5</v>
          </cell>
        </row>
        <row r="455">
          <cell r="T455">
            <v>1.5</v>
          </cell>
        </row>
        <row r="456">
          <cell r="T456">
            <v>1.5</v>
          </cell>
        </row>
        <row r="457">
          <cell r="T457">
            <v>1.5</v>
          </cell>
        </row>
        <row r="458">
          <cell r="T458">
            <v>1.5</v>
          </cell>
        </row>
        <row r="459">
          <cell r="T459">
            <v>1.5</v>
          </cell>
        </row>
        <row r="460">
          <cell r="T460">
            <v>1.5</v>
          </cell>
        </row>
        <row r="461">
          <cell r="T461">
            <v>2.5</v>
          </cell>
        </row>
      </sheetData>
      <sheetData sheetId="3" refreshError="1">
        <row r="10">
          <cell r="C10" t="str">
            <v>BK Crown Implementation</v>
          </cell>
        </row>
        <row r="12">
          <cell r="C12" t="str">
            <v>Executable Architecture Release</v>
          </cell>
        </row>
        <row r="14">
          <cell r="C14" t="str">
            <v>Delivery</v>
          </cell>
        </row>
        <row r="17">
          <cell r="B17" t="str">
            <v>None</v>
          </cell>
          <cell r="C17" t="str">
            <v>1.0</v>
          </cell>
        </row>
        <row r="18">
          <cell r="B18" t="str">
            <v>Analytics</v>
          </cell>
          <cell r="C18" t="str">
            <v>1.1</v>
          </cell>
        </row>
        <row r="19">
          <cell r="B19" t="str">
            <v>Architecture</v>
          </cell>
          <cell r="C19" t="str">
            <v>2.0</v>
          </cell>
        </row>
        <row r="20">
          <cell r="B20" t="str">
            <v>BA</v>
          </cell>
          <cell r="C20" t="str">
            <v>Later</v>
          </cell>
        </row>
        <row r="21">
          <cell r="B21" t="str">
            <v>Bridge Track</v>
          </cell>
          <cell r="C21" t="str">
            <v>Support</v>
          </cell>
        </row>
        <row r="22">
          <cell r="B22" t="str">
            <v>CMS</v>
          </cell>
        </row>
        <row r="23">
          <cell r="B23" t="str">
            <v>Copywriting</v>
          </cell>
        </row>
        <row r="24">
          <cell r="B24" t="str">
            <v>Graphic Design</v>
          </cell>
        </row>
        <row r="25">
          <cell r="B25" t="str">
            <v>IA</v>
          </cell>
        </row>
        <row r="26">
          <cell r="B26" t="str">
            <v>Infra</v>
          </cell>
        </row>
        <row r="27">
          <cell r="B27" t="str">
            <v>InfraBuild</v>
          </cell>
        </row>
        <row r="28">
          <cell r="B28" t="str">
            <v>PM</v>
          </cell>
        </row>
        <row r="29">
          <cell r="B29" t="str">
            <v>QA</v>
          </cell>
        </row>
        <row r="30">
          <cell r="B30" t="str">
            <v>Site Dev</v>
          </cell>
        </row>
        <row r="31">
          <cell r="B31" t="str">
            <v>.NET Arch</v>
          </cell>
        </row>
        <row r="32">
          <cell r="B32" t="str">
            <v>.NET</v>
          </cell>
        </row>
      </sheetData>
      <sheetData sheetId="4" refreshError="1">
        <row r="8">
          <cell r="B8" t="str">
            <v>Story Type</v>
          </cell>
          <cell r="C8" t="str">
            <v>ABP</v>
          </cell>
          <cell r="D8" t="str">
            <v>HP</v>
          </cell>
        </row>
        <row r="9">
          <cell r="B9" t="str">
            <v>None</v>
          </cell>
        </row>
        <row r="10">
          <cell r="B10" t="str">
            <v>CQ5 Components – Low</v>
          </cell>
          <cell r="C10">
            <v>2.25</v>
          </cell>
          <cell r="D10">
            <v>4.25</v>
          </cell>
        </row>
        <row r="11">
          <cell r="B11" t="str">
            <v>CQ5 Components - Medium</v>
          </cell>
          <cell r="C11">
            <v>4.5</v>
          </cell>
          <cell r="D11">
            <v>8.75</v>
          </cell>
        </row>
        <row r="12">
          <cell r="B12" t="str">
            <v>CQ5 Components - High</v>
          </cell>
          <cell r="C12">
            <v>9</v>
          </cell>
          <cell r="D12">
            <v>13.5</v>
          </cell>
        </row>
        <row r="13">
          <cell r="B13" t="str">
            <v>CQ5 Page Integration</v>
          </cell>
          <cell r="C13">
            <v>1</v>
          </cell>
          <cell r="D13">
            <v>2</v>
          </cell>
        </row>
        <row r="14">
          <cell r="B14" t="str">
            <v>Use Case</v>
          </cell>
          <cell r="C14">
            <v>0.6</v>
          </cell>
          <cell r="D14">
            <v>1.1000000000000001</v>
          </cell>
        </row>
        <row r="15">
          <cell r="B15" t="str">
            <v>Business Requirements Report</v>
          </cell>
          <cell r="C15">
            <v>5.7</v>
          </cell>
          <cell r="D15">
            <v>10.7</v>
          </cell>
        </row>
        <row r="16">
          <cell r="B16" t="str">
            <v>HTML Comp - High</v>
          </cell>
          <cell r="C16">
            <v>8.5</v>
          </cell>
          <cell r="D16">
            <v>11</v>
          </cell>
        </row>
        <row r="17">
          <cell r="B17" t="str">
            <v>HTML Comp - Medium</v>
          </cell>
          <cell r="C17">
            <v>5.5</v>
          </cell>
          <cell r="D17">
            <v>7.5</v>
          </cell>
        </row>
        <row r="18">
          <cell r="B18" t="str">
            <v>HTML Comp - Low</v>
          </cell>
          <cell r="C18">
            <v>1.8</v>
          </cell>
          <cell r="D18">
            <v>3.6</v>
          </cell>
        </row>
        <row r="19">
          <cell r="B19" t="str">
            <v>Template Specification</v>
          </cell>
          <cell r="C19">
            <v>0.3</v>
          </cell>
          <cell r="D19">
            <v>0.6</v>
          </cell>
        </row>
        <row r="20">
          <cell r="B20" t="str">
            <v>CMS Template - Low &lt; 5 slots</v>
          </cell>
          <cell r="C20">
            <v>2.25</v>
          </cell>
          <cell r="D20">
            <v>3.4</v>
          </cell>
        </row>
        <row r="21">
          <cell r="B21" t="str">
            <v>CMS Template - Med 5-15 slots</v>
          </cell>
          <cell r="C21">
            <v>3.25</v>
          </cell>
          <cell r="D21">
            <v>5.85</v>
          </cell>
        </row>
        <row r="22">
          <cell r="B22" t="str">
            <v>CMS Template - High &gt; 15</v>
          </cell>
          <cell r="C22">
            <v>5.2</v>
          </cell>
          <cell r="D22">
            <v>7.8</v>
          </cell>
        </row>
        <row r="23">
          <cell r="B23" t="str">
            <v>CMS Template - Reqs Change - Low</v>
          </cell>
          <cell r="C23">
            <v>1.01</v>
          </cell>
          <cell r="D23">
            <v>1.2875000000000001</v>
          </cell>
        </row>
        <row r="24">
          <cell r="B24" t="str">
            <v>CMS Template - Reqs Change - Med</v>
          </cell>
          <cell r="C24">
            <v>1.0874999999999999</v>
          </cell>
          <cell r="D24">
            <v>1.675</v>
          </cell>
        </row>
        <row r="25">
          <cell r="B25" t="str">
            <v>CMS Template - Reqs Change - High</v>
          </cell>
          <cell r="C25">
            <v>1.4750000000000001</v>
          </cell>
          <cell r="D25">
            <v>2.0625</v>
          </cell>
        </row>
        <row r="26">
          <cell r="B26" t="str">
            <v>Web Service Proxy</v>
          </cell>
          <cell r="C26">
            <v>0.55000000000000004</v>
          </cell>
          <cell r="D26">
            <v>1.05</v>
          </cell>
        </row>
        <row r="27">
          <cell r="B27" t="str">
            <v>Web Service - Low</v>
          </cell>
          <cell r="C27">
            <v>2</v>
          </cell>
          <cell r="D27">
            <v>3.375</v>
          </cell>
        </row>
        <row r="28">
          <cell r="B28" t="str">
            <v>Web Service - Medium</v>
          </cell>
          <cell r="C28">
            <v>3.2749999999999999</v>
          </cell>
          <cell r="D28">
            <v>6.05</v>
          </cell>
        </row>
        <row r="29">
          <cell r="B29" t="str">
            <v>Web Service - High</v>
          </cell>
          <cell r="C29">
            <v>4.95</v>
          </cell>
          <cell r="D29">
            <v>8.15</v>
          </cell>
        </row>
        <row r="30">
          <cell r="B30" t="str">
            <v>Web Service - Refactor</v>
          </cell>
          <cell r="C30">
            <v>1.325</v>
          </cell>
          <cell r="D30">
            <v>2.5499999999999998</v>
          </cell>
        </row>
        <row r="31">
          <cell r="B31" t="str">
            <v>Wireframes - High</v>
          </cell>
          <cell r="C31">
            <v>2</v>
          </cell>
          <cell r="D31">
            <v>4</v>
          </cell>
        </row>
        <row r="32">
          <cell r="B32" t="str">
            <v>Wireframes - Medium</v>
          </cell>
          <cell r="C32">
            <v>1</v>
          </cell>
          <cell r="D32">
            <v>2</v>
          </cell>
        </row>
        <row r="33">
          <cell r="B33" t="str">
            <v>Wireframes - Low</v>
          </cell>
          <cell r="C33">
            <v>0.5</v>
          </cell>
          <cell r="D33">
            <v>1</v>
          </cell>
        </row>
        <row r="34">
          <cell r="B34" t="str">
            <v>Visual Screen Comp - High</v>
          </cell>
          <cell r="C34">
            <v>2</v>
          </cell>
          <cell r="D34">
            <v>3</v>
          </cell>
        </row>
        <row r="35">
          <cell r="B35" t="str">
            <v>Visual Screen Comps - Med</v>
          </cell>
          <cell r="C35">
            <v>1.25</v>
          </cell>
          <cell r="D35">
            <v>2.5</v>
          </cell>
        </row>
        <row r="36">
          <cell r="B36" t="str">
            <v>Visual Screen Comps - Low</v>
          </cell>
          <cell r="C36">
            <v>0.75</v>
          </cell>
          <cell r="D36">
            <v>1.5</v>
          </cell>
        </row>
      </sheetData>
      <sheetData sheetId="5" refreshError="1">
        <row r="7">
          <cell r="B7">
            <v>1735.5</v>
          </cell>
          <cell r="F7" t="str">
            <v>In</v>
          </cell>
        </row>
        <row r="8">
          <cell r="F8" t="str">
            <v>Out</v>
          </cell>
        </row>
        <row r="9">
          <cell r="B9">
            <v>145</v>
          </cell>
        </row>
      </sheetData>
      <sheetData sheetId="6" refreshError="1">
        <row r="11">
          <cell r="H11">
            <v>75</v>
          </cell>
        </row>
        <row r="15">
          <cell r="C15" t="str">
            <v>CMS</v>
          </cell>
          <cell r="H15">
            <v>5</v>
          </cell>
        </row>
        <row r="16">
          <cell r="C16" t="str">
            <v>QA</v>
          </cell>
          <cell r="H16">
            <v>5</v>
          </cell>
        </row>
        <row r="17">
          <cell r="C17" t="str">
            <v>IA</v>
          </cell>
          <cell r="H17">
            <v>10</v>
          </cell>
        </row>
        <row r="18">
          <cell r="H18">
            <v>0</v>
          </cell>
        </row>
        <row r="19">
          <cell r="C19" t="str">
            <v>Site Dev</v>
          </cell>
          <cell r="H19">
            <v>10</v>
          </cell>
        </row>
        <row r="20">
          <cell r="C20" t="str">
            <v>CMS</v>
          </cell>
          <cell r="H20">
            <v>20</v>
          </cell>
        </row>
        <row r="21">
          <cell r="C21" t="str">
            <v>QA</v>
          </cell>
          <cell r="H21">
            <v>15</v>
          </cell>
        </row>
        <row r="22">
          <cell r="C22" t="str">
            <v>.NET</v>
          </cell>
          <cell r="H22">
            <v>5</v>
          </cell>
        </row>
        <row r="23">
          <cell r="C23" t="str">
            <v>QA</v>
          </cell>
          <cell r="H23">
            <v>5</v>
          </cell>
        </row>
      </sheetData>
      <sheetData sheetId="7" refreshError="1">
        <row r="26">
          <cell r="AK26">
            <v>471</v>
          </cell>
        </row>
        <row r="28">
          <cell r="AK28">
            <v>0</v>
          </cell>
        </row>
        <row r="29">
          <cell r="G29" t="str">
            <v>Infra</v>
          </cell>
          <cell r="AK29">
            <v>60</v>
          </cell>
        </row>
        <row r="30">
          <cell r="G30" t="str">
            <v>Infra</v>
          </cell>
          <cell r="AK30">
            <v>60</v>
          </cell>
        </row>
        <row r="31">
          <cell r="G31" t="str">
            <v>Infra</v>
          </cell>
          <cell r="AK31">
            <v>16.500000000000007</v>
          </cell>
        </row>
        <row r="32">
          <cell r="G32" t="str">
            <v>InfraBuild</v>
          </cell>
          <cell r="AK32">
            <v>25</v>
          </cell>
        </row>
        <row r="33">
          <cell r="G33" t="str">
            <v>InfraBuild</v>
          </cell>
          <cell r="AK33">
            <v>47.999999999999972</v>
          </cell>
        </row>
        <row r="34">
          <cell r="G34" t="str">
            <v>IA</v>
          </cell>
          <cell r="AK34">
            <v>57.5</v>
          </cell>
        </row>
        <row r="35">
          <cell r="G35" t="str">
            <v>IA</v>
          </cell>
          <cell r="AK35">
            <v>30</v>
          </cell>
        </row>
        <row r="36">
          <cell r="AK36">
            <v>0</v>
          </cell>
        </row>
        <row r="37">
          <cell r="AK37">
            <v>0</v>
          </cell>
        </row>
        <row r="38">
          <cell r="G38" t="str">
            <v>Site Dev</v>
          </cell>
          <cell r="AK38">
            <v>55</v>
          </cell>
        </row>
        <row r="39">
          <cell r="G39" t="str">
            <v>Site Dev</v>
          </cell>
          <cell r="AK39">
            <v>50</v>
          </cell>
        </row>
        <row r="40">
          <cell r="AK40">
            <v>0</v>
          </cell>
        </row>
        <row r="41">
          <cell r="G41" t="str">
            <v>CMS</v>
          </cell>
          <cell r="AK41">
            <v>67.5</v>
          </cell>
        </row>
        <row r="42">
          <cell r="G42" t="str">
            <v>CMS</v>
          </cell>
          <cell r="AK42">
            <v>65</v>
          </cell>
        </row>
        <row r="43">
          <cell r="G43" t="str">
            <v>CMS</v>
          </cell>
          <cell r="AK43">
            <v>60</v>
          </cell>
        </row>
        <row r="44">
          <cell r="G44" t="str">
            <v>CMS</v>
          </cell>
          <cell r="AK44">
            <v>120</v>
          </cell>
        </row>
        <row r="45">
          <cell r="AK45">
            <v>0</v>
          </cell>
        </row>
        <row r="46">
          <cell r="AK46">
            <v>0</v>
          </cell>
        </row>
        <row r="47">
          <cell r="G47" t="str">
            <v>CMS</v>
          </cell>
          <cell r="AK47">
            <v>32.5</v>
          </cell>
        </row>
        <row r="48">
          <cell r="G48" t="str">
            <v>CMS</v>
          </cell>
          <cell r="AK48">
            <v>65</v>
          </cell>
        </row>
        <row r="49">
          <cell r="G49" t="str">
            <v>CMS</v>
          </cell>
          <cell r="AK49">
            <v>55</v>
          </cell>
        </row>
        <row r="50">
          <cell r="AK50">
            <v>0</v>
          </cell>
        </row>
        <row r="51">
          <cell r="G51" t="str">
            <v>QA</v>
          </cell>
          <cell r="AK51">
            <v>82.5</v>
          </cell>
        </row>
        <row r="52">
          <cell r="G52" t="str">
            <v>QA</v>
          </cell>
          <cell r="AK52">
            <v>110</v>
          </cell>
        </row>
        <row r="53">
          <cell r="G53" t="str">
            <v>QA</v>
          </cell>
          <cell r="AK53">
            <v>60</v>
          </cell>
        </row>
        <row r="54">
          <cell r="AK54">
            <v>0</v>
          </cell>
        </row>
        <row r="55">
          <cell r="G55" t="str">
            <v>Architecture</v>
          </cell>
          <cell r="AK55">
            <v>12</v>
          </cell>
        </row>
        <row r="56">
          <cell r="G56" t="str">
            <v>.NET Arch</v>
          </cell>
          <cell r="AK56">
            <v>30</v>
          </cell>
        </row>
        <row r="57">
          <cell r="G57" t="str">
            <v>.NET</v>
          </cell>
          <cell r="AK57">
            <v>55</v>
          </cell>
        </row>
        <row r="58">
          <cell r="G58" t="str">
            <v>.NET</v>
          </cell>
          <cell r="AK58">
            <v>25</v>
          </cell>
        </row>
        <row r="59">
          <cell r="G59" t="str">
            <v>QA</v>
          </cell>
          <cell r="AK59">
            <v>35</v>
          </cell>
        </row>
        <row r="60">
          <cell r="G60" t="str">
            <v>QA</v>
          </cell>
          <cell r="AK60">
            <v>10</v>
          </cell>
        </row>
        <row r="61">
          <cell r="AK61">
            <v>0</v>
          </cell>
        </row>
        <row r="62">
          <cell r="AK62">
            <v>0</v>
          </cell>
        </row>
        <row r="63">
          <cell r="G63" t="str">
            <v>BA</v>
          </cell>
          <cell r="AK63">
            <v>3.9999999999999996</v>
          </cell>
        </row>
        <row r="64">
          <cell r="G64" t="str">
            <v>BA</v>
          </cell>
          <cell r="AK64">
            <v>14.999999999999998</v>
          </cell>
        </row>
        <row r="66">
          <cell r="AK66">
            <v>1776.5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Add_Ins"/>
      <sheetName val="Roles"/>
      <sheetName val="Total LOE"/>
      <sheetName val="Objective Risks"/>
    </sheetNames>
    <sheetDataSet>
      <sheetData sheetId="0" refreshError="1"/>
      <sheetData sheetId="1" refreshError="1"/>
      <sheetData sheetId="2" refreshError="1"/>
      <sheetData sheetId="3" refreshError="1"/>
      <sheetData sheetId="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67"/>
      <sheetName val="bcospreli"/>
      <sheetName val="pm0025"/>
      <sheetName val="bcosdef"/>
      <sheetName val="pm0028"/>
      <sheetName val="bccrdef"/>
      <sheetName val="diario"/>
      <sheetName val="bccrpreli"/>
      <sheetName val="Bancos"/>
      <sheetName val="Central"/>
      <sheetName val="Programa"/>
      <sheetName val="minor"/>
      <sheetName val="omas"/>
      <sheetName val="res99"/>
      <sheetName val="Crédito"/>
      <sheetName val="SEMANAL"/>
      <sheetName val="paradoc"/>
      <sheetName val="Metas"/>
      <sheetName val="encaje"/>
      <sheetName val="origen y aplicacion"/>
      <sheetName val="PROGvrsOBS"/>
      <sheetName val="RFPROMEDIOPIB"/>
      <sheetName val="resctasmonet"/>
      <sheetName val="balanzaresumen1"/>
      <sheetName val="riqueza"/>
      <sheetName val="comparativofmi"/>
      <sheetName val="evaluacionmetas"/>
      <sheetName val="absorcion"/>
      <sheetName val="deficit"/>
      <sheetName val="base FMI"/>
      <sheetName val="FMI"/>
      <sheetName val="Módulo1"/>
      <sheetName val="flujos (2)"/>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est Rates"/>
      <sheetName val="Deposits"/>
      <sheetName val="Sectoral distribution"/>
      <sheetName val="Loans"/>
      <sheetName val="For. Assets"/>
      <sheetName val="For. Liabilities"/>
      <sheetName val="Assets"/>
      <sheetName val="Liabilities"/>
      <sheetName val="gdp- nominal"/>
      <sheetName val="gdp-real"/>
      <sheetName val="CPI"/>
      <sheetName val="MS"/>
      <sheetName val="NEP"/>
      <sheetName val="Tourism"/>
      <sheetName val="Trade"/>
      <sheetName val="Fiscal"/>
      <sheetName val="BOP"/>
      <sheetName val="Selected Economic Indicators"/>
      <sheetName val="Credits- Add on &amp; Reducing"/>
      <sheetName val="Sheet7"/>
      <sheetName val="Sheet6"/>
      <sheetName val="Sheet5"/>
      <sheetName val="Sheet4"/>
      <sheetName val="APPENDIX 10 "/>
      <sheetName val="sei-suggested"/>
      <sheetName val="visitors,q-02-05"/>
      <sheetName val="input-Cen Gov"/>
      <sheetName val="input-other"/>
      <sheetName val="Q6"/>
      <sheetName val="Q5"/>
      <sheetName val="PRESSUP"/>
      <sheetName val="DESPESA"/>
      <sheetName val="Table 2"/>
      <sheetName val="A Previous Data"/>
      <sheetName val="General Assumptions"/>
      <sheetName val="Manufacturing qtrly"/>
      <sheetName val="Monthly Raw Data"/>
      <sheetName val="Programa"/>
      <sheetName val="Commercial Ban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structions"/>
      <sheetName val="Color codes"/>
      <sheetName val="January"/>
      <sheetName val="February"/>
      <sheetName val="March"/>
      <sheetName val="April"/>
      <sheetName val="May"/>
      <sheetName val="June"/>
      <sheetName val="July"/>
      <sheetName val="August"/>
      <sheetName val="September"/>
      <sheetName val="October"/>
      <sheetName val="November"/>
      <sheetName val="December"/>
      <sheetName val="All months"/>
      <sheetName val="Variance ($)"/>
      <sheetName val="Variance (%)"/>
      <sheetName val="Variance Report"/>
      <sheetName val="Variance Explanations"/>
      <sheetName val="Format for Variance Explanation"/>
      <sheetName val="Graphs"/>
      <sheetName val="Ratios"/>
      <sheetName val="#REF"/>
      <sheetName val="Banking Schedule 1 - 2004"/>
    </sheetNames>
    <sheetDataSet>
      <sheetData sheetId="0"/>
      <sheetData sheetId="1"/>
      <sheetData sheetId="2"/>
      <sheetData sheetId="3"/>
      <sheetData sheetId="4"/>
      <sheetData sheetId="5"/>
      <sheetData sheetId="6"/>
      <sheetData sheetId="7"/>
      <sheetData sheetId="8"/>
      <sheetData sheetId="9"/>
      <sheetData sheetId="10">
        <row r="12">
          <cell r="G12">
            <v>0</v>
          </cell>
        </row>
      </sheetData>
      <sheetData sheetId="11"/>
      <sheetData sheetId="12"/>
      <sheetData sheetId="13"/>
      <sheetData sheetId="14"/>
      <sheetData sheetId="15"/>
      <sheetData sheetId="16"/>
      <sheetData sheetId="17"/>
      <sheetData sheetId="18" refreshError="1">
        <row r="14">
          <cell r="D14">
            <v>18642</v>
          </cell>
          <cell r="E14">
            <v>18642</v>
          </cell>
          <cell r="F14">
            <v>18642</v>
          </cell>
          <cell r="G14">
            <v>18642</v>
          </cell>
          <cell r="H14">
            <v>18642</v>
          </cell>
          <cell r="I14">
            <v>18642</v>
          </cell>
          <cell r="J14">
            <v>18642</v>
          </cell>
          <cell r="K14">
            <v>18642</v>
          </cell>
          <cell r="L14">
            <v>18642</v>
          </cell>
          <cell r="M14">
            <v>18642</v>
          </cell>
          <cell r="N14">
            <v>18642</v>
          </cell>
          <cell r="O14">
            <v>18642</v>
          </cell>
        </row>
        <row r="15">
          <cell r="D15">
            <v>100617</v>
          </cell>
          <cell r="E15">
            <v>100617</v>
          </cell>
          <cell r="F15">
            <v>100617</v>
          </cell>
          <cell r="G15">
            <v>100617</v>
          </cell>
          <cell r="H15">
            <v>100617</v>
          </cell>
          <cell r="I15">
            <v>100617</v>
          </cell>
          <cell r="J15">
            <v>100617</v>
          </cell>
          <cell r="K15">
            <v>100617</v>
          </cell>
          <cell r="L15">
            <v>100617</v>
          </cell>
          <cell r="M15">
            <v>100617</v>
          </cell>
          <cell r="N15">
            <v>100617</v>
          </cell>
          <cell r="O15">
            <v>100617</v>
          </cell>
        </row>
        <row r="16">
          <cell r="D16">
            <v>81470</v>
          </cell>
          <cell r="E16">
            <v>81470</v>
          </cell>
          <cell r="F16">
            <v>81470</v>
          </cell>
          <cell r="G16">
            <v>81470</v>
          </cell>
          <cell r="H16">
            <v>81470</v>
          </cell>
          <cell r="I16">
            <v>81470</v>
          </cell>
          <cell r="J16">
            <v>81470</v>
          </cell>
          <cell r="K16">
            <v>81470</v>
          </cell>
          <cell r="L16">
            <v>81470</v>
          </cell>
          <cell r="M16">
            <v>81470</v>
          </cell>
          <cell r="N16">
            <v>81470</v>
          </cell>
          <cell r="O16">
            <v>81470</v>
          </cell>
        </row>
        <row r="18">
          <cell r="D18">
            <v>81470</v>
          </cell>
          <cell r="E18">
            <v>81470</v>
          </cell>
          <cell r="F18">
            <v>81470</v>
          </cell>
          <cell r="G18">
            <v>81470</v>
          </cell>
          <cell r="H18">
            <v>81470</v>
          </cell>
          <cell r="I18">
            <v>81470</v>
          </cell>
          <cell r="J18">
            <v>81470</v>
          </cell>
          <cell r="K18">
            <v>81470</v>
          </cell>
          <cell r="L18">
            <v>81470</v>
          </cell>
          <cell r="M18">
            <v>81470</v>
          </cell>
          <cell r="N18">
            <v>81470</v>
          </cell>
          <cell r="O18">
            <v>81470</v>
          </cell>
        </row>
        <row r="19">
          <cell r="D19">
            <v>81470</v>
          </cell>
          <cell r="E19">
            <v>81470</v>
          </cell>
          <cell r="F19">
            <v>81470</v>
          </cell>
          <cell r="G19">
            <v>81470</v>
          </cell>
          <cell r="H19">
            <v>81470</v>
          </cell>
          <cell r="I19">
            <v>81470</v>
          </cell>
          <cell r="J19">
            <v>81470</v>
          </cell>
          <cell r="K19">
            <v>81470</v>
          </cell>
          <cell r="L19">
            <v>81470</v>
          </cell>
          <cell r="M19">
            <v>81470</v>
          </cell>
          <cell r="N19">
            <v>81470</v>
          </cell>
          <cell r="O19">
            <v>81470</v>
          </cell>
        </row>
        <row r="20">
          <cell r="D20">
            <v>81470</v>
          </cell>
          <cell r="E20">
            <v>81470</v>
          </cell>
          <cell r="F20">
            <v>81470</v>
          </cell>
          <cell r="G20">
            <v>81470</v>
          </cell>
          <cell r="H20">
            <v>81470</v>
          </cell>
          <cell r="I20">
            <v>81470</v>
          </cell>
          <cell r="J20">
            <v>81470</v>
          </cell>
          <cell r="K20">
            <v>81470</v>
          </cell>
          <cell r="L20">
            <v>81470</v>
          </cell>
          <cell r="M20">
            <v>81470</v>
          </cell>
          <cell r="N20">
            <v>81470</v>
          </cell>
          <cell r="O20">
            <v>81470</v>
          </cell>
        </row>
        <row r="22">
          <cell r="D22">
            <v>81470</v>
          </cell>
          <cell r="E22">
            <v>81470</v>
          </cell>
          <cell r="F22">
            <v>81470</v>
          </cell>
          <cell r="G22">
            <v>81470</v>
          </cell>
          <cell r="H22">
            <v>81470</v>
          </cell>
          <cell r="I22">
            <v>81470</v>
          </cell>
          <cell r="J22">
            <v>81470</v>
          </cell>
          <cell r="K22">
            <v>81470</v>
          </cell>
          <cell r="L22">
            <v>81470</v>
          </cell>
          <cell r="M22">
            <v>81470</v>
          </cell>
          <cell r="N22">
            <v>81470</v>
          </cell>
          <cell r="O22">
            <v>81470</v>
          </cell>
        </row>
        <row r="23">
          <cell r="D23">
            <v>81470</v>
          </cell>
        </row>
        <row r="24">
          <cell r="D24">
            <v>81470</v>
          </cell>
          <cell r="E24">
            <v>81470</v>
          </cell>
          <cell r="F24">
            <v>81470</v>
          </cell>
          <cell r="G24">
            <v>81470</v>
          </cell>
          <cell r="H24">
            <v>81470</v>
          </cell>
          <cell r="I24">
            <v>81470</v>
          </cell>
          <cell r="J24">
            <v>81470</v>
          </cell>
          <cell r="K24">
            <v>81470</v>
          </cell>
          <cell r="L24">
            <v>81470</v>
          </cell>
          <cell r="M24">
            <v>81470</v>
          </cell>
          <cell r="N24">
            <v>81470</v>
          </cell>
          <cell r="O24">
            <v>81470</v>
          </cell>
        </row>
        <row r="27">
          <cell r="D27">
            <v>81470</v>
          </cell>
          <cell r="E27">
            <v>81470</v>
          </cell>
          <cell r="F27">
            <v>81470</v>
          </cell>
          <cell r="G27">
            <v>81470</v>
          </cell>
          <cell r="H27">
            <v>81470</v>
          </cell>
          <cell r="I27">
            <v>81470</v>
          </cell>
          <cell r="J27">
            <v>81470</v>
          </cell>
          <cell r="K27">
            <v>81470</v>
          </cell>
          <cell r="L27">
            <v>81470</v>
          </cell>
          <cell r="M27">
            <v>81470</v>
          </cell>
          <cell r="N27">
            <v>81470</v>
          </cell>
          <cell r="O27">
            <v>81470</v>
          </cell>
        </row>
        <row r="28">
          <cell r="D28">
            <v>81470</v>
          </cell>
          <cell r="E28">
            <v>81470</v>
          </cell>
          <cell r="F28">
            <v>81470</v>
          </cell>
          <cell r="G28">
            <v>81470</v>
          </cell>
          <cell r="H28">
            <v>81470</v>
          </cell>
          <cell r="I28">
            <v>81470</v>
          </cell>
          <cell r="J28">
            <v>81470</v>
          </cell>
          <cell r="K28">
            <v>81470</v>
          </cell>
          <cell r="L28">
            <v>81470</v>
          </cell>
          <cell r="M28">
            <v>81470</v>
          </cell>
          <cell r="N28">
            <v>81470</v>
          </cell>
          <cell r="O28">
            <v>81470</v>
          </cell>
        </row>
        <row r="29">
          <cell r="D29">
            <v>81470</v>
          </cell>
          <cell r="E29">
            <v>81470</v>
          </cell>
          <cell r="F29">
            <v>81470</v>
          </cell>
          <cell r="G29">
            <v>81470</v>
          </cell>
          <cell r="H29">
            <v>81470</v>
          </cell>
          <cell r="I29">
            <v>81470</v>
          </cell>
          <cell r="J29">
            <v>81470</v>
          </cell>
          <cell r="K29">
            <v>81470</v>
          </cell>
          <cell r="L29">
            <v>81470</v>
          </cell>
          <cell r="M29">
            <v>81470</v>
          </cell>
          <cell r="N29">
            <v>81470</v>
          </cell>
          <cell r="O29">
            <v>81470</v>
          </cell>
        </row>
        <row r="32">
          <cell r="D32">
            <v>81470</v>
          </cell>
          <cell r="E32">
            <v>81470</v>
          </cell>
          <cell r="F32">
            <v>81470</v>
          </cell>
          <cell r="G32">
            <v>81470</v>
          </cell>
          <cell r="H32">
            <v>81470</v>
          </cell>
          <cell r="I32">
            <v>81470</v>
          </cell>
          <cell r="J32">
            <v>81470</v>
          </cell>
          <cell r="K32">
            <v>81470</v>
          </cell>
          <cell r="L32">
            <v>81470</v>
          </cell>
          <cell r="M32">
            <v>81470</v>
          </cell>
          <cell r="N32">
            <v>81470</v>
          </cell>
          <cell r="O32">
            <v>81470</v>
          </cell>
        </row>
        <row r="33">
          <cell r="D33">
            <v>81470</v>
          </cell>
          <cell r="E33">
            <v>81470</v>
          </cell>
          <cell r="F33">
            <v>81470</v>
          </cell>
          <cell r="G33">
            <v>81470</v>
          </cell>
          <cell r="H33">
            <v>81470</v>
          </cell>
          <cell r="I33">
            <v>81470</v>
          </cell>
          <cell r="J33">
            <v>81470</v>
          </cell>
          <cell r="K33">
            <v>81470</v>
          </cell>
          <cell r="L33">
            <v>81470</v>
          </cell>
          <cell r="M33">
            <v>81470</v>
          </cell>
          <cell r="N33">
            <v>81470</v>
          </cell>
          <cell r="O33">
            <v>81470</v>
          </cell>
        </row>
        <row r="37">
          <cell r="D37">
            <v>81470</v>
          </cell>
          <cell r="E37">
            <v>81470</v>
          </cell>
          <cell r="F37">
            <v>81470</v>
          </cell>
          <cell r="G37">
            <v>81470</v>
          </cell>
          <cell r="H37">
            <v>81470</v>
          </cell>
          <cell r="I37">
            <v>81470</v>
          </cell>
          <cell r="J37">
            <v>81470</v>
          </cell>
          <cell r="K37">
            <v>81470</v>
          </cell>
          <cell r="L37">
            <v>81470</v>
          </cell>
          <cell r="M37">
            <v>81470</v>
          </cell>
          <cell r="N37">
            <v>81470</v>
          </cell>
          <cell r="O37">
            <v>81470</v>
          </cell>
        </row>
        <row r="38">
          <cell r="D38">
            <v>81470</v>
          </cell>
          <cell r="E38">
            <v>81470</v>
          </cell>
          <cell r="F38">
            <v>81470</v>
          </cell>
          <cell r="G38">
            <v>81470</v>
          </cell>
          <cell r="H38">
            <v>81470</v>
          </cell>
          <cell r="I38">
            <v>81470</v>
          </cell>
          <cell r="J38">
            <v>81470</v>
          </cell>
          <cell r="K38">
            <v>81470</v>
          </cell>
          <cell r="L38">
            <v>81470</v>
          </cell>
          <cell r="M38">
            <v>81470</v>
          </cell>
          <cell r="N38">
            <v>81470</v>
          </cell>
          <cell r="O38">
            <v>81470</v>
          </cell>
        </row>
        <row r="39">
          <cell r="D39">
            <v>81470</v>
          </cell>
          <cell r="E39">
            <v>81470</v>
          </cell>
          <cell r="F39">
            <v>81470</v>
          </cell>
          <cell r="G39">
            <v>81470</v>
          </cell>
          <cell r="H39">
            <v>81470</v>
          </cell>
          <cell r="I39">
            <v>81470</v>
          </cell>
          <cell r="J39">
            <v>81470</v>
          </cell>
          <cell r="K39">
            <v>81470</v>
          </cell>
          <cell r="L39">
            <v>81470</v>
          </cell>
          <cell r="M39">
            <v>81470</v>
          </cell>
          <cell r="N39">
            <v>81470</v>
          </cell>
          <cell r="O39">
            <v>81470</v>
          </cell>
        </row>
        <row r="41">
          <cell r="D41">
            <v>81470</v>
          </cell>
          <cell r="E41">
            <v>81470</v>
          </cell>
          <cell r="F41">
            <v>81470</v>
          </cell>
          <cell r="G41">
            <v>81470</v>
          </cell>
          <cell r="H41">
            <v>81470</v>
          </cell>
          <cell r="I41">
            <v>81470</v>
          </cell>
          <cell r="J41">
            <v>81470</v>
          </cell>
          <cell r="K41">
            <v>81470</v>
          </cell>
          <cell r="L41">
            <v>81470</v>
          </cell>
          <cell r="M41">
            <v>81470</v>
          </cell>
          <cell r="N41">
            <v>81470</v>
          </cell>
          <cell r="O41">
            <v>81470</v>
          </cell>
        </row>
        <row r="42">
          <cell r="D42">
            <v>81470</v>
          </cell>
          <cell r="E42">
            <v>81470</v>
          </cell>
          <cell r="F42">
            <v>81470</v>
          </cell>
          <cell r="G42">
            <v>81470</v>
          </cell>
          <cell r="H42">
            <v>81470</v>
          </cell>
          <cell r="I42">
            <v>81470</v>
          </cell>
          <cell r="J42">
            <v>81470</v>
          </cell>
          <cell r="K42">
            <v>81470</v>
          </cell>
          <cell r="L42">
            <v>81470</v>
          </cell>
          <cell r="M42">
            <v>81470</v>
          </cell>
          <cell r="N42">
            <v>81470</v>
          </cell>
          <cell r="O42">
            <v>81470</v>
          </cell>
        </row>
        <row r="43">
          <cell r="D43">
            <v>7132</v>
          </cell>
          <cell r="E43">
            <v>7132</v>
          </cell>
          <cell r="F43">
            <v>7132</v>
          </cell>
          <cell r="G43">
            <v>7132</v>
          </cell>
          <cell r="H43">
            <v>7132</v>
          </cell>
          <cell r="I43">
            <v>7132</v>
          </cell>
          <cell r="J43">
            <v>7132</v>
          </cell>
          <cell r="K43">
            <v>7132</v>
          </cell>
          <cell r="L43">
            <v>7132</v>
          </cell>
          <cell r="M43">
            <v>7132</v>
          </cell>
          <cell r="N43">
            <v>7132</v>
          </cell>
          <cell r="O43">
            <v>7132</v>
          </cell>
        </row>
        <row r="45">
          <cell r="D45">
            <v>7132</v>
          </cell>
        </row>
        <row r="46">
          <cell r="D46">
            <v>7132</v>
          </cell>
        </row>
        <row r="47">
          <cell r="D47">
            <v>7132</v>
          </cell>
          <cell r="E47">
            <v>7132</v>
          </cell>
          <cell r="F47">
            <v>7132</v>
          </cell>
          <cell r="G47">
            <v>7132</v>
          </cell>
          <cell r="H47">
            <v>7132</v>
          </cell>
          <cell r="I47">
            <v>7132</v>
          </cell>
          <cell r="J47">
            <v>7132</v>
          </cell>
          <cell r="K47">
            <v>7132</v>
          </cell>
          <cell r="L47">
            <v>7132</v>
          </cell>
          <cell r="M47">
            <v>7132</v>
          </cell>
          <cell r="N47">
            <v>7132</v>
          </cell>
          <cell r="O47">
            <v>7132</v>
          </cell>
        </row>
        <row r="48">
          <cell r="D48">
            <v>7132</v>
          </cell>
          <cell r="E48">
            <v>7132</v>
          </cell>
          <cell r="F48">
            <v>7132</v>
          </cell>
          <cell r="G48">
            <v>7132</v>
          </cell>
          <cell r="H48">
            <v>7132</v>
          </cell>
          <cell r="I48">
            <v>7132</v>
          </cell>
          <cell r="J48">
            <v>7132</v>
          </cell>
          <cell r="K48">
            <v>7132</v>
          </cell>
          <cell r="L48">
            <v>7132</v>
          </cell>
          <cell r="M48">
            <v>7132</v>
          </cell>
          <cell r="N48">
            <v>7132</v>
          </cell>
          <cell r="O48">
            <v>7132</v>
          </cell>
        </row>
        <row r="49">
          <cell r="D49">
            <v>7132</v>
          </cell>
          <cell r="E49">
            <v>7132</v>
          </cell>
          <cell r="F49">
            <v>7132</v>
          </cell>
          <cell r="G49">
            <v>7132</v>
          </cell>
          <cell r="H49">
            <v>7132</v>
          </cell>
          <cell r="I49">
            <v>7132</v>
          </cell>
          <cell r="J49">
            <v>7132</v>
          </cell>
          <cell r="K49">
            <v>7132</v>
          </cell>
          <cell r="L49">
            <v>7132</v>
          </cell>
          <cell r="M49">
            <v>7132</v>
          </cell>
          <cell r="N49">
            <v>7132</v>
          </cell>
          <cell r="O49">
            <v>7132</v>
          </cell>
        </row>
        <row r="50">
          <cell r="D50">
            <v>7132</v>
          </cell>
        </row>
        <row r="51">
          <cell r="D51">
            <v>7132</v>
          </cell>
          <cell r="E51">
            <v>7132</v>
          </cell>
          <cell r="F51">
            <v>7132</v>
          </cell>
          <cell r="G51">
            <v>7132</v>
          </cell>
          <cell r="H51">
            <v>7132</v>
          </cell>
          <cell r="I51">
            <v>7132</v>
          </cell>
          <cell r="J51">
            <v>7132</v>
          </cell>
          <cell r="K51">
            <v>7132</v>
          </cell>
          <cell r="L51">
            <v>7132</v>
          </cell>
          <cell r="M51">
            <v>7132</v>
          </cell>
          <cell r="N51">
            <v>7132</v>
          </cell>
          <cell r="O51">
            <v>7132</v>
          </cell>
        </row>
        <row r="52">
          <cell r="D52">
            <v>7132</v>
          </cell>
          <cell r="E52">
            <v>7132</v>
          </cell>
          <cell r="F52">
            <v>7132</v>
          </cell>
          <cell r="G52">
            <v>7132</v>
          </cell>
          <cell r="H52">
            <v>7132</v>
          </cell>
          <cell r="I52">
            <v>7132</v>
          </cell>
          <cell r="J52">
            <v>7132</v>
          </cell>
          <cell r="K52">
            <v>7132</v>
          </cell>
          <cell r="L52">
            <v>7132</v>
          </cell>
          <cell r="M52">
            <v>7132</v>
          </cell>
          <cell r="N52">
            <v>7132</v>
          </cell>
          <cell r="O52">
            <v>7132</v>
          </cell>
        </row>
        <row r="53">
          <cell r="D53">
            <v>7132</v>
          </cell>
          <cell r="E53">
            <v>7132</v>
          </cell>
          <cell r="F53">
            <v>7132</v>
          </cell>
          <cell r="G53">
            <v>7132</v>
          </cell>
          <cell r="H53">
            <v>7132</v>
          </cell>
          <cell r="I53">
            <v>7132</v>
          </cell>
          <cell r="J53">
            <v>7132</v>
          </cell>
          <cell r="K53">
            <v>7132</v>
          </cell>
          <cell r="L53">
            <v>7132</v>
          </cell>
          <cell r="M53">
            <v>7132</v>
          </cell>
          <cell r="N53">
            <v>7132</v>
          </cell>
          <cell r="O53">
            <v>7132</v>
          </cell>
        </row>
        <row r="56">
          <cell r="D56">
            <v>7132</v>
          </cell>
        </row>
        <row r="57">
          <cell r="D57">
            <v>7132</v>
          </cell>
          <cell r="E57">
            <v>7132</v>
          </cell>
          <cell r="F57">
            <v>7132</v>
          </cell>
          <cell r="G57">
            <v>7132</v>
          </cell>
          <cell r="H57">
            <v>7132</v>
          </cell>
          <cell r="I57">
            <v>7132</v>
          </cell>
          <cell r="J57">
            <v>7132</v>
          </cell>
          <cell r="K57">
            <v>7132</v>
          </cell>
          <cell r="L57">
            <v>7132</v>
          </cell>
          <cell r="M57">
            <v>7132</v>
          </cell>
          <cell r="N57">
            <v>7132</v>
          </cell>
          <cell r="O57">
            <v>7132</v>
          </cell>
        </row>
        <row r="58">
          <cell r="D58">
            <v>7132</v>
          </cell>
          <cell r="E58">
            <v>7132</v>
          </cell>
          <cell r="F58">
            <v>7132</v>
          </cell>
          <cell r="G58">
            <v>7132</v>
          </cell>
          <cell r="H58">
            <v>7132</v>
          </cell>
          <cell r="I58">
            <v>7132</v>
          </cell>
          <cell r="J58">
            <v>7132</v>
          </cell>
          <cell r="K58">
            <v>7132</v>
          </cell>
          <cell r="L58">
            <v>7132</v>
          </cell>
          <cell r="M58">
            <v>7132</v>
          </cell>
          <cell r="N58">
            <v>7132</v>
          </cell>
          <cell r="O58">
            <v>7132</v>
          </cell>
        </row>
        <row r="59">
          <cell r="D59">
            <v>7132</v>
          </cell>
          <cell r="E59">
            <v>7132</v>
          </cell>
          <cell r="F59">
            <v>7132</v>
          </cell>
          <cell r="G59">
            <v>7132</v>
          </cell>
          <cell r="H59">
            <v>7132</v>
          </cell>
          <cell r="I59">
            <v>7132</v>
          </cell>
          <cell r="J59">
            <v>7132</v>
          </cell>
          <cell r="K59">
            <v>7132</v>
          </cell>
          <cell r="L59">
            <v>7132</v>
          </cell>
          <cell r="M59">
            <v>7132</v>
          </cell>
          <cell r="N59">
            <v>7132</v>
          </cell>
          <cell r="O59">
            <v>7132</v>
          </cell>
        </row>
        <row r="62">
          <cell r="D62">
            <v>7132</v>
          </cell>
          <cell r="E62">
            <v>7132</v>
          </cell>
          <cell r="F62">
            <v>7132</v>
          </cell>
          <cell r="G62">
            <v>7132</v>
          </cell>
          <cell r="H62">
            <v>7132</v>
          </cell>
          <cell r="I62">
            <v>7132</v>
          </cell>
          <cell r="J62">
            <v>7132</v>
          </cell>
          <cell r="K62">
            <v>7132</v>
          </cell>
          <cell r="L62">
            <v>7132</v>
          </cell>
          <cell r="M62">
            <v>7132</v>
          </cell>
          <cell r="N62">
            <v>7132</v>
          </cell>
          <cell r="O62">
            <v>7132</v>
          </cell>
        </row>
        <row r="63">
          <cell r="D63">
            <v>7132</v>
          </cell>
          <cell r="E63">
            <v>7132</v>
          </cell>
          <cell r="F63">
            <v>7132</v>
          </cell>
          <cell r="G63">
            <v>7132</v>
          </cell>
          <cell r="H63">
            <v>7132</v>
          </cell>
          <cell r="I63">
            <v>7132</v>
          </cell>
          <cell r="J63">
            <v>7132</v>
          </cell>
          <cell r="K63">
            <v>7132</v>
          </cell>
          <cell r="L63">
            <v>7132</v>
          </cell>
          <cell r="M63">
            <v>7132</v>
          </cell>
          <cell r="N63">
            <v>7132</v>
          </cell>
          <cell r="O63">
            <v>7132</v>
          </cell>
        </row>
        <row r="66">
          <cell r="D66">
            <v>7132</v>
          </cell>
          <cell r="E66">
            <v>7132</v>
          </cell>
          <cell r="F66">
            <v>7132</v>
          </cell>
          <cell r="G66">
            <v>7132</v>
          </cell>
          <cell r="H66">
            <v>7132</v>
          </cell>
          <cell r="I66">
            <v>7132</v>
          </cell>
          <cell r="J66">
            <v>7132</v>
          </cell>
          <cell r="K66">
            <v>7132</v>
          </cell>
          <cell r="L66">
            <v>7132</v>
          </cell>
          <cell r="M66">
            <v>7132</v>
          </cell>
          <cell r="N66">
            <v>7132</v>
          </cell>
          <cell r="O66">
            <v>7132</v>
          </cell>
        </row>
        <row r="67">
          <cell r="D67">
            <v>7132</v>
          </cell>
          <cell r="E67">
            <v>7132</v>
          </cell>
          <cell r="F67">
            <v>7132</v>
          </cell>
          <cell r="G67">
            <v>7132</v>
          </cell>
          <cell r="H67">
            <v>7132</v>
          </cell>
          <cell r="I67">
            <v>7132</v>
          </cell>
          <cell r="J67">
            <v>7132</v>
          </cell>
          <cell r="K67">
            <v>7132</v>
          </cell>
          <cell r="L67">
            <v>7132</v>
          </cell>
          <cell r="M67">
            <v>7132</v>
          </cell>
          <cell r="N67">
            <v>7132</v>
          </cell>
          <cell r="O67">
            <v>7132</v>
          </cell>
        </row>
        <row r="68">
          <cell r="D68">
            <v>7132</v>
          </cell>
          <cell r="E68">
            <v>7132</v>
          </cell>
          <cell r="F68">
            <v>7132</v>
          </cell>
          <cell r="G68">
            <v>7132</v>
          </cell>
          <cell r="H68">
            <v>7132</v>
          </cell>
          <cell r="I68">
            <v>7132</v>
          </cell>
          <cell r="J68">
            <v>7132</v>
          </cell>
          <cell r="K68">
            <v>7132</v>
          </cell>
          <cell r="L68">
            <v>7132</v>
          </cell>
          <cell r="M68">
            <v>7132</v>
          </cell>
          <cell r="N68">
            <v>7132</v>
          </cell>
          <cell r="O68">
            <v>7132</v>
          </cell>
        </row>
        <row r="69">
          <cell r="D69">
            <v>7132</v>
          </cell>
          <cell r="E69">
            <v>7132</v>
          </cell>
          <cell r="F69">
            <v>7132</v>
          </cell>
          <cell r="G69">
            <v>7132</v>
          </cell>
          <cell r="H69">
            <v>7132</v>
          </cell>
          <cell r="I69">
            <v>7132</v>
          </cell>
          <cell r="J69">
            <v>7132</v>
          </cell>
          <cell r="K69">
            <v>7132</v>
          </cell>
          <cell r="L69">
            <v>7132</v>
          </cell>
          <cell r="M69">
            <v>7132</v>
          </cell>
          <cell r="N69">
            <v>7132</v>
          </cell>
          <cell r="O69">
            <v>7132</v>
          </cell>
        </row>
        <row r="72">
          <cell r="D72">
            <v>6598</v>
          </cell>
          <cell r="E72">
            <v>6598</v>
          </cell>
          <cell r="F72">
            <v>6598</v>
          </cell>
          <cell r="G72">
            <v>6598</v>
          </cell>
          <cell r="H72">
            <v>6598</v>
          </cell>
          <cell r="I72">
            <v>6598</v>
          </cell>
          <cell r="J72">
            <v>6598</v>
          </cell>
          <cell r="K72">
            <v>6598</v>
          </cell>
          <cell r="L72">
            <v>6598</v>
          </cell>
          <cell r="M72">
            <v>6598</v>
          </cell>
          <cell r="N72">
            <v>6598</v>
          </cell>
          <cell r="O72">
            <v>6598</v>
          </cell>
        </row>
        <row r="73">
          <cell r="D73">
            <v>6598</v>
          </cell>
          <cell r="E73">
            <v>6598</v>
          </cell>
          <cell r="F73">
            <v>6598</v>
          </cell>
          <cell r="G73">
            <v>6598</v>
          </cell>
          <cell r="H73">
            <v>6598</v>
          </cell>
          <cell r="I73">
            <v>6598</v>
          </cell>
          <cell r="J73">
            <v>6598</v>
          </cell>
          <cell r="K73">
            <v>6598</v>
          </cell>
          <cell r="L73">
            <v>6598</v>
          </cell>
          <cell r="M73">
            <v>6598</v>
          </cell>
          <cell r="N73">
            <v>6598</v>
          </cell>
          <cell r="O73">
            <v>6598</v>
          </cell>
        </row>
        <row r="75">
          <cell r="D75">
            <v>6598</v>
          </cell>
          <cell r="E75">
            <v>6598</v>
          </cell>
          <cell r="F75">
            <v>6598</v>
          </cell>
          <cell r="G75">
            <v>6598</v>
          </cell>
          <cell r="H75">
            <v>6598</v>
          </cell>
          <cell r="I75">
            <v>6598</v>
          </cell>
          <cell r="J75">
            <v>6598</v>
          </cell>
          <cell r="K75">
            <v>6598</v>
          </cell>
          <cell r="L75">
            <v>6598</v>
          </cell>
          <cell r="M75">
            <v>6598</v>
          </cell>
          <cell r="N75">
            <v>6598</v>
          </cell>
          <cell r="O75">
            <v>6598</v>
          </cell>
        </row>
        <row r="76">
          <cell r="D76">
            <v>6598</v>
          </cell>
        </row>
        <row r="79">
          <cell r="D79">
            <v>6598</v>
          </cell>
          <cell r="E79">
            <v>6598</v>
          </cell>
          <cell r="F79">
            <v>6598</v>
          </cell>
          <cell r="G79">
            <v>6598</v>
          </cell>
          <cell r="H79">
            <v>6598</v>
          </cell>
          <cell r="I79">
            <v>6598</v>
          </cell>
          <cell r="J79">
            <v>6598</v>
          </cell>
          <cell r="K79">
            <v>6598</v>
          </cell>
          <cell r="L79">
            <v>6598</v>
          </cell>
          <cell r="M79">
            <v>6598</v>
          </cell>
          <cell r="N79">
            <v>6598</v>
          </cell>
          <cell r="O79">
            <v>6598</v>
          </cell>
        </row>
        <row r="80">
          <cell r="D80">
            <v>6598</v>
          </cell>
          <cell r="E80">
            <v>6598</v>
          </cell>
          <cell r="F80">
            <v>6598</v>
          </cell>
          <cell r="G80">
            <v>6598</v>
          </cell>
          <cell r="H80">
            <v>6598</v>
          </cell>
          <cell r="I80">
            <v>6598</v>
          </cell>
          <cell r="J80">
            <v>6598</v>
          </cell>
          <cell r="K80">
            <v>6598</v>
          </cell>
          <cell r="L80">
            <v>6598</v>
          </cell>
          <cell r="M80">
            <v>6598</v>
          </cell>
          <cell r="N80">
            <v>6598</v>
          </cell>
          <cell r="O80">
            <v>6598</v>
          </cell>
        </row>
        <row r="81">
          <cell r="D81">
            <v>6598</v>
          </cell>
          <cell r="E81">
            <v>6598</v>
          </cell>
          <cell r="F81">
            <v>6598</v>
          </cell>
          <cell r="G81">
            <v>6598</v>
          </cell>
          <cell r="H81">
            <v>6598</v>
          </cell>
          <cell r="I81">
            <v>6598</v>
          </cell>
          <cell r="J81">
            <v>6598</v>
          </cell>
          <cell r="K81">
            <v>6598</v>
          </cell>
          <cell r="L81">
            <v>6598</v>
          </cell>
          <cell r="M81">
            <v>6598</v>
          </cell>
          <cell r="N81">
            <v>6598</v>
          </cell>
          <cell r="O81">
            <v>6598</v>
          </cell>
        </row>
        <row r="82">
          <cell r="D82">
            <v>6598</v>
          </cell>
          <cell r="E82">
            <v>6598</v>
          </cell>
          <cell r="F82">
            <v>6598</v>
          </cell>
          <cell r="G82">
            <v>6598</v>
          </cell>
          <cell r="H82">
            <v>6598</v>
          </cell>
          <cell r="I82">
            <v>6598</v>
          </cell>
          <cell r="J82">
            <v>6598</v>
          </cell>
          <cell r="K82">
            <v>6598</v>
          </cell>
          <cell r="L82">
            <v>6598</v>
          </cell>
          <cell r="M82">
            <v>6598</v>
          </cell>
          <cell r="N82">
            <v>6598</v>
          </cell>
          <cell r="O82">
            <v>6598</v>
          </cell>
        </row>
        <row r="99">
          <cell r="D99">
            <v>6598</v>
          </cell>
          <cell r="E99">
            <v>6598</v>
          </cell>
          <cell r="F99">
            <v>6598</v>
          </cell>
          <cell r="G99">
            <v>6598</v>
          </cell>
          <cell r="H99">
            <v>6598</v>
          </cell>
          <cell r="I99">
            <v>6598</v>
          </cell>
          <cell r="J99">
            <v>6598</v>
          </cell>
          <cell r="K99">
            <v>6598</v>
          </cell>
          <cell r="L99">
            <v>6598</v>
          </cell>
          <cell r="M99">
            <v>6598</v>
          </cell>
          <cell r="N99">
            <v>6598</v>
          </cell>
          <cell r="O99">
            <v>6598</v>
          </cell>
        </row>
        <row r="100">
          <cell r="D100">
            <v>6598</v>
          </cell>
          <cell r="E100">
            <v>6598</v>
          </cell>
          <cell r="F100">
            <v>6598</v>
          </cell>
          <cell r="G100">
            <v>6598</v>
          </cell>
          <cell r="H100">
            <v>6598</v>
          </cell>
          <cell r="I100">
            <v>6598</v>
          </cell>
          <cell r="J100">
            <v>6598</v>
          </cell>
          <cell r="K100">
            <v>6598</v>
          </cell>
          <cell r="L100">
            <v>6598</v>
          </cell>
          <cell r="M100">
            <v>6598</v>
          </cell>
          <cell r="N100">
            <v>6598</v>
          </cell>
          <cell r="O100">
            <v>6598</v>
          </cell>
        </row>
        <row r="103">
          <cell r="D103">
            <v>6034</v>
          </cell>
          <cell r="E103">
            <v>6034</v>
          </cell>
          <cell r="F103">
            <v>6034</v>
          </cell>
          <cell r="G103">
            <v>6034</v>
          </cell>
          <cell r="H103">
            <v>6034</v>
          </cell>
          <cell r="I103">
            <v>6034</v>
          </cell>
          <cell r="J103">
            <v>6034</v>
          </cell>
          <cell r="K103">
            <v>6034</v>
          </cell>
          <cell r="L103">
            <v>6034</v>
          </cell>
          <cell r="M103">
            <v>6034</v>
          </cell>
          <cell r="N103">
            <v>6034</v>
          </cell>
          <cell r="O103">
            <v>6034</v>
          </cell>
        </row>
        <row r="104">
          <cell r="D104">
            <v>6034</v>
          </cell>
          <cell r="E104">
            <v>6034</v>
          </cell>
          <cell r="F104">
            <v>6034</v>
          </cell>
          <cell r="G104">
            <v>6034</v>
          </cell>
          <cell r="H104">
            <v>6034</v>
          </cell>
          <cell r="I104">
            <v>6034</v>
          </cell>
          <cell r="J104">
            <v>6034</v>
          </cell>
          <cell r="K104">
            <v>6034</v>
          </cell>
          <cell r="L104">
            <v>6034</v>
          </cell>
          <cell r="M104">
            <v>6034</v>
          </cell>
          <cell r="N104">
            <v>6034</v>
          </cell>
          <cell r="O104">
            <v>6034</v>
          </cell>
        </row>
        <row r="105">
          <cell r="D105">
            <v>12100</v>
          </cell>
          <cell r="E105">
            <v>12100</v>
          </cell>
          <cell r="F105">
            <v>12100</v>
          </cell>
          <cell r="G105">
            <v>12100</v>
          </cell>
          <cell r="H105">
            <v>12100</v>
          </cell>
          <cell r="I105">
            <v>12100</v>
          </cell>
          <cell r="J105">
            <v>12100</v>
          </cell>
          <cell r="K105">
            <v>12100</v>
          </cell>
          <cell r="L105">
            <v>12100</v>
          </cell>
          <cell r="M105">
            <v>12100</v>
          </cell>
          <cell r="N105">
            <v>12100</v>
          </cell>
          <cell r="O105">
            <v>12100</v>
          </cell>
        </row>
        <row r="106">
          <cell r="D106">
            <v>12100</v>
          </cell>
          <cell r="E106">
            <v>12100</v>
          </cell>
          <cell r="F106">
            <v>12100</v>
          </cell>
          <cell r="G106">
            <v>12100</v>
          </cell>
          <cell r="H106">
            <v>12100</v>
          </cell>
          <cell r="I106">
            <v>12100</v>
          </cell>
          <cell r="J106">
            <v>12100</v>
          </cell>
          <cell r="K106">
            <v>12100</v>
          </cell>
          <cell r="L106">
            <v>12100</v>
          </cell>
          <cell r="M106">
            <v>12100</v>
          </cell>
          <cell r="N106">
            <v>12100</v>
          </cell>
          <cell r="O106">
            <v>12100</v>
          </cell>
        </row>
        <row r="107">
          <cell r="D107">
            <v>12100</v>
          </cell>
          <cell r="E107">
            <v>12100</v>
          </cell>
          <cell r="F107">
            <v>12100</v>
          </cell>
          <cell r="G107">
            <v>12100</v>
          </cell>
          <cell r="H107">
            <v>12100</v>
          </cell>
          <cell r="I107">
            <v>12100</v>
          </cell>
          <cell r="J107">
            <v>12100</v>
          </cell>
          <cell r="K107">
            <v>12100</v>
          </cell>
          <cell r="L107">
            <v>12100</v>
          </cell>
          <cell r="M107">
            <v>12100</v>
          </cell>
          <cell r="N107">
            <v>12100</v>
          </cell>
          <cell r="O107">
            <v>12100</v>
          </cell>
        </row>
        <row r="108">
          <cell r="D108">
            <v>12100</v>
          </cell>
          <cell r="E108">
            <v>12100</v>
          </cell>
          <cell r="F108">
            <v>12100</v>
          </cell>
          <cell r="G108">
            <v>12100</v>
          </cell>
          <cell r="H108">
            <v>12100</v>
          </cell>
          <cell r="I108">
            <v>12100</v>
          </cell>
          <cell r="J108">
            <v>12100</v>
          </cell>
          <cell r="K108">
            <v>12100</v>
          </cell>
          <cell r="L108">
            <v>12100</v>
          </cell>
          <cell r="M108">
            <v>12100</v>
          </cell>
          <cell r="N108">
            <v>12100</v>
          </cell>
          <cell r="O108">
            <v>12100</v>
          </cell>
        </row>
        <row r="111">
          <cell r="D111">
            <v>12100</v>
          </cell>
          <cell r="E111">
            <v>12100</v>
          </cell>
          <cell r="F111">
            <v>12100</v>
          </cell>
          <cell r="G111">
            <v>12100</v>
          </cell>
          <cell r="H111">
            <v>12100</v>
          </cell>
          <cell r="I111">
            <v>12100</v>
          </cell>
          <cell r="J111">
            <v>12100</v>
          </cell>
          <cell r="K111">
            <v>12100</v>
          </cell>
          <cell r="L111">
            <v>12100</v>
          </cell>
          <cell r="M111">
            <v>12100</v>
          </cell>
          <cell r="N111">
            <v>12100</v>
          </cell>
          <cell r="O111">
            <v>12100</v>
          </cell>
        </row>
        <row r="112">
          <cell r="D112">
            <v>12100</v>
          </cell>
          <cell r="E112">
            <v>12100</v>
          </cell>
          <cell r="F112">
            <v>12100</v>
          </cell>
          <cell r="G112">
            <v>12100</v>
          </cell>
          <cell r="H112">
            <v>12100</v>
          </cell>
          <cell r="I112">
            <v>12100</v>
          </cell>
          <cell r="J112">
            <v>12100</v>
          </cell>
          <cell r="K112">
            <v>12100</v>
          </cell>
          <cell r="L112">
            <v>12100</v>
          </cell>
          <cell r="M112">
            <v>12100</v>
          </cell>
          <cell r="N112">
            <v>12100</v>
          </cell>
          <cell r="O112">
            <v>12100</v>
          </cell>
        </row>
        <row r="116">
          <cell r="D116">
            <v>12100</v>
          </cell>
          <cell r="E116">
            <v>12100</v>
          </cell>
          <cell r="F116">
            <v>12100</v>
          </cell>
          <cell r="G116">
            <v>12100</v>
          </cell>
          <cell r="H116">
            <v>12100</v>
          </cell>
          <cell r="I116">
            <v>12100</v>
          </cell>
          <cell r="J116">
            <v>12100</v>
          </cell>
          <cell r="K116">
            <v>12100</v>
          </cell>
          <cell r="L116">
            <v>12100</v>
          </cell>
          <cell r="M116">
            <v>12100</v>
          </cell>
          <cell r="N116">
            <v>12100</v>
          </cell>
          <cell r="O116">
            <v>12100</v>
          </cell>
        </row>
        <row r="117">
          <cell r="D117">
            <v>12100</v>
          </cell>
          <cell r="E117">
            <v>12100</v>
          </cell>
          <cell r="F117">
            <v>12100</v>
          </cell>
          <cell r="G117">
            <v>12100</v>
          </cell>
          <cell r="H117">
            <v>12100</v>
          </cell>
          <cell r="I117">
            <v>12100</v>
          </cell>
          <cell r="J117">
            <v>12100</v>
          </cell>
          <cell r="K117">
            <v>12100</v>
          </cell>
          <cell r="L117">
            <v>12100</v>
          </cell>
          <cell r="M117">
            <v>12100</v>
          </cell>
          <cell r="N117">
            <v>12100</v>
          </cell>
          <cell r="O117">
            <v>12100</v>
          </cell>
        </row>
        <row r="118">
          <cell r="D118">
            <v>12100</v>
          </cell>
          <cell r="E118">
            <v>12100</v>
          </cell>
          <cell r="F118">
            <v>12100</v>
          </cell>
          <cell r="G118">
            <v>12100</v>
          </cell>
          <cell r="H118">
            <v>12100</v>
          </cell>
          <cell r="I118">
            <v>12100</v>
          </cell>
          <cell r="J118">
            <v>12100</v>
          </cell>
          <cell r="K118">
            <v>12100</v>
          </cell>
          <cell r="L118">
            <v>12100</v>
          </cell>
          <cell r="M118">
            <v>12100</v>
          </cell>
          <cell r="N118">
            <v>12100</v>
          </cell>
          <cell r="O118">
            <v>12100</v>
          </cell>
        </row>
        <row r="120">
          <cell r="D120">
            <v>12100</v>
          </cell>
          <cell r="E120">
            <v>12100</v>
          </cell>
          <cell r="F120">
            <v>12100</v>
          </cell>
          <cell r="G120">
            <v>12100</v>
          </cell>
          <cell r="H120">
            <v>12100</v>
          </cell>
          <cell r="I120">
            <v>12100</v>
          </cell>
          <cell r="J120">
            <v>12100</v>
          </cell>
          <cell r="K120">
            <v>12100</v>
          </cell>
          <cell r="L120">
            <v>12100</v>
          </cell>
          <cell r="M120">
            <v>12100</v>
          </cell>
          <cell r="N120">
            <v>12100</v>
          </cell>
          <cell r="O120">
            <v>12100</v>
          </cell>
        </row>
        <row r="121">
          <cell r="D121">
            <v>12100</v>
          </cell>
          <cell r="E121">
            <v>12100</v>
          </cell>
          <cell r="F121">
            <v>12100</v>
          </cell>
          <cell r="G121">
            <v>12100</v>
          </cell>
          <cell r="H121">
            <v>12100</v>
          </cell>
          <cell r="I121">
            <v>12100</v>
          </cell>
          <cell r="J121">
            <v>12100</v>
          </cell>
          <cell r="K121">
            <v>12100</v>
          </cell>
          <cell r="L121">
            <v>12100</v>
          </cell>
          <cell r="M121">
            <v>12100</v>
          </cell>
          <cell r="N121">
            <v>12100</v>
          </cell>
          <cell r="O121">
            <v>12100</v>
          </cell>
        </row>
        <row r="122">
          <cell r="D122">
            <v>12100</v>
          </cell>
          <cell r="E122">
            <v>12100</v>
          </cell>
          <cell r="F122">
            <v>12100</v>
          </cell>
          <cell r="G122">
            <v>12100</v>
          </cell>
          <cell r="H122">
            <v>12100</v>
          </cell>
          <cell r="I122">
            <v>12100</v>
          </cell>
          <cell r="J122">
            <v>12100</v>
          </cell>
          <cell r="K122">
            <v>12100</v>
          </cell>
          <cell r="L122">
            <v>12100</v>
          </cell>
          <cell r="M122">
            <v>12100</v>
          </cell>
          <cell r="N122">
            <v>12100</v>
          </cell>
          <cell r="O122">
            <v>12100</v>
          </cell>
        </row>
        <row r="126">
          <cell r="D126">
            <v>12100</v>
          </cell>
          <cell r="E126">
            <v>12100</v>
          </cell>
          <cell r="F126">
            <v>12100</v>
          </cell>
          <cell r="G126">
            <v>12100</v>
          </cell>
          <cell r="H126">
            <v>12100</v>
          </cell>
          <cell r="I126">
            <v>12100</v>
          </cell>
          <cell r="J126">
            <v>12100</v>
          </cell>
          <cell r="K126">
            <v>12100</v>
          </cell>
          <cell r="L126">
            <v>12100</v>
          </cell>
          <cell r="M126">
            <v>12100</v>
          </cell>
          <cell r="N126">
            <v>12100</v>
          </cell>
          <cell r="O126">
            <v>12100</v>
          </cell>
        </row>
        <row r="127">
          <cell r="D127">
            <v>12100</v>
          </cell>
          <cell r="E127">
            <v>12100</v>
          </cell>
          <cell r="F127">
            <v>12100</v>
          </cell>
          <cell r="G127">
            <v>12100</v>
          </cell>
          <cell r="H127">
            <v>12100</v>
          </cell>
          <cell r="I127">
            <v>12100</v>
          </cell>
          <cell r="J127">
            <v>12100</v>
          </cell>
          <cell r="K127">
            <v>12100</v>
          </cell>
          <cell r="L127">
            <v>12100</v>
          </cell>
          <cell r="M127">
            <v>12100</v>
          </cell>
          <cell r="N127">
            <v>12100</v>
          </cell>
          <cell r="O127">
            <v>12100</v>
          </cell>
        </row>
        <row r="128">
          <cell r="D128">
            <v>12100</v>
          </cell>
          <cell r="E128">
            <v>12100</v>
          </cell>
          <cell r="F128">
            <v>12100</v>
          </cell>
          <cell r="G128">
            <v>12100</v>
          </cell>
          <cell r="H128">
            <v>12100</v>
          </cell>
          <cell r="I128">
            <v>12100</v>
          </cell>
          <cell r="J128">
            <v>12100</v>
          </cell>
          <cell r="K128">
            <v>12100</v>
          </cell>
          <cell r="L128">
            <v>12100</v>
          </cell>
          <cell r="M128">
            <v>12100</v>
          </cell>
          <cell r="N128">
            <v>12100</v>
          </cell>
          <cell r="O128">
            <v>12100</v>
          </cell>
        </row>
        <row r="130">
          <cell r="D130">
            <v>12100</v>
          </cell>
          <cell r="E130">
            <v>12100</v>
          </cell>
          <cell r="F130">
            <v>12100</v>
          </cell>
          <cell r="G130">
            <v>12100</v>
          </cell>
          <cell r="H130">
            <v>12100</v>
          </cell>
          <cell r="I130">
            <v>12100</v>
          </cell>
          <cell r="J130">
            <v>12100</v>
          </cell>
          <cell r="K130">
            <v>12100</v>
          </cell>
          <cell r="L130">
            <v>12100</v>
          </cell>
          <cell r="M130">
            <v>12100</v>
          </cell>
          <cell r="N130">
            <v>12100</v>
          </cell>
          <cell r="O130">
            <v>12100</v>
          </cell>
        </row>
        <row r="131">
          <cell r="D131">
            <v>12100</v>
          </cell>
          <cell r="E131">
            <v>12100</v>
          </cell>
          <cell r="F131">
            <v>12100</v>
          </cell>
          <cell r="G131">
            <v>12100</v>
          </cell>
          <cell r="H131">
            <v>12100</v>
          </cell>
          <cell r="I131">
            <v>12100</v>
          </cell>
          <cell r="J131">
            <v>12100</v>
          </cell>
          <cell r="K131">
            <v>12100</v>
          </cell>
          <cell r="L131">
            <v>12100</v>
          </cell>
          <cell r="M131">
            <v>12100</v>
          </cell>
          <cell r="N131">
            <v>12100</v>
          </cell>
          <cell r="O131">
            <v>12100</v>
          </cell>
        </row>
        <row r="132">
          <cell r="D132">
            <v>12100</v>
          </cell>
          <cell r="E132">
            <v>12100</v>
          </cell>
          <cell r="F132">
            <v>12100</v>
          </cell>
          <cell r="G132">
            <v>12100</v>
          </cell>
          <cell r="H132">
            <v>12100</v>
          </cell>
          <cell r="I132">
            <v>12100</v>
          </cell>
          <cell r="J132">
            <v>12100</v>
          </cell>
          <cell r="K132">
            <v>12100</v>
          </cell>
          <cell r="L132">
            <v>12100</v>
          </cell>
          <cell r="M132">
            <v>12100</v>
          </cell>
          <cell r="N132">
            <v>12100</v>
          </cell>
          <cell r="O132">
            <v>12100</v>
          </cell>
        </row>
        <row r="134">
          <cell r="D134">
            <v>12100</v>
          </cell>
          <cell r="E134">
            <v>12100</v>
          </cell>
          <cell r="F134">
            <v>12100</v>
          </cell>
          <cell r="G134">
            <v>12100</v>
          </cell>
          <cell r="H134">
            <v>12100</v>
          </cell>
          <cell r="I134">
            <v>12100</v>
          </cell>
          <cell r="J134">
            <v>12100</v>
          </cell>
          <cell r="K134">
            <v>12100</v>
          </cell>
          <cell r="L134">
            <v>12100</v>
          </cell>
          <cell r="M134">
            <v>12100</v>
          </cell>
          <cell r="N134">
            <v>12100</v>
          </cell>
          <cell r="O134">
            <v>12100</v>
          </cell>
        </row>
        <row r="135">
          <cell r="D135">
            <v>12100</v>
          </cell>
        </row>
        <row r="136">
          <cell r="D136">
            <v>12100</v>
          </cell>
          <cell r="E136">
            <v>12100</v>
          </cell>
          <cell r="F136">
            <v>12100</v>
          </cell>
          <cell r="G136">
            <v>12100</v>
          </cell>
          <cell r="H136">
            <v>12100</v>
          </cell>
          <cell r="I136">
            <v>12100</v>
          </cell>
          <cell r="J136">
            <v>12100</v>
          </cell>
          <cell r="K136">
            <v>12100</v>
          </cell>
          <cell r="L136">
            <v>12100</v>
          </cell>
          <cell r="M136">
            <v>12100</v>
          </cell>
          <cell r="N136">
            <v>12100</v>
          </cell>
          <cell r="O136">
            <v>12100</v>
          </cell>
        </row>
        <row r="139">
          <cell r="D139">
            <v>17625</v>
          </cell>
          <cell r="E139">
            <v>17625</v>
          </cell>
          <cell r="F139">
            <v>17625</v>
          </cell>
          <cell r="G139">
            <v>17625</v>
          </cell>
          <cell r="H139">
            <v>17625</v>
          </cell>
          <cell r="I139">
            <v>17625</v>
          </cell>
          <cell r="J139">
            <v>17625</v>
          </cell>
          <cell r="K139">
            <v>17625</v>
          </cell>
          <cell r="L139">
            <v>17625</v>
          </cell>
          <cell r="M139">
            <v>17625</v>
          </cell>
          <cell r="N139">
            <v>17625</v>
          </cell>
          <cell r="O139">
            <v>17625</v>
          </cell>
        </row>
        <row r="140">
          <cell r="D140">
            <v>134151</v>
          </cell>
          <cell r="E140">
            <v>134151</v>
          </cell>
          <cell r="F140">
            <v>134151</v>
          </cell>
          <cell r="G140">
            <v>134151</v>
          </cell>
          <cell r="H140">
            <v>134151</v>
          </cell>
          <cell r="I140">
            <v>134151</v>
          </cell>
          <cell r="J140">
            <v>134151</v>
          </cell>
          <cell r="K140">
            <v>134151</v>
          </cell>
          <cell r="L140">
            <v>134151</v>
          </cell>
          <cell r="M140">
            <v>134151</v>
          </cell>
          <cell r="N140">
            <v>134151</v>
          </cell>
          <cell r="O140">
            <v>134151</v>
          </cell>
        </row>
        <row r="141">
          <cell r="D141">
            <v>134151</v>
          </cell>
          <cell r="E141">
            <v>134151</v>
          </cell>
          <cell r="F141">
            <v>134151</v>
          </cell>
          <cell r="G141">
            <v>134151</v>
          </cell>
          <cell r="H141">
            <v>134151</v>
          </cell>
          <cell r="I141">
            <v>134151</v>
          </cell>
          <cell r="J141">
            <v>134151</v>
          </cell>
          <cell r="K141">
            <v>134151</v>
          </cell>
          <cell r="L141">
            <v>134151</v>
          </cell>
          <cell r="M141">
            <v>134151</v>
          </cell>
          <cell r="N141">
            <v>134151</v>
          </cell>
          <cell r="O141">
            <v>134151</v>
          </cell>
        </row>
        <row r="142">
          <cell r="D142">
            <v>134151</v>
          </cell>
          <cell r="E142">
            <v>134151</v>
          </cell>
          <cell r="F142">
            <v>134151</v>
          </cell>
          <cell r="G142">
            <v>134151</v>
          </cell>
          <cell r="H142">
            <v>134151</v>
          </cell>
          <cell r="I142">
            <v>134151</v>
          </cell>
          <cell r="J142">
            <v>134151</v>
          </cell>
          <cell r="K142">
            <v>134151</v>
          </cell>
          <cell r="L142">
            <v>134151</v>
          </cell>
          <cell r="M142">
            <v>134151</v>
          </cell>
          <cell r="N142">
            <v>134151</v>
          </cell>
          <cell r="O142">
            <v>134151</v>
          </cell>
        </row>
        <row r="144">
          <cell r="D144">
            <v>134151</v>
          </cell>
          <cell r="E144">
            <v>134151</v>
          </cell>
          <cell r="F144">
            <v>134151</v>
          </cell>
          <cell r="G144">
            <v>134151</v>
          </cell>
          <cell r="H144">
            <v>134151</v>
          </cell>
          <cell r="I144">
            <v>134151</v>
          </cell>
          <cell r="J144">
            <v>134151</v>
          </cell>
          <cell r="K144">
            <v>134151</v>
          </cell>
          <cell r="L144">
            <v>134151</v>
          </cell>
          <cell r="M144">
            <v>134151</v>
          </cell>
          <cell r="N144">
            <v>134151</v>
          </cell>
          <cell r="O144">
            <v>134151</v>
          </cell>
        </row>
        <row r="145">
          <cell r="D145">
            <v>134151</v>
          </cell>
          <cell r="E145">
            <v>134151</v>
          </cell>
          <cell r="F145">
            <v>134151</v>
          </cell>
          <cell r="G145">
            <v>134151</v>
          </cell>
          <cell r="H145">
            <v>134151</v>
          </cell>
          <cell r="I145">
            <v>134151</v>
          </cell>
          <cell r="J145">
            <v>134151</v>
          </cell>
          <cell r="K145">
            <v>134151</v>
          </cell>
          <cell r="L145">
            <v>134151</v>
          </cell>
          <cell r="M145">
            <v>134151</v>
          </cell>
          <cell r="N145">
            <v>134151</v>
          </cell>
          <cell r="O145">
            <v>134151</v>
          </cell>
        </row>
        <row r="146">
          <cell r="D146">
            <v>134151</v>
          </cell>
          <cell r="E146">
            <v>134151</v>
          </cell>
          <cell r="F146">
            <v>134151</v>
          </cell>
          <cell r="G146">
            <v>134151</v>
          </cell>
          <cell r="H146">
            <v>134151</v>
          </cell>
          <cell r="I146">
            <v>134151</v>
          </cell>
          <cell r="J146">
            <v>134151</v>
          </cell>
          <cell r="K146">
            <v>134151</v>
          </cell>
          <cell r="L146">
            <v>134151</v>
          </cell>
          <cell r="M146">
            <v>134151</v>
          </cell>
          <cell r="N146">
            <v>134151</v>
          </cell>
          <cell r="O146">
            <v>134151</v>
          </cell>
        </row>
        <row r="147">
          <cell r="D147">
            <v>134151</v>
          </cell>
          <cell r="E147">
            <v>134151</v>
          </cell>
          <cell r="F147">
            <v>134151</v>
          </cell>
          <cell r="G147">
            <v>134151</v>
          </cell>
          <cell r="H147">
            <v>134151</v>
          </cell>
          <cell r="I147">
            <v>134151</v>
          </cell>
          <cell r="J147">
            <v>134151</v>
          </cell>
          <cell r="K147">
            <v>134151</v>
          </cell>
          <cell r="L147">
            <v>134151</v>
          </cell>
          <cell r="M147">
            <v>134151</v>
          </cell>
          <cell r="N147">
            <v>134151</v>
          </cell>
          <cell r="O147">
            <v>134151</v>
          </cell>
        </row>
        <row r="150">
          <cell r="D150">
            <v>134151</v>
          </cell>
          <cell r="E150">
            <v>134151</v>
          </cell>
          <cell r="F150">
            <v>134151</v>
          </cell>
          <cell r="G150">
            <v>134151</v>
          </cell>
          <cell r="H150">
            <v>134151</v>
          </cell>
          <cell r="I150">
            <v>134151</v>
          </cell>
          <cell r="J150">
            <v>134151</v>
          </cell>
          <cell r="K150">
            <v>134151</v>
          </cell>
          <cell r="L150">
            <v>134151</v>
          </cell>
          <cell r="M150">
            <v>134151</v>
          </cell>
          <cell r="N150">
            <v>134151</v>
          </cell>
          <cell r="O150">
            <v>134151</v>
          </cell>
        </row>
        <row r="151">
          <cell r="D151">
            <v>134151</v>
          </cell>
          <cell r="E151">
            <v>134151</v>
          </cell>
          <cell r="F151">
            <v>134151</v>
          </cell>
          <cell r="G151">
            <v>134151</v>
          </cell>
          <cell r="H151">
            <v>134151</v>
          </cell>
          <cell r="I151">
            <v>134151</v>
          </cell>
          <cell r="J151">
            <v>134151</v>
          </cell>
          <cell r="K151">
            <v>134151</v>
          </cell>
          <cell r="L151">
            <v>134151</v>
          </cell>
          <cell r="M151">
            <v>134151</v>
          </cell>
          <cell r="N151">
            <v>134151</v>
          </cell>
          <cell r="O151">
            <v>134151</v>
          </cell>
        </row>
        <row r="152">
          <cell r="D152">
            <v>134151</v>
          </cell>
          <cell r="E152">
            <v>134151</v>
          </cell>
          <cell r="F152">
            <v>134151</v>
          </cell>
          <cell r="G152">
            <v>134151</v>
          </cell>
          <cell r="H152">
            <v>134151</v>
          </cell>
          <cell r="I152">
            <v>134151</v>
          </cell>
          <cell r="J152">
            <v>134151</v>
          </cell>
          <cell r="K152">
            <v>134151</v>
          </cell>
          <cell r="L152">
            <v>134151</v>
          </cell>
          <cell r="M152">
            <v>134151</v>
          </cell>
          <cell r="N152">
            <v>134151</v>
          </cell>
          <cell r="O152">
            <v>134151</v>
          </cell>
        </row>
        <row r="156">
          <cell r="D156">
            <v>9650</v>
          </cell>
          <cell r="E156">
            <v>9650</v>
          </cell>
          <cell r="F156">
            <v>9650</v>
          </cell>
          <cell r="G156">
            <v>9650</v>
          </cell>
          <cell r="H156">
            <v>9650</v>
          </cell>
          <cell r="I156">
            <v>9650</v>
          </cell>
          <cell r="J156">
            <v>9650</v>
          </cell>
          <cell r="K156">
            <v>9650</v>
          </cell>
          <cell r="L156">
            <v>9650</v>
          </cell>
          <cell r="M156">
            <v>9650</v>
          </cell>
          <cell r="N156">
            <v>9650</v>
          </cell>
          <cell r="O156">
            <v>9650</v>
          </cell>
        </row>
        <row r="157">
          <cell r="D157">
            <v>9650</v>
          </cell>
          <cell r="E157">
            <v>9650</v>
          </cell>
          <cell r="F157">
            <v>9650</v>
          </cell>
          <cell r="G157">
            <v>9650</v>
          </cell>
          <cell r="H157">
            <v>9650</v>
          </cell>
          <cell r="I157">
            <v>9650</v>
          </cell>
          <cell r="J157">
            <v>9650</v>
          </cell>
          <cell r="K157">
            <v>9650</v>
          </cell>
          <cell r="L157">
            <v>9650</v>
          </cell>
          <cell r="M157">
            <v>9650</v>
          </cell>
          <cell r="N157">
            <v>9650</v>
          </cell>
          <cell r="O157">
            <v>9650</v>
          </cell>
        </row>
        <row r="159">
          <cell r="D159">
            <v>9650</v>
          </cell>
          <cell r="E159">
            <v>9650</v>
          </cell>
          <cell r="F159">
            <v>9650</v>
          </cell>
          <cell r="G159">
            <v>9650</v>
          </cell>
          <cell r="H159">
            <v>9650</v>
          </cell>
          <cell r="I159">
            <v>9650</v>
          </cell>
          <cell r="J159">
            <v>9650</v>
          </cell>
          <cell r="K159">
            <v>9650</v>
          </cell>
          <cell r="L159">
            <v>9650</v>
          </cell>
          <cell r="M159">
            <v>9650</v>
          </cell>
          <cell r="N159">
            <v>9650</v>
          </cell>
          <cell r="O159">
            <v>9650</v>
          </cell>
        </row>
        <row r="160">
          <cell r="D160">
            <v>9650</v>
          </cell>
          <cell r="E160">
            <v>9650</v>
          </cell>
          <cell r="F160">
            <v>9650</v>
          </cell>
          <cell r="G160">
            <v>9650</v>
          </cell>
          <cell r="H160">
            <v>9650</v>
          </cell>
          <cell r="I160">
            <v>9650</v>
          </cell>
          <cell r="J160">
            <v>9650</v>
          </cell>
          <cell r="K160">
            <v>9650</v>
          </cell>
          <cell r="L160">
            <v>9650</v>
          </cell>
          <cell r="M160">
            <v>9650</v>
          </cell>
          <cell r="N160">
            <v>9650</v>
          </cell>
          <cell r="O160">
            <v>9650</v>
          </cell>
        </row>
        <row r="161">
          <cell r="D161">
            <v>24944</v>
          </cell>
          <cell r="E161">
            <v>24944</v>
          </cell>
          <cell r="F161">
            <v>24944</v>
          </cell>
          <cell r="G161">
            <v>24944</v>
          </cell>
          <cell r="H161">
            <v>24944</v>
          </cell>
          <cell r="I161">
            <v>24944</v>
          </cell>
          <cell r="J161">
            <v>24944</v>
          </cell>
          <cell r="K161">
            <v>24944</v>
          </cell>
          <cell r="L161">
            <v>24944</v>
          </cell>
          <cell r="M161">
            <v>24944</v>
          </cell>
          <cell r="N161">
            <v>24944</v>
          </cell>
          <cell r="O161">
            <v>24944</v>
          </cell>
        </row>
        <row r="162">
          <cell r="D162">
            <v>24944</v>
          </cell>
        </row>
        <row r="164">
          <cell r="D164">
            <v>10227</v>
          </cell>
          <cell r="E164">
            <v>10227</v>
          </cell>
          <cell r="F164">
            <v>10227</v>
          </cell>
          <cell r="G164">
            <v>10227</v>
          </cell>
          <cell r="H164">
            <v>10227</v>
          </cell>
          <cell r="I164">
            <v>10227</v>
          </cell>
          <cell r="J164">
            <v>10227</v>
          </cell>
          <cell r="K164">
            <v>10227</v>
          </cell>
          <cell r="L164">
            <v>10227</v>
          </cell>
          <cell r="M164">
            <v>10227</v>
          </cell>
          <cell r="N164">
            <v>10227</v>
          </cell>
          <cell r="O164">
            <v>10227</v>
          </cell>
        </row>
        <row r="165">
          <cell r="D165">
            <v>5009</v>
          </cell>
        </row>
        <row r="167">
          <cell r="D167">
            <v>5009</v>
          </cell>
          <cell r="E167">
            <v>5009</v>
          </cell>
          <cell r="F167">
            <v>5009</v>
          </cell>
          <cell r="G167">
            <v>5009</v>
          </cell>
          <cell r="H167">
            <v>5009</v>
          </cell>
          <cell r="I167">
            <v>5009</v>
          </cell>
          <cell r="J167">
            <v>5009</v>
          </cell>
          <cell r="K167">
            <v>5009</v>
          </cell>
          <cell r="L167">
            <v>5009</v>
          </cell>
          <cell r="M167">
            <v>5009</v>
          </cell>
          <cell r="N167">
            <v>5009</v>
          </cell>
          <cell r="O167">
            <v>5009</v>
          </cell>
        </row>
        <row r="168">
          <cell r="D168">
            <v>5009</v>
          </cell>
        </row>
        <row r="171">
          <cell r="D171">
            <v>5009</v>
          </cell>
          <cell r="E171">
            <v>5009</v>
          </cell>
          <cell r="F171">
            <v>5009</v>
          </cell>
          <cell r="G171">
            <v>5009</v>
          </cell>
          <cell r="H171">
            <v>5009</v>
          </cell>
          <cell r="I171">
            <v>5009</v>
          </cell>
          <cell r="J171">
            <v>5009</v>
          </cell>
          <cell r="K171">
            <v>5009</v>
          </cell>
          <cell r="L171">
            <v>5009</v>
          </cell>
          <cell r="M171">
            <v>5009</v>
          </cell>
          <cell r="N171">
            <v>5009</v>
          </cell>
          <cell r="O171">
            <v>5009</v>
          </cell>
        </row>
        <row r="172">
          <cell r="D172">
            <v>5009</v>
          </cell>
          <cell r="E172">
            <v>5009</v>
          </cell>
          <cell r="F172">
            <v>5009</v>
          </cell>
          <cell r="G172">
            <v>5009</v>
          </cell>
          <cell r="H172">
            <v>5009</v>
          </cell>
          <cell r="I172">
            <v>5009</v>
          </cell>
          <cell r="J172">
            <v>5009</v>
          </cell>
          <cell r="K172">
            <v>5009</v>
          </cell>
          <cell r="L172">
            <v>5009</v>
          </cell>
          <cell r="M172">
            <v>5009</v>
          </cell>
          <cell r="N172">
            <v>5009</v>
          </cell>
          <cell r="O172">
            <v>5009</v>
          </cell>
        </row>
        <row r="176">
          <cell r="D176">
            <v>8932</v>
          </cell>
          <cell r="E176">
            <v>8932</v>
          </cell>
          <cell r="F176">
            <v>8932</v>
          </cell>
          <cell r="G176">
            <v>8932</v>
          </cell>
          <cell r="H176">
            <v>8932</v>
          </cell>
          <cell r="I176">
            <v>8932</v>
          </cell>
          <cell r="J176">
            <v>8932</v>
          </cell>
          <cell r="K176">
            <v>8932</v>
          </cell>
          <cell r="L176">
            <v>8932</v>
          </cell>
          <cell r="M176">
            <v>8932</v>
          </cell>
          <cell r="N176">
            <v>8932</v>
          </cell>
          <cell r="O176">
            <v>8932</v>
          </cell>
        </row>
        <row r="177">
          <cell r="D177">
            <v>8932</v>
          </cell>
        </row>
        <row r="194">
          <cell r="D194">
            <v>8932</v>
          </cell>
          <cell r="E194">
            <v>8932</v>
          </cell>
          <cell r="F194">
            <v>8932</v>
          </cell>
          <cell r="G194">
            <v>8932</v>
          </cell>
          <cell r="H194">
            <v>8932</v>
          </cell>
          <cell r="I194">
            <v>8932</v>
          </cell>
          <cell r="J194">
            <v>8932</v>
          </cell>
          <cell r="K194">
            <v>8932</v>
          </cell>
          <cell r="L194">
            <v>8932</v>
          </cell>
          <cell r="M194">
            <v>8932</v>
          </cell>
          <cell r="N194">
            <v>8932</v>
          </cell>
          <cell r="O194">
            <v>8932</v>
          </cell>
        </row>
        <row r="195">
          <cell r="D195">
            <v>8932</v>
          </cell>
          <cell r="E195">
            <v>8932</v>
          </cell>
          <cell r="F195">
            <v>8932</v>
          </cell>
          <cell r="G195">
            <v>8932</v>
          </cell>
          <cell r="H195">
            <v>8932</v>
          </cell>
          <cell r="I195">
            <v>8932</v>
          </cell>
          <cell r="J195">
            <v>8932</v>
          </cell>
          <cell r="K195">
            <v>8932</v>
          </cell>
          <cell r="L195">
            <v>8932</v>
          </cell>
          <cell r="M195">
            <v>8932</v>
          </cell>
          <cell r="N195">
            <v>8932</v>
          </cell>
          <cell r="O195">
            <v>8932</v>
          </cell>
        </row>
        <row r="196">
          <cell r="D196">
            <v>8932</v>
          </cell>
          <cell r="E196">
            <v>8932</v>
          </cell>
          <cell r="F196">
            <v>8932</v>
          </cell>
          <cell r="G196">
            <v>8932</v>
          </cell>
          <cell r="H196">
            <v>8932</v>
          </cell>
          <cell r="I196">
            <v>8932</v>
          </cell>
          <cell r="J196">
            <v>8932</v>
          </cell>
          <cell r="K196">
            <v>8932</v>
          </cell>
          <cell r="L196">
            <v>8932</v>
          </cell>
          <cell r="M196">
            <v>8932</v>
          </cell>
          <cell r="N196">
            <v>8932</v>
          </cell>
          <cell r="O196">
            <v>8932</v>
          </cell>
        </row>
        <row r="197">
          <cell r="D197">
            <v>8932</v>
          </cell>
          <cell r="E197">
            <v>8932</v>
          </cell>
          <cell r="F197">
            <v>8932</v>
          </cell>
          <cell r="G197">
            <v>8932</v>
          </cell>
          <cell r="H197">
            <v>8932</v>
          </cell>
          <cell r="I197">
            <v>8932</v>
          </cell>
          <cell r="J197">
            <v>8932</v>
          </cell>
          <cell r="K197">
            <v>8932</v>
          </cell>
          <cell r="L197">
            <v>8932</v>
          </cell>
          <cell r="M197">
            <v>8932</v>
          </cell>
          <cell r="N197">
            <v>8932</v>
          </cell>
          <cell r="O197">
            <v>8932</v>
          </cell>
        </row>
        <row r="200">
          <cell r="D200">
            <v>8932</v>
          </cell>
          <cell r="E200">
            <v>8932</v>
          </cell>
          <cell r="F200">
            <v>8932</v>
          </cell>
          <cell r="G200">
            <v>8932</v>
          </cell>
          <cell r="H200">
            <v>8932</v>
          </cell>
          <cell r="I200">
            <v>8932</v>
          </cell>
          <cell r="J200">
            <v>8932</v>
          </cell>
          <cell r="K200">
            <v>8932</v>
          </cell>
          <cell r="L200">
            <v>8932</v>
          </cell>
          <cell r="M200">
            <v>8932</v>
          </cell>
          <cell r="N200">
            <v>8932</v>
          </cell>
          <cell r="O200">
            <v>8932</v>
          </cell>
        </row>
        <row r="201">
          <cell r="D201">
            <v>8932</v>
          </cell>
          <cell r="E201">
            <v>8932</v>
          </cell>
          <cell r="F201">
            <v>8932</v>
          </cell>
          <cell r="G201">
            <v>8932</v>
          </cell>
          <cell r="H201">
            <v>8932</v>
          </cell>
          <cell r="I201">
            <v>8932</v>
          </cell>
          <cell r="J201">
            <v>8932</v>
          </cell>
          <cell r="K201">
            <v>8932</v>
          </cell>
          <cell r="L201">
            <v>8932</v>
          </cell>
          <cell r="M201">
            <v>8932</v>
          </cell>
          <cell r="N201">
            <v>8932</v>
          </cell>
          <cell r="O201">
            <v>8932</v>
          </cell>
        </row>
        <row r="202">
          <cell r="D202">
            <v>8932</v>
          </cell>
          <cell r="E202">
            <v>8932</v>
          </cell>
          <cell r="F202">
            <v>8932</v>
          </cell>
          <cell r="G202">
            <v>8932</v>
          </cell>
          <cell r="H202">
            <v>8932</v>
          </cell>
          <cell r="I202">
            <v>8932</v>
          </cell>
          <cell r="J202">
            <v>8932</v>
          </cell>
          <cell r="K202">
            <v>8932</v>
          </cell>
          <cell r="L202">
            <v>8932</v>
          </cell>
          <cell r="M202">
            <v>8932</v>
          </cell>
          <cell r="N202">
            <v>8932</v>
          </cell>
          <cell r="O202">
            <v>8932</v>
          </cell>
        </row>
        <row r="203">
          <cell r="D203">
            <v>8932</v>
          </cell>
          <cell r="E203">
            <v>8932</v>
          </cell>
          <cell r="F203">
            <v>8932</v>
          </cell>
          <cell r="G203">
            <v>8932</v>
          </cell>
          <cell r="H203">
            <v>8932</v>
          </cell>
          <cell r="I203">
            <v>8932</v>
          </cell>
          <cell r="J203">
            <v>8932</v>
          </cell>
          <cell r="K203">
            <v>8932</v>
          </cell>
          <cell r="L203">
            <v>8932</v>
          </cell>
          <cell r="M203">
            <v>8932</v>
          </cell>
          <cell r="N203">
            <v>8932</v>
          </cell>
          <cell r="O203">
            <v>8932</v>
          </cell>
        </row>
        <row r="208">
          <cell r="D208">
            <v>8932</v>
          </cell>
          <cell r="E208">
            <v>8932</v>
          </cell>
          <cell r="F208">
            <v>8932</v>
          </cell>
          <cell r="G208">
            <v>8932</v>
          </cell>
          <cell r="H208">
            <v>8932</v>
          </cell>
          <cell r="I208">
            <v>8932</v>
          </cell>
          <cell r="J208">
            <v>8932</v>
          </cell>
          <cell r="K208">
            <v>8932</v>
          </cell>
          <cell r="L208">
            <v>8932</v>
          </cell>
          <cell r="M208">
            <v>8932</v>
          </cell>
          <cell r="N208">
            <v>8932</v>
          </cell>
          <cell r="O208">
            <v>8932</v>
          </cell>
        </row>
        <row r="209">
          <cell r="D209">
            <v>8932</v>
          </cell>
          <cell r="E209">
            <v>8932</v>
          </cell>
          <cell r="F209">
            <v>8932</v>
          </cell>
          <cell r="G209">
            <v>8932</v>
          </cell>
          <cell r="H209">
            <v>8932</v>
          </cell>
          <cell r="I209">
            <v>8932</v>
          </cell>
          <cell r="J209">
            <v>8932</v>
          </cell>
          <cell r="K209">
            <v>8932</v>
          </cell>
          <cell r="L209">
            <v>8932</v>
          </cell>
          <cell r="M209">
            <v>8932</v>
          </cell>
          <cell r="N209">
            <v>8932</v>
          </cell>
          <cell r="O209">
            <v>8932</v>
          </cell>
        </row>
        <row r="210">
          <cell r="D210">
            <v>20002</v>
          </cell>
          <cell r="E210">
            <v>20002</v>
          </cell>
          <cell r="F210">
            <v>20002</v>
          </cell>
          <cell r="G210">
            <v>20002</v>
          </cell>
          <cell r="H210">
            <v>20002</v>
          </cell>
          <cell r="I210">
            <v>20002</v>
          </cell>
          <cell r="J210">
            <v>20002</v>
          </cell>
          <cell r="K210">
            <v>20002</v>
          </cell>
          <cell r="L210">
            <v>20002</v>
          </cell>
          <cell r="M210">
            <v>20002</v>
          </cell>
          <cell r="N210">
            <v>20002</v>
          </cell>
          <cell r="O210">
            <v>20002</v>
          </cell>
        </row>
        <row r="211">
          <cell r="D211">
            <v>20002</v>
          </cell>
          <cell r="E211">
            <v>20002</v>
          </cell>
          <cell r="F211">
            <v>20002</v>
          </cell>
          <cell r="G211">
            <v>20002</v>
          </cell>
          <cell r="H211">
            <v>20002</v>
          </cell>
          <cell r="I211">
            <v>20002</v>
          </cell>
          <cell r="J211">
            <v>20002</v>
          </cell>
          <cell r="K211">
            <v>20002</v>
          </cell>
          <cell r="L211">
            <v>20002</v>
          </cell>
          <cell r="M211">
            <v>20002</v>
          </cell>
          <cell r="N211">
            <v>20002</v>
          </cell>
          <cell r="O211">
            <v>20002</v>
          </cell>
        </row>
        <row r="214">
          <cell r="D214">
            <v>20002</v>
          </cell>
          <cell r="E214">
            <v>20002</v>
          </cell>
          <cell r="F214">
            <v>20002</v>
          </cell>
          <cell r="G214">
            <v>20002</v>
          </cell>
          <cell r="H214">
            <v>20002</v>
          </cell>
          <cell r="I214">
            <v>20002</v>
          </cell>
          <cell r="J214">
            <v>20002</v>
          </cell>
          <cell r="K214">
            <v>20002</v>
          </cell>
          <cell r="L214">
            <v>20002</v>
          </cell>
          <cell r="M214">
            <v>20002</v>
          </cell>
          <cell r="N214">
            <v>20002</v>
          </cell>
          <cell r="O214">
            <v>20002</v>
          </cell>
        </row>
        <row r="215">
          <cell r="D215">
            <v>20002</v>
          </cell>
          <cell r="E215">
            <v>20002</v>
          </cell>
          <cell r="F215">
            <v>20002</v>
          </cell>
          <cell r="G215">
            <v>20002</v>
          </cell>
          <cell r="H215">
            <v>20002</v>
          </cell>
          <cell r="I215">
            <v>20002</v>
          </cell>
          <cell r="J215">
            <v>20002</v>
          </cell>
          <cell r="K215">
            <v>20002</v>
          </cell>
          <cell r="L215">
            <v>20002</v>
          </cell>
          <cell r="M215">
            <v>20002</v>
          </cell>
          <cell r="N215">
            <v>20002</v>
          </cell>
          <cell r="O215">
            <v>20002</v>
          </cell>
        </row>
        <row r="216">
          <cell r="D216">
            <v>20002</v>
          </cell>
          <cell r="E216">
            <v>20002</v>
          </cell>
          <cell r="F216">
            <v>20002</v>
          </cell>
          <cell r="G216">
            <v>20002</v>
          </cell>
          <cell r="H216">
            <v>20002</v>
          </cell>
          <cell r="I216">
            <v>20002</v>
          </cell>
          <cell r="J216">
            <v>20002</v>
          </cell>
          <cell r="K216">
            <v>20002</v>
          </cell>
          <cell r="L216">
            <v>20002</v>
          </cell>
          <cell r="M216">
            <v>20002</v>
          </cell>
          <cell r="N216">
            <v>20002</v>
          </cell>
          <cell r="O216">
            <v>20002</v>
          </cell>
        </row>
        <row r="217">
          <cell r="D217">
            <v>20002</v>
          </cell>
          <cell r="E217">
            <v>20002</v>
          </cell>
          <cell r="F217">
            <v>20002</v>
          </cell>
          <cell r="G217">
            <v>20002</v>
          </cell>
          <cell r="H217">
            <v>20002</v>
          </cell>
          <cell r="I217">
            <v>20002</v>
          </cell>
          <cell r="J217">
            <v>20002</v>
          </cell>
          <cell r="K217">
            <v>20002</v>
          </cell>
          <cell r="L217">
            <v>20002</v>
          </cell>
          <cell r="M217">
            <v>20002</v>
          </cell>
          <cell r="N217">
            <v>20002</v>
          </cell>
          <cell r="O217">
            <v>20002</v>
          </cell>
        </row>
        <row r="221">
          <cell r="D221">
            <v>20002</v>
          </cell>
          <cell r="E221">
            <v>20002</v>
          </cell>
          <cell r="F221">
            <v>20002</v>
          </cell>
          <cell r="G221">
            <v>20002</v>
          </cell>
          <cell r="H221">
            <v>20002</v>
          </cell>
          <cell r="I221">
            <v>20002</v>
          </cell>
          <cell r="J221">
            <v>20002</v>
          </cell>
          <cell r="K221">
            <v>20002</v>
          </cell>
          <cell r="L221">
            <v>20002</v>
          </cell>
          <cell r="M221">
            <v>20002</v>
          </cell>
          <cell r="N221">
            <v>20002</v>
          </cell>
          <cell r="O221">
            <v>20002</v>
          </cell>
        </row>
        <row r="222">
          <cell r="D222">
            <v>20002</v>
          </cell>
          <cell r="E222">
            <v>20002</v>
          </cell>
          <cell r="F222">
            <v>20002</v>
          </cell>
          <cell r="G222">
            <v>20002</v>
          </cell>
          <cell r="H222">
            <v>20002</v>
          </cell>
          <cell r="I222">
            <v>20002</v>
          </cell>
          <cell r="J222">
            <v>20002</v>
          </cell>
          <cell r="K222">
            <v>20002</v>
          </cell>
          <cell r="L222">
            <v>20002</v>
          </cell>
          <cell r="M222">
            <v>20002</v>
          </cell>
          <cell r="N222">
            <v>20002</v>
          </cell>
          <cell r="O222">
            <v>20002</v>
          </cell>
        </row>
        <row r="223">
          <cell r="D223">
            <v>20002</v>
          </cell>
          <cell r="E223">
            <v>20002</v>
          </cell>
          <cell r="F223">
            <v>20002</v>
          </cell>
          <cell r="G223">
            <v>20002</v>
          </cell>
          <cell r="H223">
            <v>20002</v>
          </cell>
          <cell r="I223">
            <v>20002</v>
          </cell>
          <cell r="J223">
            <v>20002</v>
          </cell>
          <cell r="K223">
            <v>20002</v>
          </cell>
          <cell r="L223">
            <v>20002</v>
          </cell>
          <cell r="M223">
            <v>20002</v>
          </cell>
          <cell r="N223">
            <v>20002</v>
          </cell>
          <cell r="O223">
            <v>20002</v>
          </cell>
        </row>
        <row r="224">
          <cell r="D224">
            <v>20002</v>
          </cell>
          <cell r="E224">
            <v>20002</v>
          </cell>
          <cell r="F224">
            <v>20002</v>
          </cell>
          <cell r="G224">
            <v>20002</v>
          </cell>
          <cell r="H224">
            <v>20002</v>
          </cell>
          <cell r="I224">
            <v>20002</v>
          </cell>
          <cell r="J224">
            <v>20002</v>
          </cell>
          <cell r="K224">
            <v>20002</v>
          </cell>
          <cell r="L224">
            <v>20002</v>
          </cell>
          <cell r="M224">
            <v>20002</v>
          </cell>
          <cell r="N224">
            <v>20002</v>
          </cell>
          <cell r="O224">
            <v>20002</v>
          </cell>
        </row>
        <row r="228">
          <cell r="D228">
            <v>11997</v>
          </cell>
          <cell r="E228">
            <v>11997</v>
          </cell>
          <cell r="F228">
            <v>11997</v>
          </cell>
          <cell r="G228">
            <v>11997</v>
          </cell>
          <cell r="H228">
            <v>11997</v>
          </cell>
          <cell r="I228">
            <v>11997</v>
          </cell>
          <cell r="J228">
            <v>11997</v>
          </cell>
          <cell r="K228">
            <v>11997</v>
          </cell>
          <cell r="L228">
            <v>11997</v>
          </cell>
          <cell r="M228">
            <v>11997</v>
          </cell>
          <cell r="N228">
            <v>11997</v>
          </cell>
          <cell r="O228">
            <v>11997</v>
          </cell>
        </row>
        <row r="229">
          <cell r="D229">
            <v>88738</v>
          </cell>
          <cell r="E229">
            <v>88738</v>
          </cell>
          <cell r="F229">
            <v>88738</v>
          </cell>
          <cell r="G229">
            <v>88738</v>
          </cell>
          <cell r="H229">
            <v>88738</v>
          </cell>
          <cell r="I229">
            <v>88738</v>
          </cell>
          <cell r="J229">
            <v>88738</v>
          </cell>
          <cell r="K229">
            <v>88738</v>
          </cell>
          <cell r="L229">
            <v>88738</v>
          </cell>
          <cell r="M229">
            <v>88738</v>
          </cell>
          <cell r="N229">
            <v>88738</v>
          </cell>
          <cell r="O229">
            <v>88738</v>
          </cell>
        </row>
        <row r="230">
          <cell r="D230">
            <v>45970</v>
          </cell>
          <cell r="E230">
            <v>45970</v>
          </cell>
          <cell r="F230">
            <v>45970</v>
          </cell>
          <cell r="G230">
            <v>45970</v>
          </cell>
          <cell r="H230">
            <v>45970</v>
          </cell>
          <cell r="I230">
            <v>45970</v>
          </cell>
          <cell r="J230">
            <v>45970</v>
          </cell>
          <cell r="K230">
            <v>45970</v>
          </cell>
          <cell r="L230">
            <v>45970</v>
          </cell>
          <cell r="M230">
            <v>45970</v>
          </cell>
          <cell r="N230">
            <v>45970</v>
          </cell>
          <cell r="O230">
            <v>45970</v>
          </cell>
        </row>
        <row r="231">
          <cell r="D231">
            <v>45970</v>
          </cell>
          <cell r="E231">
            <v>45970</v>
          </cell>
          <cell r="F231">
            <v>45970</v>
          </cell>
          <cell r="G231">
            <v>45970</v>
          </cell>
          <cell r="H231">
            <v>45970</v>
          </cell>
          <cell r="I231">
            <v>45970</v>
          </cell>
          <cell r="J231">
            <v>45970</v>
          </cell>
          <cell r="K231">
            <v>45970</v>
          </cell>
          <cell r="L231">
            <v>45970</v>
          </cell>
          <cell r="M231">
            <v>45970</v>
          </cell>
          <cell r="N231">
            <v>45970</v>
          </cell>
          <cell r="O231">
            <v>45970</v>
          </cell>
        </row>
        <row r="235">
          <cell r="D235">
            <v>45970</v>
          </cell>
          <cell r="E235">
            <v>45970</v>
          </cell>
          <cell r="F235">
            <v>45970</v>
          </cell>
          <cell r="G235">
            <v>45970</v>
          </cell>
          <cell r="H235">
            <v>45970</v>
          </cell>
          <cell r="I235">
            <v>45970</v>
          </cell>
          <cell r="J235">
            <v>45970</v>
          </cell>
          <cell r="K235">
            <v>45970</v>
          </cell>
          <cell r="L235">
            <v>45970</v>
          </cell>
          <cell r="M235">
            <v>45970</v>
          </cell>
          <cell r="N235">
            <v>45970</v>
          </cell>
          <cell r="O235">
            <v>45970</v>
          </cell>
        </row>
        <row r="236">
          <cell r="D236">
            <v>45970</v>
          </cell>
          <cell r="E236">
            <v>45970</v>
          </cell>
          <cell r="F236">
            <v>45970</v>
          </cell>
          <cell r="G236">
            <v>45970</v>
          </cell>
          <cell r="H236">
            <v>45970</v>
          </cell>
          <cell r="I236">
            <v>45970</v>
          </cell>
          <cell r="J236">
            <v>45970</v>
          </cell>
          <cell r="K236">
            <v>45970</v>
          </cell>
          <cell r="L236">
            <v>45970</v>
          </cell>
          <cell r="M236">
            <v>45970</v>
          </cell>
          <cell r="N236">
            <v>45970</v>
          </cell>
          <cell r="O236">
            <v>45970</v>
          </cell>
        </row>
        <row r="237">
          <cell r="D237">
            <v>5603</v>
          </cell>
          <cell r="E237">
            <v>5603</v>
          </cell>
          <cell r="F237">
            <v>5603</v>
          </cell>
          <cell r="G237">
            <v>5603</v>
          </cell>
          <cell r="H237">
            <v>5603</v>
          </cell>
          <cell r="I237">
            <v>5603</v>
          </cell>
          <cell r="J237">
            <v>5603</v>
          </cell>
          <cell r="K237">
            <v>5603</v>
          </cell>
          <cell r="L237">
            <v>5603</v>
          </cell>
          <cell r="M237">
            <v>5603</v>
          </cell>
          <cell r="N237">
            <v>5603</v>
          </cell>
          <cell r="O237">
            <v>5603</v>
          </cell>
        </row>
        <row r="238">
          <cell r="D238">
            <v>5603</v>
          </cell>
          <cell r="E238">
            <v>5603</v>
          </cell>
          <cell r="F238">
            <v>5603</v>
          </cell>
          <cell r="G238">
            <v>5603</v>
          </cell>
          <cell r="H238">
            <v>5603</v>
          </cell>
          <cell r="I238">
            <v>5603</v>
          </cell>
          <cell r="J238">
            <v>5603</v>
          </cell>
          <cell r="K238">
            <v>5603</v>
          </cell>
          <cell r="L238">
            <v>5603</v>
          </cell>
          <cell r="M238">
            <v>5603</v>
          </cell>
          <cell r="N238">
            <v>5603</v>
          </cell>
          <cell r="O238">
            <v>5603</v>
          </cell>
        </row>
        <row r="242">
          <cell r="D242">
            <v>5603</v>
          </cell>
          <cell r="E242">
            <v>5603</v>
          </cell>
          <cell r="F242">
            <v>5603</v>
          </cell>
          <cell r="G242">
            <v>5603</v>
          </cell>
          <cell r="H242">
            <v>5603</v>
          </cell>
          <cell r="I242">
            <v>5603</v>
          </cell>
          <cell r="J242">
            <v>5603</v>
          </cell>
          <cell r="K242">
            <v>5603</v>
          </cell>
          <cell r="L242">
            <v>5603</v>
          </cell>
          <cell r="M242">
            <v>5603</v>
          </cell>
          <cell r="N242">
            <v>5603</v>
          </cell>
          <cell r="O242">
            <v>5603</v>
          </cell>
        </row>
        <row r="243">
          <cell r="D243">
            <v>5603</v>
          </cell>
          <cell r="E243">
            <v>5603</v>
          </cell>
          <cell r="F243">
            <v>5603</v>
          </cell>
          <cell r="G243">
            <v>5603</v>
          </cell>
          <cell r="H243">
            <v>5603</v>
          </cell>
          <cell r="I243">
            <v>5603</v>
          </cell>
          <cell r="J243">
            <v>5603</v>
          </cell>
          <cell r="K243">
            <v>5603</v>
          </cell>
          <cell r="L243">
            <v>5603</v>
          </cell>
          <cell r="M243">
            <v>5603</v>
          </cell>
          <cell r="N243">
            <v>5603</v>
          </cell>
          <cell r="O243">
            <v>5603</v>
          </cell>
        </row>
        <row r="244">
          <cell r="D244">
            <v>5603</v>
          </cell>
          <cell r="E244">
            <v>5603</v>
          </cell>
          <cell r="F244">
            <v>5603</v>
          </cell>
          <cell r="G244">
            <v>5603</v>
          </cell>
          <cell r="H244">
            <v>5603</v>
          </cell>
          <cell r="I244">
            <v>5603</v>
          </cell>
          <cell r="J244">
            <v>5603</v>
          </cell>
          <cell r="K244">
            <v>5603</v>
          </cell>
          <cell r="L244">
            <v>5603</v>
          </cell>
          <cell r="M244">
            <v>5603</v>
          </cell>
          <cell r="N244">
            <v>5603</v>
          </cell>
          <cell r="O244">
            <v>5603</v>
          </cell>
        </row>
        <row r="245">
          <cell r="D245">
            <v>5603</v>
          </cell>
          <cell r="E245">
            <v>5603</v>
          </cell>
          <cell r="F245">
            <v>5603</v>
          </cell>
          <cell r="G245">
            <v>5603</v>
          </cell>
          <cell r="H245">
            <v>5603</v>
          </cell>
          <cell r="I245">
            <v>5603</v>
          </cell>
          <cell r="J245">
            <v>5603</v>
          </cell>
          <cell r="K245">
            <v>5603</v>
          </cell>
          <cell r="L245">
            <v>5603</v>
          </cell>
          <cell r="M245">
            <v>5603</v>
          </cell>
          <cell r="N245">
            <v>5603</v>
          </cell>
          <cell r="O245">
            <v>5603</v>
          </cell>
        </row>
        <row r="268">
          <cell r="D268">
            <v>5603</v>
          </cell>
          <cell r="E268">
            <v>5603</v>
          </cell>
          <cell r="F268">
            <v>5603</v>
          </cell>
          <cell r="G268">
            <v>5603</v>
          </cell>
          <cell r="H268">
            <v>5603</v>
          </cell>
          <cell r="I268">
            <v>5603</v>
          </cell>
          <cell r="J268">
            <v>5603</v>
          </cell>
          <cell r="K268">
            <v>5603</v>
          </cell>
          <cell r="L268">
            <v>5603</v>
          </cell>
          <cell r="M268">
            <v>5603</v>
          </cell>
          <cell r="N268">
            <v>5603</v>
          </cell>
          <cell r="O268">
            <v>5603</v>
          </cell>
        </row>
        <row r="269">
          <cell r="D269">
            <v>5603</v>
          </cell>
          <cell r="E269">
            <v>5603</v>
          </cell>
          <cell r="F269">
            <v>5603</v>
          </cell>
          <cell r="G269">
            <v>5603</v>
          </cell>
          <cell r="H269">
            <v>5603</v>
          </cell>
          <cell r="I269">
            <v>5603</v>
          </cell>
          <cell r="J269">
            <v>5603</v>
          </cell>
          <cell r="K269">
            <v>5603</v>
          </cell>
          <cell r="L269">
            <v>5603</v>
          </cell>
          <cell r="M269">
            <v>5603</v>
          </cell>
          <cell r="N269">
            <v>5603</v>
          </cell>
          <cell r="O269">
            <v>5603</v>
          </cell>
        </row>
        <row r="270">
          <cell r="D270">
            <v>5603</v>
          </cell>
          <cell r="E270">
            <v>5603</v>
          </cell>
          <cell r="F270">
            <v>5603</v>
          </cell>
          <cell r="G270">
            <v>5603</v>
          </cell>
          <cell r="H270">
            <v>5603</v>
          </cell>
          <cell r="I270">
            <v>5603</v>
          </cell>
          <cell r="J270">
            <v>5603</v>
          </cell>
          <cell r="K270">
            <v>5603</v>
          </cell>
          <cell r="L270">
            <v>5603</v>
          </cell>
          <cell r="M270">
            <v>5603</v>
          </cell>
          <cell r="N270">
            <v>5603</v>
          </cell>
          <cell r="O270">
            <v>5603</v>
          </cell>
        </row>
        <row r="271">
          <cell r="D271">
            <v>5603</v>
          </cell>
          <cell r="E271">
            <v>5603</v>
          </cell>
          <cell r="F271">
            <v>5603</v>
          </cell>
          <cell r="G271">
            <v>5603</v>
          </cell>
          <cell r="H271">
            <v>5603</v>
          </cell>
          <cell r="I271">
            <v>5603</v>
          </cell>
          <cell r="J271">
            <v>5603</v>
          </cell>
          <cell r="K271">
            <v>5603</v>
          </cell>
          <cell r="L271">
            <v>5603</v>
          </cell>
          <cell r="M271">
            <v>5603</v>
          </cell>
          <cell r="N271">
            <v>5603</v>
          </cell>
          <cell r="O271">
            <v>5603</v>
          </cell>
        </row>
        <row r="275">
          <cell r="D275">
            <v>5603</v>
          </cell>
          <cell r="E275">
            <v>5603</v>
          </cell>
          <cell r="F275">
            <v>5603</v>
          </cell>
          <cell r="G275">
            <v>5603</v>
          </cell>
          <cell r="H275">
            <v>5603</v>
          </cell>
          <cell r="I275">
            <v>5603</v>
          </cell>
          <cell r="J275">
            <v>5603</v>
          </cell>
          <cell r="K275">
            <v>5603</v>
          </cell>
          <cell r="L275">
            <v>5603</v>
          </cell>
          <cell r="M275">
            <v>5603</v>
          </cell>
          <cell r="N275">
            <v>5603</v>
          </cell>
          <cell r="O275">
            <v>5603</v>
          </cell>
        </row>
        <row r="276">
          <cell r="D276">
            <v>5603</v>
          </cell>
          <cell r="E276">
            <v>5603</v>
          </cell>
          <cell r="F276">
            <v>5603</v>
          </cell>
          <cell r="G276">
            <v>5603</v>
          </cell>
          <cell r="H276">
            <v>5603</v>
          </cell>
          <cell r="I276">
            <v>5603</v>
          </cell>
          <cell r="J276">
            <v>5603</v>
          </cell>
          <cell r="K276">
            <v>5603</v>
          </cell>
          <cell r="L276">
            <v>5603</v>
          </cell>
          <cell r="M276">
            <v>5603</v>
          </cell>
          <cell r="N276">
            <v>5603</v>
          </cell>
          <cell r="O276">
            <v>5603</v>
          </cell>
        </row>
        <row r="277">
          <cell r="D277">
            <v>5603</v>
          </cell>
          <cell r="E277">
            <v>5603</v>
          </cell>
          <cell r="F277">
            <v>5603</v>
          </cell>
          <cell r="G277">
            <v>5603</v>
          </cell>
          <cell r="H277">
            <v>5603</v>
          </cell>
          <cell r="I277">
            <v>5603</v>
          </cell>
          <cell r="J277">
            <v>5603</v>
          </cell>
          <cell r="K277">
            <v>5603</v>
          </cell>
          <cell r="L277">
            <v>5603</v>
          </cell>
          <cell r="M277">
            <v>5603</v>
          </cell>
          <cell r="N277">
            <v>5603</v>
          </cell>
          <cell r="O277">
            <v>5603</v>
          </cell>
        </row>
        <row r="278">
          <cell r="D278">
            <v>5603</v>
          </cell>
          <cell r="E278">
            <v>5603</v>
          </cell>
          <cell r="F278">
            <v>5603</v>
          </cell>
          <cell r="G278">
            <v>5603</v>
          </cell>
          <cell r="H278">
            <v>5603</v>
          </cell>
          <cell r="I278">
            <v>5603</v>
          </cell>
          <cell r="J278">
            <v>5603</v>
          </cell>
          <cell r="K278">
            <v>5603</v>
          </cell>
          <cell r="L278">
            <v>5603</v>
          </cell>
          <cell r="M278">
            <v>5603</v>
          </cell>
          <cell r="N278">
            <v>5603</v>
          </cell>
          <cell r="O278">
            <v>5603</v>
          </cell>
        </row>
        <row r="282">
          <cell r="D282">
            <v>5603</v>
          </cell>
          <cell r="E282">
            <v>5603</v>
          </cell>
          <cell r="F282">
            <v>5603</v>
          </cell>
          <cell r="G282">
            <v>5603</v>
          </cell>
          <cell r="H282">
            <v>5603</v>
          </cell>
          <cell r="I282">
            <v>5603</v>
          </cell>
          <cell r="J282">
            <v>5603</v>
          </cell>
          <cell r="K282">
            <v>5603</v>
          </cell>
          <cell r="L282">
            <v>5603</v>
          </cell>
          <cell r="M282">
            <v>5603</v>
          </cell>
          <cell r="N282">
            <v>5603</v>
          </cell>
          <cell r="O282">
            <v>5603</v>
          </cell>
        </row>
        <row r="283">
          <cell r="D283">
            <v>5603</v>
          </cell>
          <cell r="E283">
            <v>5603</v>
          </cell>
          <cell r="F283">
            <v>5603</v>
          </cell>
          <cell r="G283">
            <v>5603</v>
          </cell>
          <cell r="H283">
            <v>5603</v>
          </cell>
          <cell r="I283">
            <v>5603</v>
          </cell>
          <cell r="J283">
            <v>5603</v>
          </cell>
          <cell r="K283">
            <v>5603</v>
          </cell>
          <cell r="L283">
            <v>5603</v>
          </cell>
          <cell r="M283">
            <v>5603</v>
          </cell>
          <cell r="N283">
            <v>5603</v>
          </cell>
          <cell r="O283">
            <v>5603</v>
          </cell>
        </row>
        <row r="284">
          <cell r="D284">
            <v>5603</v>
          </cell>
          <cell r="E284">
            <v>5603</v>
          </cell>
          <cell r="F284">
            <v>5603</v>
          </cell>
          <cell r="G284">
            <v>5603</v>
          </cell>
          <cell r="H284">
            <v>5603</v>
          </cell>
          <cell r="I284">
            <v>5603</v>
          </cell>
          <cell r="J284">
            <v>5603</v>
          </cell>
          <cell r="K284">
            <v>5603</v>
          </cell>
          <cell r="L284">
            <v>5603</v>
          </cell>
          <cell r="M284">
            <v>5603</v>
          </cell>
          <cell r="N284">
            <v>5603</v>
          </cell>
          <cell r="O284">
            <v>5603</v>
          </cell>
        </row>
        <row r="285">
          <cell r="D285">
            <v>5603</v>
          </cell>
          <cell r="E285">
            <v>5603</v>
          </cell>
          <cell r="F285">
            <v>5603</v>
          </cell>
          <cell r="G285">
            <v>5603</v>
          </cell>
          <cell r="H285">
            <v>5603</v>
          </cell>
          <cell r="I285">
            <v>5603</v>
          </cell>
          <cell r="J285">
            <v>5603</v>
          </cell>
          <cell r="K285">
            <v>5603</v>
          </cell>
          <cell r="L285">
            <v>5603</v>
          </cell>
          <cell r="M285">
            <v>5603</v>
          </cell>
          <cell r="N285">
            <v>5603</v>
          </cell>
          <cell r="O285">
            <v>5603</v>
          </cell>
        </row>
        <row r="289">
          <cell r="D289">
            <v>5603</v>
          </cell>
          <cell r="E289">
            <v>5603</v>
          </cell>
          <cell r="F289">
            <v>5603</v>
          </cell>
          <cell r="G289">
            <v>5603</v>
          </cell>
          <cell r="H289">
            <v>5603</v>
          </cell>
          <cell r="I289">
            <v>5603</v>
          </cell>
          <cell r="J289">
            <v>5603</v>
          </cell>
          <cell r="K289">
            <v>5603</v>
          </cell>
          <cell r="L289">
            <v>5603</v>
          </cell>
          <cell r="M289">
            <v>5603</v>
          </cell>
          <cell r="N289">
            <v>5603</v>
          </cell>
          <cell r="O289">
            <v>5603</v>
          </cell>
        </row>
        <row r="290">
          <cell r="D290">
            <v>5603</v>
          </cell>
          <cell r="E290">
            <v>5603</v>
          </cell>
          <cell r="F290">
            <v>5603</v>
          </cell>
          <cell r="G290">
            <v>5603</v>
          </cell>
          <cell r="H290">
            <v>5603</v>
          </cell>
          <cell r="I290">
            <v>5603</v>
          </cell>
          <cell r="J290">
            <v>5603</v>
          </cell>
          <cell r="K290">
            <v>5603</v>
          </cell>
          <cell r="L290">
            <v>5603</v>
          </cell>
          <cell r="M290">
            <v>5603</v>
          </cell>
          <cell r="N290">
            <v>5603</v>
          </cell>
          <cell r="O290">
            <v>5603</v>
          </cell>
        </row>
        <row r="291">
          <cell r="D291">
            <v>5603</v>
          </cell>
          <cell r="E291">
            <v>5603</v>
          </cell>
          <cell r="F291">
            <v>5603</v>
          </cell>
          <cell r="G291">
            <v>5603</v>
          </cell>
          <cell r="H291">
            <v>5603</v>
          </cell>
          <cell r="I291">
            <v>5603</v>
          </cell>
          <cell r="J291">
            <v>5603</v>
          </cell>
          <cell r="K291">
            <v>5603</v>
          </cell>
          <cell r="L291">
            <v>5603</v>
          </cell>
          <cell r="M291">
            <v>5603</v>
          </cell>
          <cell r="N291">
            <v>5603</v>
          </cell>
          <cell r="O291">
            <v>5603</v>
          </cell>
        </row>
        <row r="292">
          <cell r="D292">
            <v>5603</v>
          </cell>
          <cell r="E292">
            <v>5603</v>
          </cell>
          <cell r="F292">
            <v>5603</v>
          </cell>
          <cell r="G292">
            <v>5603</v>
          </cell>
          <cell r="H292">
            <v>5603</v>
          </cell>
          <cell r="I292">
            <v>5603</v>
          </cell>
          <cell r="J292">
            <v>5603</v>
          </cell>
          <cell r="K292">
            <v>5603</v>
          </cell>
          <cell r="L292">
            <v>5603</v>
          </cell>
          <cell r="M292">
            <v>5603</v>
          </cell>
          <cell r="N292">
            <v>5603</v>
          </cell>
          <cell r="O292">
            <v>5603</v>
          </cell>
        </row>
        <row r="296">
          <cell r="D296">
            <v>5603</v>
          </cell>
          <cell r="E296">
            <v>5603</v>
          </cell>
          <cell r="F296">
            <v>5603</v>
          </cell>
          <cell r="G296">
            <v>5603</v>
          </cell>
          <cell r="H296">
            <v>5603</v>
          </cell>
          <cell r="I296">
            <v>5603</v>
          </cell>
          <cell r="J296">
            <v>5603</v>
          </cell>
          <cell r="K296">
            <v>5603</v>
          </cell>
          <cell r="L296">
            <v>5603</v>
          </cell>
          <cell r="M296">
            <v>5603</v>
          </cell>
          <cell r="N296">
            <v>5603</v>
          </cell>
          <cell r="O296">
            <v>5603</v>
          </cell>
        </row>
        <row r="297">
          <cell r="D297">
            <v>5603</v>
          </cell>
          <cell r="E297">
            <v>5603</v>
          </cell>
          <cell r="F297">
            <v>5603</v>
          </cell>
          <cell r="G297">
            <v>5603</v>
          </cell>
          <cell r="H297">
            <v>5603</v>
          </cell>
          <cell r="I297">
            <v>5603</v>
          </cell>
          <cell r="J297">
            <v>5603</v>
          </cell>
          <cell r="K297">
            <v>5603</v>
          </cell>
          <cell r="L297">
            <v>5603</v>
          </cell>
          <cell r="M297">
            <v>5603</v>
          </cell>
          <cell r="N297">
            <v>5603</v>
          </cell>
          <cell r="O297">
            <v>5603</v>
          </cell>
        </row>
        <row r="298">
          <cell r="D298">
            <v>5603</v>
          </cell>
          <cell r="E298">
            <v>5603</v>
          </cell>
          <cell r="F298">
            <v>5603</v>
          </cell>
          <cell r="G298">
            <v>5603</v>
          </cell>
          <cell r="H298">
            <v>5603</v>
          </cell>
          <cell r="I298">
            <v>5603</v>
          </cell>
          <cell r="J298">
            <v>5603</v>
          </cell>
          <cell r="K298">
            <v>5603</v>
          </cell>
          <cell r="L298">
            <v>5603</v>
          </cell>
          <cell r="M298">
            <v>5603</v>
          </cell>
          <cell r="N298">
            <v>5603</v>
          </cell>
          <cell r="O298">
            <v>5603</v>
          </cell>
        </row>
        <row r="299">
          <cell r="D299">
            <v>5603</v>
          </cell>
          <cell r="E299">
            <v>5603</v>
          </cell>
          <cell r="F299">
            <v>5603</v>
          </cell>
          <cell r="G299">
            <v>5603</v>
          </cell>
          <cell r="H299">
            <v>5603</v>
          </cell>
          <cell r="I299">
            <v>5603</v>
          </cell>
          <cell r="J299">
            <v>5603</v>
          </cell>
          <cell r="K299">
            <v>5603</v>
          </cell>
          <cell r="L299">
            <v>5603</v>
          </cell>
          <cell r="M299">
            <v>5603</v>
          </cell>
          <cell r="N299">
            <v>5603</v>
          </cell>
          <cell r="O299">
            <v>5603</v>
          </cell>
        </row>
        <row r="304">
          <cell r="D304">
            <v>5603</v>
          </cell>
          <cell r="E304">
            <v>5603</v>
          </cell>
          <cell r="F304">
            <v>5603</v>
          </cell>
          <cell r="G304">
            <v>5603</v>
          </cell>
          <cell r="H304">
            <v>5603</v>
          </cell>
          <cell r="I304">
            <v>5603</v>
          </cell>
          <cell r="J304">
            <v>5603</v>
          </cell>
          <cell r="K304">
            <v>5603</v>
          </cell>
          <cell r="L304">
            <v>5603</v>
          </cell>
          <cell r="M304">
            <v>5603</v>
          </cell>
          <cell r="N304">
            <v>5603</v>
          </cell>
          <cell r="O304">
            <v>5603</v>
          </cell>
        </row>
        <row r="305">
          <cell r="D305">
            <v>5603</v>
          </cell>
          <cell r="E305">
            <v>5603</v>
          </cell>
          <cell r="F305">
            <v>5603</v>
          </cell>
          <cell r="G305">
            <v>5603</v>
          </cell>
          <cell r="H305">
            <v>5603</v>
          </cell>
          <cell r="I305">
            <v>5603</v>
          </cell>
          <cell r="J305">
            <v>5603</v>
          </cell>
          <cell r="K305">
            <v>5603</v>
          </cell>
          <cell r="L305">
            <v>5603</v>
          </cell>
          <cell r="M305">
            <v>5603</v>
          </cell>
          <cell r="N305">
            <v>5603</v>
          </cell>
          <cell r="O305">
            <v>5603</v>
          </cell>
        </row>
        <row r="306">
          <cell r="D306">
            <v>5603</v>
          </cell>
          <cell r="E306">
            <v>5603</v>
          </cell>
          <cell r="F306">
            <v>5603</v>
          </cell>
          <cell r="G306">
            <v>5603</v>
          </cell>
          <cell r="H306">
            <v>5603</v>
          </cell>
          <cell r="I306">
            <v>5603</v>
          </cell>
          <cell r="J306">
            <v>5603</v>
          </cell>
          <cell r="K306">
            <v>5603</v>
          </cell>
          <cell r="L306">
            <v>5603</v>
          </cell>
          <cell r="M306">
            <v>5603</v>
          </cell>
          <cell r="N306">
            <v>5603</v>
          </cell>
          <cell r="O306">
            <v>5603</v>
          </cell>
        </row>
        <row r="307">
          <cell r="D307">
            <v>5603</v>
          </cell>
          <cell r="E307">
            <v>5603</v>
          </cell>
          <cell r="F307">
            <v>5603</v>
          </cell>
          <cell r="G307">
            <v>5603</v>
          </cell>
          <cell r="H307">
            <v>5603</v>
          </cell>
          <cell r="I307">
            <v>5603</v>
          </cell>
          <cell r="J307">
            <v>5603</v>
          </cell>
          <cell r="K307">
            <v>5603</v>
          </cell>
          <cell r="L307">
            <v>5603</v>
          </cell>
          <cell r="M307">
            <v>5603</v>
          </cell>
          <cell r="N307">
            <v>5603</v>
          </cell>
          <cell r="O307">
            <v>5603</v>
          </cell>
        </row>
        <row r="311">
          <cell r="D311">
            <v>28</v>
          </cell>
          <cell r="E311">
            <v>28</v>
          </cell>
          <cell r="F311">
            <v>28</v>
          </cell>
          <cell r="G311">
            <v>28</v>
          </cell>
          <cell r="H311">
            <v>28</v>
          </cell>
          <cell r="I311">
            <v>28</v>
          </cell>
          <cell r="J311">
            <v>28</v>
          </cell>
          <cell r="K311">
            <v>28</v>
          </cell>
          <cell r="L311">
            <v>28</v>
          </cell>
          <cell r="M311">
            <v>28</v>
          </cell>
          <cell r="N311">
            <v>28</v>
          </cell>
          <cell r="O311">
            <v>28</v>
          </cell>
        </row>
        <row r="312">
          <cell r="D312">
            <v>28</v>
          </cell>
          <cell r="E312">
            <v>28</v>
          </cell>
          <cell r="F312">
            <v>28</v>
          </cell>
          <cell r="G312">
            <v>28</v>
          </cell>
          <cell r="H312">
            <v>28</v>
          </cell>
          <cell r="I312">
            <v>28</v>
          </cell>
          <cell r="J312">
            <v>28</v>
          </cell>
          <cell r="K312">
            <v>28</v>
          </cell>
          <cell r="L312">
            <v>28</v>
          </cell>
          <cell r="M312">
            <v>28</v>
          </cell>
          <cell r="N312">
            <v>28</v>
          </cell>
          <cell r="O312">
            <v>28</v>
          </cell>
        </row>
        <row r="313">
          <cell r="D313">
            <v>28</v>
          </cell>
          <cell r="E313">
            <v>28</v>
          </cell>
          <cell r="F313">
            <v>28</v>
          </cell>
          <cell r="G313">
            <v>28</v>
          </cell>
          <cell r="H313">
            <v>28</v>
          </cell>
          <cell r="I313">
            <v>28</v>
          </cell>
          <cell r="J313">
            <v>28</v>
          </cell>
          <cell r="K313">
            <v>28</v>
          </cell>
          <cell r="L313">
            <v>28</v>
          </cell>
          <cell r="M313">
            <v>28</v>
          </cell>
          <cell r="N313">
            <v>28</v>
          </cell>
          <cell r="O313">
            <v>28</v>
          </cell>
        </row>
        <row r="314">
          <cell r="D314">
            <v>28</v>
          </cell>
          <cell r="E314">
            <v>28</v>
          </cell>
          <cell r="F314">
            <v>28</v>
          </cell>
          <cell r="G314">
            <v>28</v>
          </cell>
          <cell r="H314">
            <v>28</v>
          </cell>
          <cell r="I314">
            <v>28</v>
          </cell>
          <cell r="J314">
            <v>28</v>
          </cell>
          <cell r="K314">
            <v>28</v>
          </cell>
          <cell r="L314">
            <v>28</v>
          </cell>
          <cell r="M314">
            <v>28</v>
          </cell>
          <cell r="N314">
            <v>28</v>
          </cell>
          <cell r="O314">
            <v>28</v>
          </cell>
        </row>
        <row r="318">
          <cell r="D318">
            <v>28</v>
          </cell>
          <cell r="E318">
            <v>28</v>
          </cell>
          <cell r="F318">
            <v>28</v>
          </cell>
          <cell r="G318">
            <v>28</v>
          </cell>
          <cell r="H318">
            <v>28</v>
          </cell>
          <cell r="I318">
            <v>28</v>
          </cell>
          <cell r="J318">
            <v>28</v>
          </cell>
          <cell r="K318">
            <v>28</v>
          </cell>
          <cell r="L318">
            <v>28</v>
          </cell>
          <cell r="M318">
            <v>28</v>
          </cell>
          <cell r="N318">
            <v>28</v>
          </cell>
          <cell r="O318">
            <v>28</v>
          </cell>
        </row>
        <row r="319">
          <cell r="D319">
            <v>28</v>
          </cell>
          <cell r="E319">
            <v>28</v>
          </cell>
          <cell r="F319">
            <v>28</v>
          </cell>
          <cell r="G319">
            <v>28</v>
          </cell>
          <cell r="H319">
            <v>28</v>
          </cell>
          <cell r="I319">
            <v>28</v>
          </cell>
          <cell r="J319">
            <v>28</v>
          </cell>
          <cell r="K319">
            <v>28</v>
          </cell>
          <cell r="L319">
            <v>28</v>
          </cell>
          <cell r="M319">
            <v>28</v>
          </cell>
          <cell r="N319">
            <v>28</v>
          </cell>
          <cell r="O319">
            <v>28</v>
          </cell>
        </row>
        <row r="320">
          <cell r="D320">
            <v>28</v>
          </cell>
          <cell r="E320">
            <v>28</v>
          </cell>
          <cell r="F320">
            <v>28</v>
          </cell>
          <cell r="G320">
            <v>28</v>
          </cell>
          <cell r="H320">
            <v>28</v>
          </cell>
          <cell r="I320">
            <v>28</v>
          </cell>
          <cell r="J320">
            <v>28</v>
          </cell>
          <cell r="K320">
            <v>28</v>
          </cell>
          <cell r="L320">
            <v>28</v>
          </cell>
          <cell r="M320">
            <v>28</v>
          </cell>
          <cell r="N320">
            <v>28</v>
          </cell>
          <cell r="O320">
            <v>28</v>
          </cell>
        </row>
        <row r="321">
          <cell r="D321">
            <v>28</v>
          </cell>
          <cell r="E321">
            <v>28</v>
          </cell>
          <cell r="F321">
            <v>28</v>
          </cell>
          <cell r="G321">
            <v>28</v>
          </cell>
          <cell r="H321">
            <v>28</v>
          </cell>
          <cell r="I321">
            <v>28</v>
          </cell>
          <cell r="J321">
            <v>28</v>
          </cell>
          <cell r="K321">
            <v>28</v>
          </cell>
          <cell r="L321">
            <v>28</v>
          </cell>
          <cell r="M321">
            <v>28</v>
          </cell>
          <cell r="N321">
            <v>28</v>
          </cell>
          <cell r="O321">
            <v>28</v>
          </cell>
        </row>
        <row r="325">
          <cell r="D325">
            <v>28</v>
          </cell>
          <cell r="E325">
            <v>28</v>
          </cell>
          <cell r="F325">
            <v>28</v>
          </cell>
          <cell r="G325">
            <v>28</v>
          </cell>
          <cell r="H325">
            <v>28</v>
          </cell>
          <cell r="I325">
            <v>28</v>
          </cell>
          <cell r="J325">
            <v>28</v>
          </cell>
          <cell r="K325">
            <v>28</v>
          </cell>
          <cell r="L325">
            <v>28</v>
          </cell>
          <cell r="M325">
            <v>28</v>
          </cell>
          <cell r="N325">
            <v>28</v>
          </cell>
          <cell r="O325">
            <v>28</v>
          </cell>
        </row>
        <row r="326">
          <cell r="D326">
            <v>28</v>
          </cell>
          <cell r="E326">
            <v>28</v>
          </cell>
          <cell r="F326">
            <v>28</v>
          </cell>
          <cell r="G326">
            <v>28</v>
          </cell>
          <cell r="H326">
            <v>28</v>
          </cell>
          <cell r="I326">
            <v>28</v>
          </cell>
          <cell r="J326">
            <v>28</v>
          </cell>
          <cell r="K326">
            <v>28</v>
          </cell>
          <cell r="L326">
            <v>28</v>
          </cell>
          <cell r="M326">
            <v>28</v>
          </cell>
          <cell r="N326">
            <v>28</v>
          </cell>
          <cell r="O326">
            <v>28</v>
          </cell>
        </row>
        <row r="327">
          <cell r="D327">
            <v>28</v>
          </cell>
          <cell r="E327">
            <v>28</v>
          </cell>
          <cell r="F327">
            <v>28</v>
          </cell>
          <cell r="G327">
            <v>28</v>
          </cell>
          <cell r="H327">
            <v>28</v>
          </cell>
          <cell r="I327">
            <v>28</v>
          </cell>
          <cell r="J327">
            <v>28</v>
          </cell>
          <cell r="K327">
            <v>28</v>
          </cell>
          <cell r="L327">
            <v>28</v>
          </cell>
          <cell r="M327">
            <v>28</v>
          </cell>
          <cell r="N327">
            <v>28</v>
          </cell>
          <cell r="O327">
            <v>28</v>
          </cell>
        </row>
        <row r="328">
          <cell r="D328">
            <v>28</v>
          </cell>
          <cell r="E328">
            <v>28</v>
          </cell>
          <cell r="F328">
            <v>28</v>
          </cell>
          <cell r="G328">
            <v>28</v>
          </cell>
          <cell r="H328">
            <v>28</v>
          </cell>
          <cell r="I328">
            <v>28</v>
          </cell>
          <cell r="J328">
            <v>28</v>
          </cell>
          <cell r="K328">
            <v>28</v>
          </cell>
          <cell r="L328">
            <v>28</v>
          </cell>
          <cell r="M328">
            <v>28</v>
          </cell>
          <cell r="N328">
            <v>28</v>
          </cell>
          <cell r="O328">
            <v>28</v>
          </cell>
        </row>
        <row r="332">
          <cell r="D332">
            <v>28</v>
          </cell>
          <cell r="E332">
            <v>28</v>
          </cell>
          <cell r="F332">
            <v>28</v>
          </cell>
          <cell r="G332">
            <v>28</v>
          </cell>
          <cell r="H332">
            <v>28</v>
          </cell>
          <cell r="I332">
            <v>28</v>
          </cell>
          <cell r="J332">
            <v>28</v>
          </cell>
          <cell r="K332">
            <v>28</v>
          </cell>
          <cell r="L332">
            <v>28</v>
          </cell>
          <cell r="M332">
            <v>28</v>
          </cell>
          <cell r="N332">
            <v>28</v>
          </cell>
          <cell r="O332">
            <v>28</v>
          </cell>
        </row>
        <row r="333">
          <cell r="D333">
            <v>7927</v>
          </cell>
          <cell r="E333">
            <v>7927</v>
          </cell>
          <cell r="F333">
            <v>7927</v>
          </cell>
          <cell r="G333">
            <v>7927</v>
          </cell>
          <cell r="H333">
            <v>7927</v>
          </cell>
          <cell r="I333">
            <v>7927</v>
          </cell>
          <cell r="J333">
            <v>7927</v>
          </cell>
          <cell r="K333">
            <v>7927</v>
          </cell>
          <cell r="L333">
            <v>7927</v>
          </cell>
          <cell r="M333">
            <v>7927</v>
          </cell>
          <cell r="N333">
            <v>7927</v>
          </cell>
          <cell r="O333">
            <v>7927</v>
          </cell>
        </row>
        <row r="334">
          <cell r="D334">
            <v>7927</v>
          </cell>
          <cell r="E334">
            <v>7927</v>
          </cell>
          <cell r="F334">
            <v>7927</v>
          </cell>
          <cell r="G334">
            <v>7927</v>
          </cell>
          <cell r="H334">
            <v>7927</v>
          </cell>
          <cell r="I334">
            <v>7927</v>
          </cell>
          <cell r="J334">
            <v>7927</v>
          </cell>
          <cell r="K334">
            <v>7927</v>
          </cell>
          <cell r="L334">
            <v>7927</v>
          </cell>
          <cell r="M334">
            <v>7927</v>
          </cell>
          <cell r="N334">
            <v>7927</v>
          </cell>
          <cell r="O334">
            <v>7927</v>
          </cell>
        </row>
        <row r="335">
          <cell r="D335">
            <v>7927</v>
          </cell>
          <cell r="E335">
            <v>7927</v>
          </cell>
          <cell r="F335">
            <v>7927</v>
          </cell>
          <cell r="G335">
            <v>7927</v>
          </cell>
          <cell r="H335">
            <v>7927</v>
          </cell>
          <cell r="I335">
            <v>7927</v>
          </cell>
          <cell r="J335">
            <v>7927</v>
          </cell>
          <cell r="K335">
            <v>7927</v>
          </cell>
          <cell r="L335">
            <v>7927</v>
          </cell>
          <cell r="M335">
            <v>7927</v>
          </cell>
          <cell r="N335">
            <v>7927</v>
          </cell>
          <cell r="O335">
            <v>7927</v>
          </cell>
        </row>
        <row r="336">
          <cell r="D336">
            <v>7927</v>
          </cell>
          <cell r="E336">
            <v>7927</v>
          </cell>
          <cell r="F336">
            <v>7927</v>
          </cell>
          <cell r="G336">
            <v>7927</v>
          </cell>
          <cell r="H336">
            <v>7927</v>
          </cell>
          <cell r="I336">
            <v>7927</v>
          </cell>
          <cell r="J336">
            <v>7927</v>
          </cell>
          <cell r="K336">
            <v>7927</v>
          </cell>
          <cell r="L336">
            <v>7927</v>
          </cell>
          <cell r="M336">
            <v>7927</v>
          </cell>
          <cell r="N336">
            <v>7927</v>
          </cell>
          <cell r="O336">
            <v>7927</v>
          </cell>
        </row>
        <row r="360">
          <cell r="D360">
            <v>11124</v>
          </cell>
          <cell r="E360">
            <v>11124</v>
          </cell>
          <cell r="F360">
            <v>11124</v>
          </cell>
          <cell r="G360">
            <v>11124</v>
          </cell>
          <cell r="H360">
            <v>11124</v>
          </cell>
          <cell r="I360">
            <v>11124</v>
          </cell>
          <cell r="J360">
            <v>11124</v>
          </cell>
          <cell r="K360">
            <v>11124</v>
          </cell>
          <cell r="L360">
            <v>11124</v>
          </cell>
          <cell r="M360">
            <v>11124</v>
          </cell>
          <cell r="N360">
            <v>11124</v>
          </cell>
          <cell r="O360">
            <v>11124</v>
          </cell>
        </row>
        <row r="361">
          <cell r="D361">
            <v>11124</v>
          </cell>
          <cell r="E361">
            <v>11124</v>
          </cell>
          <cell r="F361">
            <v>11124</v>
          </cell>
          <cell r="G361">
            <v>11124</v>
          </cell>
          <cell r="H361">
            <v>11124</v>
          </cell>
          <cell r="I361">
            <v>11124</v>
          </cell>
          <cell r="J361">
            <v>11124</v>
          </cell>
          <cell r="K361">
            <v>11124</v>
          </cell>
          <cell r="L361">
            <v>11124</v>
          </cell>
          <cell r="M361">
            <v>11124</v>
          </cell>
          <cell r="N361">
            <v>11124</v>
          </cell>
          <cell r="O361">
            <v>11124</v>
          </cell>
        </row>
        <row r="362">
          <cell r="D362">
            <v>13671</v>
          </cell>
          <cell r="E362">
            <v>13671</v>
          </cell>
          <cell r="F362">
            <v>13671</v>
          </cell>
          <cell r="G362">
            <v>13671</v>
          </cell>
          <cell r="H362">
            <v>13671</v>
          </cell>
          <cell r="I362">
            <v>13671</v>
          </cell>
          <cell r="J362">
            <v>13671</v>
          </cell>
          <cell r="K362">
            <v>13671</v>
          </cell>
          <cell r="L362">
            <v>13671</v>
          </cell>
          <cell r="M362">
            <v>13671</v>
          </cell>
          <cell r="N362">
            <v>13671</v>
          </cell>
          <cell r="O362">
            <v>13671</v>
          </cell>
        </row>
        <row r="365">
          <cell r="D365">
            <v>13671</v>
          </cell>
          <cell r="E365">
            <v>13671</v>
          </cell>
          <cell r="F365">
            <v>13671</v>
          </cell>
          <cell r="G365">
            <v>13671</v>
          </cell>
          <cell r="H365">
            <v>13671</v>
          </cell>
          <cell r="I365">
            <v>13671</v>
          </cell>
          <cell r="J365">
            <v>13671</v>
          </cell>
          <cell r="K365">
            <v>13671</v>
          </cell>
          <cell r="L365">
            <v>13671</v>
          </cell>
          <cell r="M365">
            <v>13671</v>
          </cell>
          <cell r="N365">
            <v>13671</v>
          </cell>
          <cell r="O365">
            <v>13671</v>
          </cell>
        </row>
        <row r="366">
          <cell r="D366">
            <v>13671</v>
          </cell>
          <cell r="E366">
            <v>13671</v>
          </cell>
          <cell r="F366">
            <v>13671</v>
          </cell>
          <cell r="G366">
            <v>13671</v>
          </cell>
          <cell r="H366">
            <v>13671</v>
          </cell>
          <cell r="I366">
            <v>13671</v>
          </cell>
          <cell r="J366">
            <v>13671</v>
          </cell>
          <cell r="K366">
            <v>13671</v>
          </cell>
          <cell r="L366">
            <v>13671</v>
          </cell>
          <cell r="M366">
            <v>13671</v>
          </cell>
          <cell r="N366">
            <v>13671</v>
          </cell>
          <cell r="O366">
            <v>13671</v>
          </cell>
        </row>
        <row r="367">
          <cell r="D367">
            <v>13671</v>
          </cell>
          <cell r="E367">
            <v>13671</v>
          </cell>
          <cell r="F367">
            <v>13671</v>
          </cell>
          <cell r="G367">
            <v>13671</v>
          </cell>
          <cell r="H367">
            <v>13671</v>
          </cell>
          <cell r="I367">
            <v>13671</v>
          </cell>
          <cell r="J367">
            <v>13671</v>
          </cell>
          <cell r="K367">
            <v>13671</v>
          </cell>
          <cell r="L367">
            <v>13671</v>
          </cell>
          <cell r="M367">
            <v>13671</v>
          </cell>
          <cell r="N367">
            <v>13671</v>
          </cell>
          <cell r="O367">
            <v>13671</v>
          </cell>
        </row>
        <row r="372">
          <cell r="D372">
            <v>13671</v>
          </cell>
          <cell r="E372">
            <v>13671</v>
          </cell>
          <cell r="F372">
            <v>13671</v>
          </cell>
          <cell r="G372">
            <v>13671</v>
          </cell>
          <cell r="H372">
            <v>13671</v>
          </cell>
          <cell r="I372">
            <v>13671</v>
          </cell>
          <cell r="J372">
            <v>13671</v>
          </cell>
          <cell r="K372">
            <v>13671</v>
          </cell>
          <cell r="L372">
            <v>13671</v>
          </cell>
          <cell r="M372">
            <v>13671</v>
          </cell>
          <cell r="N372">
            <v>13671</v>
          </cell>
          <cell r="O372">
            <v>13671</v>
          </cell>
        </row>
        <row r="373">
          <cell r="D373">
            <v>13671</v>
          </cell>
          <cell r="E373">
            <v>13671</v>
          </cell>
          <cell r="F373">
            <v>13671</v>
          </cell>
          <cell r="G373">
            <v>13671</v>
          </cell>
          <cell r="H373">
            <v>13671</v>
          </cell>
          <cell r="I373">
            <v>13671</v>
          </cell>
          <cell r="J373">
            <v>13671</v>
          </cell>
          <cell r="K373">
            <v>13671</v>
          </cell>
          <cell r="L373">
            <v>13671</v>
          </cell>
          <cell r="M373">
            <v>13671</v>
          </cell>
          <cell r="N373">
            <v>13671</v>
          </cell>
          <cell r="O373">
            <v>13671</v>
          </cell>
        </row>
        <row r="374">
          <cell r="D374">
            <v>13671</v>
          </cell>
          <cell r="E374">
            <v>13671</v>
          </cell>
          <cell r="F374">
            <v>13671</v>
          </cell>
          <cell r="G374">
            <v>13671</v>
          </cell>
          <cell r="H374">
            <v>13671</v>
          </cell>
          <cell r="I374">
            <v>13671</v>
          </cell>
          <cell r="J374">
            <v>13671</v>
          </cell>
          <cell r="K374">
            <v>13671</v>
          </cell>
          <cell r="L374">
            <v>13671</v>
          </cell>
          <cell r="M374">
            <v>13671</v>
          </cell>
          <cell r="N374">
            <v>13671</v>
          </cell>
          <cell r="O374">
            <v>13671</v>
          </cell>
        </row>
        <row r="377">
          <cell r="D377">
            <v>13671</v>
          </cell>
          <cell r="E377">
            <v>13671</v>
          </cell>
          <cell r="F377">
            <v>13671</v>
          </cell>
          <cell r="G377">
            <v>13671</v>
          </cell>
          <cell r="H377">
            <v>13671</v>
          </cell>
          <cell r="I377">
            <v>13671</v>
          </cell>
          <cell r="J377">
            <v>13671</v>
          </cell>
          <cell r="K377">
            <v>13671</v>
          </cell>
          <cell r="L377">
            <v>13671</v>
          </cell>
          <cell r="M377">
            <v>13671</v>
          </cell>
          <cell r="N377">
            <v>13671</v>
          </cell>
          <cell r="O377">
            <v>13671</v>
          </cell>
        </row>
        <row r="378">
          <cell r="D378">
            <v>13671</v>
          </cell>
          <cell r="E378">
            <v>13671</v>
          </cell>
          <cell r="F378">
            <v>13671</v>
          </cell>
          <cell r="G378">
            <v>13671</v>
          </cell>
          <cell r="H378">
            <v>13671</v>
          </cell>
          <cell r="I378">
            <v>13671</v>
          </cell>
          <cell r="J378">
            <v>13671</v>
          </cell>
          <cell r="K378">
            <v>13671</v>
          </cell>
          <cell r="L378">
            <v>13671</v>
          </cell>
          <cell r="M378">
            <v>13671</v>
          </cell>
          <cell r="N378">
            <v>13671</v>
          </cell>
          <cell r="O378">
            <v>13671</v>
          </cell>
        </row>
        <row r="379">
          <cell r="D379">
            <v>13671</v>
          </cell>
          <cell r="E379">
            <v>13671</v>
          </cell>
          <cell r="F379">
            <v>13671</v>
          </cell>
          <cell r="G379">
            <v>13671</v>
          </cell>
          <cell r="H379">
            <v>13671</v>
          </cell>
          <cell r="I379">
            <v>13671</v>
          </cell>
          <cell r="J379">
            <v>13671</v>
          </cell>
          <cell r="K379">
            <v>13671</v>
          </cell>
          <cell r="L379">
            <v>13671</v>
          </cell>
          <cell r="M379">
            <v>13671</v>
          </cell>
          <cell r="N379">
            <v>13671</v>
          </cell>
          <cell r="O379">
            <v>13671</v>
          </cell>
        </row>
        <row r="383">
          <cell r="D383">
            <v>27871</v>
          </cell>
          <cell r="E383">
            <v>27871</v>
          </cell>
          <cell r="F383">
            <v>27871</v>
          </cell>
          <cell r="G383">
            <v>27871</v>
          </cell>
          <cell r="H383">
            <v>27871</v>
          </cell>
          <cell r="I383">
            <v>27871</v>
          </cell>
          <cell r="J383">
            <v>27871</v>
          </cell>
          <cell r="K383">
            <v>27871</v>
          </cell>
          <cell r="L383">
            <v>27871</v>
          </cell>
          <cell r="M383">
            <v>27871</v>
          </cell>
          <cell r="N383">
            <v>27871</v>
          </cell>
          <cell r="O383">
            <v>27871</v>
          </cell>
        </row>
        <row r="384">
          <cell r="D384">
            <v>27871</v>
          </cell>
          <cell r="E384">
            <v>27871</v>
          </cell>
          <cell r="F384">
            <v>27871</v>
          </cell>
          <cell r="G384">
            <v>27871</v>
          </cell>
          <cell r="H384">
            <v>27871</v>
          </cell>
          <cell r="I384">
            <v>27871</v>
          </cell>
          <cell r="J384">
            <v>27871</v>
          </cell>
          <cell r="K384">
            <v>27871</v>
          </cell>
          <cell r="L384">
            <v>27871</v>
          </cell>
          <cell r="M384">
            <v>27871</v>
          </cell>
          <cell r="N384">
            <v>27871</v>
          </cell>
          <cell r="O384">
            <v>27871</v>
          </cell>
        </row>
        <row r="385">
          <cell r="D385" t="e">
            <v>#REF!</v>
          </cell>
          <cell r="E385">
            <v>27871</v>
          </cell>
          <cell r="F385">
            <v>27871</v>
          </cell>
          <cell r="G385">
            <v>27871</v>
          </cell>
          <cell r="H385">
            <v>27871</v>
          </cell>
          <cell r="I385">
            <v>27871</v>
          </cell>
          <cell r="J385">
            <v>27871</v>
          </cell>
          <cell r="K385">
            <v>27871</v>
          </cell>
          <cell r="L385">
            <v>27871</v>
          </cell>
          <cell r="M385">
            <v>27871</v>
          </cell>
          <cell r="N385">
            <v>27871</v>
          </cell>
          <cell r="O385">
            <v>27871</v>
          </cell>
        </row>
        <row r="389">
          <cell r="D389">
            <v>101072</v>
          </cell>
          <cell r="E389">
            <v>101072</v>
          </cell>
          <cell r="F389">
            <v>101072</v>
          </cell>
          <cell r="G389">
            <v>101072</v>
          </cell>
          <cell r="H389">
            <v>101072</v>
          </cell>
          <cell r="I389">
            <v>101072</v>
          </cell>
          <cell r="J389">
            <v>101072</v>
          </cell>
          <cell r="K389">
            <v>101072</v>
          </cell>
          <cell r="L389">
            <v>101072</v>
          </cell>
          <cell r="M389">
            <v>101072</v>
          </cell>
          <cell r="N389">
            <v>101072</v>
          </cell>
          <cell r="O389">
            <v>101072</v>
          </cell>
        </row>
        <row r="390">
          <cell r="D390">
            <v>101072</v>
          </cell>
          <cell r="E390">
            <v>101072</v>
          </cell>
          <cell r="F390">
            <v>101072</v>
          </cell>
          <cell r="G390">
            <v>101072</v>
          </cell>
          <cell r="H390">
            <v>101072</v>
          </cell>
          <cell r="I390">
            <v>101072</v>
          </cell>
          <cell r="J390">
            <v>101072</v>
          </cell>
          <cell r="K390">
            <v>101072</v>
          </cell>
          <cell r="L390">
            <v>101072</v>
          </cell>
          <cell r="M390">
            <v>101072</v>
          </cell>
          <cell r="N390">
            <v>101072</v>
          </cell>
          <cell r="O390">
            <v>101072</v>
          </cell>
        </row>
        <row r="391">
          <cell r="D391">
            <v>19874</v>
          </cell>
          <cell r="E391">
            <v>19874</v>
          </cell>
          <cell r="F391">
            <v>19874</v>
          </cell>
          <cell r="G391">
            <v>19874</v>
          </cell>
          <cell r="H391">
            <v>19874</v>
          </cell>
          <cell r="I391">
            <v>19874</v>
          </cell>
          <cell r="J391">
            <v>19874</v>
          </cell>
          <cell r="K391">
            <v>19874</v>
          </cell>
          <cell r="L391">
            <v>19874</v>
          </cell>
          <cell r="M391">
            <v>19874</v>
          </cell>
          <cell r="N391">
            <v>19874</v>
          </cell>
          <cell r="O391">
            <v>19874</v>
          </cell>
        </row>
        <row r="395">
          <cell r="D395">
            <v>19874</v>
          </cell>
          <cell r="E395">
            <v>19874</v>
          </cell>
          <cell r="F395">
            <v>19874</v>
          </cell>
          <cell r="G395">
            <v>19874</v>
          </cell>
          <cell r="H395">
            <v>19874</v>
          </cell>
          <cell r="I395">
            <v>19874</v>
          </cell>
          <cell r="J395">
            <v>19874</v>
          </cell>
          <cell r="K395">
            <v>19874</v>
          </cell>
          <cell r="L395">
            <v>19874</v>
          </cell>
          <cell r="M395">
            <v>19874</v>
          </cell>
          <cell r="N395">
            <v>19874</v>
          </cell>
          <cell r="O395">
            <v>19874</v>
          </cell>
        </row>
        <row r="396">
          <cell r="D396">
            <v>19874</v>
          </cell>
          <cell r="E396">
            <v>19874</v>
          </cell>
          <cell r="F396">
            <v>19874</v>
          </cell>
          <cell r="G396">
            <v>19874</v>
          </cell>
          <cell r="H396">
            <v>19874</v>
          </cell>
          <cell r="I396">
            <v>19874</v>
          </cell>
          <cell r="J396">
            <v>19874</v>
          </cell>
          <cell r="K396">
            <v>19874</v>
          </cell>
          <cell r="L396">
            <v>19874</v>
          </cell>
          <cell r="M396">
            <v>19874</v>
          </cell>
          <cell r="N396">
            <v>19874</v>
          </cell>
          <cell r="O396">
            <v>19874</v>
          </cell>
        </row>
        <row r="397">
          <cell r="D397" t="e">
            <v>#REF!</v>
          </cell>
          <cell r="E397">
            <v>19874</v>
          </cell>
          <cell r="F397">
            <v>19874</v>
          </cell>
          <cell r="G397">
            <v>19874</v>
          </cell>
          <cell r="H397">
            <v>19874</v>
          </cell>
          <cell r="I397">
            <v>19874</v>
          </cell>
          <cell r="J397">
            <v>19874</v>
          </cell>
          <cell r="K397">
            <v>19874</v>
          </cell>
          <cell r="L397">
            <v>19874</v>
          </cell>
          <cell r="M397">
            <v>19874</v>
          </cell>
          <cell r="N397">
            <v>19874</v>
          </cell>
          <cell r="O397">
            <v>19874</v>
          </cell>
        </row>
        <row r="401">
          <cell r="D401">
            <v>19874</v>
          </cell>
          <cell r="E401">
            <v>19874</v>
          </cell>
          <cell r="F401">
            <v>19874</v>
          </cell>
          <cell r="G401">
            <v>19874</v>
          </cell>
          <cell r="H401">
            <v>19874</v>
          </cell>
          <cell r="I401">
            <v>19874</v>
          </cell>
          <cell r="J401">
            <v>19874</v>
          </cell>
          <cell r="K401">
            <v>19874</v>
          </cell>
          <cell r="L401">
            <v>19874</v>
          </cell>
          <cell r="M401">
            <v>19874</v>
          </cell>
          <cell r="N401">
            <v>19874</v>
          </cell>
          <cell r="O401">
            <v>19874</v>
          </cell>
        </row>
        <row r="402">
          <cell r="D402">
            <v>19874</v>
          </cell>
          <cell r="E402">
            <v>19874</v>
          </cell>
          <cell r="F402">
            <v>19874</v>
          </cell>
          <cell r="G402">
            <v>19874</v>
          </cell>
          <cell r="H402">
            <v>19874</v>
          </cell>
          <cell r="I402">
            <v>19874</v>
          </cell>
          <cell r="J402">
            <v>19874</v>
          </cell>
          <cell r="K402">
            <v>19874</v>
          </cell>
          <cell r="L402">
            <v>19874</v>
          </cell>
          <cell r="M402">
            <v>19874</v>
          </cell>
          <cell r="N402">
            <v>19874</v>
          </cell>
          <cell r="O402">
            <v>19874</v>
          </cell>
        </row>
        <row r="403">
          <cell r="D403">
            <v>19874</v>
          </cell>
          <cell r="E403">
            <v>19874</v>
          </cell>
          <cell r="F403">
            <v>19874</v>
          </cell>
          <cell r="G403">
            <v>19874</v>
          </cell>
          <cell r="H403">
            <v>19874</v>
          </cell>
          <cell r="I403">
            <v>19874</v>
          </cell>
          <cell r="J403">
            <v>19874</v>
          </cell>
          <cell r="K403">
            <v>19874</v>
          </cell>
          <cell r="L403">
            <v>19874</v>
          </cell>
          <cell r="M403">
            <v>19874</v>
          </cell>
          <cell r="N403">
            <v>19874</v>
          </cell>
          <cell r="O403">
            <v>19874</v>
          </cell>
        </row>
        <row r="427">
          <cell r="D427">
            <v>19874</v>
          </cell>
          <cell r="E427">
            <v>19874</v>
          </cell>
          <cell r="F427">
            <v>19874</v>
          </cell>
          <cell r="G427">
            <v>19874</v>
          </cell>
          <cell r="H427">
            <v>19874</v>
          </cell>
          <cell r="I427">
            <v>19874</v>
          </cell>
          <cell r="J427">
            <v>19874</v>
          </cell>
          <cell r="K427">
            <v>19874</v>
          </cell>
          <cell r="L427">
            <v>19874</v>
          </cell>
          <cell r="M427">
            <v>19874</v>
          </cell>
          <cell r="N427">
            <v>19874</v>
          </cell>
          <cell r="O427">
            <v>19874</v>
          </cell>
        </row>
        <row r="428">
          <cell r="D428">
            <v>19874</v>
          </cell>
          <cell r="E428">
            <v>19874</v>
          </cell>
          <cell r="F428">
            <v>19874</v>
          </cell>
          <cell r="G428">
            <v>19874</v>
          </cell>
          <cell r="H428">
            <v>19874</v>
          </cell>
          <cell r="I428">
            <v>19874</v>
          </cell>
          <cell r="J428">
            <v>19874</v>
          </cell>
          <cell r="K428">
            <v>19874</v>
          </cell>
          <cell r="L428">
            <v>19874</v>
          </cell>
          <cell r="M428">
            <v>19874</v>
          </cell>
          <cell r="N428">
            <v>19874</v>
          </cell>
          <cell r="O428">
            <v>19874</v>
          </cell>
        </row>
        <row r="429">
          <cell r="D429">
            <v>19874</v>
          </cell>
          <cell r="E429">
            <v>19874</v>
          </cell>
          <cell r="F429">
            <v>19874</v>
          </cell>
          <cell r="G429">
            <v>19874</v>
          </cell>
          <cell r="H429">
            <v>19874</v>
          </cell>
          <cell r="I429">
            <v>19874</v>
          </cell>
          <cell r="J429">
            <v>19874</v>
          </cell>
          <cell r="K429">
            <v>19874</v>
          </cell>
          <cell r="L429">
            <v>19874</v>
          </cell>
          <cell r="M429">
            <v>19874</v>
          </cell>
          <cell r="N429">
            <v>19874</v>
          </cell>
          <cell r="O429">
            <v>19874</v>
          </cell>
        </row>
        <row r="433">
          <cell r="D433">
            <v>19874</v>
          </cell>
          <cell r="E433">
            <v>19874</v>
          </cell>
          <cell r="F433">
            <v>19874</v>
          </cell>
          <cell r="G433">
            <v>19874</v>
          </cell>
          <cell r="H433">
            <v>19874</v>
          </cell>
          <cell r="I433">
            <v>19874</v>
          </cell>
          <cell r="J433">
            <v>19874</v>
          </cell>
          <cell r="K433">
            <v>19874</v>
          </cell>
          <cell r="L433">
            <v>19874</v>
          </cell>
          <cell r="M433">
            <v>19874</v>
          </cell>
          <cell r="N433">
            <v>19874</v>
          </cell>
          <cell r="O433">
            <v>19874</v>
          </cell>
        </row>
        <row r="434">
          <cell r="D434">
            <v>19874</v>
          </cell>
          <cell r="E434">
            <v>19874</v>
          </cell>
          <cell r="F434">
            <v>19874</v>
          </cell>
          <cell r="G434">
            <v>19874</v>
          </cell>
          <cell r="H434">
            <v>19874</v>
          </cell>
          <cell r="I434">
            <v>19874</v>
          </cell>
          <cell r="J434">
            <v>19874</v>
          </cell>
          <cell r="K434">
            <v>19874</v>
          </cell>
          <cell r="L434">
            <v>19874</v>
          </cell>
          <cell r="M434">
            <v>19874</v>
          </cell>
          <cell r="N434">
            <v>19874</v>
          </cell>
          <cell r="O434">
            <v>19874</v>
          </cell>
        </row>
        <row r="435">
          <cell r="D435">
            <v>19874</v>
          </cell>
          <cell r="E435">
            <v>19874</v>
          </cell>
          <cell r="F435">
            <v>19874</v>
          </cell>
          <cell r="G435">
            <v>19874</v>
          </cell>
          <cell r="H435">
            <v>19874</v>
          </cell>
          <cell r="I435">
            <v>19874</v>
          </cell>
          <cell r="J435">
            <v>19874</v>
          </cell>
          <cell r="K435">
            <v>19874</v>
          </cell>
          <cell r="L435">
            <v>19874</v>
          </cell>
          <cell r="M435">
            <v>19874</v>
          </cell>
          <cell r="N435">
            <v>19874</v>
          </cell>
          <cell r="O435">
            <v>19874</v>
          </cell>
        </row>
        <row r="439">
          <cell r="D439">
            <v>19874</v>
          </cell>
          <cell r="E439">
            <v>19874</v>
          </cell>
          <cell r="F439">
            <v>19874</v>
          </cell>
          <cell r="G439">
            <v>19874</v>
          </cell>
          <cell r="H439">
            <v>19874</v>
          </cell>
          <cell r="I439">
            <v>19874</v>
          </cell>
          <cell r="J439">
            <v>19874</v>
          </cell>
          <cell r="K439">
            <v>19874</v>
          </cell>
          <cell r="L439">
            <v>19874</v>
          </cell>
          <cell r="M439">
            <v>19874</v>
          </cell>
          <cell r="N439">
            <v>19874</v>
          </cell>
          <cell r="O439">
            <v>19874</v>
          </cell>
        </row>
        <row r="440">
          <cell r="D440">
            <v>19874</v>
          </cell>
          <cell r="E440">
            <v>19874</v>
          </cell>
          <cell r="F440">
            <v>19874</v>
          </cell>
          <cell r="G440">
            <v>19874</v>
          </cell>
          <cell r="H440">
            <v>19874</v>
          </cell>
          <cell r="I440">
            <v>19874</v>
          </cell>
          <cell r="J440">
            <v>19874</v>
          </cell>
          <cell r="K440">
            <v>19874</v>
          </cell>
          <cell r="L440">
            <v>19874</v>
          </cell>
          <cell r="M440">
            <v>19874</v>
          </cell>
          <cell r="N440">
            <v>19874</v>
          </cell>
          <cell r="O440">
            <v>19874</v>
          </cell>
        </row>
        <row r="441">
          <cell r="D441">
            <v>19874</v>
          </cell>
          <cell r="E441">
            <v>19874</v>
          </cell>
          <cell r="F441">
            <v>19874</v>
          </cell>
          <cell r="G441">
            <v>19874</v>
          </cell>
          <cell r="H441">
            <v>19874</v>
          </cell>
          <cell r="I441">
            <v>19874</v>
          </cell>
          <cell r="J441">
            <v>19874</v>
          </cell>
          <cell r="K441">
            <v>19874</v>
          </cell>
          <cell r="L441">
            <v>19874</v>
          </cell>
          <cell r="M441">
            <v>19874</v>
          </cell>
          <cell r="N441">
            <v>19874</v>
          </cell>
          <cell r="O441">
            <v>19874</v>
          </cell>
        </row>
        <row r="445">
          <cell r="D445">
            <v>19874</v>
          </cell>
          <cell r="E445">
            <v>19874</v>
          </cell>
          <cell r="F445">
            <v>19874</v>
          </cell>
          <cell r="G445">
            <v>19874</v>
          </cell>
          <cell r="H445">
            <v>19874</v>
          </cell>
          <cell r="I445">
            <v>19874</v>
          </cell>
          <cell r="J445">
            <v>19874</v>
          </cell>
          <cell r="K445">
            <v>19874</v>
          </cell>
          <cell r="L445">
            <v>19874</v>
          </cell>
          <cell r="M445">
            <v>19874</v>
          </cell>
          <cell r="N445">
            <v>19874</v>
          </cell>
          <cell r="O445">
            <v>19874</v>
          </cell>
        </row>
        <row r="446">
          <cell r="D446">
            <v>19874</v>
          </cell>
          <cell r="E446">
            <v>19874</v>
          </cell>
          <cell r="F446">
            <v>19874</v>
          </cell>
          <cell r="G446">
            <v>19874</v>
          </cell>
          <cell r="H446">
            <v>19874</v>
          </cell>
          <cell r="I446">
            <v>19874</v>
          </cell>
          <cell r="J446">
            <v>19874</v>
          </cell>
          <cell r="K446">
            <v>19874</v>
          </cell>
          <cell r="L446">
            <v>19874</v>
          </cell>
          <cell r="M446">
            <v>19874</v>
          </cell>
          <cell r="N446">
            <v>19874</v>
          </cell>
          <cell r="O446">
            <v>19874</v>
          </cell>
        </row>
        <row r="447">
          <cell r="D447">
            <v>19874</v>
          </cell>
          <cell r="E447">
            <v>19874</v>
          </cell>
          <cell r="F447">
            <v>19874</v>
          </cell>
          <cell r="G447">
            <v>19874</v>
          </cell>
          <cell r="H447">
            <v>19874</v>
          </cell>
          <cell r="I447">
            <v>19874</v>
          </cell>
          <cell r="J447">
            <v>19874</v>
          </cell>
          <cell r="K447">
            <v>19874</v>
          </cell>
          <cell r="L447">
            <v>19874</v>
          </cell>
          <cell r="M447">
            <v>19874</v>
          </cell>
          <cell r="N447">
            <v>19874</v>
          </cell>
          <cell r="O447">
            <v>19874</v>
          </cell>
        </row>
        <row r="450">
          <cell r="D450">
            <v>19874</v>
          </cell>
        </row>
        <row r="451">
          <cell r="D451">
            <v>19874</v>
          </cell>
          <cell r="E451">
            <v>19874</v>
          </cell>
          <cell r="F451">
            <v>19874</v>
          </cell>
          <cell r="G451">
            <v>19874</v>
          </cell>
          <cell r="H451">
            <v>19874</v>
          </cell>
          <cell r="I451">
            <v>19874</v>
          </cell>
          <cell r="J451">
            <v>19874</v>
          </cell>
          <cell r="K451">
            <v>19874</v>
          </cell>
          <cell r="L451">
            <v>19874</v>
          </cell>
          <cell r="M451">
            <v>19874</v>
          </cell>
          <cell r="N451">
            <v>19874</v>
          </cell>
          <cell r="O451">
            <v>19874</v>
          </cell>
        </row>
        <row r="452">
          <cell r="D452">
            <v>19874</v>
          </cell>
          <cell r="E452">
            <v>19874</v>
          </cell>
          <cell r="F452">
            <v>19874</v>
          </cell>
          <cell r="G452">
            <v>19874</v>
          </cell>
          <cell r="H452">
            <v>19874</v>
          </cell>
          <cell r="I452">
            <v>19874</v>
          </cell>
          <cell r="J452">
            <v>19874</v>
          </cell>
          <cell r="K452">
            <v>19874</v>
          </cell>
          <cell r="L452">
            <v>19874</v>
          </cell>
          <cell r="M452">
            <v>19874</v>
          </cell>
          <cell r="N452">
            <v>19874</v>
          </cell>
          <cell r="O452">
            <v>19874</v>
          </cell>
        </row>
        <row r="453">
          <cell r="D453">
            <v>19874</v>
          </cell>
          <cell r="E453">
            <v>19874</v>
          </cell>
          <cell r="F453">
            <v>19874</v>
          </cell>
          <cell r="G453">
            <v>19874</v>
          </cell>
          <cell r="H453">
            <v>19874</v>
          </cell>
          <cell r="I453">
            <v>19874</v>
          </cell>
          <cell r="J453">
            <v>19874</v>
          </cell>
          <cell r="K453">
            <v>19874</v>
          </cell>
          <cell r="L453">
            <v>19874</v>
          </cell>
          <cell r="M453">
            <v>19874</v>
          </cell>
          <cell r="N453">
            <v>19874</v>
          </cell>
          <cell r="O453">
            <v>19874</v>
          </cell>
        </row>
        <row r="454">
          <cell r="D454">
            <v>19874</v>
          </cell>
          <cell r="E454">
            <v>19874</v>
          </cell>
          <cell r="F454">
            <v>19874</v>
          </cell>
          <cell r="G454">
            <v>19874</v>
          </cell>
          <cell r="H454">
            <v>19874</v>
          </cell>
          <cell r="I454">
            <v>19874</v>
          </cell>
          <cell r="J454">
            <v>19874</v>
          </cell>
          <cell r="K454">
            <v>19874</v>
          </cell>
          <cell r="L454">
            <v>19874</v>
          </cell>
          <cell r="M454">
            <v>19874</v>
          </cell>
          <cell r="N454">
            <v>19874</v>
          </cell>
          <cell r="O454">
            <v>19874</v>
          </cell>
        </row>
        <row r="459">
          <cell r="D459">
            <v>19874</v>
          </cell>
          <cell r="E459">
            <v>19874</v>
          </cell>
          <cell r="F459">
            <v>19874</v>
          </cell>
          <cell r="G459">
            <v>19874</v>
          </cell>
          <cell r="H459">
            <v>19874</v>
          </cell>
          <cell r="I459">
            <v>19874</v>
          </cell>
          <cell r="J459">
            <v>19874</v>
          </cell>
          <cell r="K459">
            <v>19874</v>
          </cell>
          <cell r="L459">
            <v>19874</v>
          </cell>
          <cell r="M459">
            <v>19874</v>
          </cell>
          <cell r="N459">
            <v>19874</v>
          </cell>
          <cell r="O459">
            <v>19874</v>
          </cell>
        </row>
        <row r="460">
          <cell r="D460">
            <v>19874</v>
          </cell>
          <cell r="E460">
            <v>19874</v>
          </cell>
          <cell r="F460">
            <v>19874</v>
          </cell>
          <cell r="G460">
            <v>19874</v>
          </cell>
          <cell r="H460">
            <v>19874</v>
          </cell>
          <cell r="I460">
            <v>19874</v>
          </cell>
          <cell r="J460">
            <v>19874</v>
          </cell>
          <cell r="K460">
            <v>19874</v>
          </cell>
          <cell r="L460">
            <v>19874</v>
          </cell>
          <cell r="M460">
            <v>19874</v>
          </cell>
          <cell r="N460">
            <v>19874</v>
          </cell>
          <cell r="O460">
            <v>19874</v>
          </cell>
        </row>
        <row r="461">
          <cell r="D461">
            <v>19874</v>
          </cell>
          <cell r="E461">
            <v>19874</v>
          </cell>
          <cell r="F461">
            <v>19874</v>
          </cell>
          <cell r="G461">
            <v>19874</v>
          </cell>
          <cell r="H461">
            <v>19874</v>
          </cell>
          <cell r="I461">
            <v>19874</v>
          </cell>
          <cell r="J461">
            <v>19874</v>
          </cell>
          <cell r="K461">
            <v>19874</v>
          </cell>
          <cell r="L461">
            <v>19874</v>
          </cell>
          <cell r="M461">
            <v>19874</v>
          </cell>
          <cell r="N461">
            <v>19874</v>
          </cell>
          <cell r="O461">
            <v>19874</v>
          </cell>
        </row>
        <row r="465">
          <cell r="D465">
            <v>19874</v>
          </cell>
          <cell r="E465">
            <v>19874</v>
          </cell>
          <cell r="F465">
            <v>19874</v>
          </cell>
          <cell r="G465">
            <v>19874</v>
          </cell>
          <cell r="H465">
            <v>19874</v>
          </cell>
          <cell r="I465">
            <v>19874</v>
          </cell>
          <cell r="J465">
            <v>19874</v>
          </cell>
          <cell r="K465">
            <v>19874</v>
          </cell>
          <cell r="L465">
            <v>19874</v>
          </cell>
          <cell r="M465">
            <v>19874</v>
          </cell>
          <cell r="N465">
            <v>19874</v>
          </cell>
          <cell r="O465">
            <v>19874</v>
          </cell>
        </row>
        <row r="466">
          <cell r="D466">
            <v>19874</v>
          </cell>
          <cell r="E466">
            <v>19874</v>
          </cell>
          <cell r="F466">
            <v>19874</v>
          </cell>
          <cell r="G466">
            <v>19874</v>
          </cell>
          <cell r="H466">
            <v>19874</v>
          </cell>
          <cell r="I466">
            <v>19874</v>
          </cell>
          <cell r="J466">
            <v>19874</v>
          </cell>
          <cell r="K466">
            <v>19874</v>
          </cell>
          <cell r="L466">
            <v>19874</v>
          </cell>
          <cell r="M466">
            <v>19874</v>
          </cell>
          <cell r="N466">
            <v>19874</v>
          </cell>
          <cell r="O466">
            <v>19874</v>
          </cell>
        </row>
        <row r="467">
          <cell r="D467">
            <v>19874</v>
          </cell>
          <cell r="E467">
            <v>19874</v>
          </cell>
          <cell r="F467">
            <v>19874</v>
          </cell>
          <cell r="G467">
            <v>19874</v>
          </cell>
          <cell r="H467">
            <v>19874</v>
          </cell>
          <cell r="I467">
            <v>19874</v>
          </cell>
          <cell r="J467">
            <v>19874</v>
          </cell>
          <cell r="K467">
            <v>19874</v>
          </cell>
          <cell r="L467">
            <v>19874</v>
          </cell>
          <cell r="M467">
            <v>19874</v>
          </cell>
          <cell r="N467">
            <v>19874</v>
          </cell>
          <cell r="O467">
            <v>19874</v>
          </cell>
        </row>
        <row r="471">
          <cell r="D471">
            <v>19874</v>
          </cell>
          <cell r="E471">
            <v>19874</v>
          </cell>
          <cell r="F471">
            <v>19874</v>
          </cell>
          <cell r="G471">
            <v>19874</v>
          </cell>
          <cell r="H471">
            <v>19874</v>
          </cell>
          <cell r="I471">
            <v>19874</v>
          </cell>
          <cell r="J471">
            <v>19874</v>
          </cell>
          <cell r="K471">
            <v>19874</v>
          </cell>
          <cell r="L471">
            <v>19874</v>
          </cell>
          <cell r="M471">
            <v>19874</v>
          </cell>
          <cell r="N471">
            <v>19874</v>
          </cell>
          <cell r="O471">
            <v>19874</v>
          </cell>
        </row>
        <row r="472">
          <cell r="D472">
            <v>19874</v>
          </cell>
          <cell r="E472">
            <v>19874</v>
          </cell>
          <cell r="F472">
            <v>19874</v>
          </cell>
          <cell r="G472">
            <v>19874</v>
          </cell>
          <cell r="H472">
            <v>19874</v>
          </cell>
          <cell r="I472">
            <v>19874</v>
          </cell>
          <cell r="J472">
            <v>19874</v>
          </cell>
          <cell r="K472">
            <v>19874</v>
          </cell>
          <cell r="L472">
            <v>19874</v>
          </cell>
          <cell r="M472">
            <v>19874</v>
          </cell>
          <cell r="N472">
            <v>19874</v>
          </cell>
          <cell r="O472">
            <v>19874</v>
          </cell>
        </row>
        <row r="473">
          <cell r="D473">
            <v>19874</v>
          </cell>
          <cell r="E473">
            <v>19874</v>
          </cell>
          <cell r="F473">
            <v>19874</v>
          </cell>
          <cell r="G473">
            <v>19874</v>
          </cell>
          <cell r="H473">
            <v>19874</v>
          </cell>
          <cell r="I473">
            <v>19874</v>
          </cell>
          <cell r="J473">
            <v>19874</v>
          </cell>
          <cell r="K473">
            <v>19874</v>
          </cell>
          <cell r="L473">
            <v>19874</v>
          </cell>
          <cell r="M473">
            <v>19874</v>
          </cell>
          <cell r="N473">
            <v>19874</v>
          </cell>
          <cell r="O473">
            <v>19874</v>
          </cell>
        </row>
        <row r="477">
          <cell r="D477">
            <v>19874</v>
          </cell>
          <cell r="E477">
            <v>19874</v>
          </cell>
          <cell r="F477">
            <v>19874</v>
          </cell>
          <cell r="G477">
            <v>19874</v>
          </cell>
          <cell r="H477">
            <v>19874</v>
          </cell>
          <cell r="I477">
            <v>19874</v>
          </cell>
          <cell r="J477">
            <v>19874</v>
          </cell>
          <cell r="K477">
            <v>19874</v>
          </cell>
          <cell r="L477">
            <v>19874</v>
          </cell>
          <cell r="M477">
            <v>19874</v>
          </cell>
          <cell r="N477">
            <v>19874</v>
          </cell>
          <cell r="O477">
            <v>19874</v>
          </cell>
        </row>
        <row r="478">
          <cell r="D478">
            <v>19874</v>
          </cell>
          <cell r="E478">
            <v>19874</v>
          </cell>
          <cell r="F478">
            <v>19874</v>
          </cell>
          <cell r="G478">
            <v>19874</v>
          </cell>
          <cell r="H478">
            <v>19874</v>
          </cell>
          <cell r="I478">
            <v>19874</v>
          </cell>
          <cell r="J478">
            <v>19874</v>
          </cell>
          <cell r="K478">
            <v>19874</v>
          </cell>
          <cell r="L478">
            <v>19874</v>
          </cell>
          <cell r="M478">
            <v>19874</v>
          </cell>
          <cell r="N478">
            <v>19874</v>
          </cell>
          <cell r="O478">
            <v>19874</v>
          </cell>
        </row>
        <row r="479">
          <cell r="D479">
            <v>19874</v>
          </cell>
          <cell r="E479">
            <v>19874</v>
          </cell>
          <cell r="F479">
            <v>19874</v>
          </cell>
          <cell r="G479">
            <v>19874</v>
          </cell>
          <cell r="H479">
            <v>19874</v>
          </cell>
          <cell r="I479">
            <v>19874</v>
          </cell>
          <cell r="J479">
            <v>19874</v>
          </cell>
          <cell r="K479">
            <v>19874</v>
          </cell>
          <cell r="L479">
            <v>19874</v>
          </cell>
          <cell r="M479">
            <v>19874</v>
          </cell>
          <cell r="N479">
            <v>19874</v>
          </cell>
          <cell r="O479">
            <v>19874</v>
          </cell>
        </row>
        <row r="483">
          <cell r="D483">
            <v>10362</v>
          </cell>
          <cell r="E483">
            <v>10362</v>
          </cell>
          <cell r="F483">
            <v>10362</v>
          </cell>
          <cell r="G483">
            <v>10362</v>
          </cell>
          <cell r="H483">
            <v>10362</v>
          </cell>
          <cell r="I483">
            <v>10362</v>
          </cell>
          <cell r="J483">
            <v>10362</v>
          </cell>
          <cell r="K483">
            <v>10362</v>
          </cell>
          <cell r="L483">
            <v>10362</v>
          </cell>
          <cell r="M483">
            <v>10362</v>
          </cell>
          <cell r="N483">
            <v>10362</v>
          </cell>
          <cell r="O483">
            <v>10362</v>
          </cell>
        </row>
        <row r="484">
          <cell r="D484">
            <v>10362</v>
          </cell>
          <cell r="E484">
            <v>10362</v>
          </cell>
          <cell r="F484">
            <v>10362</v>
          </cell>
          <cell r="G484">
            <v>10362</v>
          </cell>
          <cell r="H484">
            <v>10362</v>
          </cell>
          <cell r="I484">
            <v>10362</v>
          </cell>
          <cell r="J484">
            <v>10362</v>
          </cell>
          <cell r="K484">
            <v>10362</v>
          </cell>
          <cell r="L484">
            <v>10362</v>
          </cell>
          <cell r="M484">
            <v>10362</v>
          </cell>
          <cell r="N484">
            <v>10362</v>
          </cell>
          <cell r="O484">
            <v>10362</v>
          </cell>
        </row>
        <row r="485">
          <cell r="D485">
            <v>10362</v>
          </cell>
          <cell r="E485">
            <v>10362</v>
          </cell>
          <cell r="F485">
            <v>10362</v>
          </cell>
          <cell r="G485">
            <v>10362</v>
          </cell>
          <cell r="H485">
            <v>10362</v>
          </cell>
          <cell r="I485">
            <v>10362</v>
          </cell>
          <cell r="J485">
            <v>10362</v>
          </cell>
          <cell r="K485">
            <v>10362</v>
          </cell>
          <cell r="L485">
            <v>10362</v>
          </cell>
          <cell r="M485">
            <v>10362</v>
          </cell>
          <cell r="N485">
            <v>10362</v>
          </cell>
          <cell r="O485">
            <v>10362</v>
          </cell>
        </row>
        <row r="509">
          <cell r="D509">
            <v>10362</v>
          </cell>
          <cell r="E509">
            <v>10362</v>
          </cell>
          <cell r="F509">
            <v>10362</v>
          </cell>
          <cell r="G509">
            <v>10362</v>
          </cell>
          <cell r="H509">
            <v>10362</v>
          </cell>
          <cell r="I509">
            <v>10362</v>
          </cell>
          <cell r="J509">
            <v>10362</v>
          </cell>
          <cell r="K509">
            <v>10362</v>
          </cell>
          <cell r="L509">
            <v>10362</v>
          </cell>
          <cell r="M509">
            <v>10362</v>
          </cell>
          <cell r="N509">
            <v>10362</v>
          </cell>
          <cell r="O509">
            <v>10362</v>
          </cell>
        </row>
        <row r="510">
          <cell r="D510">
            <v>2.5</v>
          </cell>
          <cell r="E510">
            <v>2.5</v>
          </cell>
          <cell r="F510">
            <v>2.5</v>
          </cell>
          <cell r="G510">
            <v>2.5</v>
          </cell>
          <cell r="H510">
            <v>2.5</v>
          </cell>
          <cell r="I510">
            <v>2.5</v>
          </cell>
          <cell r="J510">
            <v>2.5</v>
          </cell>
          <cell r="K510">
            <v>2.5</v>
          </cell>
          <cell r="L510">
            <v>2.5</v>
          </cell>
          <cell r="M510">
            <v>2.5</v>
          </cell>
          <cell r="N510">
            <v>2.5</v>
          </cell>
          <cell r="O510">
            <v>2.5</v>
          </cell>
        </row>
        <row r="513">
          <cell r="D513">
            <v>3</v>
          </cell>
          <cell r="E513">
            <v>3</v>
          </cell>
          <cell r="F513">
            <v>3</v>
          </cell>
          <cell r="G513">
            <v>3</v>
          </cell>
          <cell r="H513">
            <v>3</v>
          </cell>
          <cell r="I513">
            <v>3</v>
          </cell>
          <cell r="J513">
            <v>3</v>
          </cell>
          <cell r="K513">
            <v>3</v>
          </cell>
          <cell r="L513">
            <v>3</v>
          </cell>
          <cell r="M513">
            <v>3</v>
          </cell>
          <cell r="N513">
            <v>3</v>
          </cell>
          <cell r="O513">
            <v>3</v>
          </cell>
        </row>
        <row r="514">
          <cell r="D514">
            <v>5</v>
          </cell>
          <cell r="E514">
            <v>5</v>
          </cell>
          <cell r="F514">
            <v>5</v>
          </cell>
          <cell r="G514">
            <v>5</v>
          </cell>
          <cell r="H514">
            <v>5</v>
          </cell>
          <cell r="I514">
            <v>5</v>
          </cell>
          <cell r="J514">
            <v>5</v>
          </cell>
          <cell r="K514">
            <v>5</v>
          </cell>
          <cell r="L514">
            <v>5</v>
          </cell>
          <cell r="M514">
            <v>5</v>
          </cell>
          <cell r="N514">
            <v>5</v>
          </cell>
          <cell r="O514">
            <v>5</v>
          </cell>
        </row>
        <row r="517">
          <cell r="D517">
            <v>5</v>
          </cell>
          <cell r="E517">
            <v>5</v>
          </cell>
          <cell r="F517">
            <v>5</v>
          </cell>
          <cell r="G517">
            <v>5</v>
          </cell>
          <cell r="H517">
            <v>5</v>
          </cell>
          <cell r="I517">
            <v>5</v>
          </cell>
          <cell r="J517">
            <v>5</v>
          </cell>
          <cell r="K517">
            <v>5</v>
          </cell>
          <cell r="L517">
            <v>5</v>
          </cell>
          <cell r="M517">
            <v>5</v>
          </cell>
          <cell r="N517">
            <v>5</v>
          </cell>
          <cell r="O517">
            <v>5</v>
          </cell>
        </row>
        <row r="518">
          <cell r="D518">
            <v>5</v>
          </cell>
          <cell r="E518">
            <v>5</v>
          </cell>
          <cell r="F518">
            <v>5</v>
          </cell>
          <cell r="G518">
            <v>5</v>
          </cell>
          <cell r="H518">
            <v>5</v>
          </cell>
          <cell r="I518">
            <v>5</v>
          </cell>
          <cell r="J518">
            <v>5</v>
          </cell>
          <cell r="K518">
            <v>5</v>
          </cell>
          <cell r="L518">
            <v>5</v>
          </cell>
          <cell r="M518">
            <v>5</v>
          </cell>
          <cell r="N518">
            <v>5</v>
          </cell>
          <cell r="O518">
            <v>5</v>
          </cell>
        </row>
        <row r="522">
          <cell r="D522">
            <v>5</v>
          </cell>
          <cell r="E522">
            <v>5</v>
          </cell>
          <cell r="F522">
            <v>5</v>
          </cell>
          <cell r="G522">
            <v>5</v>
          </cell>
          <cell r="H522">
            <v>5</v>
          </cell>
          <cell r="I522">
            <v>5</v>
          </cell>
          <cell r="J522">
            <v>5</v>
          </cell>
          <cell r="K522">
            <v>5</v>
          </cell>
          <cell r="L522">
            <v>5</v>
          </cell>
          <cell r="M522">
            <v>5</v>
          </cell>
          <cell r="N522">
            <v>5</v>
          </cell>
          <cell r="O522">
            <v>5</v>
          </cell>
        </row>
        <row r="523">
          <cell r="D523">
            <v>5</v>
          </cell>
          <cell r="E523">
            <v>5</v>
          </cell>
          <cell r="F523">
            <v>5</v>
          </cell>
          <cell r="G523">
            <v>5</v>
          </cell>
          <cell r="H523">
            <v>5</v>
          </cell>
          <cell r="I523">
            <v>5</v>
          </cell>
          <cell r="J523">
            <v>5</v>
          </cell>
          <cell r="K523">
            <v>5</v>
          </cell>
          <cell r="L523">
            <v>5</v>
          </cell>
          <cell r="M523">
            <v>5</v>
          </cell>
          <cell r="N523">
            <v>5</v>
          </cell>
          <cell r="O523">
            <v>5</v>
          </cell>
        </row>
        <row r="525">
          <cell r="D525">
            <v>5</v>
          </cell>
          <cell r="E525">
            <v>5</v>
          </cell>
          <cell r="F525">
            <v>5</v>
          </cell>
          <cell r="G525">
            <v>5</v>
          </cell>
          <cell r="H525">
            <v>5</v>
          </cell>
          <cell r="I525">
            <v>5</v>
          </cell>
          <cell r="J525">
            <v>5</v>
          </cell>
          <cell r="K525">
            <v>5</v>
          </cell>
          <cell r="L525">
            <v>5</v>
          </cell>
          <cell r="M525">
            <v>5</v>
          </cell>
          <cell r="N525">
            <v>5</v>
          </cell>
          <cell r="O525">
            <v>5</v>
          </cell>
        </row>
        <row r="526">
          <cell r="D526">
            <v>5</v>
          </cell>
          <cell r="E526">
            <v>5</v>
          </cell>
          <cell r="F526">
            <v>5</v>
          </cell>
          <cell r="G526">
            <v>5</v>
          </cell>
          <cell r="H526">
            <v>5</v>
          </cell>
          <cell r="I526">
            <v>5</v>
          </cell>
          <cell r="J526">
            <v>5</v>
          </cell>
          <cell r="K526">
            <v>5</v>
          </cell>
          <cell r="L526">
            <v>5</v>
          </cell>
          <cell r="M526">
            <v>5</v>
          </cell>
          <cell r="N526">
            <v>5</v>
          </cell>
          <cell r="O526">
            <v>5</v>
          </cell>
        </row>
        <row r="528">
          <cell r="D528">
            <v>5</v>
          </cell>
          <cell r="E528">
            <v>5</v>
          </cell>
          <cell r="F528">
            <v>5</v>
          </cell>
          <cell r="G528">
            <v>5</v>
          </cell>
          <cell r="H528">
            <v>5</v>
          </cell>
          <cell r="I528">
            <v>5</v>
          </cell>
          <cell r="J528">
            <v>5</v>
          </cell>
          <cell r="K528">
            <v>5</v>
          </cell>
          <cell r="L528">
            <v>5</v>
          </cell>
          <cell r="M528">
            <v>5</v>
          </cell>
          <cell r="N528">
            <v>5</v>
          </cell>
          <cell r="O528">
            <v>5</v>
          </cell>
        </row>
        <row r="529">
          <cell r="D529">
            <v>5</v>
          </cell>
          <cell r="E529">
            <v>5</v>
          </cell>
          <cell r="F529">
            <v>5</v>
          </cell>
          <cell r="G529">
            <v>5</v>
          </cell>
          <cell r="H529">
            <v>5</v>
          </cell>
          <cell r="I529">
            <v>5</v>
          </cell>
          <cell r="J529">
            <v>5</v>
          </cell>
          <cell r="K529">
            <v>5</v>
          </cell>
          <cell r="L529">
            <v>5</v>
          </cell>
          <cell r="M529">
            <v>5</v>
          </cell>
          <cell r="N529">
            <v>5</v>
          </cell>
          <cell r="O529">
            <v>5</v>
          </cell>
        </row>
        <row r="531">
          <cell r="D531">
            <v>3.5</v>
          </cell>
          <cell r="E531">
            <v>3.5</v>
          </cell>
          <cell r="F531">
            <v>3.5</v>
          </cell>
          <cell r="G531">
            <v>3.5</v>
          </cell>
          <cell r="H531">
            <v>3.5</v>
          </cell>
          <cell r="I531">
            <v>3.5</v>
          </cell>
          <cell r="J531">
            <v>3.5</v>
          </cell>
          <cell r="K531">
            <v>3.5</v>
          </cell>
          <cell r="L531">
            <v>3.5</v>
          </cell>
          <cell r="M531">
            <v>3.5</v>
          </cell>
          <cell r="N531">
            <v>3.5</v>
          </cell>
          <cell r="O531">
            <v>3.5</v>
          </cell>
        </row>
        <row r="532">
          <cell r="D532">
            <v>8</v>
          </cell>
          <cell r="E532">
            <v>8</v>
          </cell>
          <cell r="F532">
            <v>8</v>
          </cell>
          <cell r="G532">
            <v>8</v>
          </cell>
          <cell r="H532">
            <v>8</v>
          </cell>
          <cell r="I532">
            <v>8</v>
          </cell>
          <cell r="J532">
            <v>8</v>
          </cell>
          <cell r="K532">
            <v>8</v>
          </cell>
          <cell r="L532">
            <v>8</v>
          </cell>
          <cell r="M532">
            <v>8</v>
          </cell>
          <cell r="N532">
            <v>8</v>
          </cell>
          <cell r="O532">
            <v>8</v>
          </cell>
        </row>
        <row r="534">
          <cell r="D534">
            <v>8</v>
          </cell>
          <cell r="E534">
            <v>8</v>
          </cell>
          <cell r="F534">
            <v>8</v>
          </cell>
          <cell r="G534">
            <v>8</v>
          </cell>
          <cell r="H534">
            <v>8</v>
          </cell>
          <cell r="I534">
            <v>8</v>
          </cell>
          <cell r="J534">
            <v>8</v>
          </cell>
          <cell r="K534">
            <v>8</v>
          </cell>
          <cell r="L534">
            <v>8</v>
          </cell>
          <cell r="M534">
            <v>8</v>
          </cell>
          <cell r="N534">
            <v>8</v>
          </cell>
          <cell r="O534">
            <v>8</v>
          </cell>
        </row>
        <row r="535">
          <cell r="D535">
            <v>8</v>
          </cell>
          <cell r="E535">
            <v>8</v>
          </cell>
          <cell r="F535">
            <v>8</v>
          </cell>
          <cell r="G535">
            <v>8</v>
          </cell>
          <cell r="H535">
            <v>8</v>
          </cell>
          <cell r="I535">
            <v>8</v>
          </cell>
          <cell r="J535">
            <v>8</v>
          </cell>
          <cell r="K535">
            <v>8</v>
          </cell>
          <cell r="L535">
            <v>8</v>
          </cell>
          <cell r="M535">
            <v>8</v>
          </cell>
          <cell r="N535">
            <v>8</v>
          </cell>
          <cell r="O535">
            <v>8</v>
          </cell>
        </row>
        <row r="539">
          <cell r="D539">
            <v>8.5</v>
          </cell>
          <cell r="E539">
            <v>8.5</v>
          </cell>
          <cell r="F539">
            <v>8.5</v>
          </cell>
          <cell r="G539">
            <v>8.5</v>
          </cell>
          <cell r="H539">
            <v>8.5</v>
          </cell>
          <cell r="I539">
            <v>8.5</v>
          </cell>
          <cell r="J539">
            <v>8.5</v>
          </cell>
          <cell r="K539">
            <v>8.5</v>
          </cell>
          <cell r="L539">
            <v>8.5</v>
          </cell>
          <cell r="M539">
            <v>8.5</v>
          </cell>
          <cell r="N539">
            <v>8.5</v>
          </cell>
          <cell r="O539">
            <v>8.5</v>
          </cell>
        </row>
        <row r="540">
          <cell r="D540">
            <v>9</v>
          </cell>
          <cell r="E540">
            <v>9</v>
          </cell>
          <cell r="F540">
            <v>9</v>
          </cell>
          <cell r="G540">
            <v>9</v>
          </cell>
          <cell r="H540">
            <v>9</v>
          </cell>
          <cell r="I540">
            <v>9</v>
          </cell>
          <cell r="J540">
            <v>9</v>
          </cell>
          <cell r="K540">
            <v>9</v>
          </cell>
          <cell r="L540">
            <v>9</v>
          </cell>
          <cell r="M540">
            <v>9</v>
          </cell>
          <cell r="N540">
            <v>9</v>
          </cell>
          <cell r="O540">
            <v>9</v>
          </cell>
        </row>
        <row r="542">
          <cell r="D542">
            <v>9</v>
          </cell>
          <cell r="E542">
            <v>9</v>
          </cell>
          <cell r="F542">
            <v>9</v>
          </cell>
          <cell r="G542">
            <v>9</v>
          </cell>
          <cell r="H542">
            <v>9</v>
          </cell>
          <cell r="I542">
            <v>9</v>
          </cell>
          <cell r="J542">
            <v>9</v>
          </cell>
          <cell r="K542">
            <v>9</v>
          </cell>
          <cell r="L542">
            <v>9</v>
          </cell>
          <cell r="M542">
            <v>9</v>
          </cell>
          <cell r="N542">
            <v>9</v>
          </cell>
          <cell r="O542">
            <v>9</v>
          </cell>
        </row>
        <row r="543">
          <cell r="D543">
            <v>14.75</v>
          </cell>
          <cell r="E543">
            <v>14.75</v>
          </cell>
          <cell r="F543">
            <v>14.75</v>
          </cell>
          <cell r="G543">
            <v>14.75</v>
          </cell>
          <cell r="H543">
            <v>14.75</v>
          </cell>
          <cell r="I543">
            <v>14.75</v>
          </cell>
          <cell r="J543">
            <v>14.75</v>
          </cell>
          <cell r="K543">
            <v>14.75</v>
          </cell>
          <cell r="L543">
            <v>14.75</v>
          </cell>
          <cell r="M543">
            <v>14.75</v>
          </cell>
          <cell r="N543">
            <v>14.75</v>
          </cell>
          <cell r="O543">
            <v>14.75</v>
          </cell>
        </row>
        <row r="545">
          <cell r="D545">
            <v>14.75</v>
          </cell>
        </row>
        <row r="546">
          <cell r="D546">
            <v>14.75</v>
          </cell>
        </row>
        <row r="547">
          <cell r="D547">
            <v>14.75</v>
          </cell>
          <cell r="E547">
            <v>14.75</v>
          </cell>
          <cell r="F547">
            <v>14.75</v>
          </cell>
          <cell r="G547">
            <v>14.75</v>
          </cell>
          <cell r="H547">
            <v>14.75</v>
          </cell>
          <cell r="I547">
            <v>14.75</v>
          </cell>
          <cell r="J547">
            <v>14.75</v>
          </cell>
          <cell r="K547">
            <v>14.75</v>
          </cell>
          <cell r="L547">
            <v>14.75</v>
          </cell>
          <cell r="M547">
            <v>14.75</v>
          </cell>
          <cell r="N547">
            <v>14.75</v>
          </cell>
          <cell r="O547">
            <v>14.75</v>
          </cell>
        </row>
        <row r="548">
          <cell r="D548">
            <v>14.75</v>
          </cell>
          <cell r="E548">
            <v>14.75</v>
          </cell>
          <cell r="F548">
            <v>14.75</v>
          </cell>
          <cell r="G548">
            <v>14.75</v>
          </cell>
          <cell r="H548">
            <v>14.75</v>
          </cell>
          <cell r="I548">
            <v>14.75</v>
          </cell>
          <cell r="J548">
            <v>14.75</v>
          </cell>
          <cell r="K548">
            <v>14.75</v>
          </cell>
          <cell r="L548">
            <v>14.75</v>
          </cell>
          <cell r="M548">
            <v>14.75</v>
          </cell>
          <cell r="N548">
            <v>14.75</v>
          </cell>
          <cell r="O548">
            <v>14.75</v>
          </cell>
        </row>
        <row r="549">
          <cell r="D549">
            <v>14.75</v>
          </cell>
        </row>
        <row r="550">
          <cell r="D550">
            <v>14.75</v>
          </cell>
          <cell r="E550">
            <v>14.75</v>
          </cell>
          <cell r="F550">
            <v>14.75</v>
          </cell>
          <cell r="G550">
            <v>14.75</v>
          </cell>
          <cell r="H550">
            <v>14.75</v>
          </cell>
          <cell r="I550">
            <v>14.75</v>
          </cell>
          <cell r="J550">
            <v>14.75</v>
          </cell>
          <cell r="K550">
            <v>14.75</v>
          </cell>
          <cell r="L550">
            <v>14.75</v>
          </cell>
          <cell r="M550">
            <v>14.75</v>
          </cell>
          <cell r="N550">
            <v>14.75</v>
          </cell>
          <cell r="O550">
            <v>14.75</v>
          </cell>
        </row>
        <row r="551">
          <cell r="D551">
            <v>14.75</v>
          </cell>
          <cell r="E551">
            <v>14.75</v>
          </cell>
          <cell r="F551">
            <v>14.75</v>
          </cell>
          <cell r="G551">
            <v>14.75</v>
          </cell>
          <cell r="H551">
            <v>14.75</v>
          </cell>
          <cell r="I551">
            <v>14.75</v>
          </cell>
          <cell r="J551">
            <v>14.75</v>
          </cell>
          <cell r="K551">
            <v>14.75</v>
          </cell>
          <cell r="L551">
            <v>14.75</v>
          </cell>
          <cell r="M551">
            <v>14.75</v>
          </cell>
          <cell r="N551">
            <v>14.75</v>
          </cell>
          <cell r="O551">
            <v>14.75</v>
          </cell>
        </row>
        <row r="553">
          <cell r="D553">
            <v>14.75</v>
          </cell>
        </row>
        <row r="554">
          <cell r="D554">
            <v>14.75</v>
          </cell>
          <cell r="E554">
            <v>14.75</v>
          </cell>
          <cell r="F554">
            <v>14.75</v>
          </cell>
          <cell r="G554">
            <v>14.75</v>
          </cell>
          <cell r="H554">
            <v>14.75</v>
          </cell>
          <cell r="I554">
            <v>14.75</v>
          </cell>
          <cell r="J554">
            <v>14.75</v>
          </cell>
          <cell r="K554">
            <v>14.75</v>
          </cell>
          <cell r="L554">
            <v>14.75</v>
          </cell>
          <cell r="M554">
            <v>14.75</v>
          </cell>
          <cell r="N554">
            <v>14.75</v>
          </cell>
          <cell r="O554">
            <v>14.75</v>
          </cell>
        </row>
        <row r="555">
          <cell r="D555">
            <v>14.75</v>
          </cell>
          <cell r="E555">
            <v>14.75</v>
          </cell>
          <cell r="F555">
            <v>14.75</v>
          </cell>
          <cell r="G555">
            <v>14.75</v>
          </cell>
          <cell r="H555">
            <v>14.75</v>
          </cell>
          <cell r="I555">
            <v>14.75</v>
          </cell>
          <cell r="J555">
            <v>14.75</v>
          </cell>
          <cell r="K555">
            <v>14.75</v>
          </cell>
          <cell r="L555">
            <v>14.75</v>
          </cell>
          <cell r="M555">
            <v>14.75</v>
          </cell>
          <cell r="N555">
            <v>14.75</v>
          </cell>
          <cell r="O555">
            <v>14.75</v>
          </cell>
        </row>
      </sheetData>
      <sheetData sheetId="19"/>
      <sheetData sheetId="20"/>
      <sheetData sheetId="21"/>
      <sheetData sheetId="22" refreshError="1"/>
      <sheetData sheetId="2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Project Overview"/>
      <sheetName val="Steps of Doneness (Metrics)"/>
      <sheetName val="Metrics"/>
      <sheetName val="Stories (WBS)"/>
      <sheetName val="Add-Ins"/>
      <sheetName val="Objective Risks"/>
      <sheetName val="Staffing Plan"/>
      <sheetName val="Data"/>
      <sheetName val="Export Results"/>
      <sheetName val="Staffing Pivot"/>
      <sheetName val="Total LOE"/>
      <sheetName val="Roles"/>
    </sheetNames>
    <sheetDataSet>
      <sheetData sheetId="0" refreshError="1"/>
      <sheetData sheetId="1"/>
      <sheetData sheetId="2" refreshError="1"/>
      <sheetData sheetId="3"/>
      <sheetData sheetId="4"/>
      <sheetData sheetId="5"/>
      <sheetData sheetId="6"/>
      <sheetData sheetId="7"/>
      <sheetData sheetId="8"/>
      <sheetData sheetId="9" refreshError="1"/>
      <sheetData sheetId="10" refreshError="1"/>
      <sheetData sheetId="11" refreshError="1"/>
      <sheetData sheetId="12">
        <row r="2">
          <cell r="B2" t="str">
            <v xml:space="preserve">Associate Creative Design </v>
          </cell>
        </row>
        <row r="3">
          <cell r="B3" t="str">
            <v xml:space="preserve">Associate Database </v>
          </cell>
        </row>
        <row r="4">
          <cell r="B4" t="str">
            <v>Associate Database L2</v>
          </cell>
        </row>
        <row r="5">
          <cell r="B5" t="str">
            <v>Associate Infrastructure L2</v>
          </cell>
        </row>
        <row r="6">
          <cell r="B6" t="str">
            <v>Associate Platform L2</v>
          </cell>
        </row>
        <row r="7">
          <cell r="B7" t="str">
            <v xml:space="preserve">Associate Program Management </v>
          </cell>
        </row>
        <row r="8">
          <cell r="B8" t="str">
            <v>Associate QA L1</v>
          </cell>
        </row>
        <row r="9">
          <cell r="B9" t="str">
            <v>Associate QA L2</v>
          </cell>
        </row>
        <row r="10">
          <cell r="B10" t="str">
            <v>Associate SAP L1</v>
          </cell>
        </row>
        <row r="11">
          <cell r="B11" t="str">
            <v>Associate SAP L2</v>
          </cell>
        </row>
        <row r="12">
          <cell r="B12" t="str">
            <v>Associate Technology L1</v>
          </cell>
        </row>
        <row r="13">
          <cell r="B13" t="str">
            <v>Associate Technology L2</v>
          </cell>
        </row>
        <row r="14">
          <cell r="B14" t="str">
            <v xml:space="preserve">Director Business Consulting </v>
          </cell>
        </row>
        <row r="15">
          <cell r="B15" t="str">
            <v xml:space="preserve">Director Creative Design </v>
          </cell>
        </row>
        <row r="16">
          <cell r="B16" t="str">
            <v xml:space="preserve">Director General Management </v>
          </cell>
        </row>
        <row r="17">
          <cell r="B17" t="str">
            <v xml:space="preserve">Director Program Management </v>
          </cell>
        </row>
        <row r="18">
          <cell r="B18" t="str">
            <v xml:space="preserve">Director SAP </v>
          </cell>
        </row>
        <row r="19">
          <cell r="B19" t="str">
            <v xml:space="preserve">Director Technology </v>
          </cell>
        </row>
        <row r="20">
          <cell r="B20" t="str">
            <v xml:space="preserve">Expert Platform </v>
          </cell>
        </row>
        <row r="21">
          <cell r="B21" t="str">
            <v xml:space="preserve">Manager Business Consulting </v>
          </cell>
        </row>
        <row r="22">
          <cell r="B22" t="str">
            <v xml:space="preserve">Manager Creative Design </v>
          </cell>
        </row>
        <row r="23">
          <cell r="B23" t="str">
            <v xml:space="preserve">Manager Program Management </v>
          </cell>
        </row>
        <row r="24">
          <cell r="B24" t="str">
            <v xml:space="preserve">Manager SAP </v>
          </cell>
        </row>
        <row r="25">
          <cell r="B25" t="str">
            <v xml:space="preserve">Manager Technology </v>
          </cell>
        </row>
        <row r="26">
          <cell r="B26" t="str">
            <v xml:space="preserve">Senior Associate Alliances </v>
          </cell>
        </row>
        <row r="27">
          <cell r="B27" t="str">
            <v xml:space="preserve">Senior Associate Business Consulting </v>
          </cell>
        </row>
        <row r="28">
          <cell r="B28" t="str">
            <v xml:space="preserve">Senior Associate Creative Design </v>
          </cell>
        </row>
        <row r="29">
          <cell r="B29" t="str">
            <v xml:space="preserve">Senior Associate Database </v>
          </cell>
        </row>
        <row r="30">
          <cell r="B30" t="str">
            <v>Senior Associate Database L1</v>
          </cell>
        </row>
        <row r="31">
          <cell r="B31" t="str">
            <v>Senior Associate Database L2</v>
          </cell>
        </row>
        <row r="32">
          <cell r="B32" t="str">
            <v xml:space="preserve">Senior Associate Executive Admin </v>
          </cell>
        </row>
        <row r="33">
          <cell r="B33" t="str">
            <v xml:space="preserve">Senior Associate Finance </v>
          </cell>
        </row>
        <row r="34">
          <cell r="B34" t="str">
            <v xml:space="preserve">Senior Associate Hiring </v>
          </cell>
        </row>
        <row r="35">
          <cell r="B35" t="str">
            <v xml:space="preserve">Senior Associate Infrastructure </v>
          </cell>
        </row>
        <row r="36">
          <cell r="B36" t="str">
            <v>Senior Associate Infrastructure L1</v>
          </cell>
        </row>
        <row r="37">
          <cell r="B37" t="str">
            <v>Senior Associate Infrastructure L2</v>
          </cell>
        </row>
        <row r="38">
          <cell r="B38" t="str">
            <v xml:space="preserve">Senior Associate IT </v>
          </cell>
        </row>
        <row r="39">
          <cell r="B39" t="str">
            <v xml:space="preserve">Senior Associate Learning &amp; Development </v>
          </cell>
        </row>
        <row r="40">
          <cell r="B40" t="str">
            <v xml:space="preserve">Senior Associate Marketing </v>
          </cell>
        </row>
        <row r="41">
          <cell r="B41" t="str">
            <v xml:space="preserve">Senior Associate Office Services </v>
          </cell>
        </row>
        <row r="42">
          <cell r="B42" t="str">
            <v xml:space="preserve">Senior Associate People Strategy </v>
          </cell>
        </row>
        <row r="43">
          <cell r="B43" t="str">
            <v>Senior Associate Platform L1</v>
          </cell>
        </row>
        <row r="44">
          <cell r="B44" t="str">
            <v>Senior Associate Platform L2</v>
          </cell>
        </row>
        <row r="45">
          <cell r="B45" t="str">
            <v xml:space="preserve">Senior Associate Program Management </v>
          </cell>
        </row>
        <row r="46">
          <cell r="B46" t="str">
            <v>Senior Associate QA L1</v>
          </cell>
        </row>
        <row r="47">
          <cell r="B47" t="str">
            <v>Senior Associate QA L2</v>
          </cell>
        </row>
        <row r="48">
          <cell r="B48" t="str">
            <v>Senior Associate SAP L1</v>
          </cell>
        </row>
        <row r="49">
          <cell r="B49" t="str">
            <v>Senior Associate SAP L2</v>
          </cell>
        </row>
        <row r="50">
          <cell r="B50" t="str">
            <v xml:space="preserve">Senior Associate Staffing </v>
          </cell>
        </row>
        <row r="51">
          <cell r="B51" t="str">
            <v>Senior Associate Technology L1</v>
          </cell>
        </row>
        <row r="52">
          <cell r="B52" t="str">
            <v>Senior Associate Technology L2</v>
          </cell>
        </row>
        <row r="53">
          <cell r="B53" t="str">
            <v xml:space="preserve">Senior Manager Alliances </v>
          </cell>
        </row>
        <row r="54">
          <cell r="B54" t="str">
            <v xml:space="preserve">Senior Manager Business Consulting </v>
          </cell>
        </row>
        <row r="55">
          <cell r="B55" t="str">
            <v xml:space="preserve">Senior Manager Creative Design </v>
          </cell>
        </row>
        <row r="56">
          <cell r="B56" t="str">
            <v xml:space="preserve">Senior Manager Expansion </v>
          </cell>
        </row>
        <row r="57">
          <cell r="B57" t="str">
            <v xml:space="preserve">Senior Manager Finance </v>
          </cell>
        </row>
        <row r="58">
          <cell r="B58" t="str">
            <v xml:space="preserve">Senior Manager Hiring </v>
          </cell>
        </row>
        <row r="59">
          <cell r="B59" t="str">
            <v xml:space="preserve">Senior Manager IT </v>
          </cell>
        </row>
        <row r="60">
          <cell r="B60" t="str">
            <v xml:space="preserve">Senior Manager Learning &amp; Development </v>
          </cell>
        </row>
        <row r="61">
          <cell r="B61" t="str">
            <v xml:space="preserve">Senior Manager Legal </v>
          </cell>
        </row>
        <row r="62">
          <cell r="B62" t="str">
            <v xml:space="preserve">Senior Manager Marketing </v>
          </cell>
        </row>
        <row r="63">
          <cell r="B63" t="str">
            <v xml:space="preserve">Senior Manager Office Services </v>
          </cell>
        </row>
        <row r="64">
          <cell r="B64" t="str">
            <v xml:space="preserve">Senior Manager People Strategy </v>
          </cell>
        </row>
        <row r="65">
          <cell r="B65" t="str">
            <v xml:space="preserve">Senior Manager People Strategy Benefits </v>
          </cell>
        </row>
        <row r="66">
          <cell r="B66" t="str">
            <v xml:space="preserve">Senior Manager People Strategy Compensation </v>
          </cell>
        </row>
        <row r="67">
          <cell r="B67" t="str">
            <v xml:space="preserve">Senior Manager Program Management </v>
          </cell>
        </row>
        <row r="68">
          <cell r="B68" t="str">
            <v xml:space="preserve">Senior Manager SAP </v>
          </cell>
        </row>
        <row r="69">
          <cell r="B69" t="str">
            <v xml:space="preserve">Senior Manager Technology </v>
          </cell>
        </row>
        <row r="70">
          <cell r="B70" t="str">
            <v xml:space="preserve">Senior Specialist Database </v>
          </cell>
        </row>
        <row r="71">
          <cell r="B71" t="str">
            <v xml:space="preserve">Senior Specialist Infrastructure </v>
          </cell>
        </row>
        <row r="72">
          <cell r="B72" t="str">
            <v xml:space="preserve">Senior Specialist IT </v>
          </cell>
        </row>
        <row r="73">
          <cell r="B73" t="str">
            <v xml:space="preserve">Senior Specialist Platform </v>
          </cell>
        </row>
        <row r="74">
          <cell r="B74" t="str">
            <v xml:space="preserve">Senior Specialist QA </v>
          </cell>
        </row>
        <row r="75">
          <cell r="B75" t="str">
            <v xml:space="preserve">Senior Vice President General Counsel </v>
          </cell>
        </row>
        <row r="76">
          <cell r="B76" t="str">
            <v xml:space="preserve">Specialist Database </v>
          </cell>
        </row>
        <row r="77">
          <cell r="B77" t="str">
            <v xml:space="preserve">Specialist Executive Admin </v>
          </cell>
        </row>
        <row r="78">
          <cell r="B78" t="str">
            <v xml:space="preserve">Specialist Infrastructure </v>
          </cell>
        </row>
        <row r="79">
          <cell r="B79" t="str">
            <v xml:space="preserve">Specialist IT </v>
          </cell>
        </row>
        <row r="80">
          <cell r="B80" t="str">
            <v xml:space="preserve">Specialist Platform </v>
          </cell>
        </row>
        <row r="81">
          <cell r="B81" t="str">
            <v xml:space="preserve">Specialist QA </v>
          </cell>
        </row>
        <row r="82">
          <cell r="B82" t="str">
            <v xml:space="preserve">Trainee QA </v>
          </cell>
        </row>
        <row r="83">
          <cell r="B83" t="str">
            <v xml:space="preserve">Trainee Technology </v>
          </cell>
        </row>
        <row r="84">
          <cell r="B84" t="str">
            <v xml:space="preserve">Vice President Alliances </v>
          </cell>
        </row>
        <row r="85">
          <cell r="B85" t="str">
            <v xml:space="preserve">Vice President Business Consulting </v>
          </cell>
        </row>
        <row r="86">
          <cell r="B86" t="str">
            <v xml:space="preserve">Vice President Creative Design </v>
          </cell>
        </row>
        <row r="87">
          <cell r="B87" t="str">
            <v xml:space="preserve">Vice President Finance </v>
          </cell>
        </row>
        <row r="88">
          <cell r="B88" t="str">
            <v xml:space="preserve">Vice President General Management </v>
          </cell>
        </row>
        <row r="89">
          <cell r="B89" t="str">
            <v xml:space="preserve">Vice President Legal </v>
          </cell>
        </row>
        <row r="90">
          <cell r="B90" t="str">
            <v xml:space="preserve">Vice President Managing Director </v>
          </cell>
        </row>
        <row r="91">
          <cell r="B91" t="str">
            <v xml:space="preserve">Vice President Marketing </v>
          </cell>
        </row>
        <row r="92">
          <cell r="B92" t="str">
            <v xml:space="preserve">Vice President People Strategy </v>
          </cell>
        </row>
        <row r="93">
          <cell r="B93" t="str">
            <v xml:space="preserve">Vice President Program Management </v>
          </cell>
        </row>
        <row r="94">
          <cell r="B94" t="str">
            <v xml:space="preserve">Vice President Risk Management </v>
          </cell>
        </row>
        <row r="95">
          <cell r="B95" t="str">
            <v xml:space="preserve">Vice President Technology </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est Rates"/>
      <sheetName val="Deposits"/>
      <sheetName val="Sectoral distribution"/>
      <sheetName val="Loans"/>
      <sheetName val="For. Assets"/>
      <sheetName val="For. Liabilities"/>
      <sheetName val="Assets"/>
      <sheetName val="Liabilities"/>
      <sheetName val="gdp- nominal"/>
      <sheetName val="gdp-real"/>
      <sheetName val="CPI"/>
      <sheetName val="MS"/>
      <sheetName val="NEP"/>
      <sheetName val="Tourism"/>
      <sheetName val="Trade"/>
      <sheetName val="Fiscal"/>
      <sheetName val="BOP"/>
      <sheetName val="Selected Economic Indicators"/>
      <sheetName val="Credits- Add on &amp; Reducing"/>
      <sheetName val="Sheet7"/>
      <sheetName val="Sheet6"/>
      <sheetName val="Sheet5"/>
      <sheetName val="Sheet4"/>
      <sheetName val="Program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est Rates"/>
      <sheetName val="Deposits"/>
      <sheetName val="Sectoral distribution"/>
      <sheetName val="Loans"/>
      <sheetName val="For. Assets"/>
      <sheetName val="For. Liabilities"/>
      <sheetName val="Assets"/>
      <sheetName val="Liabilities"/>
      <sheetName val="gdp- nominal"/>
      <sheetName val="gdp-real"/>
      <sheetName val="CPI"/>
      <sheetName val="MS"/>
      <sheetName val="NEP"/>
      <sheetName val="Tourism"/>
      <sheetName val="Trade"/>
      <sheetName val="Fiscal"/>
      <sheetName val="BOP"/>
      <sheetName val="Selected Economic Indicators"/>
      <sheetName val="Credits- Add on &amp; Reducing"/>
      <sheetName val="Sheet7"/>
      <sheetName val="Sheet6"/>
      <sheetName val="Sheet5"/>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assumptions"/>
      <sheetName val="real"/>
      <sheetName val="external"/>
      <sheetName val="fiscal"/>
      <sheetName val="monetary"/>
      <sheetName val="sei"/>
      <sheetName val="Module1"/>
      <sheetName val="MS"/>
      <sheetName val="Programa"/>
    </sheetNames>
    <sheetDataSet>
      <sheetData sheetId="0" refreshError="1">
        <row r="114">
          <cell r="A114" t="str">
            <v>Macros:</v>
          </cell>
        </row>
      </sheetData>
      <sheetData sheetId="1" refreshError="1">
        <row r="4">
          <cell r="A4">
            <v>35090.606377314813</v>
          </cell>
          <cell r="B4">
            <v>1994</v>
          </cell>
          <cell r="C4">
            <v>1995</v>
          </cell>
          <cell r="D4">
            <v>1996</v>
          </cell>
          <cell r="E4">
            <v>1997</v>
          </cell>
          <cell r="F4">
            <v>1998</v>
          </cell>
          <cell r="G4">
            <v>1999</v>
          </cell>
          <cell r="H4">
            <v>2000</v>
          </cell>
          <cell r="I4">
            <v>2001</v>
          </cell>
          <cell r="J4">
            <v>2002</v>
          </cell>
          <cell r="K4">
            <v>2003</v>
          </cell>
          <cell r="L4">
            <v>2004</v>
          </cell>
          <cell r="M4">
            <v>2005</v>
          </cell>
        </row>
        <row r="5">
          <cell r="A5">
            <v>35090.606377314813</v>
          </cell>
        </row>
        <row r="7">
          <cell r="A7" t="str">
            <v>Basic assumptions:</v>
          </cell>
        </row>
        <row r="8">
          <cell r="A8" t="str">
            <v>-----------------</v>
          </cell>
        </row>
        <row r="9">
          <cell r="A9" t="str">
            <v>Nominal GDP (mill. pesos)</v>
          </cell>
          <cell r="B9">
            <v>1420159.4834999999</v>
          </cell>
          <cell r="C9">
            <v>1840430.825</v>
          </cell>
          <cell r="D9">
            <v>2508147.0345000001</v>
          </cell>
          <cell r="E9">
            <v>3179533.8916726043</v>
          </cell>
          <cell r="F9">
            <v>3791191.18</v>
          </cell>
          <cell r="G9">
            <v>4560632</v>
          </cell>
          <cell r="H9">
            <v>5298216.0129172718</v>
          </cell>
          <cell r="I9">
            <v>6069009.4274571668</v>
          </cell>
          <cell r="J9">
            <v>6838413.8263520375</v>
          </cell>
          <cell r="K9">
            <v>7618693.0465959264</v>
          </cell>
          <cell r="L9">
            <v>8409563.7742662001</v>
          </cell>
          <cell r="M9">
            <v>9260372.3486374617</v>
          </cell>
        </row>
        <row r="10">
          <cell r="A10" t="str">
            <v>Real GDP (% change)</v>
          </cell>
          <cell r="B10">
            <v>4.4153269913708826</v>
          </cell>
          <cell r="C10">
            <v>-6.1794276647163748</v>
          </cell>
          <cell r="D10">
            <v>5.1398275733348653</v>
          </cell>
          <cell r="E10">
            <v>6.7621327334587589</v>
          </cell>
          <cell r="F10">
            <v>4.8209265157837855</v>
          </cell>
          <cell r="G10">
            <v>3.02191066916222</v>
          </cell>
          <cell r="H10">
            <v>5.0199999999999996</v>
          </cell>
          <cell r="I10">
            <v>5.33</v>
          </cell>
          <cell r="J10">
            <v>5.5</v>
          </cell>
          <cell r="K10">
            <v>6</v>
          </cell>
          <cell r="L10">
            <v>6</v>
          </cell>
          <cell r="M10">
            <v>6</v>
          </cell>
        </row>
        <row r="11">
          <cell r="A11" t="str">
            <v>Inflation (average)</v>
          </cell>
          <cell r="B11">
            <v>6.97</v>
          </cell>
          <cell r="C11">
            <v>35</v>
          </cell>
          <cell r="D11">
            <v>34.38153509877997</v>
          </cell>
          <cell r="E11">
            <v>20.62</v>
          </cell>
          <cell r="F11">
            <v>15.931387068849446</v>
          </cell>
          <cell r="G11">
            <v>17.064493012564451</v>
          </cell>
          <cell r="H11">
            <v>11.156597940176095</v>
          </cell>
          <cell r="I11">
            <v>8.7477985299653227</v>
          </cell>
          <cell r="J11">
            <v>7.0007725848605782</v>
          </cell>
          <cell r="K11">
            <v>5.2505794386454339</v>
          </cell>
          <cell r="L11">
            <v>4.2502483308480432</v>
          </cell>
          <cell r="M11">
            <v>4</v>
          </cell>
        </row>
        <row r="12">
          <cell r="A12" t="str">
            <v>Inflation (eop)</v>
          </cell>
          <cell r="B12">
            <v>7.0519931574309247</v>
          </cell>
          <cell r="C12">
            <v>51.96</v>
          </cell>
          <cell r="D12">
            <v>27.71</v>
          </cell>
          <cell r="E12">
            <v>15.7</v>
          </cell>
          <cell r="F12">
            <v>18.605333217750662</v>
          </cell>
          <cell r="G12">
            <v>13</v>
          </cell>
          <cell r="H12">
            <v>9.9999931934325872</v>
          </cell>
          <cell r="I12">
            <v>8.0008829541263751</v>
          </cell>
          <cell r="J12">
            <v>6.0006622155947813</v>
          </cell>
          <cell r="K12">
            <v>4.5004966616960864</v>
          </cell>
          <cell r="L12">
            <v>4</v>
          </cell>
          <cell r="M12">
            <v>4</v>
          </cell>
        </row>
        <row r="13">
          <cell r="A13" t="str">
            <v>REER (average)</v>
          </cell>
          <cell r="B13">
            <v>122.64395904541016</v>
          </cell>
          <cell r="C13">
            <v>81.943653106689453</v>
          </cell>
          <cell r="D13">
            <v>92.615233739217118</v>
          </cell>
          <cell r="E13">
            <v>109.19180043538411</v>
          </cell>
          <cell r="F13">
            <v>110.88992779422269</v>
          </cell>
          <cell r="G13">
            <v>106.37023887580715</v>
          </cell>
          <cell r="H13">
            <v>106.37023887580715</v>
          </cell>
          <cell r="I13">
            <v>106.37023887580715</v>
          </cell>
          <cell r="J13">
            <v>106.37023887580715</v>
          </cell>
          <cell r="K13">
            <v>106.37023887580715</v>
          </cell>
          <cell r="L13">
            <v>106.37023887580715</v>
          </cell>
          <cell r="M13">
            <v>106.37023887580715</v>
          </cell>
        </row>
        <row r="14">
          <cell r="A14" t="str">
            <v xml:space="preserve">  (percent change)</v>
          </cell>
          <cell r="B14">
            <v>-3.8211794989551171</v>
          </cell>
          <cell r="C14">
            <v>-33.185740460034403</v>
          </cell>
          <cell r="D14">
            <v>13.023071620487093</v>
          </cell>
          <cell r="E14">
            <v>17.899999999999999</v>
          </cell>
          <cell r="F14">
            <v>1.5551784585175588</v>
          </cell>
          <cell r="G14">
            <v>-4.0758335840949229</v>
          </cell>
          <cell r="H14">
            <v>0</v>
          </cell>
          <cell r="I14">
            <v>0</v>
          </cell>
          <cell r="J14">
            <v>0</v>
          </cell>
          <cell r="K14">
            <v>0</v>
          </cell>
          <cell r="L14">
            <v>0</v>
          </cell>
          <cell r="M14">
            <v>0</v>
          </cell>
        </row>
        <row r="15">
          <cell r="A15" t="str">
            <v xml:space="preserve">Average exchange rate  </v>
          </cell>
          <cell r="B15">
            <v>3.3751000000000002</v>
          </cell>
          <cell r="C15">
            <v>6.4922250000000004</v>
          </cell>
          <cell r="D15">
            <v>7.6016074694930671</v>
          </cell>
          <cell r="E15">
            <v>7.9184583333333336</v>
          </cell>
          <cell r="F15">
            <v>9.1356583333333337</v>
          </cell>
          <cell r="G15">
            <v>10.467000000000001</v>
          </cell>
          <cell r="H15">
            <v>11.365104658106446</v>
          </cell>
          <cell r="I15">
            <v>12.081428266194823</v>
          </cell>
          <cell r="J15">
            <v>12.624239828236512</v>
          </cell>
          <cell r="K15">
            <v>12.975669500921081</v>
          </cell>
          <cell r="L15">
            <v>13.21012468486361</v>
          </cell>
          <cell r="M15">
            <v>13.416532883064605</v>
          </cell>
        </row>
        <row r="16">
          <cell r="A16" t="str">
            <v xml:space="preserve">  (percent change)</v>
          </cell>
          <cell r="B16">
            <v>-7.6886610767088399</v>
          </cell>
          <cell r="C16">
            <v>-48.013200405099951</v>
          </cell>
          <cell r="D16">
            <v>-14.594050981259739</v>
          </cell>
          <cell r="E16">
            <v>-4.0014211163612421</v>
          </cell>
          <cell r="F16">
            <v>-13.323615612449021</v>
          </cell>
          <cell r="G16">
            <v>-12.719419763701795</v>
          </cell>
          <cell r="H16">
            <v>-7.9022999358466102</v>
          </cell>
          <cell r="I16">
            <v>-5.9291301682660311</v>
          </cell>
          <cell r="J16">
            <v>-4.2997564164424933</v>
          </cell>
          <cell r="K16">
            <v>-2.7083741047783518</v>
          </cell>
          <cell r="L16">
            <v>-1.774814315047095</v>
          </cell>
          <cell r="M16">
            <v>-1.5384615384615457</v>
          </cell>
        </row>
        <row r="17">
          <cell r="A17" t="str">
            <v>End period exchange rate</v>
          </cell>
          <cell r="B17">
            <v>5.3250000000000002</v>
          </cell>
          <cell r="C17">
            <v>7.6425000000000001</v>
          </cell>
          <cell r="D17">
            <v>7.851</v>
          </cell>
          <cell r="E17">
            <v>8.0680999999999994</v>
          </cell>
          <cell r="F17">
            <v>9.8650000000000002</v>
          </cell>
          <cell r="G17">
            <v>10.946</v>
          </cell>
          <cell r="H17">
            <v>11.65991841660686</v>
          </cell>
          <cell r="I17">
            <v>12.352834047215667</v>
          </cell>
          <cell r="J17">
            <v>12.799954664578795</v>
          </cell>
          <cell r="K17">
            <v>13.092897092892345</v>
          </cell>
          <cell r="L17">
            <v>13.313328783964106</v>
          </cell>
          <cell r="M17">
            <v>13.519736982165103</v>
          </cell>
        </row>
        <row r="18">
          <cell r="A18" t="str">
            <v xml:space="preserve">  (percent change)</v>
          </cell>
          <cell r="B18">
            <v>-41.673239436619717</v>
          </cell>
          <cell r="C18">
            <v>-30.323846908734055</v>
          </cell>
          <cell r="D18">
            <v>-2.6557126480703084</v>
          </cell>
          <cell r="E18">
            <v>-2.6908441888424712</v>
          </cell>
          <cell r="F18">
            <v>-18.214901165737462</v>
          </cell>
          <cell r="G18">
            <v>-9.8757536999817255</v>
          </cell>
          <cell r="H18">
            <v>-6.1228422969928227</v>
          </cell>
          <cell r="I18">
            <v>-5.6093656561749938</v>
          </cell>
          <cell r="J18">
            <v>-3.4931421952644941</v>
          </cell>
          <cell r="K18">
            <v>-2.2374148840792292</v>
          </cell>
          <cell r="L18">
            <v>-1.6557218307210364</v>
          </cell>
          <cell r="M18">
            <v>-1.5267175572519285</v>
          </cell>
        </row>
        <row r="19">
          <cell r="A19" t="str">
            <v>Interest rates:   28-day CETES</v>
          </cell>
          <cell r="B19">
            <v>14.5</v>
          </cell>
          <cell r="C19">
            <v>48.4</v>
          </cell>
          <cell r="D19">
            <v>31.39</v>
          </cell>
          <cell r="E19">
            <v>19.8</v>
          </cell>
          <cell r="F19">
            <v>24.761666666666667</v>
          </cell>
          <cell r="G19">
            <v>19.29</v>
          </cell>
          <cell r="H19">
            <v>16.302833362624959</v>
          </cell>
          <cell r="I19">
            <v>14.492941977402909</v>
          </cell>
          <cell r="J19">
            <v>12.733768983052194</v>
          </cell>
          <cell r="K19">
            <v>11.956883135593785</v>
          </cell>
          <cell r="L19">
            <v>11.7125</v>
          </cell>
          <cell r="M19">
            <v>11.7125</v>
          </cell>
        </row>
        <row r="20">
          <cell r="A20" t="str">
            <v>Effective interest rate</v>
          </cell>
          <cell r="B20">
            <v>16.829053793811791</v>
          </cell>
          <cell r="C20">
            <v>100.75652276969571</v>
          </cell>
          <cell r="D20">
            <v>25.587862319822044</v>
          </cell>
          <cell r="E20">
            <v>12.668208699434416</v>
          </cell>
          <cell r="F20">
            <v>23.171679041059139</v>
          </cell>
          <cell r="G20">
            <v>17.700012374392472</v>
          </cell>
          <cell r="H20">
            <v>14.959064398969426</v>
          </cell>
          <cell r="I20">
            <v>13.298354190844147</v>
          </cell>
          <cell r="J20">
            <v>11.684181885571741</v>
          </cell>
          <cell r="K20">
            <v>10.971331231683497</v>
          </cell>
          <cell r="L20">
            <v>10.74709149481969</v>
          </cell>
          <cell r="M20">
            <v>10.74709149481969</v>
          </cell>
        </row>
        <row r="21">
          <cell r="A21" t="str">
            <v xml:space="preserve">Real interest rate </v>
          </cell>
          <cell r="B21">
            <v>5.5</v>
          </cell>
          <cell r="C21">
            <v>4.5999999999999996</v>
          </cell>
          <cell r="D21">
            <v>7.2</v>
          </cell>
          <cell r="E21">
            <v>6.3</v>
          </cell>
          <cell r="F21">
            <v>7.5</v>
          </cell>
          <cell r="G21">
            <v>7.2</v>
          </cell>
          <cell r="H21">
            <v>6.490344493230598</v>
          </cell>
          <cell r="I21">
            <v>6.490344493230598</v>
          </cell>
          <cell r="J21">
            <v>6.4403444932305982</v>
          </cell>
          <cell r="K21">
            <v>6.6403444932305984</v>
          </cell>
          <cell r="L21">
            <v>6.6403444932305984</v>
          </cell>
          <cell r="M21">
            <v>6.6403444932305984</v>
          </cell>
        </row>
        <row r="22">
          <cell r="A22" t="str">
            <v>GDP deflator</v>
          </cell>
          <cell r="B22">
            <v>8.2718280898193886</v>
          </cell>
          <cell r="C22">
            <v>38.128820185944875</v>
          </cell>
          <cell r="D22">
            <v>29.618273806469109</v>
          </cell>
          <cell r="E22">
            <v>18.738955775973775</v>
          </cell>
          <cell r="F22">
            <v>13.753359749449402</v>
          </cell>
          <cell r="G22">
            <v>16.766898457626954</v>
          </cell>
          <cell r="H22">
            <v>10.619735767276033</v>
          </cell>
          <cell r="I22">
            <v>8.7517031287820259</v>
          </cell>
          <cell r="J22">
            <v>6.8034070077222335</v>
          </cell>
          <cell r="K22">
            <v>5.1039971093365404</v>
          </cell>
          <cell r="L22">
            <v>4.1326994265055177</v>
          </cell>
          <cell r="M22">
            <v>3.88410818212227</v>
          </cell>
        </row>
        <row r="23">
          <cell r="A23" t="str">
            <v>Non-oil export unit value</v>
          </cell>
          <cell r="B23">
            <v>107.86160302896374</v>
          </cell>
          <cell r="C23">
            <v>110.66600470771681</v>
          </cell>
          <cell r="D23">
            <v>106.90972438223312</v>
          </cell>
          <cell r="E23">
            <v>102.74024513132602</v>
          </cell>
          <cell r="F23">
            <v>103.97312807290193</v>
          </cell>
          <cell r="G23">
            <v>106.05259063435997</v>
          </cell>
          <cell r="H23">
            <v>108.49180021895025</v>
          </cell>
          <cell r="I23">
            <v>110.01068542201556</v>
          </cell>
          <cell r="J23">
            <v>111.33081364707974</v>
          </cell>
          <cell r="K23">
            <v>112.6667834108447</v>
          </cell>
          <cell r="L23">
            <v>114.01878481177484</v>
          </cell>
          <cell r="M23">
            <v>115.38701022951614</v>
          </cell>
        </row>
        <row r="24">
          <cell r="A24" t="str">
            <v>Export unit value (1980=100)</v>
          </cell>
          <cell r="B24">
            <v>68.059216532588053</v>
          </cell>
          <cell r="C24">
            <v>68.00056488899925</v>
          </cell>
          <cell r="D24">
            <v>68.791908813222463</v>
          </cell>
          <cell r="E24">
            <v>65.137718996170122</v>
          </cell>
          <cell r="F24">
            <v>63.482468205529123</v>
          </cell>
          <cell r="G24">
            <v>64.197139154404951</v>
          </cell>
          <cell r="H24">
            <v>65.973536208449403</v>
          </cell>
          <cell r="I24">
            <v>67.045220860340223</v>
          </cell>
          <cell r="J24">
            <v>67.839966168169539</v>
          </cell>
          <cell r="K24">
            <v>68.645078495057064</v>
          </cell>
          <cell r="L24">
            <v>69.460570767291458</v>
          </cell>
          <cell r="M24">
            <v>70.297899898830565</v>
          </cell>
        </row>
        <row r="25">
          <cell r="A25" t="str">
            <v xml:space="preserve">     Percent change, US$</v>
          </cell>
          <cell r="B25">
            <v>4.0986491072851043</v>
          </cell>
          <cell r="C25">
            <v>-8.6177371084957169E-2</v>
          </cell>
          <cell r="D25">
            <v>1.1637313976949508</v>
          </cell>
          <cell r="E25">
            <v>-5.3119471171731334</v>
          </cell>
          <cell r="F25">
            <v>-2.5411555948686533</v>
          </cell>
          <cell r="G25">
            <v>1.1257768783690456</v>
          </cell>
          <cell r="H25">
            <v>2.7670969103029921</v>
          </cell>
          <cell r="I25">
            <v>1.6244159605220108</v>
          </cell>
          <cell r="J25">
            <v>1.1853869636507355</v>
          </cell>
          <cell r="K25">
            <v>1.1867817340765163</v>
          </cell>
          <cell r="L25">
            <v>1.1879835963668033</v>
          </cell>
          <cell r="M25">
            <v>1.2054740153868706</v>
          </cell>
        </row>
        <row r="26">
          <cell r="A26" t="str">
            <v xml:space="preserve">     Percent change, pesos</v>
          </cell>
          <cell r="B26">
            <v>12.769081590062248</v>
          </cell>
          <cell r="C26">
            <v>92.190754975262365</v>
          </cell>
          <cell r="D26">
            <v>18.450450536527651</v>
          </cell>
          <cell r="E26">
            <v>-1.3651514595860781</v>
          </cell>
          <cell r="F26">
            <v>12.439905164213361</v>
          </cell>
          <cell r="G26">
            <v>16.258179615797495</v>
          </cell>
          <cell r="H26">
            <v>11.205439606642953</v>
          </cell>
          <cell r="I26">
            <v>8.0296335542545449</v>
          </cell>
          <cell r="J26">
            <v>5.7315876895381646</v>
          </cell>
          <cell r="K26">
            <v>4.0035879789384499</v>
          </cell>
          <cell r="L26">
            <v>3.0163322072169541</v>
          </cell>
          <cell r="M26">
            <v>2.7868095468772891</v>
          </cell>
        </row>
        <row r="27">
          <cell r="A27" t="str">
            <v>Import unit value (1980=100)</v>
          </cell>
          <cell r="B27">
            <v>139.0234350322273</v>
          </cell>
          <cell r="C27">
            <v>138.75237353927142</v>
          </cell>
          <cell r="D27">
            <v>134.17354521247546</v>
          </cell>
          <cell r="E27">
            <v>128.94077694918892</v>
          </cell>
          <cell r="F27">
            <v>127.00666529495108</v>
          </cell>
          <cell r="G27">
            <v>127.76870528672079</v>
          </cell>
          <cell r="H27">
            <v>129.17416104487469</v>
          </cell>
          <cell r="I27">
            <v>129.69085768905418</v>
          </cell>
          <cell r="J27">
            <v>130.85807540825564</v>
          </cell>
          <cell r="K27">
            <v>132.03579808692993</v>
          </cell>
          <cell r="L27">
            <v>133.22412026971227</v>
          </cell>
          <cell r="M27">
            <v>134.82280971294881</v>
          </cell>
        </row>
        <row r="28">
          <cell r="A28" t="str">
            <v xml:space="preserve">     Percent change, US$</v>
          </cell>
          <cell r="B28">
            <v>0</v>
          </cell>
          <cell r="C28">
            <v>-0.194975395977696</v>
          </cell>
          <cell r="D28">
            <v>-3.3000000000000003</v>
          </cell>
          <cell r="E28">
            <v>-3.9000000000000012</v>
          </cell>
          <cell r="F28">
            <v>-1.500000000000004</v>
          </cell>
          <cell r="G28">
            <v>0.60000000000000386</v>
          </cell>
          <cell r="H28">
            <v>1.0999999999999821</v>
          </cell>
          <cell r="I28">
            <v>0.39999999999999308</v>
          </cell>
          <cell r="J28">
            <v>0.89999999999997882</v>
          </cell>
          <cell r="K28">
            <v>0.89999999999998848</v>
          </cell>
          <cell r="L28">
            <v>0.89999999999998037</v>
          </cell>
          <cell r="M28">
            <v>1.1999999999999926</v>
          </cell>
        </row>
        <row r="29">
          <cell r="A29" t="str">
            <v xml:space="preserve">     Percent change, pesos</v>
          </cell>
          <cell r="B29">
            <v>8.3290537938117915</v>
          </cell>
          <cell r="C29">
            <v>91.981474877736602</v>
          </cell>
          <cell r="D29">
            <v>13.223962863267925</v>
          </cell>
          <cell r="E29">
            <v>0.10564856015646829</v>
          </cell>
          <cell r="F29">
            <v>13.641103855443259</v>
          </cell>
          <cell r="G29">
            <v>15.653725789580818</v>
          </cell>
          <cell r="H29">
            <v>9.4014551568444737</v>
          </cell>
          <cell r="I29">
            <v>6.7280446960754636</v>
          </cell>
          <cell r="J29">
            <v>5.4333784551995334</v>
          </cell>
          <cell r="K29">
            <v>3.7088229038996445</v>
          </cell>
          <cell r="L29">
            <v>2.7231450838141269</v>
          </cell>
          <cell r="M29">
            <v>2.7812500000000018</v>
          </cell>
        </row>
        <row r="30">
          <cell r="A30" t="str">
            <v>Terms of trade</v>
          </cell>
          <cell r="B30">
            <v>48.955211412242193</v>
          </cell>
          <cell r="C30">
            <v>49.008577766601512</v>
          </cell>
          <cell r="D30">
            <v>51.270843819684799</v>
          </cell>
          <cell r="E30">
            <v>50.517548084760364</v>
          </cell>
          <cell r="F30">
            <v>49.983572167729967</v>
          </cell>
          <cell r="G30">
            <v>50.244806825225815</v>
          </cell>
          <cell r="H30">
            <v>51.073322771982554</v>
          </cell>
          <cell r="I30">
            <v>51.69618125364498</v>
          </cell>
          <cell r="J30">
            <v>51.842399451864182</v>
          </cell>
          <cell r="K30">
            <v>51.989747848430021</v>
          </cell>
          <cell r="L30">
            <v>52.138134315819471</v>
          </cell>
          <cell r="M30">
            <v>52.140954522830221</v>
          </cell>
        </row>
        <row r="31">
          <cell r="A31" t="str">
            <v>US$ Libor (3-months, in percent)</v>
          </cell>
          <cell r="B31">
            <v>5.0750000000000002</v>
          </cell>
          <cell r="C31">
            <v>6.1</v>
          </cell>
          <cell r="D31">
            <v>5.59</v>
          </cell>
          <cell r="E31">
            <v>5.86</v>
          </cell>
          <cell r="F31">
            <v>5.54</v>
          </cell>
          <cell r="G31">
            <v>5.39</v>
          </cell>
          <cell r="H31">
            <v>5</v>
          </cell>
          <cell r="I31">
            <v>5.25</v>
          </cell>
          <cell r="J31">
            <v>5.45</v>
          </cell>
          <cell r="K31">
            <v>5.65</v>
          </cell>
          <cell r="L31">
            <v>5.65</v>
          </cell>
          <cell r="M31">
            <v>5.65</v>
          </cell>
        </row>
        <row r="32">
          <cell r="A32" t="str">
            <v>Oil export price (US$/bbl)</v>
          </cell>
          <cell r="B32">
            <v>13.885401054385765</v>
          </cell>
          <cell r="C32">
            <v>15.564832490717238</v>
          </cell>
          <cell r="D32">
            <v>18.95</v>
          </cell>
          <cell r="E32">
            <v>16.46</v>
          </cell>
          <cell r="F32">
            <v>10.199999999999999</v>
          </cell>
          <cell r="G32">
            <v>9.25</v>
          </cell>
          <cell r="H32">
            <v>9.9994999999999994</v>
          </cell>
          <cell r="I32">
            <v>10.419478999999999</v>
          </cell>
          <cell r="J32">
            <v>10.523673789999998</v>
          </cell>
          <cell r="K32">
            <v>10.628910527899999</v>
          </cell>
          <cell r="L32">
            <v>10.735199633178999</v>
          </cell>
          <cell r="M32">
            <v>10.874757228410324</v>
          </cell>
        </row>
        <row r="33">
          <cell r="A33" t="str">
            <v xml:space="preserve">  (Percent change)</v>
          </cell>
          <cell r="B33">
            <v>4.4846829220780204</v>
          </cell>
          <cell r="C33">
            <v>12.09494367324031</v>
          </cell>
          <cell r="D33">
            <v>21.748820691142367</v>
          </cell>
          <cell r="E33">
            <v>-13.139841688654341</v>
          </cell>
          <cell r="F33">
            <v>-38.031591737545568</v>
          </cell>
          <cell r="G33">
            <v>-9.3137254901960667</v>
          </cell>
          <cell r="H33">
            <v>8.1027027027027021</v>
          </cell>
          <cell r="I33">
            <v>4.2000000000000037</v>
          </cell>
          <cell r="J33">
            <v>1.0000000000000009</v>
          </cell>
          <cell r="K33">
            <v>1.0000000000000009</v>
          </cell>
          <cell r="L33">
            <v>1.0000000000000009</v>
          </cell>
          <cell r="M33">
            <v>1.2999999999999901</v>
          </cell>
        </row>
        <row r="34">
          <cell r="A34" t="str">
            <v>-</v>
          </cell>
          <cell r="B34" t="str">
            <v>-</v>
          </cell>
          <cell r="C34" t="str">
            <v>-</v>
          </cell>
          <cell r="D34" t="str">
            <v>-</v>
          </cell>
          <cell r="E34" t="str">
            <v>-</v>
          </cell>
          <cell r="F34" t="str">
            <v>-</v>
          </cell>
          <cell r="G34" t="str">
            <v>-</v>
          </cell>
          <cell r="H34" t="str">
            <v>-</v>
          </cell>
          <cell r="I34" t="str">
            <v>-</v>
          </cell>
          <cell r="J34" t="str">
            <v>-</v>
          </cell>
          <cell r="K34" t="str">
            <v>-</v>
          </cell>
          <cell r="L34" t="str">
            <v>-</v>
          </cell>
          <cell r="M34" t="str">
            <v>-</v>
          </cell>
        </row>
      </sheetData>
      <sheetData sheetId="2" refreshError="1"/>
      <sheetData sheetId="3" refreshError="1"/>
      <sheetData sheetId="4" refreshError="1">
        <row r="6">
          <cell r="B6">
            <v>1420.1594834999999</v>
          </cell>
          <cell r="C6">
            <v>1840.4308249999999</v>
          </cell>
          <cell r="D6">
            <v>2508.1470345000002</v>
          </cell>
          <cell r="E6">
            <v>3179.5338916726041</v>
          </cell>
          <cell r="F6">
            <v>3791.1911800000003</v>
          </cell>
          <cell r="G6">
            <v>4560.6319999999996</v>
          </cell>
          <cell r="H6">
            <v>5298.2160129172717</v>
          </cell>
          <cell r="I6">
            <v>6069.0094274571666</v>
          </cell>
          <cell r="J6">
            <v>6838.4138263520372</v>
          </cell>
          <cell r="K6">
            <v>7618.6930465959267</v>
          </cell>
        </row>
        <row r="7">
          <cell r="B7">
            <v>8.2718280898193886</v>
          </cell>
          <cell r="C7">
            <v>38.128820185944875</v>
          </cell>
          <cell r="D7">
            <v>29.618273806469109</v>
          </cell>
          <cell r="E7">
            <v>18.738955775973775</v>
          </cell>
          <cell r="F7">
            <v>13.753359749449402</v>
          </cell>
          <cell r="G7">
            <v>16.766898457626954</v>
          </cell>
          <cell r="H7">
            <v>10.619735767276033</v>
          </cell>
          <cell r="I7">
            <v>8.7517031287820259</v>
          </cell>
          <cell r="J7">
            <v>6.8034070077222335</v>
          </cell>
          <cell r="K7">
            <v>5.1039971093365404</v>
          </cell>
        </row>
        <row r="8">
          <cell r="B8">
            <v>3.3751000000000002</v>
          </cell>
          <cell r="C8">
            <v>6.4922250000000004</v>
          </cell>
          <cell r="D8">
            <v>7.6016074694930671</v>
          </cell>
          <cell r="E8">
            <v>7.9184583333333336</v>
          </cell>
          <cell r="F8">
            <v>9.1356583333333337</v>
          </cell>
          <cell r="G8">
            <v>10.467000000000001</v>
          </cell>
          <cell r="H8">
            <v>11.365104658106446</v>
          </cell>
          <cell r="I8">
            <v>12.081428266194823</v>
          </cell>
          <cell r="J8">
            <v>12.624239828236512</v>
          </cell>
          <cell r="K8">
            <v>12.975669500921081</v>
          </cell>
        </row>
        <row r="9">
          <cell r="B9">
            <v>5.3250000000000002</v>
          </cell>
          <cell r="C9">
            <v>7.6425000000000001</v>
          </cell>
          <cell r="D9">
            <v>7.851</v>
          </cell>
          <cell r="E9">
            <v>8.0680999999999994</v>
          </cell>
          <cell r="F9">
            <v>9.8650000000000002</v>
          </cell>
          <cell r="G9">
            <v>10.946</v>
          </cell>
          <cell r="H9">
            <v>11.65991841660686</v>
          </cell>
          <cell r="I9">
            <v>12.352834047215667</v>
          </cell>
          <cell r="J9">
            <v>12.799954664578795</v>
          </cell>
          <cell r="K9">
            <v>13.092897092892345</v>
          </cell>
        </row>
        <row r="10">
          <cell r="B10">
            <v>6.97</v>
          </cell>
          <cell r="C10">
            <v>35</v>
          </cell>
          <cell r="D10">
            <v>34.38153509877997</v>
          </cell>
          <cell r="E10">
            <v>20.62</v>
          </cell>
          <cell r="F10">
            <v>15.931387068849446</v>
          </cell>
          <cell r="G10">
            <v>17.064493012564451</v>
          </cell>
          <cell r="H10">
            <v>11.156597940176095</v>
          </cell>
          <cell r="I10">
            <v>8.7477985299653227</v>
          </cell>
          <cell r="J10">
            <v>7.0007725848605782</v>
          </cell>
          <cell r="K10">
            <v>5.2505794386454339</v>
          </cell>
        </row>
        <row r="11">
          <cell r="B11">
            <v>7.0519931574309247</v>
          </cell>
          <cell r="C11">
            <v>51.96</v>
          </cell>
          <cell r="D11">
            <v>27.71</v>
          </cell>
          <cell r="E11">
            <v>15.7</v>
          </cell>
          <cell r="F11">
            <v>18.605333217750662</v>
          </cell>
          <cell r="G11">
            <v>13.113343389060027</v>
          </cell>
          <cell r="H11">
            <v>9.9999931934325872</v>
          </cell>
          <cell r="I11">
            <v>8.0008829541263751</v>
          </cell>
          <cell r="J11">
            <v>6.0006622155947813</v>
          </cell>
          <cell r="K11">
            <v>4.5004966616960864</v>
          </cell>
        </row>
        <row r="12">
          <cell r="B12">
            <v>14.5</v>
          </cell>
          <cell r="C12">
            <v>48.4</v>
          </cell>
          <cell r="D12">
            <v>31.39</v>
          </cell>
          <cell r="E12">
            <v>19.8</v>
          </cell>
          <cell r="F12">
            <v>24.761666666666667</v>
          </cell>
          <cell r="G12">
            <v>19.29</v>
          </cell>
          <cell r="H12">
            <v>16.302833362624959</v>
          </cell>
          <cell r="I12">
            <v>14.492941977402909</v>
          </cell>
          <cell r="J12">
            <v>12.733768983052194</v>
          </cell>
          <cell r="K12">
            <v>11.956883135593785</v>
          </cell>
        </row>
        <row r="13">
          <cell r="B13">
            <v>13.885401054385765</v>
          </cell>
          <cell r="C13">
            <v>15.564832490717238</v>
          </cell>
          <cell r="D13">
            <v>18.95</v>
          </cell>
          <cell r="E13">
            <v>16.46</v>
          </cell>
          <cell r="F13">
            <v>10.199999999999999</v>
          </cell>
          <cell r="G13">
            <v>9.25</v>
          </cell>
          <cell r="H13">
            <v>9.9994999999999994</v>
          </cell>
          <cell r="I13">
            <v>10.419478999999999</v>
          </cell>
          <cell r="J13">
            <v>10.523673789999998</v>
          </cell>
          <cell r="K13">
            <v>10.628910527899999</v>
          </cell>
        </row>
        <row r="16">
          <cell r="B16">
            <v>323.71728300000001</v>
          </cell>
          <cell r="C16">
            <v>418.88258400000001</v>
          </cell>
          <cell r="D16">
            <v>580.6857</v>
          </cell>
          <cell r="E16">
            <v>726.31100000000004</v>
          </cell>
          <cell r="F16">
            <v>779.79</v>
          </cell>
          <cell r="G16">
            <v>949.82</v>
          </cell>
          <cell r="H16">
            <v>1086.6840000000002</v>
          </cell>
          <cell r="I16">
            <v>1247.5316627415764</v>
          </cell>
          <cell r="J16">
            <v>1427.7652619634612</v>
          </cell>
          <cell r="K16">
            <v>1570.1715411927025</v>
          </cell>
        </row>
        <row r="17">
          <cell r="B17">
            <v>328.19051100000007</v>
          </cell>
          <cell r="C17">
            <v>422.056984</v>
          </cell>
          <cell r="D17">
            <v>575.56579999999997</v>
          </cell>
          <cell r="E17">
            <v>754.19869999999992</v>
          </cell>
          <cell r="F17">
            <v>823.846</v>
          </cell>
          <cell r="G17">
            <v>1012.765</v>
          </cell>
          <cell r="H17">
            <v>1147.5580000000002</v>
          </cell>
          <cell r="I17">
            <v>1302.1512309487398</v>
          </cell>
          <cell r="J17">
            <v>1468.7957449215735</v>
          </cell>
          <cell r="K17">
            <v>1600.646313379086</v>
          </cell>
        </row>
        <row r="18">
          <cell r="B18">
            <v>278.65991100000008</v>
          </cell>
          <cell r="C18">
            <v>368.83058399999999</v>
          </cell>
          <cell r="D18">
            <v>494.18349999999998</v>
          </cell>
          <cell r="E18">
            <v>649.49869999999987</v>
          </cell>
          <cell r="F18">
            <v>712.18200000000002</v>
          </cell>
          <cell r="G18">
            <v>893.89099999999996</v>
          </cell>
          <cell r="H18">
            <v>993.56404240951792</v>
          </cell>
          <cell r="I18">
            <v>1119.684962876202</v>
          </cell>
          <cell r="J18">
            <v>1256.3587296521348</v>
          </cell>
          <cell r="K18">
            <v>1363.9697313278573</v>
          </cell>
        </row>
        <row r="19">
          <cell r="B19">
            <v>243.91581100000008</v>
          </cell>
          <cell r="C19">
            <v>300.209384</v>
          </cell>
          <cell r="D19">
            <v>403.72039999999998</v>
          </cell>
          <cell r="E19">
            <v>565.46899999999982</v>
          </cell>
          <cell r="F19">
            <v>610.98900000000003</v>
          </cell>
          <cell r="G19">
            <v>733.07600000000002</v>
          </cell>
          <cell r="H19">
            <v>840.35704240951793</v>
          </cell>
          <cell r="I19">
            <v>953.45536787620199</v>
          </cell>
          <cell r="J19">
            <v>1069.0552208366637</v>
          </cell>
          <cell r="K19">
            <v>1155.2944483672927</v>
          </cell>
        </row>
        <row r="20">
          <cell r="B20">
            <v>34.744100000000003</v>
          </cell>
          <cell r="C20">
            <v>68.621200000000002</v>
          </cell>
          <cell r="D20">
            <v>90.463099999999997</v>
          </cell>
          <cell r="E20">
            <v>84.029699999999991</v>
          </cell>
          <cell r="F20">
            <v>101.193</v>
          </cell>
          <cell r="G20">
            <v>160.815</v>
          </cell>
          <cell r="H20">
            <v>153.20699999999999</v>
          </cell>
          <cell r="I20">
            <v>166.22959500000002</v>
          </cell>
          <cell r="J20">
            <v>187.30350881547096</v>
          </cell>
          <cell r="K20">
            <v>208.6752829605644</v>
          </cell>
        </row>
        <row r="21">
          <cell r="B21">
            <v>49.5306</v>
          </cell>
          <cell r="C21">
            <v>53.226399999999998</v>
          </cell>
          <cell r="D21">
            <v>81.382300000000001</v>
          </cell>
          <cell r="E21">
            <v>104.7</v>
          </cell>
          <cell r="F21">
            <v>111.664</v>
          </cell>
          <cell r="G21">
            <v>118.87400000000001</v>
          </cell>
          <cell r="H21">
            <v>153.99395759048235</v>
          </cell>
          <cell r="I21">
            <v>182.4662680725379</v>
          </cell>
          <cell r="J21">
            <v>212.43701526943852</v>
          </cell>
          <cell r="K21">
            <v>236.67658205122859</v>
          </cell>
        </row>
        <row r="22">
          <cell r="B22">
            <v>1.9978610000000001</v>
          </cell>
          <cell r="C22">
            <v>-0.9140839999999999</v>
          </cell>
          <cell r="D22">
            <v>0</v>
          </cell>
          <cell r="E22">
            <v>0</v>
          </cell>
          <cell r="F22">
            <v>0</v>
          </cell>
          <cell r="G22">
            <v>0</v>
          </cell>
          <cell r="H22">
            <v>0</v>
          </cell>
          <cell r="I22">
            <v>0</v>
          </cell>
          <cell r="J22">
            <v>0</v>
          </cell>
          <cell r="K22">
            <v>0</v>
          </cell>
        </row>
        <row r="23">
          <cell r="B23">
            <v>0.74086699999999994</v>
          </cell>
          <cell r="C23">
            <v>3.8877839999999999</v>
          </cell>
          <cell r="D23">
            <v>1.964</v>
          </cell>
          <cell r="E23">
            <v>-3.4765000000000001</v>
          </cell>
          <cell r="F23">
            <v>-3.3530000000000002</v>
          </cell>
          <cell r="G23">
            <v>4.6500000000000004</v>
          </cell>
          <cell r="H23">
            <v>7.9459999999999997</v>
          </cell>
          <cell r="I23">
            <v>9.1019975012346936</v>
          </cell>
          <cell r="J23">
            <v>0</v>
          </cell>
          <cell r="K23">
            <v>0</v>
          </cell>
        </row>
        <row r="24">
          <cell r="B24">
            <v>1.0129669999999946</v>
          </cell>
          <cell r="C24">
            <v>4.2083839999999988</v>
          </cell>
          <cell r="D24">
            <v>2.2919999999999998</v>
          </cell>
          <cell r="E24">
            <v>-3.0716000000000023</v>
          </cell>
          <cell r="F24">
            <v>2.4878999999999998</v>
          </cell>
          <cell r="G24">
            <v>4.6500000000000004</v>
          </cell>
          <cell r="H24">
            <v>8.9689999999999959</v>
          </cell>
          <cell r="I24">
            <v>9.1019975012346936</v>
          </cell>
          <cell r="J24">
            <v>0</v>
          </cell>
          <cell r="K24">
            <v>0</v>
          </cell>
        </row>
        <row r="25">
          <cell r="B25">
            <v>45.05737199999993</v>
          </cell>
          <cell r="C25">
            <v>50.052000000000021</v>
          </cell>
          <cell r="D25">
            <v>86.502200000000016</v>
          </cell>
          <cell r="E25">
            <v>76.812300000000164</v>
          </cell>
          <cell r="F25">
            <v>67.607999999999947</v>
          </cell>
          <cell r="G25">
            <v>55.928999999999974</v>
          </cell>
          <cell r="H25">
            <v>93.119957590482272</v>
          </cell>
          <cell r="I25">
            <v>127.84669986537438</v>
          </cell>
          <cell r="J25">
            <v>171.40653231132634</v>
          </cell>
          <cell r="K25">
            <v>206.20180986484513</v>
          </cell>
        </row>
        <row r="26">
          <cell r="B26">
            <v>31.283838999999936</v>
          </cell>
          <cell r="C26">
            <v>69.655183999999991</v>
          </cell>
          <cell r="D26">
            <v>97.875</v>
          </cell>
          <cell r="E26">
            <v>53.070400000000163</v>
          </cell>
          <cell r="F26">
            <v>59.62489999999994</v>
          </cell>
          <cell r="G26">
            <v>102.52</v>
          </cell>
          <cell r="H26">
            <v>101.30199999999996</v>
          </cell>
          <cell r="I26">
            <v>120.7120242940713</v>
          </cell>
          <cell r="J26">
            <v>146.27302585735862</v>
          </cell>
          <cell r="K26">
            <v>178.2005107741808</v>
          </cell>
        </row>
        <row r="27">
          <cell r="B27">
            <v>-1.7345000000000625</v>
          </cell>
          <cell r="C27">
            <v>-0.20069999999999144</v>
          </cell>
          <cell r="D27">
            <v>7.0839000000000301</v>
          </cell>
          <cell r="E27">
            <v>-31.364199999999883</v>
          </cell>
          <cell r="F27">
            <v>-47.409000000000042</v>
          </cell>
          <cell r="G27">
            <v>-58.295000000000051</v>
          </cell>
          <cell r="H27">
            <v>-52.928000000000026</v>
          </cell>
          <cell r="I27">
            <v>-45.517570705928719</v>
          </cell>
          <cell r="J27">
            <v>-41.030482958112316</v>
          </cell>
          <cell r="K27">
            <v>-30.474772186383596</v>
          </cell>
        </row>
        <row r="30">
          <cell r="B30">
            <v>22.794431664970116</v>
          </cell>
          <cell r="C30">
            <v>22.760028701431906</v>
          </cell>
          <cell r="D30">
            <v>23.151980008052433</v>
          </cell>
          <cell r="E30">
            <v>22.843316811380859</v>
          </cell>
          <cell r="F30">
            <v>20.568469459247897</v>
          </cell>
          <cell r="G30">
            <v>20.826499485159076</v>
          </cell>
          <cell r="H30">
            <v>20.510375517921865</v>
          </cell>
          <cell r="I30">
            <v>20.55577071766513</v>
          </cell>
          <cell r="J30">
            <v>20.878602819582575</v>
          </cell>
          <cell r="K30">
            <v>20.609460593694131</v>
          </cell>
        </row>
        <row r="31">
          <cell r="B31">
            <v>23.109412345095969</v>
          </cell>
          <cell r="C31">
            <v>22.932510055084521</v>
          </cell>
          <cell r="D31">
            <v>22.947849232241648</v>
          </cell>
          <cell r="E31">
            <v>23.720417070416925</v>
          </cell>
          <cell r="F31">
            <v>21.730531668941051</v>
          </cell>
          <cell r="G31">
            <v>22.206681003860869</v>
          </cell>
          <cell r="H31">
            <v>21.659328294697801</v>
          </cell>
          <cell r="I31">
            <v>21.455745727755833</v>
          </cell>
          <cell r="J31">
            <v>21.478602819582576</v>
          </cell>
          <cell r="K31">
            <v>21.009460593694129</v>
          </cell>
        </row>
        <row r="32">
          <cell r="B32">
            <v>19.621733631862206</v>
          </cell>
          <cell r="C32">
            <v>20.040448083670846</v>
          </cell>
          <cell r="D32">
            <v>19.7031311642587</v>
          </cell>
          <cell r="E32">
            <v>20.427481578387233</v>
          </cell>
          <cell r="F32">
            <v>18.785177697105741</v>
          </cell>
          <cell r="G32">
            <v>19.600156294127657</v>
          </cell>
          <cell r="H32">
            <v>18.752803584964585</v>
          </cell>
          <cell r="I32">
            <v>18.449221018022619</v>
          </cell>
          <cell r="J32">
            <v>18.372078109849362</v>
          </cell>
          <cell r="K32">
            <v>17.902935883960915</v>
          </cell>
        </row>
        <row r="33">
          <cell r="B33">
            <v>17.17524079752414</v>
          </cell>
          <cell r="C33">
            <v>16.311908055549985</v>
          </cell>
          <cell r="D33">
            <v>16.096360956784249</v>
          </cell>
          <cell r="E33">
            <v>17.784650809384299</v>
          </cell>
          <cell r="F33">
            <v>16.116016602465297</v>
          </cell>
          <cell r="G33">
            <v>16.074000270138001</v>
          </cell>
          <cell r="H33">
            <v>15.861132131281405</v>
          </cell>
          <cell r="I33">
            <v>15.710230463024457</v>
          </cell>
          <cell r="J33">
            <v>15.633087554851196</v>
          </cell>
          <cell r="K33">
            <v>15.163945328962749</v>
          </cell>
        </row>
        <row r="34">
          <cell r="B34">
            <v>2.4464928343380672</v>
          </cell>
          <cell r="C34">
            <v>3.7285400281208614</v>
          </cell>
          <cell r="D34">
            <v>3.6067702074744532</v>
          </cell>
          <cell r="E34">
            <v>2.6428307690029338</v>
          </cell>
          <cell r="F34">
            <v>2.6691610946404447</v>
          </cell>
          <cell r="G34">
            <v>3.5261560239896581</v>
          </cell>
          <cell r="H34">
            <v>2.8916714536831818</v>
          </cell>
          <cell r="I34">
            <v>2.7389905549981655</v>
          </cell>
          <cell r="J34">
            <v>2.7389905549981655</v>
          </cell>
          <cell r="K34">
            <v>2.7389905549981655</v>
          </cell>
        </row>
        <row r="35">
          <cell r="B35">
            <v>3.487678713233759</v>
          </cell>
          <cell r="C35">
            <v>2.892061971413677</v>
          </cell>
          <cell r="D35">
            <v>3.2447180679829475</v>
          </cell>
          <cell r="E35">
            <v>3.2929354920296894</v>
          </cell>
          <cell r="F35">
            <v>2.9453539718353112</v>
          </cell>
          <cell r="G35">
            <v>2.6065247097332129</v>
          </cell>
          <cell r="H35">
            <v>2.9065247097332132</v>
          </cell>
          <cell r="I35">
            <v>3.0065247097332128</v>
          </cell>
          <cell r="J35">
            <v>3.1065247097332129</v>
          </cell>
          <cell r="K35">
            <v>3.1065247097332129</v>
          </cell>
        </row>
        <row r="36">
          <cell r="B36">
            <v>0.14067863667510414</v>
          </cell>
          <cell r="C36">
            <v>-4.9666849065082348E-2</v>
          </cell>
          <cell r="D36">
            <v>0</v>
          </cell>
          <cell r="E36">
            <v>0</v>
          </cell>
          <cell r="F36">
            <v>0</v>
          </cell>
          <cell r="G36">
            <v>0</v>
          </cell>
          <cell r="H36">
            <v>0</v>
          </cell>
          <cell r="I36">
            <v>0</v>
          </cell>
          <cell r="J36">
            <v>0</v>
          </cell>
          <cell r="K36">
            <v>0</v>
          </cell>
        </row>
        <row r="37">
          <cell r="B37">
            <v>5.2167873299280756E-2</v>
          </cell>
          <cell r="C37">
            <v>0.21124314737556082</v>
          </cell>
          <cell r="D37">
            <v>7.8304819174667084E-2</v>
          </cell>
          <cell r="E37">
            <v>-0.10933992586476807</v>
          </cell>
          <cell r="F37">
            <v>-8.8441860112156087E-2</v>
          </cell>
          <cell r="G37">
            <v>0.10195955297423692</v>
          </cell>
          <cell r="H37">
            <v>0.14997501009070452</v>
          </cell>
          <cell r="I37">
            <v>0.14997501009070452</v>
          </cell>
          <cell r="J37">
            <v>0</v>
          </cell>
          <cell r="K37">
            <v>0</v>
          </cell>
        </row>
        <row r="38">
          <cell r="B38">
            <v>7.1327693246361706E-2</v>
          </cell>
          <cell r="C38">
            <v>0.22866298166897953</v>
          </cell>
          <cell r="D38">
            <v>9.1382202417686825E-2</v>
          </cell>
          <cell r="E38">
            <v>-9.6605354893203446E-2</v>
          </cell>
          <cell r="F38">
            <v>6.5623174402932624E-2</v>
          </cell>
          <cell r="G38">
            <v>0.10195955297423692</v>
          </cell>
          <cell r="H38">
            <v>0.16928339611169493</v>
          </cell>
          <cell r="I38">
            <v>0.14997501009070452</v>
          </cell>
          <cell r="J38">
            <v>0</v>
          </cell>
          <cell r="K38">
            <v>0</v>
          </cell>
        </row>
        <row r="39">
          <cell r="B39">
            <v>3.1726980331079089</v>
          </cell>
          <cell r="C39">
            <v>2.7195806177610629</v>
          </cell>
          <cell r="D39">
            <v>3.4488488437937308</v>
          </cell>
          <cell r="E39">
            <v>2.4158352329936261</v>
          </cell>
          <cell r="F39">
            <v>1.7832917621421547</v>
          </cell>
          <cell r="G39">
            <v>1.226343191031418</v>
          </cell>
          <cell r="H39">
            <v>1.757571932957281</v>
          </cell>
          <cell r="I39">
            <v>2.1065496996425068</v>
          </cell>
          <cell r="J39">
            <v>2.5065247097332133</v>
          </cell>
          <cell r="K39">
            <v>2.7065247097332161</v>
          </cell>
        </row>
        <row r="40">
          <cell r="B40">
            <v>2.2028398474585789</v>
          </cell>
          <cell r="C40">
            <v>3.7847216561372252</v>
          </cell>
          <cell r="D40">
            <v>3.9022831857029239</v>
          </cell>
          <cell r="E40">
            <v>1.6691251550736672</v>
          </cell>
          <cell r="F40">
            <v>1.5727220593502209</v>
          </cell>
          <cell r="G40">
            <v>2.2479340582620981</v>
          </cell>
          <cell r="H40">
            <v>1.9120020730189455</v>
          </cell>
          <cell r="I40">
            <v>1.9889905549981657</v>
          </cell>
          <cell r="J40">
            <v>2.138990554998164</v>
          </cell>
          <cell r="K40">
            <v>2.3389905549981669</v>
          </cell>
        </row>
        <row r="41">
          <cell r="B41">
            <v>-0.12213417015146544</v>
          </cell>
          <cell r="C41">
            <v>-1.0905055342136614E-2</v>
          </cell>
          <cell r="D41">
            <v>0.2824355949854514</v>
          </cell>
          <cell r="E41">
            <v>-0.98644018490083285</v>
          </cell>
          <cell r="F41">
            <v>-1.2505040698053123</v>
          </cell>
          <cell r="G41">
            <v>-1.2782219657275582</v>
          </cell>
          <cell r="H41">
            <v>-0.99897776668522675</v>
          </cell>
          <cell r="I41">
            <v>-0.75</v>
          </cell>
          <cell r="J41">
            <v>-0.60000000000000142</v>
          </cell>
          <cell r="K41">
            <v>-0.39999999999999858</v>
          </cell>
        </row>
        <row r="44">
          <cell r="B44">
            <v>2.8416506770542416</v>
          </cell>
          <cell r="C44">
            <v>-6.3210282879135438</v>
          </cell>
          <cell r="D44">
            <v>6.9504444814160404</v>
          </cell>
          <cell r="E44">
            <v>5.3387753721651388</v>
          </cell>
          <cell r="F44">
            <v>-5.617645478881828</v>
          </cell>
          <cell r="G44">
            <v>4.3143134088046375</v>
          </cell>
          <cell r="H44">
            <v>3.4259088248167036</v>
          </cell>
          <cell r="I44">
            <v>5.5631247609181811</v>
          </cell>
          <cell r="J44">
            <v>7.1568966068015882</v>
          </cell>
          <cell r="K44">
            <v>4.6335735110868193</v>
          </cell>
        </row>
        <row r="45">
          <cell r="B45">
            <v>7.4207133576330353</v>
          </cell>
          <cell r="C45">
            <v>-6.8976230843337145</v>
          </cell>
          <cell r="D45">
            <v>5.2101538672095327</v>
          </cell>
          <cell r="E45">
            <v>10.356412495807232</v>
          </cell>
          <cell r="F45">
            <v>-3.9724109210636849</v>
          </cell>
          <cell r="G45">
            <v>5.2792790113000088</v>
          </cell>
          <cell r="H45">
            <v>2.4314555206916388</v>
          </cell>
          <cell r="I45">
            <v>4.339971524313313</v>
          </cell>
          <cell r="J45">
            <v>5.6123905558128628</v>
          </cell>
          <cell r="K45">
            <v>3.684715511437453</v>
          </cell>
        </row>
      </sheetData>
      <sheetData sheetId="5" refreshError="1"/>
      <sheetData sheetId="6" refreshError="1">
        <row r="61">
          <cell r="A61" t="str">
            <v>Table 2:  Selected Economic and Financial Indicators</v>
          </cell>
        </row>
        <row r="63">
          <cell r="A63">
            <v>36420.714661342594</v>
          </cell>
          <cell r="E63" t="str">
            <v>Prel.</v>
          </cell>
          <cell r="F63" t="str">
            <v>Est.</v>
          </cell>
          <cell r="G63" t="str">
            <v xml:space="preserve">                                          Projections</v>
          </cell>
        </row>
        <row r="64">
          <cell r="A64">
            <v>36420.714661342594</v>
          </cell>
          <cell r="B64">
            <v>1994</v>
          </cell>
          <cell r="C64">
            <v>1995</v>
          </cell>
          <cell r="D64">
            <v>1996</v>
          </cell>
          <cell r="E64">
            <v>1997</v>
          </cell>
          <cell r="F64">
            <v>1998</v>
          </cell>
          <cell r="G64">
            <v>1999</v>
          </cell>
          <cell r="H64">
            <v>2000</v>
          </cell>
          <cell r="I64">
            <v>2001</v>
          </cell>
        </row>
        <row r="66">
          <cell r="A66" t="str">
            <v>(Annual percentage change, unless otherwise indicated)</v>
          </cell>
        </row>
        <row r="67">
          <cell r="A67" t="str">
            <v>National income and prices</v>
          </cell>
        </row>
        <row r="68">
          <cell r="A68" t="str">
            <v xml:space="preserve">Real GDP                               </v>
          </cell>
          <cell r="B68">
            <v>4.4153269913708826</v>
          </cell>
          <cell r="C68">
            <v>-6.1794276647163748</v>
          </cell>
          <cell r="D68">
            <v>5.1398275733348653</v>
          </cell>
          <cell r="E68">
            <v>6.7621327334587589</v>
          </cell>
          <cell r="F68">
            <v>4.8209265157837855</v>
          </cell>
          <cell r="G68">
            <v>3.02191066916222</v>
          </cell>
          <cell r="H68">
            <v>5.0199999999999996</v>
          </cell>
          <cell r="I68">
            <v>5.33</v>
          </cell>
        </row>
        <row r="69">
          <cell r="A69" t="str">
            <v>Real GDP per capita</v>
          </cell>
          <cell r="B69">
            <v>2.6153269913708828</v>
          </cell>
          <cell r="C69">
            <v>-7.9794276647163747</v>
          </cell>
          <cell r="D69">
            <v>3.3398275733348655</v>
          </cell>
          <cell r="E69">
            <v>4.962132733458759</v>
          </cell>
          <cell r="F69">
            <v>3.0209265157837857</v>
          </cell>
          <cell r="G69">
            <v>1.2219106691622199</v>
          </cell>
          <cell r="H69">
            <v>3.2199999999999998</v>
          </cell>
          <cell r="I69">
            <v>3.5300000000000002</v>
          </cell>
        </row>
        <row r="70">
          <cell r="A70" t="str">
            <v xml:space="preserve">GDP deflator                           </v>
          </cell>
          <cell r="B70">
            <v>8.2718280898193886</v>
          </cell>
          <cell r="C70">
            <v>38.128820185944875</v>
          </cell>
          <cell r="D70">
            <v>29.618273806469109</v>
          </cell>
          <cell r="E70">
            <v>18.738955775973775</v>
          </cell>
          <cell r="F70">
            <v>13.753359749449402</v>
          </cell>
          <cell r="G70">
            <v>16.766898457626954</v>
          </cell>
          <cell r="H70">
            <v>10.619735767276033</v>
          </cell>
          <cell r="I70">
            <v>8.7517031287820259</v>
          </cell>
        </row>
        <row r="71">
          <cell r="A71" t="str">
            <v xml:space="preserve">Consumer prices (end of year)               </v>
          </cell>
          <cell r="B71">
            <v>7.0519931574309247</v>
          </cell>
          <cell r="C71">
            <v>51.96</v>
          </cell>
          <cell r="D71">
            <v>27.71</v>
          </cell>
          <cell r="E71">
            <v>15.7</v>
          </cell>
          <cell r="F71">
            <v>18.605333217750662</v>
          </cell>
          <cell r="G71">
            <v>13</v>
          </cell>
          <cell r="H71">
            <v>9.9999931934325872</v>
          </cell>
          <cell r="I71">
            <v>8.0008829541263751</v>
          </cell>
        </row>
        <row r="72">
          <cell r="A72" t="str">
            <v xml:space="preserve">Consumer prices (average)              </v>
          </cell>
          <cell r="B72">
            <v>6.97</v>
          </cell>
          <cell r="C72">
            <v>35</v>
          </cell>
          <cell r="D72">
            <v>34.38153509877997</v>
          </cell>
          <cell r="E72">
            <v>20.62</v>
          </cell>
          <cell r="F72">
            <v>15.931387068849446</v>
          </cell>
          <cell r="G72">
            <v>17.064493012564451</v>
          </cell>
          <cell r="H72">
            <v>11.156597940176095</v>
          </cell>
          <cell r="I72">
            <v>8.7477985299653227</v>
          </cell>
        </row>
        <row r="73">
          <cell r="A73" t="str">
            <v/>
          </cell>
        </row>
        <row r="74">
          <cell r="A74" t="str">
            <v>External sector</v>
          </cell>
        </row>
        <row r="75">
          <cell r="A75" t="str">
            <v xml:space="preserve">Exports, f.o.b.                   </v>
          </cell>
          <cell r="B75">
            <v>14</v>
          </cell>
          <cell r="C75">
            <v>32.034174668880325</v>
          </cell>
          <cell r="D75">
            <v>22.735313739159114</v>
          </cell>
          <cell r="E75">
            <v>13.137644094969092</v>
          </cell>
          <cell r="F75">
            <v>1.1394138961801303</v>
          </cell>
          <cell r="G75">
            <v>7.2996890647440082</v>
          </cell>
          <cell r="H75">
            <v>10.352648449844448</v>
          </cell>
          <cell r="I75">
            <v>10.382838026519202</v>
          </cell>
        </row>
        <row r="76">
          <cell r="A76" t="str">
            <v xml:space="preserve">  Export volume                        </v>
          </cell>
          <cell r="B76">
            <v>12.188974309463552</v>
          </cell>
          <cell r="C76">
            <v>26.945025245835641</v>
          </cell>
          <cell r="D76">
            <v>21.3234348352197</v>
          </cell>
          <cell r="E76">
            <v>19.484603020586921</v>
          </cell>
          <cell r="F76">
            <v>3.776537176809569</v>
          </cell>
          <cell r="G76">
            <v>6.105181465058851</v>
          </cell>
          <cell r="H76">
            <v>7.3813037125708192</v>
          </cell>
          <cell r="I76">
            <v>8.6184230268044892</v>
          </cell>
        </row>
        <row r="77">
          <cell r="A77" t="str">
            <v>Imports, f.o.b.</v>
          </cell>
          <cell r="B77">
            <v>20.399999999999999</v>
          </cell>
          <cell r="C77">
            <v>-21.409076472876031</v>
          </cell>
          <cell r="D77">
            <v>27.423547945827153</v>
          </cell>
          <cell r="E77">
            <v>24.610907314789831</v>
          </cell>
          <cell r="F77">
            <v>12.535164687100631</v>
          </cell>
          <cell r="G77">
            <v>1.8763531644194975</v>
          </cell>
          <cell r="H77">
            <v>12.037640867945543</v>
          </cell>
          <cell r="I77">
            <v>11.196978411795344</v>
          </cell>
        </row>
        <row r="78">
          <cell r="A78" t="str">
            <v xml:space="preserve">  Import volume                        </v>
          </cell>
          <cell r="B78">
            <v>19.158714144640477</v>
          </cell>
          <cell r="C78">
            <v>-23.325928266220508</v>
          </cell>
          <cell r="D78">
            <v>31.772024763006357</v>
          </cell>
          <cell r="E78">
            <v>29.667957663673093</v>
          </cell>
          <cell r="F78">
            <v>14.248898159493017</v>
          </cell>
          <cell r="G78">
            <v>1.2695868775091212</v>
          </cell>
          <cell r="H78">
            <v>10.823924801636556</v>
          </cell>
          <cell r="I78">
            <v>10.760746941634126</v>
          </cell>
        </row>
        <row r="79">
          <cell r="A79" t="str">
            <v xml:space="preserve">Terms of trade (deterioration -)            </v>
          </cell>
          <cell r="B79">
            <v>0.6</v>
          </cell>
          <cell r="C79">
            <v>1.4721362225848855</v>
          </cell>
          <cell r="D79">
            <v>4.6160614247103826</v>
          </cell>
          <cell r="E79">
            <v>-1.4692477806172</v>
          </cell>
          <cell r="F79">
            <v>-1.0570107562118292</v>
          </cell>
          <cell r="G79">
            <v>0.52264103217600777</v>
          </cell>
          <cell r="H79">
            <v>1.6489583682522291</v>
          </cell>
          <cell r="I79">
            <v>1.2195378092848763</v>
          </cell>
        </row>
        <row r="81">
          <cell r="A81" t="str">
            <v>Exchange rates</v>
          </cell>
        </row>
        <row r="82">
          <cell r="A82" t="str">
            <v xml:space="preserve">Nominal exchange rate </v>
          </cell>
        </row>
        <row r="83">
          <cell r="A83" t="str">
            <v xml:space="preserve">  (average, depreciation -)</v>
          </cell>
          <cell r="B83">
            <v>-8.1999999999999993</v>
          </cell>
          <cell r="C83">
            <v>-48.013200405099944</v>
          </cell>
          <cell r="D83">
            <v>-14.594050981259743</v>
          </cell>
          <cell r="E83">
            <v>-4.0014211163612483</v>
          </cell>
          <cell r="F83">
            <v>-13.323615612449025</v>
          </cell>
          <cell r="G83">
            <v>-12.71941976370179</v>
          </cell>
          <cell r="H83">
            <v>-7.9022999358466128</v>
          </cell>
          <cell r="I83">
            <v>-5.9291301682660276</v>
          </cell>
        </row>
        <row r="84">
          <cell r="A84" t="str">
            <v>Real effective exchange rate (CPI based)</v>
          </cell>
        </row>
        <row r="85">
          <cell r="A85" t="str">
            <v xml:space="preserve">  (average, depreciation -)            </v>
          </cell>
          <cell r="B85">
            <v>-3.8211794989551171</v>
          </cell>
          <cell r="C85">
            <v>-33.185740460034403</v>
          </cell>
          <cell r="D85">
            <v>13.023071620487093</v>
          </cell>
          <cell r="E85">
            <v>17.899999999999999</v>
          </cell>
          <cell r="F85">
            <v>1.5551784585175588</v>
          </cell>
          <cell r="G85">
            <v>-4.0758335840949229</v>
          </cell>
          <cell r="H85">
            <v>0</v>
          </cell>
          <cell r="I85">
            <v>0</v>
          </cell>
        </row>
        <row r="86">
          <cell r="A86" t="str">
            <v>Real effective exchange rate (ULC based)</v>
          </cell>
        </row>
        <row r="87">
          <cell r="A87" t="str">
            <v xml:space="preserve">  (average, depreciation -)            </v>
          </cell>
          <cell r="B87">
            <v>-3.2</v>
          </cell>
          <cell r="C87">
            <v>-40.799999999999997</v>
          </cell>
          <cell r="D87">
            <v>-6</v>
          </cell>
          <cell r="E87">
            <v>13.6</v>
          </cell>
          <cell r="F87">
            <v>2.5</v>
          </cell>
          <cell r="G87" t="str">
            <v>...</v>
          </cell>
          <cell r="H87" t="str">
            <v>...</v>
          </cell>
          <cell r="I87" t="str">
            <v>...</v>
          </cell>
        </row>
        <row r="88">
          <cell r="A88" t="str">
            <v/>
          </cell>
        </row>
        <row r="89">
          <cell r="A89" t="str">
            <v>Nonfinancial public sector</v>
          </cell>
        </row>
        <row r="90">
          <cell r="A90" t="str">
            <v>Real budgetary revenue</v>
          </cell>
          <cell r="B90">
            <v>2.8</v>
          </cell>
          <cell r="C90">
            <v>-6.3210282879135438</v>
          </cell>
          <cell r="D90">
            <v>6.9504444814160404</v>
          </cell>
          <cell r="E90">
            <v>5.3387753721651388</v>
          </cell>
          <cell r="F90">
            <v>-5.617645478881828</v>
          </cell>
          <cell r="G90">
            <v>4.3143134088046375</v>
          </cell>
          <cell r="H90">
            <v>3.4259088248167036</v>
          </cell>
          <cell r="I90">
            <v>5.5631247609181811</v>
          </cell>
        </row>
        <row r="91">
          <cell r="A91" t="str">
            <v>Real budgetary expenditure</v>
          </cell>
          <cell r="B91">
            <v>7.4</v>
          </cell>
          <cell r="C91">
            <v>-6.8976230843337145</v>
          </cell>
          <cell r="D91">
            <v>5.2101538672095327</v>
          </cell>
          <cell r="E91">
            <v>10.356412495807232</v>
          </cell>
          <cell r="F91">
            <v>-3.9724109210636849</v>
          </cell>
          <cell r="G91">
            <v>5.2792790113000088</v>
          </cell>
          <cell r="H91">
            <v>2.4314555206916388</v>
          </cell>
          <cell r="I91">
            <v>4.339971524313313</v>
          </cell>
        </row>
        <row r="93">
          <cell r="A93" t="str">
            <v>Money and credit</v>
          </cell>
        </row>
        <row r="94">
          <cell r="A94" t="str">
            <v>Broad money (M2)</v>
          </cell>
          <cell r="B94">
            <v>22.8</v>
          </cell>
          <cell r="C94">
            <v>34.990599540421982</v>
          </cell>
          <cell r="D94">
            <v>25.487465181058489</v>
          </cell>
          <cell r="E94">
            <v>22.098902454063385</v>
          </cell>
          <cell r="F94">
            <v>22.735077264922744</v>
          </cell>
          <cell r="G94">
            <v>18.137580181375789</v>
          </cell>
          <cell r="H94">
            <v>17.832432708777791</v>
          </cell>
          <cell r="I94">
            <v>16.032476615892932</v>
          </cell>
        </row>
        <row r="95">
          <cell r="A95" t="str">
            <v xml:space="preserve">Monetary base                          </v>
          </cell>
          <cell r="B95">
            <v>20.6</v>
          </cell>
          <cell r="C95">
            <v>17.340522692145566</v>
          </cell>
          <cell r="D95">
            <v>25.731563112754287</v>
          </cell>
          <cell r="E95">
            <v>29.924231188142848</v>
          </cell>
          <cell r="F95">
            <v>20.133204891642453</v>
          </cell>
          <cell r="G95">
            <v>18.13758018137581</v>
          </cell>
          <cell r="H95">
            <v>17.832432708777791</v>
          </cell>
          <cell r="I95">
            <v>16.032476615892932</v>
          </cell>
        </row>
        <row r="96">
          <cell r="A96" t="str">
            <v>Monetary base end-period velocity</v>
          </cell>
          <cell r="B96">
            <v>-6.7</v>
          </cell>
          <cell r="C96">
            <v>20.399999999999999</v>
          </cell>
          <cell r="D96">
            <v>9.3000000000000007</v>
          </cell>
          <cell r="E96">
            <v>-4.3</v>
          </cell>
          <cell r="F96">
            <v>3.4877986382830128</v>
          </cell>
          <cell r="G96">
            <v>-1.4583176010355525</v>
          </cell>
          <cell r="H96">
            <v>-1.9607843137255054</v>
          </cell>
          <cell r="I96">
            <v>-1.9607843137254943</v>
          </cell>
        </row>
        <row r="97">
          <cell r="A97" t="str">
            <v>Treasury bill rate (28-day cetes, in percent, annual average)</v>
          </cell>
          <cell r="B97">
            <v>14.5</v>
          </cell>
          <cell r="C97">
            <v>48.4</v>
          </cell>
          <cell r="D97">
            <v>31.39</v>
          </cell>
          <cell r="E97">
            <v>19.8</v>
          </cell>
          <cell r="F97">
            <v>24.761666666666667</v>
          </cell>
          <cell r="G97">
            <v>19.29</v>
          </cell>
          <cell r="H97">
            <v>16.302833362624959</v>
          </cell>
          <cell r="I97">
            <v>14.492941977402909</v>
          </cell>
        </row>
        <row r="98">
          <cell r="A98" t="str">
            <v xml:space="preserve">Real interest rate (in percent, annual average) </v>
          </cell>
          <cell r="B98">
            <v>5.5</v>
          </cell>
          <cell r="C98">
            <v>4.5999999999999996</v>
          </cell>
          <cell r="D98">
            <v>7.2</v>
          </cell>
          <cell r="E98">
            <v>6.3</v>
          </cell>
          <cell r="F98">
            <v>7.5</v>
          </cell>
          <cell r="G98">
            <v>7.2</v>
          </cell>
          <cell r="H98">
            <v>6.490344493230598</v>
          </cell>
          <cell r="I98">
            <v>6.490344493230598</v>
          </cell>
        </row>
        <row r="100">
          <cell r="A100" t="str">
            <v>(In percent of GDP)</v>
          </cell>
        </row>
        <row r="102">
          <cell r="A102" t="str">
            <v>Nonfinancial public sector 1/</v>
          </cell>
        </row>
        <row r="103">
          <cell r="A103" t="str">
            <v>Budgetary revenue</v>
          </cell>
          <cell r="B103">
            <v>22.794431664970116</v>
          </cell>
          <cell r="C103">
            <v>22.760028701431906</v>
          </cell>
          <cell r="D103">
            <v>23.151980008052433</v>
          </cell>
          <cell r="E103">
            <v>22.843316811380859</v>
          </cell>
          <cell r="F103">
            <v>20.568469459247897</v>
          </cell>
          <cell r="G103">
            <v>20.826499485159076</v>
          </cell>
          <cell r="H103">
            <v>20.510375517921865</v>
          </cell>
          <cell r="I103">
            <v>20.55577071766513</v>
          </cell>
        </row>
        <row r="104">
          <cell r="A104" t="str">
            <v>Total expenditure 2/</v>
          </cell>
          <cell r="B104">
            <v>22.916565835121581</v>
          </cell>
          <cell r="C104">
            <v>22.770933756774042</v>
          </cell>
          <cell r="D104">
            <v>22.869544413066979</v>
          </cell>
          <cell r="E104">
            <v>23.829756996281692</v>
          </cell>
          <cell r="F104">
            <v>21.818973529053206</v>
          </cell>
          <cell r="G104">
            <v>22.104721450886633</v>
          </cell>
          <cell r="H104">
            <v>21.509353284607098</v>
          </cell>
          <cell r="I104">
            <v>21.30577071766513</v>
          </cell>
        </row>
        <row r="105">
          <cell r="A105" t="str">
            <v>Primary balance 3/</v>
          </cell>
          <cell r="B105">
            <v>2.2028398474585789</v>
          </cell>
          <cell r="C105">
            <v>3.7847216561372252</v>
          </cell>
          <cell r="D105">
            <v>3.9022831857029239</v>
          </cell>
          <cell r="E105">
            <v>1.6691251550736672</v>
          </cell>
          <cell r="F105">
            <v>1.5727220593502209</v>
          </cell>
          <cell r="G105">
            <v>2.2479340582620981</v>
          </cell>
          <cell r="H105">
            <v>1.9120020730189455</v>
          </cell>
          <cell r="I105">
            <v>1.9889905549981657</v>
          </cell>
        </row>
        <row r="106">
          <cell r="A106" t="str">
            <v xml:space="preserve">Overall balance </v>
          </cell>
          <cell r="B106">
            <v>-0.12213417015146544</v>
          </cell>
          <cell r="C106">
            <v>-1.0905055342136614E-2</v>
          </cell>
          <cell r="D106">
            <v>0.2824355949854514</v>
          </cell>
          <cell r="E106">
            <v>-0.98644018490083285</v>
          </cell>
          <cell r="F106">
            <v>-1.2505040698053123</v>
          </cell>
          <cell r="G106">
            <v>-1.2782219657275582</v>
          </cell>
          <cell r="H106">
            <v>-0.99897776668522675</v>
          </cell>
          <cell r="I106">
            <v>-0.75</v>
          </cell>
        </row>
        <row r="107">
          <cell r="A107" t="str">
            <v>Operational balance</v>
          </cell>
          <cell r="B107">
            <v>0.62498410756472467</v>
          </cell>
          <cell r="C107">
            <v>1.480115424907833</v>
          </cell>
          <cell r="D107">
            <v>0.80196256333153171</v>
          </cell>
          <cell r="E107">
            <v>-9.3740767182742157E-2</v>
          </cell>
          <cell r="F107">
            <v>-0.43039999571796717</v>
          </cell>
          <cell r="G107">
            <v>-0.41143320426131158</v>
          </cell>
          <cell r="H107">
            <v>-0.18779309691489754</v>
          </cell>
          <cell r="I107">
            <v>-1.5970073408733132E-2</v>
          </cell>
        </row>
        <row r="108">
          <cell r="A108" t="str">
            <v/>
          </cell>
        </row>
        <row r="109">
          <cell r="A109" t="str">
            <v>Savings and investment</v>
          </cell>
        </row>
        <row r="110">
          <cell r="A110" t="str">
            <v xml:space="preserve">Gross domestic investment              </v>
          </cell>
          <cell r="B110">
            <v>21.735991174684152</v>
          </cell>
          <cell r="C110">
            <v>19.96874324249595</v>
          </cell>
          <cell r="D110">
            <v>23.394155881972477</v>
          </cell>
          <cell r="E110">
            <v>25.380722564763708</v>
          </cell>
          <cell r="F110">
            <v>24.632110021576466</v>
          </cell>
          <cell r="G110">
            <v>24.127062008287446</v>
          </cell>
          <cell r="H110">
            <v>25.272679460751057</v>
          </cell>
          <cell r="I110">
            <v>26.261501750837585</v>
          </cell>
        </row>
        <row r="111">
          <cell r="A111" t="str">
            <v>Public investment</v>
          </cell>
          <cell r="B111">
            <v>3.756565415351818</v>
          </cell>
          <cell r="C111">
            <v>3.3126406150038266</v>
          </cell>
          <cell r="D111">
            <v>3.7500530354174493</v>
          </cell>
          <cell r="E111">
            <v>3.6250047625492687</v>
          </cell>
          <cell r="F111">
            <v>3.2468011570082314</v>
          </cell>
          <cell r="G111">
            <v>2.9590854951682131</v>
          </cell>
          <cell r="H111">
            <v>2.9678291639419276</v>
          </cell>
          <cell r="I111">
            <v>2.9581268927970705</v>
          </cell>
        </row>
        <row r="112">
          <cell r="A112" t="str">
            <v>Private fixed  investment</v>
          </cell>
          <cell r="B112">
            <v>15.597693257244655</v>
          </cell>
          <cell r="C112">
            <v>12.809030407323242</v>
          </cell>
          <cell r="D112">
            <v>14.189451300288194</v>
          </cell>
          <cell r="E112">
            <v>15.964435552312295</v>
          </cell>
          <cell r="F112">
            <v>18.116865528888084</v>
          </cell>
          <cell r="G112">
            <v>17.899533177439082</v>
          </cell>
          <cell r="H112">
            <v>19.036406961128979</v>
          </cell>
          <cell r="I112">
            <v>20.034931522360363</v>
          </cell>
        </row>
        <row r="113">
          <cell r="A113" t="str">
            <v>Change in inventories</v>
          </cell>
          <cell r="B113">
            <v>2.3817325020876785</v>
          </cell>
          <cell r="C113">
            <v>3.847072220168883</v>
          </cell>
          <cell r="D113">
            <v>5.4546515462668346</v>
          </cell>
          <cell r="E113">
            <v>5.7912822499021432</v>
          </cell>
          <cell r="F113">
            <v>3.2684433356801517</v>
          </cell>
          <cell r="G113">
            <v>3.2684433356801517</v>
          </cell>
          <cell r="H113">
            <v>3.2684433356801517</v>
          </cell>
          <cell r="I113">
            <v>3.2684433356801517</v>
          </cell>
        </row>
        <row r="114">
          <cell r="A114" t="str">
            <v xml:space="preserve">Gross national savings                 </v>
          </cell>
          <cell r="B114">
            <v>14.686555537830905</v>
          </cell>
          <cell r="C114">
            <v>19.412623850586723</v>
          </cell>
          <cell r="D114">
            <v>22.851436563352671</v>
          </cell>
          <cell r="E114">
            <v>23.555486604144804</v>
          </cell>
          <cell r="F114">
            <v>20.750333743749092</v>
          </cell>
          <cell r="G114">
            <v>21.878060355751167</v>
          </cell>
          <cell r="H114">
            <v>22.505693562790437</v>
          </cell>
          <cell r="I114">
            <v>23.259468657221234</v>
          </cell>
        </row>
        <row r="115">
          <cell r="A115" t="str">
            <v xml:space="preserve">Public savings </v>
          </cell>
          <cell r="B115">
            <v>4.3815495229165426</v>
          </cell>
          <cell r="C115">
            <v>4.7927560399116595</v>
          </cell>
          <cell r="D115">
            <v>4.552015598748981</v>
          </cell>
          <cell r="E115">
            <v>3.5312639953665266</v>
          </cell>
          <cell r="F115">
            <v>2.8164011612902642</v>
          </cell>
          <cell r="G115">
            <v>2.5476522909069015</v>
          </cell>
          <cell r="H115">
            <v>2.7800360670270301</v>
          </cell>
          <cell r="I115">
            <v>2.9421568193883374</v>
          </cell>
        </row>
        <row r="116">
          <cell r="A116" t="str">
            <v>Private savings</v>
          </cell>
          <cell r="B116">
            <v>10.362613927934365</v>
          </cell>
          <cell r="C116">
            <v>14.619867810675061</v>
          </cell>
          <cell r="D116">
            <v>18.299420964603691</v>
          </cell>
          <cell r="E116">
            <v>20.024222608778278</v>
          </cell>
          <cell r="F116">
            <v>17.933932582458826</v>
          </cell>
          <cell r="G116">
            <v>19.330408064844264</v>
          </cell>
          <cell r="H116">
            <v>19.725657495763407</v>
          </cell>
          <cell r="I116">
            <v>20.317311837832897</v>
          </cell>
        </row>
        <row r="117">
          <cell r="A117" t="str">
            <v xml:space="preserve">External current account balance            </v>
          </cell>
          <cell r="B117">
            <v>-7.0494356368532474</v>
          </cell>
          <cell r="C117">
            <v>-0.55611939190922688</v>
          </cell>
          <cell r="D117">
            <v>-0.54271931861980649</v>
          </cell>
          <cell r="E117">
            <v>-1.8252359606189046</v>
          </cell>
          <cell r="F117">
            <v>-3.8817762778273748</v>
          </cell>
          <cell r="G117">
            <v>-2.2490016525362808</v>
          </cell>
          <cell r="H117">
            <v>-2.7669858979606188</v>
          </cell>
          <cell r="I117">
            <v>-3.0020330936163502</v>
          </cell>
        </row>
        <row r="118">
          <cell r="A118" t="str">
            <v/>
          </cell>
        </row>
        <row r="119">
          <cell r="A119" t="str">
            <v xml:space="preserve">Net public external debt (including IMF, end of period)                </v>
          </cell>
          <cell r="B119">
            <v>19.190517196584985</v>
          </cell>
          <cell r="C119">
            <v>37.95584519035102</v>
          </cell>
          <cell r="D119">
            <v>31.224577739530318</v>
          </cell>
          <cell r="E119">
            <v>21.607758087025172</v>
          </cell>
          <cell r="F119">
            <v>21.220652846034547</v>
          </cell>
          <cell r="G119">
            <v>19.636162077613299</v>
          </cell>
          <cell r="H119">
            <v>18.141631500831803</v>
          </cell>
          <cell r="I119">
            <v>17.552207097272486</v>
          </cell>
        </row>
        <row r="120">
          <cell r="A120" t="str">
            <v>Domestic nonfinancial public debt (end of period)</v>
          </cell>
          <cell r="B120">
            <v>13.760123582627189</v>
          </cell>
          <cell r="C120">
            <v>9.7919681387644655</v>
          </cell>
          <cell r="D120">
            <v>8.6524751944322258</v>
          </cell>
          <cell r="E120">
            <v>9.511202393282721</v>
          </cell>
          <cell r="F120">
            <v>10.876870101370633</v>
          </cell>
          <cell r="G120">
            <v>9.1398637853448612</v>
          </cell>
          <cell r="H120">
            <v>7.5489172998014684</v>
          </cell>
          <cell r="I120">
            <v>1.7158130457144303</v>
          </cell>
        </row>
        <row r="121">
          <cell r="A121" t="str">
            <v>Domestic financial public debt (end of period)</v>
          </cell>
          <cell r="B121">
            <v>0</v>
          </cell>
          <cell r="C121">
            <v>5.8029146404848531</v>
          </cell>
          <cell r="D121">
            <v>13.486594622426798</v>
          </cell>
          <cell r="E121">
            <v>15.466284002526972</v>
          </cell>
          <cell r="F121">
            <v>15.420746995934929</v>
          </cell>
          <cell r="G121">
            <v>15.189094897011932</v>
          </cell>
          <cell r="H121">
            <v>14.49820330979643</v>
          </cell>
          <cell r="I121">
            <v>13.733759520971663</v>
          </cell>
        </row>
        <row r="122">
          <cell r="A122" t="str">
            <v/>
          </cell>
        </row>
        <row r="123">
          <cell r="A123" t="str">
            <v>(In percent of exports of goods, nonfactor services, and transfers)</v>
          </cell>
        </row>
        <row r="124">
          <cell r="A124" t="str">
            <v/>
          </cell>
        </row>
        <row r="125">
          <cell r="A125" t="str">
            <v>Public external debt service (including IMF)</v>
          </cell>
          <cell r="B125">
            <v>33.380367749192189</v>
          </cell>
          <cell r="C125">
            <v>32.144285675899184</v>
          </cell>
          <cell r="D125">
            <v>45.683187826480825</v>
          </cell>
          <cell r="E125">
            <v>40.49903102216679</v>
          </cell>
          <cell r="F125">
            <v>23.949469270503503</v>
          </cell>
          <cell r="G125">
            <v>24.438085719191221</v>
          </cell>
          <cell r="H125">
            <v>22.118968790157144</v>
          </cell>
          <cell r="I125">
            <v>14.480344096978925</v>
          </cell>
        </row>
        <row r="126">
          <cell r="A126" t="str">
            <v/>
          </cell>
        </row>
        <row r="127">
          <cell r="A127" t="str">
            <v>(In billions of U.S. dollars, unless otherwise indicated)</v>
          </cell>
        </row>
        <row r="128">
          <cell r="A128" t="str">
            <v/>
          </cell>
        </row>
        <row r="129">
          <cell r="A129" t="str">
            <v xml:space="preserve">Change in reserves (increase -) </v>
          </cell>
          <cell r="B129">
            <v>17.9193</v>
          </cell>
          <cell r="C129">
            <v>2.8584999999999998</v>
          </cell>
          <cell r="D129">
            <v>-6.3473000000000006</v>
          </cell>
          <cell r="E129">
            <v>-13.511043000000001</v>
          </cell>
          <cell r="F129">
            <v>-3.7</v>
          </cell>
          <cell r="G129">
            <v>0</v>
          </cell>
          <cell r="H129">
            <v>-1.5</v>
          </cell>
          <cell r="I129">
            <v>-1.5</v>
          </cell>
        </row>
        <row r="130">
          <cell r="A130" t="str">
            <v>Gross official reserves in months of imports</v>
          </cell>
          <cell r="B130">
            <v>1.3116303242034182</v>
          </cell>
          <cell r="C130">
            <v>4.4860775250085894</v>
          </cell>
          <cell r="D130">
            <v>3.9884607752853003</v>
          </cell>
          <cell r="E130">
            <v>4.7199278128687441</v>
          </cell>
          <cell r="F130">
            <v>4.6295624410420135</v>
          </cell>
          <cell r="G130">
            <v>4.0517190433340087</v>
          </cell>
          <cell r="H130">
            <v>3.6470055532603425</v>
          </cell>
          <cell r="I130">
            <v>3.6500738106961985</v>
          </cell>
        </row>
        <row r="131">
          <cell r="A131" t="str">
            <v>Gross reserves/base money (in percent)</v>
          </cell>
          <cell r="B131">
            <v>60.190569235632985</v>
          </cell>
          <cell r="C131">
            <v>197.89006234190006</v>
          </cell>
          <cell r="D131">
            <v>183.1713071428571</v>
          </cell>
          <cell r="E131">
            <v>213.64841414519918</v>
          </cell>
          <cell r="F131">
            <v>240.02433090024329</v>
          </cell>
          <cell r="G131">
            <v>201.00104619304835</v>
          </cell>
          <cell r="H131">
            <v>183.24604045464562</v>
          </cell>
          <cell r="I131">
            <v>186.20199974103372</v>
          </cell>
        </row>
        <row r="132">
          <cell r="A132" t="str">
            <v>Gross external debt (end of period)</v>
          </cell>
          <cell r="B132">
            <v>142.1979</v>
          </cell>
          <cell r="C132">
            <v>169.84870000000001</v>
          </cell>
          <cell r="D132">
            <v>164.2046566436</v>
          </cell>
          <cell r="E132">
            <v>153.46946200361398</v>
          </cell>
          <cell r="F132">
            <v>158.86111121642</v>
          </cell>
          <cell r="G132">
            <v>160.50980869887999</v>
          </cell>
          <cell r="H132">
            <v>165.63045502345997</v>
          </cell>
          <cell r="I132">
            <v>175.16091720601</v>
          </cell>
        </row>
        <row r="133">
          <cell r="A133" t="str">
            <v>Oil export price (US$/bbl)</v>
          </cell>
          <cell r="B133">
            <v>13.885401054385765</v>
          </cell>
          <cell r="C133">
            <v>15.564832490717238</v>
          </cell>
          <cell r="D133">
            <v>18.95</v>
          </cell>
          <cell r="E133">
            <v>16.46</v>
          </cell>
          <cell r="F133">
            <v>10.199999999999999</v>
          </cell>
          <cell r="G133">
            <v>9.25</v>
          </cell>
          <cell r="H133">
            <v>9.9994999999999994</v>
          </cell>
          <cell r="I133">
            <v>10.419478999999999</v>
          </cell>
        </row>
        <row r="135">
          <cell r="A135" t="str">
            <v>Sources:  INEGI; Bank of Mexico; Secretariat of Finance and Public Credit; and Fund staff estimates.</v>
          </cell>
        </row>
        <row r="137">
          <cell r="A137" t="str">
            <v xml:space="preserve">   1/   Includes privatization proceeds, except for those due to TELMEX and commercial banks.</v>
          </cell>
        </row>
        <row r="138">
          <cell r="A138" t="str">
            <v xml:space="preserve">   2/   Includes extrabudgetary balance.</v>
          </cell>
        </row>
        <row r="139">
          <cell r="A139" t="str">
            <v xml:space="preserve">   3/   Treats bank restructuring transfers as noninterest expenditure.</v>
          </cell>
        </row>
      </sheetData>
      <sheetData sheetId="7" refreshError="1"/>
      <sheetData sheetId="8" refreshError="1"/>
      <sheetData sheetId="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Content"/>
      <sheetName val="B.  Assumptions"/>
      <sheetName val=" C.  Balance BR"/>
      <sheetName val="D. BR"/>
      <sheetName val="E. Intermediarios + EFE"/>
      <sheetName val="F. P Bancario"/>
      <sheetName val="H.  Program"/>
      <sheetName val="G. Fogafín"/>
      <sheetName val="I. Summary"/>
      <sheetName val="J.  IMF Currency"/>
      <sheetName val="K. IMF Base"/>
      <sheetName val="L. IMF Base acc. rate"/>
      <sheetName val="M.  Performance"/>
      <sheetName val="N. SR"/>
      <sheetName val="assumptions"/>
      <sheetName val="fiscal"/>
      <sheetName val="contents"/>
      <sheetName val="se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
      <sheetName val="Micro"/>
      <sheetName val="Q1"/>
      <sheetName val="Q2"/>
      <sheetName val="Q3"/>
      <sheetName val="Q4"/>
      <sheetName val="Q5"/>
      <sheetName val="Q6"/>
      <sheetName val="Q7"/>
      <sheetName val="QQ"/>
      <sheetName val="QC"/>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Rates"/>
    </sheetNames>
    <sheetDataSet>
      <sheetData sheetId="0" refreshError="1">
        <row r="8">
          <cell r="G8">
            <v>1</v>
          </cell>
        </row>
        <row r="9">
          <cell r="G9">
            <v>0.2</v>
          </cell>
        </row>
        <row r="10">
          <cell r="G10">
            <v>0.2</v>
          </cell>
        </row>
        <row r="11">
          <cell r="G11">
            <v>1</v>
          </cell>
        </row>
        <row r="12">
          <cell r="G12">
            <v>1</v>
          </cell>
        </row>
        <row r="13">
          <cell r="G13">
            <v>1</v>
          </cell>
        </row>
        <row r="14">
          <cell r="G14">
            <v>1</v>
          </cell>
        </row>
        <row r="15">
          <cell r="G15">
            <v>1</v>
          </cell>
        </row>
        <row r="16">
          <cell r="G16">
            <v>1</v>
          </cell>
        </row>
        <row r="17">
          <cell r="G17">
            <v>0.75</v>
          </cell>
        </row>
        <row r="18">
          <cell r="G18">
            <v>1</v>
          </cell>
        </row>
        <row r="19">
          <cell r="G19">
            <v>1</v>
          </cell>
        </row>
        <row r="20">
          <cell r="G20">
            <v>1</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
      <sheetName val="Micro"/>
      <sheetName val="Q1"/>
      <sheetName val="Q2"/>
      <sheetName val="Q3"/>
      <sheetName val="Q4"/>
      <sheetName val="Q5"/>
      <sheetName val="Q6"/>
      <sheetName val="Q7"/>
      <sheetName val="QC"/>
      <sheetName val="dshWhatToLoad"/>
      <sheetName val="SetUp Sheet"/>
      <sheetName val="SpinData"/>
      <sheetName val="dshNWCell"/>
      <sheetName val="dshNWCell_Qrt"/>
      <sheetName val="dshUserDelete"/>
      <sheetName val="dshUser"/>
      <sheetName val="dshRefreshLinks"/>
      <sheetName val="dshRefreshLinks_Qrt"/>
      <sheetName val="dshQuestionnairesPrint"/>
      <sheetName val="dshPickAUtility"/>
      <sheetName val="dshAremosSelect_Qrt"/>
      <sheetName val="dshAremosSelect"/>
      <sheetName val="dshWizard1"/>
      <sheetName val="dshWizard1_Qrt"/>
      <sheetName val="dshWizard2"/>
      <sheetName val="dshWizard3"/>
      <sheetName val="dshWizard3_qrt"/>
      <sheetName val="dshWizard4"/>
      <sheetName val="dshAlignButtons"/>
      <sheetName val="dshExit"/>
      <sheetName val="dshAbout"/>
      <sheetName val="dshSend"/>
      <sheetName val="Links"/>
      <sheetName val="xxweolinksxx"/>
      <sheetName val="HelpList"/>
      <sheetName val="Data check"/>
      <sheetName val="dshErrorCheck"/>
      <sheetName val="dshMacroMaker"/>
      <sheetName val="WRS97TAB"/>
      <sheetName val="SetUp_Sheet"/>
      <sheetName val="Data_check"/>
      <sheetName val="embi_day"/>
      <sheetName val="GenericIR"/>
      <sheetName val="Construction stimulus"/>
    </sheetNames>
    <definedNames>
      <definedName name="BFLD_DF"/>
      <definedName name="NTDD_RG"/>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truction stimulus"/>
      <sheetName val="Q6"/>
    </sheetNames>
    <definedNames>
      <definedName name="BFLD_DF" refersTo="#REF!"/>
      <definedName name="ccc" refersTo="#REF!"/>
      <definedName name="cccc" refersTo="#REF!"/>
      <definedName name="f" refersTo="#REF!"/>
      <definedName name="hhhh" refersTo="#REF!"/>
      <definedName name="kkkk" refersTo="#REF!"/>
      <definedName name="nnn" refersTo="#REF!"/>
      <definedName name="nnnnn" refersTo="#REF!"/>
      <definedName name="OnShow" refersTo="#REF!"/>
      <definedName name="ssssss" refersTo="#REF!"/>
      <definedName name="t" refersTo="#REF!"/>
    </definedNames>
    <sheetDataSet>
      <sheetData sheetId="0">
        <row r="8">
          <cell r="G8">
            <v>1769325.65</v>
          </cell>
        </row>
      </sheetData>
      <sheetData sheetId="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ABLE"/>
      <sheetName val="Header Info"/>
      <sheetName val="NON BILLABLE"/>
      <sheetName val="Profit and Loss"/>
    </sheetNames>
    <sheetDataSet>
      <sheetData sheetId="0" refreshError="1"/>
      <sheetData sheetId="1" refreshError="1"/>
      <sheetData sheetId="2" refreshError="1"/>
      <sheetData sheetId="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est Rates"/>
      <sheetName val="Deposits"/>
      <sheetName val="Sectoral distribution"/>
      <sheetName val="Loans"/>
      <sheetName val="For. Assets"/>
      <sheetName val="For. Liabilities"/>
      <sheetName val="Assets"/>
      <sheetName val="Liabilities"/>
      <sheetName val="gdp- nominal"/>
      <sheetName val="gdp-real"/>
      <sheetName val="CPI"/>
      <sheetName val="MS"/>
      <sheetName val="NEP"/>
      <sheetName val="Tourism"/>
      <sheetName val="Trade"/>
      <sheetName val="Fiscal"/>
      <sheetName val="BOP"/>
      <sheetName val="Selected Economic Indicators"/>
      <sheetName val="Credits- Add on &amp; Reducing"/>
      <sheetName val="Sheet7"/>
      <sheetName val="Sheet6"/>
      <sheetName val="Sheet5"/>
      <sheetName val="Sheet4"/>
      <sheetName val="input-Cen Gov"/>
      <sheetName val="input-other"/>
      <sheetName val="Q6"/>
      <sheetName val="Q5"/>
      <sheetName val="APPENDIX 10 "/>
      <sheetName val="sei-suggested"/>
      <sheetName val="visitors,q-02-05"/>
      <sheetName val="PRESSUP"/>
      <sheetName val="DESPESA"/>
      <sheetName val="Table 2"/>
      <sheetName val="A Previous Data"/>
      <sheetName val="General Assumptions"/>
      <sheetName val="NIR-$"/>
      <sheetName val="IN_Chart2 IPI"/>
      <sheetName val="Sector Summary"/>
      <sheetName val="List"/>
      <sheetName val="Prioritários 2001"/>
      <sheetName val="Prioritários 2002"/>
      <sheetName val="CURRENT DATA"/>
      <sheetName val="UPDATE"/>
      <sheetName val="DI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WELCOME SCREEN"/>
      <sheetName val="List"/>
      <sheetName val="ZSheet 01"/>
      <sheetName val="ZSheet 02"/>
      <sheetName val="ZSheet 03"/>
      <sheetName val="ZSheet 04"/>
      <sheetName val="ZSheet 05"/>
      <sheetName val="ZSheet 06"/>
      <sheetName val="ZSheet 07"/>
      <sheetName val="ZSheet 08"/>
      <sheetName val="ZSheet 09"/>
      <sheetName val="ZSheet 10"/>
      <sheetName val="ZSheet 11"/>
      <sheetName val="ZSheet 12"/>
      <sheetName val="ZSheet 13"/>
      <sheetName val="ZSheet 14"/>
      <sheetName val="ZSheet 15"/>
      <sheetName val="ZSheet 16"/>
      <sheetName val="ZSheet 17"/>
      <sheetName val="ZSheet 18"/>
      <sheetName val="ZSheet 19"/>
      <sheetName val="ZSheet 20"/>
      <sheetName val="ZSheet 21"/>
      <sheetName val="ZSheet 22"/>
      <sheetName val="ZSheet 23"/>
      <sheetName val="ZSheet 24"/>
      <sheetName val="ZSheet 25"/>
      <sheetName val="ZSheet 26"/>
      <sheetName val="ZSheet 27"/>
      <sheetName val="ZSheet 28"/>
      <sheetName val="ZSheet 29"/>
      <sheetName val="ZSheet 30"/>
      <sheetName val="ZSheet 31"/>
      <sheetName val="ZSheet 32"/>
      <sheetName val="ZSheet 33"/>
      <sheetName val="ZSheet 34"/>
      <sheetName val="ZSheet 35"/>
      <sheetName val="ZSheet 36"/>
      <sheetName val="ZSheet 37"/>
      <sheetName val="ZSheet 38"/>
      <sheetName val="ZSheet 39"/>
      <sheetName val="ZSheet 40"/>
      <sheetName val="ZSheet 41"/>
      <sheetName val="ZSheet 42"/>
      <sheetName val="ZSheet 43"/>
      <sheetName val="ZSheet 44"/>
      <sheetName val="ZSheet 45"/>
      <sheetName val="ZSheet 46"/>
      <sheetName val="ZSheet 47"/>
      <sheetName val="ZSheet 48"/>
      <sheetName val="ZSheet 49"/>
      <sheetName val="ZSheet 50"/>
      <sheetName val="Sector Summary"/>
      <sheetName val="BOP SUMMARY"/>
      <sheetName val="IIP SUMMARY"/>
      <sheetName val="TiS SUMMARY"/>
      <sheetName val="User List"/>
      <sheetName val="File History"/>
    </sheetNames>
    <sheetDataSet>
      <sheetData sheetId="0"/>
      <sheetData sheetId="1"/>
      <sheetData sheetId="2">
        <row r="14">
          <cell r="C14" t="str">
            <v>ZSheet 01</v>
          </cell>
        </row>
        <row r="15">
          <cell r="C15" t="str">
            <v>ZSheet 02</v>
          </cell>
        </row>
        <row r="16">
          <cell r="C16" t="str">
            <v>ZSheet 03</v>
          </cell>
        </row>
        <row r="17">
          <cell r="C17" t="str">
            <v>ZSheet 04</v>
          </cell>
        </row>
        <row r="18">
          <cell r="C18" t="str">
            <v>ZSheet 05</v>
          </cell>
        </row>
        <row r="19">
          <cell r="C19" t="str">
            <v>ZSheet 06</v>
          </cell>
        </row>
        <row r="20">
          <cell r="C20" t="str">
            <v>ZSheet 07</v>
          </cell>
        </row>
        <row r="21">
          <cell r="C21" t="str">
            <v>ZSheet 08</v>
          </cell>
        </row>
        <row r="22">
          <cell r="C22" t="str">
            <v>ZSheet 09</v>
          </cell>
        </row>
        <row r="23">
          <cell r="C23" t="str">
            <v>ZSheet 10</v>
          </cell>
        </row>
        <row r="24">
          <cell r="C24" t="str">
            <v>ZSheet 11</v>
          </cell>
        </row>
        <row r="25">
          <cell r="C25" t="str">
            <v>ZSheet 12</v>
          </cell>
        </row>
        <row r="26">
          <cell r="C26" t="str">
            <v>ZSheet 13</v>
          </cell>
        </row>
        <row r="27">
          <cell r="C27" t="str">
            <v>ZSheet 14</v>
          </cell>
        </row>
        <row r="28">
          <cell r="C28" t="str">
            <v>ZSheet 15</v>
          </cell>
        </row>
        <row r="29">
          <cell r="C29" t="str">
            <v>ZSheet 16</v>
          </cell>
        </row>
        <row r="30">
          <cell r="C30" t="str">
            <v>ZSheet 17</v>
          </cell>
        </row>
        <row r="31">
          <cell r="C31" t="str">
            <v>ZSheet 18</v>
          </cell>
        </row>
        <row r="32">
          <cell r="C32" t="str">
            <v>ZSheet 19</v>
          </cell>
        </row>
        <row r="33">
          <cell r="C33" t="str">
            <v>ZSheet 20</v>
          </cell>
        </row>
        <row r="34">
          <cell r="C34" t="str">
            <v>ZSheet 21</v>
          </cell>
        </row>
        <row r="35">
          <cell r="C35" t="str">
            <v>ZSheet 22</v>
          </cell>
        </row>
        <row r="36">
          <cell r="C36" t="str">
            <v>ZSheet 23</v>
          </cell>
        </row>
        <row r="37">
          <cell r="C37" t="str">
            <v>ZSheet 24</v>
          </cell>
        </row>
        <row r="38">
          <cell r="C38" t="str">
            <v>ZSheet 25</v>
          </cell>
        </row>
        <row r="39">
          <cell r="C39" t="str">
            <v>ZSheet 26</v>
          </cell>
        </row>
        <row r="40">
          <cell r="C40" t="str">
            <v>ZSheet 27</v>
          </cell>
        </row>
        <row r="41">
          <cell r="C41" t="str">
            <v>ZSheet 28</v>
          </cell>
        </row>
        <row r="42">
          <cell r="C42" t="str">
            <v>ZSheet 29</v>
          </cell>
        </row>
        <row r="43">
          <cell r="C43" t="str">
            <v>ZSheet 30</v>
          </cell>
        </row>
        <row r="44">
          <cell r="C44" t="str">
            <v>ZSheet 31</v>
          </cell>
        </row>
        <row r="45">
          <cell r="C45" t="str">
            <v>ZSheet 32</v>
          </cell>
        </row>
        <row r="46">
          <cell r="C46" t="str">
            <v>ZSheet 33</v>
          </cell>
        </row>
        <row r="47">
          <cell r="C47" t="str">
            <v>ZSheet 34</v>
          </cell>
        </row>
        <row r="48">
          <cell r="C48" t="str">
            <v>ZSheet 35</v>
          </cell>
        </row>
        <row r="49">
          <cell r="C49" t="str">
            <v>ZSheet 36</v>
          </cell>
        </row>
        <row r="50">
          <cell r="C50" t="str">
            <v>ZSheet 37</v>
          </cell>
        </row>
        <row r="51">
          <cell r="C51" t="str">
            <v>ZSheet 38</v>
          </cell>
        </row>
        <row r="52">
          <cell r="C52" t="str">
            <v>ZSheet 39</v>
          </cell>
        </row>
        <row r="53">
          <cell r="C53" t="str">
            <v>ZSheet 40</v>
          </cell>
        </row>
        <row r="54">
          <cell r="C54" t="str">
            <v>ZSheet 41</v>
          </cell>
        </row>
        <row r="55">
          <cell r="C55" t="str">
            <v>ZSheet 42</v>
          </cell>
        </row>
        <row r="56">
          <cell r="C56" t="str">
            <v>ZSheet 43</v>
          </cell>
        </row>
        <row r="57">
          <cell r="C57" t="str">
            <v>ZSheet 44</v>
          </cell>
        </row>
        <row r="58">
          <cell r="C58" t="str">
            <v>ZSheet 45</v>
          </cell>
        </row>
        <row r="59">
          <cell r="C59" t="str">
            <v>ZSheet 46</v>
          </cell>
        </row>
        <row r="60">
          <cell r="C60" t="str">
            <v>ZSheet 47</v>
          </cell>
        </row>
        <row r="61">
          <cell r="C61" t="str">
            <v>ZSheet 48</v>
          </cell>
        </row>
        <row r="62">
          <cell r="C62" t="str">
            <v>ZSheet 49</v>
          </cell>
        </row>
        <row r="63">
          <cell r="C63" t="str">
            <v>ZSheet 50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21">
          <cell r="V21">
            <v>0</v>
          </cell>
        </row>
        <row r="22">
          <cell r="V22">
            <v>0</v>
          </cell>
        </row>
        <row r="23">
          <cell r="V23">
            <v>0</v>
          </cell>
        </row>
        <row r="24">
          <cell r="V24">
            <v>0</v>
          </cell>
        </row>
        <row r="25">
          <cell r="V25">
            <v>0</v>
          </cell>
        </row>
        <row r="26">
          <cell r="V26">
            <v>0</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row r="40">
          <cell r="V40">
            <v>0</v>
          </cell>
        </row>
        <row r="41">
          <cell r="V41">
            <v>0</v>
          </cell>
        </row>
        <row r="42">
          <cell r="V42">
            <v>0</v>
          </cell>
        </row>
        <row r="43">
          <cell r="V43">
            <v>0</v>
          </cell>
        </row>
        <row r="44">
          <cell r="V44">
            <v>0</v>
          </cell>
        </row>
        <row r="45">
          <cell r="V45">
            <v>0</v>
          </cell>
        </row>
        <row r="46">
          <cell r="V46">
            <v>0</v>
          </cell>
        </row>
        <row r="47">
          <cell r="V47">
            <v>0</v>
          </cell>
        </row>
        <row r="48">
          <cell r="V48">
            <v>0</v>
          </cell>
        </row>
        <row r="49">
          <cell r="V49">
            <v>0</v>
          </cell>
        </row>
        <row r="50">
          <cell r="V50">
            <v>0</v>
          </cell>
        </row>
        <row r="56">
          <cell r="V56">
            <v>0</v>
          </cell>
        </row>
        <row r="57">
          <cell r="V57">
            <v>0</v>
          </cell>
        </row>
        <row r="58">
          <cell r="V58">
            <v>0</v>
          </cell>
        </row>
        <row r="59">
          <cell r="V59">
            <v>0</v>
          </cell>
        </row>
        <row r="60">
          <cell r="V60">
            <v>0</v>
          </cell>
        </row>
        <row r="61">
          <cell r="V61">
            <v>0</v>
          </cell>
        </row>
        <row r="62">
          <cell r="V62">
            <v>0</v>
          </cell>
        </row>
        <row r="63">
          <cell r="V63">
            <v>0</v>
          </cell>
        </row>
        <row r="64">
          <cell r="V64">
            <v>0</v>
          </cell>
        </row>
        <row r="65">
          <cell r="V65">
            <v>0</v>
          </cell>
        </row>
        <row r="66">
          <cell r="V66">
            <v>0</v>
          </cell>
        </row>
        <row r="67">
          <cell r="V67">
            <v>0</v>
          </cell>
        </row>
        <row r="68">
          <cell r="V68">
            <v>0</v>
          </cell>
        </row>
        <row r="69">
          <cell r="V69">
            <v>0</v>
          </cell>
        </row>
        <row r="70">
          <cell r="V70">
            <v>0</v>
          </cell>
        </row>
        <row r="71">
          <cell r="V71">
            <v>0</v>
          </cell>
        </row>
        <row r="72">
          <cell r="V72">
            <v>0</v>
          </cell>
        </row>
        <row r="73">
          <cell r="V73">
            <v>0</v>
          </cell>
        </row>
        <row r="74">
          <cell r="V74">
            <v>0</v>
          </cell>
        </row>
        <row r="75">
          <cell r="V75">
            <v>0</v>
          </cell>
        </row>
        <row r="76">
          <cell r="V76">
            <v>0</v>
          </cell>
        </row>
        <row r="77">
          <cell r="V77">
            <v>0</v>
          </cell>
        </row>
        <row r="78">
          <cell r="V78">
            <v>0</v>
          </cell>
        </row>
        <row r="79">
          <cell r="V79">
            <v>0</v>
          </cell>
        </row>
        <row r="80">
          <cell r="V80">
            <v>0</v>
          </cell>
        </row>
        <row r="81">
          <cell r="V81">
            <v>0</v>
          </cell>
        </row>
        <row r="82">
          <cell r="V82">
            <v>0</v>
          </cell>
        </row>
        <row r="83">
          <cell r="V83">
            <v>0</v>
          </cell>
        </row>
        <row r="84">
          <cell r="V84">
            <v>0</v>
          </cell>
        </row>
        <row r="85">
          <cell r="V85">
            <v>0</v>
          </cell>
        </row>
        <row r="86">
          <cell r="V86">
            <v>0</v>
          </cell>
        </row>
        <row r="87">
          <cell r="V87">
            <v>0</v>
          </cell>
        </row>
        <row r="88">
          <cell r="V88">
            <v>0</v>
          </cell>
        </row>
        <row r="89">
          <cell r="V89">
            <v>0</v>
          </cell>
        </row>
        <row r="97">
          <cell r="AG97">
            <v>0</v>
          </cell>
        </row>
        <row r="98">
          <cell r="AG98">
            <v>0</v>
          </cell>
        </row>
        <row r="99">
          <cell r="AG99">
            <v>0</v>
          </cell>
        </row>
        <row r="100">
          <cell r="AG100">
            <v>0</v>
          </cell>
        </row>
        <row r="101">
          <cell r="AG101">
            <v>0</v>
          </cell>
        </row>
        <row r="102">
          <cell r="AG102">
            <v>0</v>
          </cell>
        </row>
        <row r="103">
          <cell r="AG103">
            <v>0</v>
          </cell>
        </row>
        <row r="104">
          <cell r="AG104">
            <v>0</v>
          </cell>
        </row>
        <row r="105">
          <cell r="AG105">
            <v>0</v>
          </cell>
        </row>
        <row r="106">
          <cell r="AG106">
            <v>0</v>
          </cell>
        </row>
        <row r="107">
          <cell r="AG107">
            <v>0</v>
          </cell>
        </row>
        <row r="108">
          <cell r="AG108">
            <v>0</v>
          </cell>
        </row>
        <row r="109">
          <cell r="AG109">
            <v>0</v>
          </cell>
        </row>
        <row r="110">
          <cell r="AG110">
            <v>0</v>
          </cell>
        </row>
        <row r="111">
          <cell r="AG111">
            <v>0</v>
          </cell>
        </row>
        <row r="112">
          <cell r="AG112">
            <v>0</v>
          </cell>
        </row>
        <row r="113">
          <cell r="AG113">
            <v>0</v>
          </cell>
        </row>
        <row r="114">
          <cell r="AG114">
            <v>0</v>
          </cell>
        </row>
        <row r="115">
          <cell r="AG115">
            <v>0</v>
          </cell>
        </row>
        <row r="116">
          <cell r="AG116">
            <v>0</v>
          </cell>
        </row>
        <row r="117">
          <cell r="AG117">
            <v>0</v>
          </cell>
        </row>
        <row r="118">
          <cell r="AG118">
            <v>0</v>
          </cell>
        </row>
        <row r="119">
          <cell r="AG119">
            <v>0</v>
          </cell>
        </row>
        <row r="126">
          <cell r="AG126">
            <v>0</v>
          </cell>
        </row>
        <row r="127">
          <cell r="AG127">
            <v>0</v>
          </cell>
        </row>
        <row r="128">
          <cell r="AG128">
            <v>0</v>
          </cell>
        </row>
        <row r="129">
          <cell r="AG129">
            <v>0</v>
          </cell>
        </row>
        <row r="130">
          <cell r="AG130">
            <v>0</v>
          </cell>
        </row>
        <row r="131">
          <cell r="AG131">
            <v>0</v>
          </cell>
        </row>
        <row r="132">
          <cell r="AG132">
            <v>0</v>
          </cell>
        </row>
        <row r="133">
          <cell r="AG133">
            <v>0</v>
          </cell>
        </row>
        <row r="134">
          <cell r="AG134">
            <v>0</v>
          </cell>
        </row>
        <row r="135">
          <cell r="AG135">
            <v>0</v>
          </cell>
        </row>
        <row r="136">
          <cell r="AG136">
            <v>0</v>
          </cell>
        </row>
        <row r="137">
          <cell r="AG137">
            <v>0</v>
          </cell>
        </row>
        <row r="138">
          <cell r="AG138">
            <v>0</v>
          </cell>
        </row>
        <row r="139">
          <cell r="AG139">
            <v>0</v>
          </cell>
        </row>
        <row r="140">
          <cell r="AG140">
            <v>0</v>
          </cell>
        </row>
        <row r="141">
          <cell r="AG141">
            <v>0</v>
          </cell>
        </row>
        <row r="142">
          <cell r="AG142">
            <v>0</v>
          </cell>
        </row>
        <row r="143">
          <cell r="AG143">
            <v>0</v>
          </cell>
        </row>
        <row r="144">
          <cell r="AG144">
            <v>0</v>
          </cell>
        </row>
        <row r="145">
          <cell r="AG145">
            <v>0</v>
          </cell>
        </row>
      </sheetData>
      <sheetData sheetId="54"/>
      <sheetData sheetId="55"/>
      <sheetData sheetId="56"/>
      <sheetData sheetId="57"/>
      <sheetData sheetId="58"/>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a Data"/>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s"/>
    </sheet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Instructions"/>
      <sheetName val="Annex 1"/>
      <sheetName val="Annex 1_TS"/>
      <sheetName val="Report Form"/>
      <sheetName val="BUControlSheet"/>
      <sheetName val="Control"/>
      <sheetName val="Annex 1-DL"/>
    </sheetNames>
    <sheetDataSet>
      <sheetData sheetId="0" refreshError="1"/>
      <sheetData sheetId="1" refreshError="1"/>
      <sheetData sheetId="2" refreshError="1"/>
      <sheetData sheetId="3" refreshError="1"/>
      <sheetData sheetId="4" refreshError="1"/>
      <sheetData sheetId="5" refreshError="1">
        <row r="15">
          <cell r="D15">
            <v>8</v>
          </cell>
          <cell r="E15" t="str">
            <v xml:space="preserve"> </v>
          </cell>
        </row>
        <row r="16">
          <cell r="D16">
            <v>1</v>
          </cell>
          <cell r="E16" t="str">
            <v>CBCSDI</v>
          </cell>
        </row>
        <row r="17">
          <cell r="D17">
            <v>2</v>
          </cell>
          <cell r="E17" t="str">
            <v>DCCBS</v>
          </cell>
        </row>
        <row r="18">
          <cell r="D18">
            <v>3</v>
          </cell>
          <cell r="E18" t="str">
            <v>DC</v>
          </cell>
        </row>
        <row r="19">
          <cell r="D19">
            <v>4</v>
          </cell>
          <cell r="E19" t="str">
            <v>DCCB</v>
          </cell>
        </row>
        <row r="20">
          <cell r="D20">
            <v>5</v>
          </cell>
          <cell r="E20" t="str">
            <v>CBDI</v>
          </cell>
        </row>
        <row r="21">
          <cell r="D21">
            <v>6</v>
          </cell>
          <cell r="E21" t="str">
            <v>FBB</v>
          </cell>
        </row>
        <row r="22">
          <cell r="D22">
            <v>7</v>
          </cell>
          <cell r="E22" t="str">
            <v>Other</v>
          </cell>
        </row>
        <row r="27">
          <cell r="B27" t="str">
            <v>IMF TEST COUNTRY</v>
          </cell>
        </row>
        <row r="29">
          <cell r="B29">
            <v>2017</v>
          </cell>
        </row>
      </sheetData>
      <sheetData sheetId="6"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standing Liabilities"/>
      <sheetName val="Liabilities as % of GDP"/>
      <sheetName val="Public Debt; holder &amp; Terms"/>
      <sheetName val="Central Gov'nt; holder &amp; terms "/>
      <sheetName val="List of Official Debt"/>
      <sheetName val="Distribtion of External Debt"/>
      <sheetName val="MS"/>
    </sheetNames>
    <sheetDataSet>
      <sheetData sheetId="0"/>
      <sheetData sheetId="1"/>
      <sheetData sheetId="2"/>
      <sheetData sheetId="3"/>
      <sheetData sheetId="4"/>
      <sheetData sheetId="5"/>
      <sheetData sheetId="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ries"/>
      <sheetName val="Stata"/>
      <sheetName val="Countries_Master"/>
      <sheetName val="MS"/>
      <sheetName val="Public Debt; holder &amp; Terms"/>
    </sheetNames>
    <sheetDataSet>
      <sheetData sheetId="0" refreshError="1"/>
      <sheetData sheetId="1" refreshError="1"/>
      <sheetData sheetId="2" refreshError="1"/>
      <sheetData sheetId="3" refreshError="1"/>
      <sheetData sheetId="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BOP"/>
      <sheetName val="IIP"/>
      <sheetName val="Notes"/>
      <sheetName val="Country logos"/>
    </sheetNames>
    <sheetDataSet>
      <sheetData sheetId="0"/>
      <sheetData sheetId="1"/>
      <sheetData sheetId="2"/>
      <sheetData sheetId="3"/>
      <sheetData sheetId="4">
        <row r="3">
          <cell r="A3" t="str">
            <v>Anguilla</v>
          </cell>
          <cell r="B3" t="str">
            <v>Picture 1</v>
          </cell>
        </row>
        <row r="4">
          <cell r="A4" t="str">
            <v>Antigua and Barbuda</v>
          </cell>
          <cell r="B4" t="str">
            <v>Picture 2</v>
          </cell>
        </row>
        <row r="5">
          <cell r="A5" t="str">
            <v>Dominica</v>
          </cell>
          <cell r="B5" t="str">
            <v>Picture 3</v>
          </cell>
        </row>
        <row r="6">
          <cell r="A6" t="str">
            <v>Grenada</v>
          </cell>
          <cell r="B6" t="str">
            <v>Picture 4</v>
          </cell>
        </row>
        <row r="7">
          <cell r="A7" t="str">
            <v>Montserrat</v>
          </cell>
          <cell r="B7" t="str">
            <v>Picture 5</v>
          </cell>
        </row>
        <row r="8">
          <cell r="A8" t="str">
            <v>St Kitts and Nevis</v>
          </cell>
          <cell r="B8" t="str">
            <v>Picture 6</v>
          </cell>
        </row>
        <row r="9">
          <cell r="A9" t="str">
            <v>Saint Lucia</v>
          </cell>
          <cell r="B9" t="str">
            <v>Picture 7</v>
          </cell>
        </row>
        <row r="10">
          <cell r="A10" t="str">
            <v>St Vincent and the Grenadines</v>
          </cell>
          <cell r="B10" t="str">
            <v>Picture 8</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
      <sheetName val="C Summary"/>
      <sheetName val="D %GDP"/>
      <sheetName val="InFis2"/>
      <sheetName val="Countries_Master"/>
      <sheetName val="Fiscal Tables"/>
      <sheetName val="CPIA"/>
      <sheetName val="Contents"/>
      <sheetName val="E"/>
      <sheetName val="W&am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RESULTADOS"/>
      <sheetName val="SREAL"/>
      <sheetName val="SEXTERNOREV"/>
      <sheetName val="SEXTERNO"/>
      <sheetName val="SFISCAL-MOD"/>
      <sheetName val="SFISCAL-CONSOL"/>
      <sheetName val="SMONET-FINANC"/>
      <sheetName val="SMONET-FIN-MOD"/>
      <sheetName val="NO"/>
      <sheetName val="C Summary"/>
      <sheetName val="SFISCAL_MOD"/>
      <sheetName val="SMONET_FINANC"/>
      <sheetName val="Q1"/>
    </sheetNames>
    <sheetDataSet>
      <sheetData sheetId="0" refreshError="1"/>
      <sheetData sheetId="1" refreshError="1"/>
      <sheetData sheetId="2" refreshError="1">
        <row r="82">
          <cell r="A82" t="str">
            <v>Exportaciones</v>
          </cell>
          <cell r="H82">
            <v>6844.474804453972</v>
          </cell>
          <cell r="I82">
            <v>7679.2416315946821</v>
          </cell>
          <cell r="J82">
            <v>8544.0066265963287</v>
          </cell>
          <cell r="K82">
            <v>9215.9536958569697</v>
          </cell>
          <cell r="L82">
            <v>7.35127422545456</v>
          </cell>
          <cell r="M82">
            <v>9.0744127587430796</v>
          </cell>
          <cell r="N82">
            <v>4.0828055928132585</v>
          </cell>
          <cell r="O82">
            <v>10.982638287066663</v>
          </cell>
          <cell r="P82">
            <v>5.7769337584915945</v>
          </cell>
          <cell r="Q82">
            <v>28.351402872543929</v>
          </cell>
          <cell r="R82">
            <v>6.2815122499778369</v>
          </cell>
          <cell r="S82">
            <v>6.4293585060955394</v>
          </cell>
        </row>
        <row r="86">
          <cell r="A86" t="str">
            <v>Importaciones</v>
          </cell>
          <cell r="H86">
            <v>5584.0391647472507</v>
          </cell>
          <cell r="I86">
            <v>7085.1571401607216</v>
          </cell>
          <cell r="J86">
            <v>8157.0470399009164</v>
          </cell>
          <cell r="K86">
            <v>8316.8353363071128</v>
          </cell>
          <cell r="L86">
            <v>2.4105559866517012</v>
          </cell>
          <cell r="M86">
            <v>3.5312075660730784</v>
          </cell>
          <cell r="N86">
            <v>8.6245351858240014</v>
          </cell>
          <cell r="O86">
            <v>13.102233365036241</v>
          </cell>
          <cell r="P86">
            <v>21.713088632663641</v>
          </cell>
          <cell r="Q86">
            <v>13.676510390488133</v>
          </cell>
          <cell r="R86">
            <v>3.2445657532889101</v>
          </cell>
          <cell r="S86">
            <v>5.6600918866970318</v>
          </cell>
        </row>
      </sheetData>
      <sheetData sheetId="3" refreshError="1"/>
      <sheetData sheetId="4" refreshError="1"/>
      <sheetData sheetId="5" refreshError="1"/>
      <sheetData sheetId="6" refreshError="1">
        <row r="146">
          <cell r="B146" t="str">
            <v>TOTAL $ i)</v>
          </cell>
          <cell r="D146">
            <v>51.7</v>
          </cell>
          <cell r="E146">
            <v>48.70000000000001</v>
          </cell>
          <cell r="F146">
            <v>52.3</v>
          </cell>
          <cell r="G146">
            <v>51.79999999999999</v>
          </cell>
          <cell r="H146">
            <v>51.79999999999999</v>
          </cell>
          <cell r="I146">
            <v>52.999999999999993</v>
          </cell>
          <cell r="J146">
            <v>56.199999999999996</v>
          </cell>
          <cell r="K146">
            <v>61.099999999999994</v>
          </cell>
          <cell r="L146">
            <v>69.55</v>
          </cell>
          <cell r="M146">
            <v>63.143499999999996</v>
          </cell>
          <cell r="N146">
            <v>45.214500000000001</v>
          </cell>
          <cell r="O146">
            <v>52.631</v>
          </cell>
          <cell r="P146">
            <v>82.15</v>
          </cell>
          <cell r="Q146">
            <v>65.3</v>
          </cell>
          <cell r="R146">
            <v>63.3</v>
          </cell>
          <cell r="S146">
            <v>63.7</v>
          </cell>
        </row>
      </sheetData>
      <sheetData sheetId="7" refreshError="1"/>
      <sheetData sheetId="8" refreshError="1">
        <row r="99">
          <cell r="A99" t="str">
            <v>CRECIMIENTO RFP</v>
          </cell>
          <cell r="O99">
            <v>15.780112486553804</v>
          </cell>
          <cell r="P99">
            <v>16.925533191938214</v>
          </cell>
          <cell r="Q99">
            <v>17.185305361624614</v>
          </cell>
          <cell r="R99">
            <v>21.727315352236815</v>
          </cell>
          <cell r="S99">
            <v>21.336924931172078</v>
          </cell>
        </row>
      </sheetData>
      <sheetData sheetId="9" refreshError="1"/>
      <sheetData sheetId="10" refreshError="1"/>
      <sheetData sheetId="11" refreshError="1"/>
      <sheetData sheetId="12"/>
      <sheetData sheetId="13" refreshError="1"/>
      <sheetData sheetId="14"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1"/>
      <sheetName val="Cuadro2"/>
      <sheetName val="Cuadro3"/>
      <sheetName val="Cuadro4"/>
      <sheetName val="Cuadro5"/>
      <sheetName val="SUPUESTOS"/>
      <sheetName val="RESULTADOS"/>
      <sheetName val="SMONET-FINANC"/>
      <sheetName val="SFISCAL-MOD"/>
      <sheetName val="SRE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2"/>
      <sheetName val="Hoja1"/>
      <sheetName val="Cuadro1"/>
      <sheetName val="Cuadro2"/>
      <sheetName val="Cuadro3"/>
      <sheetName val="Cuadro4"/>
      <sheetName val="Cuadro5"/>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Template"/>
      <sheetName val="Roles&amp;Rates"/>
      <sheetName val="Varie"/>
      <sheetName val="Temp"/>
      <sheetName val="Export Results"/>
    </sheetNames>
    <sheetDataSet>
      <sheetData sheetId="0"/>
      <sheetData sheetId="1"/>
      <sheetData sheetId="2"/>
      <sheetData sheetId="3" refreshError="1">
        <row r="4">
          <cell r="B4">
            <v>50</v>
          </cell>
        </row>
        <row r="5">
          <cell r="B5">
            <v>75</v>
          </cell>
        </row>
        <row r="6">
          <cell r="B6">
            <v>25</v>
          </cell>
        </row>
        <row r="7">
          <cell r="B7">
            <v>0</v>
          </cell>
        </row>
        <row r="8">
          <cell r="B8">
            <v>90</v>
          </cell>
        </row>
        <row r="9">
          <cell r="B9">
            <v>95</v>
          </cell>
        </row>
        <row r="10">
          <cell r="B10">
            <v>10</v>
          </cell>
        </row>
        <row r="11">
          <cell r="B11">
            <v>1</v>
          </cell>
        </row>
      </sheetData>
      <sheetData sheetId="4" refreshError="1"/>
      <sheetData sheetId="5"/>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structions"/>
      <sheetName val="Data"/>
      <sheetName val="Report Form"/>
      <sheetName val="ER"/>
    </sheetNames>
    <sheetDataSet>
      <sheetData sheetId="0"/>
      <sheetData sheetId="1"/>
      <sheetData sheetId="2">
        <row r="4">
          <cell r="E4">
            <v>2020</v>
          </cell>
        </row>
        <row r="5">
          <cell r="A5" t="str">
            <v>Unit</v>
          </cell>
          <cell r="B5" t="str">
            <v>Rate</v>
          </cell>
        </row>
      </sheetData>
      <sheetData sheetId="3"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am"/>
    </sheet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Compare"/>
      <sheetName val="Table1"/>
      <sheetName val="Table2"/>
      <sheetName val="Table3"/>
      <sheetName val="Table4"/>
      <sheetName val="Current"/>
      <sheetName val="Previous"/>
      <sheetName val="ControlSheet"/>
      <sheetName val="Weights"/>
      <sheetName val="Sheet1"/>
      <sheetName val="Sheet2"/>
      <sheetName val="Sheet3"/>
      <sheetName val="Cuadro5"/>
      <sheetName val="GE Calculation"/>
      <sheetName val="PV_Base"/>
    </sheetNames>
    <sheetDataSet>
      <sheetData sheetId="0" refreshError="1"/>
      <sheetData sheetId="1" refreshError="1"/>
      <sheetData sheetId="2" refreshError="1"/>
      <sheetData sheetId="3" refreshError="1"/>
      <sheetData sheetId="4" refreshError="1"/>
      <sheetData sheetId="5" refreshError="1"/>
      <sheetData sheetId="6" refreshError="1">
        <row r="66">
          <cell r="D66" t="str">
            <v>F2001START</v>
          </cell>
        </row>
        <row r="67">
          <cell r="D67" t="str">
            <v>10/17/2001</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
      <sheetName val="Micro"/>
      <sheetName val="Q1"/>
      <sheetName val="Q2"/>
      <sheetName val="Q3"/>
      <sheetName val="Q4"/>
      <sheetName val="Q5"/>
      <sheetName val="Q6"/>
      <sheetName val="Q7"/>
      <sheetName val="QC"/>
      <sheetName val="dshWhatToLoad"/>
      <sheetName val="SetUp Sheet"/>
      <sheetName val="SpinData"/>
      <sheetName val="dshNWCell"/>
      <sheetName val="dshNWCell_Qrt"/>
      <sheetName val="dshUserDelete"/>
      <sheetName val="dshUser"/>
      <sheetName val="dshRefreshLinks"/>
      <sheetName val="dshRefreshLinks_Qrt"/>
      <sheetName val="dshQuestionnairesPrint"/>
      <sheetName val="dshPickAUtility"/>
      <sheetName val="dshAremosSelect_Qrt"/>
      <sheetName val="dshAremosSelect"/>
      <sheetName val="dshWizard1"/>
      <sheetName val="dshWizard1_Qrt"/>
      <sheetName val="dshWizard2"/>
      <sheetName val="dshWizard3"/>
      <sheetName val="dshWizard3_qrt"/>
      <sheetName val="dshWizard4"/>
      <sheetName val="dshAlignButtons"/>
      <sheetName val="dshExit"/>
      <sheetName val="dshAbout"/>
      <sheetName val="dshSend"/>
      <sheetName val="Links"/>
      <sheetName val="xxweolinksxx"/>
      <sheetName val="HelpList"/>
      <sheetName val="Data check"/>
      <sheetName val="dshErrorCheck"/>
      <sheetName val="dshMacroMaker"/>
      <sheetName val="Indic"/>
      <sheetName val="graf 1"/>
      <sheetName val="Country logos"/>
      <sheetName val="MS"/>
      <sheetName val="Lookup"/>
      <sheetName val="Read Me"/>
      <sheetName val="WRS97TAB"/>
      <sheetName val="embi_day"/>
      <sheetName val="GenericIR"/>
      <sheetName val="SetUp_Sheet"/>
      <sheetName val="Data_check"/>
      <sheetName val="StRp_Tbl1"/>
      <sheetName val="Stfrprtables"/>
      <sheetName val="Current"/>
      <sheetName val="Out_weo"/>
      <sheetName val="retreive data"/>
      <sheetName val="Key Assumptions"/>
      <sheetName val="Cene na mal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heet"/>
      <sheetName val="ATG"/>
      <sheetName val="ARG"/>
      <sheetName val="BRB"/>
      <sheetName val="BLZ"/>
      <sheetName val="BOL"/>
      <sheetName val="BRA"/>
      <sheetName val="CHL"/>
      <sheetName val="COL"/>
      <sheetName val="CRI"/>
      <sheetName val="DMA"/>
      <sheetName val="DOM"/>
      <sheetName val="ECU"/>
      <sheetName val="SLV"/>
      <sheetName val="GRD"/>
      <sheetName val="GTM"/>
      <sheetName val="GUY"/>
      <sheetName val="HTI"/>
      <sheetName val="HND"/>
      <sheetName val="JAM"/>
      <sheetName val="MEX"/>
      <sheetName val="NIC"/>
      <sheetName val="PAN"/>
      <sheetName val="PRY"/>
      <sheetName val="PER"/>
      <sheetName val="KNA"/>
      <sheetName val="LCA"/>
      <sheetName val="VCT"/>
      <sheetName val="TTO"/>
      <sheetName val="URY"/>
      <sheetName val="VEN"/>
      <sheetName val="PIB EN COR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
    </sheetNames>
    <sheetDataSet>
      <sheetData sheetId="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ing"/>
    </sheet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rics"/>
    </sheetNames>
    <sheetDataSet>
      <sheetData sheetId="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 | Resource Plan-Detail"/>
    </sheetNames>
    <sheetDataSet>
      <sheetData sheetId="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Balance"/>
      <sheetName val="Published Stmt"/>
      <sheetName val="BS Monthly"/>
      <sheetName val="Monthly P &amp; L"/>
      <sheetName val="Monthly Cash Flow"/>
      <sheetName val="Notes to fin stmt BS"/>
      <sheetName val="Local Debentures FEB"/>
      <sheetName val="Treasury Bills FEB"/>
      <sheetName val="FEB 06 PUR"/>
      <sheetName val="FEB 05 PUR"/>
      <sheetName val="Movement in Fx Secs"/>
      <sheetName val="Int pd and recble calc"/>
      <sheetName val="Bal Sheet"/>
      <sheetName val="Inc Stmnt"/>
      <sheetName val="Cash Flow (5)"/>
      <sheetName val="Equity Change"/>
      <sheetName val="Gen Res Restmnts"/>
      <sheetName val="Notes"/>
      <sheetName val="Note 3 Sch"/>
      <sheetName val="Notes 3f-22 portrait"/>
      <sheetName val="Note 13-ppe"/>
      <sheetName val="Int inc + Other Inc Geo (3)"/>
      <sheetName val="Int inc + Other Inc Geo"/>
      <sheetName val="Int Rec'ble Mar 05"/>
      <sheetName val="Acc Rec and Acc Pay 2005"/>
      <sheetName val="Fixed Asset"/>
      <sheetName val="Cash Flow w stf ln dep bal + si"/>
      <sheetName val="Worksheet Geo loc 2005"/>
      <sheetName val="Acc Rec mat 2005"/>
      <sheetName val="2005 mat dem liab dom"/>
      <sheetName val="Int Accr Secs + Deps 05"/>
      <sheetName val="Worksheet Geo loc"/>
      <sheetName val="Acc Rec and Acc Pay 2004 mat"/>
      <sheetName val="Fix Dep Geo"/>
      <sheetName val="Dem Liab Geo + Mat"/>
      <sheetName val="DEPOSITS-STF LNS +SIF"/>
      <sheetName val="WSheet Maturities"/>
      <sheetName val="Int inc + Other Inc Geo (2)"/>
      <sheetName val="Income"/>
      <sheetName val="Expense 1"/>
      <sheetName val="Expense 2"/>
      <sheetName val="Graph Expenses"/>
      <sheetName val="Net Income"/>
      <sheetName val="NPV"/>
      <sheetName val="FSUOUT"/>
      <sheetName val="Q5"/>
      <sheetName val="Q6"/>
      <sheetName val="Q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hart1"/>
      <sheetName val="Sheet4"/>
      <sheetName val="Sheet5"/>
      <sheetName val="ARG"/>
    </sheetNames>
    <sheetDataSet>
      <sheetData sheetId="0" refreshError="1">
        <row r="2">
          <cell r="B2" t="str">
            <v>1970 *Y</v>
          </cell>
          <cell r="C2" t="str">
            <v>FTTYR@USECON</v>
          </cell>
          <cell r="D2" t="str">
            <v>FTT@USECON</v>
          </cell>
          <cell r="E2" t="str">
            <v>GFSAVE@USNA</v>
          </cell>
          <cell r="F2" t="str">
            <v>GSSAVE@USNA</v>
          </cell>
          <cell r="G2" t="str">
            <v>GBAL@USNA</v>
          </cell>
          <cell r="H2" t="str">
            <v>GFBAL@USNA</v>
          </cell>
          <cell r="I2" t="str">
            <v>GSBAL@USNA</v>
          </cell>
          <cell r="J2" t="str">
            <v>TMMCN@USECON</v>
          </cell>
          <cell r="K2" t="str">
            <v>TMMCJP@USECON</v>
          </cell>
          <cell r="P2" t="str">
            <v>GDPA@USECON</v>
          </cell>
          <cell r="R2" t="str">
            <v>C228WE@IFSANN</v>
          </cell>
        </row>
        <row r="3">
          <cell r="B3" t="str">
            <v>.DESC</v>
          </cell>
          <cell r="C3" t="str">
            <v xml:space="preserve">Federal Surplus or Deficit {incl Treasury Revisions} (Fiscal YTD, Mil.$) </v>
          </cell>
          <cell r="D3" t="str">
            <v xml:space="preserve">Federal Surplus {+} or Deficit {-} (Mil.$) </v>
          </cell>
          <cell r="E3" t="str">
            <v xml:space="preserve">Gross Federal Government Saving (SAAR, Bil.$) </v>
          </cell>
          <cell r="F3" t="str">
            <v xml:space="preserve">Gross State &amp; Local Government Saving (SAAR, Bil.$) </v>
          </cell>
          <cell r="G3" t="str">
            <v xml:space="preserve">Net Government Saving (SAAR, Bil.$) </v>
          </cell>
          <cell r="H3" t="str">
            <v xml:space="preserve">Net Federal Government Saving (SAAR, Bil.$) </v>
          </cell>
          <cell r="I3" t="str">
            <v xml:space="preserve">Net State &amp; Local Government Saving (SAAR, Bil.$) </v>
          </cell>
          <cell r="J3" t="str">
            <v xml:space="preserve">Imports, Customs Value: Goods (NSA, Mil.$) </v>
          </cell>
          <cell r="K3" t="str">
            <v xml:space="preserve">Imports from Japan: Customs Value (NSA, Mil.$) </v>
          </cell>
          <cell r="L3" t="str">
            <v xml:space="preserve">Egypt: Employment (Millions) </v>
          </cell>
          <cell r="M3" t="str">
            <v xml:space="preserve">Israel: Employed Persons (SA, Thousands) </v>
          </cell>
          <cell r="N3" t="str">
            <v xml:space="preserve">South Africa: Employment in the Non-Agricultural Sectors: Total (SA, 2000=100) </v>
          </cell>
          <cell r="O3" t="str">
            <v xml:space="preserve">Turkey: Employment (SA, Thous) </v>
          </cell>
          <cell r="P3" t="str">
            <v xml:space="preserve">Gross Domestic Product (Bil.$) </v>
          </cell>
          <cell r="R3" t="str">
            <v xml:space="preserve">Chile: Number Employed (Thous) </v>
          </cell>
        </row>
        <row r="4">
          <cell r="B4" t="str">
            <v>.SOURCE</v>
          </cell>
          <cell r="C4" t="str">
            <v>TREASURY</v>
          </cell>
          <cell r="D4" t="str">
            <v>TREASURY</v>
          </cell>
          <cell r="E4" t="str">
            <v>BEA</v>
          </cell>
          <cell r="F4" t="str">
            <v>BEA</v>
          </cell>
          <cell r="G4" t="str">
            <v>BEA</v>
          </cell>
          <cell r="H4" t="str">
            <v>BEA</v>
          </cell>
          <cell r="I4" t="str">
            <v>BEA</v>
          </cell>
          <cell r="J4" t="str">
            <v>CENSUS</v>
          </cell>
          <cell r="K4" t="str">
            <v>CENSUS</v>
          </cell>
          <cell r="L4" t="str">
            <v>MoPE</v>
          </cell>
          <cell r="M4" t="str">
            <v>CBS</v>
          </cell>
          <cell r="N4" t="str">
            <v>SARB</v>
          </cell>
          <cell r="O4" t="str">
            <v>SIST/H</v>
          </cell>
          <cell r="P4" t="str">
            <v>BEA</v>
          </cell>
          <cell r="R4" t="str">
            <v>IMF</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FxCap"/>
      <sheetName val="Eurostat OS"/>
      <sheetName val="OECD OS"/>
      <sheetName val="Haver CP"/>
      <sheetName val="Sheet1"/>
      <sheetName val="Haver"/>
      <sheetName val="US&amp;Can"/>
      <sheetName val="OECDNA"/>
      <sheetName val="GDP_Eur"/>
      <sheetName val="CE_Eur"/>
      <sheetName val="GOS_Eur"/>
      <sheetName val="TIS_Eur"/>
      <sheetName val="Check_Eur"/>
      <sheetName val="GOS_AM"/>
      <sheetName val="CE_AM"/>
      <sheetName val="TIS_AM"/>
      <sheetName val="GDP_AM"/>
      <sheetName val="Check_AM"/>
      <sheetName val="GOS_OECD"/>
      <sheetName val="GOSC_AM"/>
      <sheetName val="GOSC_OECD"/>
      <sheetName val="GOS"/>
      <sheetName val="GOSC"/>
      <sheetName val="NOSC"/>
      <sheetName val="NOS"/>
      <sheetName val="NKV"/>
      <sheetName val="PI"/>
      <sheetName val="NK"/>
      <sheetName val="R1"/>
      <sheetName val="R2"/>
      <sheetName val="CC"/>
      <sheetName val="Dep"/>
      <sheetName val="Dep_OECD"/>
      <sheetName val="Inv_V_OECD"/>
      <sheetName val="K_OECD"/>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 Data"/>
    </sheetNames>
    <sheetDataSet>
      <sheetData sheetId="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IC Team Calendar"/>
      <sheetName val="Vacation 2010"/>
    </sheetNames>
    <sheetDataSet>
      <sheetData sheetId="0"/>
      <sheetData sheetId="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apital"/>
      <sheetName val="ipx"/>
      <sheetName val="ipm"/>
      <sheetName val="precelec"/>
      <sheetName val="Hoja2"/>
      <sheetName val="PIB EN CORR"/>
      <sheetName val="Implicito-trim"/>
      <sheetName val="Hoja1"/>
      <sheetName val="Curr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structions"/>
      <sheetName val="Format for Variance Explanation"/>
      <sheetName val="Color codes"/>
      <sheetName val="Cover"/>
      <sheetName val="Cover Foreign Banks"/>
      <sheetName val="Cover Foreign Banks2"/>
      <sheetName val="Schedule 1"/>
      <sheetName val="Schedule 2"/>
      <sheetName val="Data Entry Attachment - old"/>
      <sheetName val="Schedule 3"/>
      <sheetName val="Schedule 4"/>
      <sheetName val="Schedule 4 (cont'd)"/>
      <sheetName val="Schedule 5"/>
      <sheetName val="Schedule 5 central govt(cont'd)"/>
      <sheetName val="Schedule 5 local govt (cont'd)"/>
      <sheetName val="Schedule 5 stat bodies (cont'd)"/>
      <sheetName val="Schedule 5 summary"/>
      <sheetName val="Schedule 6"/>
      <sheetName val="Schedule 6 Tbills"/>
      <sheetName val="Schedule 6 Govt Securities"/>
      <sheetName val="Schedule 6 Other Investments"/>
      <sheetName val="Schedule 6 Tbills &amp; Gov't Sec"/>
      <sheetName val="Schedule 7"/>
      <sheetName val="Schedule 8"/>
      <sheetName val="Schedule 9"/>
      <sheetName val="Schedule 9 cont'd"/>
      <sheetName val="Schedule 10"/>
      <sheetName val="New Data Attachment Sheet"/>
      <sheetName val="Schedule 11a"/>
      <sheetName val="Schedule 11a - wsI"/>
      <sheetName val="Schedule 11 - wsII"/>
      <sheetName val="Schedule 11a - ws II cont'd"/>
      <sheetName val="Schedule 11b - wsIII"/>
      <sheetName val="Schedule 11c"/>
      <sheetName val="Schedule 12"/>
      <sheetName val="Appendix 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37">
          <cell r="D37">
            <v>132</v>
          </cell>
        </row>
      </sheetData>
      <sheetData sheetId="35"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Balance"/>
      <sheetName val="Published Stmt"/>
      <sheetName val="BS Monthly"/>
      <sheetName val="Monthly P &amp; L"/>
      <sheetName val="Monthly Cash Flow"/>
      <sheetName val="Notes to fin stmt BS"/>
      <sheetName val="Local Debentures FEB"/>
      <sheetName val="Treasury Bills FEB"/>
      <sheetName val="FEB 06 PUR"/>
      <sheetName val="FEB 05 PUR"/>
      <sheetName val="Movement in Fx Secs"/>
      <sheetName val="Int pd and recble calc"/>
      <sheetName val="Bal Sheet"/>
      <sheetName val="Inc Stmnt"/>
      <sheetName val="Cash Flow (5)"/>
      <sheetName val="Equity Change"/>
      <sheetName val="Gen Res Restmnts"/>
      <sheetName val="Notes"/>
      <sheetName val="Note 3 Sch"/>
      <sheetName val="Notes 3f-22 portrait"/>
      <sheetName val="Note 13-ppe"/>
      <sheetName val="Int inc + Other Inc Geo (3)"/>
      <sheetName val="Int inc + Other Inc Geo"/>
      <sheetName val="Int Rec'ble Mar 05"/>
      <sheetName val="Acc Rec and Acc Pay 2005"/>
      <sheetName val="Fixed Asset"/>
      <sheetName val="Cash Flow w stf ln dep bal + si"/>
      <sheetName val="Worksheet Geo loc 2005"/>
      <sheetName val="Acc Rec mat 2005"/>
      <sheetName val="2005 mat dem liab dom"/>
      <sheetName val="Int Accr Secs + Deps 05"/>
      <sheetName val="Worksheet Geo loc"/>
      <sheetName val="Acc Rec and Acc Pay 2004 mat"/>
      <sheetName val="Fix Dep Geo"/>
      <sheetName val="Dem Liab Geo + Mat"/>
      <sheetName val="DEPOSITS-STF LNS +SIF"/>
      <sheetName val="WSheet Maturities"/>
      <sheetName val="Int inc + Other Inc Geo (2)"/>
      <sheetName val="Income"/>
      <sheetName val="Expense 1"/>
      <sheetName val="Expense 2"/>
      <sheetName val="Graph Expenses"/>
      <sheetName val="Net Inco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Mar16"/>
      <sheetName val="FISCAL-Working"/>
      <sheetName val="FISCAL-RF"/>
      <sheetName val="TRADE-Working"/>
      <sheetName val="Trade by SITC"/>
      <sheetName val="Trade (RF- Table 29 )"/>
      <sheetName val="TOURISM - Working"/>
      <sheetName val="CPI-new"/>
      <sheetName val="GDA Tourism &amp; CPI (25 &amp; 26)"/>
      <sheetName val="Prodn-WORKING"/>
      <sheetName val="GDA Agri Prod  (28 )"/>
      <sheetName val="GDP Economic Indicators"/>
      <sheetName val="Notes"/>
    </sheetNames>
    <sheetDataSet>
      <sheetData sheetId="0" refreshError="1"/>
      <sheetData sheetId="1" refreshError="1"/>
      <sheetData sheetId="2">
        <row r="8">
          <cell r="AA8" t="str">
            <v>ᴾ</v>
          </cell>
        </row>
      </sheetData>
      <sheetData sheetId="3" refreshError="1"/>
      <sheetData sheetId="4">
        <row r="7">
          <cell r="AD7" t="str">
            <v>ᴱ</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Peoplesoft"/>
      <sheetName val="Projects"/>
      <sheetName val="Team Structure"/>
      <sheetName val="Consolidated View"/>
      <sheetName val="Pyramid"/>
      <sheetName val="Resultspace"/>
      <sheetName val="Exchange"/>
      <sheetName val="Rates"/>
    </sheetNames>
    <sheetDataSet>
      <sheetData sheetId="0">
        <row r="2">
          <cell r="B2" t="str">
            <v>kfried</v>
          </cell>
        </row>
        <row r="3">
          <cell r="B3" t="str">
            <v>Karrifr32</v>
          </cell>
        </row>
        <row r="4">
          <cell r="B4" t="str">
            <v>proj1019</v>
          </cell>
        </row>
        <row r="5">
          <cell r="B5" t="str">
            <v>role4476</v>
          </cell>
        </row>
        <row r="8">
          <cell r="B8" t="str">
            <v>Citadel US Team</v>
          </cell>
        </row>
        <row r="9">
          <cell r="B9" t="str">
            <v>Citadel Bangalore</v>
          </cell>
        </row>
        <row r="10">
          <cell r="B10" t="str">
            <v>Citadel - Gurgaon Team</v>
          </cell>
        </row>
        <row r="13">
          <cell r="B13" t="str">
            <v>Yes</v>
          </cell>
          <cell r="C13" t="str">
            <v>OK</v>
          </cell>
        </row>
        <row r="14">
          <cell r="B14" t="str">
            <v>Yes</v>
          </cell>
          <cell r="C14" t="str">
            <v>OK</v>
          </cell>
        </row>
        <row r="15">
          <cell r="B15" t="str">
            <v>No</v>
          </cell>
          <cell r="C15" t="str">
            <v>NONE</v>
          </cell>
        </row>
        <row r="16">
          <cell r="B16" t="str">
            <v>No</v>
          </cell>
          <cell r="C16" t="str">
            <v>NONE</v>
          </cell>
        </row>
        <row r="17">
          <cell r="B17" t="str">
            <v>No</v>
          </cell>
          <cell r="C17" t="str">
            <v>NONE</v>
          </cell>
        </row>
        <row r="18">
          <cell r="B18" t="str">
            <v>No</v>
          </cell>
          <cell r="C18" t="str">
            <v>NONE</v>
          </cell>
        </row>
        <row r="21">
          <cell r="B21">
            <v>38990</v>
          </cell>
        </row>
      </sheetData>
      <sheetData sheetId="1"/>
      <sheetData sheetId="2">
        <row r="54">
          <cell r="Q54">
            <v>30</v>
          </cell>
        </row>
        <row r="55">
          <cell r="Q55">
            <v>23</v>
          </cell>
        </row>
        <row r="56">
          <cell r="Q56">
            <v>21</v>
          </cell>
        </row>
        <row r="57">
          <cell r="Q57">
            <v>3</v>
          </cell>
        </row>
      </sheetData>
      <sheetData sheetId="3"/>
      <sheetData sheetId="4"/>
      <sheetData sheetId="5"/>
      <sheetData sheetId="6"/>
      <sheetData sheetId="7"/>
      <sheetData sheetId="8"/>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Y 04 PUR"/>
      <sheetName val="SEC PUR MAY 05"/>
      <sheetName val="Trial Balance"/>
      <sheetName val="Notes to fin stmt BS"/>
      <sheetName val="Published Stmt"/>
      <sheetName val="BS Monthly"/>
      <sheetName val="Movement in Fx Secs"/>
      <sheetName val="Monthly Cash Flow"/>
      <sheetName val="Int pd and recble calc"/>
      <sheetName val="Monthly P &amp; L"/>
      <sheetName val="Local Debentures"/>
      <sheetName val="Treasury Bills"/>
      <sheetName val="Bal Sheet"/>
      <sheetName val="Inc Stmnt"/>
      <sheetName val="Cash Flow (5)"/>
      <sheetName val="Equity Change"/>
      <sheetName val="Gen Res Restmnts"/>
      <sheetName val="Notes"/>
      <sheetName val="Note 3 Sch"/>
      <sheetName val="Notes 3f-22 portrait"/>
      <sheetName val="Note 13-ppe"/>
      <sheetName val="Int inc + Other Inc Geo (3)"/>
      <sheetName val="Int inc + Other Inc Geo"/>
      <sheetName val="Int Rec'ble Mar 05"/>
      <sheetName val="Acc Rec and Acc Pay 2005"/>
      <sheetName val="Fixed Asset"/>
      <sheetName val="Cash Flow w stf ln dep bal + si"/>
      <sheetName val="Worksheet Geo loc 2005"/>
      <sheetName val="Acc Rec mat 2005"/>
      <sheetName val="2005 mat dem liab dom"/>
      <sheetName val="Int Accr Secs + Deps 05"/>
      <sheetName val="Worksheet Geo loc"/>
      <sheetName val="Acc Rec and Acc Pay 2004 mat"/>
      <sheetName val="Fix Dep Geo"/>
      <sheetName val="Dem Liab Geo + Mat"/>
      <sheetName val="DEPOSITS-STF LNS +SIF"/>
      <sheetName val="WSheet Maturities"/>
      <sheetName val="Int inc + Other Inc Geo (2)"/>
      <sheetName val="Income"/>
      <sheetName val="Expense 1"/>
      <sheetName val="Expense 2"/>
      <sheetName val="Graph Expenses"/>
      <sheetName val="Net Income"/>
      <sheetName val="Main"/>
      <sheetName val="Links"/>
      <sheetName val="ErrChec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Links"/>
      <sheetName val="xxweolinksxx"/>
      <sheetName val="ErrCheck"/>
      <sheetName val="DA"/>
      <sheetName val="Micro"/>
      <sheetName val="Q1"/>
      <sheetName val="Q2"/>
      <sheetName val="Q3"/>
      <sheetName val="Q4"/>
      <sheetName val="Q5"/>
      <sheetName val="Q6"/>
      <sheetName val="Q7"/>
      <sheetName val="QQ"/>
      <sheetName val="QC"/>
      <sheetName val="WDQP"/>
      <sheetName val="Haver"/>
      <sheetName val="QQ1"/>
      <sheetName val="QQ2"/>
      <sheetName val="QQ3"/>
      <sheetName val="WRSTAB"/>
    </sheetNames>
    <sheetDataSet>
      <sheetData sheetId="0" refreshError="1">
        <row r="18">
          <cell r="G18" t="str">
            <v>Last sent to WEO:</v>
          </cell>
        </row>
        <row r="19">
          <cell r="G19" t="str">
            <v xml:space="preserve">       Last updated:</v>
          </cell>
        </row>
        <row r="25">
          <cell r="AB25" t="b">
            <v>0</v>
          </cell>
        </row>
      </sheetData>
      <sheetData sheetId="1" refreshError="1">
        <row r="1">
          <cell r="A1" t="str">
            <v>Links and other sources</v>
          </cell>
        </row>
        <row r="3">
          <cell r="A3" t="str">
            <v>Quest</v>
          </cell>
          <cell r="B3" t="str">
            <v>Series</v>
          </cell>
          <cell r="C3" t="str">
            <v>Year</v>
          </cell>
          <cell r="D3" t="str">
            <v>Link Type</v>
          </cell>
          <cell r="E3" t="str">
            <v>Link Path</v>
          </cell>
          <cell r="F3" t="str">
            <v>Link Reference</v>
          </cell>
        </row>
        <row r="4">
          <cell r="A4" t="str">
            <v>Q1</v>
          </cell>
          <cell r="B4" t="str">
            <v>NFI_R</v>
          </cell>
          <cell r="C4">
            <v>1974</v>
          </cell>
          <cell r="D4" t="str">
            <v>Aremos</v>
          </cell>
          <cell r="E4" t="str">
            <v>C:\JRFiles\WEO\banks\R999.bnk</v>
          </cell>
          <cell r="F4" t="str">
            <v>W111BMS</v>
          </cell>
        </row>
        <row r="5">
          <cell r="A5" t="str">
            <v>Q1</v>
          </cell>
          <cell r="B5" t="str">
            <v>NFI_R</v>
          </cell>
          <cell r="C5">
            <v>1975</v>
          </cell>
          <cell r="D5" t="str">
            <v>Aremos</v>
          </cell>
          <cell r="E5" t="str">
            <v>C:\JRFiles\WEO\banks\R999.bnk</v>
          </cell>
          <cell r="F5" t="str">
            <v>W111BMS</v>
          </cell>
        </row>
        <row r="6">
          <cell r="A6" t="str">
            <v>Q1</v>
          </cell>
          <cell r="B6" t="str">
            <v>NFI_R</v>
          </cell>
          <cell r="C6">
            <v>1976</v>
          </cell>
          <cell r="D6" t="str">
            <v>Aremos</v>
          </cell>
          <cell r="E6" t="str">
            <v>C:\JRFiles\WEO\banks\R999.bnk</v>
          </cell>
          <cell r="F6" t="str">
            <v>W111BMS</v>
          </cell>
        </row>
        <row r="7">
          <cell r="A7" t="str">
            <v>Q1</v>
          </cell>
          <cell r="B7" t="str">
            <v>NFI_R</v>
          </cell>
          <cell r="C7">
            <v>1977</v>
          </cell>
          <cell r="D7" t="str">
            <v>Aremos</v>
          </cell>
          <cell r="E7" t="str">
            <v>C:\JRFiles\WEO\banks\R999.bnk</v>
          </cell>
          <cell r="F7" t="str">
            <v>W111BMS</v>
          </cell>
        </row>
        <row r="8">
          <cell r="A8" t="str">
            <v>Q1</v>
          </cell>
          <cell r="B8" t="str">
            <v>NFI_R</v>
          </cell>
          <cell r="C8">
            <v>1978</v>
          </cell>
          <cell r="D8" t="str">
            <v>Aremos</v>
          </cell>
          <cell r="E8" t="str">
            <v>C:\JRFiles\WEO\banks\R999.bnk</v>
          </cell>
          <cell r="F8" t="str">
            <v>W111BMS</v>
          </cell>
        </row>
        <row r="9">
          <cell r="A9" t="str">
            <v>Q1</v>
          </cell>
          <cell r="B9" t="str">
            <v>NFI_R</v>
          </cell>
          <cell r="C9">
            <v>1979</v>
          </cell>
          <cell r="D9" t="str">
            <v>Aremos</v>
          </cell>
          <cell r="E9" t="str">
            <v>C:\JRFiles\WEO\banks\R999.bnk</v>
          </cell>
          <cell r="F9" t="str">
            <v>W111BMS</v>
          </cell>
        </row>
        <row r="10">
          <cell r="A10" t="str">
            <v>Q1</v>
          </cell>
          <cell r="B10" t="str">
            <v>NFI_R</v>
          </cell>
          <cell r="C10">
            <v>1980</v>
          </cell>
          <cell r="D10" t="str">
            <v>Aremos</v>
          </cell>
          <cell r="E10" t="str">
            <v>C:\JRFiles\WEO\banks\R999.bnk</v>
          </cell>
          <cell r="F10" t="str">
            <v>W111BMS</v>
          </cell>
        </row>
        <row r="11">
          <cell r="A11" t="str">
            <v>Q1</v>
          </cell>
          <cell r="B11" t="str">
            <v>NFI_R</v>
          </cell>
          <cell r="C11">
            <v>1981</v>
          </cell>
          <cell r="D11" t="str">
            <v>Aremos</v>
          </cell>
          <cell r="E11" t="str">
            <v>C:\JRFiles\WEO\banks\R999.bnk</v>
          </cell>
          <cell r="F11" t="str">
            <v>W111BMS</v>
          </cell>
        </row>
        <row r="12">
          <cell r="A12" t="str">
            <v>Q1</v>
          </cell>
          <cell r="B12" t="str">
            <v>NFI_R</v>
          </cell>
          <cell r="C12">
            <v>1982</v>
          </cell>
          <cell r="D12" t="str">
            <v>Aremos</v>
          </cell>
          <cell r="E12" t="str">
            <v>C:\JRFiles\WEO\banks\R999.bnk</v>
          </cell>
          <cell r="F12" t="str">
            <v>W111BMS</v>
          </cell>
        </row>
        <row r="13">
          <cell r="A13" t="str">
            <v>Q1</v>
          </cell>
          <cell r="B13" t="str">
            <v>NFI_R</v>
          </cell>
          <cell r="C13">
            <v>1983</v>
          </cell>
          <cell r="D13" t="str">
            <v>Aremos</v>
          </cell>
          <cell r="E13" t="str">
            <v>C:\JRFiles\WEO\banks\R999.bnk</v>
          </cell>
          <cell r="F13" t="str">
            <v>W111BMS</v>
          </cell>
        </row>
        <row r="14">
          <cell r="A14" t="str">
            <v>Q1</v>
          </cell>
          <cell r="B14" t="str">
            <v>NFI_R</v>
          </cell>
          <cell r="C14">
            <v>1984</v>
          </cell>
          <cell r="D14" t="str">
            <v>Aremos</v>
          </cell>
          <cell r="E14" t="str">
            <v>C:\JRFiles\WEO\banks\R999.bnk</v>
          </cell>
          <cell r="F14" t="str">
            <v>W111BMS</v>
          </cell>
        </row>
        <row r="15">
          <cell r="A15" t="str">
            <v>Q1</v>
          </cell>
          <cell r="B15" t="str">
            <v>NFI_R</v>
          </cell>
          <cell r="C15">
            <v>1985</v>
          </cell>
          <cell r="D15" t="str">
            <v>Aremos</v>
          </cell>
          <cell r="E15" t="str">
            <v>C:\JRFiles\WEO\banks\R999.bnk</v>
          </cell>
          <cell r="F15" t="str">
            <v>W111BMS</v>
          </cell>
        </row>
        <row r="16">
          <cell r="A16" t="str">
            <v>Q1</v>
          </cell>
          <cell r="B16" t="str">
            <v>NFI_R</v>
          </cell>
          <cell r="C16">
            <v>1986</v>
          </cell>
          <cell r="D16" t="str">
            <v>Aremos</v>
          </cell>
          <cell r="E16" t="str">
            <v>C:\JRFiles\WEO\banks\R999.bnk</v>
          </cell>
          <cell r="F16" t="str">
            <v>W111BMS</v>
          </cell>
        </row>
        <row r="17">
          <cell r="A17" t="str">
            <v>Q1</v>
          </cell>
          <cell r="B17" t="str">
            <v>NFI_R</v>
          </cell>
          <cell r="C17">
            <v>1987</v>
          </cell>
          <cell r="D17" t="str">
            <v>Aremos</v>
          </cell>
          <cell r="E17" t="str">
            <v>C:\JRFiles\WEO\banks\R999.bnk</v>
          </cell>
          <cell r="F17" t="str">
            <v>W111BMS</v>
          </cell>
        </row>
        <row r="18">
          <cell r="A18" t="str">
            <v>Q1</v>
          </cell>
          <cell r="B18" t="str">
            <v>NFI_R</v>
          </cell>
          <cell r="C18">
            <v>1988</v>
          </cell>
          <cell r="D18" t="str">
            <v>Aremos</v>
          </cell>
          <cell r="E18" t="str">
            <v>C:\JRFiles\WEO\banks\R999.bnk</v>
          </cell>
          <cell r="F18" t="str">
            <v>W111BMS</v>
          </cell>
        </row>
        <row r="19">
          <cell r="A19" t="str">
            <v>Q1</v>
          </cell>
          <cell r="B19" t="str">
            <v>NFI_R</v>
          </cell>
          <cell r="C19">
            <v>1989</v>
          </cell>
          <cell r="D19" t="str">
            <v>Aremos</v>
          </cell>
          <cell r="E19" t="str">
            <v>C:\JRFiles\WEO\banks\R999.bnk</v>
          </cell>
          <cell r="F19" t="str">
            <v>W111BMS</v>
          </cell>
        </row>
        <row r="20">
          <cell r="A20" t="str">
            <v>Q1</v>
          </cell>
          <cell r="B20" t="str">
            <v>NFI_R</v>
          </cell>
          <cell r="C20">
            <v>1990</v>
          </cell>
          <cell r="D20" t="str">
            <v>Aremos</v>
          </cell>
          <cell r="E20" t="str">
            <v>C:\JRFiles\WEO\banks\R999.bnk</v>
          </cell>
          <cell r="F20" t="str">
            <v>W111BMS</v>
          </cell>
        </row>
        <row r="21">
          <cell r="A21" t="str">
            <v>Q1</v>
          </cell>
          <cell r="B21" t="str">
            <v>NFI_R</v>
          </cell>
          <cell r="C21">
            <v>1991</v>
          </cell>
          <cell r="D21" t="str">
            <v>Aremos</v>
          </cell>
          <cell r="E21" t="str">
            <v>C:\JRFiles\WEO\banks\R999.bnk</v>
          </cell>
          <cell r="F21" t="str">
            <v>W111BMS</v>
          </cell>
        </row>
        <row r="22">
          <cell r="A22" t="str">
            <v>Q1</v>
          </cell>
          <cell r="B22" t="str">
            <v>NFI_R</v>
          </cell>
          <cell r="C22">
            <v>1992</v>
          </cell>
          <cell r="D22" t="str">
            <v>Aremos</v>
          </cell>
          <cell r="E22" t="str">
            <v>C:\JRFiles\WEO\banks\R999.bnk</v>
          </cell>
          <cell r="F22" t="str">
            <v>W111BMS</v>
          </cell>
        </row>
        <row r="23">
          <cell r="A23" t="str">
            <v>Q1</v>
          </cell>
          <cell r="B23" t="str">
            <v>NFI_R</v>
          </cell>
          <cell r="C23">
            <v>1993</v>
          </cell>
          <cell r="D23" t="str">
            <v>Aremos</v>
          </cell>
          <cell r="E23" t="str">
            <v>C:\JRFiles\WEO\banks\R999.bnk</v>
          </cell>
          <cell r="F23" t="str">
            <v>W111BMS</v>
          </cell>
        </row>
        <row r="24">
          <cell r="A24" t="str">
            <v>Q1</v>
          </cell>
          <cell r="B24" t="str">
            <v>NFI_R</v>
          </cell>
          <cell r="C24">
            <v>1994</v>
          </cell>
          <cell r="D24" t="str">
            <v>Aremos</v>
          </cell>
          <cell r="E24" t="str">
            <v>C:\JRFiles\WEO\banks\R999.bnk</v>
          </cell>
          <cell r="F24" t="str">
            <v>W111BMS</v>
          </cell>
        </row>
        <row r="25">
          <cell r="A25" t="str">
            <v>Q1</v>
          </cell>
          <cell r="B25" t="str">
            <v>NFI_R</v>
          </cell>
          <cell r="C25">
            <v>1995</v>
          </cell>
          <cell r="D25" t="str">
            <v>Aremos</v>
          </cell>
          <cell r="E25" t="str">
            <v>C:\JRFiles\WEO\banks\R999.bnk</v>
          </cell>
          <cell r="F25" t="str">
            <v>W111BMS</v>
          </cell>
        </row>
        <row r="26">
          <cell r="A26" t="str">
            <v>Q1</v>
          </cell>
          <cell r="B26" t="str">
            <v>NFI_R</v>
          </cell>
          <cell r="C26">
            <v>1996</v>
          </cell>
          <cell r="D26" t="str">
            <v>Aremos</v>
          </cell>
          <cell r="E26" t="str">
            <v>C:\JRFiles\WEO\banks\R999.bnk</v>
          </cell>
          <cell r="F26" t="str">
            <v>W111BMS</v>
          </cell>
        </row>
        <row r="27">
          <cell r="A27" t="str">
            <v>Q1</v>
          </cell>
          <cell r="B27" t="str">
            <v>NFI_R</v>
          </cell>
          <cell r="C27">
            <v>1997</v>
          </cell>
          <cell r="D27" t="str">
            <v>Aremos</v>
          </cell>
          <cell r="E27" t="str">
            <v>C:\JRFiles\WEO\banks\R999.bnk</v>
          </cell>
          <cell r="F27" t="str">
            <v>W111BMS</v>
          </cell>
        </row>
        <row r="28">
          <cell r="A28" t="str">
            <v>Q1</v>
          </cell>
          <cell r="B28" t="str">
            <v>NFI_R</v>
          </cell>
          <cell r="C28">
            <v>1998</v>
          </cell>
          <cell r="D28" t="str">
            <v>Aremos</v>
          </cell>
          <cell r="E28" t="str">
            <v>C:\JRFiles\WEO\banks\R999.bnk</v>
          </cell>
          <cell r="F28" t="str">
            <v>W111BMS</v>
          </cell>
        </row>
        <row r="29">
          <cell r="A29" t="str">
            <v>Q1</v>
          </cell>
          <cell r="B29" t="str">
            <v>NFI_R</v>
          </cell>
          <cell r="C29">
            <v>1999</v>
          </cell>
          <cell r="D29" t="str">
            <v>Aremos</v>
          </cell>
          <cell r="E29" t="str">
            <v>C:\JRFiles\WEO\banks\R999.bnk</v>
          </cell>
          <cell r="F29" t="str">
            <v>W111BMS</v>
          </cell>
        </row>
        <row r="30">
          <cell r="A30" t="str">
            <v>Q1</v>
          </cell>
          <cell r="B30" t="str">
            <v>NFI_R</v>
          </cell>
          <cell r="C30">
            <v>2000</v>
          </cell>
          <cell r="D30" t="str">
            <v>Aremos</v>
          </cell>
          <cell r="E30" t="str">
            <v>C:\JRFiles\WEO\banks\R999.bnk</v>
          </cell>
          <cell r="F30" t="str">
            <v>W111BMS</v>
          </cell>
        </row>
        <row r="31">
          <cell r="A31" t="str">
            <v>Q1</v>
          </cell>
          <cell r="B31" t="str">
            <v>NFI_R</v>
          </cell>
          <cell r="C31">
            <v>2001</v>
          </cell>
          <cell r="D31" t="str">
            <v>Aremos</v>
          </cell>
          <cell r="E31" t="str">
            <v>C:\JRFiles\WEO\banks\R999.bnk</v>
          </cell>
          <cell r="F31" t="str">
            <v>W111BMS</v>
          </cell>
        </row>
        <row r="32">
          <cell r="A32" t="str">
            <v>Q1</v>
          </cell>
          <cell r="B32" t="str">
            <v>NFI_R</v>
          </cell>
          <cell r="C32">
            <v>2002</v>
          </cell>
          <cell r="D32" t="str">
            <v>Aremos</v>
          </cell>
          <cell r="E32" t="str">
            <v>C:\JRFiles\WEO\banks\R999.bnk</v>
          </cell>
          <cell r="F32" t="str">
            <v>W111BMS</v>
          </cell>
        </row>
        <row r="33">
          <cell r="A33" t="str">
            <v>Q1</v>
          </cell>
          <cell r="B33" t="str">
            <v>NFI_R</v>
          </cell>
          <cell r="C33">
            <v>2003</v>
          </cell>
          <cell r="D33" t="str">
            <v>Aremos</v>
          </cell>
          <cell r="E33" t="str">
            <v>C:\JRFiles\WEO\banks\R999.bnk</v>
          </cell>
          <cell r="F33" t="str">
            <v>W111BMS</v>
          </cell>
        </row>
      </sheetData>
      <sheetData sheetId="2" refreshError="1"/>
      <sheetData sheetId="3" refreshError="1">
        <row r="3">
          <cell r="A3" t="str">
            <v>Import of services must be neagtive</v>
          </cell>
          <cell r="B3" t="str">
            <v>(BMS)&lt;(0)</v>
          </cell>
          <cell r="C3" t="str">
            <v>1974 to 2003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for JR"/>
      <sheetName val="ModuleCntry_txt"/>
      <sheetName val="Hide"/>
      <sheetName val="ModuleDA"/>
      <sheetName val="DA"/>
      <sheetName val="ModuleMicro"/>
      <sheetName val="Micro"/>
      <sheetName val="ModuleQ"/>
      <sheetName val="Q1"/>
      <sheetName val="Q2"/>
      <sheetName val="Q3"/>
      <sheetName val="Q4"/>
    </sheetNames>
    <sheetDataSet>
      <sheetData sheetId="0"/>
      <sheetData sheetId="1" refreshError="1"/>
      <sheetData sheetId="2" refreshError="1"/>
      <sheetData sheetId="3" refreshError="1"/>
      <sheetData sheetId="4"/>
      <sheetData sheetId="5" refreshError="1"/>
      <sheetData sheetId="6"/>
      <sheetData sheetId="7" refreshError="1"/>
      <sheetData sheetId="8"/>
      <sheetData sheetId="9"/>
      <sheetData sheetId="10"/>
      <sheetData sheetId="1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St Kitts Fiscal  "/>
      <sheetName val="Nevis Fiscal "/>
      <sheetName val="CPI"/>
      <sheetName val="Consolidated Fiscal"/>
      <sheetName val="Sugar "/>
      <sheetName val="Fiscal-(RF) "/>
      <sheetName val="SKN Fiscal (38)"/>
      <sheetName val="cargo"/>
      <sheetName val="Agri"/>
      <sheetName val=" Trade"/>
      <sheetName val=" Trade (RF)"/>
      <sheetName val=" Imports"/>
      <sheetName val="Dom Exports"/>
      <sheetName val="Re-Exports"/>
      <sheetName val="Quarry"/>
      <sheetName val="SKN Trade (39)"/>
      <sheetName val="Agriculture "/>
      <sheetName val="TOURISM"/>
      <sheetName val="Tour (RF)"/>
      <sheetName val="St Kitts CPI-new"/>
      <sheetName val="Nevis CPI-new"/>
      <sheetName val="Consolidated CPI-new"/>
      <sheetName val="CPI (rf)-new"/>
      <sheetName val="CPI "/>
      <sheetName val="CPI- RF"/>
      <sheetName val="SKN Tourism &amp; CPI (36 &amp; 37)"/>
      <sheetName val="CPI-details Dec14-Aug-15"/>
      <sheetName val="CPI-details Sep to Dec_15-old"/>
      <sheetName val="CPI-details_Jan to Jul16-old"/>
      <sheetName val="CPI-det_Jan-16 to Sep-16-old"/>
      <sheetName val="Nevis CPI-5 digit"/>
      <sheetName val="Stkitts CPI-5 digit"/>
      <sheetName val="Assumptions"/>
      <sheetName val="GDP"/>
    </sheetNames>
    <sheetDataSet>
      <sheetData sheetId="0"/>
      <sheetData sheetId="1">
        <row r="1">
          <cell r="M1">
            <v>43252</v>
          </cell>
        </row>
      </sheetData>
      <sheetData sheetId="2"/>
      <sheetData sheetId="3"/>
      <sheetData sheetId="4"/>
      <sheetData sheetId="5"/>
      <sheetData sheetId="6"/>
      <sheetData sheetId="7">
        <row r="8">
          <cell r="Y8" t="str">
            <v>ˢᵗ</v>
          </cell>
        </row>
      </sheetData>
      <sheetData sheetId="8"/>
      <sheetData sheetId="9"/>
      <sheetData sheetId="10">
        <row r="59">
          <cell r="B59" t="str">
            <v xml:space="preserve">Source: Statistics Department, Sustainable Development, St Kitts </v>
          </cell>
        </row>
      </sheetData>
      <sheetData sheetId="11"/>
      <sheetData sheetId="12"/>
      <sheetData sheetId="13"/>
      <sheetData sheetId="14"/>
      <sheetData sheetId="15"/>
      <sheetData sheetId="16"/>
      <sheetData sheetId="17"/>
      <sheetData sheetId="18"/>
      <sheetData sheetId="19"/>
      <sheetData sheetId="20"/>
      <sheetData sheetId="21"/>
      <sheetData sheetId="22">
        <row r="9">
          <cell r="H9">
            <v>106.76</v>
          </cell>
        </row>
      </sheetData>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DA Tourism &amp; CPI (25 &amp; 26)"/>
      <sheetName val="Trade (RF- Table 29 )"/>
      <sheetName val="GDA Agri Prod  (28 )"/>
      <sheetName val="FISCAL-RF (29)"/>
      <sheetName val="Notes"/>
      <sheetName val="FISCAL-Working"/>
      <sheetName val="TRADE-Working"/>
      <sheetName val="Trade by SITC"/>
      <sheetName val="TOURISM - Working"/>
      <sheetName val="CPI-new"/>
      <sheetName val="Prodn-WORKING"/>
      <sheetName val="GDP Economic Indicators"/>
      <sheetName val="GDP Tables"/>
      <sheetName val="Sheet1"/>
    </sheetNames>
    <sheetDataSet>
      <sheetData sheetId="0" refreshError="1"/>
      <sheetData sheetId="1" refreshError="1"/>
      <sheetData sheetId="2" refreshError="1"/>
      <sheetData sheetId="3">
        <row r="8">
          <cell r="AC8" t="str">
            <v>ᴾ</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G Tourism &amp; CPI (10 &amp; 11) (2"/>
      <sheetName val="ANG Trade (12)"/>
      <sheetName val="ANG Fiscal (13)"/>
      <sheetName val="Fiscal"/>
      <sheetName val="Fiscal (RF)"/>
      <sheetName val="CPI"/>
      <sheetName val="CPI - RF"/>
      <sheetName val="New CPI - RF"/>
      <sheetName val="Trade"/>
      <sheetName val="Trade(RF)"/>
      <sheetName val="New CPI"/>
      <sheetName val="Tourism"/>
      <sheetName val="Tourism (RF)"/>
      <sheetName val="GDP"/>
      <sheetName val="Notes"/>
    </sheetNames>
    <sheetDataSet>
      <sheetData sheetId="0" refreshError="1"/>
      <sheetData sheetId="1" refreshError="1"/>
      <sheetData sheetId="2">
        <row r="6">
          <cell r="W6" t="str">
            <v>ᴾ</v>
          </cell>
        </row>
        <row r="7">
          <cell r="W7" t="str">
            <v>ˢᵗ</v>
          </cell>
        </row>
        <row r="8">
          <cell r="W8" t="str">
            <v>ᵑᵈ</v>
          </cell>
        </row>
        <row r="9">
          <cell r="W9" t="str">
            <v>ʳᵈ</v>
          </cell>
        </row>
        <row r="10">
          <cell r="W10" t="str">
            <v>ᵗʱ</v>
          </cell>
        </row>
      </sheetData>
      <sheetData sheetId="3"/>
      <sheetData sheetId="4" refreshError="1"/>
      <sheetData sheetId="5" refreshError="1"/>
      <sheetData sheetId="6" refreshError="1"/>
      <sheetData sheetId="7" refreshError="1"/>
      <sheetData sheetId="8"/>
      <sheetData sheetId="9" refreshError="1"/>
      <sheetData sheetId="10"/>
      <sheetData sheetId="11"/>
      <sheetData sheetId="12" refreshError="1"/>
      <sheetData sheetId="13"/>
      <sheetData sheetId="14"/>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Annex 2"/>
      <sheetName val="Annex 3"/>
      <sheetName val="Annex 4"/>
      <sheetName val="Annex 5"/>
      <sheetName val="Annex 6"/>
      <sheetName val="Annex 7"/>
      <sheetName val="Annex 8"/>
      <sheetName val="Report Form"/>
    </sheetNames>
    <sheetDataSet>
      <sheetData sheetId="0"/>
      <sheetData sheetId="1"/>
      <sheetData sheetId="2"/>
      <sheetData sheetId="3"/>
      <sheetData sheetId="4"/>
      <sheetData sheetId="5">
        <row r="13">
          <cell r="G13">
            <v>0</v>
          </cell>
        </row>
      </sheetData>
      <sheetData sheetId="6"/>
      <sheetData sheetId="7"/>
      <sheetData sheetId="8">
        <row r="2">
          <cell r="M2" t="str">
            <v>312</v>
          </cell>
        </row>
        <row r="3">
          <cell r="M3" t="str">
            <v>Anguilla</v>
          </cell>
        </row>
        <row r="4">
          <cell r="B4">
            <v>2020</v>
          </cell>
          <cell r="D4" t="str">
            <v>A</v>
          </cell>
        </row>
        <row r="5">
          <cell r="B5">
            <v>2019</v>
          </cell>
          <cell r="D5" t="str">
            <v>Q4</v>
          </cell>
          <cell r="M5" t="str">
            <v>XDC</v>
          </cell>
        </row>
        <row r="6">
          <cell r="B6">
            <v>2018</v>
          </cell>
          <cell r="D6" t="str">
            <v>Q3</v>
          </cell>
        </row>
        <row r="7">
          <cell r="B7">
            <v>2017</v>
          </cell>
          <cell r="D7" t="str">
            <v>Q2</v>
          </cell>
        </row>
        <row r="8">
          <cell r="B8">
            <v>2016</v>
          </cell>
          <cell r="D8" t="str">
            <v>Q1</v>
          </cell>
        </row>
        <row r="9">
          <cell r="B9">
            <v>2015</v>
          </cell>
          <cell r="D9" t="str">
            <v>M12</v>
          </cell>
        </row>
        <row r="10">
          <cell r="B10">
            <v>2014</v>
          </cell>
          <cell r="D10" t="str">
            <v>M11</v>
          </cell>
        </row>
        <row r="11">
          <cell r="B11">
            <v>2013</v>
          </cell>
          <cell r="D11" t="str">
            <v>M10</v>
          </cell>
        </row>
        <row r="12">
          <cell r="B12">
            <v>2012</v>
          </cell>
          <cell r="D12" t="str">
            <v>M9</v>
          </cell>
        </row>
        <row r="13">
          <cell r="B13">
            <v>2011</v>
          </cell>
          <cell r="D13" t="str">
            <v>M8</v>
          </cell>
        </row>
        <row r="14">
          <cell r="B14">
            <v>2010</v>
          </cell>
          <cell r="D14" t="str">
            <v>M7</v>
          </cell>
        </row>
        <row r="15">
          <cell r="B15">
            <v>2009</v>
          </cell>
          <cell r="D15" t="str">
            <v>M6</v>
          </cell>
        </row>
        <row r="16">
          <cell r="B16">
            <v>2008</v>
          </cell>
          <cell r="D16" t="str">
            <v>M5</v>
          </cell>
        </row>
        <row r="17">
          <cell r="B17">
            <v>2007</v>
          </cell>
          <cell r="D17" t="str">
            <v>M4</v>
          </cell>
        </row>
        <row r="18">
          <cell r="B18">
            <v>2006</v>
          </cell>
          <cell r="D18" t="str">
            <v>M3</v>
          </cell>
        </row>
        <row r="19">
          <cell r="B19">
            <v>2005</v>
          </cell>
          <cell r="D19" t="str">
            <v>M2</v>
          </cell>
        </row>
        <row r="20">
          <cell r="B20">
            <v>2004</v>
          </cell>
          <cell r="D20" t="str">
            <v>M1</v>
          </cell>
        </row>
        <row r="21">
          <cell r="B21">
            <v>2003</v>
          </cell>
        </row>
        <row r="22">
          <cell r="B22">
            <v>2002</v>
          </cell>
        </row>
        <row r="23">
          <cell r="B23">
            <v>2001</v>
          </cell>
        </row>
        <row r="24">
          <cell r="B24">
            <v>2000</v>
          </cell>
        </row>
        <row r="25">
          <cell r="B25">
            <v>1999</v>
          </cell>
        </row>
        <row r="26">
          <cell r="B26">
            <v>1998</v>
          </cell>
        </row>
        <row r="27">
          <cell r="B27">
            <v>1997</v>
          </cell>
        </row>
        <row r="28">
          <cell r="B28">
            <v>1996</v>
          </cell>
        </row>
        <row r="29">
          <cell r="B29">
            <v>1995</v>
          </cell>
        </row>
        <row r="30">
          <cell r="B30">
            <v>1994</v>
          </cell>
        </row>
        <row r="31">
          <cell r="B31">
            <v>1993</v>
          </cell>
        </row>
        <row r="32">
          <cell r="B32">
            <v>1992</v>
          </cell>
        </row>
        <row r="33">
          <cell r="B33">
            <v>1991</v>
          </cell>
        </row>
        <row r="34">
          <cell r="B34">
            <v>1990</v>
          </cell>
        </row>
      </sheetData>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sheetNames>
    <sheetDataSet>
      <sheetData sheetId="0"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s>
    <sheetDataSet>
      <sheetData sheetId="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GAS_061301"/>
      <sheetName val="GEE_061301"/>
      <sheetName val="B(Assump)"/>
      <sheetName val="GEE0901"/>
      <sheetName val="X"/>
      <sheetName val="M"/>
      <sheetName val="T-T"/>
      <sheetName val="S"/>
      <sheetName val="Check Interest"/>
      <sheetName val="G(Disb.)"/>
      <sheetName val="H(Amort)"/>
      <sheetName val="Debt scenario"/>
      <sheetName val="I(Interest)"/>
      <sheetName val="N(Debt)"/>
      <sheetName val="J(Priv.Cap)"/>
      <sheetName val="J(Fin. account)"/>
      <sheetName val="O(Arrears)"/>
      <sheetName val="K(Reserves)"/>
      <sheetName val="BOP_output"/>
      <sheetName val="L(Links)"/>
      <sheetName val="P(IMF)"/>
      <sheetName val="Main"/>
      <sheetName val="Links"/>
      <sheetName val="ErrChec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D5"/>
      <sheetName val="OMC"/>
      <sheetName val="CN"/>
      <sheetName val="CEntidades"/>
      <sheetName val="TP$ y BEM$"/>
      <sheetName val="RIN"/>
      <sheetName val="CIERRE"/>
      <sheetName val="IDMC"/>
      <sheetName val="SALIDA"/>
      <sheetName val="SEMAL"/>
      <sheetName val="INFPRE"/>
      <sheetName val="Gráfico2"/>
      <sheetName val="Gráfico3"/>
      <sheetName val="Gráfico1"/>
      <sheetName val="Hoja1"/>
      <sheetName val="J(Priv.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CIENDA"/>
      <sheetName val="MD5"/>
    </sheetNames>
    <sheetDataSet>
      <sheetData sheetId="0" refreshError="1"/>
      <sheetData sheetId="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rics"/>
      <sheetName val="Steps of Doneness (placeholder)"/>
      <sheetName val="Work Breakdown Structure"/>
      <sheetName val="Add Ins"/>
      <sheetName val="Objective Risks"/>
      <sheetName val="Expected LOE"/>
      <sheetName val="Report - READ ONLY"/>
      <sheetName val="Roles - READ Only"/>
    </sheetNames>
    <sheetDataSet>
      <sheetData sheetId="0" refreshError="1"/>
      <sheetData sheetId="1" refreshError="1"/>
      <sheetData sheetId="2" refreshError="1"/>
      <sheetData sheetId="3" refreshError="1"/>
      <sheetData sheetId="4" refreshError="1"/>
      <sheetData sheetId="5"/>
      <sheetData sheetId="6" refreshError="1"/>
      <sheetData sheetId="7"/>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sheetName val="Campaign Marketing"/>
      <sheetName val="Data Sources"/>
    </sheetNames>
    <sheetDataSet>
      <sheetData sheetId="0" refreshError="1"/>
      <sheetData sheetId="1" refreshError="1"/>
      <sheetData sheetId="2">
        <row r="2">
          <cell r="B2" t="str">
            <v>CRITICAL</v>
          </cell>
          <cell r="C2" t="str">
            <v>HIGH</v>
          </cell>
        </row>
        <row r="3">
          <cell r="B3" t="str">
            <v>URGENT</v>
          </cell>
          <cell r="C3" t="str">
            <v>MEDIUM</v>
          </cell>
        </row>
        <row r="4">
          <cell r="B4" t="str">
            <v>MODERATE</v>
          </cell>
          <cell r="C4" t="str">
            <v>LOW</v>
          </cell>
        </row>
        <row r="5">
          <cell r="B5" t="str">
            <v>N/A</v>
          </cell>
          <cell r="C5" t="str">
            <v>N/A</v>
          </cell>
        </row>
      </sheetData>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lementation phase changes"/>
      <sheetName val="Data"/>
    </sheetNames>
    <sheetDataSet>
      <sheetData sheetId="0" refreshError="1"/>
      <sheetData sheetId="1" refreshError="1">
        <row r="1">
          <cell r="B1" t="str">
            <v>Use Cases</v>
          </cell>
          <cell r="D1" t="str">
            <v>Accepted for work</v>
          </cell>
          <cell r="F1" t="str">
            <v>Paul Taylor</v>
          </cell>
          <cell r="H1" t="str">
            <v>Web (Sapient)</v>
          </cell>
        </row>
        <row r="2">
          <cell r="B2" t="str">
            <v>Wireframes</v>
          </cell>
          <cell r="D2" t="str">
            <v>Waiting for CR approval</v>
          </cell>
          <cell r="F2" t="str">
            <v>Kevin Lee</v>
          </cell>
          <cell r="H2" t="str">
            <v>TIL</v>
          </cell>
        </row>
        <row r="3">
          <cell r="B3" t="str">
            <v>PageFlow</v>
          </cell>
          <cell r="D3" t="str">
            <v>New</v>
          </cell>
          <cell r="F3" t="str">
            <v>Nicolette</v>
          </cell>
          <cell r="H3" t="str">
            <v>Paul</v>
          </cell>
        </row>
        <row r="4">
          <cell r="B4" t="str">
            <v>Login and registration technical design</v>
          </cell>
          <cell r="D4" t="str">
            <v>Started work</v>
          </cell>
          <cell r="F4" t="str">
            <v>Alison</v>
          </cell>
        </row>
        <row r="5">
          <cell r="B5" t="str">
            <v>Company administration technical design</v>
          </cell>
          <cell r="D5" t="str">
            <v>HLD Updated</v>
          </cell>
          <cell r="F5" t="str">
            <v>Stephen</v>
          </cell>
        </row>
        <row r="6">
          <cell r="B6" t="str">
            <v>Migration technical design</v>
          </cell>
          <cell r="D6" t="str">
            <v>Tibco Design Updated</v>
          </cell>
          <cell r="F6" t="str">
            <v>Kate</v>
          </cell>
        </row>
        <row r="7">
          <cell r="B7" t="str">
            <v>Audit Logging technical design</v>
          </cell>
          <cell r="F7" t="str">
            <v>David Mountford</v>
          </cell>
        </row>
        <row r="8">
          <cell r="B8" t="str">
            <v>Error Message spreadsheet</v>
          </cell>
          <cell r="F8" t="str">
            <v>Swapna</v>
          </cell>
        </row>
        <row r="9">
          <cell r="B9" t="str">
            <v>Instructional text spreadsheet</v>
          </cell>
          <cell r="F9" t="str">
            <v>Eela</v>
          </cell>
        </row>
        <row r="10">
          <cell r="B10" t="str">
            <v>Audit_Event_Mod.xls</v>
          </cell>
          <cell r="F10" t="str">
            <v>Rishi</v>
          </cell>
        </row>
        <row r="11">
          <cell r="B11" t="str">
            <v>High Level Design</v>
          </cell>
          <cell r="F11" t="str">
            <v>Vivek</v>
          </cell>
        </row>
        <row r="12">
          <cell r="B12" t="str">
            <v>Tibco Design</v>
          </cell>
          <cell r="F12" t="str">
            <v>Nehad</v>
          </cell>
        </row>
        <row r="13">
          <cell r="F13" t="str">
            <v>TIL</v>
          </cell>
        </row>
      </sheetData>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71">
          <cell r="N71" t="str">
            <v>1 - Low</v>
          </cell>
          <cell r="P71" t="str">
            <v>Group</v>
          </cell>
        </row>
        <row r="72">
          <cell r="N72" t="str">
            <v>2 - Medium</v>
          </cell>
          <cell r="P72" t="str">
            <v>Individual</v>
          </cell>
        </row>
        <row r="73">
          <cell r="N73" t="str">
            <v>3 - High</v>
          </cell>
        </row>
        <row r="74">
          <cell r="N74" t="str">
            <v>4 - Very High</v>
          </cell>
        </row>
      </sheetData>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GAS_061301"/>
      <sheetName val="GEE_061301"/>
      <sheetName val="B(Assump)"/>
      <sheetName val="GEE0901"/>
      <sheetName val="X"/>
      <sheetName val="M"/>
      <sheetName val="T-T"/>
      <sheetName val="S"/>
      <sheetName val="Check Interest"/>
      <sheetName val="G(Disb.)"/>
      <sheetName val="H(Amort)"/>
      <sheetName val="Debt scenario"/>
      <sheetName val="I(Interest)"/>
      <sheetName val="N(Debt)"/>
      <sheetName val="J(Priv.Cap)"/>
      <sheetName val="J(Fin. account)"/>
      <sheetName val="O(Arrears)"/>
      <sheetName val="K(Reserves)"/>
      <sheetName val="BOP_output"/>
      <sheetName val="L(Links)"/>
      <sheetName val="P(IMF)"/>
      <sheetName val="HACIENDA"/>
      <sheetName val="Variance Explana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1"/>
      <sheetName val="Data8"/>
      <sheetName val="Data9"/>
      <sheetName val="Sheet1"/>
      <sheetName val="Data4"/>
      <sheetName val="Data5"/>
      <sheetName val="Data6"/>
      <sheetName val="Data7"/>
    </sheetNames>
    <sheetDataSet>
      <sheetData sheetId="0" refreshError="1">
        <row r="1">
          <cell r="A1" t="str">
            <v>Issues and Risks</v>
          </cell>
        </row>
      </sheetData>
      <sheetData sheetId="1" refreshError="1">
        <row r="1">
          <cell r="A1" t="str">
            <v>5</v>
          </cell>
        </row>
        <row r="2">
          <cell r="A2" t="str">
            <v>4</v>
          </cell>
        </row>
        <row r="3">
          <cell r="A3" t="str">
            <v>3</v>
          </cell>
        </row>
        <row r="4">
          <cell r="A4" t="str">
            <v>2</v>
          </cell>
        </row>
        <row r="5">
          <cell r="A5" t="str">
            <v>1</v>
          </cell>
        </row>
      </sheetData>
      <sheetData sheetId="2" refreshError="1">
        <row r="1">
          <cell r="A1" t="str">
            <v>None</v>
          </cell>
        </row>
        <row r="2">
          <cell r="A2" t="str">
            <v>Jim English</v>
          </cell>
        </row>
      </sheetData>
      <sheetData sheetId="3"/>
      <sheetData sheetId="4"/>
      <sheetData sheetId="5"/>
      <sheetData sheetId="6"/>
      <sheetData sheetId="7"/>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10"/>
      <sheetName val="Data11"/>
      <sheetName val="Data13"/>
      <sheetName val="Data14"/>
      <sheetName val="Data15"/>
      <sheetName val="Data16"/>
      <sheetName val="Data17"/>
      <sheetName val="Data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12"/>
    </sheetNames>
    <sheetDataSet>
      <sheetData sheetId="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4"/>
      <sheetName val="Data5"/>
      <sheetName val="Data7"/>
      <sheetName val="Sheet1"/>
      <sheetName val="Data1"/>
    </sheetNames>
    <sheetDataSet>
      <sheetData sheetId="0" refreshError="1"/>
      <sheetData sheetId="1" refreshError="1"/>
      <sheetData sheetId="2" refreshError="1"/>
      <sheetData sheetId="3"/>
      <sheetData sheetId="4"/>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6"/>
    </sheetNames>
    <sheetDataSet>
      <sheetData sheetId="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E Detail"/>
      <sheetName val="LookupSheet"/>
      <sheetName val="MidLevelPlan"/>
    </sheetNames>
    <sheetDataSet>
      <sheetData sheetId="0" refreshError="1"/>
      <sheetData sheetId="1" refreshError="1">
        <row r="4">
          <cell r="A4" t="str">
            <v>H</v>
          </cell>
          <cell r="B4">
            <v>7</v>
          </cell>
        </row>
        <row r="5">
          <cell r="A5" t="str">
            <v>HH</v>
          </cell>
          <cell r="B5">
            <v>10</v>
          </cell>
        </row>
        <row r="6">
          <cell r="A6" t="str">
            <v>HHH</v>
          </cell>
          <cell r="B6">
            <v>15</v>
          </cell>
        </row>
        <row r="7">
          <cell r="A7" t="str">
            <v>HHHH</v>
          </cell>
          <cell r="B7">
            <v>20</v>
          </cell>
        </row>
        <row r="8">
          <cell r="A8" t="str">
            <v>L</v>
          </cell>
          <cell r="B8">
            <v>2</v>
          </cell>
        </row>
        <row r="9">
          <cell r="A9" t="str">
            <v>M</v>
          </cell>
          <cell r="B9">
            <v>4</v>
          </cell>
        </row>
        <row r="10">
          <cell r="A10" t="str">
            <v>VL</v>
          </cell>
          <cell r="B10">
            <v>1</v>
          </cell>
        </row>
        <row r="14">
          <cell r="A14" t="str">
            <v>Screen</v>
          </cell>
        </row>
        <row r="15">
          <cell r="A15" t="str">
            <v>Tab</v>
          </cell>
        </row>
      </sheetData>
      <sheetData sheetId="2"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ekly Status Report"/>
      <sheetName val="Progress Against plan"/>
      <sheetName val="Issues &amp; Next Steps"/>
      <sheetName val="Decision Log"/>
      <sheetName val="Change Log"/>
      <sheetName val="Risks"/>
      <sheetName val="Travel &amp; Living Expense Log"/>
      <sheetName val="Contact Info - TEAM"/>
    </sheetNames>
    <sheetDataSet>
      <sheetData sheetId="0"/>
      <sheetData sheetId="1"/>
      <sheetData sheetId="2"/>
      <sheetData sheetId="3"/>
      <sheetData sheetId="4"/>
      <sheetData sheetId="5"/>
      <sheetData sheetId="6"/>
      <sheetData sheetId="7"/>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s>
    <sheetDataSet>
      <sheetData sheetId="0"/>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onenessMatrix"/>
      <sheetName val="Iteration 2 Pivot"/>
      <sheetName val="Release 1 Estimation"/>
      <sheetName val="Artifact Inventory"/>
      <sheetName val="UC to REQ Traceability"/>
      <sheetName val="UC to WF Traceability"/>
      <sheetName val="UC to WF Traceability_ITR_1"/>
      <sheetName val="Story Complexity Criteria"/>
      <sheetName val="StoryInventory"/>
      <sheetName val="Story Summary Pivot"/>
      <sheetName val="UC to PF Traceability"/>
      <sheetName val="LookupLists"/>
      <sheetName val="Iteration 1"/>
      <sheetName val="Artifact Inventory Summary"/>
      <sheetName val="Business Migration Data"/>
      <sheetName val="Business Migration Pivot"/>
      <sheetName val="Business Migration Report"/>
      <sheetName val="Use Case Coverage"/>
      <sheetName val="Use Case Gaps"/>
      <sheetName val="Doc Review"/>
      <sheetName val="Wireframe Coverage"/>
      <sheetName val="Mgr Review"/>
      <sheetName val="Use Case Candid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3">
          <cell r="H13" t="str">
            <v>Content</v>
          </cell>
        </row>
        <row r="14">
          <cell r="H14" t="str">
            <v>Search</v>
          </cell>
        </row>
        <row r="15">
          <cell r="H15" t="str">
            <v>Workflow</v>
          </cell>
        </row>
        <row r="16">
          <cell r="H16" t="str">
            <v>CLU</v>
          </cell>
        </row>
        <row r="17">
          <cell r="H17" t="str">
            <v>Scheduling</v>
          </cell>
        </row>
        <row r="18">
          <cell r="H18" t="str">
            <v>Admin</v>
          </cell>
        </row>
        <row r="19">
          <cell r="H19" t="str">
            <v>UE Framework</v>
          </cell>
        </row>
        <row r="20">
          <cell r="H20" t="str">
            <v>Source</v>
          </cell>
        </row>
        <row r="21">
          <cell r="H21" t="str">
            <v>Rec-RFP-LO</v>
          </cell>
        </row>
        <row r="22">
          <cell r="H22" t="str">
            <v>Sports</v>
          </cell>
        </row>
        <row r="23">
          <cell r="H23" t="str">
            <v>S3</v>
          </cell>
        </row>
        <row r="24">
          <cell r="H24" t="str">
            <v>Dash/Notifications</v>
          </cell>
        </row>
        <row r="25">
          <cell r="H25" t="str">
            <v>Reporting</v>
          </cell>
        </row>
        <row r="26">
          <cell r="H26" t="str">
            <v>Shared Services</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Y 04 PUR"/>
      <sheetName val="SEC PUR MAY 05"/>
      <sheetName val="Trial Balance"/>
      <sheetName val="Notes to fin stmt BS"/>
      <sheetName val="Published Stmt"/>
      <sheetName val="BS Monthly"/>
      <sheetName val="Movement in Fx Secs"/>
      <sheetName val="Monthly Cash Flow"/>
      <sheetName val="Int pd and recble calc"/>
      <sheetName val="Monthly P &amp; L"/>
      <sheetName val="Local Debentures"/>
      <sheetName val="Treasury Bills"/>
      <sheetName val="Bal Sheet"/>
      <sheetName val="Inc Stmnt"/>
      <sheetName val="Cash Flow (5)"/>
      <sheetName val="Equity Change"/>
      <sheetName val="Gen Res Restmnts"/>
      <sheetName val="Notes"/>
      <sheetName val="Note 3 Sch"/>
      <sheetName val="Notes 3f-22 portrait"/>
      <sheetName val="Note 13-ppe"/>
      <sheetName val="Int inc + Other Inc Geo (3)"/>
      <sheetName val="Int inc + Other Inc Geo"/>
      <sheetName val="Int Rec'ble Mar 05"/>
      <sheetName val="Acc Rec and Acc Pay 2005"/>
      <sheetName val="Fixed Asset"/>
      <sheetName val="Cash Flow w stf ln dep bal + si"/>
      <sheetName val="Worksheet Geo loc 2005"/>
      <sheetName val="Acc Rec mat 2005"/>
      <sheetName val="2005 mat dem liab dom"/>
      <sheetName val="Int Accr Secs + Deps 05"/>
      <sheetName val="Worksheet Geo loc"/>
      <sheetName val="Acc Rec and Acc Pay 2004 mat"/>
      <sheetName val="Fix Dep Geo"/>
      <sheetName val="Dem Liab Geo + Mat"/>
      <sheetName val="DEPOSITS-STF LNS +SIF"/>
      <sheetName val="WSheet Maturities"/>
      <sheetName val="Int inc + Other Inc Geo (2)"/>
      <sheetName val="Income"/>
      <sheetName val="Expense 1"/>
      <sheetName val="Expense 2"/>
      <sheetName val="Graph Expenses"/>
      <sheetName val="Net Inco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sheetName val="Q2"/>
      <sheetName val="Q3"/>
      <sheetName val="Q4"/>
      <sheetName val="Q5"/>
      <sheetName val="Q6"/>
      <sheetName val="Q7"/>
      <sheetName val="J(Priv.Cap)"/>
      <sheetName val="MS"/>
      <sheetName val="allbonds"/>
      <sheetName val="TBills"/>
      <sheetName val="domesticdebtsummary"/>
      <sheetName val="allloans"/>
      <sheetName val="totaldebtsummary"/>
      <sheetName val="rbttbonds"/>
      <sheetName val="c&amp;w"/>
      <sheetName val="dss"/>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 sheetId="14"/>
      <sheetData sheetId="15"/>
      <sheetData sheetId="16"/>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sheetName val="Q2"/>
      <sheetName val="Q3"/>
      <sheetName val="Q4"/>
      <sheetName val="Q5"/>
      <sheetName val="Q6"/>
      <sheetName val="Q7"/>
      <sheetName val="Public Debt; holder &amp; Terms"/>
      <sheetName val="MS"/>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
      <sheetName val="Micro"/>
      <sheetName val="Q1"/>
      <sheetName val="Q2"/>
      <sheetName val="Q3"/>
      <sheetName val="Q4"/>
      <sheetName val="Q5"/>
      <sheetName val="Q6"/>
      <sheetName val="Q7"/>
      <sheetName val="QQ"/>
      <sheetName val="QC"/>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rical Bank Oper"/>
      <sheetName val="Assets &amp; Liabilities"/>
      <sheetName val="Deposits"/>
      <sheetName val="Interest"/>
      <sheetName val="Credit by Sector"/>
      <sheetName val="Loans to Deposits Ratio"/>
      <sheetName val="Commercial Bank Liquidity"/>
      <sheetName val="ECCB oper &amp; external reserves "/>
      <sheetName val="Q2"/>
      <sheetName val="Q6"/>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
    </sheetNames>
    <sheetDataSet>
      <sheetData sheetId="0"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standing Liabilities"/>
      <sheetName val="Liabilities as % of GDP"/>
      <sheetName val="Public Debt; holder &amp; Terms"/>
      <sheetName val="Central Gov'nt; holder &amp; terms "/>
      <sheetName val="List of Official Debt"/>
      <sheetName val="Distribtion of External Debt"/>
      <sheetName val="Orgao"/>
      <sheetName val="Provincial"/>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sheet-input"/>
      <sheetName val="Cash Flow Statment "/>
      <sheetName val="Income"/>
      <sheetName val="Expense 1"/>
      <sheetName val="Expense 2"/>
      <sheetName val="Graph Expenses"/>
      <sheetName val="Net Income"/>
      <sheetName val="cover sheet"/>
      <sheetName val="fin stmts-output"/>
      <sheetName val="notes-output"/>
      <sheetName val="fixed assets"/>
      <sheetName val="ratio analysis"/>
      <sheetName val="Equity Stmt"/>
      <sheetName val="liabilities"/>
      <sheetName val="Sheet1"/>
      <sheetName val="QEDS"/>
    </sheetNames>
    <sheetDataSet>
      <sheetData sheetId="0">
        <row r="308">
          <cell r="B308" t="str">
            <v>509-401-07</v>
          </cell>
        </row>
        <row r="1310">
          <cell r="L1310" t="str">
            <v xml:space="preserve">                              EASTERN CARIBBEAN CENTRAL BANK</v>
          </cell>
          <cell r="S1310" t="str">
            <v>Page 11</v>
          </cell>
        </row>
        <row r="1312">
          <cell r="L1312" t="str">
            <v xml:space="preserve">                              NOTES TO FINANCIAL STATEMENTS</v>
          </cell>
        </row>
        <row r="1314">
          <cell r="L1314" t="str">
            <v xml:space="preserve">                                    AS AT 28 FEBRUARY 2005</v>
          </cell>
        </row>
        <row r="1316">
          <cell r="O1316" t="str">
            <v>FEBRUARY 28, 2005</v>
          </cell>
          <cell r="S1316" t="str">
            <v>FEBRUARY 29, 2004</v>
          </cell>
        </row>
        <row r="1317">
          <cell r="O1317" t="str">
            <v>-</v>
          </cell>
          <cell r="S1317" t="str">
            <v>-</v>
          </cell>
        </row>
        <row r="1318">
          <cell r="L1318" t="str">
            <v>15.  OTHER LIABILITIES</v>
          </cell>
          <cell r="S1318" t="str">
            <v xml:space="preserve"> </v>
          </cell>
        </row>
        <row r="1320">
          <cell r="L1320" t="str">
            <v xml:space="preserve">     COMMEMORATIVE COINS</v>
          </cell>
          <cell r="O1320">
            <v>1379972</v>
          </cell>
          <cell r="S1320">
            <v>1379972</v>
          </cell>
          <cell r="T1320">
            <v>0</v>
          </cell>
        </row>
        <row r="1322">
          <cell r="L1322" t="str">
            <v xml:space="preserve">     USAID-IPIP LOAN</v>
          </cell>
          <cell r="O1322">
            <v>1814785</v>
          </cell>
          <cell r="S1322">
            <v>2086961</v>
          </cell>
          <cell r="T1322">
            <v>-272176</v>
          </cell>
        </row>
        <row r="1323">
          <cell r="O1323" t="str">
            <v xml:space="preserve"> </v>
          </cell>
          <cell r="S1323" t="str">
            <v xml:space="preserve"> </v>
          </cell>
        </row>
        <row r="1324">
          <cell r="L1324" t="str">
            <v xml:space="preserve">     LEASEHOLD OBLIGATION AG OFF GDA</v>
          </cell>
          <cell r="O1324">
            <v>264240</v>
          </cell>
          <cell r="S1324">
            <v>0</v>
          </cell>
          <cell r="T1324">
            <v>264240</v>
          </cell>
        </row>
        <row r="1326">
          <cell r="L1326" t="str">
            <v xml:space="preserve">     INTEREST PAYABLE - FINANCE LEASE</v>
          </cell>
          <cell r="O1326">
            <v>105473</v>
          </cell>
          <cell r="S1326">
            <v>0</v>
          </cell>
          <cell r="T1326">
            <v>105473</v>
          </cell>
        </row>
        <row r="1329">
          <cell r="L1329" t="str">
            <v xml:space="preserve"> </v>
          </cell>
          <cell r="O1329">
            <v>3564470</v>
          </cell>
          <cell r="S1329">
            <v>3466933</v>
          </cell>
          <cell r="T1329">
            <v>97537</v>
          </cell>
        </row>
        <row r="1331">
          <cell r="L1331" t="str">
            <v>16. CAPITAL RESERVES</v>
          </cell>
          <cell r="S1331" t="str">
            <v xml:space="preserve"> </v>
          </cell>
        </row>
        <row r="1332">
          <cell r="S1332" t="str">
            <v xml:space="preserve"> </v>
          </cell>
        </row>
        <row r="1333">
          <cell r="L1333" t="str">
            <v xml:space="preserve">    BUILDING </v>
          </cell>
          <cell r="O1333">
            <v>26400614</v>
          </cell>
          <cell r="S1333">
            <v>25350614</v>
          </cell>
          <cell r="T1333">
            <v>1050000</v>
          </cell>
        </row>
        <row r="1335">
          <cell r="L1335" t="str">
            <v xml:space="preserve">    LAND</v>
          </cell>
          <cell r="O1335">
            <v>6537929</v>
          </cell>
          <cell r="S1335">
            <v>3847929</v>
          </cell>
          <cell r="T1335">
            <v>2690000</v>
          </cell>
        </row>
        <row r="1337">
          <cell r="O1337">
            <v>32938543</v>
          </cell>
          <cell r="S1337">
            <v>29198543</v>
          </cell>
          <cell r="T1337">
            <v>3740000</v>
          </cell>
        </row>
        <row r="1340">
          <cell r="L1340" t="str">
            <v xml:space="preserve">17. OTHER RESERVES </v>
          </cell>
        </row>
        <row r="1341">
          <cell r="S1341" t="str">
            <v xml:space="preserve"> </v>
          </cell>
        </row>
        <row r="1342">
          <cell r="L1342" t="str">
            <v xml:space="preserve">    UNREALIZED HOLDING GAINS/(LOSSES)</v>
          </cell>
          <cell r="O1342">
            <v>-11485156</v>
          </cell>
          <cell r="S1342">
            <v>9125164</v>
          </cell>
          <cell r="T1342">
            <v>-20610320</v>
          </cell>
        </row>
        <row r="1343">
          <cell r="S1343" t="str">
            <v xml:space="preserve"> </v>
          </cell>
        </row>
        <row r="1344">
          <cell r="L1344" t="str">
            <v xml:space="preserve">    CURRENT YEAR'S PROFIT/(LOSS)</v>
          </cell>
          <cell r="O1344">
            <v>-323033</v>
          </cell>
          <cell r="S1344">
            <v>17527790</v>
          </cell>
          <cell r="T1344">
            <v>-17850823</v>
          </cell>
        </row>
        <row r="1345">
          <cell r="S1345" t="str">
            <v xml:space="preserve"> </v>
          </cell>
        </row>
        <row r="1346">
          <cell r="L1346" t="str">
            <v xml:space="preserve">    EXPORT CREDIT GUARANTEE FUND</v>
          </cell>
          <cell r="O1346">
            <v>1705045</v>
          </cell>
          <cell r="S1346">
            <v>1462038</v>
          </cell>
          <cell r="T1346">
            <v>243007</v>
          </cell>
        </row>
        <row r="1348">
          <cell r="O1348">
            <v>-10103144</v>
          </cell>
          <cell r="S1348">
            <v>28114992</v>
          </cell>
          <cell r="T1348">
            <v>-38218136</v>
          </cell>
        </row>
        <row r="1352">
          <cell r="L1352" t="str">
            <v>18. FOREIGN EXCHANGE GAINS (LOSSES)</v>
          </cell>
        </row>
        <row r="1354">
          <cell r="L1354" t="str">
            <v>The Bank  recognizes the net unrealized gains and losses that arise from the revaluation of foreign currency balances held by the Bank and the revaluation of forward contracts established to hedge foreign exchange fluctuations on non-USD securities and fo</v>
          </cell>
        </row>
        <row r="1356">
          <cell r="L1356" t="str">
            <v>19. OTHER INTEREST INCOME</v>
          </cell>
        </row>
        <row r="1358">
          <cell r="L1358" t="str">
            <v xml:space="preserve">       INTEREST INCOME - STATUTORY BODIES</v>
          </cell>
          <cell r="O1358">
            <v>0</v>
          </cell>
          <cell r="S1358">
            <v>0</v>
          </cell>
          <cell r="T1358">
            <v>0</v>
          </cell>
        </row>
        <row r="1360">
          <cell r="L1360" t="str">
            <v xml:space="preserve">       INTEREST INCOME - MEMBER BANKS</v>
          </cell>
          <cell r="O1360">
            <v>0</v>
          </cell>
          <cell r="S1360">
            <v>0</v>
          </cell>
          <cell r="T1360">
            <v>0</v>
          </cell>
        </row>
        <row r="1362">
          <cell r="L1362" t="str">
            <v xml:space="preserve">       INTEREST INCOME - STAFF LOANS</v>
          </cell>
          <cell r="O1362">
            <v>371105</v>
          </cell>
          <cell r="S1362">
            <v>431685</v>
          </cell>
          <cell r="T1362">
            <v>-60580</v>
          </cell>
        </row>
        <row r="1364">
          <cell r="L1364" t="str">
            <v xml:space="preserve">       INTEREST INCOME - STAFF DEPOSITS LOANS</v>
          </cell>
          <cell r="O1364">
            <v>73767</v>
          </cell>
          <cell r="S1364">
            <v>0</v>
          </cell>
          <cell r="T1364">
            <v>73767</v>
          </cell>
        </row>
        <row r="1366">
          <cell r="L1366" t="str">
            <v xml:space="preserve">       INTEREST INCOME - IPIP LOANS MEMBER BANKS</v>
          </cell>
          <cell r="O1366">
            <v>10748</v>
          </cell>
          <cell r="S1366">
            <v>14707</v>
          </cell>
          <cell r="T1366">
            <v>-3959</v>
          </cell>
        </row>
        <row r="1368">
          <cell r="L1368" t="str">
            <v xml:space="preserve">       INTEREST INCOME - PARTICIPATING GOVERNMENTS</v>
          </cell>
          <cell r="O1368">
            <v>61485</v>
          </cell>
          <cell r="S1368">
            <v>99129</v>
          </cell>
          <cell r="T1368">
            <v>-37644</v>
          </cell>
        </row>
        <row r="1370">
          <cell r="L1370" t="str">
            <v xml:space="preserve">       INTEREST ON CMCF</v>
          </cell>
          <cell r="O1370">
            <v>81774</v>
          </cell>
          <cell r="S1370">
            <v>98128</v>
          </cell>
          <cell r="T1370">
            <v>-16354</v>
          </cell>
        </row>
        <row r="1371">
          <cell r="O1371">
            <v>598879</v>
          </cell>
          <cell r="S1371">
            <v>643649</v>
          </cell>
          <cell r="T1371">
            <v>-44770</v>
          </cell>
        </row>
        <row r="1375">
          <cell r="L1375" t="str">
            <v xml:space="preserve">                              EASTERN CARIBBEAN CENTRAL BANK</v>
          </cell>
          <cell r="S1375" t="str">
            <v>Page 12</v>
          </cell>
        </row>
        <row r="1377">
          <cell r="L1377" t="str">
            <v xml:space="preserve">                              NOTES TO FINANCIAL STATEMENTS</v>
          </cell>
        </row>
        <row r="1379">
          <cell r="L1379" t="str">
            <v xml:space="preserve">                                    AS AT 28 FEBRUARY 2005</v>
          </cell>
        </row>
        <row r="1381">
          <cell r="O1381" t="str">
            <v>FEBRUARY 28, 2005</v>
          </cell>
          <cell r="S1381" t="str">
            <v>FEBRUARY 29, 2004</v>
          </cell>
        </row>
        <row r="1382">
          <cell r="O1382" t="str">
            <v>-</v>
          </cell>
          <cell r="S1382" t="str">
            <v>-</v>
          </cell>
        </row>
        <row r="1383">
          <cell r="L1383" t="str">
            <v>20. OTHER INCOME</v>
          </cell>
        </row>
        <row r="1385">
          <cell r="L1385" t="str">
            <v xml:space="preserve">       INCOME FROM RESERVE SHORTFALLS</v>
          </cell>
          <cell r="O1385">
            <v>56600</v>
          </cell>
          <cell r="S1385">
            <v>29654</v>
          </cell>
          <cell r="T1385">
            <v>26946</v>
          </cell>
        </row>
        <row r="1387">
          <cell r="L1387" t="str">
            <v xml:space="preserve">       RENTAL INCOME</v>
          </cell>
          <cell r="O1387">
            <v>154571</v>
          </cell>
          <cell r="S1387">
            <v>48640</v>
          </cell>
          <cell r="T1387">
            <v>105931</v>
          </cell>
        </row>
        <row r="1389">
          <cell r="L1389" t="str">
            <v xml:space="preserve">       MISCELLANEOUS INCOME</v>
          </cell>
          <cell r="O1389">
            <v>343283</v>
          </cell>
          <cell r="S1389">
            <v>295286</v>
          </cell>
          <cell r="T1389">
            <v>47997</v>
          </cell>
        </row>
        <row r="1391">
          <cell r="L1391" t="str">
            <v xml:space="preserve">       INCOME FROM AUDITORIUM USE</v>
          </cell>
          <cell r="O1391">
            <v>19680</v>
          </cell>
          <cell r="S1391">
            <v>8591</v>
          </cell>
          <cell r="T1391">
            <v>11089</v>
          </cell>
        </row>
        <row r="1393">
          <cell r="L1393" t="str">
            <v xml:space="preserve">       INCOME FROM COIN SALES</v>
          </cell>
          <cell r="O1393">
            <v>11086</v>
          </cell>
          <cell r="S1393">
            <v>5369</v>
          </cell>
          <cell r="T1393">
            <v>5717</v>
          </cell>
        </row>
        <row r="1395">
          <cell r="L1395" t="str">
            <v xml:space="preserve">       SUBSCRIPTIONS BANK PUBLICATIONS</v>
          </cell>
          <cell r="O1395">
            <v>2469</v>
          </cell>
          <cell r="S1395">
            <v>3193</v>
          </cell>
          <cell r="T1395">
            <v>-724</v>
          </cell>
        </row>
        <row r="1397">
          <cell r="L1397" t="str">
            <v xml:space="preserve">       DISPOSAL OF FIXED ASSETS</v>
          </cell>
          <cell r="O1397">
            <v>42886</v>
          </cell>
          <cell r="S1397">
            <v>6025</v>
          </cell>
          <cell r="T1397">
            <v>36861</v>
          </cell>
        </row>
        <row r="1399">
          <cell r="L1399" t="str">
            <v xml:space="preserve">       OTHER</v>
          </cell>
          <cell r="O1399">
            <v>-2083</v>
          </cell>
          <cell r="S1399">
            <v>0</v>
          </cell>
          <cell r="T1399">
            <v>-2083</v>
          </cell>
        </row>
        <row r="1401">
          <cell r="O1401">
            <v>628492</v>
          </cell>
          <cell r="S1401">
            <v>396758</v>
          </cell>
          <cell r="T1401">
            <v>231734</v>
          </cell>
        </row>
        <row r="1406">
          <cell r="L1406" t="str">
            <v>21. FOREIGN ASSETS RESERVES RATIO:</v>
          </cell>
        </row>
        <row r="1408">
          <cell r="L1408" t="str">
            <v xml:space="preserve">     (A) Including Government Treasury Bills Sold</v>
          </cell>
        </row>
        <row r="1410">
          <cell r="L1410" t="str">
            <v xml:space="preserve">             (a) Foreign Reserve Assets </v>
          </cell>
          <cell r="O1410">
            <v>1758331916</v>
          </cell>
          <cell r="S1410">
            <v>1565404048</v>
          </cell>
          <cell r="T1410">
            <v>192927868</v>
          </cell>
        </row>
        <row r="1412">
          <cell r="S1412" t="str">
            <v xml:space="preserve"> </v>
          </cell>
        </row>
        <row r="1413">
          <cell r="L1413" t="str">
            <v xml:space="preserve">             (b) Demand Liabilities</v>
          </cell>
          <cell r="O1413">
            <v>1811541333</v>
          </cell>
          <cell r="S1413">
            <v>1597871310</v>
          </cell>
          <cell r="T1413">
            <v>213670023</v>
          </cell>
        </row>
        <row r="1415">
          <cell r="L1415" t="str">
            <v xml:space="preserve">                    Add: Government Treasury Bills Sold</v>
          </cell>
          <cell r="O1415">
            <v>51178057</v>
          </cell>
          <cell r="S1415">
            <v>51670057</v>
          </cell>
          <cell r="T1415">
            <v>-492000</v>
          </cell>
        </row>
        <row r="1417">
          <cell r="O1417">
            <v>1862719390</v>
          </cell>
          <cell r="S1417">
            <v>1649541367</v>
          </cell>
          <cell r="T1417">
            <v>213178023</v>
          </cell>
        </row>
        <row r="1419">
          <cell r="L1419" t="str">
            <v xml:space="preserve">             (C) Ratio: (a/b) x 100</v>
          </cell>
          <cell r="O1419">
            <v>0.94399999999999995</v>
          </cell>
          <cell r="S1419">
            <v>0.94899999999999995</v>
          </cell>
          <cell r="T1419">
            <v>0</v>
          </cell>
        </row>
        <row r="1441">
          <cell r="L1441" t="str">
            <v xml:space="preserve">          Demand Liabilities</v>
          </cell>
          <cell r="O1441">
            <v>1811541333</v>
          </cell>
        </row>
        <row r="1443">
          <cell r="L1443" t="str">
            <v xml:space="preserve">                          EASTERN CARIBBEAN CENTRAL BANK</v>
          </cell>
        </row>
        <row r="1445">
          <cell r="L1445" t="str">
            <v xml:space="preserve">                          UNAUDITED BALANCE SHEET AS AT 28 FEBRUARY 2005</v>
          </cell>
        </row>
        <row r="1447">
          <cell r="L1447" t="str">
            <v xml:space="preserve">                               (Expressed in Eastern Caribbean Dollars)</v>
          </cell>
        </row>
        <row r="1449">
          <cell r="L1449" t="str">
            <v>LIABILITIES AND NET WORTH</v>
          </cell>
          <cell r="S1449" t="str">
            <v xml:space="preserve"> </v>
          </cell>
        </row>
        <row r="1452">
          <cell r="L1452" t="str">
            <v xml:space="preserve">    DEMAND LIABILITIES:</v>
          </cell>
        </row>
        <row r="1454">
          <cell r="L1454" t="str">
            <v xml:space="preserve">  Internal</v>
          </cell>
          <cell r="O1454">
            <v>1780069192</v>
          </cell>
        </row>
        <row r="1456">
          <cell r="L1456" t="str">
            <v xml:space="preserve">  IMF Government Reserve Accounts</v>
          </cell>
          <cell r="O1456">
            <v>850862</v>
          </cell>
        </row>
        <row r="1458">
          <cell r="L1458" t="str">
            <v xml:space="preserve">  Foreign</v>
          </cell>
          <cell r="O1458">
            <v>5186365</v>
          </cell>
        </row>
        <row r="1460">
          <cell r="L1460" t="str">
            <v xml:space="preserve">  Statutory Bodies Deposits</v>
          </cell>
          <cell r="O1460">
            <v>818000</v>
          </cell>
        </row>
        <row r="1462">
          <cell r="L1462" t="str">
            <v xml:space="preserve">  Bankers Deposits </v>
          </cell>
          <cell r="O1462">
            <v>19866809</v>
          </cell>
        </row>
        <row r="1464">
          <cell r="L1464" t="str">
            <v xml:space="preserve">  Other</v>
          </cell>
          <cell r="O1464">
            <v>4750105</v>
          </cell>
        </row>
        <row r="1465">
          <cell r="S1465">
            <v>1811541333</v>
          </cell>
        </row>
        <row r="1467">
          <cell r="L1467" t="str">
            <v>OTHER LIABILITIES</v>
          </cell>
          <cell r="S1467">
            <v>3564470</v>
          </cell>
        </row>
        <row r="1471">
          <cell r="L1471" t="str">
            <v xml:space="preserve">     NET WORTH:</v>
          </cell>
        </row>
        <row r="1473">
          <cell r="L1473" t="str">
            <v xml:space="preserve">  General Reserve</v>
          </cell>
          <cell r="O1473">
            <v>80748379</v>
          </cell>
        </row>
        <row r="1475">
          <cell r="L1475" t="str">
            <v xml:space="preserve">  Other Reserves</v>
          </cell>
          <cell r="O1475">
            <v>22835399</v>
          </cell>
        </row>
        <row r="1476">
          <cell r="L1476" t="str">
            <v xml:space="preserve"> </v>
          </cell>
          <cell r="S1476">
            <v>103583778</v>
          </cell>
        </row>
        <row r="1478">
          <cell r="L1478" t="str">
            <v xml:space="preserve">         TOTAL</v>
          </cell>
          <cell r="S1478">
            <v>1918689581</v>
          </cell>
        </row>
        <row r="1480">
          <cell r="L1480" t="str">
            <v>REPRESENTED BY:-</v>
          </cell>
        </row>
        <row r="1481">
          <cell r="L1481" t="str">
            <v xml:space="preserve">  ASSETS:</v>
          </cell>
        </row>
        <row r="1483">
          <cell r="L1483" t="str">
            <v xml:space="preserve">    FOREIGN RESERVE ASSETS:</v>
          </cell>
        </row>
        <row r="1485">
          <cell r="L1485" t="str">
            <v xml:space="preserve">  Foreign Securities</v>
          </cell>
          <cell r="O1485">
            <v>1033882795</v>
          </cell>
        </row>
        <row r="1487">
          <cell r="L1487" t="str">
            <v xml:space="preserve">  Term Deposits and Money at Call</v>
          </cell>
          <cell r="O1487">
            <v>616845182</v>
          </cell>
        </row>
        <row r="1489">
          <cell r="L1489" t="str">
            <v xml:space="preserve">  Balances with Foreign Banks</v>
          </cell>
          <cell r="O1489">
            <v>52262602</v>
          </cell>
        </row>
        <row r="1491">
          <cell r="L1491" t="str">
            <v xml:space="preserve">  Interest Accrued on Securities and Deposits</v>
          </cell>
          <cell r="O1491">
            <v>11306004</v>
          </cell>
        </row>
        <row r="1493">
          <cell r="L1493" t="str">
            <v xml:space="preserve">  Regional and Foreign Currencies </v>
          </cell>
          <cell r="O1493">
            <v>44035333</v>
          </cell>
        </row>
        <row r="1494">
          <cell r="S1494">
            <v>1758331916</v>
          </cell>
        </row>
        <row r="1495">
          <cell r="L1495" t="str">
            <v xml:space="preserve">    DOMESTIC ASSETS:</v>
          </cell>
        </row>
        <row r="1497">
          <cell r="L1497" t="str">
            <v xml:space="preserve">  Participating Governments Securities</v>
          </cell>
          <cell r="O1497">
            <v>37400380</v>
          </cell>
        </row>
        <row r="1499">
          <cell r="L1499" t="str">
            <v xml:space="preserve">  Balances with Local Banks</v>
          </cell>
          <cell r="O1499">
            <v>295210</v>
          </cell>
        </row>
        <row r="1501">
          <cell r="L1501" t="str">
            <v xml:space="preserve">  Due from Participating Governments</v>
          </cell>
          <cell r="O1501">
            <v>11440820</v>
          </cell>
        </row>
        <row r="1503">
          <cell r="L1503" t="str">
            <v xml:space="preserve">  Long Term Loan Receivable</v>
          </cell>
          <cell r="O1503">
            <v>0</v>
          </cell>
        </row>
        <row r="1505">
          <cell r="L1505" t="str">
            <v xml:space="preserve">  Fixed Assets</v>
          </cell>
          <cell r="O1505">
            <v>72383536</v>
          </cell>
        </row>
        <row r="1507">
          <cell r="L1507" t="str">
            <v xml:space="preserve">  Other Investments</v>
          </cell>
          <cell r="O1507">
            <v>5770020</v>
          </cell>
        </row>
        <row r="1508">
          <cell r="S1508">
            <v>127289966</v>
          </cell>
        </row>
        <row r="1510">
          <cell r="L1510" t="str">
            <v xml:space="preserve">  OTHER ASSETS</v>
          </cell>
          <cell r="S1510">
            <v>33067699</v>
          </cell>
        </row>
        <row r="1512">
          <cell r="L1512" t="str">
            <v xml:space="preserve">         TOTAL</v>
          </cell>
          <cell r="S1512">
            <v>1918689581</v>
          </cell>
        </row>
        <row r="1514">
          <cell r="L1514" t="str">
            <v xml:space="preserve">   Proportion of Foreign Reserve Assets held under Article 24(2) of the ECCB Agreement</v>
          </cell>
        </row>
        <row r="1515">
          <cell r="L1515" t="str">
            <v xml:space="preserve">   as  a  Percentage  of  Demand  Liabilities is:</v>
          </cell>
          <cell r="M1515">
            <v>0.97060000000000002</v>
          </cell>
          <cell r="Q1515" t="str">
            <v xml:space="preserve"> </v>
          </cell>
          <cell r="R1515">
            <v>0</v>
          </cell>
        </row>
        <row r="1518">
          <cell r="R1518" t="str">
            <v xml:space="preserve">                          </v>
          </cell>
        </row>
        <row r="1519">
          <cell r="N1519" t="str">
            <v xml:space="preserve"> </v>
          </cell>
          <cell r="S1519" t="str">
            <v xml:space="preserve"> </v>
          </cell>
        </row>
        <row r="1520">
          <cell r="O1520" t="str">
            <v>GOVERNOR</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rmal"/>
      <sheetName val="Commerical Bank Oper"/>
      <sheetName val="Public Debt; holder &amp; Terms"/>
    </sheetNames>
    <sheetDataSet>
      <sheetData sheetId="0" refreshError="1">
        <row r="1">
          <cell r="A1" t="str">
            <v>DEPARTAMENTO MONETARIO</v>
          </cell>
          <cell r="O1">
            <v>35164</v>
          </cell>
        </row>
        <row r="2">
          <cell r="A2" t="str">
            <v>Mercado de Capitales y Fin. Públicas</v>
          </cell>
          <cell r="B2" t="str">
            <v>GOBIERNO CENTRAL</v>
          </cell>
          <cell r="O2" t="str">
            <v>GFA</v>
          </cell>
        </row>
        <row r="3">
          <cell r="A3" t="str">
            <v>MERCAP\TENENCIA\TENENCIA (NORMAL)</v>
          </cell>
          <cell r="B3" t="str">
            <v xml:space="preserve">                          TENENCIA DE LA DEUDA BONIFICADA</v>
          </cell>
        </row>
        <row r="4">
          <cell r="B4" t="str">
            <v xml:space="preserve">                                                              cifras en millones de colones</v>
          </cell>
        </row>
        <row r="6">
          <cell r="B6">
            <v>1994</v>
          </cell>
          <cell r="C6" t="str">
            <v xml:space="preserve">      1995</v>
          </cell>
          <cell r="D6">
            <v>1995</v>
          </cell>
          <cell r="G6">
            <v>1995</v>
          </cell>
          <cell r="H6">
            <v>1995</v>
          </cell>
          <cell r="J6">
            <v>1995</v>
          </cell>
          <cell r="M6">
            <v>1996</v>
          </cell>
        </row>
        <row r="7">
          <cell r="A7" t="str">
            <v>DETALLE</v>
          </cell>
          <cell r="B7" t="str">
            <v>Dic.</v>
          </cell>
          <cell r="C7" t="str">
            <v>Marzo</v>
          </cell>
          <cell r="D7" t="str">
            <v>Abril</v>
          </cell>
          <cell r="E7" t="str">
            <v>Mayo</v>
          </cell>
          <cell r="F7" t="str">
            <v>Junio</v>
          </cell>
          <cell r="G7" t="str">
            <v>Julio</v>
          </cell>
          <cell r="H7" t="str">
            <v>Ago.</v>
          </cell>
          <cell r="I7" t="str">
            <v>Set.</v>
          </cell>
          <cell r="J7" t="str">
            <v>Oct.</v>
          </cell>
          <cell r="K7" t="str">
            <v>Nov.</v>
          </cell>
          <cell r="L7" t="str">
            <v xml:space="preserve">  Dic.</v>
          </cell>
          <cell r="M7" t="str">
            <v xml:space="preserve">   Enero</v>
          </cell>
          <cell r="N7" t="str">
            <v xml:space="preserve">   Febrero</v>
          </cell>
          <cell r="O7" t="str">
            <v xml:space="preserve">   Marzo</v>
          </cell>
        </row>
        <row r="8">
          <cell r="A8" t="str">
            <v>TOTAL EN CIRCULACION</v>
          </cell>
          <cell r="B8">
            <v>265642.59999999998</v>
          </cell>
          <cell r="C8">
            <v>253349.59999999998</v>
          </cell>
          <cell r="D8">
            <v>259217.59999999998</v>
          </cell>
          <cell r="E8">
            <v>265873.59999999998</v>
          </cell>
          <cell r="F8">
            <v>272630.59999999998</v>
          </cell>
          <cell r="G8">
            <v>284434.59999999998</v>
          </cell>
          <cell r="H8">
            <v>295120.59999999998</v>
          </cell>
          <cell r="I8">
            <v>326277.59999999998</v>
          </cell>
          <cell r="J8">
            <v>339614.6</v>
          </cell>
          <cell r="K8">
            <v>356498.6</v>
          </cell>
          <cell r="L8">
            <v>380937.10349645966</v>
          </cell>
          <cell r="M8">
            <v>399247.277915743</v>
          </cell>
          <cell r="N8">
            <v>410143.29006694857</v>
          </cell>
          <cell r="O8">
            <v>414364.48710247088</v>
          </cell>
        </row>
        <row r="10">
          <cell r="A10" t="str">
            <v>I.   SISTEMA BANCARIO NACIONAL</v>
          </cell>
          <cell r="B10">
            <v>54572.73</v>
          </cell>
          <cell r="C10">
            <v>36751.756000000008</v>
          </cell>
          <cell r="D10">
            <v>37516.135000000002</v>
          </cell>
          <cell r="E10">
            <v>31365.316000000006</v>
          </cell>
          <cell r="F10">
            <v>34500.730000000003</v>
          </cell>
          <cell r="G10">
            <v>32634.122000000003</v>
          </cell>
          <cell r="H10">
            <v>30509.967999999997</v>
          </cell>
          <cell r="I10">
            <v>55643.898000000001</v>
          </cell>
          <cell r="J10">
            <v>56327.673000000003</v>
          </cell>
          <cell r="K10">
            <v>54154.128700000001</v>
          </cell>
          <cell r="L10">
            <v>62754.093400000005</v>
          </cell>
          <cell r="M10">
            <v>65797.700000000012</v>
          </cell>
          <cell r="N10">
            <v>65620.23000000001</v>
          </cell>
          <cell r="O10">
            <v>66328.33</v>
          </cell>
        </row>
        <row r="12">
          <cell r="A12" t="str">
            <v>Banco Central de Costa Rica</v>
          </cell>
          <cell r="B12">
            <v>8410.33</v>
          </cell>
          <cell r="C12">
            <v>8368</v>
          </cell>
          <cell r="D12">
            <v>8355</v>
          </cell>
          <cell r="E12">
            <v>7926</v>
          </cell>
          <cell r="F12">
            <v>7912.9</v>
          </cell>
          <cell r="G12">
            <v>7911.88</v>
          </cell>
          <cell r="H12">
            <v>7911.8739999999998</v>
          </cell>
          <cell r="I12">
            <v>31875</v>
          </cell>
          <cell r="J12">
            <v>32665.3</v>
          </cell>
          <cell r="K12">
            <v>32235</v>
          </cell>
          <cell r="L12">
            <v>32220.800000000003</v>
          </cell>
          <cell r="M12">
            <v>32219.699999999997</v>
          </cell>
          <cell r="N12">
            <v>32160.9</v>
          </cell>
          <cell r="O12">
            <v>32146</v>
          </cell>
        </row>
        <row r="13">
          <cell r="A13" t="str">
            <v>Bco Nacional de Costa Rica</v>
          </cell>
          <cell r="B13">
            <v>19693.900000000001</v>
          </cell>
          <cell r="C13">
            <v>19937.361000000001</v>
          </cell>
          <cell r="D13">
            <v>19339.29</v>
          </cell>
          <cell r="E13">
            <v>14424.666000000001</v>
          </cell>
          <cell r="F13">
            <v>18871.362000000001</v>
          </cell>
          <cell r="G13">
            <v>16827.906999999999</v>
          </cell>
          <cell r="H13">
            <v>14426.521000000001</v>
          </cell>
          <cell r="I13">
            <v>12615.96</v>
          </cell>
          <cell r="J13">
            <v>12289.665000000001</v>
          </cell>
          <cell r="K13">
            <v>14947.768100000001</v>
          </cell>
          <cell r="L13">
            <v>21222.518599999999</v>
          </cell>
          <cell r="M13">
            <v>21237.3</v>
          </cell>
          <cell r="N13">
            <v>22748</v>
          </cell>
          <cell r="O13">
            <v>22639</v>
          </cell>
        </row>
        <row r="14">
          <cell r="A14" t="str">
            <v>Bco de Costa Rica</v>
          </cell>
          <cell r="B14">
            <v>6290.7</v>
          </cell>
          <cell r="C14">
            <v>2967.2739999999999</v>
          </cell>
          <cell r="D14">
            <v>4886</v>
          </cell>
          <cell r="E14">
            <v>2917.42</v>
          </cell>
          <cell r="F14">
            <v>2190.1999999999998</v>
          </cell>
          <cell r="G14">
            <v>2127.88</v>
          </cell>
          <cell r="H14">
            <v>1962.68</v>
          </cell>
          <cell r="I14">
            <v>4526</v>
          </cell>
          <cell r="J14">
            <v>3499.3</v>
          </cell>
          <cell r="K14">
            <v>2439.1</v>
          </cell>
          <cell r="L14">
            <v>4729</v>
          </cell>
          <cell r="M14">
            <v>5002.5</v>
          </cell>
          <cell r="N14">
            <v>2917</v>
          </cell>
          <cell r="O14">
            <v>1602</v>
          </cell>
        </row>
        <row r="15">
          <cell r="A15" t="str">
            <v>Bco Anglo Cost. (Jta. Liq.)</v>
          </cell>
          <cell r="B15">
            <v>16940</v>
          </cell>
          <cell r="C15">
            <v>2572.2199999999998</v>
          </cell>
          <cell r="D15">
            <v>2407</v>
          </cell>
          <cell r="E15">
            <v>2407.33</v>
          </cell>
          <cell r="F15">
            <v>2407.3000000000002</v>
          </cell>
          <cell r="G15">
            <v>2407.33</v>
          </cell>
          <cell r="H15">
            <v>2407.33</v>
          </cell>
          <cell r="I15">
            <v>2407</v>
          </cell>
          <cell r="J15">
            <v>2407.3000000000002</v>
          </cell>
          <cell r="K15">
            <v>2407.33</v>
          </cell>
          <cell r="L15">
            <v>2407.3000000000002</v>
          </cell>
          <cell r="M15">
            <v>2407.3000000000002</v>
          </cell>
          <cell r="N15">
            <v>2407.33</v>
          </cell>
          <cell r="O15">
            <v>2407.33</v>
          </cell>
        </row>
        <row r="16">
          <cell r="A16" t="str">
            <v>Bco Créd. Agrícola Cartago</v>
          </cell>
          <cell r="B16">
            <v>1372.5</v>
          </cell>
          <cell r="C16">
            <v>1055.5900000000001</v>
          </cell>
          <cell r="D16">
            <v>1225.9450000000002</v>
          </cell>
          <cell r="E16">
            <v>1146</v>
          </cell>
          <cell r="F16">
            <v>957.96799999999996</v>
          </cell>
          <cell r="G16">
            <v>973.24199999999996</v>
          </cell>
          <cell r="H16">
            <v>738.51599999999996</v>
          </cell>
          <cell r="I16">
            <v>1171.172</v>
          </cell>
          <cell r="J16">
            <v>2155.5680000000002</v>
          </cell>
          <cell r="K16">
            <v>464.21</v>
          </cell>
          <cell r="L16">
            <v>454.83</v>
          </cell>
          <cell r="M16">
            <v>3470.9</v>
          </cell>
          <cell r="N16">
            <v>3406</v>
          </cell>
          <cell r="O16">
            <v>4758</v>
          </cell>
        </row>
        <row r="17">
          <cell r="A17" t="str">
            <v>Bcos Privados</v>
          </cell>
          <cell r="B17">
            <v>1865.3</v>
          </cell>
          <cell r="C17">
            <v>1851.3109999999999</v>
          </cell>
          <cell r="D17">
            <v>1302.9000000000001</v>
          </cell>
          <cell r="E17">
            <v>2543.9</v>
          </cell>
          <cell r="F17">
            <v>2161</v>
          </cell>
          <cell r="G17">
            <v>2385.8829999999998</v>
          </cell>
          <cell r="H17">
            <v>3063.047</v>
          </cell>
          <cell r="I17">
            <v>3048.7660000000001</v>
          </cell>
          <cell r="J17">
            <v>3310.54</v>
          </cell>
          <cell r="K17">
            <v>1660.7205999999999</v>
          </cell>
          <cell r="L17">
            <v>1719.6448</v>
          </cell>
          <cell r="M17">
            <v>1460</v>
          </cell>
          <cell r="N17">
            <v>1981</v>
          </cell>
          <cell r="O17">
            <v>2776</v>
          </cell>
        </row>
        <row r="19">
          <cell r="A19" t="str">
            <v>II.   SECTOR FINAN. NO BANCARIO</v>
          </cell>
          <cell r="B19">
            <v>44287.5</v>
          </cell>
          <cell r="C19">
            <v>45208</v>
          </cell>
          <cell r="D19">
            <v>43346</v>
          </cell>
          <cell r="E19">
            <v>47010</v>
          </cell>
          <cell r="F19">
            <v>46601.599999999999</v>
          </cell>
          <cell r="G19">
            <v>46334.6</v>
          </cell>
          <cell r="H19">
            <v>47177.599999999999</v>
          </cell>
          <cell r="I19">
            <v>46666</v>
          </cell>
          <cell r="J19">
            <v>49405</v>
          </cell>
          <cell r="K19">
            <v>49491.270000000004</v>
          </cell>
          <cell r="L19">
            <v>51760.1</v>
          </cell>
          <cell r="M19">
            <v>59829</v>
          </cell>
          <cell r="N19">
            <v>59829</v>
          </cell>
          <cell r="O19">
            <v>59829</v>
          </cell>
        </row>
        <row r="21">
          <cell r="A21" t="str">
            <v>Bco Hipot Vivienda (BANHVI)</v>
          </cell>
          <cell r="B21">
            <v>1849</v>
          </cell>
          <cell r="C21">
            <v>1434</v>
          </cell>
          <cell r="D21">
            <v>1339</v>
          </cell>
          <cell r="E21">
            <v>1344</v>
          </cell>
          <cell r="F21">
            <v>1371</v>
          </cell>
          <cell r="G21">
            <v>1374</v>
          </cell>
          <cell r="H21">
            <v>1217</v>
          </cell>
          <cell r="I21">
            <v>992</v>
          </cell>
          <cell r="J21">
            <v>798</v>
          </cell>
          <cell r="K21">
            <v>602.97</v>
          </cell>
          <cell r="L21">
            <v>408</v>
          </cell>
          <cell r="M21">
            <v>708</v>
          </cell>
          <cell r="N21">
            <v>708</v>
          </cell>
          <cell r="O21">
            <v>708</v>
          </cell>
        </row>
        <row r="22">
          <cell r="A22" t="str">
            <v>Bco Popular Desarr Comunal</v>
          </cell>
          <cell r="B22">
            <v>16953</v>
          </cell>
          <cell r="C22">
            <v>14804</v>
          </cell>
          <cell r="D22">
            <v>14425</v>
          </cell>
          <cell r="E22">
            <v>14581</v>
          </cell>
          <cell r="F22">
            <v>14230</v>
          </cell>
          <cell r="G22">
            <v>12510</v>
          </cell>
          <cell r="H22">
            <v>11313</v>
          </cell>
          <cell r="I22">
            <v>11313</v>
          </cell>
          <cell r="J22">
            <v>11483</v>
          </cell>
          <cell r="K22">
            <v>9008</v>
          </cell>
          <cell r="L22">
            <v>9845.2000000000007</v>
          </cell>
          <cell r="M22">
            <v>14900</v>
          </cell>
          <cell r="N22">
            <v>14900</v>
          </cell>
          <cell r="O22">
            <v>14900</v>
          </cell>
        </row>
        <row r="23">
          <cell r="A23" t="str">
            <v>Inst. Fomento Ases. Munic.</v>
          </cell>
          <cell r="B23">
            <v>1016</v>
          </cell>
          <cell r="C23">
            <v>779</v>
          </cell>
          <cell r="D23">
            <v>1023</v>
          </cell>
          <cell r="E23">
            <v>1024</v>
          </cell>
          <cell r="F23">
            <v>1010.6</v>
          </cell>
          <cell r="G23">
            <v>1010.6</v>
          </cell>
          <cell r="H23">
            <v>1010.6</v>
          </cell>
          <cell r="I23">
            <v>1011</v>
          </cell>
          <cell r="J23">
            <v>240</v>
          </cell>
          <cell r="K23">
            <v>902</v>
          </cell>
          <cell r="L23">
            <v>1124</v>
          </cell>
          <cell r="M23">
            <v>1182</v>
          </cell>
          <cell r="N23">
            <v>1182</v>
          </cell>
          <cell r="O23">
            <v>1182</v>
          </cell>
        </row>
        <row r="24">
          <cell r="A24" t="str">
            <v>Inst. Nal Fomento Cooperat.</v>
          </cell>
          <cell r="B24">
            <v>1134</v>
          </cell>
          <cell r="C24">
            <v>1531</v>
          </cell>
          <cell r="D24">
            <v>1525</v>
          </cell>
          <cell r="E24">
            <v>1537</v>
          </cell>
          <cell r="F24">
            <v>1607</v>
          </cell>
          <cell r="G24">
            <v>1391</v>
          </cell>
          <cell r="H24">
            <v>1628</v>
          </cell>
          <cell r="I24">
            <v>1630</v>
          </cell>
          <cell r="J24">
            <v>1630</v>
          </cell>
          <cell r="K24">
            <v>1931</v>
          </cell>
          <cell r="L24">
            <v>2096.9</v>
          </cell>
          <cell r="M24">
            <v>2099</v>
          </cell>
          <cell r="N24">
            <v>2099</v>
          </cell>
          <cell r="O24">
            <v>2099</v>
          </cell>
        </row>
        <row r="25">
          <cell r="A25" t="str">
            <v>Inst. Nal Vivienda Urban.</v>
          </cell>
          <cell r="B25">
            <v>2</v>
          </cell>
          <cell r="C25">
            <v>2</v>
          </cell>
          <cell r="D25">
            <v>2</v>
          </cell>
          <cell r="E25">
            <v>2</v>
          </cell>
          <cell r="F25">
            <v>2</v>
          </cell>
          <cell r="G25">
            <v>2</v>
          </cell>
          <cell r="H25">
            <v>2</v>
          </cell>
          <cell r="I25">
            <v>2</v>
          </cell>
          <cell r="J25">
            <v>2</v>
          </cell>
          <cell r="K25">
            <v>2</v>
          </cell>
          <cell r="L25">
            <v>2</v>
          </cell>
          <cell r="M25">
            <v>2</v>
          </cell>
          <cell r="N25">
            <v>2</v>
          </cell>
          <cell r="O25">
            <v>2</v>
          </cell>
        </row>
        <row r="26">
          <cell r="A26" t="str">
            <v>Inst. Nal Seguros (INS)</v>
          </cell>
          <cell r="B26">
            <v>18920.5</v>
          </cell>
          <cell r="C26">
            <v>19257</v>
          </cell>
          <cell r="D26">
            <v>17527</v>
          </cell>
          <cell r="E26">
            <v>20690</v>
          </cell>
          <cell r="F26">
            <v>20549</v>
          </cell>
          <cell r="G26">
            <v>21681</v>
          </cell>
          <cell r="H26">
            <v>23362</v>
          </cell>
          <cell r="I26">
            <v>22609</v>
          </cell>
          <cell r="J26">
            <v>26481</v>
          </cell>
          <cell r="K26">
            <v>26429</v>
          </cell>
          <cell r="L26">
            <v>27265</v>
          </cell>
          <cell r="M26">
            <v>30526</v>
          </cell>
          <cell r="N26">
            <v>30526</v>
          </cell>
          <cell r="O26">
            <v>30526</v>
          </cell>
        </row>
        <row r="27">
          <cell r="A27" t="str">
            <v>Poder Judicial (Jta Pens.)</v>
          </cell>
          <cell r="B27">
            <v>4413</v>
          </cell>
          <cell r="C27">
            <v>7401</v>
          </cell>
          <cell r="D27">
            <v>7505</v>
          </cell>
          <cell r="E27">
            <v>7832</v>
          </cell>
          <cell r="F27">
            <v>7832</v>
          </cell>
          <cell r="G27">
            <v>8366</v>
          </cell>
          <cell r="H27">
            <v>8645</v>
          </cell>
          <cell r="I27">
            <v>9109</v>
          </cell>
          <cell r="J27">
            <v>8771</v>
          </cell>
          <cell r="K27">
            <v>10616.3</v>
          </cell>
          <cell r="L27">
            <v>11019</v>
          </cell>
          <cell r="M27">
            <v>10412</v>
          </cell>
          <cell r="N27">
            <v>10412</v>
          </cell>
          <cell r="O27">
            <v>10412</v>
          </cell>
        </row>
        <row r="29">
          <cell r="A29" t="str">
            <v>III.    SECTOR PUBLICO NO FINAN.</v>
          </cell>
          <cell r="B29">
            <v>83342.299999999988</v>
          </cell>
          <cell r="C29">
            <v>81648.10000000002</v>
          </cell>
          <cell r="D29">
            <v>83347.500000000015</v>
          </cell>
          <cell r="E29">
            <v>81332.700000000041</v>
          </cell>
          <cell r="F29">
            <v>80323.700000000012</v>
          </cell>
          <cell r="G29">
            <v>85523.9</v>
          </cell>
          <cell r="H29">
            <v>87715.60000000002</v>
          </cell>
          <cell r="I29">
            <v>90485.9</v>
          </cell>
          <cell r="J29">
            <v>91369.199999999983</v>
          </cell>
          <cell r="K29">
            <v>95046.399999999994</v>
          </cell>
          <cell r="L29">
            <v>95522.5</v>
          </cell>
          <cell r="M29">
            <v>96002.099999999991</v>
          </cell>
          <cell r="N29">
            <v>93827.4</v>
          </cell>
          <cell r="O29">
            <v>97943.299999999988</v>
          </cell>
        </row>
        <row r="31">
          <cell r="A31" t="str">
            <v>Caja Cost de Seguro Social</v>
          </cell>
          <cell r="B31">
            <v>52147.4</v>
          </cell>
          <cell r="C31">
            <v>51921.80000000001</v>
          </cell>
          <cell r="D31">
            <v>53118.200000000004</v>
          </cell>
          <cell r="E31">
            <v>51471.000000000007</v>
          </cell>
          <cell r="F31">
            <v>51016.9</v>
          </cell>
          <cell r="G31">
            <v>56648.000000000007</v>
          </cell>
          <cell r="H31">
            <v>59033.200000000004</v>
          </cell>
          <cell r="I31">
            <v>59226.9</v>
          </cell>
          <cell r="J31">
            <v>58988</v>
          </cell>
          <cell r="K31">
            <v>61994.5</v>
          </cell>
          <cell r="L31">
            <v>62680.9</v>
          </cell>
          <cell r="M31">
            <v>62693.7</v>
          </cell>
          <cell r="N31">
            <v>60519</v>
          </cell>
          <cell r="O31">
            <v>64634.9</v>
          </cell>
        </row>
        <row r="32">
          <cell r="A32" t="str">
            <v>Consejo Nacional Producc.</v>
          </cell>
          <cell r="B32">
            <v>545.70000000000005</v>
          </cell>
          <cell r="C32">
            <v>572.29999999999995</v>
          </cell>
          <cell r="D32">
            <v>572.29999999999995</v>
          </cell>
          <cell r="E32">
            <v>572.29999999999995</v>
          </cell>
          <cell r="F32">
            <v>572.29999999999995</v>
          </cell>
          <cell r="G32">
            <v>35</v>
          </cell>
          <cell r="H32">
            <v>35.5</v>
          </cell>
          <cell r="I32">
            <v>35.5</v>
          </cell>
          <cell r="J32">
            <v>8.5</v>
          </cell>
          <cell r="K32">
            <v>8.5</v>
          </cell>
          <cell r="L32">
            <v>8.5</v>
          </cell>
          <cell r="M32">
            <v>8.5</v>
          </cell>
          <cell r="N32">
            <v>8.5</v>
          </cell>
          <cell r="O32">
            <v>8.5</v>
          </cell>
        </row>
        <row r="33">
          <cell r="A33" t="str">
            <v>Consejo Téc. Asist. Méd-Soc.</v>
          </cell>
          <cell r="B33">
            <v>2210</v>
          </cell>
          <cell r="C33">
            <v>3520.7</v>
          </cell>
          <cell r="D33">
            <v>3520.7</v>
          </cell>
          <cell r="E33">
            <v>2265.4</v>
          </cell>
          <cell r="F33">
            <v>2510.4</v>
          </cell>
          <cell r="G33">
            <v>2430.4</v>
          </cell>
          <cell r="H33">
            <v>2430.4</v>
          </cell>
          <cell r="I33">
            <v>3630.1</v>
          </cell>
          <cell r="J33">
            <v>3621.6</v>
          </cell>
          <cell r="K33">
            <v>3246.1</v>
          </cell>
          <cell r="L33">
            <v>3092.2</v>
          </cell>
          <cell r="M33">
            <v>3246</v>
          </cell>
          <cell r="N33">
            <v>3246</v>
          </cell>
          <cell r="O33">
            <v>3246</v>
          </cell>
        </row>
        <row r="34">
          <cell r="A34" t="str">
            <v>Corp. Costarric. Desarrollo</v>
          </cell>
          <cell r="B34">
            <v>1034</v>
          </cell>
          <cell r="C34">
            <v>1064.4000000000001</v>
          </cell>
          <cell r="D34">
            <v>1155</v>
          </cell>
          <cell r="E34">
            <v>1732.4</v>
          </cell>
          <cell r="F34">
            <v>1809.8</v>
          </cell>
          <cell r="G34">
            <v>1884.6</v>
          </cell>
          <cell r="H34">
            <v>1965.8</v>
          </cell>
          <cell r="I34">
            <v>2194</v>
          </cell>
          <cell r="J34">
            <v>2171.3000000000002</v>
          </cell>
          <cell r="K34">
            <v>1727.4</v>
          </cell>
          <cell r="L34">
            <v>2067</v>
          </cell>
          <cell r="M34">
            <v>2210</v>
          </cell>
          <cell r="N34">
            <v>2210</v>
          </cell>
          <cell r="O34">
            <v>2210</v>
          </cell>
        </row>
        <row r="35">
          <cell r="A35" t="str">
            <v>Direc. Gral de Asig Famil.</v>
          </cell>
          <cell r="B35">
            <v>4682</v>
          </cell>
          <cell r="C35">
            <v>4322</v>
          </cell>
          <cell r="D35">
            <v>4322</v>
          </cell>
          <cell r="E35">
            <v>4407</v>
          </cell>
          <cell r="F35">
            <v>3652</v>
          </cell>
          <cell r="G35">
            <v>3302</v>
          </cell>
          <cell r="H35">
            <v>3302</v>
          </cell>
          <cell r="I35">
            <v>3602</v>
          </cell>
          <cell r="J35">
            <v>3987</v>
          </cell>
          <cell r="K35">
            <v>3902</v>
          </cell>
          <cell r="L35">
            <v>4402</v>
          </cell>
          <cell r="M35">
            <v>4402</v>
          </cell>
          <cell r="N35">
            <v>4402</v>
          </cell>
          <cell r="O35">
            <v>4402</v>
          </cell>
        </row>
        <row r="36">
          <cell r="A36" t="str">
            <v>Empresa Servic Púb Heredia</v>
          </cell>
          <cell r="B36">
            <v>205</v>
          </cell>
          <cell r="C36">
            <v>255</v>
          </cell>
          <cell r="D36">
            <v>255</v>
          </cell>
          <cell r="E36">
            <v>255</v>
          </cell>
          <cell r="F36">
            <v>255</v>
          </cell>
          <cell r="G36">
            <v>255</v>
          </cell>
          <cell r="H36">
            <v>335</v>
          </cell>
          <cell r="I36">
            <v>345.1</v>
          </cell>
          <cell r="J36">
            <v>380.1</v>
          </cell>
          <cell r="K36">
            <v>385.1</v>
          </cell>
          <cell r="L36">
            <v>335</v>
          </cell>
          <cell r="M36">
            <v>335</v>
          </cell>
          <cell r="N36">
            <v>335</v>
          </cell>
          <cell r="O36">
            <v>335</v>
          </cell>
        </row>
        <row r="37">
          <cell r="A37" t="str">
            <v>Fábrica  Nacional  Licores</v>
          </cell>
          <cell r="B37">
            <v>41.5</v>
          </cell>
          <cell r="C37">
            <v>41.1</v>
          </cell>
          <cell r="D37">
            <v>15.9</v>
          </cell>
          <cell r="E37">
            <v>15.8</v>
          </cell>
          <cell r="F37">
            <v>7.8</v>
          </cell>
          <cell r="G37">
            <v>7.8</v>
          </cell>
          <cell r="H37">
            <v>7.8</v>
          </cell>
          <cell r="I37">
            <v>7.6</v>
          </cell>
          <cell r="J37">
            <v>7.4</v>
          </cell>
          <cell r="K37">
            <v>7.3</v>
          </cell>
          <cell r="L37">
            <v>7.3</v>
          </cell>
          <cell r="M37">
            <v>7.3</v>
          </cell>
          <cell r="N37">
            <v>7.3</v>
          </cell>
          <cell r="O37">
            <v>7.3</v>
          </cell>
        </row>
        <row r="38">
          <cell r="A38" t="str">
            <v>Inst. Costar. Acued Alcant</v>
          </cell>
          <cell r="B38">
            <v>467.5</v>
          </cell>
          <cell r="C38">
            <v>844.8</v>
          </cell>
          <cell r="D38">
            <v>694.8</v>
          </cell>
          <cell r="E38">
            <v>868</v>
          </cell>
          <cell r="F38">
            <v>1093.7</v>
          </cell>
          <cell r="G38">
            <v>791</v>
          </cell>
          <cell r="H38">
            <v>810.8</v>
          </cell>
          <cell r="I38">
            <v>1137.2</v>
          </cell>
          <cell r="J38">
            <v>990.7</v>
          </cell>
          <cell r="K38">
            <v>1047.7</v>
          </cell>
          <cell r="L38">
            <v>1091</v>
          </cell>
          <cell r="M38">
            <v>1233</v>
          </cell>
          <cell r="N38">
            <v>1233</v>
          </cell>
          <cell r="O38">
            <v>1233</v>
          </cell>
        </row>
        <row r="39">
          <cell r="A39" t="str">
            <v>Inst. Costar. Electricidad</v>
          </cell>
          <cell r="B39">
            <v>6922.1</v>
          </cell>
          <cell r="C39">
            <v>2719</v>
          </cell>
          <cell r="D39">
            <v>2616.5</v>
          </cell>
          <cell r="E39">
            <v>2557.8000000000002</v>
          </cell>
          <cell r="F39">
            <v>2557.8000000000002</v>
          </cell>
          <cell r="G39">
            <v>2557.8000000000002</v>
          </cell>
          <cell r="H39">
            <v>2557.8000000000002</v>
          </cell>
          <cell r="I39">
            <v>2458</v>
          </cell>
          <cell r="J39">
            <v>2440.4</v>
          </cell>
          <cell r="K39">
            <v>2425.4</v>
          </cell>
          <cell r="L39">
            <v>2430</v>
          </cell>
          <cell r="M39">
            <v>2440</v>
          </cell>
          <cell r="N39">
            <v>2440</v>
          </cell>
          <cell r="O39">
            <v>2440</v>
          </cell>
        </row>
        <row r="40">
          <cell r="A40" t="str">
            <v>Inst. Costar. Ferrocarriles</v>
          </cell>
          <cell r="B40">
            <v>0</v>
          </cell>
          <cell r="C40">
            <v>0</v>
          </cell>
          <cell r="D40">
            <v>0</v>
          </cell>
          <cell r="E40">
            <v>0</v>
          </cell>
          <cell r="F40">
            <v>0</v>
          </cell>
          <cell r="G40">
            <v>0</v>
          </cell>
          <cell r="H40">
            <v>0</v>
          </cell>
          <cell r="I40">
            <v>0</v>
          </cell>
          <cell r="J40">
            <v>0</v>
          </cell>
          <cell r="K40">
            <v>0</v>
          </cell>
          <cell r="L40">
            <v>0</v>
          </cell>
          <cell r="M40">
            <v>0</v>
          </cell>
          <cell r="N40">
            <v>0</v>
          </cell>
          <cell r="O40">
            <v>0</v>
          </cell>
        </row>
        <row r="41">
          <cell r="A41" t="str">
            <v>Inst. Costar. Puertos Pacífico</v>
          </cell>
          <cell r="B41">
            <v>561.70000000000005</v>
          </cell>
          <cell r="C41">
            <v>643.79999999999995</v>
          </cell>
          <cell r="D41">
            <v>643.79999999999995</v>
          </cell>
          <cell r="E41">
            <v>643.79999999999995</v>
          </cell>
          <cell r="F41">
            <v>643.79999999999995</v>
          </cell>
          <cell r="G41">
            <v>764.8</v>
          </cell>
          <cell r="H41">
            <v>764.8</v>
          </cell>
          <cell r="I41">
            <v>897.2</v>
          </cell>
          <cell r="J41">
            <v>910.2</v>
          </cell>
          <cell r="K41">
            <v>818.2</v>
          </cell>
          <cell r="L41">
            <v>760.9</v>
          </cell>
          <cell r="M41">
            <v>760.9</v>
          </cell>
          <cell r="N41">
            <v>760.9</v>
          </cell>
          <cell r="O41">
            <v>760.9</v>
          </cell>
        </row>
        <row r="42">
          <cell r="A42" t="str">
            <v>Inst. Costar. de Turismo</v>
          </cell>
          <cell r="B42">
            <v>2625</v>
          </cell>
          <cell r="C42">
            <v>2760.6</v>
          </cell>
          <cell r="D42">
            <v>2925.5</v>
          </cell>
          <cell r="E42">
            <v>2995</v>
          </cell>
          <cell r="F42">
            <v>3015</v>
          </cell>
          <cell r="G42">
            <v>3104.3</v>
          </cell>
          <cell r="H42">
            <v>3224.3</v>
          </cell>
          <cell r="I42">
            <v>3225.5</v>
          </cell>
          <cell r="J42">
            <v>3152.3</v>
          </cell>
          <cell r="K42">
            <v>3246</v>
          </cell>
          <cell r="L42">
            <v>3235</v>
          </cell>
          <cell r="M42">
            <v>3361</v>
          </cell>
          <cell r="N42">
            <v>3361</v>
          </cell>
          <cell r="O42">
            <v>3361</v>
          </cell>
        </row>
        <row r="43">
          <cell r="A43" t="str">
            <v>Inst. Desarrollo Agrario</v>
          </cell>
          <cell r="B43">
            <v>380</v>
          </cell>
          <cell r="C43">
            <v>445.8</v>
          </cell>
          <cell r="D43">
            <v>445.8</v>
          </cell>
          <cell r="E43">
            <v>350.6</v>
          </cell>
          <cell r="F43">
            <v>350.6</v>
          </cell>
          <cell r="G43">
            <v>702.4</v>
          </cell>
          <cell r="H43">
            <v>583.4</v>
          </cell>
          <cell r="I43">
            <v>485.3</v>
          </cell>
          <cell r="J43">
            <v>694.1</v>
          </cell>
          <cell r="K43">
            <v>694</v>
          </cell>
          <cell r="L43">
            <v>894</v>
          </cell>
          <cell r="M43">
            <v>679</v>
          </cell>
          <cell r="N43">
            <v>679</v>
          </cell>
          <cell r="O43">
            <v>679</v>
          </cell>
        </row>
        <row r="44">
          <cell r="A44" t="str">
            <v>Inst. Nacional Aprendizaje</v>
          </cell>
          <cell r="B44">
            <v>7304.9</v>
          </cell>
          <cell r="C44">
            <v>8404.4</v>
          </cell>
          <cell r="D44">
            <v>8404.4</v>
          </cell>
          <cell r="E44">
            <v>8400</v>
          </cell>
          <cell r="F44">
            <v>9008.5</v>
          </cell>
          <cell r="G44">
            <v>9008.5</v>
          </cell>
          <cell r="H44">
            <v>9165.2999999999993</v>
          </cell>
          <cell r="I44">
            <v>9398.9</v>
          </cell>
          <cell r="J44">
            <v>9678.9</v>
          </cell>
          <cell r="K44">
            <v>9794.9</v>
          </cell>
          <cell r="L44">
            <v>9794.9</v>
          </cell>
          <cell r="M44">
            <v>9794.9</v>
          </cell>
          <cell r="N44">
            <v>9794.9</v>
          </cell>
          <cell r="O44">
            <v>9794.9</v>
          </cell>
        </row>
        <row r="45">
          <cell r="A45" t="str">
            <v>Inst. del Café (ICAFE)</v>
          </cell>
          <cell r="B45">
            <v>698.5</v>
          </cell>
          <cell r="C45">
            <v>789.6</v>
          </cell>
          <cell r="D45">
            <v>906.3</v>
          </cell>
          <cell r="E45">
            <v>956.3</v>
          </cell>
          <cell r="F45">
            <v>972.4</v>
          </cell>
          <cell r="G45">
            <v>979.4</v>
          </cell>
          <cell r="H45">
            <v>1048.3</v>
          </cell>
          <cell r="I45">
            <v>1086.3</v>
          </cell>
          <cell r="J45">
            <v>1186</v>
          </cell>
          <cell r="K45">
            <v>1235.3</v>
          </cell>
          <cell r="L45">
            <v>1254</v>
          </cell>
          <cell r="M45">
            <v>1361</v>
          </cell>
          <cell r="N45">
            <v>1361</v>
          </cell>
          <cell r="O45">
            <v>1361</v>
          </cell>
        </row>
        <row r="46">
          <cell r="A46" t="str">
            <v>Jta de Protec. Social S.J.</v>
          </cell>
          <cell r="B46">
            <v>2823</v>
          </cell>
          <cell r="C46">
            <v>2938.8</v>
          </cell>
          <cell r="D46">
            <v>2922.3</v>
          </cell>
          <cell r="E46">
            <v>3008</v>
          </cell>
          <cell r="F46">
            <v>2023.4</v>
          </cell>
          <cell r="G46">
            <v>3038</v>
          </cell>
          <cell r="H46">
            <v>2436.3000000000002</v>
          </cell>
          <cell r="I46">
            <v>2741.4</v>
          </cell>
          <cell r="J46">
            <v>3086.7</v>
          </cell>
          <cell r="K46">
            <v>4448</v>
          </cell>
          <cell r="L46">
            <v>3384</v>
          </cell>
          <cell r="M46">
            <v>3384</v>
          </cell>
          <cell r="N46">
            <v>3384</v>
          </cell>
          <cell r="O46">
            <v>3384</v>
          </cell>
        </row>
        <row r="47">
          <cell r="A47" t="str">
            <v>OCIS</v>
          </cell>
          <cell r="B47">
            <v>9</v>
          </cell>
          <cell r="C47">
            <v>9</v>
          </cell>
          <cell r="D47">
            <v>9</v>
          </cell>
          <cell r="E47">
            <v>14.3</v>
          </cell>
          <cell r="F47">
            <v>14.3</v>
          </cell>
          <cell r="G47">
            <v>14.9</v>
          </cell>
          <cell r="H47">
            <v>14.9</v>
          </cell>
          <cell r="I47">
            <v>14.9</v>
          </cell>
          <cell r="J47">
            <v>66</v>
          </cell>
          <cell r="K47">
            <v>66</v>
          </cell>
          <cell r="L47">
            <v>85.8</v>
          </cell>
          <cell r="M47">
            <v>85.8</v>
          </cell>
          <cell r="N47">
            <v>85.8</v>
          </cell>
          <cell r="O47">
            <v>85.8</v>
          </cell>
        </row>
        <row r="48">
          <cell r="A48" t="str">
            <v>Refinadora Costar Petróleo</v>
          </cell>
          <cell r="B48">
            <v>685</v>
          </cell>
          <cell r="C48">
            <v>395</v>
          </cell>
          <cell r="D48">
            <v>820</v>
          </cell>
          <cell r="E48">
            <v>820</v>
          </cell>
          <cell r="F48">
            <v>820</v>
          </cell>
          <cell r="G48">
            <v>0</v>
          </cell>
          <cell r="H48">
            <v>0</v>
          </cell>
          <cell r="I48">
            <v>0</v>
          </cell>
          <cell r="J48">
            <v>0</v>
          </cell>
          <cell r="K48">
            <v>0</v>
          </cell>
          <cell r="L48">
            <v>0</v>
          </cell>
          <cell r="M48">
            <v>0</v>
          </cell>
          <cell r="N48">
            <v>0</v>
          </cell>
          <cell r="O48">
            <v>0</v>
          </cell>
        </row>
        <row r="50">
          <cell r="A50" t="str">
            <v>IV.   RESTO DEL SECTOR PUBLICO</v>
          </cell>
          <cell r="B50">
            <v>9481.2000000000007</v>
          </cell>
          <cell r="C50">
            <v>11535.99999999998</v>
          </cell>
          <cell r="D50">
            <v>10129.999999999985</v>
          </cell>
          <cell r="E50">
            <v>11516.99999999996</v>
          </cell>
          <cell r="F50">
            <v>12853.399999999983</v>
          </cell>
          <cell r="G50">
            <v>12164.200000000012</v>
          </cell>
          <cell r="H50">
            <v>12431.599999999962</v>
          </cell>
          <cell r="I50">
            <v>13437.300000000017</v>
          </cell>
          <cell r="J50">
            <v>11983.800000000017</v>
          </cell>
          <cell r="K50">
            <v>13347.62999999999</v>
          </cell>
          <cell r="L50">
            <v>12100.399999999994</v>
          </cell>
          <cell r="M50">
            <v>13067.699999999997</v>
          </cell>
          <cell r="N50">
            <v>13067.600000000006</v>
          </cell>
          <cell r="O50">
            <v>13067.600000000011</v>
          </cell>
        </row>
        <row r="52">
          <cell r="A52" t="str">
            <v>V.    SECTOR PRIVADO AJUSTADO</v>
          </cell>
          <cell r="B52">
            <v>73958.869999999981</v>
          </cell>
          <cell r="C52">
            <v>78120.743999999977</v>
          </cell>
          <cell r="D52">
            <v>84877.964999999967</v>
          </cell>
          <cell r="E52">
            <v>94648.583999999988</v>
          </cell>
          <cell r="F52">
            <v>98351.169999999969</v>
          </cell>
          <cell r="G52">
            <v>107777.77799999996</v>
          </cell>
          <cell r="H52">
            <v>117285.83199999999</v>
          </cell>
          <cell r="I52">
            <v>120044.50199999998</v>
          </cell>
          <cell r="J52">
            <v>130528.92699999997</v>
          </cell>
          <cell r="K52">
            <v>144459.17129999999</v>
          </cell>
          <cell r="L52">
            <v>158800.01009645968</v>
          </cell>
          <cell r="M52">
            <v>164550.777915743</v>
          </cell>
          <cell r="N52">
            <v>177799.06006694853</v>
          </cell>
          <cell r="O52">
            <v>177196.25710247087</v>
          </cell>
        </row>
        <row r="54">
          <cell r="A54" t="str">
            <v>Sector Externo (BCIE-BICSA)</v>
          </cell>
          <cell r="B54">
            <v>8418.9</v>
          </cell>
          <cell r="C54">
            <v>8418.9</v>
          </cell>
          <cell r="D54">
            <v>8418.9</v>
          </cell>
          <cell r="E54">
            <v>8418.9</v>
          </cell>
          <cell r="F54">
            <v>8418.9</v>
          </cell>
          <cell r="G54">
            <v>8418.9</v>
          </cell>
          <cell r="H54">
            <v>8418.9</v>
          </cell>
          <cell r="I54">
            <v>8418.9</v>
          </cell>
          <cell r="J54">
            <v>9692.1</v>
          </cell>
          <cell r="K54">
            <v>9692.1</v>
          </cell>
          <cell r="L54">
            <v>17458.099999999999</v>
          </cell>
          <cell r="M54">
            <v>17458.099999999999</v>
          </cell>
          <cell r="N54">
            <v>17458.099999999999</v>
          </cell>
          <cell r="O54">
            <v>17458.099999999999</v>
          </cell>
        </row>
        <row r="55">
          <cell r="A55" t="str">
            <v>Sector Privado</v>
          </cell>
          <cell r="B55">
            <v>65539.969999999987</v>
          </cell>
          <cell r="C55">
            <v>69701.843999999983</v>
          </cell>
          <cell r="D55">
            <v>76459.064999999973</v>
          </cell>
          <cell r="E55">
            <v>86229.683999999994</v>
          </cell>
          <cell r="F55">
            <v>89932.269999999975</v>
          </cell>
          <cell r="G55">
            <v>99358.877999999968</v>
          </cell>
          <cell r="H55">
            <v>108866.932</v>
          </cell>
          <cell r="I55">
            <v>111625.60199999998</v>
          </cell>
          <cell r="J55">
            <v>120836.82699999996</v>
          </cell>
          <cell r="K55">
            <v>134767.07129999998</v>
          </cell>
          <cell r="L55">
            <v>141341.91009645967</v>
          </cell>
          <cell r="M55">
            <v>147092.677915743</v>
          </cell>
          <cell r="N55">
            <v>160340.96006694852</v>
          </cell>
          <cell r="O55">
            <v>159738.15710247087</v>
          </cell>
        </row>
        <row r="56">
          <cell r="A56" t="str">
            <v>Notas:</v>
          </cell>
        </row>
        <row r="57">
          <cell r="A57" t="str">
            <v xml:space="preserve"> 1/ Cifras al 29/3/96</v>
          </cell>
        </row>
        <row r="58">
          <cell r="A58" t="str">
            <v xml:space="preserve"> 2/ Cifras del BCCR al 29/3/96 y para el resto de SBN al 22/03/96</v>
          </cell>
        </row>
        <row r="59">
          <cell r="A59" t="str">
            <v xml:space="preserve"> 3/ Incluye ¢24.000 millones, a partir del 19/09/95, para cancelar pérdidas del B.A.C. Al estar denominados en TUDES su valor se ajusta periodicamente, a </v>
          </cell>
        </row>
        <row r="60">
          <cell r="A60" t="str">
            <v xml:space="preserve">      partir del mes de diciembre.</v>
          </cell>
        </row>
        <row r="61">
          <cell r="A61" t="str">
            <v xml:space="preserve"> 4/ A partir de julio comenzó a regir el convenio entre la CCSS y el Gobierno para pagar las contribuciones patronales de 1995</v>
          </cell>
        </row>
        <row r="62">
          <cell r="A62" t="str">
            <v xml:space="preserve"> 5/ El 04/10/95 el BCIE compró TP$A por un total de $6.776.4 miles (¢1.273.1 millones), y por $40 millones ( ¢7.766 millones) el 14/12/95.</v>
          </cell>
        </row>
        <row r="63">
          <cell r="A63" t="str">
            <v>Fuente:  Banco Central de Costa Rica y entidades públicas.</v>
          </cell>
        </row>
        <row r="64">
          <cell r="A64" t="str">
            <v>Fuente:  Banco Central de Costa Rica y entidades públicas.</v>
          </cell>
        </row>
        <row r="72">
          <cell r="A72" t="str">
            <v>DEPARTAMENTO MONETARIO</v>
          </cell>
          <cell r="H72" t="str">
            <v>BANCO CENTRAL:TENENCIA DE LA DEUDA BONIFICADA</v>
          </cell>
          <cell r="J72" t="str">
            <v xml:space="preserve">              BANCO CENTRAL</v>
          </cell>
          <cell r="O72">
            <v>35164</v>
          </cell>
        </row>
        <row r="73">
          <cell r="A73" t="str">
            <v>Mercado de Capitales y Finanzas Publicas</v>
          </cell>
          <cell r="J73" t="str">
            <v xml:space="preserve">                             cifras en millones de colones</v>
          </cell>
          <cell r="O73" t="str">
            <v>GFA</v>
          </cell>
        </row>
        <row r="74">
          <cell r="A74" t="str">
            <v>MERCAP\TENENCIA\TENENCIA (NORMAL)</v>
          </cell>
          <cell r="J74" t="str">
            <v xml:space="preserve">          cifras en millones de colones</v>
          </cell>
        </row>
        <row r="77">
          <cell r="B77">
            <v>1994</v>
          </cell>
          <cell r="C77" t="str">
            <v xml:space="preserve">      1995</v>
          </cell>
          <cell r="D77">
            <v>1995</v>
          </cell>
          <cell r="G77">
            <v>1995</v>
          </cell>
          <cell r="J77">
            <v>1995</v>
          </cell>
          <cell r="M77">
            <v>1996</v>
          </cell>
        </row>
        <row r="78">
          <cell r="A78" t="str">
            <v>DETALLE</v>
          </cell>
          <cell r="B78" t="str">
            <v>Dic.</v>
          </cell>
          <cell r="C78" t="str">
            <v>Marzo</v>
          </cell>
          <cell r="D78" t="str">
            <v>Abril</v>
          </cell>
          <cell r="E78" t="str">
            <v>Mayo</v>
          </cell>
          <cell r="F78" t="str">
            <v>Junio</v>
          </cell>
          <cell r="G78" t="str">
            <v>Julio</v>
          </cell>
          <cell r="H78" t="str">
            <v>Ago.</v>
          </cell>
          <cell r="I78" t="str">
            <v>Set.</v>
          </cell>
          <cell r="J78" t="str">
            <v>Oct.</v>
          </cell>
          <cell r="K78" t="str">
            <v>Nov.</v>
          </cell>
          <cell r="L78" t="str">
            <v xml:space="preserve">  Dic.</v>
          </cell>
          <cell r="M78" t="str">
            <v>Ene.</v>
          </cell>
          <cell r="N78" t="str">
            <v>Feb.</v>
          </cell>
          <cell r="O78" t="str">
            <v>Mar.</v>
          </cell>
        </row>
        <row r="80">
          <cell r="A80" t="str">
            <v>TOTAL EN CIRCULACION</v>
          </cell>
          <cell r="B80">
            <v>75801.899999999994</v>
          </cell>
          <cell r="C80">
            <v>80475.399999999994</v>
          </cell>
          <cell r="D80">
            <v>82074.399999999994</v>
          </cell>
          <cell r="E80">
            <v>86370.726999999999</v>
          </cell>
          <cell r="F80">
            <v>92907.8</v>
          </cell>
          <cell r="G80">
            <v>100098</v>
          </cell>
          <cell r="H80">
            <v>115777</v>
          </cell>
          <cell r="I80">
            <v>126300.2</v>
          </cell>
          <cell r="J80">
            <v>138384.79999999999</v>
          </cell>
          <cell r="K80">
            <v>126996.3</v>
          </cell>
          <cell r="L80">
            <v>124835.6</v>
          </cell>
          <cell r="M80">
            <v>137478</v>
          </cell>
          <cell r="N80">
            <v>144047.5</v>
          </cell>
          <cell r="O80">
            <v>148223.5</v>
          </cell>
        </row>
        <row r="82">
          <cell r="A82" t="str">
            <v>I.   SISTEMA BANCARIO NACIONAL</v>
          </cell>
          <cell r="B82">
            <v>7735.7999999999993</v>
          </cell>
          <cell r="C82">
            <v>10326</v>
          </cell>
          <cell r="D82">
            <v>12984.895</v>
          </cell>
          <cell r="E82">
            <v>14873.769999999999</v>
          </cell>
          <cell r="F82">
            <v>18568.100000000002</v>
          </cell>
          <cell r="G82">
            <v>29363.521999999997</v>
          </cell>
          <cell r="H82">
            <v>31980.228999999996</v>
          </cell>
          <cell r="I82">
            <v>40195.199999999997</v>
          </cell>
          <cell r="J82">
            <v>49585.3</v>
          </cell>
          <cell r="K82">
            <v>41140.199999999997</v>
          </cell>
          <cell r="L82">
            <v>36072.400000000001</v>
          </cell>
          <cell r="M82">
            <v>39020</v>
          </cell>
          <cell r="N82">
            <v>43473</v>
          </cell>
          <cell r="O82">
            <v>39179</v>
          </cell>
        </row>
        <row r="84">
          <cell r="A84" t="str">
            <v>Bco Nacional de Costa Rica</v>
          </cell>
          <cell r="B84">
            <v>4815.3999999999996</v>
          </cell>
          <cell r="C84">
            <v>6015</v>
          </cell>
          <cell r="D84">
            <v>7015</v>
          </cell>
          <cell r="E84">
            <v>6013.41</v>
          </cell>
          <cell r="F84">
            <v>7815.9</v>
          </cell>
          <cell r="G84">
            <v>16719.883999999998</v>
          </cell>
          <cell r="H84">
            <v>17240.082999999999</v>
          </cell>
          <cell r="I84">
            <v>25738.5</v>
          </cell>
          <cell r="J84">
            <v>34134.699999999997</v>
          </cell>
          <cell r="K84">
            <v>28260.7</v>
          </cell>
          <cell r="L84">
            <v>15244</v>
          </cell>
          <cell r="M84">
            <v>16560</v>
          </cell>
          <cell r="N84">
            <v>15560</v>
          </cell>
          <cell r="O84">
            <v>15561</v>
          </cell>
        </row>
        <row r="85">
          <cell r="A85" t="str">
            <v>Bco de Costa Rica</v>
          </cell>
          <cell r="B85">
            <v>2429.9</v>
          </cell>
          <cell r="C85">
            <v>3721</v>
          </cell>
          <cell r="D85">
            <v>5193.8949999999995</v>
          </cell>
          <cell r="E85">
            <v>7974.46</v>
          </cell>
          <cell r="F85">
            <v>9430.5</v>
          </cell>
          <cell r="G85">
            <v>10746.5</v>
          </cell>
          <cell r="H85">
            <v>11004.46</v>
          </cell>
          <cell r="I85">
            <v>11589.5</v>
          </cell>
          <cell r="J85">
            <v>11660.5</v>
          </cell>
          <cell r="K85">
            <v>7135</v>
          </cell>
          <cell r="L85">
            <v>15240</v>
          </cell>
          <cell r="M85">
            <v>20315</v>
          </cell>
          <cell r="N85">
            <v>23190</v>
          </cell>
          <cell r="O85">
            <v>21770</v>
          </cell>
        </row>
        <row r="86">
          <cell r="A86" t="str">
            <v>Bco Anglo Cost. (Jta. Liq.)</v>
          </cell>
          <cell r="B86">
            <v>0</v>
          </cell>
          <cell r="C86">
            <v>0</v>
          </cell>
          <cell r="D86">
            <v>0</v>
          </cell>
          <cell r="E86">
            <v>0</v>
          </cell>
          <cell r="F86">
            <v>0</v>
          </cell>
          <cell r="G86">
            <v>0</v>
          </cell>
          <cell r="H86">
            <v>0</v>
          </cell>
          <cell r="I86">
            <v>0</v>
          </cell>
          <cell r="J86">
            <v>0</v>
          </cell>
          <cell r="K86">
            <v>0</v>
          </cell>
          <cell r="L86">
            <v>0</v>
          </cell>
          <cell r="M86">
            <v>0</v>
          </cell>
          <cell r="N86">
            <v>0</v>
          </cell>
          <cell r="O86">
            <v>0</v>
          </cell>
        </row>
        <row r="87">
          <cell r="A87" t="str">
            <v>Bco Créd. Agrícola Cartago</v>
          </cell>
          <cell r="B87">
            <v>0</v>
          </cell>
          <cell r="C87">
            <v>0</v>
          </cell>
          <cell r="D87">
            <v>0</v>
          </cell>
          <cell r="E87">
            <v>0</v>
          </cell>
          <cell r="F87">
            <v>0</v>
          </cell>
          <cell r="G87">
            <v>201.25</v>
          </cell>
          <cell r="H87">
            <v>2719.69</v>
          </cell>
          <cell r="I87">
            <v>1719.7</v>
          </cell>
          <cell r="J87">
            <v>2707.3</v>
          </cell>
          <cell r="K87">
            <v>3582.4</v>
          </cell>
          <cell r="L87">
            <v>3350</v>
          </cell>
          <cell r="M87">
            <v>0</v>
          </cell>
          <cell r="N87">
            <v>2900</v>
          </cell>
          <cell r="O87">
            <v>1100</v>
          </cell>
        </row>
        <row r="88">
          <cell r="A88" t="str">
            <v>Bcos Privados</v>
          </cell>
          <cell r="B88">
            <v>490.5</v>
          </cell>
          <cell r="C88">
            <v>590</v>
          </cell>
          <cell r="D88">
            <v>776</v>
          </cell>
          <cell r="E88">
            <v>885.9</v>
          </cell>
          <cell r="F88">
            <v>1321.7</v>
          </cell>
          <cell r="G88">
            <v>1695.8879999999999</v>
          </cell>
          <cell r="H88">
            <v>1015.996</v>
          </cell>
          <cell r="I88">
            <v>1147.5</v>
          </cell>
          <cell r="J88">
            <v>1082.8</v>
          </cell>
          <cell r="K88">
            <v>2162.1</v>
          </cell>
          <cell r="L88">
            <v>2238.4</v>
          </cell>
          <cell r="M88">
            <v>2145</v>
          </cell>
          <cell r="N88">
            <v>1823</v>
          </cell>
          <cell r="O88">
            <v>748</v>
          </cell>
        </row>
        <row r="90">
          <cell r="A90" t="str">
            <v>II.   SECTOR FINAN. NO BANCARIO</v>
          </cell>
          <cell r="B90">
            <v>4799</v>
          </cell>
          <cell r="C90">
            <v>2069</v>
          </cell>
          <cell r="D90">
            <v>2069</v>
          </cell>
          <cell r="E90">
            <v>2156</v>
          </cell>
          <cell r="F90">
            <v>2155</v>
          </cell>
          <cell r="G90">
            <v>2253</v>
          </cell>
          <cell r="H90">
            <v>2653</v>
          </cell>
          <cell r="I90">
            <v>2627</v>
          </cell>
          <cell r="J90">
            <v>3222.9</v>
          </cell>
          <cell r="K90">
            <v>2626.6</v>
          </cell>
          <cell r="L90">
            <v>2558.8000000000002</v>
          </cell>
          <cell r="M90">
            <v>3583</v>
          </cell>
          <cell r="N90">
            <v>3583</v>
          </cell>
          <cell r="O90">
            <v>3583</v>
          </cell>
        </row>
        <row r="92">
          <cell r="A92" t="str">
            <v>Bco Hipot Vivienda (BANHVI)</v>
          </cell>
          <cell r="B92">
            <v>0</v>
          </cell>
          <cell r="C92">
            <v>0</v>
          </cell>
          <cell r="D92">
            <v>0</v>
          </cell>
          <cell r="E92">
            <v>0</v>
          </cell>
          <cell r="F92">
            <v>0</v>
          </cell>
          <cell r="G92">
            <v>0</v>
          </cell>
          <cell r="H92">
            <v>0</v>
          </cell>
          <cell r="I92">
            <v>0</v>
          </cell>
          <cell r="J92">
            <v>0</v>
          </cell>
          <cell r="K92">
            <v>0</v>
          </cell>
          <cell r="L92">
            <v>0</v>
          </cell>
          <cell r="M92">
            <v>0</v>
          </cell>
          <cell r="N92">
            <v>0</v>
          </cell>
          <cell r="O92">
            <v>0</v>
          </cell>
        </row>
        <row r="93">
          <cell r="A93" t="str">
            <v>Bco Popular Desarr Comunal</v>
          </cell>
          <cell r="B93">
            <v>150</v>
          </cell>
          <cell r="C93">
            <v>0</v>
          </cell>
          <cell r="D93">
            <v>0</v>
          </cell>
          <cell r="E93">
            <v>0</v>
          </cell>
          <cell r="F93">
            <v>0</v>
          </cell>
          <cell r="G93">
            <v>0</v>
          </cell>
          <cell r="H93">
            <v>0</v>
          </cell>
          <cell r="I93">
            <v>0</v>
          </cell>
          <cell r="J93">
            <v>0</v>
          </cell>
          <cell r="K93">
            <v>0</v>
          </cell>
          <cell r="L93">
            <v>0</v>
          </cell>
          <cell r="M93">
            <v>0</v>
          </cell>
          <cell r="N93">
            <v>0</v>
          </cell>
          <cell r="O93">
            <v>0</v>
          </cell>
        </row>
        <row r="94">
          <cell r="A94" t="str">
            <v>Inst. Fomento Ases. Munic.</v>
          </cell>
          <cell r="B94">
            <v>0</v>
          </cell>
          <cell r="C94">
            <v>0</v>
          </cell>
          <cell r="D94">
            <v>0</v>
          </cell>
          <cell r="E94">
            <v>0</v>
          </cell>
          <cell r="F94">
            <v>0</v>
          </cell>
          <cell r="G94">
            <v>0</v>
          </cell>
          <cell r="H94">
            <v>0</v>
          </cell>
          <cell r="I94">
            <v>0</v>
          </cell>
          <cell r="J94">
            <v>0</v>
          </cell>
          <cell r="K94">
            <v>0</v>
          </cell>
          <cell r="L94">
            <v>0</v>
          </cell>
          <cell r="M94">
            <v>0</v>
          </cell>
          <cell r="N94">
            <v>0</v>
          </cell>
          <cell r="O94">
            <v>0</v>
          </cell>
        </row>
        <row r="95">
          <cell r="A95" t="str">
            <v>Inst. Nal Fomento Cooperat.</v>
          </cell>
          <cell r="B95">
            <v>6</v>
          </cell>
          <cell r="C95">
            <v>6</v>
          </cell>
          <cell r="D95">
            <v>6</v>
          </cell>
          <cell r="E95">
            <v>6</v>
          </cell>
          <cell r="F95">
            <v>6</v>
          </cell>
          <cell r="G95">
            <v>6</v>
          </cell>
          <cell r="H95">
            <v>6</v>
          </cell>
          <cell r="I95">
            <v>6</v>
          </cell>
          <cell r="J95">
            <v>6</v>
          </cell>
          <cell r="K95">
            <v>6</v>
          </cell>
          <cell r="L95">
            <v>6</v>
          </cell>
          <cell r="M95">
            <v>6</v>
          </cell>
          <cell r="N95">
            <v>6</v>
          </cell>
          <cell r="O95">
            <v>6</v>
          </cell>
        </row>
        <row r="96">
          <cell r="A96" t="str">
            <v>Inst. Nal Vivienda Urban.</v>
          </cell>
          <cell r="B96">
            <v>0</v>
          </cell>
          <cell r="C96">
            <v>0</v>
          </cell>
          <cell r="D96">
            <v>0</v>
          </cell>
          <cell r="E96">
            <v>0</v>
          </cell>
          <cell r="F96">
            <v>0</v>
          </cell>
          <cell r="G96">
            <v>0</v>
          </cell>
          <cell r="H96">
            <v>0</v>
          </cell>
          <cell r="I96">
            <v>0</v>
          </cell>
          <cell r="J96">
            <v>0</v>
          </cell>
          <cell r="K96">
            <v>0</v>
          </cell>
          <cell r="L96">
            <v>0</v>
          </cell>
          <cell r="M96">
            <v>0</v>
          </cell>
          <cell r="N96">
            <v>0</v>
          </cell>
          <cell r="O96">
            <v>0</v>
          </cell>
        </row>
        <row r="97">
          <cell r="A97" t="str">
            <v>Inst. Nal Seguros (INS)</v>
          </cell>
          <cell r="B97">
            <v>0</v>
          </cell>
          <cell r="C97">
            <v>0</v>
          </cell>
          <cell r="D97">
            <v>0</v>
          </cell>
          <cell r="E97">
            <v>0</v>
          </cell>
          <cell r="F97">
            <v>0</v>
          </cell>
          <cell r="G97">
            <v>0</v>
          </cell>
          <cell r="H97">
            <v>0</v>
          </cell>
          <cell r="I97">
            <v>0</v>
          </cell>
          <cell r="J97">
            <v>0</v>
          </cell>
          <cell r="K97">
            <v>0</v>
          </cell>
          <cell r="L97">
            <v>0</v>
          </cell>
          <cell r="M97">
            <v>0</v>
          </cell>
          <cell r="N97">
            <v>0</v>
          </cell>
          <cell r="O97">
            <v>0</v>
          </cell>
        </row>
        <row r="98">
          <cell r="A98" t="str">
            <v>Poder Judicial (Jta Pens.)</v>
          </cell>
          <cell r="B98">
            <v>4643</v>
          </cell>
          <cell r="C98">
            <v>2063</v>
          </cell>
          <cell r="D98">
            <v>2063</v>
          </cell>
          <cell r="E98">
            <v>2150</v>
          </cell>
          <cell r="F98">
            <v>2149</v>
          </cell>
          <cell r="G98">
            <v>2247</v>
          </cell>
          <cell r="H98">
            <v>2647</v>
          </cell>
          <cell r="I98">
            <v>2621</v>
          </cell>
          <cell r="J98">
            <v>3216.9</v>
          </cell>
          <cell r="K98">
            <v>2620.6</v>
          </cell>
          <cell r="L98">
            <v>2552.8000000000002</v>
          </cell>
          <cell r="M98">
            <v>3577</v>
          </cell>
          <cell r="N98">
            <v>3577</v>
          </cell>
          <cell r="O98">
            <v>3577</v>
          </cell>
        </row>
        <row r="100">
          <cell r="A100" t="str">
            <v>III.    SECTOR PUBLICO NO FINAN.</v>
          </cell>
          <cell r="B100">
            <v>2</v>
          </cell>
          <cell r="C100">
            <v>3</v>
          </cell>
          <cell r="D100">
            <v>3</v>
          </cell>
          <cell r="E100">
            <v>3</v>
          </cell>
          <cell r="F100">
            <v>2</v>
          </cell>
          <cell r="G100">
            <v>3</v>
          </cell>
          <cell r="H100">
            <v>3</v>
          </cell>
          <cell r="I100">
            <v>3</v>
          </cell>
          <cell r="J100">
            <v>602</v>
          </cell>
          <cell r="K100">
            <v>1703</v>
          </cell>
          <cell r="L100">
            <v>2503</v>
          </cell>
          <cell r="M100">
            <v>2503</v>
          </cell>
          <cell r="N100">
            <v>2503</v>
          </cell>
          <cell r="O100">
            <v>2503</v>
          </cell>
        </row>
        <row r="102">
          <cell r="A102" t="str">
            <v>Caja Cost de Seguro Social</v>
          </cell>
          <cell r="B102">
            <v>0</v>
          </cell>
          <cell r="C102">
            <v>0</v>
          </cell>
          <cell r="D102">
            <v>0</v>
          </cell>
          <cell r="E102">
            <v>0</v>
          </cell>
          <cell r="F102">
            <v>0</v>
          </cell>
          <cell r="G102">
            <v>0</v>
          </cell>
          <cell r="H102">
            <v>0</v>
          </cell>
          <cell r="I102">
            <v>0</v>
          </cell>
          <cell r="J102">
            <v>600</v>
          </cell>
          <cell r="K102">
            <v>1700</v>
          </cell>
          <cell r="L102">
            <v>2500</v>
          </cell>
          <cell r="M102">
            <v>2500</v>
          </cell>
          <cell r="N102">
            <v>2500</v>
          </cell>
          <cell r="O102">
            <v>2500</v>
          </cell>
        </row>
        <row r="103">
          <cell r="A103" t="str">
            <v>Consejo Nacional Producc.</v>
          </cell>
          <cell r="B103">
            <v>0</v>
          </cell>
          <cell r="C103">
            <v>0</v>
          </cell>
          <cell r="D103">
            <v>0</v>
          </cell>
          <cell r="E103">
            <v>0</v>
          </cell>
          <cell r="F103">
            <v>0</v>
          </cell>
          <cell r="G103">
            <v>0</v>
          </cell>
          <cell r="H103">
            <v>0</v>
          </cell>
          <cell r="I103">
            <v>0</v>
          </cell>
          <cell r="J103">
            <v>0</v>
          </cell>
          <cell r="K103">
            <v>0</v>
          </cell>
          <cell r="L103">
            <v>0</v>
          </cell>
          <cell r="M103">
            <v>0</v>
          </cell>
          <cell r="N103">
            <v>0</v>
          </cell>
          <cell r="O103">
            <v>0</v>
          </cell>
        </row>
        <row r="104">
          <cell r="A104" t="str">
            <v>Consejo Téc. Asist. Méd-Soc.</v>
          </cell>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row>
        <row r="105">
          <cell r="A105" t="str">
            <v>Corp. Costarric. Desarrollo</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row>
        <row r="106">
          <cell r="A106" t="str">
            <v>Direc. Gral de Asig Famil.</v>
          </cell>
          <cell r="B106">
            <v>0</v>
          </cell>
          <cell r="C106">
            <v>0</v>
          </cell>
          <cell r="D106">
            <v>0</v>
          </cell>
          <cell r="E106">
            <v>0</v>
          </cell>
          <cell r="F106">
            <v>0</v>
          </cell>
          <cell r="G106">
            <v>0</v>
          </cell>
          <cell r="H106">
            <v>0</v>
          </cell>
          <cell r="I106">
            <v>0</v>
          </cell>
          <cell r="J106">
            <v>0</v>
          </cell>
          <cell r="K106">
            <v>0</v>
          </cell>
          <cell r="L106">
            <v>0</v>
          </cell>
          <cell r="M106">
            <v>0</v>
          </cell>
          <cell r="N106">
            <v>0</v>
          </cell>
          <cell r="O106">
            <v>0</v>
          </cell>
        </row>
        <row r="107">
          <cell r="A107" t="str">
            <v>Empresa Servic Púb Heredia</v>
          </cell>
          <cell r="B107">
            <v>0</v>
          </cell>
          <cell r="C107">
            <v>0</v>
          </cell>
          <cell r="D107">
            <v>0</v>
          </cell>
          <cell r="E107">
            <v>0</v>
          </cell>
          <cell r="F107">
            <v>0</v>
          </cell>
          <cell r="G107">
            <v>0</v>
          </cell>
          <cell r="H107">
            <v>0</v>
          </cell>
          <cell r="I107">
            <v>0</v>
          </cell>
          <cell r="J107">
            <v>0</v>
          </cell>
          <cell r="K107">
            <v>0</v>
          </cell>
          <cell r="L107">
            <v>0</v>
          </cell>
          <cell r="M107">
            <v>0</v>
          </cell>
          <cell r="N107">
            <v>0</v>
          </cell>
          <cell r="O107">
            <v>0</v>
          </cell>
        </row>
        <row r="108">
          <cell r="A108" t="str">
            <v>Fábrica  Nacional  Licores</v>
          </cell>
          <cell r="B108">
            <v>0</v>
          </cell>
          <cell r="C108">
            <v>0</v>
          </cell>
          <cell r="D108">
            <v>0</v>
          </cell>
          <cell r="E108">
            <v>0</v>
          </cell>
          <cell r="F108">
            <v>0</v>
          </cell>
          <cell r="G108">
            <v>0</v>
          </cell>
          <cell r="H108">
            <v>0</v>
          </cell>
          <cell r="I108">
            <v>0</v>
          </cell>
          <cell r="J108">
            <v>0</v>
          </cell>
          <cell r="K108">
            <v>0</v>
          </cell>
          <cell r="L108">
            <v>0</v>
          </cell>
          <cell r="M108">
            <v>0</v>
          </cell>
          <cell r="N108">
            <v>0</v>
          </cell>
          <cell r="O108">
            <v>0</v>
          </cell>
        </row>
        <row r="109">
          <cell r="A109" t="str">
            <v>Inst. Costar. Acued Alcant</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row>
        <row r="110">
          <cell r="A110" t="str">
            <v>Inst. Costar. Electricidad</v>
          </cell>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row>
        <row r="111">
          <cell r="A111" t="str">
            <v>Inst. Costar. Ferrocarriles</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row>
        <row r="112">
          <cell r="A112" t="str">
            <v>Inst. Costar. Puertos Pacífico</v>
          </cell>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row>
        <row r="113">
          <cell r="A113" t="str">
            <v>Inst. Costar. de Turismo</v>
          </cell>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row>
        <row r="114">
          <cell r="A114" t="str">
            <v>Inst. Desarrollo Agrario</v>
          </cell>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row>
        <row r="115">
          <cell r="A115" t="str">
            <v>Inst. Nacional Aprendizaje</v>
          </cell>
          <cell r="B115">
            <v>2</v>
          </cell>
          <cell r="C115">
            <v>2</v>
          </cell>
          <cell r="D115">
            <v>2</v>
          </cell>
          <cell r="E115">
            <v>2</v>
          </cell>
          <cell r="F115">
            <v>1</v>
          </cell>
          <cell r="G115">
            <v>2</v>
          </cell>
          <cell r="H115">
            <v>2</v>
          </cell>
          <cell r="I115">
            <v>2</v>
          </cell>
          <cell r="J115">
            <v>1</v>
          </cell>
          <cell r="K115">
            <v>2</v>
          </cell>
          <cell r="L115">
            <v>2</v>
          </cell>
          <cell r="M115">
            <v>2</v>
          </cell>
          <cell r="N115">
            <v>2</v>
          </cell>
          <cell r="O115">
            <v>2</v>
          </cell>
        </row>
        <row r="116">
          <cell r="A116" t="str">
            <v>Inst. del Café (ICAFE)</v>
          </cell>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row>
        <row r="117">
          <cell r="A117" t="str">
            <v>Jta de Protec. Social S.J.</v>
          </cell>
          <cell r="B117">
            <v>0</v>
          </cell>
          <cell r="C117">
            <v>1</v>
          </cell>
          <cell r="D117">
            <v>1</v>
          </cell>
          <cell r="E117">
            <v>1</v>
          </cell>
          <cell r="F117">
            <v>1</v>
          </cell>
          <cell r="G117">
            <v>1</v>
          </cell>
          <cell r="H117">
            <v>1</v>
          </cell>
          <cell r="I117">
            <v>1</v>
          </cell>
          <cell r="J117">
            <v>1</v>
          </cell>
          <cell r="K117">
            <v>1</v>
          </cell>
          <cell r="L117">
            <v>1</v>
          </cell>
          <cell r="M117">
            <v>1</v>
          </cell>
          <cell r="N117">
            <v>1</v>
          </cell>
          <cell r="O117">
            <v>1</v>
          </cell>
        </row>
        <row r="118">
          <cell r="A118" t="str">
            <v>OCIS</v>
          </cell>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row>
        <row r="119">
          <cell r="A119" t="str">
            <v>Refinadora Costar Petróleo</v>
          </cell>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row>
        <row r="121">
          <cell r="A121" t="str">
            <v>IV.   RESTO DEL SECTOR PUBLICO</v>
          </cell>
          <cell r="B121">
            <v>1554</v>
          </cell>
          <cell r="C121">
            <v>925</v>
          </cell>
          <cell r="D121">
            <v>2522</v>
          </cell>
          <cell r="E121">
            <v>2340</v>
          </cell>
          <cell r="F121">
            <v>2581</v>
          </cell>
          <cell r="G121">
            <v>2368</v>
          </cell>
          <cell r="H121">
            <v>2902</v>
          </cell>
          <cell r="I121">
            <v>2848</v>
          </cell>
          <cell r="J121">
            <v>2536.1</v>
          </cell>
          <cell r="K121">
            <v>2570.4</v>
          </cell>
          <cell r="L121">
            <v>2570.1999999999998</v>
          </cell>
          <cell r="M121">
            <v>2585</v>
          </cell>
          <cell r="N121">
            <v>2585</v>
          </cell>
          <cell r="O121">
            <v>6585</v>
          </cell>
        </row>
        <row r="123">
          <cell r="A123" t="str">
            <v>V.    SECTOR PRIVADO AJUSTADO</v>
          </cell>
          <cell r="B123">
            <v>61711.099999999991</v>
          </cell>
          <cell r="C123">
            <v>67152.399999999994</v>
          </cell>
          <cell r="D123">
            <v>64495.50499999999</v>
          </cell>
          <cell r="E123">
            <v>66997.956999999995</v>
          </cell>
          <cell r="F123">
            <v>69601.7</v>
          </cell>
          <cell r="G123">
            <v>66110.478000000003</v>
          </cell>
          <cell r="H123">
            <v>78238.771000000008</v>
          </cell>
          <cell r="I123">
            <v>80627</v>
          </cell>
          <cell r="J123">
            <v>82438.499999999985</v>
          </cell>
          <cell r="K123">
            <v>78956.100000000006</v>
          </cell>
          <cell r="L123">
            <v>81131.200000000012</v>
          </cell>
          <cell r="M123">
            <v>89787</v>
          </cell>
          <cell r="N123">
            <v>91903.5</v>
          </cell>
          <cell r="O123">
            <v>96373.5</v>
          </cell>
        </row>
        <row r="125">
          <cell r="A125" t="str">
            <v>Sector Externo (BCIE-BICSA)</v>
          </cell>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row>
        <row r="126">
          <cell r="A126" t="str">
            <v>Sector Privado</v>
          </cell>
          <cell r="B126">
            <v>61711.099999999991</v>
          </cell>
          <cell r="C126">
            <v>67152.399999999994</v>
          </cell>
          <cell r="D126">
            <v>64495.50499999999</v>
          </cell>
          <cell r="E126">
            <v>66997.956999999995</v>
          </cell>
          <cell r="F126">
            <v>69601.7</v>
          </cell>
          <cell r="G126">
            <v>66110.478000000003</v>
          </cell>
          <cell r="H126">
            <v>78238.771000000008</v>
          </cell>
          <cell r="I126">
            <v>80627</v>
          </cell>
          <cell r="J126">
            <v>82438.499999999985</v>
          </cell>
          <cell r="K126">
            <v>78956.100000000006</v>
          </cell>
          <cell r="L126">
            <v>81131.200000000012</v>
          </cell>
          <cell r="M126">
            <v>89787</v>
          </cell>
          <cell r="N126">
            <v>91903.5</v>
          </cell>
          <cell r="O126">
            <v>96373.5</v>
          </cell>
        </row>
        <row r="128">
          <cell r="A128" t="str">
            <v>Notas:</v>
          </cell>
        </row>
        <row r="129">
          <cell r="A129" t="str">
            <v xml:space="preserve"> 1/ Cifras al 29/3//96</v>
          </cell>
        </row>
        <row r="130">
          <cell r="A130" t="str">
            <v xml:space="preserve"> 2/ Cifras al 22/3/96</v>
          </cell>
        </row>
        <row r="131">
          <cell r="A131" t="str">
            <v xml:space="preserve"> 3/Entre el 12/03/96 y el 14/03/96 el Gobierno Central adquirió ¢4.000 millones de BEM`s emitidos por el  B.C.C.R </v>
          </cell>
        </row>
      </sheetData>
      <sheetData sheetId="1" refreshError="1"/>
      <sheetData sheetId="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U"/>
      <sheetName val="ANG."/>
      <sheetName val="A&amp;B"/>
      <sheetName val="GRE."/>
      <sheetName val="DOM."/>
      <sheetName val="MON."/>
      <sheetName val="ST. K&amp;N"/>
      <sheetName val="ST. L"/>
      <sheetName val="ST.VCT."/>
      <sheetName val="UPLOAD"/>
      <sheetName val="Commerical Bank Oper"/>
      <sheetName val="normal"/>
      <sheetName val="ipc"/>
      <sheetName val="Main"/>
      <sheetName val="Links"/>
      <sheetName val="ErrCheck"/>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ators"/>
      <sheetName val="CG Summary"/>
      <sheetName val="quarterly info"/>
      <sheetName val="monthly info"/>
      <sheetName val="Assumptions"/>
    </sheetNames>
    <sheetDataSet>
      <sheetData sheetId="0"/>
      <sheetData sheetId="1"/>
      <sheetData sheetId="2"/>
      <sheetData sheetId="3"/>
      <sheetData sheetId="4"/>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Prices "/>
      <sheetName val="Constant Prices"/>
      <sheetName val="Rate of Growth"/>
      <sheetName val="%  Of Total"/>
      <sheetName val="Expenditure Current Prices "/>
      <sheetName val="BANANA EXPORT TABLES "/>
      <sheetName val="BAN REVENUE TABLES "/>
      <sheetName val="WINWARD ISLAND EXPORTS"/>
      <sheetName val="eggs 02-07"/>
      <sheetName val="SUPERMARKET AND HOTELS"/>
      <sheetName val="DOMESTIC PURCHASES"/>
      <sheetName val="Visitor Stats"/>
      <sheetName val="Arrivals by origin"/>
      <sheetName val="Visitor Category"/>
      <sheetName val="Monthly Arrivals by Market"/>
      <sheetName val="Detailed Monetary Survey"/>
      <sheetName val="Commercial Bank Deposits"/>
      <sheetName val=" Assets &amp; Liabilities"/>
      <sheetName val="Commercial Bank Liquidity"/>
      <sheetName val="Interest"/>
      <sheetName val="Credit by Sector"/>
      <sheetName val="ECCB oper &amp; external reserves "/>
      <sheetName val="CPI"/>
      <sheetName val="CATEGORY"/>
      <sheetName val="%change"/>
      <sheetName val="manufac"/>
      <sheetName val="Elec. Cons. &amp; Output"/>
      <sheetName val="Fuel Surcharge &amp; Price"/>
      <sheetName val="Imp. of Commercial Energy"/>
      <sheetName val="Cargo"/>
      <sheetName val="Air Traffic Stats."/>
      <sheetName val="Aircraft Movements"/>
      <sheetName val="Vehicle Registration (2)"/>
      <sheetName val="CXC Results"/>
      <sheetName val="Analysis of Primary Schls"/>
      <sheetName val="Analysis of Secondary Schls"/>
      <sheetName val="A-Level Results,Gov'nt Spending"/>
      <sheetName val="Population Statistics"/>
      <sheetName val="By Sex &amp; Age Groups"/>
      <sheetName val="By district"/>
      <sheetName val="Central Gov'nt Fiscal Oper"/>
      <sheetName val="Gov'nt Fiscal Oper to GDP "/>
      <sheetName val="Central Gov'nt Revenue"/>
      <sheetName val="Revenue to GDP Ratios"/>
      <sheetName val="Central Gov't Expenditure"/>
      <sheetName val="Expenditure to GDP Ratios"/>
      <sheetName val="Summary"/>
      <sheetName val="CLOHTI"/>
      <sheetName val="CLOTHL"/>
      <sheetName val="PDEBT (1)"/>
      <sheetName val="PDEBT (2)"/>
      <sheetName val="Imports by Economic Function"/>
      <sheetName val="Imports at F.O.B. Prices"/>
      <sheetName val="Balance of Payments"/>
      <sheetName val="UPLOAD"/>
      <sheetName val="norm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
    </sheetNames>
    <sheetDataSet>
      <sheetData sheetId="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_basef14.3p10.6"/>
      <sheetName val="base+533ult3sem"/>
      <sheetName val="Corredor Base &quot;nuevo&quot;"/>
      <sheetName val="referencia"/>
      <sheetName val="ref2000_2001"/>
      <sheetName val="norberto"/>
      <sheetName val="norboct24"/>
      <sheetName val="norbnov3"/>
      <sheetName val="norbnov7"/>
      <sheetName val="norbnov8"/>
      <sheetName val="norbnov8a"/>
      <sheetName val="corredor 2000 encaje"/>
      <sheetName val="FREDY FEB26-01"/>
      <sheetName val="FREDYFEB26A.01"/>
      <sheetName val="FREDYMAR01"/>
      <sheetName val="FREDYJUN25"/>
      <sheetName val="FREDYJUL13"/>
      <sheetName val="FREDYAGO17-2002"/>
      <sheetName val="FREDYOCT16-2002"/>
      <sheetName val="FREDYDIC07-2002"/>
      <sheetName val="FREDYDIC06-2002"/>
      <sheetName val="FREDYFEB27-2002"/>
      <sheetName val="SERGIOFEB28-2002"/>
      <sheetName val="Credit by Se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taQ"/>
      <sheetName val="dataM"/>
      <sheetName val="Converted Codes"/>
      <sheetName val="START HERE"/>
      <sheetName val="LIAB"/>
      <sheetName val="ASSETS"/>
      <sheetName val="SUPPA1"/>
      <sheetName val="SUPPA2"/>
      <sheetName val="SUPPB1"/>
      <sheetName val="SUPPB2"/>
      <sheetName val="Liquidity Analysis"/>
      <sheetName val="Imputed Reserves"/>
      <sheetName val="Central Bank Survey"/>
      <sheetName val="Detailed Monetary Survey"/>
      <sheetName val="NMS-OIN"/>
      <sheetName val="dmc survey-country"/>
      <sheetName val="dmc survey-Foreign"/>
      <sheetName val="dmc survey-Indigenous"/>
      <sheetName val="DMC Interest Rates"/>
      <sheetName val="Weighted Rates"/>
      <sheetName val="Credit by sector"/>
      <sheetName val="Credit by sector (Foreign)"/>
      <sheetName val="Credit by sector (Indigeno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s"/>
      <sheetName val="Defects"/>
      <sheetName val="Status"/>
      <sheetName val="Doneness-Design"/>
      <sheetName val="Doneness - Dev"/>
      <sheetName val="Sallie Mae Responsibility"/>
      <sheetName val="Doneness - Source Code "/>
      <sheetName val="Dev Plan"/>
      <sheetName val="Design Plan"/>
      <sheetName val="Communication Plan"/>
      <sheetName val="Action Items"/>
      <sheetName val="Risks"/>
      <sheetName val="Contact List"/>
      <sheetName val="Critical Success Factors"/>
      <sheetName val="Template"/>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G2" t="str">
            <v>1 - Low</v>
          </cell>
        </row>
      </sheetData>
      <sheetData sheetId="14" refreshError="1"/>
      <sheetData sheetId="15"/>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Latest Stats"/>
      <sheetName val="R1"/>
      <sheetName val="R2"/>
      <sheetName val="R3"/>
      <sheetName val="Georges"/>
      <sheetName val="WEO Input"/>
      <sheetName val="DOMACR output"/>
      <sheetName val="SensAnal"/>
      <sheetName val="ASSUMPTIONS"/>
      <sheetName val="Summary"/>
      <sheetName val="Report Format"/>
      <sheetName val="Summary GDP"/>
      <sheetName val="Summary Growth"/>
      <sheetName val="WEO Output"/>
      <sheetName val="Exports"/>
      <sheetName val="Imports"/>
      <sheetName val="Services"/>
      <sheetName val="Income"/>
      <sheetName val="Debt Comparison"/>
      <sheetName val="Shared Data"/>
      <sheetName val="Transfers"/>
      <sheetName val="CapFin"/>
      <sheetName val="Comparison"/>
      <sheetName val="Capitalizaiton flows Dec 99"/>
      <sheetName val="BOP Fin"/>
      <sheetName val="BOP flows (CDE)"/>
      <sheetName val="CDE"/>
      <sheetName val="FTZ"/>
      <sheetName val="Fund"/>
      <sheetName val="Growth Rates"/>
      <sheetName val="NIR"/>
      <sheetName val="CDE (old)"/>
      <sheetName val="ExchRt"/>
      <sheetName val="exchange rates"/>
      <sheetName val="Chart1"/>
      <sheetName val="BOPGDP"/>
      <sheetName val="IMF InOut"/>
      <sheetName val="ImportsXX"/>
      <sheetName val="K"/>
      <sheetName val="M"/>
      <sheetName val="T"/>
      <sheetName val="REDtab38"/>
      <sheetName val="REDtab39"/>
      <sheetName val="REDtab41"/>
      <sheetName val="C_basef14.3p10.6"/>
      <sheetName val="Q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ecute Macros"/>
      <sheetName val="Annual Raw Data"/>
      <sheetName val="Quarterly Raw Data"/>
      <sheetName val="WEO Raw Data"/>
      <sheetName val="Annual Assumptions"/>
      <sheetName val="Quarterly Assumptions"/>
      <sheetName val="Annual MacroFlow"/>
      <sheetName val="Quarterly MacroFlow"/>
      <sheetName val="Annual Tables"/>
      <sheetName val="SEI Table"/>
      <sheetName val="Basic Data"/>
      <sheetName val="Program MFlows97"/>
      <sheetName val="WEO Submission Sheet"/>
      <sheetName val="SEI Chart"/>
      <sheetName val="Fiscal Chart"/>
      <sheetName val="Money Chart"/>
      <sheetName val="Macros Import"/>
      <sheetName val="Macros Print"/>
      <sheetName val="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Checks"/>
      <sheetName val="AREMOS Monetary-Data"/>
      <sheetName val="SEI Review Format"/>
      <sheetName val="Fiscal Review Format"/>
      <sheetName val="Tourism Review Format"/>
      <sheetName val="BOP Review Format"/>
      <sheetName val="External Sector Indicators"/>
      <sheetName val="SAS-IntRates"/>
      <sheetName val="SAS Monetary detailed"/>
      <sheetName val="SEI-Annual"/>
      <sheetName val="Fiscal-Data"/>
      <sheetName val="Nom gdp expenditure-Data"/>
      <sheetName val="NMS-OIN-Data"/>
      <sheetName val="DMC Survey"/>
      <sheetName val="Liquidity"/>
      <sheetName val="Interest Rates"/>
      <sheetName val="Credit Analysis-Data"/>
      <sheetName val="Tourism-Data"/>
      <sheetName val="BOP-Data"/>
      <sheetName val="AG.PROD.-Data"/>
      <sheetName val="Trade - Imports"/>
      <sheetName val="Trade by SITC"/>
      <sheetName val="Trade-Exports"/>
      <sheetName val="Trade-Data"/>
      <sheetName val="GDP Index Indicators"/>
      <sheetName val="CPI-Data"/>
      <sheetName val="GDP Tables"/>
      <sheetName val="CPI-NEW"/>
      <sheetName val="Imputed Reserves-Data"/>
      <sheetName val="Fiscal-Annual"/>
      <sheetName val="Monetary-Annual"/>
      <sheetName val="Tourism-Annual"/>
      <sheetName val="BOP-Annual"/>
      <sheetName val="Notes"/>
    </sheetNames>
    <sheetDataSet>
      <sheetData sheetId="0"/>
      <sheetData sheetId="1"/>
      <sheetData sheetId="2"/>
      <sheetData sheetId="3">
        <row r="11">
          <cell r="Q11" t="str">
            <v>ᴾ</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col"/>
      <sheetName val="graficos"/>
      <sheetName val="PROMEDIO"/>
      <sheetName val="HISTORICO"/>
      <sheetName val="Módulo1"/>
      <sheetName val="Módulo2"/>
      <sheetName val="tasas activas"/>
      <sheetName val="tasas pasivas"/>
      <sheetName val="TASAS"/>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9"/>
      <sheetName val="Chart2"/>
      <sheetName val="Chart3"/>
      <sheetName val="Chart1"/>
      <sheetName val="BOP-RED40"/>
      <sheetName val="RED41"/>
      <sheetName val="RED42"/>
      <sheetName val="RED43"/>
      <sheetName val="RED44"/>
      <sheetName val="RED45"/>
      <sheetName val="RED46"/>
      <sheetName val="RED47"/>
      <sheetName val="RED48"/>
      <sheetName val="RED49"/>
      <sheetName val="RED51"/>
      <sheetName val="RED50"/>
      <sheetName val="Chart4"/>
      <sheetName val="Chart5"/>
      <sheetName val="Chart6"/>
      <sheetName val="Chart7"/>
      <sheetName val="Chart8"/>
      <sheetName val="Sheet1"/>
      <sheetName val="Quarterly Raw Data"/>
      <sheetName val="Quarterly MacroFlo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Table 1"/>
      <sheetName val="BUControlSheet"/>
      <sheetName val="Control"/>
      <sheetName val="ValidationSheet"/>
      <sheetName val="Table 1-DL"/>
    </sheetNames>
    <sheetDataSet>
      <sheetData sheetId="0" refreshError="1"/>
      <sheetData sheetId="1" refreshError="1"/>
      <sheetData sheetId="2" refreshError="1"/>
      <sheetData sheetId="3" refreshError="1">
        <row r="28">
          <cell r="B28" t="str">
            <v>361</v>
          </cell>
        </row>
        <row r="36">
          <cell r="B36" t="str">
            <v>USD</v>
          </cell>
          <cell r="H36" t="str">
            <v>Thousands</v>
          </cell>
        </row>
        <row r="37">
          <cell r="B37" t="str">
            <v>EURO</v>
          </cell>
          <cell r="H37" t="str">
            <v>Millions</v>
          </cell>
        </row>
        <row r="38">
          <cell r="B38" t="str">
            <v>NC</v>
          </cell>
          <cell r="H38" t="str">
            <v>Billions</v>
          </cell>
        </row>
        <row r="39">
          <cell r="H39" t="str">
            <v>Trillions</v>
          </cell>
        </row>
      </sheetData>
      <sheetData sheetId="4" refreshError="1"/>
      <sheetData sheetId="5"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Report Form"/>
      <sheetName val="Control"/>
    </sheetNames>
    <sheetDataSet>
      <sheetData sheetId="0" refreshError="1"/>
      <sheetData sheetId="1"/>
      <sheetData sheetId="2">
        <row r="2">
          <cell r="C2" t="str">
            <v>2011M11-2012M11</v>
          </cell>
        </row>
      </sheetData>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roject"/>
      <sheetName val="SampleSheet"/>
      <sheetName val="Backup Sheet"/>
      <sheetName val="SampleSheet (2)"/>
      <sheetName val="Risks"/>
      <sheetName val="Admin"/>
      <sheetName val="Search1"/>
      <sheetName val="Search"/>
    </sheetNames>
    <sheetDataSet>
      <sheetData sheetId="0"/>
      <sheetData sheetId="1"/>
      <sheetData sheetId="2"/>
      <sheetData sheetId="3"/>
      <sheetData sheetId="4"/>
      <sheetData sheetId="5"/>
      <sheetData sheetId="6">
        <row r="34">
          <cell r="C34" t="str">
            <v>New</v>
          </cell>
        </row>
        <row r="35">
          <cell r="C35" t="str">
            <v>Open</v>
          </cell>
        </row>
        <row r="36">
          <cell r="C36" t="str">
            <v>Closed</v>
          </cell>
        </row>
        <row r="37">
          <cell r="C37" t="str">
            <v>Duplicate</v>
          </cell>
        </row>
      </sheetData>
      <sheetData sheetId="7"/>
      <sheetData sheetId="8"/>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roject"/>
      <sheetName val="SampleSheet"/>
      <sheetName val="Backup Sheet"/>
      <sheetName val="SampleSheet (2)"/>
      <sheetName val="Admin"/>
      <sheetName val="Search1"/>
      <sheetName val="Risks"/>
      <sheetName val="Search"/>
    </sheetNames>
    <sheetDataSet>
      <sheetData sheetId="0" refreshError="1"/>
      <sheetData sheetId="1" refreshError="1"/>
      <sheetData sheetId="2" refreshError="1"/>
      <sheetData sheetId="3" refreshError="1"/>
      <sheetData sheetId="4" refreshError="1"/>
      <sheetData sheetId="5">
        <row r="36">
          <cell r="C36" t="str">
            <v>New</v>
          </cell>
        </row>
        <row r="37">
          <cell r="C37" t="str">
            <v>Open</v>
          </cell>
        </row>
        <row r="38">
          <cell r="C38" t="str">
            <v>Closed</v>
          </cell>
        </row>
        <row r="39">
          <cell r="C39" t="str">
            <v>Issue</v>
          </cell>
        </row>
      </sheetData>
      <sheetData sheetId="6" refreshError="1"/>
      <sheetData sheetId="7" refreshError="1"/>
      <sheetData sheetId="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structions"/>
      <sheetName val="COFER"/>
      <sheetName val="DataControl"/>
      <sheetName val="Report Form"/>
    </sheetNames>
    <sheetDataSet>
      <sheetData sheetId="0"/>
      <sheetData sheetId="1"/>
      <sheetData sheetId="2"/>
      <sheetData sheetId="3">
        <row r="5">
          <cell r="A5" t="str">
            <v>Thousand</v>
          </cell>
        </row>
        <row r="6">
          <cell r="A6" t="str">
            <v>Million</v>
          </cell>
        </row>
        <row r="7">
          <cell r="A7" t="str">
            <v>Billion</v>
          </cell>
        </row>
        <row r="8">
          <cell r="A8" t="str">
            <v>Trillion</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Annex 2"/>
      <sheetName val="Annex 3"/>
      <sheetName val="Annex 4"/>
      <sheetName val="Annex 5"/>
      <sheetName val="Annex 6"/>
      <sheetName val="Annex 7"/>
      <sheetName val="Annex 8"/>
      <sheetName val="BUControlSheet"/>
      <sheetName val="Control"/>
      <sheetName val="Annex 2-DL"/>
      <sheetName val="Annex 3-DL"/>
      <sheetName val="Annex 4-DL"/>
      <sheetName val="Annex 5-DL"/>
      <sheetName val="Annex 6-DL"/>
      <sheetName val="Annex 7-DL"/>
      <sheetName val="Annex 8-D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3">
          <cell r="B13" t="str">
            <v>IMF TEST COUNTRY</v>
          </cell>
        </row>
        <row r="30">
          <cell r="C30" t="str">
            <v>US Dollars</v>
          </cell>
        </row>
        <row r="31">
          <cell r="C31" t="str">
            <v>Million</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ase 1"/>
    </sheetNames>
    <sheetDataSet>
      <sheetData sheetId="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
      <sheetName val="Micro"/>
      <sheetName val="Q1"/>
      <sheetName val="Q2"/>
      <sheetName val="Q3"/>
      <sheetName val="Q4"/>
      <sheetName val="Q5"/>
      <sheetName val="Q6"/>
      <sheetName val="Q7"/>
      <sheetName val="QQ"/>
      <sheetName val="QC"/>
      <sheetName val="Links"/>
      <sheetName val="xxweolinksxx"/>
      <sheetName val="ErrCheck"/>
      <sheetName val="PROMEDIO"/>
      <sheetName val="Montserrat Maturity Profile20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les List"/>
      <sheetName val="Skill Level"/>
      <sheetName val="Skills List"/>
    </sheetNames>
    <sheetDataSet>
      <sheetData sheetId="0" refreshError="1"/>
      <sheetData sheetId="1" refreshError="1"/>
      <sheetData sheetId="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Project Overview"/>
      <sheetName val="Steps of Doneness (Metrics)"/>
      <sheetName val="Metrics"/>
      <sheetName val="Assumptions + Next Steps"/>
      <sheetName val="R2 Technical Scope"/>
      <sheetName val="R2 Analysis Doneness Matrix"/>
      <sheetName val="Stories - CORE (WBS)"/>
      <sheetName val="Add-Ins"/>
      <sheetName val="Data"/>
      <sheetName val="Export Results"/>
      <sheetName val="Objective Risks"/>
      <sheetName val="Staffing Plan"/>
      <sheetName val="Total LOE"/>
      <sheetName val="Roles"/>
      <sheetName val="Schedule Tech Design Plan"/>
      <sheetName val="Schedule Doneness Matrix"/>
    </sheetNames>
    <sheetDataSet>
      <sheetData sheetId="0" refreshError="1"/>
      <sheetData sheetId="1">
        <row r="18">
          <cell r="B18" t="str">
            <v>None</v>
          </cell>
        </row>
      </sheetData>
      <sheetData sheetId="2" refreshError="1"/>
      <sheetData sheetId="3"/>
      <sheetData sheetId="4" refreshError="1"/>
      <sheetData sheetId="5" refreshError="1"/>
      <sheetData sheetId="6" refreshError="1"/>
      <sheetData sheetId="7"/>
      <sheetData sheetId="8"/>
      <sheetData sheetId="9"/>
      <sheetData sheetId="10" refreshError="1"/>
      <sheetData sheetId="11"/>
      <sheetData sheetId="12"/>
      <sheetData sheetId="13" refreshError="1"/>
      <sheetData sheetId="14"/>
      <sheetData sheetId="15"/>
      <sheetData sheetId="16"/>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1aSec1b"/>
      <sheetName val="Credit by Sector"/>
      <sheetName val="Main"/>
    </sheetNames>
    <sheetDataSet>
      <sheetData sheetId="0">
        <row r="1">
          <cell r="A1" t="str">
            <v>ID</v>
          </cell>
          <cell r="B1" t="str">
            <v>ISIC_no</v>
          </cell>
          <cell r="C1" t="str">
            <v>frm_typ</v>
          </cell>
          <cell r="D1" t="str">
            <v>sec_typ</v>
          </cell>
          <cell r="E1" t="str">
            <v>ed</v>
          </cell>
          <cell r="F1" t="str">
            <v>srtdate</v>
          </cell>
          <cell r="G1" t="str">
            <v>enddate</v>
          </cell>
          <cell r="H1" t="str">
            <v>Op_srt</v>
          </cell>
          <cell r="I1" t="str">
            <v>Typ_own</v>
          </cell>
          <cell r="J1" t="str">
            <v>For_own</v>
          </cell>
        </row>
        <row r="2">
          <cell r="A2">
            <v>6917</v>
          </cell>
          <cell r="B2">
            <v>9000</v>
          </cell>
          <cell r="C2" t="str">
            <v>bs1</v>
          </cell>
          <cell r="D2" t="str">
            <v>nfc</v>
          </cell>
          <cell r="E2">
            <v>4912</v>
          </cell>
          <cell r="F2">
            <v>10102</v>
          </cell>
          <cell r="G2">
            <v>311202</v>
          </cell>
          <cell r="H2">
            <v>1999</v>
          </cell>
          <cell r="I2">
            <v>3</v>
          </cell>
        </row>
        <row r="3">
          <cell r="A3">
            <v>7008</v>
          </cell>
          <cell r="B3">
            <v>7494</v>
          </cell>
          <cell r="C3" t="str">
            <v>bs1</v>
          </cell>
          <cell r="D3" t="str">
            <v>nfc</v>
          </cell>
          <cell r="E3">
            <v>14704</v>
          </cell>
          <cell r="F3">
            <v>10102</v>
          </cell>
          <cell r="G3">
            <v>311202</v>
          </cell>
          <cell r="I3">
            <v>1</v>
          </cell>
        </row>
        <row r="4">
          <cell r="A4">
            <v>1849</v>
          </cell>
          <cell r="B4">
            <v>7414</v>
          </cell>
          <cell r="C4" t="str">
            <v>bs1</v>
          </cell>
          <cell r="D4" t="str">
            <v>nfc</v>
          </cell>
          <cell r="E4">
            <v>6802</v>
          </cell>
          <cell r="F4">
            <v>10102</v>
          </cell>
          <cell r="G4">
            <v>311202</v>
          </cell>
          <cell r="H4">
            <v>11993</v>
          </cell>
          <cell r="I4">
            <v>3</v>
          </cell>
        </row>
        <row r="5">
          <cell r="A5">
            <v>857</v>
          </cell>
          <cell r="B5">
            <v>9233</v>
          </cell>
          <cell r="C5" t="str">
            <v>bs1</v>
          </cell>
          <cell r="D5" t="str">
            <v>nfc</v>
          </cell>
          <cell r="E5">
            <v>7400</v>
          </cell>
          <cell r="F5">
            <v>10102</v>
          </cell>
          <cell r="G5">
            <v>311202</v>
          </cell>
          <cell r="I5">
            <v>3</v>
          </cell>
        </row>
        <row r="6">
          <cell r="A6">
            <v>6981</v>
          </cell>
          <cell r="B6">
            <v>7493</v>
          </cell>
          <cell r="C6" t="str">
            <v>bs1</v>
          </cell>
          <cell r="D6" t="str">
            <v>nfc</v>
          </cell>
          <cell r="E6">
            <v>14714</v>
          </cell>
          <cell r="F6">
            <v>10102</v>
          </cell>
          <cell r="G6">
            <v>311202</v>
          </cell>
          <cell r="H6">
            <v>22002</v>
          </cell>
          <cell r="I6">
            <v>3</v>
          </cell>
        </row>
        <row r="7">
          <cell r="A7">
            <v>6968</v>
          </cell>
          <cell r="B7">
            <v>7492</v>
          </cell>
          <cell r="C7" t="str">
            <v>bs1</v>
          </cell>
          <cell r="D7" t="str">
            <v>nfc</v>
          </cell>
          <cell r="E7">
            <v>14701</v>
          </cell>
          <cell r="F7">
            <v>10102</v>
          </cell>
          <cell r="G7">
            <v>311202</v>
          </cell>
          <cell r="H7">
            <v>1998</v>
          </cell>
          <cell r="I7">
            <v>3</v>
          </cell>
        </row>
        <row r="8">
          <cell r="A8">
            <v>573</v>
          </cell>
          <cell r="B8">
            <v>7492</v>
          </cell>
          <cell r="C8" t="str">
            <v>bs1</v>
          </cell>
          <cell r="D8" t="str">
            <v>nfc</v>
          </cell>
          <cell r="E8">
            <v>1002</v>
          </cell>
          <cell r="F8">
            <v>10402</v>
          </cell>
          <cell r="G8">
            <v>310303</v>
          </cell>
          <cell r="H8">
            <v>1986</v>
          </cell>
          <cell r="I8">
            <v>3</v>
          </cell>
        </row>
        <row r="9">
          <cell r="A9">
            <v>575</v>
          </cell>
          <cell r="B9">
            <v>7492</v>
          </cell>
          <cell r="C9" t="str">
            <v>bs1</v>
          </cell>
          <cell r="D9" t="str">
            <v>nfc</v>
          </cell>
          <cell r="E9">
            <v>2806</v>
          </cell>
          <cell r="F9">
            <v>10102</v>
          </cell>
          <cell r="G9">
            <v>311202</v>
          </cell>
          <cell r="I9">
            <v>3</v>
          </cell>
        </row>
        <row r="10">
          <cell r="A10">
            <v>6468</v>
          </cell>
          <cell r="B10">
            <v>7493</v>
          </cell>
          <cell r="C10" t="str">
            <v>bs1</v>
          </cell>
          <cell r="D10" t="str">
            <v>nfc</v>
          </cell>
          <cell r="E10">
            <v>14605</v>
          </cell>
          <cell r="F10">
            <v>10102</v>
          </cell>
          <cell r="G10">
            <v>311202</v>
          </cell>
          <cell r="H10">
            <v>1991</v>
          </cell>
          <cell r="I10">
            <v>3</v>
          </cell>
        </row>
        <row r="11">
          <cell r="A11">
            <v>1718</v>
          </cell>
          <cell r="B11">
            <v>7493</v>
          </cell>
          <cell r="C11" t="str">
            <v>bs1</v>
          </cell>
          <cell r="D11" t="str">
            <v>nfc</v>
          </cell>
          <cell r="E11">
            <v>14705</v>
          </cell>
          <cell r="F11">
            <v>11101</v>
          </cell>
          <cell r="G11">
            <v>311002</v>
          </cell>
          <cell r="H11">
            <v>1991</v>
          </cell>
          <cell r="I11">
            <v>3</v>
          </cell>
        </row>
        <row r="12">
          <cell r="A12">
            <v>1017</v>
          </cell>
          <cell r="B12">
            <v>9301</v>
          </cell>
          <cell r="C12" t="str">
            <v>bs1</v>
          </cell>
          <cell r="D12" t="str">
            <v>nfc</v>
          </cell>
          <cell r="E12">
            <v>15206</v>
          </cell>
          <cell r="F12">
            <v>10702</v>
          </cell>
          <cell r="G12">
            <v>300603</v>
          </cell>
          <cell r="H12">
            <v>1990</v>
          </cell>
          <cell r="I12">
            <v>3</v>
          </cell>
        </row>
        <row r="13">
          <cell r="A13">
            <v>6933</v>
          </cell>
          <cell r="B13">
            <v>7492</v>
          </cell>
          <cell r="C13" t="str">
            <v>bs1</v>
          </cell>
          <cell r="D13" t="str">
            <v>nfc</v>
          </cell>
          <cell r="E13">
            <v>11207</v>
          </cell>
          <cell r="F13">
            <v>10102</v>
          </cell>
          <cell r="G13">
            <v>311202</v>
          </cell>
          <cell r="H13">
            <v>111995</v>
          </cell>
          <cell r="I13">
            <v>3</v>
          </cell>
        </row>
        <row r="14">
          <cell r="A14">
            <v>303</v>
          </cell>
          <cell r="B14">
            <v>9213</v>
          </cell>
          <cell r="C14" t="str">
            <v>bs1</v>
          </cell>
          <cell r="D14" t="str">
            <v>nfc</v>
          </cell>
          <cell r="E14">
            <v>3600</v>
          </cell>
          <cell r="F14">
            <v>10102</v>
          </cell>
          <cell r="G14">
            <v>311202</v>
          </cell>
          <cell r="H14">
            <v>1982</v>
          </cell>
          <cell r="I14">
            <v>3</v>
          </cell>
        </row>
        <row r="15">
          <cell r="A15">
            <v>2236</v>
          </cell>
          <cell r="B15">
            <v>4520</v>
          </cell>
          <cell r="C15" t="str">
            <v>bs1</v>
          </cell>
          <cell r="D15" t="str">
            <v>nfc</v>
          </cell>
          <cell r="E15">
            <v>14714</v>
          </cell>
          <cell r="F15">
            <v>10102</v>
          </cell>
          <cell r="G15">
            <v>311202</v>
          </cell>
          <cell r="H15">
            <v>41994</v>
          </cell>
          <cell r="I15">
            <v>3</v>
          </cell>
        </row>
        <row r="16">
          <cell r="A16">
            <v>7703</v>
          </cell>
          <cell r="B16">
            <v>7112</v>
          </cell>
          <cell r="C16" t="str">
            <v>bs1</v>
          </cell>
          <cell r="D16" t="str">
            <v>nfc</v>
          </cell>
          <cell r="E16">
            <v>3002</v>
          </cell>
          <cell r="F16">
            <v>10701</v>
          </cell>
          <cell r="G16">
            <v>300602</v>
          </cell>
        </row>
        <row r="17">
          <cell r="A17">
            <v>6925</v>
          </cell>
          <cell r="B17">
            <v>7492</v>
          </cell>
          <cell r="C17" t="str">
            <v>bs1</v>
          </cell>
          <cell r="D17" t="str">
            <v>nfc</v>
          </cell>
          <cell r="E17">
            <v>10301</v>
          </cell>
          <cell r="F17">
            <v>10102</v>
          </cell>
          <cell r="G17">
            <v>311202</v>
          </cell>
          <cell r="H17">
            <v>1998</v>
          </cell>
          <cell r="I17">
            <v>3</v>
          </cell>
        </row>
        <row r="18">
          <cell r="A18">
            <v>78</v>
          </cell>
          <cell r="B18">
            <v>7492</v>
          </cell>
          <cell r="C18" t="str">
            <v>bs1</v>
          </cell>
          <cell r="D18" t="str">
            <v>nfc</v>
          </cell>
          <cell r="E18">
            <v>2705</v>
          </cell>
          <cell r="F18">
            <v>11001</v>
          </cell>
          <cell r="G18">
            <v>300902</v>
          </cell>
          <cell r="H18">
            <v>1985</v>
          </cell>
          <cell r="I18">
            <v>3</v>
          </cell>
        </row>
        <row r="19">
          <cell r="A19">
            <v>305</v>
          </cell>
          <cell r="B19">
            <v>6302</v>
          </cell>
          <cell r="C19" t="str">
            <v>bs1</v>
          </cell>
          <cell r="D19" t="str">
            <v>nfc</v>
          </cell>
          <cell r="E19">
            <v>4100</v>
          </cell>
          <cell r="F19">
            <v>10102</v>
          </cell>
          <cell r="G19">
            <v>311202</v>
          </cell>
          <cell r="I19">
            <v>3</v>
          </cell>
        </row>
        <row r="20">
          <cell r="A20">
            <v>2472</v>
          </cell>
          <cell r="B20">
            <v>7230</v>
          </cell>
          <cell r="C20" t="str">
            <v>bs1</v>
          </cell>
          <cell r="D20" t="str">
            <v>nfc</v>
          </cell>
          <cell r="E20">
            <v>2803</v>
          </cell>
          <cell r="F20">
            <v>10901</v>
          </cell>
          <cell r="G20">
            <v>310802</v>
          </cell>
          <cell r="H20">
            <v>101995</v>
          </cell>
          <cell r="I20">
            <v>3</v>
          </cell>
        </row>
        <row r="21">
          <cell r="A21">
            <v>7028</v>
          </cell>
          <cell r="B21">
            <v>4520</v>
          </cell>
          <cell r="C21" t="str">
            <v>cc1</v>
          </cell>
          <cell r="D21" t="str">
            <v>nfc</v>
          </cell>
          <cell r="E21">
            <v>10702</v>
          </cell>
          <cell r="F21">
            <v>10602</v>
          </cell>
          <cell r="G21">
            <v>310503</v>
          </cell>
          <cell r="I21">
            <v>3</v>
          </cell>
        </row>
        <row r="22">
          <cell r="A22">
            <v>1779</v>
          </cell>
          <cell r="B22">
            <v>4520</v>
          </cell>
          <cell r="C22" t="str">
            <v>cc1</v>
          </cell>
          <cell r="D22" t="str">
            <v>nfc</v>
          </cell>
          <cell r="E22">
            <v>3402</v>
          </cell>
          <cell r="F22">
            <v>10702</v>
          </cell>
          <cell r="G22">
            <v>300603</v>
          </cell>
          <cell r="H22">
            <v>152001</v>
          </cell>
          <cell r="I22">
            <v>3</v>
          </cell>
        </row>
        <row r="23">
          <cell r="A23">
            <v>7212</v>
          </cell>
          <cell r="B23">
            <v>4520</v>
          </cell>
          <cell r="C23" t="str">
            <v>cc1</v>
          </cell>
          <cell r="D23" t="str">
            <v>nfc</v>
          </cell>
          <cell r="E23">
            <v>14704</v>
          </cell>
          <cell r="F23">
            <v>10102</v>
          </cell>
          <cell r="G23">
            <v>311202</v>
          </cell>
          <cell r="H23">
            <v>31994</v>
          </cell>
          <cell r="I23">
            <v>2</v>
          </cell>
        </row>
        <row r="24">
          <cell r="A24">
            <v>1156</v>
          </cell>
          <cell r="B24">
            <v>4520</v>
          </cell>
          <cell r="C24" t="str">
            <v>cc1</v>
          </cell>
          <cell r="D24" t="str">
            <v>nfc</v>
          </cell>
          <cell r="E24">
            <v>4002</v>
          </cell>
          <cell r="F24">
            <v>10801</v>
          </cell>
          <cell r="G24">
            <v>310702</v>
          </cell>
          <cell r="H24">
            <v>41990</v>
          </cell>
          <cell r="I24">
            <v>3</v>
          </cell>
        </row>
        <row r="25">
          <cell r="A25">
            <v>998</v>
          </cell>
          <cell r="B25">
            <v>4530</v>
          </cell>
          <cell r="C25" t="str">
            <v>cc1</v>
          </cell>
          <cell r="D25" t="str">
            <v>nfc</v>
          </cell>
          <cell r="E25">
            <v>802</v>
          </cell>
          <cell r="F25">
            <v>10102</v>
          </cell>
          <cell r="G25">
            <v>311202</v>
          </cell>
          <cell r="H25">
            <v>111987</v>
          </cell>
          <cell r="I25">
            <v>1</v>
          </cell>
        </row>
        <row r="26">
          <cell r="A26">
            <v>1187</v>
          </cell>
          <cell r="B26">
            <v>4520</v>
          </cell>
          <cell r="C26" t="str">
            <v>cc1</v>
          </cell>
          <cell r="D26" t="str">
            <v>nfc</v>
          </cell>
          <cell r="E26">
            <v>100</v>
          </cell>
          <cell r="F26">
            <v>10102</v>
          </cell>
          <cell r="G26">
            <v>311202</v>
          </cell>
          <cell r="H26">
            <v>11995</v>
          </cell>
          <cell r="I26">
            <v>3</v>
          </cell>
          <cell r="J26">
            <v>0</v>
          </cell>
        </row>
        <row r="27">
          <cell r="A27">
            <v>5034</v>
          </cell>
          <cell r="B27">
            <v>5510</v>
          </cell>
          <cell r="C27" t="str">
            <v>cc1</v>
          </cell>
          <cell r="D27" t="str">
            <v>nfc</v>
          </cell>
          <cell r="E27">
            <v>4902</v>
          </cell>
          <cell r="F27">
            <v>10302</v>
          </cell>
          <cell r="G27">
            <v>280203</v>
          </cell>
          <cell r="H27">
            <v>31998</v>
          </cell>
          <cell r="I27">
            <v>1</v>
          </cell>
        </row>
        <row r="28">
          <cell r="A28">
            <v>508</v>
          </cell>
          <cell r="B28">
            <v>1554</v>
          </cell>
          <cell r="C28" t="str">
            <v>cp1</v>
          </cell>
          <cell r="D28" t="str">
            <v>nfc</v>
          </cell>
          <cell r="E28">
            <v>10602</v>
          </cell>
          <cell r="F28">
            <v>11001</v>
          </cell>
          <cell r="G28">
            <v>300902</v>
          </cell>
          <cell r="H28">
            <v>1987</v>
          </cell>
          <cell r="I28">
            <v>8</v>
          </cell>
        </row>
        <row r="29">
          <cell r="A29">
            <v>6323</v>
          </cell>
          <cell r="B29">
            <v>2695</v>
          </cell>
          <cell r="C29" t="str">
            <v>cp1</v>
          </cell>
          <cell r="D29" t="str">
            <v>nfc</v>
          </cell>
          <cell r="E29">
            <v>11605</v>
          </cell>
          <cell r="F29">
            <v>10102</v>
          </cell>
          <cell r="G29">
            <v>311202</v>
          </cell>
          <cell r="H29">
            <v>1994</v>
          </cell>
          <cell r="I29">
            <v>1</v>
          </cell>
        </row>
        <row r="30">
          <cell r="A30">
            <v>7120</v>
          </cell>
          <cell r="B30">
            <v>3610</v>
          </cell>
          <cell r="C30" t="str">
            <v>cp1</v>
          </cell>
          <cell r="D30" t="str">
            <v>nfc</v>
          </cell>
          <cell r="E30">
            <v>14711</v>
          </cell>
          <cell r="F30">
            <v>10102</v>
          </cell>
          <cell r="G30">
            <v>311202</v>
          </cell>
          <cell r="H30">
            <v>1997</v>
          </cell>
          <cell r="I30">
            <v>1</v>
          </cell>
        </row>
        <row r="31">
          <cell r="A31">
            <v>3114</v>
          </cell>
          <cell r="B31">
            <v>1541</v>
          </cell>
          <cell r="C31" t="str">
            <v>cp1</v>
          </cell>
          <cell r="D31" t="str">
            <v>nfc</v>
          </cell>
          <cell r="E31">
            <v>14801</v>
          </cell>
          <cell r="F31">
            <v>10102</v>
          </cell>
          <cell r="G31">
            <v>311202</v>
          </cell>
          <cell r="H31">
            <v>11990</v>
          </cell>
          <cell r="I31">
            <v>3</v>
          </cell>
        </row>
        <row r="32">
          <cell r="A32">
            <v>3225</v>
          </cell>
          <cell r="B32">
            <v>2520</v>
          </cell>
          <cell r="C32" t="str">
            <v>cp1</v>
          </cell>
          <cell r="D32" t="str">
            <v>nfc</v>
          </cell>
          <cell r="E32">
            <v>14602</v>
          </cell>
          <cell r="F32">
            <v>10102</v>
          </cell>
          <cell r="G32">
            <v>311202</v>
          </cell>
          <cell r="H32">
            <v>111997</v>
          </cell>
          <cell r="I32">
            <v>3</v>
          </cell>
        </row>
        <row r="33">
          <cell r="A33">
            <v>726</v>
          </cell>
          <cell r="B33">
            <v>1553</v>
          </cell>
          <cell r="C33" t="str">
            <v>cp1</v>
          </cell>
          <cell r="D33" t="str">
            <v>nfc</v>
          </cell>
          <cell r="E33">
            <v>11402</v>
          </cell>
          <cell r="F33">
            <v>10102</v>
          </cell>
          <cell r="G33">
            <v>311202</v>
          </cell>
          <cell r="I33">
            <v>3</v>
          </cell>
        </row>
        <row r="34">
          <cell r="A34">
            <v>1539</v>
          </cell>
          <cell r="B34">
            <v>3210</v>
          </cell>
          <cell r="C34" t="str">
            <v>cp1</v>
          </cell>
          <cell r="D34" t="str">
            <v>nfc</v>
          </cell>
          <cell r="E34">
            <v>10602</v>
          </cell>
          <cell r="F34">
            <v>10102</v>
          </cell>
          <cell r="G34">
            <v>311202</v>
          </cell>
          <cell r="I34">
            <v>8</v>
          </cell>
        </row>
        <row r="35">
          <cell r="A35">
            <v>6219</v>
          </cell>
          <cell r="B35">
            <v>1810</v>
          </cell>
          <cell r="C35" t="str">
            <v>cp1</v>
          </cell>
          <cell r="D35" t="str">
            <v>nfc</v>
          </cell>
          <cell r="E35">
            <v>3001</v>
          </cell>
          <cell r="F35">
            <v>11201</v>
          </cell>
          <cell r="G35">
            <v>301102</v>
          </cell>
          <cell r="I35">
            <v>3</v>
          </cell>
        </row>
        <row r="36">
          <cell r="A36">
            <v>319</v>
          </cell>
          <cell r="B36">
            <v>1810</v>
          </cell>
          <cell r="C36" t="str">
            <v>cp1</v>
          </cell>
          <cell r="D36" t="str">
            <v>nfc</v>
          </cell>
          <cell r="E36">
            <v>11402</v>
          </cell>
          <cell r="F36">
            <v>10102</v>
          </cell>
          <cell r="G36">
            <v>311202</v>
          </cell>
          <cell r="H36">
            <v>1988</v>
          </cell>
          <cell r="I36">
            <v>8</v>
          </cell>
        </row>
        <row r="37">
          <cell r="A37">
            <v>6340</v>
          </cell>
          <cell r="B37">
            <v>2695</v>
          </cell>
          <cell r="C37" t="str">
            <v>cp1</v>
          </cell>
          <cell r="D37" t="str">
            <v>nfc</v>
          </cell>
          <cell r="E37">
            <v>14705</v>
          </cell>
          <cell r="F37">
            <v>10402</v>
          </cell>
          <cell r="G37">
            <v>310303</v>
          </cell>
          <cell r="I37">
            <v>3</v>
          </cell>
        </row>
        <row r="38">
          <cell r="A38">
            <v>3201</v>
          </cell>
          <cell r="B38">
            <v>3610</v>
          </cell>
          <cell r="C38" t="str">
            <v>cp1</v>
          </cell>
          <cell r="D38" t="str">
            <v>nfc</v>
          </cell>
          <cell r="E38">
            <v>14602</v>
          </cell>
          <cell r="F38">
            <v>10102</v>
          </cell>
          <cell r="G38">
            <v>311202</v>
          </cell>
          <cell r="H38">
            <v>21997</v>
          </cell>
          <cell r="I38">
            <v>3</v>
          </cell>
        </row>
        <row r="39">
          <cell r="A39">
            <v>622</v>
          </cell>
          <cell r="B39">
            <v>1514</v>
          </cell>
          <cell r="C39" t="str">
            <v>cp1</v>
          </cell>
          <cell r="D39" t="str">
            <v>nfc</v>
          </cell>
          <cell r="E39">
            <v>7103</v>
          </cell>
          <cell r="F39">
            <v>10102</v>
          </cell>
          <cell r="G39">
            <v>311202</v>
          </cell>
          <cell r="H39">
            <v>1939</v>
          </cell>
          <cell r="I39">
            <v>3</v>
          </cell>
        </row>
        <row r="40">
          <cell r="A40">
            <v>212</v>
          </cell>
          <cell r="B40">
            <v>1554</v>
          </cell>
          <cell r="C40" t="str">
            <v>cp1</v>
          </cell>
          <cell r="D40" t="str">
            <v>nfc</v>
          </cell>
          <cell r="E40">
            <v>3102</v>
          </cell>
          <cell r="F40">
            <v>10102</v>
          </cell>
          <cell r="G40">
            <v>311202</v>
          </cell>
          <cell r="I40">
            <v>3</v>
          </cell>
        </row>
        <row r="41">
          <cell r="A41">
            <v>646</v>
          </cell>
          <cell r="B41">
            <v>2212</v>
          </cell>
          <cell r="C41" t="str">
            <v>cp1</v>
          </cell>
          <cell r="D41" t="str">
            <v>nfc</v>
          </cell>
          <cell r="E41">
            <v>14602</v>
          </cell>
          <cell r="F41">
            <v>10102</v>
          </cell>
          <cell r="G41">
            <v>311202</v>
          </cell>
          <cell r="H41">
            <v>1987</v>
          </cell>
          <cell r="I41">
            <v>3</v>
          </cell>
        </row>
        <row r="42">
          <cell r="A42">
            <v>6015</v>
          </cell>
          <cell r="B42">
            <v>1520</v>
          </cell>
          <cell r="C42" t="str">
            <v>cp1</v>
          </cell>
          <cell r="D42" t="str">
            <v>nfc</v>
          </cell>
          <cell r="E42">
            <v>3203</v>
          </cell>
          <cell r="F42">
            <v>10502</v>
          </cell>
          <cell r="G42">
            <v>310403</v>
          </cell>
          <cell r="I42">
            <v>3</v>
          </cell>
        </row>
        <row r="43">
          <cell r="A43">
            <v>726</v>
          </cell>
          <cell r="B43">
            <v>1553</v>
          </cell>
          <cell r="C43" t="str">
            <v>cp1</v>
          </cell>
          <cell r="D43" t="str">
            <v>nfc</v>
          </cell>
          <cell r="E43">
            <v>11402</v>
          </cell>
          <cell r="F43">
            <v>10102</v>
          </cell>
          <cell r="G43">
            <v>311202</v>
          </cell>
          <cell r="I43">
            <v>3</v>
          </cell>
        </row>
        <row r="44">
          <cell r="A44">
            <v>360</v>
          </cell>
          <cell r="B44">
            <v>1810</v>
          </cell>
          <cell r="C44" t="str">
            <v>cp1</v>
          </cell>
          <cell r="D44" t="str">
            <v>nfc</v>
          </cell>
          <cell r="E44">
            <v>2807</v>
          </cell>
          <cell r="F44">
            <v>10102</v>
          </cell>
          <cell r="G44">
            <v>311202</v>
          </cell>
          <cell r="I44">
            <v>3</v>
          </cell>
        </row>
        <row r="45">
          <cell r="A45">
            <v>726</v>
          </cell>
          <cell r="B45">
            <v>1553</v>
          </cell>
          <cell r="C45" t="str">
            <v>cp1</v>
          </cell>
          <cell r="D45" t="str">
            <v>nfc</v>
          </cell>
          <cell r="E45">
            <v>11402</v>
          </cell>
          <cell r="F45">
            <v>10102</v>
          </cell>
          <cell r="G45">
            <v>311202</v>
          </cell>
          <cell r="I45">
            <v>3</v>
          </cell>
        </row>
        <row r="46">
          <cell r="A46">
            <v>1325</v>
          </cell>
          <cell r="B46">
            <v>3210</v>
          </cell>
          <cell r="C46" t="str">
            <v>cp1</v>
          </cell>
          <cell r="D46" t="str">
            <v>nfc</v>
          </cell>
          <cell r="E46">
            <v>4002</v>
          </cell>
          <cell r="F46">
            <v>10102</v>
          </cell>
          <cell r="G46">
            <v>311202</v>
          </cell>
          <cell r="I46">
            <v>8</v>
          </cell>
          <cell r="J46">
            <v>99</v>
          </cell>
        </row>
        <row r="47">
          <cell r="A47">
            <v>199</v>
          </cell>
          <cell r="B47">
            <v>3210</v>
          </cell>
          <cell r="C47" t="str">
            <v>cp1</v>
          </cell>
          <cell r="D47" t="str">
            <v>nfc</v>
          </cell>
          <cell r="E47">
            <v>11402</v>
          </cell>
          <cell r="F47">
            <v>10102</v>
          </cell>
          <cell r="G47">
            <v>311202</v>
          </cell>
          <cell r="H47">
            <v>61979</v>
          </cell>
          <cell r="I47">
            <v>3</v>
          </cell>
        </row>
        <row r="48">
          <cell r="A48">
            <v>508</v>
          </cell>
          <cell r="B48">
            <v>1554</v>
          </cell>
          <cell r="C48" t="str">
            <v>cp1</v>
          </cell>
          <cell r="D48" t="str">
            <v>nfc</v>
          </cell>
          <cell r="E48">
            <v>10602</v>
          </cell>
          <cell r="F48">
            <v>11001</v>
          </cell>
          <cell r="G48">
            <v>300902</v>
          </cell>
          <cell r="H48">
            <v>1987</v>
          </cell>
          <cell r="I48">
            <v>8</v>
          </cell>
        </row>
        <row r="49">
          <cell r="A49">
            <v>6323</v>
          </cell>
          <cell r="B49">
            <v>2695</v>
          </cell>
          <cell r="C49" t="str">
            <v>cp1</v>
          </cell>
          <cell r="D49" t="str">
            <v>nfc</v>
          </cell>
          <cell r="E49">
            <v>11605</v>
          </cell>
          <cell r="F49">
            <v>10102</v>
          </cell>
          <cell r="G49">
            <v>311202</v>
          </cell>
          <cell r="H49">
            <v>1994</v>
          </cell>
          <cell r="I49">
            <v>1</v>
          </cell>
        </row>
        <row r="50">
          <cell r="A50">
            <v>7120</v>
          </cell>
          <cell r="B50">
            <v>3610</v>
          </cell>
          <cell r="C50" t="str">
            <v>cp1</v>
          </cell>
          <cell r="D50" t="str">
            <v>nfc</v>
          </cell>
          <cell r="E50">
            <v>14711</v>
          </cell>
          <cell r="F50">
            <v>10102</v>
          </cell>
          <cell r="G50">
            <v>311202</v>
          </cell>
          <cell r="H50">
            <v>1997</v>
          </cell>
          <cell r="I50">
            <v>1</v>
          </cell>
        </row>
        <row r="51">
          <cell r="A51">
            <v>3114</v>
          </cell>
          <cell r="B51">
            <v>1541</v>
          </cell>
          <cell r="C51" t="str">
            <v>cp1</v>
          </cell>
          <cell r="D51" t="str">
            <v>nfc</v>
          </cell>
          <cell r="E51">
            <v>14801</v>
          </cell>
          <cell r="F51">
            <v>10102</v>
          </cell>
          <cell r="G51">
            <v>311202</v>
          </cell>
          <cell r="H51">
            <v>11990</v>
          </cell>
          <cell r="I51">
            <v>3</v>
          </cell>
        </row>
        <row r="52">
          <cell r="A52">
            <v>3225</v>
          </cell>
          <cell r="B52">
            <v>2520</v>
          </cell>
          <cell r="C52" t="str">
            <v>cp1</v>
          </cell>
          <cell r="D52" t="str">
            <v>nfc</v>
          </cell>
          <cell r="E52">
            <v>14602</v>
          </cell>
          <cell r="F52">
            <v>10102</v>
          </cell>
          <cell r="G52">
            <v>311202</v>
          </cell>
          <cell r="H52">
            <v>111997</v>
          </cell>
          <cell r="I52">
            <v>3</v>
          </cell>
        </row>
        <row r="53">
          <cell r="A53">
            <v>1539</v>
          </cell>
          <cell r="B53">
            <v>3210</v>
          </cell>
          <cell r="C53" t="str">
            <v>cp1</v>
          </cell>
          <cell r="D53" t="str">
            <v>nfc</v>
          </cell>
          <cell r="E53">
            <v>10602</v>
          </cell>
          <cell r="F53">
            <v>10102</v>
          </cell>
          <cell r="G53">
            <v>311202</v>
          </cell>
          <cell r="I53">
            <v>8</v>
          </cell>
        </row>
        <row r="54">
          <cell r="A54">
            <v>6219</v>
          </cell>
          <cell r="B54">
            <v>1810</v>
          </cell>
          <cell r="C54" t="str">
            <v>cp1</v>
          </cell>
          <cell r="D54" t="str">
            <v>nfc</v>
          </cell>
          <cell r="E54">
            <v>3001</v>
          </cell>
          <cell r="F54">
            <v>11201</v>
          </cell>
          <cell r="G54">
            <v>301102</v>
          </cell>
          <cell r="I54">
            <v>3</v>
          </cell>
        </row>
        <row r="55">
          <cell r="A55">
            <v>319</v>
          </cell>
          <cell r="B55">
            <v>1810</v>
          </cell>
          <cell r="C55" t="str">
            <v>cp1</v>
          </cell>
          <cell r="D55" t="str">
            <v>nfc</v>
          </cell>
          <cell r="E55">
            <v>11402</v>
          </cell>
          <cell r="F55">
            <v>10102</v>
          </cell>
          <cell r="G55">
            <v>311202</v>
          </cell>
          <cell r="H55">
            <v>1988</v>
          </cell>
          <cell r="I55">
            <v>8</v>
          </cell>
        </row>
        <row r="56">
          <cell r="A56">
            <v>6340</v>
          </cell>
          <cell r="B56">
            <v>2695</v>
          </cell>
          <cell r="C56" t="str">
            <v>cp1</v>
          </cell>
          <cell r="D56" t="str">
            <v>nfc</v>
          </cell>
          <cell r="E56">
            <v>14705</v>
          </cell>
          <cell r="F56">
            <v>10402</v>
          </cell>
          <cell r="G56">
            <v>310303</v>
          </cell>
          <cell r="I56">
            <v>3</v>
          </cell>
        </row>
        <row r="57">
          <cell r="A57">
            <v>3201</v>
          </cell>
          <cell r="B57">
            <v>3610</v>
          </cell>
          <cell r="C57" t="str">
            <v>cp1</v>
          </cell>
          <cell r="D57" t="str">
            <v>nfc</v>
          </cell>
          <cell r="E57">
            <v>14602</v>
          </cell>
          <cell r="F57">
            <v>10102</v>
          </cell>
          <cell r="G57">
            <v>311202</v>
          </cell>
          <cell r="H57">
            <v>21997</v>
          </cell>
          <cell r="I57">
            <v>3</v>
          </cell>
        </row>
        <row r="58">
          <cell r="A58">
            <v>622</v>
          </cell>
          <cell r="B58">
            <v>1514</v>
          </cell>
          <cell r="C58" t="str">
            <v>cp1</v>
          </cell>
          <cell r="D58" t="str">
            <v>nfc</v>
          </cell>
          <cell r="E58">
            <v>7103</v>
          </cell>
          <cell r="F58">
            <v>10102</v>
          </cell>
          <cell r="G58">
            <v>311202</v>
          </cell>
          <cell r="H58">
            <v>1939</v>
          </cell>
          <cell r="I58">
            <v>3</v>
          </cell>
        </row>
        <row r="59">
          <cell r="A59">
            <v>212</v>
          </cell>
          <cell r="B59">
            <v>1554</v>
          </cell>
          <cell r="C59" t="str">
            <v>cp1</v>
          </cell>
          <cell r="D59" t="str">
            <v>nfc</v>
          </cell>
          <cell r="E59">
            <v>3102</v>
          </cell>
          <cell r="F59">
            <v>10102</v>
          </cell>
          <cell r="G59">
            <v>311202</v>
          </cell>
          <cell r="I59">
            <v>3</v>
          </cell>
        </row>
        <row r="60">
          <cell r="A60">
            <v>646</v>
          </cell>
          <cell r="B60">
            <v>2212</v>
          </cell>
          <cell r="C60" t="str">
            <v>cp1</v>
          </cell>
          <cell r="D60" t="str">
            <v>nfc</v>
          </cell>
          <cell r="E60">
            <v>14602</v>
          </cell>
          <cell r="F60">
            <v>10102</v>
          </cell>
          <cell r="G60">
            <v>311202</v>
          </cell>
          <cell r="H60">
            <v>1987</v>
          </cell>
          <cell r="I60">
            <v>3</v>
          </cell>
        </row>
        <row r="61">
          <cell r="A61">
            <v>6015</v>
          </cell>
          <cell r="B61">
            <v>1520</v>
          </cell>
          <cell r="C61" t="str">
            <v>cp1</v>
          </cell>
          <cell r="D61" t="str">
            <v>nfc</v>
          </cell>
          <cell r="E61">
            <v>3203</v>
          </cell>
          <cell r="F61">
            <v>10502</v>
          </cell>
          <cell r="G61">
            <v>310403</v>
          </cell>
          <cell r="I61">
            <v>3</v>
          </cell>
        </row>
        <row r="62">
          <cell r="A62">
            <v>623</v>
          </cell>
          <cell r="B62">
            <v>1551</v>
          </cell>
          <cell r="C62" t="str">
            <v>cp1</v>
          </cell>
          <cell r="D62" t="str">
            <v>nfc</v>
          </cell>
          <cell r="E62">
            <v>5600</v>
          </cell>
          <cell r="F62">
            <v>10102</v>
          </cell>
          <cell r="G62">
            <v>311202</v>
          </cell>
          <cell r="H62">
            <v>21972</v>
          </cell>
          <cell r="I62">
            <v>3</v>
          </cell>
        </row>
        <row r="63">
          <cell r="A63">
            <v>559</v>
          </cell>
          <cell r="B63">
            <v>1810</v>
          </cell>
          <cell r="C63" t="str">
            <v>cp1</v>
          </cell>
          <cell r="D63" t="str">
            <v>nfc</v>
          </cell>
          <cell r="E63">
            <v>2803</v>
          </cell>
          <cell r="F63">
            <v>10202</v>
          </cell>
          <cell r="G63">
            <v>310103</v>
          </cell>
          <cell r="I63">
            <v>3</v>
          </cell>
        </row>
        <row r="64">
          <cell r="A64">
            <v>296</v>
          </cell>
          <cell r="B64">
            <v>2429</v>
          </cell>
          <cell r="C64" t="str">
            <v>cp1</v>
          </cell>
          <cell r="D64" t="str">
            <v>nfc</v>
          </cell>
          <cell r="E64">
            <v>11402</v>
          </cell>
          <cell r="F64">
            <v>10302</v>
          </cell>
          <cell r="G64">
            <v>280203</v>
          </cell>
          <cell r="I64">
            <v>3</v>
          </cell>
        </row>
        <row r="65">
          <cell r="A65">
            <v>729</v>
          </cell>
          <cell r="B65">
            <v>2102</v>
          </cell>
          <cell r="C65" t="str">
            <v>cp1</v>
          </cell>
          <cell r="D65" t="str">
            <v>nfc</v>
          </cell>
          <cell r="E65">
            <v>10602</v>
          </cell>
          <cell r="F65">
            <v>10102</v>
          </cell>
          <cell r="G65">
            <v>311202</v>
          </cell>
          <cell r="H65">
            <v>51971</v>
          </cell>
          <cell r="I65">
            <v>3</v>
          </cell>
        </row>
        <row r="66">
          <cell r="A66">
            <v>3134</v>
          </cell>
          <cell r="B66">
            <v>1541</v>
          </cell>
          <cell r="C66" t="str">
            <v>cp1</v>
          </cell>
          <cell r="D66" t="str">
            <v>nfc</v>
          </cell>
          <cell r="E66">
            <v>1602</v>
          </cell>
          <cell r="F66">
            <v>10102</v>
          </cell>
          <cell r="G66">
            <v>311202</v>
          </cell>
          <cell r="H66">
            <v>1985</v>
          </cell>
          <cell r="I66">
            <v>3</v>
          </cell>
        </row>
        <row r="67">
          <cell r="A67">
            <v>6173</v>
          </cell>
          <cell r="B67">
            <v>1810</v>
          </cell>
          <cell r="C67" t="str">
            <v>cp1</v>
          </cell>
          <cell r="D67" t="str">
            <v>nfc</v>
          </cell>
          <cell r="E67">
            <v>11402</v>
          </cell>
          <cell r="F67">
            <v>10502</v>
          </cell>
          <cell r="G67">
            <v>300403</v>
          </cell>
          <cell r="H67">
            <v>101999</v>
          </cell>
          <cell r="I67">
            <v>3</v>
          </cell>
        </row>
        <row r="68">
          <cell r="A68">
            <v>416</v>
          </cell>
          <cell r="B68">
            <v>3610</v>
          </cell>
          <cell r="C68" t="str">
            <v>cp1</v>
          </cell>
          <cell r="D68" t="str">
            <v>nfc</v>
          </cell>
          <cell r="E68">
            <v>11402</v>
          </cell>
          <cell r="F68">
            <v>10102</v>
          </cell>
          <cell r="G68">
            <v>311202</v>
          </cell>
          <cell r="H68">
            <v>111990</v>
          </cell>
          <cell r="I68">
            <v>3</v>
          </cell>
        </row>
        <row r="69">
          <cell r="A69">
            <v>6121</v>
          </cell>
          <cell r="B69">
            <v>1554</v>
          </cell>
          <cell r="C69" t="str">
            <v>cp1</v>
          </cell>
          <cell r="D69" t="str">
            <v>nfc</v>
          </cell>
          <cell r="E69">
            <v>11402</v>
          </cell>
          <cell r="F69">
            <v>10102</v>
          </cell>
          <cell r="G69">
            <v>311202</v>
          </cell>
          <cell r="H69">
            <v>1998</v>
          </cell>
          <cell r="I69">
            <v>3</v>
          </cell>
        </row>
        <row r="70">
          <cell r="A70">
            <v>1023</v>
          </cell>
          <cell r="B70">
            <v>8090</v>
          </cell>
          <cell r="C70" t="str">
            <v>es1</v>
          </cell>
          <cell r="D70" t="str">
            <v>nfc</v>
          </cell>
          <cell r="E70">
            <v>502</v>
          </cell>
          <cell r="F70">
            <v>10901</v>
          </cell>
          <cell r="G70">
            <v>310802</v>
          </cell>
          <cell r="H70">
            <v>11988</v>
          </cell>
          <cell r="I70">
            <v>8</v>
          </cell>
        </row>
        <row r="71">
          <cell r="A71">
            <v>3275</v>
          </cell>
          <cell r="B71">
            <v>8090</v>
          </cell>
          <cell r="C71" t="str">
            <v>es1</v>
          </cell>
          <cell r="D71" t="str">
            <v>nfc</v>
          </cell>
          <cell r="E71">
            <v>3203</v>
          </cell>
          <cell r="F71">
            <v>10102</v>
          </cell>
          <cell r="G71">
            <v>311202</v>
          </cell>
          <cell r="H71">
            <v>1992</v>
          </cell>
          <cell r="I71">
            <v>1</v>
          </cell>
        </row>
        <row r="72">
          <cell r="A72">
            <v>6440</v>
          </cell>
          <cell r="B72">
            <v>8010</v>
          </cell>
          <cell r="C72" t="str">
            <v>es1</v>
          </cell>
          <cell r="D72" t="str">
            <v>nfc</v>
          </cell>
          <cell r="E72">
            <v>11301</v>
          </cell>
          <cell r="F72">
            <v>10901</v>
          </cell>
          <cell r="G72">
            <v>310702</v>
          </cell>
          <cell r="H72">
            <v>91996</v>
          </cell>
          <cell r="I72">
            <v>8</v>
          </cell>
        </row>
        <row r="73">
          <cell r="A73">
            <v>5944</v>
          </cell>
          <cell r="B73">
            <v>8010</v>
          </cell>
          <cell r="C73" t="str">
            <v>es1</v>
          </cell>
          <cell r="D73" t="str">
            <v>nfc</v>
          </cell>
          <cell r="E73">
            <v>300</v>
          </cell>
          <cell r="F73">
            <v>30901</v>
          </cell>
          <cell r="G73">
            <v>310802</v>
          </cell>
          <cell r="H73">
            <v>11989</v>
          </cell>
          <cell r="I73">
            <v>1</v>
          </cell>
        </row>
        <row r="74">
          <cell r="A74">
            <v>8672</v>
          </cell>
          <cell r="B74">
            <v>8010</v>
          </cell>
          <cell r="C74" t="str">
            <v>es1</v>
          </cell>
          <cell r="D74" t="str">
            <v>nfc</v>
          </cell>
          <cell r="E74">
            <v>600</v>
          </cell>
          <cell r="F74">
            <v>10102</v>
          </cell>
          <cell r="G74">
            <v>311202</v>
          </cell>
          <cell r="H74">
            <v>41986</v>
          </cell>
          <cell r="I74">
            <v>1</v>
          </cell>
        </row>
        <row r="75">
          <cell r="A75">
            <v>9106</v>
          </cell>
          <cell r="B75">
            <v>8010</v>
          </cell>
          <cell r="C75" t="str">
            <v>es1</v>
          </cell>
          <cell r="D75" t="str">
            <v>nfc</v>
          </cell>
          <cell r="E75">
            <v>1602</v>
          </cell>
          <cell r="F75">
            <v>10102</v>
          </cell>
          <cell r="G75">
            <v>311202</v>
          </cell>
          <cell r="H75">
            <v>1958</v>
          </cell>
          <cell r="I75">
            <v>8</v>
          </cell>
        </row>
        <row r="76">
          <cell r="A76">
            <v>8671</v>
          </cell>
          <cell r="B76">
            <v>8010</v>
          </cell>
          <cell r="C76" t="str">
            <v>es1</v>
          </cell>
          <cell r="D76" t="str">
            <v>nfc</v>
          </cell>
          <cell r="E76">
            <v>701</v>
          </cell>
          <cell r="F76">
            <v>10901</v>
          </cell>
          <cell r="G76">
            <v>310802</v>
          </cell>
          <cell r="H76">
            <v>91979</v>
          </cell>
          <cell r="I76">
            <v>1</v>
          </cell>
        </row>
        <row r="77">
          <cell r="A77">
            <v>8070</v>
          </cell>
          <cell r="B77">
            <v>8010</v>
          </cell>
          <cell r="C77" t="str">
            <v>es1</v>
          </cell>
          <cell r="D77" t="str">
            <v>nfc</v>
          </cell>
          <cell r="E77">
            <v>14707</v>
          </cell>
          <cell r="F77">
            <v>10901</v>
          </cell>
          <cell r="G77">
            <v>310802</v>
          </cell>
          <cell r="H77">
            <v>21991</v>
          </cell>
          <cell r="I77">
            <v>1</v>
          </cell>
        </row>
        <row r="78">
          <cell r="A78">
            <v>5968</v>
          </cell>
          <cell r="B78">
            <v>8010</v>
          </cell>
          <cell r="C78" t="str">
            <v>es1</v>
          </cell>
          <cell r="D78" t="str">
            <v>nfc</v>
          </cell>
          <cell r="E78">
            <v>702</v>
          </cell>
          <cell r="F78">
            <v>10901</v>
          </cell>
          <cell r="G78">
            <v>310802</v>
          </cell>
          <cell r="H78">
            <v>51984</v>
          </cell>
          <cell r="I78">
            <v>1</v>
          </cell>
        </row>
        <row r="79">
          <cell r="A79">
            <v>620</v>
          </cell>
          <cell r="B79">
            <v>6592</v>
          </cell>
          <cell r="C79" t="str">
            <v>fi1</v>
          </cell>
          <cell r="D79" t="str">
            <v>fc</v>
          </cell>
          <cell r="E79">
            <v>901</v>
          </cell>
          <cell r="F79">
            <v>10102</v>
          </cell>
          <cell r="G79">
            <v>311202</v>
          </cell>
          <cell r="I79">
            <v>6</v>
          </cell>
        </row>
        <row r="80">
          <cell r="A80">
            <v>7534</v>
          </cell>
          <cell r="B80">
            <v>6599</v>
          </cell>
          <cell r="C80" t="str">
            <v>fi1</v>
          </cell>
          <cell r="D80" t="str">
            <v>govn't</v>
          </cell>
          <cell r="E80">
            <v>1202</v>
          </cell>
          <cell r="F80">
            <v>10402</v>
          </cell>
          <cell r="G80">
            <v>310303</v>
          </cell>
          <cell r="H80">
            <v>312000</v>
          </cell>
          <cell r="I80">
            <v>5</v>
          </cell>
        </row>
        <row r="81">
          <cell r="A81">
            <v>621</v>
          </cell>
          <cell r="B81">
            <v>6519</v>
          </cell>
          <cell r="C81" t="str">
            <v>fi1-b</v>
          </cell>
          <cell r="D81" t="str">
            <v>fc</v>
          </cell>
          <cell r="E81">
            <v>100</v>
          </cell>
          <cell r="F81">
            <v>10102</v>
          </cell>
          <cell r="G81">
            <v>311202</v>
          </cell>
          <cell r="H81">
            <v>11938</v>
          </cell>
          <cell r="I81">
            <v>3</v>
          </cell>
        </row>
        <row r="82">
          <cell r="A82">
            <v>477</v>
          </cell>
          <cell r="B82">
            <v>6519</v>
          </cell>
          <cell r="C82" t="str">
            <v>fi1-b</v>
          </cell>
          <cell r="D82" t="str">
            <v>fc</v>
          </cell>
          <cell r="E82">
            <v>100</v>
          </cell>
          <cell r="F82">
            <v>10102</v>
          </cell>
          <cell r="G82">
            <v>311202</v>
          </cell>
          <cell r="H82">
            <v>72001</v>
          </cell>
          <cell r="I82">
            <v>3</v>
          </cell>
        </row>
        <row r="83">
          <cell r="A83">
            <v>58</v>
          </cell>
          <cell r="B83">
            <v>6519</v>
          </cell>
          <cell r="C83" t="str">
            <v>fi1-b</v>
          </cell>
          <cell r="D83" t="str">
            <v>fc</v>
          </cell>
          <cell r="E83">
            <v>901</v>
          </cell>
          <cell r="F83">
            <v>10101</v>
          </cell>
          <cell r="G83">
            <v>300902</v>
          </cell>
          <cell r="I83">
            <v>4</v>
          </cell>
        </row>
        <row r="84">
          <cell r="A84">
            <v>1370</v>
          </cell>
          <cell r="B84">
            <v>6519</v>
          </cell>
          <cell r="C84" t="str">
            <v>fi1-b</v>
          </cell>
          <cell r="D84" t="str">
            <v>fc</v>
          </cell>
          <cell r="E84">
            <v>100</v>
          </cell>
          <cell r="F84">
            <v>10102</v>
          </cell>
          <cell r="G84">
            <v>311202</v>
          </cell>
          <cell r="H84">
            <v>11993</v>
          </cell>
          <cell r="I84">
            <v>7</v>
          </cell>
          <cell r="J84">
            <v>99</v>
          </cell>
        </row>
        <row r="85">
          <cell r="A85">
            <v>1370</v>
          </cell>
          <cell r="B85">
            <v>6519</v>
          </cell>
          <cell r="C85" t="str">
            <v>fi1-b</v>
          </cell>
          <cell r="D85" t="str">
            <v>fc</v>
          </cell>
          <cell r="E85">
            <v>100</v>
          </cell>
          <cell r="F85">
            <v>10102</v>
          </cell>
          <cell r="G85">
            <v>311202</v>
          </cell>
          <cell r="H85">
            <v>11992</v>
          </cell>
          <cell r="I85">
            <v>7</v>
          </cell>
          <cell r="J85">
            <v>99</v>
          </cell>
        </row>
        <row r="86">
          <cell r="A86">
            <v>2167</v>
          </cell>
          <cell r="B86">
            <v>6511</v>
          </cell>
          <cell r="C86" t="str">
            <v>fi1-b</v>
          </cell>
          <cell r="D86" t="str">
            <v>fc</v>
          </cell>
          <cell r="E86">
            <v>100</v>
          </cell>
          <cell r="F86">
            <v>10302</v>
          </cell>
          <cell r="G86">
            <v>300408</v>
          </cell>
          <cell r="H86">
            <v>101987</v>
          </cell>
          <cell r="I86">
            <v>5</v>
          </cell>
        </row>
        <row r="87">
          <cell r="A87">
            <v>561</v>
          </cell>
          <cell r="B87">
            <v>6519</v>
          </cell>
          <cell r="C87" t="str">
            <v>fi1-b</v>
          </cell>
          <cell r="D87" t="str">
            <v>fc</v>
          </cell>
          <cell r="E87">
            <v>100</v>
          </cell>
          <cell r="F87">
            <v>11101</v>
          </cell>
          <cell r="G87">
            <v>311002</v>
          </cell>
          <cell r="H87">
            <v>41962</v>
          </cell>
        </row>
        <row r="88">
          <cell r="A88">
            <v>54</v>
          </cell>
          <cell r="B88">
            <v>6519</v>
          </cell>
          <cell r="C88" t="str">
            <v>fi1-b</v>
          </cell>
          <cell r="D88" t="str">
            <v>fc</v>
          </cell>
          <cell r="E88">
            <v>100</v>
          </cell>
          <cell r="F88">
            <v>11101</v>
          </cell>
          <cell r="G88">
            <v>311002</v>
          </cell>
          <cell r="H88">
            <v>41964</v>
          </cell>
          <cell r="I88">
            <v>7</v>
          </cell>
        </row>
        <row r="89">
          <cell r="A89">
            <v>5034</v>
          </cell>
          <cell r="B89">
            <v>4520</v>
          </cell>
          <cell r="C89" t="str">
            <v>hr1</v>
          </cell>
          <cell r="D89" t="str">
            <v>nfc</v>
          </cell>
          <cell r="E89">
            <v>4902</v>
          </cell>
          <cell r="F89">
            <v>10302</v>
          </cell>
          <cell r="G89">
            <v>280203</v>
          </cell>
          <cell r="H89">
            <v>21990</v>
          </cell>
          <cell r="I89">
            <v>3</v>
          </cell>
        </row>
        <row r="90">
          <cell r="A90">
            <v>4188</v>
          </cell>
          <cell r="B90">
            <v>5510</v>
          </cell>
          <cell r="C90" t="str">
            <v>hr1</v>
          </cell>
          <cell r="D90" t="str">
            <v>nfc</v>
          </cell>
          <cell r="E90">
            <v>3502</v>
          </cell>
          <cell r="F90">
            <v>10602</v>
          </cell>
          <cell r="G90">
            <v>310503</v>
          </cell>
          <cell r="I90">
            <v>3</v>
          </cell>
        </row>
        <row r="91">
          <cell r="A91">
            <v>4188</v>
          </cell>
          <cell r="B91">
            <v>5510</v>
          </cell>
          <cell r="C91" t="str">
            <v>hr1</v>
          </cell>
          <cell r="D91" t="str">
            <v>nfc</v>
          </cell>
          <cell r="E91">
            <v>3502</v>
          </cell>
          <cell r="F91">
            <v>10602</v>
          </cell>
          <cell r="G91">
            <v>310503</v>
          </cell>
          <cell r="I91">
            <v>3</v>
          </cell>
        </row>
        <row r="92">
          <cell r="A92">
            <v>843</v>
          </cell>
          <cell r="B92">
            <v>5510</v>
          </cell>
          <cell r="C92" t="str">
            <v>hr1</v>
          </cell>
          <cell r="D92" t="str">
            <v>nfc</v>
          </cell>
          <cell r="E92">
            <v>7700</v>
          </cell>
          <cell r="F92">
            <v>10102</v>
          </cell>
          <cell r="G92">
            <v>311202</v>
          </cell>
          <cell r="H92">
            <v>128997</v>
          </cell>
          <cell r="I92">
            <v>3</v>
          </cell>
        </row>
        <row r="93">
          <cell r="A93">
            <v>725</v>
          </cell>
          <cell r="B93">
            <v>5510</v>
          </cell>
          <cell r="C93" t="str">
            <v>hr1</v>
          </cell>
          <cell r="D93" t="str">
            <v>nfc</v>
          </cell>
          <cell r="E93">
            <v>14702</v>
          </cell>
          <cell r="F93">
            <v>10502</v>
          </cell>
          <cell r="G93">
            <v>300403</v>
          </cell>
          <cell r="H93">
            <v>111989</v>
          </cell>
          <cell r="I93">
            <v>3</v>
          </cell>
          <cell r="J93">
            <v>99</v>
          </cell>
        </row>
        <row r="94">
          <cell r="A94">
            <v>818</v>
          </cell>
          <cell r="B94">
            <v>5510</v>
          </cell>
          <cell r="C94" t="str">
            <v>hr1</v>
          </cell>
          <cell r="D94" t="str">
            <v>nfc</v>
          </cell>
          <cell r="E94">
            <v>14704</v>
          </cell>
          <cell r="F94">
            <v>11201</v>
          </cell>
          <cell r="G94">
            <v>801102</v>
          </cell>
          <cell r="H94">
            <v>121991</v>
          </cell>
          <cell r="I94">
            <v>1</v>
          </cell>
        </row>
        <row r="95">
          <cell r="A95">
            <v>402</v>
          </cell>
          <cell r="B95">
            <v>5510</v>
          </cell>
          <cell r="C95" t="str">
            <v>hr1</v>
          </cell>
          <cell r="D95" t="str">
            <v>nfc</v>
          </cell>
          <cell r="E95">
            <v>14606</v>
          </cell>
          <cell r="F95">
            <v>10502</v>
          </cell>
          <cell r="G95">
            <v>300603</v>
          </cell>
          <cell r="H95">
            <v>91989</v>
          </cell>
          <cell r="I95">
            <v>3</v>
          </cell>
        </row>
        <row r="96">
          <cell r="A96">
            <v>6651</v>
          </cell>
          <cell r="B96">
            <v>5510</v>
          </cell>
          <cell r="C96" t="str">
            <v>hr2</v>
          </cell>
          <cell r="D96" t="str">
            <v>nfc</v>
          </cell>
          <cell r="E96">
            <v>14701</v>
          </cell>
          <cell r="F96">
            <v>10102</v>
          </cell>
          <cell r="G96">
            <v>311202</v>
          </cell>
          <cell r="H96">
            <v>1997</v>
          </cell>
          <cell r="I96">
            <v>3</v>
          </cell>
        </row>
        <row r="97">
          <cell r="A97">
            <v>8678</v>
          </cell>
          <cell r="B97">
            <v>5510</v>
          </cell>
          <cell r="C97" t="str">
            <v>hr2</v>
          </cell>
          <cell r="D97" t="str">
            <v>nfc</v>
          </cell>
          <cell r="E97">
            <v>14702</v>
          </cell>
          <cell r="F97">
            <v>281001</v>
          </cell>
          <cell r="G97">
            <v>271002</v>
          </cell>
          <cell r="H97">
            <v>111993</v>
          </cell>
          <cell r="I97">
            <v>3</v>
          </cell>
        </row>
        <row r="98">
          <cell r="A98">
            <v>8256</v>
          </cell>
          <cell r="B98">
            <v>5510</v>
          </cell>
          <cell r="C98" t="str">
            <v>hr2</v>
          </cell>
          <cell r="D98" t="str">
            <v>nfc</v>
          </cell>
          <cell r="E98">
            <v>4201</v>
          </cell>
          <cell r="F98">
            <v>10102</v>
          </cell>
          <cell r="G98">
            <v>123102</v>
          </cell>
          <cell r="I98">
            <v>1</v>
          </cell>
        </row>
        <row r="99">
          <cell r="A99">
            <v>7709</v>
          </cell>
          <cell r="B99">
            <v>5510</v>
          </cell>
          <cell r="C99" t="str">
            <v>hr2</v>
          </cell>
          <cell r="D99" t="str">
            <v>nfc</v>
          </cell>
          <cell r="E99">
            <v>14603</v>
          </cell>
          <cell r="F99">
            <v>10102</v>
          </cell>
          <cell r="G99">
            <v>311202</v>
          </cell>
          <cell r="H99">
            <v>61997</v>
          </cell>
          <cell r="I99">
            <v>1</v>
          </cell>
        </row>
        <row r="100">
          <cell r="A100">
            <v>8914</v>
          </cell>
          <cell r="B100">
            <v>5510</v>
          </cell>
          <cell r="C100" t="str">
            <v>hr2</v>
          </cell>
          <cell r="D100" t="str">
            <v>nfc</v>
          </cell>
          <cell r="E100">
            <v>14701</v>
          </cell>
          <cell r="F100">
            <v>10102</v>
          </cell>
          <cell r="G100">
            <v>311202</v>
          </cell>
          <cell r="I100">
            <v>1</v>
          </cell>
        </row>
        <row r="101">
          <cell r="A101">
            <v>8955</v>
          </cell>
          <cell r="B101">
            <v>8512</v>
          </cell>
          <cell r="C101" t="str">
            <v>hs1</v>
          </cell>
          <cell r="D101" t="str">
            <v>nfc</v>
          </cell>
          <cell r="E101">
            <v>14704</v>
          </cell>
          <cell r="F101">
            <v>10102</v>
          </cell>
          <cell r="G101">
            <v>311202</v>
          </cell>
          <cell r="H101">
            <v>121998</v>
          </cell>
        </row>
        <row r="102">
          <cell r="A102">
            <v>1339</v>
          </cell>
          <cell r="B102">
            <v>8512</v>
          </cell>
          <cell r="C102" t="str">
            <v>hs1</v>
          </cell>
          <cell r="D102" t="str">
            <v>nfc</v>
          </cell>
          <cell r="E102">
            <v>1601</v>
          </cell>
          <cell r="F102">
            <v>10102</v>
          </cell>
          <cell r="G102">
            <v>311202</v>
          </cell>
          <cell r="H102">
            <v>71986</v>
          </cell>
          <cell r="I102">
            <v>1</v>
          </cell>
        </row>
        <row r="103">
          <cell r="A103">
            <v>3064</v>
          </cell>
          <cell r="B103">
            <v>8512</v>
          </cell>
          <cell r="C103" t="str">
            <v>hs1</v>
          </cell>
          <cell r="D103" t="str">
            <v>nfc</v>
          </cell>
          <cell r="E103">
            <v>502</v>
          </cell>
          <cell r="F103">
            <v>10102</v>
          </cell>
          <cell r="G103">
            <v>311202</v>
          </cell>
          <cell r="I103">
            <v>1</v>
          </cell>
        </row>
        <row r="104">
          <cell r="A104">
            <v>1248</v>
          </cell>
          <cell r="B104">
            <v>8512</v>
          </cell>
          <cell r="C104" t="str">
            <v>hs1</v>
          </cell>
          <cell r="D104" t="str">
            <v>nfc</v>
          </cell>
          <cell r="E104">
            <v>200</v>
          </cell>
          <cell r="F104">
            <v>10102</v>
          </cell>
          <cell r="G104">
            <v>311202</v>
          </cell>
          <cell r="H104">
            <v>21987</v>
          </cell>
          <cell r="I104">
            <v>1</v>
          </cell>
        </row>
        <row r="105">
          <cell r="A105">
            <v>3107</v>
          </cell>
          <cell r="B105">
            <v>8511</v>
          </cell>
          <cell r="C105" t="str">
            <v>hs1</v>
          </cell>
          <cell r="D105" t="str">
            <v>nfc</v>
          </cell>
          <cell r="E105">
            <v>502</v>
          </cell>
          <cell r="F105">
            <v>10702</v>
          </cell>
          <cell r="G105">
            <v>300603</v>
          </cell>
          <cell r="H105">
            <v>1996</v>
          </cell>
          <cell r="I105">
            <v>3</v>
          </cell>
        </row>
        <row r="106">
          <cell r="A106">
            <v>2106</v>
          </cell>
          <cell r="B106">
            <v>8519</v>
          </cell>
          <cell r="C106" t="str">
            <v>hs1</v>
          </cell>
          <cell r="D106" t="str">
            <v>nfc</v>
          </cell>
          <cell r="E106">
            <v>1202</v>
          </cell>
          <cell r="F106">
            <v>11201</v>
          </cell>
          <cell r="G106">
            <v>301102</v>
          </cell>
          <cell r="H106">
            <v>121994</v>
          </cell>
          <cell r="I106">
            <v>1</v>
          </cell>
        </row>
        <row r="107">
          <cell r="A107">
            <v>5050</v>
          </cell>
          <cell r="B107">
            <v>8519</v>
          </cell>
          <cell r="C107" t="str">
            <v>hs1</v>
          </cell>
          <cell r="D107" t="str">
            <v>nfc</v>
          </cell>
          <cell r="E107">
            <v>502</v>
          </cell>
          <cell r="F107">
            <v>10102</v>
          </cell>
          <cell r="G107">
            <v>311202</v>
          </cell>
          <cell r="I107">
            <v>1</v>
          </cell>
        </row>
        <row r="108">
          <cell r="A108">
            <v>1585</v>
          </cell>
          <cell r="B108">
            <v>5010</v>
          </cell>
          <cell r="C108" t="str">
            <v>ma1</v>
          </cell>
          <cell r="D108" t="str">
            <v>nfc</v>
          </cell>
          <cell r="E108">
            <v>11402</v>
          </cell>
          <cell r="F108">
            <v>10302</v>
          </cell>
          <cell r="G108">
            <v>280203</v>
          </cell>
          <cell r="H108">
            <v>1978</v>
          </cell>
          <cell r="I108">
            <v>3</v>
          </cell>
        </row>
        <row r="109">
          <cell r="A109">
            <v>7304</v>
          </cell>
          <cell r="B109">
            <v>5020</v>
          </cell>
          <cell r="C109" t="str">
            <v>ma1</v>
          </cell>
          <cell r="D109" t="str">
            <v>nfc</v>
          </cell>
          <cell r="E109">
            <v>9403</v>
          </cell>
          <cell r="F109">
            <v>10102</v>
          </cell>
          <cell r="G109">
            <v>311202</v>
          </cell>
          <cell r="H109">
            <v>1980</v>
          </cell>
          <cell r="I109">
            <v>1</v>
          </cell>
        </row>
        <row r="110">
          <cell r="A110">
            <v>779</v>
          </cell>
          <cell r="B110">
            <v>5010</v>
          </cell>
          <cell r="C110" t="str">
            <v>ma1</v>
          </cell>
          <cell r="D110" t="str">
            <v>nfc</v>
          </cell>
          <cell r="E110">
            <v>14706</v>
          </cell>
          <cell r="F110">
            <v>10202</v>
          </cell>
          <cell r="G110">
            <v>310103</v>
          </cell>
          <cell r="H110">
            <v>91985</v>
          </cell>
          <cell r="I110">
            <v>3</v>
          </cell>
        </row>
        <row r="111">
          <cell r="A111">
            <v>3301</v>
          </cell>
          <cell r="B111">
            <v>5020</v>
          </cell>
          <cell r="C111" t="str">
            <v>ma1</v>
          </cell>
          <cell r="D111" t="str">
            <v>nfc</v>
          </cell>
          <cell r="E111">
            <v>14602</v>
          </cell>
          <cell r="F111">
            <v>10402</v>
          </cell>
          <cell r="G111">
            <v>310303</v>
          </cell>
          <cell r="H111">
            <v>1996</v>
          </cell>
          <cell r="I111">
            <v>3</v>
          </cell>
        </row>
        <row r="112">
          <cell r="A112">
            <v>3161</v>
          </cell>
          <cell r="B112">
            <v>5020</v>
          </cell>
          <cell r="C112" t="str">
            <v>ma1</v>
          </cell>
          <cell r="D112" t="str">
            <v>nfc</v>
          </cell>
          <cell r="E112">
            <v>14714</v>
          </cell>
          <cell r="F112">
            <v>10102</v>
          </cell>
          <cell r="G112">
            <v>311202</v>
          </cell>
          <cell r="H112">
            <v>1996</v>
          </cell>
          <cell r="I112">
            <v>3</v>
          </cell>
        </row>
        <row r="113">
          <cell r="A113">
            <v>1895</v>
          </cell>
          <cell r="B113">
            <v>5020</v>
          </cell>
          <cell r="C113" t="str">
            <v>ma1</v>
          </cell>
          <cell r="D113" t="str">
            <v>nfc</v>
          </cell>
          <cell r="E113">
            <v>14602</v>
          </cell>
          <cell r="F113">
            <v>10102</v>
          </cell>
          <cell r="G113">
            <v>311202</v>
          </cell>
          <cell r="H113">
            <v>1997</v>
          </cell>
          <cell r="I113">
            <v>3</v>
          </cell>
        </row>
        <row r="114">
          <cell r="A114">
            <v>494</v>
          </cell>
          <cell r="B114">
            <v>5010</v>
          </cell>
          <cell r="C114" t="str">
            <v>ma1</v>
          </cell>
          <cell r="D114" t="str">
            <v>nfc</v>
          </cell>
          <cell r="E114">
            <v>2901</v>
          </cell>
          <cell r="F114">
            <v>10202</v>
          </cell>
          <cell r="G114">
            <v>310103</v>
          </cell>
          <cell r="H114">
            <v>91983</v>
          </cell>
          <cell r="I114">
            <v>3</v>
          </cell>
        </row>
        <row r="115">
          <cell r="A115">
            <v>355</v>
          </cell>
          <cell r="B115">
            <v>5020</v>
          </cell>
          <cell r="C115" t="str">
            <v>ma1</v>
          </cell>
          <cell r="D115" t="str">
            <v>nfc</v>
          </cell>
          <cell r="E115">
            <v>10602</v>
          </cell>
          <cell r="F115">
            <v>10702</v>
          </cell>
          <cell r="G115">
            <v>300603</v>
          </cell>
          <cell r="H115">
            <v>1975</v>
          </cell>
          <cell r="I115">
            <v>3</v>
          </cell>
        </row>
        <row r="116">
          <cell r="A116">
            <v>1499</v>
          </cell>
          <cell r="B116">
            <v>5020</v>
          </cell>
          <cell r="C116" t="str">
            <v>ma1</v>
          </cell>
          <cell r="D116" t="str">
            <v>nfc</v>
          </cell>
          <cell r="E116">
            <v>2201</v>
          </cell>
          <cell r="F116">
            <v>10102</v>
          </cell>
          <cell r="G116">
            <v>311202</v>
          </cell>
          <cell r="H116">
            <v>1980</v>
          </cell>
          <cell r="I116">
            <v>3</v>
          </cell>
        </row>
        <row r="117">
          <cell r="A117">
            <v>62</v>
          </cell>
          <cell r="B117">
            <v>5010</v>
          </cell>
          <cell r="C117" t="str">
            <v>ma1</v>
          </cell>
          <cell r="D117" t="str">
            <v>nfc</v>
          </cell>
          <cell r="E117">
            <v>1601</v>
          </cell>
          <cell r="F117">
            <v>11001</v>
          </cell>
          <cell r="G117">
            <v>300902</v>
          </cell>
          <cell r="H117">
            <v>198</v>
          </cell>
          <cell r="I117">
            <v>3</v>
          </cell>
        </row>
        <row r="118">
          <cell r="A118">
            <v>7245</v>
          </cell>
          <cell r="B118">
            <v>5010</v>
          </cell>
          <cell r="C118" t="str">
            <v>ma1</v>
          </cell>
          <cell r="D118" t="str">
            <v>nfc</v>
          </cell>
          <cell r="E118">
            <v>2801</v>
          </cell>
          <cell r="F118">
            <v>10102</v>
          </cell>
          <cell r="G118">
            <v>311202</v>
          </cell>
          <cell r="H118">
            <v>111998</v>
          </cell>
          <cell r="I118">
            <v>3</v>
          </cell>
        </row>
        <row r="119">
          <cell r="A119">
            <v>6689</v>
          </cell>
          <cell r="B119">
            <v>5020</v>
          </cell>
          <cell r="C119" t="str">
            <v>ma1</v>
          </cell>
          <cell r="D119" t="str">
            <v>nfc</v>
          </cell>
          <cell r="E119">
            <v>12108</v>
          </cell>
          <cell r="F119">
            <v>10102</v>
          </cell>
          <cell r="G119">
            <v>311202</v>
          </cell>
          <cell r="H119">
            <v>2001</v>
          </cell>
          <cell r="I119">
            <v>1</v>
          </cell>
        </row>
        <row r="120">
          <cell r="A120">
            <v>6692</v>
          </cell>
          <cell r="B120">
            <v>5020</v>
          </cell>
          <cell r="C120" t="str">
            <v>ma1</v>
          </cell>
          <cell r="D120" t="str">
            <v>nfc</v>
          </cell>
          <cell r="E120">
            <v>14602</v>
          </cell>
          <cell r="F120">
            <v>10102</v>
          </cell>
          <cell r="G120">
            <v>311202</v>
          </cell>
          <cell r="H120">
            <v>2001</v>
          </cell>
          <cell r="I120">
            <v>3</v>
          </cell>
        </row>
        <row r="121">
          <cell r="A121">
            <v>7431</v>
          </cell>
          <cell r="B121">
            <v>5020</v>
          </cell>
          <cell r="C121" t="str">
            <v>ma1</v>
          </cell>
          <cell r="D121" t="str">
            <v>nfc</v>
          </cell>
          <cell r="E121">
            <v>14714</v>
          </cell>
          <cell r="F121">
            <v>10102</v>
          </cell>
          <cell r="G121">
            <v>311202</v>
          </cell>
          <cell r="H121">
            <v>2001</v>
          </cell>
          <cell r="I121">
            <v>3</v>
          </cell>
        </row>
        <row r="122">
          <cell r="A122">
            <v>9953</v>
          </cell>
          <cell r="B122">
            <v>5020</v>
          </cell>
          <cell r="C122" t="str">
            <v>ma1</v>
          </cell>
          <cell r="D122" t="str">
            <v>nfc</v>
          </cell>
          <cell r="E122">
            <v>11207</v>
          </cell>
          <cell r="F122">
            <v>10102</v>
          </cell>
          <cell r="G122">
            <v>311202</v>
          </cell>
          <cell r="I122">
            <v>1</v>
          </cell>
        </row>
        <row r="123">
          <cell r="A123">
            <v>7391</v>
          </cell>
          <cell r="B123">
            <v>5020</v>
          </cell>
          <cell r="C123" t="str">
            <v>ma1</v>
          </cell>
          <cell r="D123" t="str">
            <v>nfc</v>
          </cell>
          <cell r="E123">
            <v>14603</v>
          </cell>
          <cell r="F123">
            <v>10702</v>
          </cell>
          <cell r="G123">
            <v>300603</v>
          </cell>
          <cell r="I123">
            <v>1</v>
          </cell>
        </row>
        <row r="124">
          <cell r="A124">
            <v>7370</v>
          </cell>
          <cell r="B124">
            <v>5020</v>
          </cell>
          <cell r="C124" t="str">
            <v>ma1</v>
          </cell>
          <cell r="D124" t="str">
            <v>nfc</v>
          </cell>
          <cell r="E124">
            <v>15206</v>
          </cell>
          <cell r="F124">
            <v>10102</v>
          </cell>
          <cell r="G124">
            <v>311202</v>
          </cell>
          <cell r="H124">
            <v>2000</v>
          </cell>
          <cell r="I124">
            <v>3</v>
          </cell>
        </row>
        <row r="125">
          <cell r="A125">
            <v>88</v>
          </cell>
          <cell r="B125">
            <v>5010</v>
          </cell>
          <cell r="C125" t="str">
            <v>ma1</v>
          </cell>
          <cell r="D125" t="str">
            <v>nfc</v>
          </cell>
          <cell r="E125">
            <v>11402</v>
          </cell>
          <cell r="F125">
            <v>10302</v>
          </cell>
          <cell r="G125">
            <v>280203</v>
          </cell>
          <cell r="H125">
            <v>71996</v>
          </cell>
          <cell r="I125">
            <v>3</v>
          </cell>
        </row>
        <row r="126">
          <cell r="A126">
            <v>6525</v>
          </cell>
          <cell r="B126">
            <v>5220</v>
          </cell>
          <cell r="C126" t="str">
            <v>ma1</v>
          </cell>
          <cell r="D126" t="str">
            <v>nfc</v>
          </cell>
          <cell r="E126">
            <v>11402</v>
          </cell>
          <cell r="F126">
            <v>10102</v>
          </cell>
          <cell r="G126">
            <v>311202</v>
          </cell>
          <cell r="H126">
            <v>1989</v>
          </cell>
          <cell r="I126">
            <v>3</v>
          </cell>
        </row>
        <row r="127">
          <cell r="A127">
            <v>1118</v>
          </cell>
          <cell r="B127">
            <v>5239</v>
          </cell>
          <cell r="C127" t="str">
            <v>mp1</v>
          </cell>
          <cell r="D127" t="str">
            <v>nfc</v>
          </cell>
          <cell r="E127">
            <v>200</v>
          </cell>
          <cell r="F127">
            <v>10102</v>
          </cell>
          <cell r="G127">
            <v>311202</v>
          </cell>
          <cell r="I127">
            <v>3</v>
          </cell>
        </row>
        <row r="128">
          <cell r="A128">
            <v>202</v>
          </cell>
          <cell r="B128">
            <v>5260</v>
          </cell>
          <cell r="C128" t="str">
            <v>mp1</v>
          </cell>
          <cell r="D128" t="str">
            <v>nfc</v>
          </cell>
          <cell r="E128">
            <v>2805</v>
          </cell>
          <cell r="F128">
            <v>10901</v>
          </cell>
          <cell r="G128">
            <v>310802</v>
          </cell>
          <cell r="H128">
            <v>51999</v>
          </cell>
          <cell r="I128">
            <v>2</v>
          </cell>
        </row>
        <row r="129">
          <cell r="A129">
            <v>5920</v>
          </cell>
          <cell r="B129">
            <v>9302</v>
          </cell>
          <cell r="C129" t="str">
            <v>mp1</v>
          </cell>
          <cell r="D129" t="str">
            <v>nfc</v>
          </cell>
          <cell r="E129">
            <v>100</v>
          </cell>
          <cell r="F129">
            <v>10102</v>
          </cell>
          <cell r="G129">
            <v>311202</v>
          </cell>
          <cell r="H129">
            <v>1980</v>
          </cell>
          <cell r="I129">
            <v>1</v>
          </cell>
        </row>
        <row r="130">
          <cell r="A130">
            <v>1706</v>
          </cell>
          <cell r="B130">
            <v>9302</v>
          </cell>
          <cell r="C130" t="str">
            <v>mp1</v>
          </cell>
          <cell r="D130" t="str">
            <v>nfc</v>
          </cell>
          <cell r="E130">
            <v>300</v>
          </cell>
          <cell r="F130">
            <v>10102</v>
          </cell>
          <cell r="G130">
            <v>311202</v>
          </cell>
          <cell r="H130">
            <v>71985</v>
          </cell>
          <cell r="I130">
            <v>1</v>
          </cell>
        </row>
        <row r="131">
          <cell r="A131">
            <v>8097</v>
          </cell>
          <cell r="B131">
            <v>8532</v>
          </cell>
          <cell r="C131" t="str">
            <v>mp1</v>
          </cell>
          <cell r="D131" t="str">
            <v>nfc</v>
          </cell>
          <cell r="E131">
            <v>3002</v>
          </cell>
          <cell r="F131">
            <v>10502</v>
          </cell>
          <cell r="G131">
            <v>300403</v>
          </cell>
          <cell r="H131">
            <v>111998</v>
          </cell>
          <cell r="I131">
            <v>8</v>
          </cell>
        </row>
        <row r="132">
          <cell r="A132">
            <v>5872</v>
          </cell>
          <cell r="B132">
            <v>9302</v>
          </cell>
          <cell r="C132" t="str">
            <v>mp1</v>
          </cell>
          <cell r="D132" t="str">
            <v>nfc</v>
          </cell>
          <cell r="E132">
            <v>200</v>
          </cell>
          <cell r="F132">
            <v>10102</v>
          </cell>
          <cell r="G132">
            <v>311202</v>
          </cell>
          <cell r="H132">
            <v>31998</v>
          </cell>
          <cell r="I132">
            <v>1</v>
          </cell>
        </row>
        <row r="133">
          <cell r="A133">
            <v>8712</v>
          </cell>
          <cell r="B133">
            <v>9302</v>
          </cell>
          <cell r="C133" t="str">
            <v>mp1</v>
          </cell>
          <cell r="D133" t="str">
            <v>nfc</v>
          </cell>
          <cell r="E133">
            <v>300</v>
          </cell>
          <cell r="F133">
            <v>10102</v>
          </cell>
          <cell r="G133">
            <v>311202</v>
          </cell>
          <cell r="H133">
            <v>81992</v>
          </cell>
          <cell r="I133">
            <v>1</v>
          </cell>
        </row>
        <row r="134">
          <cell r="A134">
            <v>1857</v>
          </cell>
          <cell r="B134">
            <v>9241</v>
          </cell>
          <cell r="C134" t="str">
            <v>mp1</v>
          </cell>
          <cell r="D134" t="str">
            <v>nfc</v>
          </cell>
          <cell r="E134">
            <v>14603</v>
          </cell>
          <cell r="F134">
            <v>10102</v>
          </cell>
          <cell r="G134">
            <v>311202</v>
          </cell>
          <cell r="H134">
            <v>71995</v>
          </cell>
          <cell r="I134">
            <v>3</v>
          </cell>
        </row>
        <row r="135">
          <cell r="A135">
            <v>95</v>
          </cell>
          <cell r="B135">
            <v>9241</v>
          </cell>
          <cell r="C135" t="str">
            <v>mp1</v>
          </cell>
          <cell r="D135" t="str">
            <v>nfc</v>
          </cell>
          <cell r="E135">
            <v>14603</v>
          </cell>
          <cell r="F135">
            <v>10102</v>
          </cell>
          <cell r="G135">
            <v>311202</v>
          </cell>
          <cell r="H135">
            <v>61968</v>
          </cell>
          <cell r="I135">
            <v>3</v>
          </cell>
        </row>
        <row r="136">
          <cell r="A136">
            <v>95</v>
          </cell>
          <cell r="B136">
            <v>9241</v>
          </cell>
          <cell r="C136" t="str">
            <v>mp1</v>
          </cell>
          <cell r="D136" t="str">
            <v>nfc</v>
          </cell>
          <cell r="E136">
            <v>14603</v>
          </cell>
        </row>
        <row r="137">
          <cell r="A137">
            <v>8772</v>
          </cell>
          <cell r="B137">
            <v>9302</v>
          </cell>
          <cell r="C137" t="str">
            <v>mp1</v>
          </cell>
          <cell r="D137" t="str">
            <v>nfc</v>
          </cell>
          <cell r="E137">
            <v>300</v>
          </cell>
          <cell r="F137">
            <v>10102</v>
          </cell>
          <cell r="G137">
            <v>311202</v>
          </cell>
          <cell r="H137">
            <v>11997</v>
          </cell>
          <cell r="I137">
            <v>1</v>
          </cell>
        </row>
        <row r="138">
          <cell r="A138">
            <v>8899</v>
          </cell>
          <cell r="B138">
            <v>9249</v>
          </cell>
          <cell r="C138" t="str">
            <v>mp1</v>
          </cell>
          <cell r="D138" t="str">
            <v>nfc</v>
          </cell>
          <cell r="E138">
            <v>14603</v>
          </cell>
          <cell r="F138">
            <v>10102</v>
          </cell>
          <cell r="G138">
            <v>311202</v>
          </cell>
          <cell r="H138">
            <v>1981</v>
          </cell>
          <cell r="I138">
            <v>1</v>
          </cell>
        </row>
        <row r="139">
          <cell r="A139">
            <v>5345</v>
          </cell>
          <cell r="B139">
            <v>9302</v>
          </cell>
          <cell r="C139" t="str">
            <v>mp1</v>
          </cell>
          <cell r="D139" t="str">
            <v>nfc</v>
          </cell>
          <cell r="E139">
            <v>14711</v>
          </cell>
          <cell r="F139">
            <v>10102</v>
          </cell>
          <cell r="G139">
            <v>311202</v>
          </cell>
          <cell r="I139">
            <v>3</v>
          </cell>
        </row>
        <row r="140">
          <cell r="A140">
            <v>9203</v>
          </cell>
          <cell r="B140">
            <v>9302</v>
          </cell>
          <cell r="C140" t="str">
            <v>mp1</v>
          </cell>
          <cell r="D140" t="str">
            <v>nfc</v>
          </cell>
          <cell r="F140">
            <v>10402</v>
          </cell>
          <cell r="G140">
            <v>311202</v>
          </cell>
          <cell r="H140">
            <v>42002</v>
          </cell>
          <cell r="I140">
            <v>1</v>
          </cell>
        </row>
        <row r="141">
          <cell r="A141">
            <v>8491</v>
          </cell>
          <cell r="B141">
            <v>9302</v>
          </cell>
          <cell r="C141" t="str">
            <v>mp1</v>
          </cell>
          <cell r="D141" t="str">
            <v>nfc</v>
          </cell>
          <cell r="E141">
            <v>300</v>
          </cell>
          <cell r="F141">
            <v>10102</v>
          </cell>
          <cell r="G141">
            <v>311202</v>
          </cell>
          <cell r="H141">
            <v>1999</v>
          </cell>
          <cell r="I141">
            <v>2</v>
          </cell>
        </row>
        <row r="142">
          <cell r="A142">
            <v>8976</v>
          </cell>
          <cell r="B142">
            <v>9302</v>
          </cell>
          <cell r="C142" t="str">
            <v>mp1</v>
          </cell>
          <cell r="D142" t="str">
            <v>nfc</v>
          </cell>
          <cell r="E142">
            <v>14701</v>
          </cell>
          <cell r="F142">
            <v>10102</v>
          </cell>
          <cell r="G142">
            <v>311202</v>
          </cell>
          <cell r="I142">
            <v>1</v>
          </cell>
        </row>
        <row r="143">
          <cell r="A143">
            <v>538</v>
          </cell>
          <cell r="B143">
            <v>9303</v>
          </cell>
          <cell r="C143" t="str">
            <v>mp1</v>
          </cell>
          <cell r="D143" t="str">
            <v>nfc</v>
          </cell>
          <cell r="E143">
            <v>400</v>
          </cell>
          <cell r="F143">
            <v>10102</v>
          </cell>
          <cell r="G143">
            <v>311202</v>
          </cell>
          <cell r="I143">
            <v>3</v>
          </cell>
        </row>
        <row r="144">
          <cell r="A144">
            <v>538</v>
          </cell>
          <cell r="B144">
            <v>9303</v>
          </cell>
          <cell r="C144" t="str">
            <v>mp1</v>
          </cell>
          <cell r="D144" t="str">
            <v>nfc</v>
          </cell>
          <cell r="E144">
            <v>400</v>
          </cell>
          <cell r="F144">
            <v>10102</v>
          </cell>
          <cell r="G144">
            <v>311202</v>
          </cell>
          <cell r="I144">
            <v>3</v>
          </cell>
        </row>
        <row r="145">
          <cell r="A145">
            <v>1168</v>
          </cell>
          <cell r="B145">
            <v>7412</v>
          </cell>
          <cell r="C145" t="str">
            <v>ps1</v>
          </cell>
          <cell r="D145" t="str">
            <v>nfc</v>
          </cell>
          <cell r="E145">
            <v>802</v>
          </cell>
          <cell r="F145">
            <v>10102</v>
          </cell>
          <cell r="G145">
            <v>311202</v>
          </cell>
          <cell r="H145">
            <v>101982</v>
          </cell>
          <cell r="I145">
            <v>2</v>
          </cell>
        </row>
        <row r="146">
          <cell r="A146">
            <v>8487</v>
          </cell>
          <cell r="B146">
            <v>7411</v>
          </cell>
          <cell r="C146" t="str">
            <v>ps1</v>
          </cell>
          <cell r="D146" t="str">
            <v>nfc</v>
          </cell>
          <cell r="E146">
            <v>100</v>
          </cell>
          <cell r="F146">
            <v>10102</v>
          </cell>
          <cell r="G146">
            <v>311202</v>
          </cell>
          <cell r="H146">
            <v>1999</v>
          </cell>
          <cell r="I146">
            <v>1</v>
          </cell>
        </row>
        <row r="147">
          <cell r="A147">
            <v>1190</v>
          </cell>
          <cell r="B147">
            <v>7411</v>
          </cell>
          <cell r="C147" t="str">
            <v>ps1</v>
          </cell>
          <cell r="D147" t="str">
            <v>nfc</v>
          </cell>
          <cell r="E147">
            <v>100</v>
          </cell>
          <cell r="F147">
            <v>10102</v>
          </cell>
          <cell r="G147">
            <v>311202</v>
          </cell>
          <cell r="I147">
            <v>2</v>
          </cell>
        </row>
        <row r="148">
          <cell r="A148">
            <v>6567</v>
          </cell>
          <cell r="B148">
            <v>7411</v>
          </cell>
          <cell r="C148" t="str">
            <v>ps1</v>
          </cell>
          <cell r="D148" t="str">
            <v>nfc</v>
          </cell>
          <cell r="E148">
            <v>100</v>
          </cell>
          <cell r="F148">
            <v>11001</v>
          </cell>
          <cell r="G148">
            <v>300902</v>
          </cell>
          <cell r="H148">
            <v>71998</v>
          </cell>
          <cell r="I148">
            <v>3</v>
          </cell>
        </row>
        <row r="149">
          <cell r="A149">
            <v>8005</v>
          </cell>
          <cell r="B149">
            <v>7411</v>
          </cell>
          <cell r="C149" t="str">
            <v>ps1</v>
          </cell>
          <cell r="D149" t="str">
            <v>nfc</v>
          </cell>
          <cell r="E149">
            <v>100</v>
          </cell>
          <cell r="F149">
            <v>10102</v>
          </cell>
          <cell r="G149">
            <v>311202</v>
          </cell>
          <cell r="I149">
            <v>2</v>
          </cell>
        </row>
        <row r="150">
          <cell r="A150">
            <v>7511</v>
          </cell>
          <cell r="B150">
            <v>7411</v>
          </cell>
          <cell r="C150" t="str">
            <v>ps1</v>
          </cell>
          <cell r="D150" t="str">
            <v>nfc</v>
          </cell>
          <cell r="E150">
            <v>100</v>
          </cell>
          <cell r="F150">
            <v>10102</v>
          </cell>
          <cell r="G150">
            <v>311202</v>
          </cell>
          <cell r="I150">
            <v>1</v>
          </cell>
        </row>
        <row r="151">
          <cell r="A151">
            <v>7635</v>
          </cell>
          <cell r="B151">
            <v>7020</v>
          </cell>
          <cell r="C151" t="str">
            <v>re1</v>
          </cell>
          <cell r="D151" t="str">
            <v>nfc</v>
          </cell>
          <cell r="E151">
            <v>10602</v>
          </cell>
          <cell r="F151">
            <v>11101</v>
          </cell>
          <cell r="G151">
            <v>311002</v>
          </cell>
          <cell r="H151">
            <v>111998</v>
          </cell>
          <cell r="I151">
            <v>2</v>
          </cell>
        </row>
        <row r="152">
          <cell r="A152">
            <v>478</v>
          </cell>
          <cell r="B152">
            <v>7010</v>
          </cell>
          <cell r="C152" t="str">
            <v>re1</v>
          </cell>
          <cell r="D152" t="str">
            <v>nfc</v>
          </cell>
          <cell r="E152">
            <v>11402</v>
          </cell>
          <cell r="F152">
            <v>10402</v>
          </cell>
          <cell r="G152">
            <v>311203</v>
          </cell>
          <cell r="I152">
            <v>5</v>
          </cell>
        </row>
        <row r="153">
          <cell r="A153">
            <v>8299</v>
          </cell>
          <cell r="B153">
            <v>5520</v>
          </cell>
          <cell r="C153" t="str">
            <v>res1</v>
          </cell>
          <cell r="D153" t="str">
            <v>nfc</v>
          </cell>
          <cell r="E153">
            <v>7200</v>
          </cell>
          <cell r="F153">
            <v>10102</v>
          </cell>
          <cell r="G153">
            <v>311202</v>
          </cell>
          <cell r="H153">
            <v>1994</v>
          </cell>
          <cell r="I153">
            <v>1</v>
          </cell>
        </row>
        <row r="154">
          <cell r="A154">
            <v>1134</v>
          </cell>
          <cell r="B154">
            <v>5520</v>
          </cell>
          <cell r="C154" t="str">
            <v>res1</v>
          </cell>
          <cell r="D154" t="str">
            <v>nfc</v>
          </cell>
          <cell r="F154">
            <v>10901</v>
          </cell>
          <cell r="G154">
            <v>310802</v>
          </cell>
          <cell r="H154">
            <v>1992</v>
          </cell>
          <cell r="I154">
            <v>3</v>
          </cell>
        </row>
        <row r="155">
          <cell r="A155">
            <v>8967</v>
          </cell>
          <cell r="B155">
            <v>5520</v>
          </cell>
          <cell r="C155" t="str">
            <v>res1</v>
          </cell>
          <cell r="D155" t="str">
            <v>nfc</v>
          </cell>
          <cell r="E155">
            <v>14704</v>
          </cell>
          <cell r="F155">
            <v>10102</v>
          </cell>
          <cell r="G155">
            <v>311202</v>
          </cell>
          <cell r="H155">
            <v>101999</v>
          </cell>
          <cell r="I155">
            <v>3</v>
          </cell>
        </row>
        <row r="156">
          <cell r="A156">
            <v>1328</v>
          </cell>
          <cell r="B156">
            <v>5520</v>
          </cell>
          <cell r="C156" t="str">
            <v>res1</v>
          </cell>
          <cell r="D156" t="str">
            <v>nfc</v>
          </cell>
          <cell r="E156">
            <v>14704</v>
          </cell>
          <cell r="F156">
            <v>10102</v>
          </cell>
          <cell r="G156">
            <v>311202</v>
          </cell>
          <cell r="I156">
            <v>3</v>
          </cell>
        </row>
        <row r="157">
          <cell r="A157">
            <v>7579</v>
          </cell>
          <cell r="B157">
            <v>5520</v>
          </cell>
          <cell r="C157" t="str">
            <v>res1</v>
          </cell>
          <cell r="D157" t="str">
            <v>nfc</v>
          </cell>
          <cell r="E157">
            <v>14704</v>
          </cell>
          <cell r="F157">
            <v>10102</v>
          </cell>
          <cell r="G157">
            <v>311202</v>
          </cell>
          <cell r="H157">
            <v>12001</v>
          </cell>
          <cell r="I157">
            <v>3</v>
          </cell>
        </row>
        <row r="158">
          <cell r="A158">
            <v>6725</v>
          </cell>
          <cell r="B158">
            <v>5520</v>
          </cell>
          <cell r="C158" t="str">
            <v>res1</v>
          </cell>
          <cell r="D158" t="str">
            <v>nfc</v>
          </cell>
          <cell r="E158">
            <v>7800</v>
          </cell>
          <cell r="F158">
            <v>10102</v>
          </cell>
          <cell r="G158">
            <v>311202</v>
          </cell>
          <cell r="H158">
            <v>31994</v>
          </cell>
          <cell r="I158">
            <v>1</v>
          </cell>
        </row>
        <row r="159">
          <cell r="A159">
            <v>1020</v>
          </cell>
          <cell r="B159">
            <v>5520</v>
          </cell>
          <cell r="C159" t="str">
            <v>res1</v>
          </cell>
          <cell r="D159" t="str">
            <v>nfc</v>
          </cell>
          <cell r="E159">
            <v>10602</v>
          </cell>
          <cell r="F159">
            <v>11001</v>
          </cell>
          <cell r="G159">
            <v>300902</v>
          </cell>
          <cell r="H159">
            <v>1987</v>
          </cell>
          <cell r="I159">
            <v>3</v>
          </cell>
        </row>
        <row r="160">
          <cell r="A160">
            <v>8965</v>
          </cell>
          <cell r="B160">
            <v>5520</v>
          </cell>
          <cell r="C160" t="str">
            <v>res1</v>
          </cell>
          <cell r="D160" t="str">
            <v>nfc</v>
          </cell>
          <cell r="E160">
            <v>14704</v>
          </cell>
          <cell r="F160">
            <v>10102</v>
          </cell>
          <cell r="G160">
            <v>311202</v>
          </cell>
          <cell r="I160">
            <v>3</v>
          </cell>
        </row>
        <row r="161">
          <cell r="A161">
            <v>8891</v>
          </cell>
          <cell r="B161">
            <v>5520</v>
          </cell>
          <cell r="C161" t="str">
            <v>res1</v>
          </cell>
          <cell r="D161" t="str">
            <v>nfc</v>
          </cell>
          <cell r="E161">
            <v>14602</v>
          </cell>
          <cell r="F161">
            <v>10901</v>
          </cell>
          <cell r="G161">
            <v>310802</v>
          </cell>
          <cell r="H161">
            <v>52000</v>
          </cell>
          <cell r="I161">
            <v>2</v>
          </cell>
        </row>
        <row r="162">
          <cell r="A162">
            <v>1020</v>
          </cell>
          <cell r="B162">
            <v>5520</v>
          </cell>
          <cell r="C162" t="str">
            <v>res1</v>
          </cell>
          <cell r="D162" t="str">
            <v>nfc</v>
          </cell>
          <cell r="E162">
            <v>10602</v>
          </cell>
          <cell r="F162">
            <v>11001</v>
          </cell>
          <cell r="G162">
            <v>300902</v>
          </cell>
          <cell r="H162">
            <v>1987</v>
          </cell>
          <cell r="I162">
            <v>3</v>
          </cell>
        </row>
        <row r="163">
          <cell r="A163">
            <v>145</v>
          </cell>
          <cell r="B163">
            <v>5520</v>
          </cell>
          <cell r="C163" t="str">
            <v>res1</v>
          </cell>
          <cell r="D163" t="str">
            <v>nfc</v>
          </cell>
          <cell r="E163">
            <v>14704</v>
          </cell>
          <cell r="F163">
            <v>10102</v>
          </cell>
          <cell r="G163">
            <v>311202</v>
          </cell>
          <cell r="I163">
            <v>3</v>
          </cell>
        </row>
        <row r="164">
          <cell r="A164">
            <v>1414</v>
          </cell>
          <cell r="B164">
            <v>5520</v>
          </cell>
          <cell r="C164" t="str">
            <v>res1</v>
          </cell>
          <cell r="D164" t="str">
            <v>nfc</v>
          </cell>
          <cell r="E164">
            <v>14704</v>
          </cell>
          <cell r="F164">
            <v>10102</v>
          </cell>
          <cell r="G164">
            <v>311202</v>
          </cell>
          <cell r="H164">
            <v>1999</v>
          </cell>
          <cell r="I164">
            <v>3</v>
          </cell>
        </row>
        <row r="165">
          <cell r="A165">
            <v>1762</v>
          </cell>
          <cell r="B165">
            <v>5520</v>
          </cell>
          <cell r="C165" t="str">
            <v>res1</v>
          </cell>
          <cell r="D165" t="str">
            <v>nfc</v>
          </cell>
          <cell r="E165">
            <v>14704</v>
          </cell>
          <cell r="F165">
            <v>11101</v>
          </cell>
          <cell r="G165">
            <v>311002</v>
          </cell>
          <cell r="H165">
            <v>101992</v>
          </cell>
          <cell r="I165">
            <v>3</v>
          </cell>
        </row>
        <row r="166">
          <cell r="A166">
            <v>1020</v>
          </cell>
          <cell r="B166">
            <v>5520</v>
          </cell>
          <cell r="C166" t="str">
            <v>res1</v>
          </cell>
          <cell r="D166" t="str">
            <v>nfc</v>
          </cell>
          <cell r="E166">
            <v>10602</v>
          </cell>
          <cell r="F166">
            <v>11001</v>
          </cell>
          <cell r="G166">
            <v>300902</v>
          </cell>
          <cell r="H166">
            <v>1987</v>
          </cell>
          <cell r="I166">
            <v>3</v>
          </cell>
        </row>
        <row r="167">
          <cell r="A167">
            <v>7579</v>
          </cell>
          <cell r="B167">
            <v>5520</v>
          </cell>
          <cell r="C167" t="str">
            <v>res1</v>
          </cell>
          <cell r="D167" t="str">
            <v>nfc</v>
          </cell>
          <cell r="E167">
            <v>14704</v>
          </cell>
          <cell r="F167">
            <v>10102</v>
          </cell>
          <cell r="G167">
            <v>311202</v>
          </cell>
          <cell r="H167">
            <v>12001</v>
          </cell>
          <cell r="I167">
            <v>3</v>
          </cell>
        </row>
        <row r="168">
          <cell r="A168">
            <v>6725</v>
          </cell>
          <cell r="B168">
            <v>5520</v>
          </cell>
          <cell r="C168" t="str">
            <v>res1</v>
          </cell>
          <cell r="D168" t="str">
            <v>nfc</v>
          </cell>
          <cell r="E168">
            <v>7800</v>
          </cell>
          <cell r="F168">
            <v>10102</v>
          </cell>
          <cell r="G168">
            <v>311202</v>
          </cell>
          <cell r="H168">
            <v>31994</v>
          </cell>
          <cell r="I168">
            <v>1</v>
          </cell>
        </row>
        <row r="169">
          <cell r="A169">
            <v>8965</v>
          </cell>
          <cell r="B169">
            <v>5520</v>
          </cell>
          <cell r="C169" t="str">
            <v>res1</v>
          </cell>
          <cell r="D169" t="str">
            <v>nfc</v>
          </cell>
          <cell r="E169">
            <v>14704</v>
          </cell>
          <cell r="F169">
            <v>10102</v>
          </cell>
          <cell r="G169">
            <v>311202</v>
          </cell>
          <cell r="I169">
            <v>3</v>
          </cell>
        </row>
        <row r="170">
          <cell r="A170">
            <v>8891</v>
          </cell>
          <cell r="B170">
            <v>5520</v>
          </cell>
          <cell r="C170" t="str">
            <v>res1</v>
          </cell>
          <cell r="D170" t="str">
            <v>nfc</v>
          </cell>
          <cell r="E170">
            <v>14602</v>
          </cell>
          <cell r="F170">
            <v>10901</v>
          </cell>
          <cell r="G170">
            <v>310802</v>
          </cell>
          <cell r="H170">
            <v>52000</v>
          </cell>
          <cell r="I170">
            <v>2</v>
          </cell>
        </row>
        <row r="171">
          <cell r="A171">
            <v>8299</v>
          </cell>
          <cell r="B171">
            <v>5520</v>
          </cell>
          <cell r="C171" t="str">
            <v>res1</v>
          </cell>
          <cell r="D171" t="str">
            <v>nfc</v>
          </cell>
          <cell r="E171">
            <v>7200</v>
          </cell>
          <cell r="F171">
            <v>10102</v>
          </cell>
          <cell r="G171">
            <v>311202</v>
          </cell>
          <cell r="H171">
            <v>1994</v>
          </cell>
          <cell r="I171">
            <v>1</v>
          </cell>
        </row>
        <row r="172">
          <cell r="A172">
            <v>1134</v>
          </cell>
          <cell r="B172">
            <v>5520</v>
          </cell>
          <cell r="C172" t="str">
            <v>res1</v>
          </cell>
          <cell r="D172" t="str">
            <v>nfc</v>
          </cell>
          <cell r="F172">
            <v>10901</v>
          </cell>
          <cell r="G172">
            <v>310802</v>
          </cell>
          <cell r="H172">
            <v>1992</v>
          </cell>
          <cell r="I172">
            <v>3</v>
          </cell>
        </row>
        <row r="173">
          <cell r="A173">
            <v>8967</v>
          </cell>
          <cell r="B173">
            <v>5520</v>
          </cell>
          <cell r="C173" t="str">
            <v>res1</v>
          </cell>
          <cell r="D173" t="str">
            <v>nfc</v>
          </cell>
          <cell r="E173">
            <v>14704</v>
          </cell>
          <cell r="F173">
            <v>10102</v>
          </cell>
          <cell r="G173">
            <v>311202</v>
          </cell>
          <cell r="H173">
            <v>101999</v>
          </cell>
          <cell r="I173">
            <v>3</v>
          </cell>
        </row>
        <row r="174">
          <cell r="A174">
            <v>1328</v>
          </cell>
          <cell r="B174">
            <v>5520</v>
          </cell>
          <cell r="C174" t="str">
            <v>res1</v>
          </cell>
          <cell r="D174" t="str">
            <v>nfc</v>
          </cell>
          <cell r="E174">
            <v>14704</v>
          </cell>
          <cell r="F174">
            <v>10102</v>
          </cell>
          <cell r="G174">
            <v>311202</v>
          </cell>
          <cell r="I174">
            <v>3</v>
          </cell>
        </row>
        <row r="175">
          <cell r="A175">
            <v>2011</v>
          </cell>
          <cell r="B175">
            <v>5520</v>
          </cell>
          <cell r="C175" t="str">
            <v>res1</v>
          </cell>
          <cell r="D175" t="str">
            <v>nfc</v>
          </cell>
          <cell r="E175">
            <v>2807</v>
          </cell>
          <cell r="F175">
            <v>10102</v>
          </cell>
          <cell r="G175">
            <v>311202</v>
          </cell>
          <cell r="H175">
            <v>101998</v>
          </cell>
          <cell r="I175">
            <v>1</v>
          </cell>
        </row>
        <row r="176">
          <cell r="A176">
            <v>3341</v>
          </cell>
          <cell r="B176">
            <v>5520</v>
          </cell>
          <cell r="C176" t="str">
            <v>res1</v>
          </cell>
          <cell r="D176" t="str">
            <v>nfc</v>
          </cell>
          <cell r="E176">
            <v>14605</v>
          </cell>
          <cell r="F176">
            <v>10102</v>
          </cell>
          <cell r="G176">
            <v>311202</v>
          </cell>
          <cell r="I176">
            <v>8</v>
          </cell>
        </row>
        <row r="177">
          <cell r="A177">
            <v>5883</v>
          </cell>
          <cell r="B177">
            <v>5520</v>
          </cell>
          <cell r="C177" t="str">
            <v>res1</v>
          </cell>
          <cell r="D177" t="str">
            <v>nfc</v>
          </cell>
          <cell r="E177">
            <v>14704</v>
          </cell>
          <cell r="F177">
            <v>10102</v>
          </cell>
          <cell r="G177">
            <v>311202</v>
          </cell>
          <cell r="I177">
            <v>3</v>
          </cell>
          <cell r="J177">
            <v>49</v>
          </cell>
        </row>
        <row r="178">
          <cell r="A178">
            <v>1903</v>
          </cell>
          <cell r="B178">
            <v>5520</v>
          </cell>
          <cell r="C178" t="str">
            <v>res1</v>
          </cell>
          <cell r="D178" t="str">
            <v>nfc</v>
          </cell>
          <cell r="E178">
            <v>100</v>
          </cell>
          <cell r="F178">
            <v>10801</v>
          </cell>
          <cell r="G178">
            <v>300902</v>
          </cell>
          <cell r="H178">
            <v>91970</v>
          </cell>
          <cell r="I178">
            <v>1</v>
          </cell>
        </row>
        <row r="179">
          <cell r="A179">
            <v>8645</v>
          </cell>
          <cell r="B179">
            <v>5520</v>
          </cell>
          <cell r="C179" t="str">
            <v>res1</v>
          </cell>
          <cell r="D179" t="str">
            <v>nfc</v>
          </cell>
          <cell r="E179">
            <v>100</v>
          </cell>
          <cell r="F179">
            <v>10102</v>
          </cell>
          <cell r="G179">
            <v>311202</v>
          </cell>
          <cell r="H179">
            <v>121962</v>
          </cell>
          <cell r="I179">
            <v>1</v>
          </cell>
        </row>
        <row r="180">
          <cell r="A180">
            <v>9033</v>
          </cell>
          <cell r="B180">
            <v>5520</v>
          </cell>
          <cell r="C180" t="str">
            <v>res1</v>
          </cell>
          <cell r="D180" t="str">
            <v>nfc</v>
          </cell>
          <cell r="E180">
            <v>4201</v>
          </cell>
          <cell r="F180">
            <v>11101</v>
          </cell>
          <cell r="G180">
            <v>311002</v>
          </cell>
          <cell r="H180">
            <v>112001</v>
          </cell>
          <cell r="I180">
            <v>1</v>
          </cell>
        </row>
        <row r="181">
          <cell r="A181">
            <v>8180</v>
          </cell>
          <cell r="B181">
            <v>5520</v>
          </cell>
          <cell r="C181" t="str">
            <v>res1</v>
          </cell>
          <cell r="D181" t="str">
            <v>nfc</v>
          </cell>
          <cell r="E181">
            <v>3001</v>
          </cell>
          <cell r="F181">
            <v>10702</v>
          </cell>
          <cell r="G181">
            <v>300603</v>
          </cell>
          <cell r="H181">
            <v>11999</v>
          </cell>
          <cell r="I181">
            <v>3</v>
          </cell>
        </row>
        <row r="182">
          <cell r="A182">
            <v>5919</v>
          </cell>
          <cell r="B182">
            <v>5520</v>
          </cell>
          <cell r="C182" t="str">
            <v>res1</v>
          </cell>
          <cell r="D182" t="str">
            <v>nfc</v>
          </cell>
          <cell r="E182">
            <v>15102</v>
          </cell>
          <cell r="F182">
            <v>10102</v>
          </cell>
          <cell r="G182">
            <v>311202</v>
          </cell>
          <cell r="H182">
            <v>112001</v>
          </cell>
          <cell r="I182">
            <v>1</v>
          </cell>
        </row>
        <row r="183">
          <cell r="A183">
            <v>8373</v>
          </cell>
          <cell r="B183">
            <v>5520</v>
          </cell>
          <cell r="C183" t="str">
            <v>res1</v>
          </cell>
          <cell r="D183" t="str">
            <v>nfc</v>
          </cell>
          <cell r="E183">
            <v>200</v>
          </cell>
          <cell r="F183">
            <v>10102</v>
          </cell>
          <cell r="G183">
            <v>311202</v>
          </cell>
          <cell r="H183">
            <v>91999</v>
          </cell>
          <cell r="I183">
            <v>1</v>
          </cell>
        </row>
        <row r="184">
          <cell r="A184">
            <v>8400</v>
          </cell>
          <cell r="B184">
            <v>5520</v>
          </cell>
          <cell r="C184" t="str">
            <v>res1</v>
          </cell>
          <cell r="D184" t="str">
            <v>nfc</v>
          </cell>
          <cell r="E184">
            <v>14702</v>
          </cell>
          <cell r="F184">
            <v>10901</v>
          </cell>
          <cell r="G184">
            <v>310802</v>
          </cell>
          <cell r="H184">
            <v>101993</v>
          </cell>
          <cell r="I184">
            <v>1</v>
          </cell>
        </row>
        <row r="185">
          <cell r="A185">
            <v>7518</v>
          </cell>
          <cell r="B185">
            <v>5520</v>
          </cell>
          <cell r="C185" t="str">
            <v>res1</v>
          </cell>
          <cell r="D185" t="str">
            <v>nfc</v>
          </cell>
          <cell r="E185">
            <v>2901</v>
          </cell>
          <cell r="F185">
            <v>10102</v>
          </cell>
          <cell r="G185">
            <v>311202</v>
          </cell>
          <cell r="H185">
            <v>1982</v>
          </cell>
          <cell r="I185">
            <v>1</v>
          </cell>
        </row>
        <row r="186">
          <cell r="A186">
            <v>8645</v>
          </cell>
          <cell r="B186">
            <v>5520</v>
          </cell>
          <cell r="C186" t="str">
            <v>res1</v>
          </cell>
          <cell r="D186" t="str">
            <v>nfc</v>
          </cell>
          <cell r="E186">
            <v>100</v>
          </cell>
          <cell r="F186">
            <v>10102</v>
          </cell>
          <cell r="G186">
            <v>311202</v>
          </cell>
          <cell r="H186">
            <v>121962</v>
          </cell>
          <cell r="I186">
            <v>1</v>
          </cell>
        </row>
        <row r="187">
          <cell r="A187">
            <v>9033</v>
          </cell>
          <cell r="B187">
            <v>5520</v>
          </cell>
          <cell r="C187" t="str">
            <v>res1</v>
          </cell>
          <cell r="D187" t="str">
            <v>nfc</v>
          </cell>
          <cell r="E187">
            <v>4201</v>
          </cell>
          <cell r="F187">
            <v>11101</v>
          </cell>
          <cell r="G187">
            <v>311002</v>
          </cell>
          <cell r="H187">
            <v>112001</v>
          </cell>
          <cell r="I187">
            <v>1</v>
          </cell>
        </row>
        <row r="188">
          <cell r="A188">
            <v>8180</v>
          </cell>
          <cell r="B188">
            <v>5520</v>
          </cell>
          <cell r="C188" t="str">
            <v>res1</v>
          </cell>
          <cell r="D188" t="str">
            <v>nfc</v>
          </cell>
          <cell r="E188">
            <v>3001</v>
          </cell>
          <cell r="F188">
            <v>10702</v>
          </cell>
          <cell r="G188">
            <v>300603</v>
          </cell>
          <cell r="H188">
            <v>11999</v>
          </cell>
          <cell r="I188">
            <v>3</v>
          </cell>
        </row>
        <row r="189">
          <cell r="A189">
            <v>5919</v>
          </cell>
          <cell r="B189">
            <v>5520</v>
          </cell>
          <cell r="C189" t="str">
            <v>res1</v>
          </cell>
          <cell r="D189" t="str">
            <v>nfc</v>
          </cell>
          <cell r="E189">
            <v>15102</v>
          </cell>
          <cell r="F189">
            <v>10102</v>
          </cell>
          <cell r="G189">
            <v>311202</v>
          </cell>
          <cell r="H189">
            <v>112001</v>
          </cell>
          <cell r="I189">
            <v>1</v>
          </cell>
        </row>
        <row r="190">
          <cell r="A190">
            <v>8373</v>
          </cell>
          <cell r="B190">
            <v>5520</v>
          </cell>
          <cell r="C190" t="str">
            <v>res1</v>
          </cell>
          <cell r="D190" t="str">
            <v>nfc</v>
          </cell>
          <cell r="E190">
            <v>200</v>
          </cell>
          <cell r="F190">
            <v>10102</v>
          </cell>
          <cell r="G190">
            <v>311202</v>
          </cell>
          <cell r="H190">
            <v>91999</v>
          </cell>
          <cell r="I190">
            <v>1</v>
          </cell>
        </row>
        <row r="191">
          <cell r="A191">
            <v>8400</v>
          </cell>
          <cell r="B191">
            <v>5520</v>
          </cell>
          <cell r="C191" t="str">
            <v>res1</v>
          </cell>
          <cell r="D191" t="str">
            <v>nfc</v>
          </cell>
          <cell r="E191">
            <v>14702</v>
          </cell>
          <cell r="F191">
            <v>10901</v>
          </cell>
          <cell r="G191">
            <v>310802</v>
          </cell>
          <cell r="H191">
            <v>101993</v>
          </cell>
          <cell r="I191">
            <v>1</v>
          </cell>
        </row>
        <row r="192">
          <cell r="A192">
            <v>7518</v>
          </cell>
          <cell r="B192">
            <v>5520</v>
          </cell>
          <cell r="C192" t="str">
            <v>res1</v>
          </cell>
          <cell r="D192" t="str">
            <v>nfc</v>
          </cell>
          <cell r="E192">
            <v>2901</v>
          </cell>
          <cell r="F192">
            <v>10102</v>
          </cell>
          <cell r="G192">
            <v>311202</v>
          </cell>
          <cell r="H192">
            <v>1982</v>
          </cell>
          <cell r="I192">
            <v>1</v>
          </cell>
        </row>
        <row r="193">
          <cell r="A193">
            <v>2011</v>
          </cell>
          <cell r="B193">
            <v>5520</v>
          </cell>
          <cell r="C193" t="str">
            <v>res1</v>
          </cell>
          <cell r="D193" t="str">
            <v>nfc</v>
          </cell>
          <cell r="E193">
            <v>2807</v>
          </cell>
          <cell r="F193">
            <v>10102</v>
          </cell>
          <cell r="G193">
            <v>311202</v>
          </cell>
          <cell r="H193">
            <v>101998</v>
          </cell>
          <cell r="I193">
            <v>1</v>
          </cell>
        </row>
        <row r="194">
          <cell r="A194">
            <v>3341</v>
          </cell>
          <cell r="B194">
            <v>5520</v>
          </cell>
          <cell r="C194" t="str">
            <v>res1</v>
          </cell>
          <cell r="D194" t="str">
            <v>nfc</v>
          </cell>
          <cell r="E194">
            <v>14605</v>
          </cell>
          <cell r="F194">
            <v>10102</v>
          </cell>
          <cell r="G194">
            <v>311202</v>
          </cell>
          <cell r="I194">
            <v>8</v>
          </cell>
        </row>
        <row r="195">
          <cell r="A195">
            <v>5883</v>
          </cell>
          <cell r="B195">
            <v>5520</v>
          </cell>
          <cell r="C195" t="str">
            <v>res1</v>
          </cell>
          <cell r="D195" t="str">
            <v>nfc</v>
          </cell>
          <cell r="E195">
            <v>14704</v>
          </cell>
          <cell r="F195">
            <v>10102</v>
          </cell>
          <cell r="G195">
            <v>311202</v>
          </cell>
          <cell r="I195">
            <v>3</v>
          </cell>
          <cell r="J195">
            <v>49</v>
          </cell>
        </row>
        <row r="196">
          <cell r="A196">
            <v>1903</v>
          </cell>
          <cell r="B196">
            <v>5520</v>
          </cell>
          <cell r="C196" t="str">
            <v>res1</v>
          </cell>
          <cell r="D196" t="str">
            <v>nfc</v>
          </cell>
          <cell r="E196">
            <v>100</v>
          </cell>
          <cell r="F196">
            <v>10801</v>
          </cell>
          <cell r="G196">
            <v>300902</v>
          </cell>
          <cell r="H196">
            <v>91970</v>
          </cell>
          <cell r="I196">
            <v>1</v>
          </cell>
        </row>
        <row r="197">
          <cell r="A197">
            <v>175</v>
          </cell>
          <cell r="B197">
            <v>5520</v>
          </cell>
          <cell r="C197" t="str">
            <v>res2</v>
          </cell>
          <cell r="D197" t="str">
            <v>nfc</v>
          </cell>
          <cell r="E197">
            <v>200</v>
          </cell>
          <cell r="F197">
            <v>10102</v>
          </cell>
          <cell r="G197">
            <v>311202</v>
          </cell>
          <cell r="H197">
            <v>71988</v>
          </cell>
          <cell r="I197">
            <v>3</v>
          </cell>
        </row>
        <row r="198">
          <cell r="A198">
            <v>9939</v>
          </cell>
          <cell r="B198">
            <v>5520</v>
          </cell>
          <cell r="C198" t="str">
            <v>res2</v>
          </cell>
          <cell r="D198" t="str">
            <v>nfc</v>
          </cell>
          <cell r="E198">
            <v>300</v>
          </cell>
          <cell r="F198">
            <v>10102</v>
          </cell>
          <cell r="G198">
            <v>311202</v>
          </cell>
          <cell r="I198">
            <v>3</v>
          </cell>
        </row>
        <row r="199">
          <cell r="A199">
            <v>7960</v>
          </cell>
          <cell r="B199">
            <v>7512</v>
          </cell>
          <cell r="C199" t="str">
            <v>sb</v>
          </cell>
          <cell r="D199" t="str">
            <v>npisb</v>
          </cell>
          <cell r="E199">
            <v>300</v>
          </cell>
          <cell r="F199">
            <v>10702</v>
          </cell>
          <cell r="G199">
            <v>300603</v>
          </cell>
          <cell r="H199">
            <v>2001</v>
          </cell>
          <cell r="J199">
            <v>0</v>
          </cell>
        </row>
        <row r="200">
          <cell r="A200">
            <v>3209</v>
          </cell>
          <cell r="B200">
            <v>9000</v>
          </cell>
          <cell r="C200" t="str">
            <v>sc</v>
          </cell>
          <cell r="D200" t="str">
            <v>npisg</v>
          </cell>
          <cell r="E200">
            <v>802</v>
          </cell>
          <cell r="F200">
            <v>10402</v>
          </cell>
          <cell r="G200">
            <v>310303</v>
          </cell>
          <cell r="H200">
            <v>51996</v>
          </cell>
          <cell r="I200">
            <v>8</v>
          </cell>
          <cell r="J200">
            <v>0</v>
          </cell>
        </row>
        <row r="201">
          <cell r="A201">
            <v>7841</v>
          </cell>
          <cell r="B201">
            <v>8519</v>
          </cell>
          <cell r="C201" t="str">
            <v>ss</v>
          </cell>
          <cell r="D201" t="str">
            <v>npish</v>
          </cell>
          <cell r="E201">
            <v>200</v>
          </cell>
          <cell r="F201">
            <v>10502</v>
          </cell>
          <cell r="G201">
            <v>300403</v>
          </cell>
          <cell r="H201">
            <v>1989</v>
          </cell>
          <cell r="J201">
            <v>0</v>
          </cell>
        </row>
        <row r="202">
          <cell r="A202">
            <v>7841</v>
          </cell>
          <cell r="B202">
            <v>8519</v>
          </cell>
          <cell r="C202" t="str">
            <v>ss</v>
          </cell>
          <cell r="D202" t="str">
            <v>npish</v>
          </cell>
          <cell r="E202">
            <v>200</v>
          </cell>
          <cell r="F202">
            <v>10502</v>
          </cell>
          <cell r="G202">
            <v>300403</v>
          </cell>
          <cell r="H202">
            <v>1989</v>
          </cell>
          <cell r="J202">
            <v>0</v>
          </cell>
        </row>
        <row r="203">
          <cell r="A203">
            <v>247</v>
          </cell>
          <cell r="B203">
            <v>8519</v>
          </cell>
          <cell r="C203" t="str">
            <v>ss</v>
          </cell>
          <cell r="D203" t="str">
            <v>npish</v>
          </cell>
          <cell r="E203">
            <v>200</v>
          </cell>
          <cell r="F203">
            <v>30102</v>
          </cell>
          <cell r="G203">
            <v>311202</v>
          </cell>
          <cell r="H203">
            <v>1967</v>
          </cell>
          <cell r="J203">
            <v>0</v>
          </cell>
        </row>
        <row r="204">
          <cell r="A204">
            <v>3298</v>
          </cell>
          <cell r="B204">
            <v>9191</v>
          </cell>
          <cell r="C204" t="str">
            <v>ss</v>
          </cell>
          <cell r="D204" t="str">
            <v>npish</v>
          </cell>
          <cell r="E204">
            <v>10701</v>
          </cell>
          <cell r="F204">
            <v>10102</v>
          </cell>
          <cell r="G204">
            <v>311202</v>
          </cell>
          <cell r="H204">
            <v>1970</v>
          </cell>
          <cell r="J204">
            <v>0</v>
          </cell>
        </row>
        <row r="205">
          <cell r="A205">
            <v>8166</v>
          </cell>
          <cell r="B205">
            <v>8531</v>
          </cell>
          <cell r="C205" t="str">
            <v>ss</v>
          </cell>
          <cell r="D205" t="str">
            <v>nfc</v>
          </cell>
          <cell r="E205">
            <v>1800</v>
          </cell>
          <cell r="F205">
            <v>10102</v>
          </cell>
          <cell r="G205">
            <v>311202</v>
          </cell>
          <cell r="H205">
            <v>11985</v>
          </cell>
          <cell r="I205">
            <v>1</v>
          </cell>
        </row>
        <row r="206">
          <cell r="A206">
            <v>7006</v>
          </cell>
          <cell r="B206">
            <v>6022</v>
          </cell>
          <cell r="C206" t="str">
            <v>ta1-r</v>
          </cell>
          <cell r="D206" t="str">
            <v>nfc</v>
          </cell>
          <cell r="E206">
            <v>903</v>
          </cell>
          <cell r="F206">
            <v>10102</v>
          </cell>
          <cell r="G206">
            <v>311202</v>
          </cell>
          <cell r="H206">
            <v>111982</v>
          </cell>
          <cell r="I206">
            <v>6</v>
          </cell>
        </row>
        <row r="207">
          <cell r="A207">
            <v>9884</v>
          </cell>
          <cell r="B207">
            <v>6023</v>
          </cell>
          <cell r="C207" t="str">
            <v>ta1-r</v>
          </cell>
          <cell r="D207" t="str">
            <v>nfc</v>
          </cell>
          <cell r="E207">
            <v>3001</v>
          </cell>
          <cell r="F207">
            <v>10301</v>
          </cell>
          <cell r="G207">
            <v>310702</v>
          </cell>
          <cell r="H207">
            <v>71977</v>
          </cell>
          <cell r="I207">
            <v>3</v>
          </cell>
        </row>
        <row r="208">
          <cell r="A208">
            <v>1004</v>
          </cell>
          <cell r="B208">
            <v>6303</v>
          </cell>
          <cell r="C208" t="str">
            <v>ta1-s</v>
          </cell>
          <cell r="D208" t="str">
            <v>nfc</v>
          </cell>
          <cell r="E208">
            <v>14704</v>
          </cell>
          <cell r="F208">
            <v>10102</v>
          </cell>
          <cell r="G208">
            <v>311202</v>
          </cell>
          <cell r="H208">
            <v>21986</v>
          </cell>
          <cell r="I208">
            <v>1</v>
          </cell>
        </row>
        <row r="209">
          <cell r="A209">
            <v>9952</v>
          </cell>
          <cell r="B209">
            <v>6303</v>
          </cell>
          <cell r="C209" t="str">
            <v>ta1-s</v>
          </cell>
          <cell r="D209" t="str">
            <v>nfc</v>
          </cell>
          <cell r="E209">
            <v>3001</v>
          </cell>
          <cell r="F209">
            <v>10602</v>
          </cell>
          <cell r="G209">
            <v>310503</v>
          </cell>
          <cell r="H209">
            <v>52002</v>
          </cell>
          <cell r="I209">
            <v>3</v>
          </cell>
        </row>
        <row r="210">
          <cell r="A210">
            <v>1004</v>
          </cell>
          <cell r="B210">
            <v>6303</v>
          </cell>
          <cell r="C210" t="str">
            <v>ta1-s</v>
          </cell>
          <cell r="D210" t="str">
            <v>nfc</v>
          </cell>
          <cell r="E210">
            <v>14704</v>
          </cell>
          <cell r="F210">
            <v>10102</v>
          </cell>
          <cell r="G210">
            <v>311202</v>
          </cell>
          <cell r="H210">
            <v>21986</v>
          </cell>
          <cell r="I210">
            <v>1</v>
          </cell>
          <cell r="J210">
            <v>99</v>
          </cell>
        </row>
        <row r="211">
          <cell r="A211">
            <v>9951</v>
          </cell>
          <cell r="B211">
            <v>6303</v>
          </cell>
          <cell r="C211" t="str">
            <v>ta1-s</v>
          </cell>
          <cell r="D211" t="str">
            <v>nfc</v>
          </cell>
          <cell r="E211">
            <v>10301</v>
          </cell>
          <cell r="F211">
            <v>10102</v>
          </cell>
          <cell r="G211">
            <v>311202</v>
          </cell>
          <cell r="H211">
            <v>21996</v>
          </cell>
          <cell r="I211">
            <v>1</v>
          </cell>
        </row>
        <row r="212">
          <cell r="A212">
            <v>8238</v>
          </cell>
          <cell r="B212">
            <v>6304</v>
          </cell>
          <cell r="C212" t="str">
            <v>ta1-x</v>
          </cell>
          <cell r="D212" t="str">
            <v>nfc</v>
          </cell>
          <cell r="E212">
            <v>3001</v>
          </cell>
          <cell r="F212">
            <v>11002</v>
          </cell>
          <cell r="G212">
            <v>311202</v>
          </cell>
          <cell r="H212">
            <v>101999</v>
          </cell>
        </row>
        <row r="213">
          <cell r="A213">
            <v>1595</v>
          </cell>
          <cell r="B213">
            <v>6301</v>
          </cell>
          <cell r="C213" t="str">
            <v>ta1-x</v>
          </cell>
          <cell r="D213" t="str">
            <v>nfc</v>
          </cell>
          <cell r="E213">
            <v>10602</v>
          </cell>
          <cell r="F213">
            <v>10102</v>
          </cell>
          <cell r="G213">
            <v>311202</v>
          </cell>
          <cell r="I213">
            <v>3</v>
          </cell>
        </row>
        <row r="214">
          <cell r="A214">
            <v>8494</v>
          </cell>
          <cell r="B214">
            <v>6304</v>
          </cell>
          <cell r="C214" t="str">
            <v>ta1-x</v>
          </cell>
          <cell r="D214" t="str">
            <v>nfc</v>
          </cell>
          <cell r="E214">
            <v>14704</v>
          </cell>
          <cell r="F214">
            <v>10702</v>
          </cell>
          <cell r="G214">
            <v>390603</v>
          </cell>
          <cell r="H214">
            <v>81976</v>
          </cell>
          <cell r="I214">
            <v>3</v>
          </cell>
        </row>
        <row r="215">
          <cell r="A215">
            <v>5926</v>
          </cell>
          <cell r="B215">
            <v>6304</v>
          </cell>
          <cell r="C215" t="str">
            <v>ta1-x</v>
          </cell>
          <cell r="D215" t="str">
            <v>nfc</v>
          </cell>
          <cell r="E215">
            <v>3001</v>
          </cell>
          <cell r="F215">
            <v>20302</v>
          </cell>
          <cell r="G215">
            <v>280203</v>
          </cell>
          <cell r="H215">
            <v>22001</v>
          </cell>
        </row>
        <row r="216">
          <cell r="A216">
            <v>180</v>
          </cell>
          <cell r="B216">
            <v>6304</v>
          </cell>
          <cell r="C216" t="str">
            <v>ta1-x</v>
          </cell>
          <cell r="D216" t="str">
            <v>nfc</v>
          </cell>
          <cell r="E216">
            <v>100</v>
          </cell>
          <cell r="F216">
            <v>11001</v>
          </cell>
          <cell r="G216">
            <v>300902</v>
          </cell>
          <cell r="I216">
            <v>3</v>
          </cell>
        </row>
        <row r="217">
          <cell r="A217">
            <v>3254</v>
          </cell>
          <cell r="B217">
            <v>6301</v>
          </cell>
          <cell r="C217" t="str">
            <v>ta1-x</v>
          </cell>
          <cell r="D217" t="str">
            <v>nfc</v>
          </cell>
          <cell r="E217">
            <v>10704</v>
          </cell>
          <cell r="F217">
            <v>10402</v>
          </cell>
          <cell r="G217">
            <v>310303</v>
          </cell>
          <cell r="H217">
            <v>1995</v>
          </cell>
          <cell r="I217">
            <v>3</v>
          </cell>
        </row>
        <row r="218">
          <cell r="A218">
            <v>1189</v>
          </cell>
          <cell r="B218">
            <v>6304</v>
          </cell>
          <cell r="C218" t="str">
            <v>ta1-x</v>
          </cell>
          <cell r="D218" t="str">
            <v>nfc</v>
          </cell>
          <cell r="E218">
            <v>3002</v>
          </cell>
          <cell r="F218">
            <v>10102</v>
          </cell>
          <cell r="G218">
            <v>311202</v>
          </cell>
          <cell r="H218">
            <v>41993</v>
          </cell>
          <cell r="I218">
            <v>3</v>
          </cell>
        </row>
        <row r="219">
          <cell r="A219">
            <v>593</v>
          </cell>
          <cell r="B219">
            <v>6301</v>
          </cell>
          <cell r="C219" t="str">
            <v>ta1-x</v>
          </cell>
          <cell r="D219" t="str">
            <v>nfc</v>
          </cell>
          <cell r="E219">
            <v>501</v>
          </cell>
          <cell r="F219">
            <v>10402</v>
          </cell>
          <cell r="G219">
            <v>310303</v>
          </cell>
          <cell r="H219">
            <v>71983</v>
          </cell>
          <cell r="I219">
            <v>8</v>
          </cell>
        </row>
        <row r="220">
          <cell r="A220">
            <v>593</v>
          </cell>
          <cell r="B220">
            <v>6301</v>
          </cell>
          <cell r="C220" t="str">
            <v>ta1-x</v>
          </cell>
          <cell r="D220" t="str">
            <v>nfc</v>
          </cell>
          <cell r="E220">
            <v>501</v>
          </cell>
          <cell r="F220">
            <v>10402</v>
          </cell>
          <cell r="G220">
            <v>310303</v>
          </cell>
          <cell r="H220">
            <v>71983</v>
          </cell>
          <cell r="I220">
            <v>8</v>
          </cell>
        </row>
        <row r="221">
          <cell r="A221">
            <v>5739</v>
          </cell>
          <cell r="B221">
            <v>6420</v>
          </cell>
          <cell r="C221" t="str">
            <v>ta2</v>
          </cell>
          <cell r="D221" t="str">
            <v>nfc</v>
          </cell>
          <cell r="E221">
            <v>10602</v>
          </cell>
          <cell r="F221">
            <v>10102</v>
          </cell>
          <cell r="G221">
            <v>311202</v>
          </cell>
          <cell r="H221">
            <v>12001</v>
          </cell>
          <cell r="I221">
            <v>3</v>
          </cell>
        </row>
        <row r="222">
          <cell r="A222">
            <v>594</v>
          </cell>
          <cell r="B222">
            <v>5122</v>
          </cell>
          <cell r="C222" t="str">
            <v>wr1</v>
          </cell>
          <cell r="D222" t="str">
            <v>nfc</v>
          </cell>
          <cell r="E222">
            <v>501</v>
          </cell>
          <cell r="F222">
            <v>10102</v>
          </cell>
          <cell r="G222">
            <v>311202</v>
          </cell>
          <cell r="I222">
            <v>3</v>
          </cell>
        </row>
        <row r="223">
          <cell r="A223">
            <v>721</v>
          </cell>
          <cell r="B223">
            <v>5122</v>
          </cell>
          <cell r="C223" t="str">
            <v>wr1</v>
          </cell>
          <cell r="D223" t="str">
            <v>nfc</v>
          </cell>
          <cell r="E223">
            <v>501</v>
          </cell>
          <cell r="F223">
            <v>301201</v>
          </cell>
          <cell r="G223">
            <v>281102</v>
          </cell>
          <cell r="H223">
            <v>11997</v>
          </cell>
          <cell r="I223">
            <v>8</v>
          </cell>
        </row>
        <row r="224">
          <cell r="A224">
            <v>9</v>
          </cell>
          <cell r="B224">
            <v>5219</v>
          </cell>
          <cell r="C224" t="str">
            <v>wr1</v>
          </cell>
          <cell r="D224" t="str">
            <v>nfc</v>
          </cell>
          <cell r="E224">
            <v>100</v>
          </cell>
          <cell r="F224">
            <v>10302</v>
          </cell>
          <cell r="G224">
            <v>310203</v>
          </cell>
          <cell r="H224">
            <v>71951</v>
          </cell>
          <cell r="I224">
            <v>3</v>
          </cell>
        </row>
        <row r="225">
          <cell r="A225">
            <v>594</v>
          </cell>
          <cell r="B225">
            <v>5122</v>
          </cell>
          <cell r="C225" t="str">
            <v>wr1</v>
          </cell>
          <cell r="D225" t="str">
            <v>nfc</v>
          </cell>
          <cell r="E225">
            <v>501</v>
          </cell>
          <cell r="F225">
            <v>10102</v>
          </cell>
          <cell r="G225">
            <v>311202</v>
          </cell>
          <cell r="I225">
            <v>3</v>
          </cell>
        </row>
        <row r="226">
          <cell r="A226">
            <v>721</v>
          </cell>
          <cell r="B226">
            <v>5122</v>
          </cell>
          <cell r="C226" t="str">
            <v>wr1</v>
          </cell>
          <cell r="D226" t="str">
            <v>nfc</v>
          </cell>
          <cell r="E226">
            <v>501</v>
          </cell>
          <cell r="F226">
            <v>301201</v>
          </cell>
          <cell r="G226">
            <v>281102</v>
          </cell>
          <cell r="H226">
            <v>11997</v>
          </cell>
          <cell r="I226">
            <v>8</v>
          </cell>
        </row>
        <row r="227">
          <cell r="A227">
            <v>5332</v>
          </cell>
          <cell r="B227">
            <v>5139</v>
          </cell>
          <cell r="C227" t="str">
            <v>wr1</v>
          </cell>
          <cell r="D227" t="str">
            <v>nfc</v>
          </cell>
          <cell r="E227">
            <v>2606</v>
          </cell>
          <cell r="F227">
            <v>10302</v>
          </cell>
          <cell r="G227">
            <v>280203</v>
          </cell>
          <cell r="H227">
            <v>32001</v>
          </cell>
          <cell r="I227">
            <v>3</v>
          </cell>
        </row>
        <row r="228">
          <cell r="A228">
            <v>648</v>
          </cell>
          <cell r="B228">
            <v>5131</v>
          </cell>
          <cell r="C228" t="str">
            <v>wr1</v>
          </cell>
          <cell r="D228" t="str">
            <v>nfc</v>
          </cell>
          <cell r="E228">
            <v>100</v>
          </cell>
          <cell r="F228">
            <v>10102</v>
          </cell>
          <cell r="G228">
            <v>311202</v>
          </cell>
          <cell r="H228">
            <v>111979</v>
          </cell>
          <cell r="I228">
            <v>1</v>
          </cell>
        </row>
        <row r="229">
          <cell r="A229">
            <v>600</v>
          </cell>
          <cell r="B229">
            <v>5122</v>
          </cell>
          <cell r="C229" t="str">
            <v>wr1</v>
          </cell>
          <cell r="D229" t="str">
            <v>nfc</v>
          </cell>
          <cell r="E229">
            <v>901</v>
          </cell>
          <cell r="F229">
            <v>10102</v>
          </cell>
          <cell r="G229">
            <v>311202</v>
          </cell>
          <cell r="H229">
            <v>111967</v>
          </cell>
          <cell r="I229">
            <v>5</v>
          </cell>
        </row>
        <row r="230">
          <cell r="A230">
            <v>83</v>
          </cell>
          <cell r="B230">
            <v>5122</v>
          </cell>
          <cell r="C230" t="str">
            <v>wr1</v>
          </cell>
          <cell r="D230" t="str">
            <v>nfc</v>
          </cell>
          <cell r="E230">
            <v>14706</v>
          </cell>
          <cell r="F230">
            <v>10402</v>
          </cell>
          <cell r="G230">
            <v>310303</v>
          </cell>
          <cell r="H230">
            <v>111975</v>
          </cell>
          <cell r="I230">
            <v>3</v>
          </cell>
        </row>
        <row r="231">
          <cell r="A231">
            <v>142</v>
          </cell>
          <cell r="B231">
            <v>5232</v>
          </cell>
          <cell r="C231" t="str">
            <v>wr2</v>
          </cell>
          <cell r="D231" t="str">
            <v>nfc</v>
          </cell>
          <cell r="E231">
            <v>100</v>
          </cell>
          <cell r="F231">
            <v>10102</v>
          </cell>
          <cell r="G231">
            <v>311202</v>
          </cell>
          <cell r="H231">
            <v>91973</v>
          </cell>
          <cell r="I231">
            <v>1</v>
          </cell>
        </row>
        <row r="232">
          <cell r="A232">
            <v>572</v>
          </cell>
          <cell r="B232">
            <v>5232</v>
          </cell>
          <cell r="C232" t="str">
            <v>wr2</v>
          </cell>
          <cell r="D232" t="str">
            <v>nfc</v>
          </cell>
          <cell r="E232">
            <v>14704</v>
          </cell>
          <cell r="F232">
            <v>10502</v>
          </cell>
          <cell r="G232">
            <v>300403</v>
          </cell>
          <cell r="I232">
            <v>1</v>
          </cell>
        </row>
        <row r="233">
          <cell r="A233">
            <v>7446</v>
          </cell>
          <cell r="B233">
            <v>5050</v>
          </cell>
          <cell r="C233" t="str">
            <v>wr2</v>
          </cell>
          <cell r="D233" t="str">
            <v>nfc</v>
          </cell>
          <cell r="E233">
            <v>10602</v>
          </cell>
          <cell r="F233">
            <v>10102</v>
          </cell>
          <cell r="G233">
            <v>311202</v>
          </cell>
          <cell r="H233">
            <v>1979</v>
          </cell>
          <cell r="I233">
            <v>1</v>
          </cell>
        </row>
        <row r="234">
          <cell r="A234">
            <v>654</v>
          </cell>
          <cell r="B234">
            <v>5239</v>
          </cell>
          <cell r="C234" t="str">
            <v>wr2</v>
          </cell>
          <cell r="D234" t="str">
            <v>nfc</v>
          </cell>
          <cell r="E234">
            <v>2806</v>
          </cell>
          <cell r="F234">
            <v>10502</v>
          </cell>
          <cell r="G234">
            <v>300403</v>
          </cell>
          <cell r="I234">
            <v>3</v>
          </cell>
        </row>
        <row r="235">
          <cell r="A235">
            <v>896</v>
          </cell>
          <cell r="B235">
            <v>5234</v>
          </cell>
          <cell r="C235" t="str">
            <v>wr2</v>
          </cell>
          <cell r="D235" t="str">
            <v>nfc</v>
          </cell>
          <cell r="E235">
            <v>802</v>
          </cell>
          <cell r="F235">
            <v>10102</v>
          </cell>
          <cell r="G235">
            <v>311202</v>
          </cell>
          <cell r="H235">
            <v>11996</v>
          </cell>
          <cell r="I235">
            <v>3</v>
          </cell>
        </row>
        <row r="236">
          <cell r="A236">
            <v>8387</v>
          </cell>
          <cell r="B236">
            <v>5231</v>
          </cell>
          <cell r="C236" t="str">
            <v>wr2</v>
          </cell>
          <cell r="D236" t="str">
            <v>nfc</v>
          </cell>
          <cell r="E236">
            <v>100</v>
          </cell>
          <cell r="F236">
            <v>10602</v>
          </cell>
          <cell r="G236">
            <v>310503</v>
          </cell>
          <cell r="H236">
            <v>61999</v>
          </cell>
          <cell r="I236">
            <v>3</v>
          </cell>
        </row>
        <row r="237">
          <cell r="A237">
            <v>707</v>
          </cell>
          <cell r="B237">
            <v>5219</v>
          </cell>
          <cell r="C237" t="str">
            <v>wr2</v>
          </cell>
          <cell r="D237" t="str">
            <v>nfc</v>
          </cell>
          <cell r="E237">
            <v>100</v>
          </cell>
          <cell r="F237">
            <v>10702</v>
          </cell>
          <cell r="G237">
            <v>300603</v>
          </cell>
          <cell r="I237">
            <v>3</v>
          </cell>
        </row>
        <row r="238">
          <cell r="A238">
            <v>367</v>
          </cell>
          <cell r="B238">
            <v>5234</v>
          </cell>
          <cell r="C238" t="str">
            <v>wr2</v>
          </cell>
          <cell r="D238" t="str">
            <v>nfc</v>
          </cell>
          <cell r="E238">
            <v>100</v>
          </cell>
          <cell r="F238">
            <v>11001</v>
          </cell>
          <cell r="G238">
            <v>300902</v>
          </cell>
          <cell r="H238">
            <v>51974</v>
          </cell>
          <cell r="I238">
            <v>3</v>
          </cell>
        </row>
        <row r="239">
          <cell r="A239">
            <v>883</v>
          </cell>
          <cell r="B239">
            <v>5231</v>
          </cell>
          <cell r="C239" t="str">
            <v>wr2</v>
          </cell>
          <cell r="D239" t="str">
            <v>nfc</v>
          </cell>
          <cell r="E239">
            <v>100</v>
          </cell>
          <cell r="F239">
            <v>10702</v>
          </cell>
          <cell r="G239">
            <v>300603</v>
          </cell>
          <cell r="H239">
            <v>51984</v>
          </cell>
          <cell r="I239">
            <v>3</v>
          </cell>
        </row>
        <row r="240">
          <cell r="A240">
            <v>53</v>
          </cell>
          <cell r="B240">
            <v>5232</v>
          </cell>
          <cell r="C240" t="str">
            <v>wr2</v>
          </cell>
          <cell r="D240" t="str">
            <v>nfc</v>
          </cell>
          <cell r="E240">
            <v>600</v>
          </cell>
          <cell r="F240">
            <v>10702</v>
          </cell>
          <cell r="G240">
            <v>300603</v>
          </cell>
          <cell r="H240">
            <v>1961</v>
          </cell>
          <cell r="I240">
            <v>3</v>
          </cell>
        </row>
        <row r="241">
          <cell r="A241">
            <v>7710</v>
          </cell>
          <cell r="B241">
            <v>5239</v>
          </cell>
          <cell r="C241" t="str">
            <v>wr2</v>
          </cell>
          <cell r="D241" t="str">
            <v>nfc</v>
          </cell>
          <cell r="E241">
            <v>14603</v>
          </cell>
          <cell r="F241">
            <v>10402</v>
          </cell>
          <cell r="G241">
            <v>310503</v>
          </cell>
          <cell r="H241">
            <v>51998</v>
          </cell>
          <cell r="I241">
            <v>3</v>
          </cell>
        </row>
        <row r="242">
          <cell r="A242">
            <v>6521</v>
          </cell>
          <cell r="B242">
            <v>5234</v>
          </cell>
          <cell r="C242" t="str">
            <v>wr2</v>
          </cell>
          <cell r="D242" t="str">
            <v>nfc</v>
          </cell>
          <cell r="E242">
            <v>6802</v>
          </cell>
          <cell r="F242">
            <v>10102</v>
          </cell>
          <cell r="G242">
            <v>311202</v>
          </cell>
          <cell r="H242">
            <v>71999</v>
          </cell>
          <cell r="I242">
            <v>1</v>
          </cell>
        </row>
        <row r="243">
          <cell r="A243">
            <v>851</v>
          </cell>
          <cell r="B243">
            <v>5239</v>
          </cell>
          <cell r="C243" t="str">
            <v>wr2</v>
          </cell>
          <cell r="D243" t="str">
            <v>nfc</v>
          </cell>
          <cell r="E243">
            <v>3001</v>
          </cell>
          <cell r="F243">
            <v>10901</v>
          </cell>
          <cell r="G243">
            <v>310802</v>
          </cell>
          <cell r="H243">
            <v>81999</v>
          </cell>
          <cell r="I243">
            <v>1</v>
          </cell>
        </row>
        <row r="244">
          <cell r="A244">
            <v>147</v>
          </cell>
          <cell r="B244">
            <v>5220</v>
          </cell>
          <cell r="C244" t="str">
            <v>wr2</v>
          </cell>
          <cell r="D244" t="str">
            <v>nfc</v>
          </cell>
          <cell r="E244">
            <v>10701</v>
          </cell>
          <cell r="F244">
            <v>10502</v>
          </cell>
          <cell r="G244">
            <v>300403</v>
          </cell>
          <cell r="I244">
            <v>3</v>
          </cell>
        </row>
        <row r="245">
          <cell r="A245">
            <v>8190</v>
          </cell>
          <cell r="B245">
            <v>5220</v>
          </cell>
          <cell r="C245" t="str">
            <v>wr2</v>
          </cell>
          <cell r="D245" t="str">
            <v>nfc</v>
          </cell>
          <cell r="E245">
            <v>14705</v>
          </cell>
          <cell r="F245">
            <v>10402</v>
          </cell>
          <cell r="G245">
            <v>310303</v>
          </cell>
          <cell r="H245">
            <v>81978</v>
          </cell>
          <cell r="I245">
            <v>3</v>
          </cell>
        </row>
        <row r="246">
          <cell r="A246">
            <v>8389</v>
          </cell>
          <cell r="B246">
            <v>5030</v>
          </cell>
          <cell r="C246" t="str">
            <v>wr2</v>
          </cell>
          <cell r="D246" t="str">
            <v>nfc</v>
          </cell>
          <cell r="E246">
            <v>14703</v>
          </cell>
          <cell r="F246">
            <v>10502</v>
          </cell>
          <cell r="G246">
            <v>300403</v>
          </cell>
          <cell r="H246">
            <v>31993</v>
          </cell>
          <cell r="I246">
            <v>3</v>
          </cell>
        </row>
        <row r="247">
          <cell r="A247">
            <v>350</v>
          </cell>
          <cell r="B247">
            <v>5239</v>
          </cell>
          <cell r="C247" t="str">
            <v>wr2</v>
          </cell>
          <cell r="D247" t="str">
            <v>nfc</v>
          </cell>
          <cell r="E247">
            <v>2803</v>
          </cell>
          <cell r="F247">
            <v>10702</v>
          </cell>
          <cell r="G247">
            <v>300603</v>
          </cell>
          <cell r="I247">
            <v>3</v>
          </cell>
        </row>
        <row r="248">
          <cell r="A248">
            <v>7457</v>
          </cell>
          <cell r="B248">
            <v>5050</v>
          </cell>
          <cell r="C248" t="str">
            <v>wr2</v>
          </cell>
          <cell r="D248" t="str">
            <v>nfc</v>
          </cell>
          <cell r="E248">
            <v>14703</v>
          </cell>
          <cell r="F248">
            <v>10702</v>
          </cell>
          <cell r="G248">
            <v>300603</v>
          </cell>
          <cell r="H248">
            <v>72000</v>
          </cell>
          <cell r="I248">
            <v>3</v>
          </cell>
        </row>
        <row r="249">
          <cell r="A249">
            <v>8340</v>
          </cell>
          <cell r="B249">
            <v>5239</v>
          </cell>
          <cell r="C249" t="str">
            <v>wr2</v>
          </cell>
          <cell r="D249" t="str">
            <v>nfc</v>
          </cell>
          <cell r="E249">
            <v>14704</v>
          </cell>
          <cell r="F249">
            <v>10702</v>
          </cell>
          <cell r="G249">
            <v>300603</v>
          </cell>
          <cell r="I249">
            <v>3</v>
          </cell>
        </row>
        <row r="250">
          <cell r="A250">
            <v>5389</v>
          </cell>
          <cell r="B250">
            <v>5234</v>
          </cell>
          <cell r="C250" t="str">
            <v>wr2</v>
          </cell>
          <cell r="D250" t="str">
            <v>nfc</v>
          </cell>
          <cell r="E250">
            <v>11400</v>
          </cell>
          <cell r="F250">
            <v>10802</v>
          </cell>
          <cell r="G250">
            <v>310703</v>
          </cell>
          <cell r="H250">
            <v>42001</v>
          </cell>
          <cell r="I250">
            <v>3</v>
          </cell>
        </row>
        <row r="251">
          <cell r="A251">
            <v>9099</v>
          </cell>
          <cell r="B251">
            <v>5220</v>
          </cell>
          <cell r="C251" t="str">
            <v>wr2</v>
          </cell>
          <cell r="D251" t="str">
            <v>nfc</v>
          </cell>
          <cell r="E251">
            <v>11201</v>
          </cell>
          <cell r="F251">
            <v>11201</v>
          </cell>
          <cell r="G251">
            <v>301102</v>
          </cell>
          <cell r="H251">
            <v>111994</v>
          </cell>
          <cell r="I251">
            <v>1</v>
          </cell>
        </row>
        <row r="252">
          <cell r="A252">
            <v>3462</v>
          </cell>
          <cell r="B252">
            <v>5234</v>
          </cell>
          <cell r="C252" t="str">
            <v>wr2</v>
          </cell>
          <cell r="D252" t="str">
            <v>nfc</v>
          </cell>
          <cell r="E252">
            <v>1050</v>
          </cell>
          <cell r="F252">
            <v>10102</v>
          </cell>
          <cell r="G252">
            <v>311202</v>
          </cell>
          <cell r="H252">
            <v>111998</v>
          </cell>
          <cell r="I252">
            <v>3</v>
          </cell>
        </row>
        <row r="253">
          <cell r="A253">
            <v>1779</v>
          </cell>
          <cell r="B253">
            <v>5050</v>
          </cell>
          <cell r="C253" t="str">
            <v>wr2</v>
          </cell>
          <cell r="D253" t="str">
            <v>nfc</v>
          </cell>
          <cell r="E253">
            <v>2503</v>
          </cell>
          <cell r="F253">
            <v>10102</v>
          </cell>
          <cell r="G253">
            <v>311202</v>
          </cell>
          <cell r="H253">
            <v>52001</v>
          </cell>
          <cell r="I253">
            <v>3</v>
          </cell>
        </row>
        <row r="254">
          <cell r="A254">
            <v>97</v>
          </cell>
          <cell r="B254">
            <v>5234</v>
          </cell>
          <cell r="C254" t="str">
            <v>wr2</v>
          </cell>
          <cell r="D254" t="str">
            <v>nfc</v>
          </cell>
          <cell r="E254">
            <v>501</v>
          </cell>
          <cell r="F254">
            <v>10202</v>
          </cell>
          <cell r="G254">
            <v>310103</v>
          </cell>
          <cell r="H254">
            <v>111960</v>
          </cell>
          <cell r="I254">
            <v>3</v>
          </cell>
        </row>
        <row r="255">
          <cell r="A255">
            <v>1983</v>
          </cell>
          <cell r="B255">
            <v>5239</v>
          </cell>
          <cell r="C255" t="str">
            <v>wr2</v>
          </cell>
          <cell r="D255" t="str">
            <v>nfc</v>
          </cell>
          <cell r="E255">
            <v>200</v>
          </cell>
          <cell r="F255">
            <v>10102</v>
          </cell>
          <cell r="G255">
            <v>311202</v>
          </cell>
          <cell r="I255">
            <v>3</v>
          </cell>
        </row>
        <row r="256">
          <cell r="A256">
            <v>232</v>
          </cell>
          <cell r="B256">
            <v>5232</v>
          </cell>
          <cell r="C256" t="str">
            <v>wr2</v>
          </cell>
          <cell r="D256" t="str">
            <v>nfc</v>
          </cell>
          <cell r="E256">
            <v>200</v>
          </cell>
          <cell r="F256">
            <v>10102</v>
          </cell>
          <cell r="G256">
            <v>311202</v>
          </cell>
          <cell r="H256">
            <v>1976</v>
          </cell>
          <cell r="I256">
            <v>1</v>
          </cell>
        </row>
        <row r="257">
          <cell r="A257">
            <v>5356</v>
          </cell>
          <cell r="B257">
            <v>5220</v>
          </cell>
          <cell r="C257" t="str">
            <v>wr2</v>
          </cell>
          <cell r="D257" t="str">
            <v>nfc</v>
          </cell>
          <cell r="E257">
            <v>400</v>
          </cell>
          <cell r="F257">
            <v>10102</v>
          </cell>
          <cell r="G257">
            <v>311202</v>
          </cell>
          <cell r="H257">
            <v>111984</v>
          </cell>
          <cell r="I257">
            <v>3</v>
          </cell>
        </row>
        <row r="258">
          <cell r="A258">
            <v>142</v>
          </cell>
          <cell r="B258">
            <v>5232</v>
          </cell>
          <cell r="C258" t="str">
            <v>wr2</v>
          </cell>
          <cell r="D258" t="str">
            <v>nfc</v>
          </cell>
          <cell r="E258">
            <v>100</v>
          </cell>
          <cell r="F258">
            <v>10102</v>
          </cell>
          <cell r="G258">
            <v>311202</v>
          </cell>
          <cell r="H258">
            <v>91973</v>
          </cell>
          <cell r="I258">
            <v>1</v>
          </cell>
        </row>
        <row r="259">
          <cell r="A259">
            <v>602</v>
          </cell>
          <cell r="B259">
            <v>5122</v>
          </cell>
          <cell r="C259" t="str">
            <v>wr2</v>
          </cell>
          <cell r="D259" t="str">
            <v>nfc</v>
          </cell>
          <cell r="E259">
            <v>3203</v>
          </cell>
          <cell r="F259">
            <v>10602</v>
          </cell>
          <cell r="G259">
            <v>300403</v>
          </cell>
          <cell r="H259">
            <v>101967</v>
          </cell>
          <cell r="I259">
            <v>3</v>
          </cell>
        </row>
        <row r="260">
          <cell r="A260">
            <v>43</v>
          </cell>
          <cell r="B260">
            <v>5139</v>
          </cell>
          <cell r="C260" t="str">
            <v>wr2</v>
          </cell>
          <cell r="D260" t="str">
            <v>nfc</v>
          </cell>
          <cell r="E260">
            <v>1002</v>
          </cell>
          <cell r="F260">
            <v>10102</v>
          </cell>
          <cell r="G260">
            <v>311202</v>
          </cell>
          <cell r="H260">
            <v>121974</v>
          </cell>
          <cell r="I260">
            <v>2</v>
          </cell>
        </row>
        <row r="261">
          <cell r="A261">
            <v>312</v>
          </cell>
          <cell r="B261">
            <v>5232</v>
          </cell>
          <cell r="C261" t="str">
            <v>wr2</v>
          </cell>
          <cell r="D261" t="str">
            <v>nfc</v>
          </cell>
          <cell r="E261">
            <v>100</v>
          </cell>
          <cell r="F261">
            <v>10702</v>
          </cell>
          <cell r="G261">
            <v>300603</v>
          </cell>
          <cell r="H261">
            <v>31992</v>
          </cell>
          <cell r="I261">
            <v>3</v>
          </cell>
        </row>
        <row r="262">
          <cell r="A262">
            <v>1006</v>
          </cell>
          <cell r="B262">
            <v>5122</v>
          </cell>
          <cell r="C262" t="str">
            <v>wr2</v>
          </cell>
          <cell r="D262" t="str">
            <v>nfc</v>
          </cell>
          <cell r="E262">
            <v>2503</v>
          </cell>
          <cell r="F262">
            <v>10102</v>
          </cell>
          <cell r="G262">
            <v>311202</v>
          </cell>
          <cell r="I262">
            <v>1</v>
          </cell>
        </row>
        <row r="263">
          <cell r="A263">
            <v>651</v>
          </cell>
          <cell r="B263">
            <v>5232</v>
          </cell>
          <cell r="C263" t="str">
            <v>wr2</v>
          </cell>
          <cell r="D263" t="str">
            <v>nfc</v>
          </cell>
          <cell r="E263">
            <v>1406</v>
          </cell>
          <cell r="F263">
            <v>10402</v>
          </cell>
          <cell r="G263">
            <v>310303</v>
          </cell>
          <cell r="H263">
            <v>62001</v>
          </cell>
          <cell r="I263">
            <v>1</v>
          </cell>
        </row>
        <row r="264">
          <cell r="A264">
            <v>7438</v>
          </cell>
          <cell r="B264">
            <v>5250</v>
          </cell>
          <cell r="C264" t="str">
            <v>wr2</v>
          </cell>
          <cell r="D264" t="str">
            <v>nfc</v>
          </cell>
          <cell r="E264">
            <v>3001</v>
          </cell>
          <cell r="F264">
            <v>10102</v>
          </cell>
          <cell r="G264">
            <v>311202</v>
          </cell>
          <cell r="H264">
            <v>101977</v>
          </cell>
          <cell r="I264">
            <v>3</v>
          </cell>
          <cell r="J264">
            <v>0</v>
          </cell>
        </row>
        <row r="265">
          <cell r="A265">
            <v>1314</v>
          </cell>
          <cell r="B265">
            <v>5239</v>
          </cell>
          <cell r="C265" t="str">
            <v>wr2</v>
          </cell>
          <cell r="D265" t="str">
            <v>nfc</v>
          </cell>
          <cell r="E265">
            <v>3001</v>
          </cell>
          <cell r="F265">
            <v>10901</v>
          </cell>
          <cell r="G265">
            <v>300902</v>
          </cell>
          <cell r="H265">
            <v>51991</v>
          </cell>
          <cell r="I265">
            <v>3</v>
          </cell>
          <cell r="J265">
            <v>99</v>
          </cell>
        </row>
        <row r="266">
          <cell r="A266">
            <v>165</v>
          </cell>
          <cell r="B266">
            <v>5239</v>
          </cell>
          <cell r="C266" t="str">
            <v>wr2</v>
          </cell>
          <cell r="D266" t="str">
            <v>nfc</v>
          </cell>
          <cell r="E266">
            <v>802</v>
          </cell>
          <cell r="F266">
            <v>10102</v>
          </cell>
          <cell r="G266">
            <v>311202</v>
          </cell>
          <cell r="I266">
            <v>3</v>
          </cell>
        </row>
        <row r="267">
          <cell r="A267">
            <v>9109</v>
          </cell>
          <cell r="B267">
            <v>5232</v>
          </cell>
          <cell r="C267" t="str">
            <v>wr2</v>
          </cell>
          <cell r="D267" t="str">
            <v>nfc</v>
          </cell>
          <cell r="E267">
            <v>701</v>
          </cell>
          <cell r="F267">
            <v>10102</v>
          </cell>
          <cell r="G267">
            <v>311202</v>
          </cell>
          <cell r="I267">
            <v>3</v>
          </cell>
        </row>
        <row r="268">
          <cell r="A268">
            <v>1132</v>
          </cell>
          <cell r="B268">
            <v>5232</v>
          </cell>
          <cell r="C268" t="str">
            <v>wr2</v>
          </cell>
          <cell r="D268" t="str">
            <v>nfc</v>
          </cell>
          <cell r="E268">
            <v>200</v>
          </cell>
          <cell r="F268">
            <v>10102</v>
          </cell>
          <cell r="G268">
            <v>311202</v>
          </cell>
          <cell r="H268">
            <v>41989</v>
          </cell>
          <cell r="I268">
            <v>3</v>
          </cell>
        </row>
        <row r="269">
          <cell r="A269">
            <v>2234</v>
          </cell>
          <cell r="B269">
            <v>5050</v>
          </cell>
          <cell r="C269" t="str">
            <v>wr2</v>
          </cell>
          <cell r="D269" t="str">
            <v>nfc</v>
          </cell>
          <cell r="E269">
            <v>3001</v>
          </cell>
          <cell r="F269">
            <v>10102</v>
          </cell>
          <cell r="G269">
            <v>311202</v>
          </cell>
          <cell r="H269">
            <v>121977</v>
          </cell>
          <cell r="I269">
            <v>6</v>
          </cell>
        </row>
        <row r="270">
          <cell r="A270">
            <v>208</v>
          </cell>
          <cell r="B270">
            <v>5220</v>
          </cell>
          <cell r="C270" t="str">
            <v>wr2</v>
          </cell>
          <cell r="D270" t="str">
            <v>nfc</v>
          </cell>
          <cell r="E270">
            <v>901</v>
          </cell>
          <cell r="F270">
            <v>10102</v>
          </cell>
          <cell r="G270">
            <v>311202</v>
          </cell>
          <cell r="I270">
            <v>3</v>
          </cell>
        </row>
        <row r="271">
          <cell r="A271">
            <v>1224</v>
          </cell>
          <cell r="B271">
            <v>5234</v>
          </cell>
          <cell r="C271" t="str">
            <v>wr2</v>
          </cell>
          <cell r="D271" t="str">
            <v>nfc</v>
          </cell>
          <cell r="E271">
            <v>2401</v>
          </cell>
          <cell r="F271">
            <v>10102</v>
          </cell>
          <cell r="G271">
            <v>311202</v>
          </cell>
          <cell r="H271">
            <v>61988</v>
          </cell>
          <cell r="I271">
            <v>3</v>
          </cell>
        </row>
        <row r="272">
          <cell r="A272">
            <v>7925</v>
          </cell>
          <cell r="B272">
            <v>5220</v>
          </cell>
          <cell r="C272" t="str">
            <v>wr2</v>
          </cell>
          <cell r="D272" t="str">
            <v>nfc</v>
          </cell>
          <cell r="E272">
            <v>100</v>
          </cell>
          <cell r="F272">
            <v>11001</v>
          </cell>
          <cell r="G272">
            <v>300902</v>
          </cell>
          <cell r="H272">
            <v>42002</v>
          </cell>
          <cell r="I272">
            <v>3</v>
          </cell>
        </row>
        <row r="273">
          <cell r="A273">
            <v>241</v>
          </cell>
          <cell r="B273">
            <v>5239</v>
          </cell>
          <cell r="C273" t="str">
            <v>wr2</v>
          </cell>
          <cell r="D273" t="str">
            <v>nfc</v>
          </cell>
          <cell r="E273">
            <v>3402</v>
          </cell>
          <cell r="F273">
            <v>10102</v>
          </cell>
          <cell r="G273">
            <v>311202</v>
          </cell>
          <cell r="H273">
            <v>11976</v>
          </cell>
          <cell r="I273">
            <v>1</v>
          </cell>
        </row>
        <row r="274">
          <cell r="A274">
            <v>9934</v>
          </cell>
          <cell r="B274">
            <v>5220</v>
          </cell>
          <cell r="C274" t="str">
            <v>wr3</v>
          </cell>
          <cell r="D274" t="str">
            <v>nfc</v>
          </cell>
          <cell r="E274">
            <v>300</v>
          </cell>
          <cell r="F274">
            <v>10102</v>
          </cell>
          <cell r="G274">
            <v>311202</v>
          </cell>
          <cell r="I274">
            <v>3</v>
          </cell>
        </row>
        <row r="275">
          <cell r="A275">
            <v>874</v>
          </cell>
          <cell r="B275">
            <v>5220</v>
          </cell>
          <cell r="C275" t="str">
            <v>wr3</v>
          </cell>
          <cell r="D275" t="str">
            <v>nfc</v>
          </cell>
          <cell r="E275">
            <v>6801</v>
          </cell>
          <cell r="F275">
            <v>10102</v>
          </cell>
          <cell r="G275">
            <v>311202</v>
          </cell>
          <cell r="I275">
            <v>3</v>
          </cell>
        </row>
        <row r="276">
          <cell r="A276">
            <v>66</v>
          </cell>
          <cell r="B276">
            <v>5220</v>
          </cell>
          <cell r="C276" t="str">
            <v>wr3</v>
          </cell>
          <cell r="D276" t="str">
            <v>nfc</v>
          </cell>
          <cell r="E276">
            <v>7300</v>
          </cell>
          <cell r="F276">
            <v>10102</v>
          </cell>
          <cell r="G276">
            <v>311202</v>
          </cell>
          <cell r="H276">
            <v>1988</v>
          </cell>
          <cell r="I276">
            <v>6</v>
          </cell>
        </row>
        <row r="277">
          <cell r="A277">
            <v>5183</v>
          </cell>
          <cell r="B277">
            <v>5234</v>
          </cell>
          <cell r="C277" t="str">
            <v>wr3</v>
          </cell>
          <cell r="D277" t="str">
            <v>nfc</v>
          </cell>
          <cell r="E277">
            <v>11402</v>
          </cell>
          <cell r="F277">
            <v>10502</v>
          </cell>
          <cell r="G277">
            <v>300403</v>
          </cell>
          <cell r="H277">
            <v>51988</v>
          </cell>
          <cell r="I277">
            <v>3</v>
          </cell>
        </row>
        <row r="278">
          <cell r="A278">
            <v>624</v>
          </cell>
          <cell r="B278">
            <v>5220</v>
          </cell>
          <cell r="C278" t="str">
            <v>wr3</v>
          </cell>
          <cell r="D278" t="str">
            <v>nfc</v>
          </cell>
          <cell r="E278">
            <v>3001</v>
          </cell>
          <cell r="F278">
            <v>10102</v>
          </cell>
          <cell r="G278">
            <v>311202</v>
          </cell>
          <cell r="H278">
            <v>101995</v>
          </cell>
          <cell r="I278">
            <v>5</v>
          </cell>
        </row>
        <row r="279">
          <cell r="A279">
            <v>9679</v>
          </cell>
          <cell r="B279">
            <v>5220</v>
          </cell>
          <cell r="C279" t="str">
            <v>wr3</v>
          </cell>
          <cell r="D279" t="str">
            <v>nfc</v>
          </cell>
          <cell r="E279">
            <v>9300</v>
          </cell>
          <cell r="F279">
            <v>10102</v>
          </cell>
          <cell r="G279">
            <v>311202</v>
          </cell>
          <cell r="I279">
            <v>3</v>
          </cell>
        </row>
      </sheetData>
      <sheetData sheetId="1" refreshError="1"/>
      <sheetData sheetId="2"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DP_UN"/>
      <sheetName val="CE_UN"/>
      <sheetName val="InT_UN"/>
      <sheetName val="GOS_UN"/>
      <sheetName val="GDPCHECK"/>
      <sheetName val="Res"/>
      <sheetName val="Labshare"/>
      <sheetName val="GDP_Spli"/>
      <sheetName val="CE_Spli"/>
      <sheetName val="InT_Spli"/>
      <sheetName val="Raw Data_UN"/>
      <sheetName val="IND"/>
      <sheetName val="CHL"/>
      <sheetName val="COL"/>
      <sheetName val="MEX"/>
      <sheetName val="PER"/>
      <sheetName val="KOR"/>
      <sheetName val="BRA"/>
      <sheetName val="Main"/>
      <sheetName val="Sec1aSec1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A1" t="str">
            <v>country_name</v>
          </cell>
          <cell r="B1" t="str">
            <v>country_code</v>
          </cell>
          <cell r="C1" t="str">
            <v>group_code</v>
          </cell>
          <cell r="D1" t="str">
            <v>item_code</v>
          </cell>
          <cell r="E1" t="str">
            <v>item_name</v>
          </cell>
          <cell r="F1" t="str">
            <v>sub_item_code</v>
          </cell>
          <cell r="G1" t="str">
            <v>fiscal_year</v>
          </cell>
          <cell r="H1" t="str">
            <v>series_number</v>
          </cell>
          <cell r="I1" t="str">
            <v>sna_value</v>
          </cell>
        </row>
        <row r="2">
          <cell r="A2" t="str">
            <v>Albania</v>
          </cell>
          <cell r="B2">
            <v>8</v>
          </cell>
          <cell r="C2">
            <v>201</v>
          </cell>
          <cell r="D2">
            <v>13</v>
          </cell>
          <cell r="E2" t="str">
            <v>Less: Financial intermediation services indirectly measured (FISIM) (only to be deducted if FISIM is not distributed to uses)</v>
          </cell>
          <cell r="F2">
            <v>0</v>
          </cell>
          <cell r="G2">
            <v>1996</v>
          </cell>
          <cell r="H2">
            <v>100</v>
          </cell>
          <cell r="I2">
            <v>8058000000</v>
          </cell>
        </row>
        <row r="3">
          <cell r="A3" t="str">
            <v>Albania</v>
          </cell>
          <cell r="B3">
            <v>8</v>
          </cell>
          <cell r="C3">
            <v>201</v>
          </cell>
          <cell r="D3">
            <v>13</v>
          </cell>
          <cell r="E3" t="str">
            <v>Less: Financial intermediation services indirectly measured (FISIM) (only to be deducted if FISIM is not distributed to uses)</v>
          </cell>
          <cell r="F3">
            <v>0</v>
          </cell>
          <cell r="G3">
            <v>1997</v>
          </cell>
          <cell r="H3">
            <v>100</v>
          </cell>
          <cell r="I3">
            <v>11148000000</v>
          </cell>
        </row>
        <row r="4">
          <cell r="A4" t="str">
            <v>Albania</v>
          </cell>
          <cell r="B4">
            <v>8</v>
          </cell>
          <cell r="C4">
            <v>201</v>
          </cell>
          <cell r="D4">
            <v>13</v>
          </cell>
          <cell r="E4" t="str">
            <v>Less: Financial intermediation services indirectly measured (FISIM) (only to be deducted if FISIM is not distributed to uses)</v>
          </cell>
          <cell r="F4">
            <v>0</v>
          </cell>
          <cell r="G4">
            <v>1998</v>
          </cell>
          <cell r="H4">
            <v>100</v>
          </cell>
          <cell r="I4">
            <v>20731000000</v>
          </cell>
        </row>
        <row r="5">
          <cell r="A5" t="str">
            <v>Albania</v>
          </cell>
          <cell r="B5">
            <v>8</v>
          </cell>
          <cell r="C5">
            <v>201</v>
          </cell>
          <cell r="D5">
            <v>13</v>
          </cell>
          <cell r="E5" t="str">
            <v>Less: Financial intermediation services indirectly measured (FISIM) (only to be deducted if FISIM is not distributed to uses)</v>
          </cell>
          <cell r="F5">
            <v>0</v>
          </cell>
          <cell r="G5">
            <v>1999</v>
          </cell>
          <cell r="H5">
            <v>100</v>
          </cell>
          <cell r="I5">
            <v>21424000000</v>
          </cell>
        </row>
        <row r="6">
          <cell r="A6" t="str">
            <v>Albania</v>
          </cell>
          <cell r="B6">
            <v>8</v>
          </cell>
          <cell r="C6">
            <v>201</v>
          </cell>
          <cell r="D6">
            <v>13</v>
          </cell>
          <cell r="E6" t="str">
            <v>Less: Financial intermediation services indirectly measured (FISIM) (only to be deducted if FISIM is not distributed to uses)</v>
          </cell>
          <cell r="F6">
            <v>0</v>
          </cell>
          <cell r="G6">
            <v>2000</v>
          </cell>
          <cell r="H6">
            <v>100</v>
          </cell>
          <cell r="I6">
            <v>18508000000</v>
          </cell>
        </row>
        <row r="7">
          <cell r="A7" t="str">
            <v>Albania</v>
          </cell>
          <cell r="B7">
            <v>8</v>
          </cell>
          <cell r="C7">
            <v>201</v>
          </cell>
          <cell r="D7">
            <v>13</v>
          </cell>
          <cell r="E7" t="str">
            <v>Less: Financial intermediation services indirectly measured (FISIM) (only to be deducted if FISIM is not distributed to uses)</v>
          </cell>
          <cell r="F7">
            <v>0</v>
          </cell>
          <cell r="G7">
            <v>2001</v>
          </cell>
          <cell r="H7">
            <v>100</v>
          </cell>
          <cell r="I7">
            <v>17926000000</v>
          </cell>
        </row>
        <row r="8">
          <cell r="A8" t="str">
            <v>Albania</v>
          </cell>
          <cell r="B8">
            <v>8</v>
          </cell>
          <cell r="C8">
            <v>201</v>
          </cell>
          <cell r="D8">
            <v>13</v>
          </cell>
          <cell r="E8" t="str">
            <v>Less: Financial intermediation services indirectly measured (FISIM) (only to be deducted if FISIM is not distributed to uses)</v>
          </cell>
          <cell r="F8">
            <v>0</v>
          </cell>
          <cell r="G8">
            <v>2002</v>
          </cell>
          <cell r="H8">
            <v>100</v>
          </cell>
          <cell r="I8">
            <v>19328000000</v>
          </cell>
        </row>
        <row r="9">
          <cell r="A9" t="str">
            <v>Angola</v>
          </cell>
          <cell r="B9">
            <v>24</v>
          </cell>
          <cell r="C9">
            <v>201</v>
          </cell>
          <cell r="D9">
            <v>13</v>
          </cell>
          <cell r="E9" t="str">
            <v>Less: Financial intermediation services indirectly measured (FISIM) (only to be deducted if FISIM is not distributed to uses)</v>
          </cell>
          <cell r="F9">
            <v>0</v>
          </cell>
          <cell r="G9">
            <v>1985</v>
          </cell>
          <cell r="H9">
            <v>10</v>
          </cell>
          <cell r="I9">
            <v>1332000000</v>
          </cell>
        </row>
        <row r="10">
          <cell r="A10" t="str">
            <v>Angola</v>
          </cell>
          <cell r="B10">
            <v>24</v>
          </cell>
          <cell r="C10">
            <v>201</v>
          </cell>
          <cell r="D10">
            <v>13</v>
          </cell>
          <cell r="E10" t="str">
            <v>Less: Financial intermediation services indirectly measured (FISIM) (only to be deducted if FISIM is not distributed to uses)</v>
          </cell>
          <cell r="F10">
            <v>0</v>
          </cell>
          <cell r="G10">
            <v>1986</v>
          </cell>
          <cell r="H10">
            <v>10</v>
          </cell>
          <cell r="I10">
            <v>793000000</v>
          </cell>
        </row>
        <row r="11">
          <cell r="A11" t="str">
            <v>Angola</v>
          </cell>
          <cell r="B11">
            <v>24</v>
          </cell>
          <cell r="C11">
            <v>201</v>
          </cell>
          <cell r="D11">
            <v>13</v>
          </cell>
          <cell r="E11" t="str">
            <v>Less: Financial intermediation services indirectly measured (FISIM) (only to be deducted if FISIM is not distributed to uses)</v>
          </cell>
          <cell r="F11">
            <v>0</v>
          </cell>
          <cell r="G11">
            <v>1987</v>
          </cell>
          <cell r="H11">
            <v>10</v>
          </cell>
          <cell r="I11">
            <v>-722000000</v>
          </cell>
        </row>
        <row r="12">
          <cell r="A12" t="str">
            <v>Angola</v>
          </cell>
          <cell r="B12">
            <v>24</v>
          </cell>
          <cell r="C12">
            <v>201</v>
          </cell>
          <cell r="D12">
            <v>13</v>
          </cell>
          <cell r="E12" t="str">
            <v>Less: Financial intermediation services indirectly measured (FISIM) (only to be deducted if FISIM is not distributed to uses)</v>
          </cell>
          <cell r="F12">
            <v>0</v>
          </cell>
          <cell r="G12">
            <v>1988</v>
          </cell>
          <cell r="H12">
            <v>10</v>
          </cell>
          <cell r="I12">
            <v>364000000</v>
          </cell>
        </row>
        <row r="13">
          <cell r="A13" t="str">
            <v>Angola</v>
          </cell>
          <cell r="B13">
            <v>24</v>
          </cell>
          <cell r="C13">
            <v>201</v>
          </cell>
          <cell r="D13">
            <v>13</v>
          </cell>
          <cell r="E13" t="str">
            <v>Less: Financial intermediation services indirectly measured (FISIM) (only to be deducted if FISIM is not distributed to uses)</v>
          </cell>
          <cell r="F13">
            <v>0</v>
          </cell>
          <cell r="G13">
            <v>1989</v>
          </cell>
          <cell r="H13">
            <v>10</v>
          </cell>
          <cell r="I13">
            <v>326000000</v>
          </cell>
        </row>
        <row r="14">
          <cell r="A14" t="str">
            <v>Angola</v>
          </cell>
          <cell r="B14">
            <v>24</v>
          </cell>
          <cell r="C14">
            <v>201</v>
          </cell>
          <cell r="D14">
            <v>13</v>
          </cell>
          <cell r="E14" t="str">
            <v>Less: Financial intermediation services indirectly measured (FISIM) (only to be deducted if FISIM is not distributed to uses)</v>
          </cell>
          <cell r="F14">
            <v>0</v>
          </cell>
          <cell r="G14">
            <v>1990</v>
          </cell>
          <cell r="H14">
            <v>10</v>
          </cell>
          <cell r="I14">
            <v>-478000000</v>
          </cell>
        </row>
        <row r="15">
          <cell r="A15" t="str">
            <v>Argentina</v>
          </cell>
          <cell r="B15">
            <v>32</v>
          </cell>
          <cell r="C15">
            <v>201</v>
          </cell>
          <cell r="D15">
            <v>13</v>
          </cell>
          <cell r="E15" t="str">
            <v>Less: Financial intermediation services indirectly measured (FISIM) (only to be deducted if FISIM is not distributed to uses)</v>
          </cell>
          <cell r="F15">
            <v>0</v>
          </cell>
          <cell r="G15">
            <v>1980</v>
          </cell>
          <cell r="H15">
            <v>10</v>
          </cell>
          <cell r="I15">
            <v>11</v>
          </cell>
        </row>
        <row r="16">
          <cell r="A16" t="str">
            <v>Argentina</v>
          </cell>
          <cell r="B16">
            <v>32</v>
          </cell>
          <cell r="C16">
            <v>201</v>
          </cell>
          <cell r="D16">
            <v>13</v>
          </cell>
          <cell r="E16" t="str">
            <v>Less: Financial intermediation services indirectly measured (FISIM) (only to be deducted if FISIM is not distributed to uses)</v>
          </cell>
          <cell r="F16">
            <v>0</v>
          </cell>
          <cell r="G16">
            <v>1981</v>
          </cell>
          <cell r="H16">
            <v>10</v>
          </cell>
          <cell r="I16">
            <v>62</v>
          </cell>
        </row>
        <row r="17">
          <cell r="A17" t="str">
            <v>Argentina</v>
          </cell>
          <cell r="B17">
            <v>32</v>
          </cell>
          <cell r="C17">
            <v>201</v>
          </cell>
          <cell r="D17">
            <v>13</v>
          </cell>
          <cell r="E17" t="str">
            <v>Less: Financial intermediation services indirectly measured (FISIM) (only to be deducted if FISIM is not distributed to uses)</v>
          </cell>
          <cell r="F17">
            <v>0</v>
          </cell>
          <cell r="G17">
            <v>1982</v>
          </cell>
          <cell r="H17">
            <v>10</v>
          </cell>
          <cell r="I17">
            <v>77</v>
          </cell>
        </row>
        <row r="18">
          <cell r="A18" t="str">
            <v>Argentina</v>
          </cell>
          <cell r="B18">
            <v>32</v>
          </cell>
          <cell r="C18">
            <v>201</v>
          </cell>
          <cell r="D18">
            <v>13</v>
          </cell>
          <cell r="E18" t="str">
            <v>Less: Financial intermediation services indirectly measured (FISIM) (only to be deducted if FISIM is not distributed to uses)</v>
          </cell>
          <cell r="F18">
            <v>0</v>
          </cell>
          <cell r="G18">
            <v>1983</v>
          </cell>
          <cell r="H18">
            <v>10</v>
          </cell>
          <cell r="I18">
            <v>740</v>
          </cell>
        </row>
        <row r="19">
          <cell r="A19" t="str">
            <v>Argentina</v>
          </cell>
          <cell r="B19">
            <v>32</v>
          </cell>
          <cell r="C19">
            <v>201</v>
          </cell>
          <cell r="D19">
            <v>13</v>
          </cell>
          <cell r="E19" t="str">
            <v>Less: Financial intermediation services indirectly measured (FISIM) (only to be deducted if FISIM is not distributed to uses)</v>
          </cell>
          <cell r="F19">
            <v>0</v>
          </cell>
          <cell r="G19">
            <v>1984</v>
          </cell>
          <cell r="H19">
            <v>10</v>
          </cell>
          <cell r="I19">
            <v>-2580</v>
          </cell>
        </row>
        <row r="20">
          <cell r="A20" t="str">
            <v>Argentina</v>
          </cell>
          <cell r="B20">
            <v>32</v>
          </cell>
          <cell r="C20">
            <v>201</v>
          </cell>
          <cell r="D20">
            <v>13</v>
          </cell>
          <cell r="E20" t="str">
            <v>Less: Financial intermediation services indirectly measured (FISIM) (only to be deducted if FISIM is not distributed to uses)</v>
          </cell>
          <cell r="F20">
            <v>0</v>
          </cell>
          <cell r="G20">
            <v>1985</v>
          </cell>
          <cell r="H20">
            <v>10</v>
          </cell>
          <cell r="I20">
            <v>34900</v>
          </cell>
        </row>
        <row r="21">
          <cell r="A21" t="str">
            <v>Argentina</v>
          </cell>
          <cell r="B21">
            <v>32</v>
          </cell>
          <cell r="C21">
            <v>201</v>
          </cell>
          <cell r="D21">
            <v>13</v>
          </cell>
          <cell r="E21" t="str">
            <v>Less: Financial intermediation services indirectly measured (FISIM) (only to be deducted if FISIM is not distributed to uses)</v>
          </cell>
          <cell r="F21">
            <v>0</v>
          </cell>
          <cell r="G21">
            <v>1986</v>
          </cell>
          <cell r="H21">
            <v>10</v>
          </cell>
          <cell r="I21">
            <v>-200</v>
          </cell>
        </row>
        <row r="22">
          <cell r="A22" t="str">
            <v>Argentina</v>
          </cell>
          <cell r="B22">
            <v>32</v>
          </cell>
          <cell r="C22">
            <v>201</v>
          </cell>
          <cell r="D22">
            <v>13</v>
          </cell>
          <cell r="E22" t="str">
            <v>Less: Financial intermediation services indirectly measured (FISIM) (only to be deducted if FISIM is not distributed to uses)</v>
          </cell>
          <cell r="F22">
            <v>0</v>
          </cell>
          <cell r="G22">
            <v>1987</v>
          </cell>
          <cell r="H22">
            <v>20</v>
          </cell>
          <cell r="I22">
            <v>-51500</v>
          </cell>
        </row>
        <row r="23">
          <cell r="A23" t="str">
            <v>Argentina</v>
          </cell>
          <cell r="B23">
            <v>32</v>
          </cell>
          <cell r="C23">
            <v>201</v>
          </cell>
          <cell r="D23">
            <v>13</v>
          </cell>
          <cell r="E23" t="str">
            <v>Less: Financial intermediation services indirectly measured (FISIM) (only to be deducted if FISIM is not distributed to uses)</v>
          </cell>
          <cell r="F23">
            <v>0</v>
          </cell>
          <cell r="G23">
            <v>1988</v>
          </cell>
          <cell r="H23">
            <v>20</v>
          </cell>
          <cell r="I23">
            <v>-242000</v>
          </cell>
        </row>
        <row r="24">
          <cell r="A24" t="str">
            <v>Argentina</v>
          </cell>
          <cell r="B24">
            <v>32</v>
          </cell>
          <cell r="C24">
            <v>201</v>
          </cell>
          <cell r="D24">
            <v>13</v>
          </cell>
          <cell r="E24" t="str">
            <v>Less: Financial intermediation services indirectly measured (FISIM) (only to be deducted if FISIM is not distributed to uses)</v>
          </cell>
          <cell r="F24">
            <v>0</v>
          </cell>
          <cell r="G24">
            <v>1989</v>
          </cell>
          <cell r="H24">
            <v>20</v>
          </cell>
          <cell r="I24">
            <v>25675999.989999998</v>
          </cell>
        </row>
        <row r="25">
          <cell r="A25" t="str">
            <v>Argentina</v>
          </cell>
          <cell r="B25">
            <v>32</v>
          </cell>
          <cell r="C25">
            <v>201</v>
          </cell>
          <cell r="D25">
            <v>13</v>
          </cell>
          <cell r="E25" t="str">
            <v>Less: Financial intermediation services indirectly measured (FISIM) (only to be deducted if FISIM is not distributed to uses)</v>
          </cell>
          <cell r="F25">
            <v>0</v>
          </cell>
          <cell r="G25">
            <v>1990</v>
          </cell>
          <cell r="H25">
            <v>20</v>
          </cell>
          <cell r="I25">
            <v>786281000</v>
          </cell>
        </row>
        <row r="26">
          <cell r="A26" t="str">
            <v>Argentina</v>
          </cell>
          <cell r="B26">
            <v>32</v>
          </cell>
          <cell r="C26">
            <v>201</v>
          </cell>
          <cell r="D26">
            <v>13</v>
          </cell>
          <cell r="E26" t="str">
            <v>Less: Financial intermediation services indirectly measured (FISIM) (only to be deducted if FISIM is not distributed to uses)</v>
          </cell>
          <cell r="F26">
            <v>0</v>
          </cell>
          <cell r="G26">
            <v>1991</v>
          </cell>
          <cell r="H26">
            <v>20</v>
          </cell>
          <cell r="I26">
            <v>1152196000</v>
          </cell>
        </row>
        <row r="27">
          <cell r="A27" t="str">
            <v>Argentina</v>
          </cell>
          <cell r="B27">
            <v>32</v>
          </cell>
          <cell r="C27">
            <v>201</v>
          </cell>
          <cell r="D27">
            <v>13</v>
          </cell>
          <cell r="E27" t="str">
            <v>Less: Financial intermediation services indirectly measured (FISIM) (only to be deducted if FISIM is not distributed to uses)</v>
          </cell>
          <cell r="F27">
            <v>0</v>
          </cell>
          <cell r="G27">
            <v>1992</v>
          </cell>
          <cell r="H27">
            <v>20</v>
          </cell>
          <cell r="I27">
            <v>282935000</v>
          </cell>
        </row>
        <row r="28">
          <cell r="A28" t="str">
            <v>Argentina</v>
          </cell>
          <cell r="B28">
            <v>32</v>
          </cell>
          <cell r="C28">
            <v>201</v>
          </cell>
          <cell r="D28">
            <v>13</v>
          </cell>
          <cell r="E28" t="str">
            <v>Less: Financial intermediation services indirectly measured (FISIM) (only to be deducted if FISIM is not distributed to uses)</v>
          </cell>
          <cell r="F28">
            <v>0</v>
          </cell>
          <cell r="G28">
            <v>1993</v>
          </cell>
          <cell r="H28">
            <v>20</v>
          </cell>
          <cell r="I28">
            <v>3411000000</v>
          </cell>
        </row>
        <row r="29">
          <cell r="A29" t="str">
            <v>Argentina</v>
          </cell>
          <cell r="B29">
            <v>32</v>
          </cell>
          <cell r="C29">
            <v>201</v>
          </cell>
          <cell r="D29">
            <v>13</v>
          </cell>
          <cell r="E29" t="str">
            <v>Less: Financial intermediation services indirectly measured (FISIM) (only to be deducted if FISIM is not distributed to uses)</v>
          </cell>
          <cell r="F29">
            <v>0</v>
          </cell>
          <cell r="G29">
            <v>1993</v>
          </cell>
          <cell r="H29">
            <v>100</v>
          </cell>
          <cell r="I29">
            <v>3411000000</v>
          </cell>
        </row>
        <row r="30">
          <cell r="A30" t="str">
            <v>Argentina</v>
          </cell>
          <cell r="B30">
            <v>32</v>
          </cell>
          <cell r="C30">
            <v>201</v>
          </cell>
          <cell r="D30">
            <v>13</v>
          </cell>
          <cell r="E30" t="str">
            <v>Less: Financial intermediation services indirectly measured (FISIM) (only to be deducted if FISIM is not distributed to uses)</v>
          </cell>
          <cell r="F30">
            <v>0</v>
          </cell>
          <cell r="G30">
            <v>1994</v>
          </cell>
          <cell r="H30">
            <v>100</v>
          </cell>
          <cell r="I30">
            <v>3215000000</v>
          </cell>
        </row>
        <row r="31">
          <cell r="A31" t="str">
            <v>Argentina</v>
          </cell>
          <cell r="B31">
            <v>32</v>
          </cell>
          <cell r="C31">
            <v>201</v>
          </cell>
          <cell r="D31">
            <v>13</v>
          </cell>
          <cell r="E31" t="str">
            <v>Less: Financial intermediation services indirectly measured (FISIM) (only to be deducted if FISIM is not distributed to uses)</v>
          </cell>
          <cell r="F31">
            <v>0</v>
          </cell>
          <cell r="G31">
            <v>1995</v>
          </cell>
          <cell r="H31">
            <v>100</v>
          </cell>
          <cell r="I31">
            <v>3722000000</v>
          </cell>
        </row>
        <row r="32">
          <cell r="A32" t="str">
            <v>Argentina</v>
          </cell>
          <cell r="B32">
            <v>32</v>
          </cell>
          <cell r="C32">
            <v>201</v>
          </cell>
          <cell r="D32">
            <v>13</v>
          </cell>
          <cell r="E32" t="str">
            <v>Less: Financial intermediation services indirectly measured (FISIM) (only to be deducted if FISIM is not distributed to uses)</v>
          </cell>
          <cell r="F32">
            <v>0</v>
          </cell>
          <cell r="G32">
            <v>1996</v>
          </cell>
          <cell r="H32">
            <v>100</v>
          </cell>
          <cell r="I32">
            <v>3509000000</v>
          </cell>
        </row>
        <row r="33">
          <cell r="A33" t="str">
            <v>Argentina</v>
          </cell>
          <cell r="B33">
            <v>32</v>
          </cell>
          <cell r="C33">
            <v>201</v>
          </cell>
          <cell r="D33">
            <v>13</v>
          </cell>
          <cell r="E33" t="str">
            <v>Less: Financial intermediation services indirectly measured (FISIM) (only to be deducted if FISIM is not distributed to uses)</v>
          </cell>
          <cell r="F33">
            <v>0</v>
          </cell>
          <cell r="G33">
            <v>1997</v>
          </cell>
          <cell r="H33">
            <v>100</v>
          </cell>
          <cell r="I33">
            <v>3534000000</v>
          </cell>
        </row>
        <row r="34">
          <cell r="A34" t="str">
            <v>Argentina</v>
          </cell>
          <cell r="B34">
            <v>32</v>
          </cell>
          <cell r="C34">
            <v>201</v>
          </cell>
          <cell r="D34">
            <v>13</v>
          </cell>
          <cell r="E34" t="str">
            <v>Less: Financial intermediation services indirectly measured (FISIM) (only to be deducted if FISIM is not distributed to uses)</v>
          </cell>
          <cell r="F34">
            <v>0</v>
          </cell>
          <cell r="G34">
            <v>1998</v>
          </cell>
          <cell r="H34">
            <v>100</v>
          </cell>
          <cell r="I34">
            <v>4181000000</v>
          </cell>
        </row>
        <row r="35">
          <cell r="A35" t="str">
            <v>Argentina</v>
          </cell>
          <cell r="B35">
            <v>32</v>
          </cell>
          <cell r="C35">
            <v>201</v>
          </cell>
          <cell r="D35">
            <v>13</v>
          </cell>
          <cell r="E35" t="str">
            <v>Less: Financial intermediation services indirectly measured (FISIM) (only to be deducted if FISIM is not distributed to uses)</v>
          </cell>
          <cell r="F35">
            <v>0</v>
          </cell>
          <cell r="G35">
            <v>1999</v>
          </cell>
          <cell r="H35">
            <v>100</v>
          </cell>
          <cell r="I35">
            <v>4432000000</v>
          </cell>
        </row>
        <row r="36">
          <cell r="A36" t="str">
            <v>Argentina</v>
          </cell>
          <cell r="B36">
            <v>32</v>
          </cell>
          <cell r="C36">
            <v>201</v>
          </cell>
          <cell r="D36">
            <v>13</v>
          </cell>
          <cell r="E36" t="str">
            <v>Less: Financial intermediation services indirectly measured (FISIM) (only to be deducted if FISIM is not distributed to uses)</v>
          </cell>
          <cell r="F36">
            <v>0</v>
          </cell>
          <cell r="G36">
            <v>2000</v>
          </cell>
          <cell r="H36">
            <v>100</v>
          </cell>
          <cell r="I36">
            <v>4331000000</v>
          </cell>
        </row>
        <row r="37">
          <cell r="A37" t="str">
            <v>Argentina</v>
          </cell>
          <cell r="B37">
            <v>32</v>
          </cell>
          <cell r="C37">
            <v>201</v>
          </cell>
          <cell r="D37">
            <v>13</v>
          </cell>
          <cell r="E37" t="str">
            <v>Less: Financial intermediation services indirectly measured (FISIM) (only to be deducted if FISIM is not distributed to uses)</v>
          </cell>
          <cell r="F37">
            <v>0</v>
          </cell>
          <cell r="G37">
            <v>2001</v>
          </cell>
          <cell r="H37">
            <v>100</v>
          </cell>
          <cell r="I37">
            <v>4087000000</v>
          </cell>
        </row>
        <row r="38">
          <cell r="A38" t="str">
            <v>Central African Republic</v>
          </cell>
          <cell r="B38">
            <v>140</v>
          </cell>
          <cell r="C38">
            <v>201</v>
          </cell>
          <cell r="D38">
            <v>13</v>
          </cell>
          <cell r="E38" t="str">
            <v>Less: Financial intermediation services indirectly measured (FISIM) (only to be deducted if FISIM is not distributed to uses)</v>
          </cell>
          <cell r="F38">
            <v>0</v>
          </cell>
          <cell r="G38">
            <v>1980</v>
          </cell>
          <cell r="H38">
            <v>30</v>
          </cell>
          <cell r="I38">
            <v>3554000000</v>
          </cell>
        </row>
        <row r="39">
          <cell r="A39" t="str">
            <v>Central African Republic</v>
          </cell>
          <cell r="B39">
            <v>140</v>
          </cell>
          <cell r="C39">
            <v>201</v>
          </cell>
          <cell r="D39">
            <v>13</v>
          </cell>
          <cell r="E39" t="str">
            <v>Less: Financial intermediation services indirectly measured (FISIM) (only to be deducted if FISIM is not distributed to uses)</v>
          </cell>
          <cell r="F39">
            <v>0</v>
          </cell>
          <cell r="G39">
            <v>1981</v>
          </cell>
          <cell r="H39">
            <v>30</v>
          </cell>
          <cell r="I39">
            <v>5713000000</v>
          </cell>
        </row>
        <row r="40">
          <cell r="A40" t="str">
            <v>Central African Republic</v>
          </cell>
          <cell r="B40">
            <v>140</v>
          </cell>
          <cell r="C40">
            <v>201</v>
          </cell>
          <cell r="D40">
            <v>13</v>
          </cell>
          <cell r="E40" t="str">
            <v>Less: Financial intermediation services indirectly measured (FISIM) (only to be deducted if FISIM is not distributed to uses)</v>
          </cell>
          <cell r="F40">
            <v>0</v>
          </cell>
          <cell r="G40">
            <v>1982</v>
          </cell>
          <cell r="H40">
            <v>30</v>
          </cell>
          <cell r="I40">
            <v>6689000000</v>
          </cell>
        </row>
        <row r="41">
          <cell r="A41" t="str">
            <v>Central African Republic</v>
          </cell>
          <cell r="B41">
            <v>140</v>
          </cell>
          <cell r="C41">
            <v>201</v>
          </cell>
          <cell r="D41">
            <v>13</v>
          </cell>
          <cell r="E41" t="str">
            <v>Less: Financial intermediation services indirectly measured (FISIM) (only to be deducted if FISIM is not distributed to uses)</v>
          </cell>
          <cell r="F41">
            <v>0</v>
          </cell>
          <cell r="G41">
            <v>1983</v>
          </cell>
          <cell r="H41">
            <v>30</v>
          </cell>
          <cell r="I41">
            <v>5515000000</v>
          </cell>
        </row>
        <row r="42">
          <cell r="A42" t="str">
            <v>Central African Republic</v>
          </cell>
          <cell r="B42">
            <v>140</v>
          </cell>
          <cell r="C42">
            <v>201</v>
          </cell>
          <cell r="D42">
            <v>13</v>
          </cell>
          <cell r="E42" t="str">
            <v>Less: Financial intermediation services indirectly measured (FISIM) (only to be deducted if FISIM is not distributed to uses)</v>
          </cell>
          <cell r="F42">
            <v>0</v>
          </cell>
          <cell r="G42">
            <v>1984</v>
          </cell>
          <cell r="H42">
            <v>30</v>
          </cell>
          <cell r="I42">
            <v>5840000000</v>
          </cell>
        </row>
        <row r="43">
          <cell r="A43" t="str">
            <v>Central African Republic</v>
          </cell>
          <cell r="B43">
            <v>140</v>
          </cell>
          <cell r="C43">
            <v>201</v>
          </cell>
          <cell r="D43">
            <v>13</v>
          </cell>
          <cell r="E43" t="str">
            <v>Less: Financial intermediation services indirectly measured (FISIM) (only to be deducted if FISIM is not distributed to uses)</v>
          </cell>
          <cell r="F43">
            <v>0</v>
          </cell>
          <cell r="G43">
            <v>1985</v>
          </cell>
          <cell r="H43">
            <v>30</v>
          </cell>
          <cell r="I43">
            <v>6582000000</v>
          </cell>
        </row>
        <row r="44">
          <cell r="A44" t="str">
            <v>Chile</v>
          </cell>
          <cell r="B44">
            <v>152</v>
          </cell>
          <cell r="C44">
            <v>201</v>
          </cell>
          <cell r="D44">
            <v>13</v>
          </cell>
          <cell r="E44" t="str">
            <v>Less: Financial intermediation services indirectly measured (FISIM) (only to be deducted if FISIM is not distributed to uses)</v>
          </cell>
          <cell r="F44">
            <v>0</v>
          </cell>
          <cell r="G44">
            <v>1968</v>
          </cell>
          <cell r="H44">
            <v>20</v>
          </cell>
          <cell r="I44">
            <v>-1000000</v>
          </cell>
        </row>
        <row r="45">
          <cell r="A45" t="str">
            <v>Chile</v>
          </cell>
          <cell r="B45">
            <v>152</v>
          </cell>
          <cell r="C45">
            <v>201</v>
          </cell>
          <cell r="D45">
            <v>13</v>
          </cell>
          <cell r="E45" t="str">
            <v>Less: Financial intermediation services indirectly measured (FISIM) (only to be deducted if FISIM is not distributed to uses)</v>
          </cell>
          <cell r="F45">
            <v>0</v>
          </cell>
          <cell r="G45">
            <v>1969</v>
          </cell>
          <cell r="H45">
            <v>20</v>
          </cell>
          <cell r="I45">
            <v>-1000000</v>
          </cell>
        </row>
        <row r="46">
          <cell r="A46" t="str">
            <v>Chile</v>
          </cell>
          <cell r="B46">
            <v>152</v>
          </cell>
          <cell r="C46">
            <v>201</v>
          </cell>
          <cell r="D46">
            <v>13</v>
          </cell>
          <cell r="E46" t="str">
            <v>Less: Financial intermediation services indirectly measured (FISIM) (only to be deducted if FISIM is not distributed to uses)</v>
          </cell>
          <cell r="F46">
            <v>0</v>
          </cell>
          <cell r="G46">
            <v>1970</v>
          </cell>
          <cell r="H46">
            <v>20</v>
          </cell>
          <cell r="I46">
            <v>2000000</v>
          </cell>
        </row>
        <row r="47">
          <cell r="A47" t="str">
            <v>Chile</v>
          </cell>
          <cell r="B47">
            <v>152</v>
          </cell>
          <cell r="C47">
            <v>201</v>
          </cell>
          <cell r="D47">
            <v>13</v>
          </cell>
          <cell r="E47" t="str">
            <v>Less: Financial intermediation services indirectly measured (FISIM) (only to be deducted if FISIM is not distributed to uses)</v>
          </cell>
          <cell r="F47">
            <v>0</v>
          </cell>
          <cell r="G47">
            <v>1971</v>
          </cell>
          <cell r="H47">
            <v>20</v>
          </cell>
          <cell r="I47">
            <v>2000000</v>
          </cell>
        </row>
        <row r="48">
          <cell r="A48" t="str">
            <v>Chile</v>
          </cell>
          <cell r="B48">
            <v>152</v>
          </cell>
          <cell r="C48">
            <v>201</v>
          </cell>
          <cell r="D48">
            <v>13</v>
          </cell>
          <cell r="E48" t="str">
            <v>Less: Financial intermediation services indirectly measured (FISIM) (only to be deducted if FISIM is not distributed to uses)</v>
          </cell>
          <cell r="F48">
            <v>0</v>
          </cell>
          <cell r="G48">
            <v>1972</v>
          </cell>
          <cell r="H48">
            <v>20</v>
          </cell>
          <cell r="I48">
            <v>4000000</v>
          </cell>
        </row>
        <row r="49">
          <cell r="A49" t="str">
            <v>Chile</v>
          </cell>
          <cell r="B49">
            <v>152</v>
          </cell>
          <cell r="C49">
            <v>201</v>
          </cell>
          <cell r="D49">
            <v>13</v>
          </cell>
          <cell r="E49" t="str">
            <v>Less: Financial intermediation services indirectly measured (FISIM) (only to be deducted if FISIM is not distributed to uses)</v>
          </cell>
          <cell r="F49">
            <v>0</v>
          </cell>
          <cell r="G49">
            <v>1973</v>
          </cell>
          <cell r="H49">
            <v>20</v>
          </cell>
          <cell r="I49">
            <v>24000000</v>
          </cell>
        </row>
        <row r="50">
          <cell r="A50" t="str">
            <v>Chile</v>
          </cell>
          <cell r="B50">
            <v>152</v>
          </cell>
          <cell r="C50">
            <v>201</v>
          </cell>
          <cell r="D50">
            <v>13</v>
          </cell>
          <cell r="E50" t="str">
            <v>Less: Financial intermediation services indirectly measured (FISIM) (only to be deducted if FISIM is not distributed to uses)</v>
          </cell>
          <cell r="F50">
            <v>0</v>
          </cell>
          <cell r="G50">
            <v>1974</v>
          </cell>
          <cell r="H50">
            <v>20</v>
          </cell>
          <cell r="I50">
            <v>223000000</v>
          </cell>
        </row>
        <row r="51">
          <cell r="A51" t="str">
            <v>Chile</v>
          </cell>
          <cell r="B51">
            <v>152</v>
          </cell>
          <cell r="C51">
            <v>201</v>
          </cell>
          <cell r="D51">
            <v>13</v>
          </cell>
          <cell r="E51" t="str">
            <v>Less: Financial intermediation services indirectly measured (FISIM) (only to be deducted if FISIM is not distributed to uses)</v>
          </cell>
          <cell r="F51">
            <v>0</v>
          </cell>
          <cell r="G51">
            <v>1975</v>
          </cell>
          <cell r="H51">
            <v>20</v>
          </cell>
          <cell r="I51">
            <v>1047000000</v>
          </cell>
        </row>
        <row r="52">
          <cell r="A52" t="str">
            <v>Chile</v>
          </cell>
          <cell r="B52">
            <v>152</v>
          </cell>
          <cell r="C52">
            <v>201</v>
          </cell>
          <cell r="D52">
            <v>13</v>
          </cell>
          <cell r="E52" t="str">
            <v>Less: Financial intermediation services indirectly measured (FISIM) (only to be deducted if FISIM is not distributed to uses)</v>
          </cell>
          <cell r="F52">
            <v>0</v>
          </cell>
          <cell r="G52">
            <v>1976</v>
          </cell>
          <cell r="H52">
            <v>20</v>
          </cell>
          <cell r="I52">
            <v>3343000000</v>
          </cell>
        </row>
        <row r="53">
          <cell r="A53" t="str">
            <v>Chile</v>
          </cell>
          <cell r="B53">
            <v>152</v>
          </cell>
          <cell r="C53">
            <v>201</v>
          </cell>
          <cell r="D53">
            <v>13</v>
          </cell>
          <cell r="E53" t="str">
            <v>Less: Financial intermediation services indirectly measured (FISIM) (only to be deducted if FISIM is not distributed to uses)</v>
          </cell>
          <cell r="F53">
            <v>0</v>
          </cell>
          <cell r="G53">
            <v>1977</v>
          </cell>
          <cell r="H53">
            <v>20</v>
          </cell>
          <cell r="I53">
            <v>9152000000</v>
          </cell>
        </row>
        <row r="54">
          <cell r="A54" t="str">
            <v>Chile</v>
          </cell>
          <cell r="B54">
            <v>152</v>
          </cell>
          <cell r="C54">
            <v>201</v>
          </cell>
          <cell r="D54">
            <v>13</v>
          </cell>
          <cell r="E54" t="str">
            <v>Less: Financial intermediation services indirectly measured (FISIM) (only to be deducted if FISIM is not distributed to uses)</v>
          </cell>
          <cell r="F54">
            <v>0</v>
          </cell>
          <cell r="G54">
            <v>1978</v>
          </cell>
          <cell r="H54">
            <v>20</v>
          </cell>
          <cell r="I54">
            <v>14267000000</v>
          </cell>
        </row>
        <row r="55">
          <cell r="A55" t="str">
            <v>Chile</v>
          </cell>
          <cell r="B55">
            <v>152</v>
          </cell>
          <cell r="C55">
            <v>201</v>
          </cell>
          <cell r="D55">
            <v>13</v>
          </cell>
          <cell r="E55" t="str">
            <v>Less: Financial intermediation services indirectly measured (FISIM) (only to be deducted if FISIM is not distributed to uses)</v>
          </cell>
          <cell r="F55">
            <v>0</v>
          </cell>
          <cell r="G55">
            <v>1979</v>
          </cell>
          <cell r="H55">
            <v>20</v>
          </cell>
          <cell r="I55">
            <v>30438000000</v>
          </cell>
        </row>
        <row r="56">
          <cell r="A56" t="str">
            <v>Chile</v>
          </cell>
          <cell r="B56">
            <v>152</v>
          </cell>
          <cell r="C56">
            <v>201</v>
          </cell>
          <cell r="D56">
            <v>13</v>
          </cell>
          <cell r="E56" t="str">
            <v>Less: Financial intermediation services indirectly measured (FISIM) (only to be deducted if FISIM is not distributed to uses)</v>
          </cell>
          <cell r="F56">
            <v>0</v>
          </cell>
          <cell r="G56">
            <v>1980</v>
          </cell>
          <cell r="H56">
            <v>20</v>
          </cell>
          <cell r="I56">
            <v>55852000000</v>
          </cell>
        </row>
        <row r="57">
          <cell r="A57" t="str">
            <v>Chile</v>
          </cell>
          <cell r="B57">
            <v>152</v>
          </cell>
          <cell r="C57">
            <v>201</v>
          </cell>
          <cell r="D57">
            <v>13</v>
          </cell>
          <cell r="E57" t="str">
            <v>Less: Financial intermediation services indirectly measured (FISIM) (only to be deducted if FISIM is not distributed to uses)</v>
          </cell>
          <cell r="F57">
            <v>0</v>
          </cell>
          <cell r="G57">
            <v>1981</v>
          </cell>
          <cell r="H57">
            <v>20</v>
          </cell>
          <cell r="I57">
            <v>81244000000</v>
          </cell>
        </row>
        <row r="58">
          <cell r="A58" t="str">
            <v>Chile</v>
          </cell>
          <cell r="B58">
            <v>152</v>
          </cell>
          <cell r="C58">
            <v>201</v>
          </cell>
          <cell r="D58">
            <v>13</v>
          </cell>
          <cell r="E58" t="str">
            <v>Less: Financial intermediation services indirectly measured (FISIM) (only to be deducted if FISIM is not distributed to uses)</v>
          </cell>
          <cell r="F58">
            <v>0</v>
          </cell>
          <cell r="G58">
            <v>1982</v>
          </cell>
          <cell r="H58">
            <v>20</v>
          </cell>
          <cell r="I58">
            <v>80778000000</v>
          </cell>
        </row>
        <row r="59">
          <cell r="A59" t="str">
            <v>Chile</v>
          </cell>
          <cell r="B59">
            <v>152</v>
          </cell>
          <cell r="C59">
            <v>201</v>
          </cell>
          <cell r="D59">
            <v>13</v>
          </cell>
          <cell r="E59" t="str">
            <v>Less: Financial intermediation services indirectly measured (FISIM) (only to be deducted if FISIM is not distributed to uses)</v>
          </cell>
          <cell r="F59">
            <v>0</v>
          </cell>
          <cell r="G59">
            <v>1983</v>
          </cell>
          <cell r="H59">
            <v>20</v>
          </cell>
          <cell r="I59">
            <v>47528000000</v>
          </cell>
        </row>
        <row r="60">
          <cell r="A60" t="str">
            <v>Chile</v>
          </cell>
          <cell r="B60">
            <v>152</v>
          </cell>
          <cell r="C60">
            <v>201</v>
          </cell>
          <cell r="D60">
            <v>13</v>
          </cell>
          <cell r="E60" t="str">
            <v>Less: Financial intermediation services indirectly measured (FISIM) (only to be deducted if FISIM is not distributed to uses)</v>
          </cell>
          <cell r="F60">
            <v>0</v>
          </cell>
          <cell r="G60">
            <v>1984</v>
          </cell>
          <cell r="H60">
            <v>20</v>
          </cell>
          <cell r="I60">
            <v>41901000000</v>
          </cell>
        </row>
        <row r="61">
          <cell r="A61" t="str">
            <v>Chile</v>
          </cell>
          <cell r="B61">
            <v>152</v>
          </cell>
          <cell r="C61">
            <v>201</v>
          </cell>
          <cell r="D61">
            <v>13</v>
          </cell>
          <cell r="E61" t="str">
            <v>Less: Financial intermediation services indirectly measured (FISIM) (only to be deducted if FISIM is not distributed to uses)</v>
          </cell>
          <cell r="F61">
            <v>0</v>
          </cell>
          <cell r="G61">
            <v>1985</v>
          </cell>
          <cell r="H61">
            <v>20</v>
          </cell>
          <cell r="I61">
            <v>119130000000</v>
          </cell>
        </row>
        <row r="62">
          <cell r="A62" t="str">
            <v>Chile</v>
          </cell>
          <cell r="B62">
            <v>152</v>
          </cell>
          <cell r="C62">
            <v>201</v>
          </cell>
          <cell r="D62">
            <v>13</v>
          </cell>
          <cell r="E62" t="str">
            <v>Less: Financial intermediation services indirectly measured (FISIM) (only to be deducted if FISIM is not distributed to uses)</v>
          </cell>
          <cell r="F62">
            <v>0</v>
          </cell>
          <cell r="G62">
            <v>1985</v>
          </cell>
          <cell r="H62">
            <v>30</v>
          </cell>
          <cell r="I62">
            <v>226143000000</v>
          </cell>
        </row>
        <row r="63">
          <cell r="A63" t="str">
            <v>Chile</v>
          </cell>
          <cell r="B63">
            <v>152</v>
          </cell>
          <cell r="C63">
            <v>201</v>
          </cell>
          <cell r="D63">
            <v>13</v>
          </cell>
          <cell r="E63" t="str">
            <v>Less: Financial intermediation services indirectly measured (FISIM) (only to be deducted if FISIM is not distributed to uses)</v>
          </cell>
          <cell r="F63">
            <v>0</v>
          </cell>
          <cell r="G63">
            <v>1986</v>
          </cell>
          <cell r="H63">
            <v>30</v>
          </cell>
          <cell r="I63">
            <v>234428000000</v>
          </cell>
        </row>
        <row r="64">
          <cell r="A64" t="str">
            <v>Chile</v>
          </cell>
          <cell r="B64">
            <v>152</v>
          </cell>
          <cell r="C64">
            <v>201</v>
          </cell>
          <cell r="D64">
            <v>13</v>
          </cell>
          <cell r="E64" t="str">
            <v>Less: Financial intermediation services indirectly measured (FISIM) (only to be deducted if FISIM is not distributed to uses)</v>
          </cell>
          <cell r="F64">
            <v>0</v>
          </cell>
          <cell r="G64">
            <v>1987</v>
          </cell>
          <cell r="H64">
            <v>30</v>
          </cell>
          <cell r="I64">
            <v>298341000000</v>
          </cell>
        </row>
        <row r="65">
          <cell r="A65" t="str">
            <v>Chile</v>
          </cell>
          <cell r="B65">
            <v>152</v>
          </cell>
          <cell r="C65">
            <v>201</v>
          </cell>
          <cell r="D65">
            <v>13</v>
          </cell>
          <cell r="E65" t="str">
            <v>Less: Financial intermediation services indirectly measured (FISIM) (only to be deducted if FISIM is not distributed to uses)</v>
          </cell>
          <cell r="F65">
            <v>0</v>
          </cell>
          <cell r="G65">
            <v>1988</v>
          </cell>
          <cell r="H65">
            <v>30</v>
          </cell>
          <cell r="I65">
            <v>289515000000</v>
          </cell>
        </row>
        <row r="66">
          <cell r="A66" t="str">
            <v>Chile</v>
          </cell>
          <cell r="B66">
            <v>152</v>
          </cell>
          <cell r="C66">
            <v>201</v>
          </cell>
          <cell r="D66">
            <v>13</v>
          </cell>
          <cell r="E66" t="str">
            <v>Less: Financial intermediation services indirectly measured (FISIM) (only to be deducted if FISIM is not distributed to uses)</v>
          </cell>
          <cell r="F66">
            <v>0</v>
          </cell>
          <cell r="G66">
            <v>1989</v>
          </cell>
          <cell r="H66">
            <v>30</v>
          </cell>
          <cell r="I66">
            <v>343849000000</v>
          </cell>
        </row>
        <row r="67">
          <cell r="A67" t="str">
            <v>Chile</v>
          </cell>
          <cell r="B67">
            <v>152</v>
          </cell>
          <cell r="C67">
            <v>201</v>
          </cell>
          <cell r="D67">
            <v>13</v>
          </cell>
          <cell r="E67" t="str">
            <v>Less: Financial intermediation services indirectly measured (FISIM) (only to be deducted if FISIM is not distributed to uses)</v>
          </cell>
          <cell r="F67">
            <v>0</v>
          </cell>
          <cell r="G67">
            <v>1990</v>
          </cell>
          <cell r="H67">
            <v>30</v>
          </cell>
          <cell r="I67">
            <v>419088000000</v>
          </cell>
        </row>
        <row r="68">
          <cell r="A68" t="str">
            <v>Chile</v>
          </cell>
          <cell r="B68">
            <v>152</v>
          </cell>
          <cell r="C68">
            <v>201</v>
          </cell>
          <cell r="D68">
            <v>13</v>
          </cell>
          <cell r="E68" t="str">
            <v>Less: Financial intermediation services indirectly measured (FISIM) (only to be deducted if FISIM is not distributed to uses)</v>
          </cell>
          <cell r="F68">
            <v>0</v>
          </cell>
          <cell r="G68">
            <v>1991</v>
          </cell>
          <cell r="H68">
            <v>30</v>
          </cell>
          <cell r="I68">
            <v>367750000000</v>
          </cell>
        </row>
        <row r="69">
          <cell r="A69" t="str">
            <v>Chile</v>
          </cell>
          <cell r="B69">
            <v>152</v>
          </cell>
          <cell r="C69">
            <v>201</v>
          </cell>
          <cell r="D69">
            <v>13</v>
          </cell>
          <cell r="E69" t="str">
            <v>Less: Financial intermediation services indirectly measured (FISIM) (only to be deducted if FISIM is not distributed to uses)</v>
          </cell>
          <cell r="F69">
            <v>0</v>
          </cell>
          <cell r="G69">
            <v>1992</v>
          </cell>
          <cell r="H69">
            <v>30</v>
          </cell>
          <cell r="I69">
            <v>463402000000</v>
          </cell>
        </row>
        <row r="70">
          <cell r="A70" t="str">
            <v>Chile</v>
          </cell>
          <cell r="B70">
            <v>152</v>
          </cell>
          <cell r="C70">
            <v>201</v>
          </cell>
          <cell r="D70">
            <v>13</v>
          </cell>
          <cell r="E70" t="str">
            <v>Less: Financial intermediation services indirectly measured (FISIM) (only to be deducted if FISIM is not distributed to uses)</v>
          </cell>
          <cell r="F70">
            <v>0</v>
          </cell>
          <cell r="G70">
            <v>1993</v>
          </cell>
          <cell r="H70">
            <v>30</v>
          </cell>
          <cell r="I70">
            <v>629048000000</v>
          </cell>
        </row>
        <row r="71">
          <cell r="A71" t="str">
            <v>Chile</v>
          </cell>
          <cell r="B71">
            <v>152</v>
          </cell>
          <cell r="C71">
            <v>201</v>
          </cell>
          <cell r="D71">
            <v>13</v>
          </cell>
          <cell r="E71" t="str">
            <v>Less: Financial intermediation services indirectly measured (FISIM) (only to be deducted if FISIM is not distributed to uses)</v>
          </cell>
          <cell r="F71">
            <v>0</v>
          </cell>
          <cell r="G71">
            <v>1994</v>
          </cell>
          <cell r="H71">
            <v>30</v>
          </cell>
          <cell r="I71">
            <v>798732000000</v>
          </cell>
        </row>
        <row r="72">
          <cell r="A72" t="str">
            <v>Chile</v>
          </cell>
          <cell r="B72">
            <v>152</v>
          </cell>
          <cell r="C72">
            <v>201</v>
          </cell>
          <cell r="D72">
            <v>13</v>
          </cell>
          <cell r="E72" t="str">
            <v>Less: Financial intermediation services indirectly measured (FISIM) (only to be deducted if FISIM is not distributed to uses)</v>
          </cell>
          <cell r="F72">
            <v>0</v>
          </cell>
          <cell r="G72">
            <v>1995</v>
          </cell>
          <cell r="H72">
            <v>30</v>
          </cell>
          <cell r="I72">
            <v>912678000000</v>
          </cell>
        </row>
        <row r="73">
          <cell r="A73" t="str">
            <v>Chile</v>
          </cell>
          <cell r="B73">
            <v>152</v>
          </cell>
          <cell r="C73">
            <v>201</v>
          </cell>
          <cell r="D73">
            <v>13</v>
          </cell>
          <cell r="E73" t="str">
            <v>Less: Financial intermediation services indirectly measured (FISIM) (only to be deducted if FISIM is not distributed to uses)</v>
          </cell>
          <cell r="F73">
            <v>0</v>
          </cell>
          <cell r="G73">
            <v>1996</v>
          </cell>
          <cell r="H73">
            <v>30</v>
          </cell>
          <cell r="I73">
            <v>1105234000000</v>
          </cell>
        </row>
        <row r="74">
          <cell r="A74" t="str">
            <v>Chile</v>
          </cell>
          <cell r="B74">
            <v>152</v>
          </cell>
          <cell r="C74">
            <v>201</v>
          </cell>
          <cell r="D74">
            <v>13</v>
          </cell>
          <cell r="E74" t="str">
            <v>Less: Financial intermediation services indirectly measured (FISIM) (only to be deducted if FISIM is not distributed to uses)</v>
          </cell>
          <cell r="F74">
            <v>0</v>
          </cell>
          <cell r="G74">
            <v>1996</v>
          </cell>
          <cell r="H74">
            <v>100</v>
          </cell>
          <cell r="I74">
            <v>1015444000000</v>
          </cell>
        </row>
        <row r="75">
          <cell r="A75" t="str">
            <v>Chile</v>
          </cell>
          <cell r="B75">
            <v>152</v>
          </cell>
          <cell r="C75">
            <v>201</v>
          </cell>
          <cell r="D75">
            <v>13</v>
          </cell>
          <cell r="E75" t="str">
            <v>Less: Financial intermediation services indirectly measured (FISIM) (only to be deducted if FISIM is not distributed to uses)</v>
          </cell>
          <cell r="F75">
            <v>0</v>
          </cell>
          <cell r="G75">
            <v>1997</v>
          </cell>
          <cell r="H75">
            <v>100</v>
          </cell>
          <cell r="I75">
            <v>1169591000000</v>
          </cell>
        </row>
        <row r="76">
          <cell r="A76" t="str">
            <v>Chile</v>
          </cell>
          <cell r="B76">
            <v>152</v>
          </cell>
          <cell r="C76">
            <v>201</v>
          </cell>
          <cell r="D76">
            <v>13</v>
          </cell>
          <cell r="E76" t="str">
            <v>Less: Financial intermediation services indirectly measured (FISIM) (only to be deducted if FISIM is not distributed to uses)</v>
          </cell>
          <cell r="F76">
            <v>0</v>
          </cell>
          <cell r="G76">
            <v>1998</v>
          </cell>
          <cell r="H76">
            <v>100</v>
          </cell>
          <cell r="I76">
            <v>1366000000000</v>
          </cell>
        </row>
        <row r="77">
          <cell r="A77" t="str">
            <v>Chile</v>
          </cell>
          <cell r="B77">
            <v>152</v>
          </cell>
          <cell r="C77">
            <v>201</v>
          </cell>
          <cell r="D77">
            <v>13</v>
          </cell>
          <cell r="E77" t="str">
            <v>Less: Financial intermediation services indirectly measured (FISIM) (only to be deducted if FISIM is not distributed to uses)</v>
          </cell>
          <cell r="F77">
            <v>0</v>
          </cell>
          <cell r="G77">
            <v>1999</v>
          </cell>
          <cell r="H77">
            <v>100</v>
          </cell>
          <cell r="I77">
            <v>1322770000000</v>
          </cell>
        </row>
        <row r="78">
          <cell r="A78" t="str">
            <v>Chile</v>
          </cell>
          <cell r="B78">
            <v>152</v>
          </cell>
          <cell r="C78">
            <v>201</v>
          </cell>
          <cell r="D78">
            <v>13</v>
          </cell>
          <cell r="E78" t="str">
            <v>Less: Financial intermediation services indirectly measured (FISIM) (only to be deducted if FISIM is not distributed to uses)</v>
          </cell>
          <cell r="F78">
            <v>0</v>
          </cell>
          <cell r="G78">
            <v>2000</v>
          </cell>
          <cell r="H78">
            <v>100</v>
          </cell>
          <cell r="I78">
            <v>1407850000000</v>
          </cell>
        </row>
        <row r="79">
          <cell r="A79" t="str">
            <v>Chile</v>
          </cell>
          <cell r="B79">
            <v>152</v>
          </cell>
          <cell r="C79">
            <v>201</v>
          </cell>
          <cell r="D79">
            <v>13</v>
          </cell>
          <cell r="E79" t="str">
            <v>Less: Financial intermediation services indirectly measured (FISIM) (only to be deducted if FISIM is not distributed to uses)</v>
          </cell>
          <cell r="F79">
            <v>0</v>
          </cell>
          <cell r="G79">
            <v>2001</v>
          </cell>
          <cell r="H79">
            <v>100</v>
          </cell>
          <cell r="I79">
            <v>1619793000000</v>
          </cell>
        </row>
        <row r="80">
          <cell r="A80" t="str">
            <v>Chile</v>
          </cell>
          <cell r="B80">
            <v>152</v>
          </cell>
          <cell r="C80">
            <v>203</v>
          </cell>
          <cell r="D80">
            <v>3</v>
          </cell>
          <cell r="E80" t="str">
            <v>Equals: VALUE ADDED, GROSS, at basic prices</v>
          </cell>
          <cell r="F80">
            <v>12</v>
          </cell>
          <cell r="G80">
            <v>1974</v>
          </cell>
          <cell r="H80">
            <v>20</v>
          </cell>
          <cell r="I80">
            <v>9093000000</v>
          </cell>
        </row>
        <row r="81">
          <cell r="A81" t="str">
            <v>Chile</v>
          </cell>
          <cell r="B81">
            <v>152</v>
          </cell>
          <cell r="C81">
            <v>203</v>
          </cell>
          <cell r="D81">
            <v>3</v>
          </cell>
          <cell r="E81" t="str">
            <v>Equals: VALUE ADDED, GROSS, at basic prices</v>
          </cell>
          <cell r="F81">
            <v>12</v>
          </cell>
          <cell r="G81">
            <v>1975</v>
          </cell>
          <cell r="H81">
            <v>20</v>
          </cell>
          <cell r="I81">
            <v>35191000000</v>
          </cell>
        </row>
        <row r="82">
          <cell r="A82" t="str">
            <v>Chile</v>
          </cell>
          <cell r="B82">
            <v>152</v>
          </cell>
          <cell r="C82">
            <v>203</v>
          </cell>
          <cell r="D82">
            <v>3</v>
          </cell>
          <cell r="E82" t="str">
            <v>Equals: VALUE ADDED, GROSS, at basic prices</v>
          </cell>
          <cell r="F82">
            <v>12</v>
          </cell>
          <cell r="G82">
            <v>1976</v>
          </cell>
          <cell r="H82">
            <v>20</v>
          </cell>
          <cell r="I82">
            <v>127077000000</v>
          </cell>
        </row>
        <row r="83">
          <cell r="A83" t="str">
            <v>Chile</v>
          </cell>
          <cell r="B83">
            <v>152</v>
          </cell>
          <cell r="C83">
            <v>203</v>
          </cell>
          <cell r="D83">
            <v>3</v>
          </cell>
          <cell r="E83" t="str">
            <v>Equals: VALUE ADDED, GROSS, at basic prices</v>
          </cell>
          <cell r="F83">
            <v>12</v>
          </cell>
          <cell r="G83">
            <v>1977</v>
          </cell>
          <cell r="H83">
            <v>20</v>
          </cell>
          <cell r="I83">
            <v>282932000000</v>
          </cell>
        </row>
        <row r="84">
          <cell r="A84" t="str">
            <v>Chile</v>
          </cell>
          <cell r="B84">
            <v>152</v>
          </cell>
          <cell r="C84">
            <v>203</v>
          </cell>
          <cell r="D84">
            <v>3</v>
          </cell>
          <cell r="E84" t="str">
            <v>Equals: VALUE ADDED, GROSS, at basic prices</v>
          </cell>
          <cell r="F84">
            <v>12</v>
          </cell>
          <cell r="G84">
            <v>1978</v>
          </cell>
          <cell r="H84">
            <v>20</v>
          </cell>
          <cell r="I84">
            <v>476649000000</v>
          </cell>
        </row>
        <row r="85">
          <cell r="A85" t="str">
            <v>Chile</v>
          </cell>
          <cell r="B85">
            <v>152</v>
          </cell>
          <cell r="C85">
            <v>203</v>
          </cell>
          <cell r="D85">
            <v>3</v>
          </cell>
          <cell r="E85" t="str">
            <v>Equals: VALUE ADDED, GROSS, at basic prices</v>
          </cell>
          <cell r="F85">
            <v>12</v>
          </cell>
          <cell r="G85">
            <v>1979</v>
          </cell>
          <cell r="H85">
            <v>20</v>
          </cell>
          <cell r="I85">
            <v>760499000000</v>
          </cell>
        </row>
        <row r="86">
          <cell r="A86" t="str">
            <v>Chile</v>
          </cell>
          <cell r="B86">
            <v>152</v>
          </cell>
          <cell r="C86">
            <v>203</v>
          </cell>
          <cell r="D86">
            <v>3</v>
          </cell>
          <cell r="E86" t="str">
            <v>Equals: VALUE ADDED, GROSS, at basic prices</v>
          </cell>
          <cell r="F86">
            <v>12</v>
          </cell>
          <cell r="G86">
            <v>1980</v>
          </cell>
          <cell r="H86">
            <v>20</v>
          </cell>
          <cell r="I86">
            <v>1071617000000</v>
          </cell>
        </row>
        <row r="87">
          <cell r="A87" t="str">
            <v>Chile</v>
          </cell>
          <cell r="B87">
            <v>152</v>
          </cell>
          <cell r="C87">
            <v>203</v>
          </cell>
          <cell r="D87">
            <v>3</v>
          </cell>
          <cell r="E87" t="str">
            <v>Equals: VALUE ADDED, GROSS, at basic prices</v>
          </cell>
          <cell r="F87">
            <v>12</v>
          </cell>
          <cell r="G87">
            <v>1981</v>
          </cell>
          <cell r="H87">
            <v>20</v>
          </cell>
          <cell r="I87">
            <v>1292573000000</v>
          </cell>
        </row>
        <row r="88">
          <cell r="A88" t="str">
            <v>Chile</v>
          </cell>
          <cell r="B88">
            <v>152</v>
          </cell>
          <cell r="C88">
            <v>203</v>
          </cell>
          <cell r="D88">
            <v>3</v>
          </cell>
          <cell r="E88" t="str">
            <v>Equals: VALUE ADDED, GROSS, at basic prices</v>
          </cell>
          <cell r="F88">
            <v>12</v>
          </cell>
          <cell r="G88">
            <v>1982</v>
          </cell>
          <cell r="H88">
            <v>20</v>
          </cell>
          <cell r="I88">
            <v>1226319000000</v>
          </cell>
        </row>
        <row r="89">
          <cell r="A89" t="str">
            <v>Chile</v>
          </cell>
          <cell r="B89">
            <v>152</v>
          </cell>
          <cell r="C89">
            <v>203</v>
          </cell>
          <cell r="D89">
            <v>3</v>
          </cell>
          <cell r="E89" t="str">
            <v>Equals: VALUE ADDED, GROSS, at basic prices</v>
          </cell>
          <cell r="F89">
            <v>12</v>
          </cell>
          <cell r="G89">
            <v>1983</v>
          </cell>
          <cell r="H89">
            <v>20</v>
          </cell>
          <cell r="I89">
            <v>1495065000000</v>
          </cell>
        </row>
        <row r="90">
          <cell r="A90" t="str">
            <v>Chile</v>
          </cell>
          <cell r="B90">
            <v>152</v>
          </cell>
          <cell r="C90">
            <v>203</v>
          </cell>
          <cell r="D90">
            <v>3</v>
          </cell>
          <cell r="E90" t="str">
            <v>Equals: VALUE ADDED, GROSS, at basic prices</v>
          </cell>
          <cell r="F90">
            <v>12</v>
          </cell>
          <cell r="G90">
            <v>1984</v>
          </cell>
          <cell r="H90">
            <v>20</v>
          </cell>
          <cell r="I90">
            <v>1803730000000</v>
          </cell>
        </row>
        <row r="91">
          <cell r="A91" t="str">
            <v>Chile</v>
          </cell>
          <cell r="B91">
            <v>152</v>
          </cell>
          <cell r="C91">
            <v>203</v>
          </cell>
          <cell r="D91">
            <v>3</v>
          </cell>
          <cell r="E91" t="str">
            <v>Equals: VALUE ADDED, GROSS, at basic prices</v>
          </cell>
          <cell r="F91">
            <v>12</v>
          </cell>
          <cell r="G91">
            <v>1985</v>
          </cell>
          <cell r="H91">
            <v>20</v>
          </cell>
          <cell r="I91">
            <v>2656817000000</v>
          </cell>
        </row>
        <row r="92">
          <cell r="A92" t="str">
            <v>Chile</v>
          </cell>
          <cell r="B92">
            <v>152</v>
          </cell>
          <cell r="C92">
            <v>203</v>
          </cell>
          <cell r="D92">
            <v>3</v>
          </cell>
          <cell r="E92" t="str">
            <v>Equals: VALUE ADDED, GROSS, at basic prices</v>
          </cell>
          <cell r="F92">
            <v>12</v>
          </cell>
          <cell r="G92">
            <v>1985</v>
          </cell>
          <cell r="H92">
            <v>30</v>
          </cell>
          <cell r="I92">
            <v>2566572000000</v>
          </cell>
        </row>
        <row r="93">
          <cell r="A93" t="str">
            <v>Chile</v>
          </cell>
          <cell r="B93">
            <v>152</v>
          </cell>
          <cell r="C93">
            <v>203</v>
          </cell>
          <cell r="D93">
            <v>3</v>
          </cell>
          <cell r="E93" t="str">
            <v>Equals: VALUE ADDED, GROSS, at basic prices</v>
          </cell>
          <cell r="F93">
            <v>12</v>
          </cell>
          <cell r="G93">
            <v>1986</v>
          </cell>
          <cell r="H93">
            <v>30</v>
          </cell>
          <cell r="I93">
            <v>3268418000000</v>
          </cell>
        </row>
        <row r="94">
          <cell r="A94" t="str">
            <v>Chile</v>
          </cell>
          <cell r="B94">
            <v>152</v>
          </cell>
          <cell r="C94">
            <v>203</v>
          </cell>
          <cell r="D94">
            <v>3</v>
          </cell>
          <cell r="E94" t="str">
            <v>Equals: VALUE ADDED, GROSS, at basic prices</v>
          </cell>
          <cell r="F94">
            <v>12</v>
          </cell>
          <cell r="G94">
            <v>1987</v>
          </cell>
          <cell r="H94">
            <v>30</v>
          </cell>
          <cell r="I94">
            <v>4328412000000</v>
          </cell>
        </row>
        <row r="95">
          <cell r="A95" t="str">
            <v>Chile</v>
          </cell>
          <cell r="B95">
            <v>152</v>
          </cell>
          <cell r="C95">
            <v>203</v>
          </cell>
          <cell r="D95">
            <v>3</v>
          </cell>
          <cell r="E95" t="str">
            <v>Equals: VALUE ADDED, GROSS, at basic prices</v>
          </cell>
          <cell r="F95">
            <v>12</v>
          </cell>
          <cell r="G95">
            <v>1988</v>
          </cell>
          <cell r="H95">
            <v>30</v>
          </cell>
          <cell r="I95">
            <v>5658197000000</v>
          </cell>
        </row>
        <row r="96">
          <cell r="A96" t="str">
            <v>Chile</v>
          </cell>
          <cell r="B96">
            <v>152</v>
          </cell>
          <cell r="C96">
            <v>203</v>
          </cell>
          <cell r="D96">
            <v>3</v>
          </cell>
          <cell r="E96" t="str">
            <v>Equals: VALUE ADDED, GROSS, at basic prices</v>
          </cell>
          <cell r="F96">
            <v>12</v>
          </cell>
          <cell r="G96">
            <v>1989</v>
          </cell>
          <cell r="H96">
            <v>30</v>
          </cell>
          <cell r="I96">
            <v>7030121000000</v>
          </cell>
        </row>
        <row r="97">
          <cell r="A97" t="str">
            <v>Chile</v>
          </cell>
          <cell r="B97">
            <v>152</v>
          </cell>
          <cell r="C97">
            <v>203</v>
          </cell>
          <cell r="D97">
            <v>3</v>
          </cell>
          <cell r="E97" t="str">
            <v>Equals: VALUE ADDED, GROSS, at basic prices</v>
          </cell>
          <cell r="F97">
            <v>12</v>
          </cell>
          <cell r="G97">
            <v>1990</v>
          </cell>
          <cell r="H97">
            <v>30</v>
          </cell>
          <cell r="I97">
            <v>8744362000000</v>
          </cell>
        </row>
        <row r="98">
          <cell r="A98" t="str">
            <v>Chile</v>
          </cell>
          <cell r="B98">
            <v>152</v>
          </cell>
          <cell r="C98">
            <v>203</v>
          </cell>
          <cell r="D98">
            <v>3</v>
          </cell>
          <cell r="E98" t="str">
            <v>Equals: VALUE ADDED, GROSS, at basic prices</v>
          </cell>
          <cell r="F98">
            <v>12</v>
          </cell>
          <cell r="G98">
            <v>1991</v>
          </cell>
          <cell r="H98">
            <v>30</v>
          </cell>
          <cell r="I98">
            <v>11282227000000</v>
          </cell>
        </row>
        <row r="99">
          <cell r="A99" t="str">
            <v>Chile</v>
          </cell>
          <cell r="B99">
            <v>152</v>
          </cell>
          <cell r="C99">
            <v>203</v>
          </cell>
          <cell r="D99">
            <v>3</v>
          </cell>
          <cell r="E99" t="str">
            <v>Equals: VALUE ADDED, GROSS, at basic prices</v>
          </cell>
          <cell r="F99">
            <v>12</v>
          </cell>
          <cell r="G99">
            <v>1992</v>
          </cell>
          <cell r="H99">
            <v>30</v>
          </cell>
          <cell r="I99">
            <v>14072566000000</v>
          </cell>
        </row>
        <row r="100">
          <cell r="A100" t="str">
            <v>Chile</v>
          </cell>
          <cell r="B100">
            <v>152</v>
          </cell>
          <cell r="C100">
            <v>203</v>
          </cell>
          <cell r="D100">
            <v>3</v>
          </cell>
          <cell r="E100" t="str">
            <v>Equals: VALUE ADDED, GROSS, at basic prices</v>
          </cell>
          <cell r="F100">
            <v>12</v>
          </cell>
          <cell r="G100">
            <v>1993</v>
          </cell>
          <cell r="H100">
            <v>30</v>
          </cell>
          <cell r="I100">
            <v>16601784000000</v>
          </cell>
        </row>
        <row r="101">
          <cell r="A101" t="str">
            <v>Chile</v>
          </cell>
          <cell r="B101">
            <v>152</v>
          </cell>
          <cell r="C101">
            <v>203</v>
          </cell>
          <cell r="D101">
            <v>3</v>
          </cell>
          <cell r="E101" t="str">
            <v>Equals: VALUE ADDED, GROSS, at basic prices</v>
          </cell>
          <cell r="F101">
            <v>12</v>
          </cell>
          <cell r="G101">
            <v>1994</v>
          </cell>
          <cell r="H101">
            <v>30</v>
          </cell>
          <cell r="I101">
            <v>19976720000000</v>
          </cell>
        </row>
        <row r="102">
          <cell r="A102" t="str">
            <v>Chile</v>
          </cell>
          <cell r="B102">
            <v>152</v>
          </cell>
          <cell r="C102">
            <v>203</v>
          </cell>
          <cell r="D102">
            <v>3</v>
          </cell>
          <cell r="E102" t="str">
            <v>Equals: VALUE ADDED, GROSS, at basic prices</v>
          </cell>
          <cell r="F102">
            <v>12</v>
          </cell>
          <cell r="G102">
            <v>1995</v>
          </cell>
          <cell r="H102">
            <v>30</v>
          </cell>
          <cell r="I102">
            <v>24163509000000</v>
          </cell>
        </row>
        <row r="103">
          <cell r="A103" t="str">
            <v>Chile</v>
          </cell>
          <cell r="B103">
            <v>152</v>
          </cell>
          <cell r="C103">
            <v>203</v>
          </cell>
          <cell r="D103">
            <v>3</v>
          </cell>
          <cell r="E103" t="str">
            <v>Equals: VALUE ADDED, GROSS, at basic prices</v>
          </cell>
          <cell r="F103">
            <v>12</v>
          </cell>
          <cell r="G103">
            <v>1996</v>
          </cell>
          <cell r="H103">
            <v>30</v>
          </cell>
          <cell r="I103">
            <v>26361928000000</v>
          </cell>
        </row>
        <row r="104">
          <cell r="A104" t="str">
            <v>Chile</v>
          </cell>
          <cell r="B104">
            <v>152</v>
          </cell>
          <cell r="C104">
            <v>203</v>
          </cell>
          <cell r="D104">
            <v>3</v>
          </cell>
          <cell r="E104" t="str">
            <v>Equals: VALUE ADDED, GROSS, at basic prices</v>
          </cell>
          <cell r="F104">
            <v>12</v>
          </cell>
          <cell r="G104">
            <v>1996</v>
          </cell>
          <cell r="H104">
            <v>100</v>
          </cell>
          <cell r="I104">
            <v>29255529000000</v>
          </cell>
        </row>
        <row r="105">
          <cell r="A105" t="str">
            <v>Chile</v>
          </cell>
          <cell r="B105">
            <v>152</v>
          </cell>
          <cell r="C105">
            <v>203</v>
          </cell>
          <cell r="D105">
            <v>3</v>
          </cell>
          <cell r="E105" t="str">
            <v>Equals: VALUE ADDED, GROSS, at basic prices</v>
          </cell>
          <cell r="F105">
            <v>12</v>
          </cell>
          <cell r="G105">
            <v>1997</v>
          </cell>
          <cell r="H105">
            <v>100</v>
          </cell>
          <cell r="I105">
            <v>32664638000000</v>
          </cell>
        </row>
        <row r="106">
          <cell r="A106" t="str">
            <v>Chile</v>
          </cell>
          <cell r="B106">
            <v>152</v>
          </cell>
          <cell r="C106">
            <v>203</v>
          </cell>
          <cell r="D106">
            <v>3</v>
          </cell>
          <cell r="E106" t="str">
            <v>Equals: VALUE ADDED, GROSS, at basic prices</v>
          </cell>
          <cell r="F106">
            <v>12</v>
          </cell>
          <cell r="G106">
            <v>1998</v>
          </cell>
          <cell r="H106">
            <v>100</v>
          </cell>
          <cell r="I106">
            <v>34294698000000</v>
          </cell>
        </row>
        <row r="107">
          <cell r="A107" t="str">
            <v>Chile</v>
          </cell>
          <cell r="B107">
            <v>152</v>
          </cell>
          <cell r="C107">
            <v>203</v>
          </cell>
          <cell r="D107">
            <v>3</v>
          </cell>
          <cell r="E107" t="str">
            <v>Equals: VALUE ADDED, GROSS, at basic prices</v>
          </cell>
          <cell r="F107">
            <v>12</v>
          </cell>
          <cell r="G107">
            <v>1999</v>
          </cell>
          <cell r="H107">
            <v>100</v>
          </cell>
          <cell r="I107">
            <v>34964305000000</v>
          </cell>
        </row>
        <row r="108">
          <cell r="A108" t="str">
            <v>Chile</v>
          </cell>
          <cell r="B108">
            <v>152</v>
          </cell>
          <cell r="C108">
            <v>203</v>
          </cell>
          <cell r="D108">
            <v>3</v>
          </cell>
          <cell r="E108" t="str">
            <v>Equals: VALUE ADDED, GROSS, at basic prices</v>
          </cell>
          <cell r="F108">
            <v>12</v>
          </cell>
          <cell r="G108">
            <v>2000</v>
          </cell>
          <cell r="H108">
            <v>100</v>
          </cell>
          <cell r="I108">
            <v>37963881000000</v>
          </cell>
        </row>
        <row r="109">
          <cell r="A109" t="str">
            <v>Chile</v>
          </cell>
          <cell r="B109">
            <v>152</v>
          </cell>
          <cell r="C109">
            <v>203</v>
          </cell>
          <cell r="D109">
            <v>3</v>
          </cell>
          <cell r="E109" t="str">
            <v>Equals: VALUE ADDED, GROSS, at basic prices</v>
          </cell>
          <cell r="F109">
            <v>12</v>
          </cell>
          <cell r="G109">
            <v>2001</v>
          </cell>
          <cell r="H109">
            <v>100</v>
          </cell>
          <cell r="I109">
            <v>40940938000000</v>
          </cell>
        </row>
        <row r="110">
          <cell r="A110" t="str">
            <v>Chile</v>
          </cell>
          <cell r="B110">
            <v>152</v>
          </cell>
          <cell r="C110">
            <v>203</v>
          </cell>
          <cell r="D110">
            <v>4</v>
          </cell>
          <cell r="E110" t="str">
            <v>Compensation of employees</v>
          </cell>
          <cell r="F110">
            <v>12</v>
          </cell>
          <cell r="G110">
            <v>1974</v>
          </cell>
          <cell r="H110">
            <v>20</v>
          </cell>
          <cell r="I110">
            <v>3423000000</v>
          </cell>
        </row>
        <row r="111">
          <cell r="A111" t="str">
            <v>Chile</v>
          </cell>
          <cell r="B111">
            <v>152</v>
          </cell>
          <cell r="C111">
            <v>203</v>
          </cell>
          <cell r="D111">
            <v>4</v>
          </cell>
          <cell r="E111" t="str">
            <v>Compensation of employees</v>
          </cell>
          <cell r="F111">
            <v>12</v>
          </cell>
          <cell r="G111">
            <v>1975</v>
          </cell>
          <cell r="H111">
            <v>20</v>
          </cell>
          <cell r="I111">
            <v>13816000000</v>
          </cell>
        </row>
        <row r="112">
          <cell r="A112" t="str">
            <v>Chile</v>
          </cell>
          <cell r="B112">
            <v>152</v>
          </cell>
          <cell r="C112">
            <v>203</v>
          </cell>
          <cell r="D112">
            <v>4</v>
          </cell>
          <cell r="E112" t="str">
            <v>Compensation of employees</v>
          </cell>
          <cell r="F112">
            <v>12</v>
          </cell>
          <cell r="G112">
            <v>1976</v>
          </cell>
          <cell r="H112">
            <v>20</v>
          </cell>
          <cell r="I112">
            <v>49334000000</v>
          </cell>
        </row>
        <row r="113">
          <cell r="A113" t="str">
            <v>Chile</v>
          </cell>
          <cell r="B113">
            <v>152</v>
          </cell>
          <cell r="C113">
            <v>203</v>
          </cell>
          <cell r="D113">
            <v>4</v>
          </cell>
          <cell r="E113" t="str">
            <v>Compensation of employees</v>
          </cell>
          <cell r="F113">
            <v>12</v>
          </cell>
          <cell r="G113">
            <v>1977</v>
          </cell>
          <cell r="H113">
            <v>20</v>
          </cell>
          <cell r="I113">
            <v>113493000000</v>
          </cell>
        </row>
        <row r="114">
          <cell r="A114" t="str">
            <v>Chile</v>
          </cell>
          <cell r="B114">
            <v>152</v>
          </cell>
          <cell r="C114">
            <v>203</v>
          </cell>
          <cell r="D114">
            <v>4</v>
          </cell>
          <cell r="E114" t="str">
            <v>Compensation of employees</v>
          </cell>
          <cell r="F114">
            <v>12</v>
          </cell>
          <cell r="G114">
            <v>1978</v>
          </cell>
          <cell r="H114">
            <v>20</v>
          </cell>
          <cell r="I114">
            <v>187713000000</v>
          </cell>
        </row>
        <row r="115">
          <cell r="A115" t="str">
            <v>Chile</v>
          </cell>
          <cell r="B115">
            <v>152</v>
          </cell>
          <cell r="C115">
            <v>203</v>
          </cell>
          <cell r="D115">
            <v>4</v>
          </cell>
          <cell r="E115" t="str">
            <v>Compensation of employees</v>
          </cell>
          <cell r="F115">
            <v>12</v>
          </cell>
          <cell r="G115">
            <v>1979</v>
          </cell>
          <cell r="H115">
            <v>20</v>
          </cell>
          <cell r="I115">
            <v>278584000000</v>
          </cell>
        </row>
        <row r="116">
          <cell r="A116" t="str">
            <v>Chile</v>
          </cell>
          <cell r="B116">
            <v>152</v>
          </cell>
          <cell r="C116">
            <v>203</v>
          </cell>
          <cell r="D116">
            <v>4</v>
          </cell>
          <cell r="E116" t="str">
            <v>Compensation of employees</v>
          </cell>
          <cell r="F116">
            <v>12</v>
          </cell>
          <cell r="G116">
            <v>1980</v>
          </cell>
          <cell r="H116">
            <v>20</v>
          </cell>
          <cell r="I116">
            <v>409816000000</v>
          </cell>
        </row>
        <row r="117">
          <cell r="A117" t="str">
            <v>Chile</v>
          </cell>
          <cell r="B117">
            <v>152</v>
          </cell>
          <cell r="C117">
            <v>203</v>
          </cell>
          <cell r="D117">
            <v>4</v>
          </cell>
          <cell r="E117" t="str">
            <v>Compensation of employees</v>
          </cell>
          <cell r="F117">
            <v>12</v>
          </cell>
          <cell r="G117">
            <v>1981</v>
          </cell>
          <cell r="H117">
            <v>20</v>
          </cell>
          <cell r="I117">
            <v>516861000000</v>
          </cell>
        </row>
        <row r="118">
          <cell r="A118" t="str">
            <v>Chile</v>
          </cell>
          <cell r="B118">
            <v>152</v>
          </cell>
          <cell r="C118">
            <v>203</v>
          </cell>
          <cell r="D118">
            <v>4</v>
          </cell>
          <cell r="E118" t="str">
            <v>Compensation of employees</v>
          </cell>
          <cell r="F118">
            <v>12</v>
          </cell>
          <cell r="G118">
            <v>1982</v>
          </cell>
          <cell r="H118">
            <v>20</v>
          </cell>
          <cell r="I118">
            <v>509522000000</v>
          </cell>
        </row>
        <row r="119">
          <cell r="A119" t="str">
            <v>Chile</v>
          </cell>
          <cell r="B119">
            <v>152</v>
          </cell>
          <cell r="C119">
            <v>203</v>
          </cell>
          <cell r="D119">
            <v>4</v>
          </cell>
          <cell r="E119" t="str">
            <v>Compensation of employees</v>
          </cell>
          <cell r="F119">
            <v>12</v>
          </cell>
          <cell r="G119">
            <v>1983</v>
          </cell>
          <cell r="H119">
            <v>20</v>
          </cell>
          <cell r="I119">
            <v>588215000000</v>
          </cell>
        </row>
        <row r="120">
          <cell r="A120" t="str">
            <v>Chile</v>
          </cell>
          <cell r="B120">
            <v>152</v>
          </cell>
          <cell r="C120">
            <v>203</v>
          </cell>
          <cell r="D120">
            <v>4</v>
          </cell>
          <cell r="E120" t="str">
            <v>Compensation of employees</v>
          </cell>
          <cell r="F120">
            <v>12</v>
          </cell>
          <cell r="G120">
            <v>1984</v>
          </cell>
          <cell r="H120">
            <v>20</v>
          </cell>
          <cell r="I120">
            <v>695076000000</v>
          </cell>
        </row>
        <row r="121">
          <cell r="A121" t="str">
            <v>Chile</v>
          </cell>
          <cell r="B121">
            <v>152</v>
          </cell>
          <cell r="C121">
            <v>203</v>
          </cell>
          <cell r="D121">
            <v>4</v>
          </cell>
          <cell r="E121" t="str">
            <v>Compensation of employees</v>
          </cell>
          <cell r="F121">
            <v>12</v>
          </cell>
          <cell r="G121">
            <v>1985</v>
          </cell>
          <cell r="H121">
            <v>20</v>
          </cell>
          <cell r="I121">
            <v>904947000000</v>
          </cell>
        </row>
        <row r="122">
          <cell r="A122" t="str">
            <v>Chile</v>
          </cell>
          <cell r="B122">
            <v>152</v>
          </cell>
          <cell r="C122">
            <v>203</v>
          </cell>
          <cell r="D122">
            <v>4</v>
          </cell>
          <cell r="E122" t="str">
            <v>Compensation of employees</v>
          </cell>
          <cell r="F122">
            <v>12</v>
          </cell>
          <cell r="G122">
            <v>1985</v>
          </cell>
          <cell r="H122">
            <v>30</v>
          </cell>
          <cell r="I122">
            <v>945224000000</v>
          </cell>
        </row>
        <row r="123">
          <cell r="A123" t="str">
            <v>Chile</v>
          </cell>
          <cell r="B123">
            <v>152</v>
          </cell>
          <cell r="C123">
            <v>203</v>
          </cell>
          <cell r="D123">
            <v>4</v>
          </cell>
          <cell r="E123" t="str">
            <v>Compensation of employees</v>
          </cell>
          <cell r="F123">
            <v>12</v>
          </cell>
          <cell r="G123">
            <v>1986</v>
          </cell>
          <cell r="H123">
            <v>30</v>
          </cell>
          <cell r="I123">
            <v>1162533000000</v>
          </cell>
        </row>
        <row r="124">
          <cell r="A124" t="str">
            <v>Chile</v>
          </cell>
          <cell r="B124">
            <v>152</v>
          </cell>
          <cell r="C124">
            <v>203</v>
          </cell>
          <cell r="D124">
            <v>4</v>
          </cell>
          <cell r="E124" t="str">
            <v>Compensation of employees</v>
          </cell>
          <cell r="F124">
            <v>12</v>
          </cell>
          <cell r="G124">
            <v>1987</v>
          </cell>
          <cell r="H124">
            <v>30</v>
          </cell>
          <cell r="I124">
            <v>1449286000000</v>
          </cell>
        </row>
        <row r="125">
          <cell r="A125" t="str">
            <v>Chile</v>
          </cell>
          <cell r="B125">
            <v>152</v>
          </cell>
          <cell r="C125">
            <v>203</v>
          </cell>
          <cell r="D125">
            <v>4</v>
          </cell>
          <cell r="E125" t="str">
            <v>Compensation of employees</v>
          </cell>
          <cell r="F125">
            <v>12</v>
          </cell>
          <cell r="G125">
            <v>1988</v>
          </cell>
          <cell r="H125">
            <v>30</v>
          </cell>
          <cell r="I125">
            <v>1827207000000</v>
          </cell>
        </row>
        <row r="126">
          <cell r="A126" t="str">
            <v>Chile</v>
          </cell>
          <cell r="B126">
            <v>152</v>
          </cell>
          <cell r="C126">
            <v>203</v>
          </cell>
          <cell r="D126">
            <v>4</v>
          </cell>
          <cell r="E126" t="str">
            <v>Compensation of employees</v>
          </cell>
          <cell r="F126">
            <v>12</v>
          </cell>
          <cell r="G126">
            <v>1989</v>
          </cell>
          <cell r="H126">
            <v>30</v>
          </cell>
          <cell r="I126">
            <v>2367731000000</v>
          </cell>
        </row>
        <row r="127">
          <cell r="A127" t="str">
            <v>Chile</v>
          </cell>
          <cell r="B127">
            <v>152</v>
          </cell>
          <cell r="C127">
            <v>203</v>
          </cell>
          <cell r="D127">
            <v>4</v>
          </cell>
          <cell r="E127" t="str">
            <v>Compensation of employees</v>
          </cell>
          <cell r="F127">
            <v>12</v>
          </cell>
          <cell r="G127">
            <v>1990</v>
          </cell>
          <cell r="H127">
            <v>30</v>
          </cell>
          <cell r="I127">
            <v>3123435000000</v>
          </cell>
        </row>
        <row r="128">
          <cell r="A128" t="str">
            <v>Chile</v>
          </cell>
          <cell r="B128">
            <v>152</v>
          </cell>
          <cell r="C128">
            <v>203</v>
          </cell>
          <cell r="D128">
            <v>4</v>
          </cell>
          <cell r="E128" t="str">
            <v>Compensation of employees</v>
          </cell>
          <cell r="F128">
            <v>12</v>
          </cell>
          <cell r="G128">
            <v>1991</v>
          </cell>
          <cell r="H128">
            <v>30</v>
          </cell>
          <cell r="I128">
            <v>4135233000000</v>
          </cell>
        </row>
        <row r="129">
          <cell r="A129" t="str">
            <v>Chile</v>
          </cell>
          <cell r="B129">
            <v>152</v>
          </cell>
          <cell r="C129">
            <v>203</v>
          </cell>
          <cell r="D129">
            <v>4</v>
          </cell>
          <cell r="E129" t="str">
            <v>Compensation of employees</v>
          </cell>
          <cell r="F129">
            <v>12</v>
          </cell>
          <cell r="G129">
            <v>1992</v>
          </cell>
          <cell r="H129">
            <v>30</v>
          </cell>
          <cell r="I129">
            <v>5356002000000</v>
          </cell>
        </row>
        <row r="130">
          <cell r="A130" t="str">
            <v>Chile</v>
          </cell>
          <cell r="B130">
            <v>152</v>
          </cell>
          <cell r="C130">
            <v>203</v>
          </cell>
          <cell r="D130">
            <v>4</v>
          </cell>
          <cell r="E130" t="str">
            <v>Compensation of employees</v>
          </cell>
          <cell r="F130">
            <v>12</v>
          </cell>
          <cell r="G130">
            <v>1993</v>
          </cell>
          <cell r="H130">
            <v>30</v>
          </cell>
          <cell r="I130">
            <v>6582086000000</v>
          </cell>
        </row>
        <row r="131">
          <cell r="A131" t="str">
            <v>Chile</v>
          </cell>
          <cell r="B131">
            <v>152</v>
          </cell>
          <cell r="C131">
            <v>203</v>
          </cell>
          <cell r="D131">
            <v>4</v>
          </cell>
          <cell r="E131" t="str">
            <v>Compensation of employees</v>
          </cell>
          <cell r="F131">
            <v>12</v>
          </cell>
          <cell r="G131">
            <v>1994</v>
          </cell>
          <cell r="H131">
            <v>30</v>
          </cell>
          <cell r="I131">
            <v>7791601000000</v>
          </cell>
        </row>
        <row r="132">
          <cell r="A132" t="str">
            <v>Chile</v>
          </cell>
          <cell r="B132">
            <v>152</v>
          </cell>
          <cell r="C132">
            <v>203</v>
          </cell>
          <cell r="D132">
            <v>4</v>
          </cell>
          <cell r="E132" t="str">
            <v>Compensation of employees</v>
          </cell>
          <cell r="F132">
            <v>12</v>
          </cell>
          <cell r="G132">
            <v>1995</v>
          </cell>
          <cell r="H132">
            <v>30</v>
          </cell>
          <cell r="I132">
            <v>9159037000000</v>
          </cell>
        </row>
        <row r="133">
          <cell r="A133" t="str">
            <v>Chile</v>
          </cell>
          <cell r="B133">
            <v>152</v>
          </cell>
          <cell r="C133">
            <v>203</v>
          </cell>
          <cell r="D133">
            <v>4</v>
          </cell>
          <cell r="E133" t="str">
            <v>Compensation of employees</v>
          </cell>
          <cell r="F133">
            <v>12</v>
          </cell>
          <cell r="G133">
            <v>1996</v>
          </cell>
          <cell r="H133">
            <v>30</v>
          </cell>
          <cell r="I133">
            <v>10666243000000</v>
          </cell>
        </row>
        <row r="134">
          <cell r="A134" t="str">
            <v>Chile</v>
          </cell>
          <cell r="B134">
            <v>152</v>
          </cell>
          <cell r="C134">
            <v>203</v>
          </cell>
          <cell r="D134">
            <v>4</v>
          </cell>
          <cell r="E134" t="str">
            <v>Compensation of employees</v>
          </cell>
          <cell r="F134">
            <v>12</v>
          </cell>
          <cell r="G134">
            <v>1996</v>
          </cell>
          <cell r="H134">
            <v>100</v>
          </cell>
          <cell r="I134">
            <v>11849143000000</v>
          </cell>
        </row>
        <row r="135">
          <cell r="A135" t="str">
            <v>Chile</v>
          </cell>
          <cell r="B135">
            <v>152</v>
          </cell>
          <cell r="C135">
            <v>203</v>
          </cell>
          <cell r="D135">
            <v>4</v>
          </cell>
          <cell r="E135" t="str">
            <v>Compensation of employees</v>
          </cell>
          <cell r="F135">
            <v>12</v>
          </cell>
          <cell r="G135">
            <v>1997</v>
          </cell>
          <cell r="H135">
            <v>100</v>
          </cell>
          <cell r="I135">
            <v>13396036000000</v>
          </cell>
        </row>
        <row r="136">
          <cell r="A136" t="str">
            <v>Chile</v>
          </cell>
          <cell r="B136">
            <v>152</v>
          </cell>
          <cell r="C136">
            <v>203</v>
          </cell>
          <cell r="D136">
            <v>4</v>
          </cell>
          <cell r="E136" t="str">
            <v>Compensation of employees</v>
          </cell>
          <cell r="F136">
            <v>12</v>
          </cell>
          <cell r="G136">
            <v>1998</v>
          </cell>
          <cell r="H136">
            <v>100</v>
          </cell>
          <cell r="I136">
            <v>14716329000000</v>
          </cell>
        </row>
        <row r="137">
          <cell r="A137" t="str">
            <v>Chile</v>
          </cell>
          <cell r="B137">
            <v>152</v>
          </cell>
          <cell r="C137">
            <v>203</v>
          </cell>
          <cell r="D137">
            <v>4</v>
          </cell>
          <cell r="E137" t="str">
            <v>Compensation of employees</v>
          </cell>
          <cell r="F137">
            <v>12</v>
          </cell>
          <cell r="G137">
            <v>1999</v>
          </cell>
          <cell r="H137">
            <v>100</v>
          </cell>
          <cell r="I137">
            <v>15429542000000</v>
          </cell>
        </row>
        <row r="138">
          <cell r="A138" t="str">
            <v>Chile</v>
          </cell>
          <cell r="B138">
            <v>152</v>
          </cell>
          <cell r="C138">
            <v>203</v>
          </cell>
          <cell r="D138">
            <v>4</v>
          </cell>
          <cell r="E138" t="str">
            <v>Compensation of employees</v>
          </cell>
          <cell r="F138">
            <v>12</v>
          </cell>
          <cell r="G138">
            <v>2000</v>
          </cell>
          <cell r="H138">
            <v>100</v>
          </cell>
          <cell r="I138">
            <v>16461052000000</v>
          </cell>
        </row>
        <row r="139">
          <cell r="A139" t="str">
            <v>Chile</v>
          </cell>
          <cell r="B139">
            <v>152</v>
          </cell>
          <cell r="C139">
            <v>203</v>
          </cell>
          <cell r="D139">
            <v>4</v>
          </cell>
          <cell r="E139" t="str">
            <v>Compensation of employees</v>
          </cell>
          <cell r="F139">
            <v>12</v>
          </cell>
          <cell r="G139">
            <v>2001</v>
          </cell>
          <cell r="H139">
            <v>100</v>
          </cell>
          <cell r="I139">
            <v>17462022000000</v>
          </cell>
        </row>
        <row r="140">
          <cell r="A140" t="str">
            <v>Chile</v>
          </cell>
          <cell r="B140">
            <v>152</v>
          </cell>
          <cell r="C140">
            <v>203</v>
          </cell>
          <cell r="D140">
            <v>11</v>
          </cell>
          <cell r="E140" t="str">
            <v>OPERATING SURPLUS, GROSS</v>
          </cell>
          <cell r="F140">
            <v>12</v>
          </cell>
          <cell r="G140">
            <v>1974</v>
          </cell>
          <cell r="H140">
            <v>20</v>
          </cell>
          <cell r="I140">
            <v>4562000000</v>
          </cell>
        </row>
        <row r="141">
          <cell r="A141" t="str">
            <v>Chile</v>
          </cell>
          <cell r="B141">
            <v>152</v>
          </cell>
          <cell r="C141">
            <v>203</v>
          </cell>
          <cell r="D141">
            <v>11</v>
          </cell>
          <cell r="E141" t="str">
            <v>OPERATING SURPLUS, GROSS</v>
          </cell>
          <cell r="F141">
            <v>12</v>
          </cell>
          <cell r="G141">
            <v>1975</v>
          </cell>
          <cell r="H141">
            <v>20</v>
          </cell>
          <cell r="I141">
            <v>17716000000</v>
          </cell>
        </row>
        <row r="142">
          <cell r="A142" t="str">
            <v>Chile</v>
          </cell>
          <cell r="B142">
            <v>152</v>
          </cell>
          <cell r="C142">
            <v>203</v>
          </cell>
          <cell r="D142">
            <v>11</v>
          </cell>
          <cell r="E142" t="str">
            <v>OPERATING SURPLUS, GROSS</v>
          </cell>
          <cell r="F142">
            <v>12</v>
          </cell>
          <cell r="G142">
            <v>1976</v>
          </cell>
          <cell r="H142">
            <v>20</v>
          </cell>
          <cell r="I142">
            <v>65010000000</v>
          </cell>
        </row>
        <row r="143">
          <cell r="A143" t="str">
            <v>Chile</v>
          </cell>
          <cell r="B143">
            <v>152</v>
          </cell>
          <cell r="C143">
            <v>203</v>
          </cell>
          <cell r="D143">
            <v>11</v>
          </cell>
          <cell r="E143" t="str">
            <v>OPERATING SURPLUS, GROSS</v>
          </cell>
          <cell r="F143">
            <v>12</v>
          </cell>
          <cell r="G143">
            <v>1977</v>
          </cell>
          <cell r="H143">
            <v>20</v>
          </cell>
          <cell r="I143">
            <v>142107000000</v>
          </cell>
        </row>
        <row r="144">
          <cell r="A144" t="str">
            <v>Chile</v>
          </cell>
          <cell r="B144">
            <v>152</v>
          </cell>
          <cell r="C144">
            <v>203</v>
          </cell>
          <cell r="D144">
            <v>11</v>
          </cell>
          <cell r="E144" t="str">
            <v>OPERATING SURPLUS, GROSS</v>
          </cell>
          <cell r="F144">
            <v>12</v>
          </cell>
          <cell r="G144">
            <v>1978</v>
          </cell>
          <cell r="H144">
            <v>20</v>
          </cell>
          <cell r="I144">
            <v>246668000000</v>
          </cell>
        </row>
        <row r="145">
          <cell r="A145" t="str">
            <v>Chile</v>
          </cell>
          <cell r="B145">
            <v>152</v>
          </cell>
          <cell r="C145">
            <v>203</v>
          </cell>
          <cell r="D145">
            <v>11</v>
          </cell>
          <cell r="E145" t="str">
            <v>OPERATING SURPLUS, GROSS</v>
          </cell>
          <cell r="F145">
            <v>12</v>
          </cell>
          <cell r="G145">
            <v>1979</v>
          </cell>
          <cell r="H145">
            <v>20</v>
          </cell>
          <cell r="I145">
            <v>428265000000</v>
          </cell>
        </row>
        <row r="146">
          <cell r="A146" t="str">
            <v>Chile</v>
          </cell>
          <cell r="B146">
            <v>152</v>
          </cell>
          <cell r="C146">
            <v>203</v>
          </cell>
          <cell r="D146">
            <v>11</v>
          </cell>
          <cell r="E146" t="str">
            <v>OPERATING SURPLUS, GROSS</v>
          </cell>
          <cell r="F146">
            <v>12</v>
          </cell>
          <cell r="G146">
            <v>1980</v>
          </cell>
          <cell r="H146">
            <v>20</v>
          </cell>
          <cell r="I146">
            <v>591835000000</v>
          </cell>
        </row>
        <row r="147">
          <cell r="A147" t="str">
            <v>Chile</v>
          </cell>
          <cell r="B147">
            <v>152</v>
          </cell>
          <cell r="C147">
            <v>203</v>
          </cell>
          <cell r="D147">
            <v>11</v>
          </cell>
          <cell r="E147" t="str">
            <v>OPERATING SURPLUS, GROSS</v>
          </cell>
          <cell r="F147">
            <v>12</v>
          </cell>
          <cell r="G147">
            <v>1981</v>
          </cell>
          <cell r="H147">
            <v>20</v>
          </cell>
          <cell r="I147">
            <v>672547000000</v>
          </cell>
        </row>
        <row r="148">
          <cell r="A148" t="str">
            <v>Chile</v>
          </cell>
          <cell r="B148">
            <v>152</v>
          </cell>
          <cell r="C148">
            <v>203</v>
          </cell>
          <cell r="D148">
            <v>11</v>
          </cell>
          <cell r="E148" t="str">
            <v>OPERATING SURPLUS, GROSS</v>
          </cell>
          <cell r="F148">
            <v>12</v>
          </cell>
          <cell r="G148">
            <v>1982</v>
          </cell>
          <cell r="H148">
            <v>20</v>
          </cell>
          <cell r="I148">
            <v>608734000000</v>
          </cell>
        </row>
        <row r="149">
          <cell r="A149" t="str">
            <v>Chile</v>
          </cell>
          <cell r="B149">
            <v>152</v>
          </cell>
          <cell r="C149">
            <v>203</v>
          </cell>
          <cell r="D149">
            <v>11</v>
          </cell>
          <cell r="E149" t="str">
            <v>OPERATING SURPLUS, GROSS</v>
          </cell>
          <cell r="F149">
            <v>12</v>
          </cell>
          <cell r="G149">
            <v>1983</v>
          </cell>
          <cell r="H149">
            <v>20</v>
          </cell>
          <cell r="I149">
            <v>813522000000</v>
          </cell>
        </row>
        <row r="150">
          <cell r="A150" t="str">
            <v>Chile</v>
          </cell>
          <cell r="B150">
            <v>152</v>
          </cell>
          <cell r="C150">
            <v>203</v>
          </cell>
          <cell r="D150">
            <v>11</v>
          </cell>
          <cell r="E150" t="str">
            <v>OPERATING SURPLUS, GROSS</v>
          </cell>
          <cell r="F150">
            <v>12</v>
          </cell>
          <cell r="G150">
            <v>1984</v>
          </cell>
          <cell r="H150">
            <v>20</v>
          </cell>
          <cell r="I150">
            <v>993561000000</v>
          </cell>
        </row>
        <row r="151">
          <cell r="A151" t="str">
            <v>Chile</v>
          </cell>
          <cell r="B151">
            <v>152</v>
          </cell>
          <cell r="C151">
            <v>203</v>
          </cell>
          <cell r="D151">
            <v>11</v>
          </cell>
          <cell r="E151" t="str">
            <v>OPERATING SURPLUS, GROSS</v>
          </cell>
          <cell r="F151">
            <v>12</v>
          </cell>
          <cell r="G151">
            <v>1985</v>
          </cell>
          <cell r="H151">
            <v>20</v>
          </cell>
          <cell r="I151">
            <v>1604381000000</v>
          </cell>
        </row>
        <row r="152">
          <cell r="A152" t="str">
            <v>Chile</v>
          </cell>
          <cell r="B152">
            <v>152</v>
          </cell>
          <cell r="C152">
            <v>203</v>
          </cell>
          <cell r="D152">
            <v>11</v>
          </cell>
          <cell r="E152" t="str">
            <v>OPERATING SURPLUS, GROSS</v>
          </cell>
          <cell r="F152">
            <v>12</v>
          </cell>
          <cell r="G152">
            <v>1985</v>
          </cell>
          <cell r="H152">
            <v>30</v>
          </cell>
          <cell r="I152">
            <v>987395000000</v>
          </cell>
        </row>
        <row r="153">
          <cell r="A153" t="str">
            <v>Chile</v>
          </cell>
          <cell r="B153">
            <v>152</v>
          </cell>
          <cell r="C153">
            <v>203</v>
          </cell>
          <cell r="D153">
            <v>11</v>
          </cell>
          <cell r="E153" t="str">
            <v>OPERATING SURPLUS, GROSS</v>
          </cell>
          <cell r="F153">
            <v>12</v>
          </cell>
          <cell r="G153">
            <v>1986</v>
          </cell>
          <cell r="H153">
            <v>30</v>
          </cell>
          <cell r="I153">
            <v>1346516000000</v>
          </cell>
        </row>
        <row r="154">
          <cell r="A154" t="str">
            <v>Chile</v>
          </cell>
          <cell r="B154">
            <v>152</v>
          </cell>
          <cell r="C154">
            <v>203</v>
          </cell>
          <cell r="D154">
            <v>11</v>
          </cell>
          <cell r="E154" t="str">
            <v>OPERATING SURPLUS, GROSS</v>
          </cell>
          <cell r="F154">
            <v>12</v>
          </cell>
          <cell r="G154">
            <v>1987</v>
          </cell>
          <cell r="H154">
            <v>30</v>
          </cell>
          <cell r="I154">
            <v>1914478000000</v>
          </cell>
        </row>
        <row r="155">
          <cell r="A155" t="str">
            <v>Chile</v>
          </cell>
          <cell r="B155">
            <v>152</v>
          </cell>
          <cell r="C155">
            <v>203</v>
          </cell>
          <cell r="D155">
            <v>11</v>
          </cell>
          <cell r="E155" t="str">
            <v>OPERATING SURPLUS, GROSS</v>
          </cell>
          <cell r="F155">
            <v>12</v>
          </cell>
          <cell r="G155">
            <v>1988</v>
          </cell>
          <cell r="H155">
            <v>30</v>
          </cell>
          <cell r="I155">
            <v>3615000000000</v>
          </cell>
        </row>
        <row r="156">
          <cell r="A156" t="str">
            <v>Chile</v>
          </cell>
          <cell r="B156">
            <v>152</v>
          </cell>
          <cell r="C156">
            <v>203</v>
          </cell>
          <cell r="D156">
            <v>11</v>
          </cell>
          <cell r="E156" t="str">
            <v>OPERATING SURPLUS, GROSS</v>
          </cell>
          <cell r="F156">
            <v>12</v>
          </cell>
          <cell r="G156">
            <v>1989</v>
          </cell>
          <cell r="H156">
            <v>30</v>
          </cell>
          <cell r="I156">
            <v>4450300000000</v>
          </cell>
        </row>
        <row r="157">
          <cell r="A157" t="str">
            <v>Chile</v>
          </cell>
          <cell r="B157">
            <v>152</v>
          </cell>
          <cell r="C157">
            <v>203</v>
          </cell>
          <cell r="D157">
            <v>11</v>
          </cell>
          <cell r="E157" t="str">
            <v>OPERATING SURPLUS, GROSS</v>
          </cell>
          <cell r="F157">
            <v>12</v>
          </cell>
          <cell r="G157">
            <v>1990</v>
          </cell>
          <cell r="H157">
            <v>30</v>
          </cell>
          <cell r="I157">
            <v>5361500000000</v>
          </cell>
        </row>
        <row r="158">
          <cell r="A158" t="str">
            <v>Chile</v>
          </cell>
          <cell r="B158">
            <v>152</v>
          </cell>
          <cell r="C158">
            <v>203</v>
          </cell>
          <cell r="D158">
            <v>11</v>
          </cell>
          <cell r="E158" t="str">
            <v>OPERATING SURPLUS, GROSS</v>
          </cell>
          <cell r="F158">
            <v>12</v>
          </cell>
          <cell r="G158">
            <v>1991</v>
          </cell>
          <cell r="H158">
            <v>30</v>
          </cell>
          <cell r="I158">
            <v>6792800000000</v>
          </cell>
        </row>
        <row r="159">
          <cell r="A159" t="str">
            <v>Chile</v>
          </cell>
          <cell r="B159">
            <v>152</v>
          </cell>
          <cell r="C159">
            <v>203</v>
          </cell>
          <cell r="D159">
            <v>11</v>
          </cell>
          <cell r="E159" t="str">
            <v>OPERATING SURPLUS, GROSS</v>
          </cell>
          <cell r="F159">
            <v>12</v>
          </cell>
          <cell r="G159">
            <v>1992</v>
          </cell>
          <cell r="H159">
            <v>30</v>
          </cell>
          <cell r="I159">
            <v>8239700000000</v>
          </cell>
        </row>
        <row r="160">
          <cell r="A160" t="str">
            <v>Chile</v>
          </cell>
          <cell r="B160">
            <v>152</v>
          </cell>
          <cell r="C160">
            <v>203</v>
          </cell>
          <cell r="D160">
            <v>11</v>
          </cell>
          <cell r="E160" t="str">
            <v>OPERATING SURPLUS, GROSS</v>
          </cell>
          <cell r="F160">
            <v>12</v>
          </cell>
          <cell r="G160">
            <v>1993</v>
          </cell>
          <cell r="H160">
            <v>30</v>
          </cell>
          <cell r="I160">
            <v>9390700000000</v>
          </cell>
        </row>
        <row r="161">
          <cell r="A161" t="str">
            <v>Chile</v>
          </cell>
          <cell r="B161">
            <v>152</v>
          </cell>
          <cell r="C161">
            <v>203</v>
          </cell>
          <cell r="D161">
            <v>11</v>
          </cell>
          <cell r="E161" t="str">
            <v>OPERATING SURPLUS, GROSS</v>
          </cell>
          <cell r="F161">
            <v>12</v>
          </cell>
          <cell r="G161">
            <v>1994</v>
          </cell>
          <cell r="H161">
            <v>30</v>
          </cell>
          <cell r="I161">
            <v>11447300000000</v>
          </cell>
        </row>
        <row r="162">
          <cell r="A162" t="str">
            <v>Chile</v>
          </cell>
          <cell r="B162">
            <v>152</v>
          </cell>
          <cell r="C162">
            <v>203</v>
          </cell>
          <cell r="D162">
            <v>11</v>
          </cell>
          <cell r="E162" t="str">
            <v>OPERATING SURPLUS, GROSS</v>
          </cell>
          <cell r="F162">
            <v>12</v>
          </cell>
          <cell r="G162">
            <v>1995</v>
          </cell>
          <cell r="H162">
            <v>30</v>
          </cell>
          <cell r="I162">
            <v>14141100000000</v>
          </cell>
        </row>
        <row r="163">
          <cell r="A163" t="str">
            <v>Chile</v>
          </cell>
          <cell r="B163">
            <v>152</v>
          </cell>
          <cell r="C163">
            <v>203</v>
          </cell>
          <cell r="D163">
            <v>11</v>
          </cell>
          <cell r="E163" t="str">
            <v>OPERATING SURPLUS, GROSS</v>
          </cell>
          <cell r="F163">
            <v>12</v>
          </cell>
          <cell r="G163">
            <v>1996</v>
          </cell>
          <cell r="H163">
            <v>30</v>
          </cell>
          <cell r="I163">
            <v>14682100000000</v>
          </cell>
        </row>
        <row r="164">
          <cell r="A164" t="str">
            <v>Chile</v>
          </cell>
          <cell r="B164">
            <v>152</v>
          </cell>
          <cell r="C164">
            <v>203</v>
          </cell>
          <cell r="D164">
            <v>11</v>
          </cell>
          <cell r="E164" t="str">
            <v>OPERATING SURPLUS, GROSS</v>
          </cell>
          <cell r="F164">
            <v>12</v>
          </cell>
          <cell r="G164">
            <v>1996</v>
          </cell>
          <cell r="H164">
            <v>100</v>
          </cell>
          <cell r="I164">
            <v>11279652000000</v>
          </cell>
        </row>
        <row r="165">
          <cell r="A165" t="str">
            <v>Chile</v>
          </cell>
          <cell r="B165">
            <v>152</v>
          </cell>
          <cell r="C165">
            <v>203</v>
          </cell>
          <cell r="D165">
            <v>11</v>
          </cell>
          <cell r="E165" t="str">
            <v>OPERATING SURPLUS, GROSS</v>
          </cell>
          <cell r="F165">
            <v>12</v>
          </cell>
          <cell r="G165">
            <v>1997</v>
          </cell>
          <cell r="H165">
            <v>100</v>
          </cell>
          <cell r="I165">
            <v>12555908000000</v>
          </cell>
        </row>
        <row r="166">
          <cell r="A166" t="str">
            <v>Chile</v>
          </cell>
          <cell r="B166">
            <v>152</v>
          </cell>
          <cell r="C166">
            <v>203</v>
          </cell>
          <cell r="D166">
            <v>11</v>
          </cell>
          <cell r="E166" t="str">
            <v>OPERATING SURPLUS, GROSS</v>
          </cell>
          <cell r="F166">
            <v>12</v>
          </cell>
          <cell r="G166">
            <v>1998</v>
          </cell>
          <cell r="H166">
            <v>100</v>
          </cell>
          <cell r="I166">
            <v>12295376000000</v>
          </cell>
        </row>
        <row r="167">
          <cell r="A167" t="str">
            <v>Chile</v>
          </cell>
          <cell r="B167">
            <v>152</v>
          </cell>
          <cell r="C167">
            <v>203</v>
          </cell>
          <cell r="D167">
            <v>11</v>
          </cell>
          <cell r="E167" t="str">
            <v>OPERATING SURPLUS, GROSS</v>
          </cell>
          <cell r="F167">
            <v>12</v>
          </cell>
          <cell r="G167">
            <v>1999</v>
          </cell>
          <cell r="H167">
            <v>100</v>
          </cell>
          <cell r="I167">
            <v>11870506000000</v>
          </cell>
        </row>
        <row r="168">
          <cell r="A168" t="str">
            <v>Chile</v>
          </cell>
          <cell r="B168">
            <v>152</v>
          </cell>
          <cell r="C168">
            <v>203</v>
          </cell>
          <cell r="D168">
            <v>11</v>
          </cell>
          <cell r="E168" t="str">
            <v>OPERATING SURPLUS, GROSS</v>
          </cell>
          <cell r="F168">
            <v>12</v>
          </cell>
          <cell r="G168">
            <v>2000</v>
          </cell>
          <cell r="H168">
            <v>100</v>
          </cell>
          <cell r="I168">
            <v>13380929000000</v>
          </cell>
        </row>
        <row r="169">
          <cell r="A169" t="str">
            <v>Chile</v>
          </cell>
          <cell r="B169">
            <v>152</v>
          </cell>
          <cell r="C169">
            <v>203</v>
          </cell>
          <cell r="D169">
            <v>11</v>
          </cell>
          <cell r="E169" t="str">
            <v>OPERATING SURPLUS, GROSS</v>
          </cell>
          <cell r="F169">
            <v>12</v>
          </cell>
          <cell r="G169">
            <v>2001</v>
          </cell>
          <cell r="H169">
            <v>100</v>
          </cell>
          <cell r="I169">
            <v>14494650000000</v>
          </cell>
        </row>
        <row r="170">
          <cell r="A170" t="str">
            <v>Chile</v>
          </cell>
          <cell r="B170">
            <v>152</v>
          </cell>
          <cell r="C170">
            <v>203</v>
          </cell>
          <cell r="D170">
            <v>22</v>
          </cell>
          <cell r="E170" t="str">
            <v>Taxes on production and imports, less Subsidies</v>
          </cell>
          <cell r="F170">
            <v>12</v>
          </cell>
          <cell r="G170">
            <v>1985</v>
          </cell>
          <cell r="H170">
            <v>30</v>
          </cell>
          <cell r="I170">
            <v>423959000000</v>
          </cell>
        </row>
        <row r="171">
          <cell r="A171" t="str">
            <v>Chile</v>
          </cell>
          <cell r="B171">
            <v>152</v>
          </cell>
          <cell r="C171">
            <v>203</v>
          </cell>
          <cell r="D171">
            <v>22</v>
          </cell>
          <cell r="E171" t="str">
            <v>Taxes on production and imports, less Subsidies</v>
          </cell>
          <cell r="F171">
            <v>12</v>
          </cell>
          <cell r="G171">
            <v>1986</v>
          </cell>
          <cell r="H171">
            <v>30</v>
          </cell>
          <cell r="I171">
            <v>538369000000</v>
          </cell>
        </row>
        <row r="172">
          <cell r="A172" t="str">
            <v>Chile</v>
          </cell>
          <cell r="B172">
            <v>152</v>
          </cell>
          <cell r="C172">
            <v>203</v>
          </cell>
          <cell r="D172">
            <v>22</v>
          </cell>
          <cell r="E172" t="str">
            <v>Taxes on production and imports, less Subsidies</v>
          </cell>
          <cell r="F172">
            <v>12</v>
          </cell>
          <cell r="G172">
            <v>1987</v>
          </cell>
          <cell r="H172">
            <v>30</v>
          </cell>
          <cell r="I172">
            <v>712408000000</v>
          </cell>
        </row>
        <row r="173">
          <cell r="A173" t="str">
            <v>Chile</v>
          </cell>
          <cell r="B173">
            <v>152</v>
          </cell>
          <cell r="C173">
            <v>203</v>
          </cell>
          <cell r="D173">
            <v>22</v>
          </cell>
          <cell r="E173" t="str">
            <v>Taxes on production and imports, less Subsidies</v>
          </cell>
          <cell r="F173">
            <v>12</v>
          </cell>
          <cell r="G173">
            <v>1988</v>
          </cell>
          <cell r="H173">
            <v>30</v>
          </cell>
          <cell r="I173">
            <v>216000000000</v>
          </cell>
        </row>
        <row r="174">
          <cell r="A174" t="str">
            <v>Chile</v>
          </cell>
          <cell r="B174">
            <v>152</v>
          </cell>
          <cell r="C174">
            <v>203</v>
          </cell>
          <cell r="D174">
            <v>22</v>
          </cell>
          <cell r="E174" t="str">
            <v>Taxes on production and imports, less Subsidies</v>
          </cell>
          <cell r="F174">
            <v>12</v>
          </cell>
          <cell r="G174">
            <v>1989</v>
          </cell>
          <cell r="H174">
            <v>30</v>
          </cell>
          <cell r="I174">
            <v>212100000000</v>
          </cell>
        </row>
        <row r="175">
          <cell r="A175" t="str">
            <v>Chile</v>
          </cell>
          <cell r="B175">
            <v>152</v>
          </cell>
          <cell r="C175">
            <v>203</v>
          </cell>
          <cell r="D175">
            <v>22</v>
          </cell>
          <cell r="E175" t="str">
            <v>Taxes on production and imports, less Subsidies</v>
          </cell>
          <cell r="F175">
            <v>12</v>
          </cell>
          <cell r="G175">
            <v>1990</v>
          </cell>
          <cell r="H175">
            <v>30</v>
          </cell>
          <cell r="I175">
            <v>259400000000</v>
          </cell>
        </row>
        <row r="176">
          <cell r="A176" t="str">
            <v>Chile</v>
          </cell>
          <cell r="B176">
            <v>152</v>
          </cell>
          <cell r="C176">
            <v>203</v>
          </cell>
          <cell r="D176">
            <v>22</v>
          </cell>
          <cell r="E176" t="str">
            <v>Taxes on production and imports, less Subsidies</v>
          </cell>
          <cell r="F176">
            <v>12</v>
          </cell>
          <cell r="G176">
            <v>1991</v>
          </cell>
          <cell r="H176">
            <v>30</v>
          </cell>
          <cell r="I176">
            <v>354200000000</v>
          </cell>
        </row>
        <row r="177">
          <cell r="A177" t="str">
            <v>Chile</v>
          </cell>
          <cell r="B177">
            <v>152</v>
          </cell>
          <cell r="C177">
            <v>203</v>
          </cell>
          <cell r="D177">
            <v>22</v>
          </cell>
          <cell r="E177" t="str">
            <v>Taxes on production and imports, less Subsidies</v>
          </cell>
          <cell r="F177">
            <v>12</v>
          </cell>
          <cell r="G177">
            <v>1992</v>
          </cell>
          <cell r="H177">
            <v>30</v>
          </cell>
          <cell r="I177">
            <v>476900000000</v>
          </cell>
        </row>
        <row r="178">
          <cell r="A178" t="str">
            <v>Chile</v>
          </cell>
          <cell r="B178">
            <v>152</v>
          </cell>
          <cell r="C178">
            <v>203</v>
          </cell>
          <cell r="D178">
            <v>22</v>
          </cell>
          <cell r="E178" t="str">
            <v>Taxes on production and imports, less Subsidies</v>
          </cell>
          <cell r="F178">
            <v>12</v>
          </cell>
          <cell r="G178">
            <v>1993</v>
          </cell>
          <cell r="H178">
            <v>30</v>
          </cell>
          <cell r="I178">
            <v>629000000000</v>
          </cell>
        </row>
        <row r="179">
          <cell r="A179" t="str">
            <v>Chile</v>
          </cell>
          <cell r="B179">
            <v>152</v>
          </cell>
          <cell r="C179">
            <v>203</v>
          </cell>
          <cell r="D179">
            <v>22</v>
          </cell>
          <cell r="E179" t="str">
            <v>Taxes on production and imports, less Subsidies</v>
          </cell>
          <cell r="F179">
            <v>12</v>
          </cell>
          <cell r="G179">
            <v>1994</v>
          </cell>
          <cell r="H179">
            <v>30</v>
          </cell>
          <cell r="I179">
            <v>737900000000</v>
          </cell>
        </row>
        <row r="180">
          <cell r="A180" t="str">
            <v>Chile</v>
          </cell>
          <cell r="B180">
            <v>152</v>
          </cell>
          <cell r="C180">
            <v>203</v>
          </cell>
          <cell r="D180">
            <v>22</v>
          </cell>
          <cell r="E180" t="str">
            <v>Taxes on production and imports, less Subsidies</v>
          </cell>
          <cell r="F180">
            <v>12</v>
          </cell>
          <cell r="G180">
            <v>1995</v>
          </cell>
          <cell r="H180">
            <v>30</v>
          </cell>
          <cell r="I180">
            <v>863300000000</v>
          </cell>
        </row>
        <row r="181">
          <cell r="A181" t="str">
            <v>Chile</v>
          </cell>
          <cell r="B181">
            <v>152</v>
          </cell>
          <cell r="C181">
            <v>203</v>
          </cell>
          <cell r="D181">
            <v>22</v>
          </cell>
          <cell r="E181" t="str">
            <v>Taxes on production and imports, less Subsidies</v>
          </cell>
          <cell r="F181">
            <v>12</v>
          </cell>
          <cell r="G181">
            <v>1996</v>
          </cell>
          <cell r="H181">
            <v>30</v>
          </cell>
          <cell r="I181">
            <v>1013600000000</v>
          </cell>
        </row>
        <row r="182">
          <cell r="A182" t="str">
            <v>Chile</v>
          </cell>
          <cell r="B182">
            <v>152</v>
          </cell>
          <cell r="C182">
            <v>203</v>
          </cell>
          <cell r="D182">
            <v>22</v>
          </cell>
          <cell r="E182" t="str">
            <v>Taxes on production and imports, less Subsidies</v>
          </cell>
          <cell r="F182">
            <v>12</v>
          </cell>
          <cell r="G182">
            <v>1996</v>
          </cell>
          <cell r="H182">
            <v>100</v>
          </cell>
          <cell r="I182">
            <v>3986048000000</v>
          </cell>
        </row>
        <row r="183">
          <cell r="A183" t="str">
            <v>Chile</v>
          </cell>
          <cell r="B183">
            <v>152</v>
          </cell>
          <cell r="C183">
            <v>203</v>
          </cell>
          <cell r="D183">
            <v>22</v>
          </cell>
          <cell r="E183" t="str">
            <v>Taxes on production and imports, less Subsidies</v>
          </cell>
          <cell r="F183">
            <v>12</v>
          </cell>
          <cell r="G183">
            <v>1997</v>
          </cell>
          <cell r="H183">
            <v>100</v>
          </cell>
          <cell r="I183">
            <v>4346446000000</v>
          </cell>
        </row>
        <row r="184">
          <cell r="A184" t="str">
            <v>Chile</v>
          </cell>
          <cell r="B184">
            <v>152</v>
          </cell>
          <cell r="C184">
            <v>203</v>
          </cell>
          <cell r="D184">
            <v>22</v>
          </cell>
          <cell r="E184" t="str">
            <v>Taxes on production and imports, less Subsidies</v>
          </cell>
          <cell r="F184">
            <v>12</v>
          </cell>
          <cell r="G184">
            <v>1998</v>
          </cell>
          <cell r="H184">
            <v>100</v>
          </cell>
          <cell r="I184">
            <v>4878616000000</v>
          </cell>
        </row>
        <row r="185">
          <cell r="A185" t="str">
            <v>Chile</v>
          </cell>
          <cell r="B185">
            <v>152</v>
          </cell>
          <cell r="C185">
            <v>203</v>
          </cell>
          <cell r="D185">
            <v>22</v>
          </cell>
          <cell r="E185" t="str">
            <v>Taxes on production and imports, less Subsidies</v>
          </cell>
          <cell r="F185">
            <v>12</v>
          </cell>
          <cell r="G185">
            <v>1999</v>
          </cell>
          <cell r="H185">
            <v>100</v>
          </cell>
          <cell r="I185">
            <v>4831312000000</v>
          </cell>
        </row>
        <row r="186">
          <cell r="A186" t="str">
            <v>Chile</v>
          </cell>
          <cell r="B186">
            <v>152</v>
          </cell>
          <cell r="C186">
            <v>203</v>
          </cell>
          <cell r="D186">
            <v>22</v>
          </cell>
          <cell r="E186" t="str">
            <v>Taxes on production and imports, less Subsidies</v>
          </cell>
          <cell r="F186">
            <v>12</v>
          </cell>
          <cell r="G186">
            <v>2000</v>
          </cell>
          <cell r="H186">
            <v>100</v>
          </cell>
          <cell r="I186">
            <v>5294196000000</v>
          </cell>
        </row>
        <row r="187">
          <cell r="A187" t="str">
            <v>Chile</v>
          </cell>
          <cell r="B187">
            <v>152</v>
          </cell>
          <cell r="C187">
            <v>203</v>
          </cell>
          <cell r="D187">
            <v>22</v>
          </cell>
          <cell r="E187" t="str">
            <v>Taxes on production and imports, less Subsidies</v>
          </cell>
          <cell r="F187">
            <v>12</v>
          </cell>
          <cell r="G187">
            <v>2001</v>
          </cell>
          <cell r="H187">
            <v>100</v>
          </cell>
          <cell r="I187">
            <v>5684031000000</v>
          </cell>
        </row>
        <row r="188">
          <cell r="A188" t="str">
            <v>Comoros</v>
          </cell>
          <cell r="B188">
            <v>174</v>
          </cell>
          <cell r="C188">
            <v>201</v>
          </cell>
          <cell r="D188">
            <v>13</v>
          </cell>
          <cell r="E188" t="str">
            <v>Less: Financial intermediation services indirectly measured (FISIM) (only to be deducted if FISIM is not distributed to uses)</v>
          </cell>
          <cell r="F188">
            <v>0</v>
          </cell>
          <cell r="G188">
            <v>1986</v>
          </cell>
          <cell r="H188">
            <v>10</v>
          </cell>
          <cell r="I188">
            <v>1158000000</v>
          </cell>
        </row>
        <row r="189">
          <cell r="A189" t="str">
            <v>Comoros</v>
          </cell>
          <cell r="B189">
            <v>174</v>
          </cell>
          <cell r="C189">
            <v>201</v>
          </cell>
          <cell r="D189">
            <v>13</v>
          </cell>
          <cell r="E189" t="str">
            <v>Less: Financial intermediation services indirectly measured (FISIM) (only to be deducted if FISIM is not distributed to uses)</v>
          </cell>
          <cell r="F189">
            <v>0</v>
          </cell>
          <cell r="G189">
            <v>1987</v>
          </cell>
          <cell r="H189">
            <v>10</v>
          </cell>
          <cell r="I189">
            <v>1201000000</v>
          </cell>
        </row>
        <row r="190">
          <cell r="A190" t="str">
            <v>Comoros</v>
          </cell>
          <cell r="B190">
            <v>174</v>
          </cell>
          <cell r="C190">
            <v>201</v>
          </cell>
          <cell r="D190">
            <v>13</v>
          </cell>
          <cell r="E190" t="str">
            <v>Less: Financial intermediation services indirectly measured (FISIM) (only to be deducted if FISIM is not distributed to uses)</v>
          </cell>
          <cell r="F190">
            <v>0</v>
          </cell>
          <cell r="G190">
            <v>1988</v>
          </cell>
          <cell r="H190">
            <v>10</v>
          </cell>
          <cell r="I190">
            <v>1286000000</v>
          </cell>
        </row>
        <row r="191">
          <cell r="A191" t="str">
            <v>Comoros</v>
          </cell>
          <cell r="B191">
            <v>174</v>
          </cell>
          <cell r="C191">
            <v>201</v>
          </cell>
          <cell r="D191">
            <v>13</v>
          </cell>
          <cell r="E191" t="str">
            <v>Less: Financial intermediation services indirectly measured (FISIM) (only to be deducted if FISIM is not distributed to uses)</v>
          </cell>
          <cell r="F191">
            <v>0</v>
          </cell>
          <cell r="G191">
            <v>1989</v>
          </cell>
          <cell r="H191">
            <v>10</v>
          </cell>
          <cell r="I191">
            <v>1329000000</v>
          </cell>
        </row>
        <row r="192">
          <cell r="A192" t="str">
            <v>Comoros</v>
          </cell>
          <cell r="B192">
            <v>174</v>
          </cell>
          <cell r="C192">
            <v>201</v>
          </cell>
          <cell r="D192">
            <v>13</v>
          </cell>
          <cell r="E192" t="str">
            <v>Less: Financial intermediation services indirectly measured (FISIM) (only to be deducted if FISIM is not distributed to uses)</v>
          </cell>
          <cell r="F192">
            <v>0</v>
          </cell>
          <cell r="G192">
            <v>1990</v>
          </cell>
          <cell r="H192">
            <v>10</v>
          </cell>
          <cell r="I192">
            <v>1622000000</v>
          </cell>
        </row>
        <row r="193">
          <cell r="A193" t="str">
            <v>Comoros</v>
          </cell>
          <cell r="B193">
            <v>174</v>
          </cell>
          <cell r="C193">
            <v>201</v>
          </cell>
          <cell r="D193">
            <v>13</v>
          </cell>
          <cell r="E193" t="str">
            <v>Less: Financial intermediation services indirectly measured (FISIM) (only to be deducted if FISIM is not distributed to uses)</v>
          </cell>
          <cell r="F193">
            <v>0</v>
          </cell>
          <cell r="G193">
            <v>1991</v>
          </cell>
          <cell r="H193">
            <v>10</v>
          </cell>
          <cell r="I193">
            <v>1865000000</v>
          </cell>
        </row>
        <row r="194">
          <cell r="A194" t="str">
            <v>Cook Islands</v>
          </cell>
          <cell r="B194">
            <v>184</v>
          </cell>
          <cell r="C194">
            <v>201</v>
          </cell>
          <cell r="D194">
            <v>13</v>
          </cell>
          <cell r="E194" t="str">
            <v>Less: Financial intermediation services indirectly measured (FISIM) (only to be deducted if FISIM is not distributed to uses)</v>
          </cell>
          <cell r="F194">
            <v>0</v>
          </cell>
          <cell r="G194">
            <v>1982</v>
          </cell>
          <cell r="H194">
            <v>20</v>
          </cell>
          <cell r="I194">
            <v>730000</v>
          </cell>
        </row>
        <row r="195">
          <cell r="A195" t="str">
            <v>Cook Islands</v>
          </cell>
          <cell r="B195">
            <v>184</v>
          </cell>
          <cell r="C195">
            <v>201</v>
          </cell>
          <cell r="D195">
            <v>13</v>
          </cell>
          <cell r="E195" t="str">
            <v>Less: Financial intermediation services indirectly measured (FISIM) (only to be deducted if FISIM is not distributed to uses)</v>
          </cell>
          <cell r="F195">
            <v>0</v>
          </cell>
          <cell r="G195">
            <v>1983</v>
          </cell>
          <cell r="H195">
            <v>20</v>
          </cell>
          <cell r="I195">
            <v>820000</v>
          </cell>
        </row>
        <row r="196">
          <cell r="A196" t="str">
            <v>Cook Islands</v>
          </cell>
          <cell r="B196">
            <v>184</v>
          </cell>
          <cell r="C196">
            <v>201</v>
          </cell>
          <cell r="D196">
            <v>13</v>
          </cell>
          <cell r="E196" t="str">
            <v>Less: Financial intermediation services indirectly measured (FISIM) (only to be deducted if FISIM is not distributed to uses)</v>
          </cell>
          <cell r="F196">
            <v>0</v>
          </cell>
          <cell r="G196">
            <v>1984</v>
          </cell>
          <cell r="H196">
            <v>20</v>
          </cell>
          <cell r="I196">
            <v>865000</v>
          </cell>
        </row>
        <row r="197">
          <cell r="A197" t="str">
            <v>Cook Islands</v>
          </cell>
          <cell r="B197">
            <v>184</v>
          </cell>
          <cell r="C197">
            <v>201</v>
          </cell>
          <cell r="D197">
            <v>13</v>
          </cell>
          <cell r="E197" t="str">
            <v>Less: Financial intermediation services indirectly measured (FISIM) (only to be deducted if FISIM is not distributed to uses)</v>
          </cell>
          <cell r="F197">
            <v>0</v>
          </cell>
          <cell r="G197">
            <v>1985</v>
          </cell>
          <cell r="H197">
            <v>20</v>
          </cell>
          <cell r="I197">
            <v>1035000</v>
          </cell>
        </row>
        <row r="198">
          <cell r="A198" t="str">
            <v>Cook Islands</v>
          </cell>
          <cell r="B198">
            <v>184</v>
          </cell>
          <cell r="C198">
            <v>201</v>
          </cell>
          <cell r="D198">
            <v>13</v>
          </cell>
          <cell r="E198" t="str">
            <v>Less: Financial intermediation services indirectly measured (FISIM) (only to be deducted if FISIM is not distributed to uses)</v>
          </cell>
          <cell r="F198">
            <v>0</v>
          </cell>
          <cell r="G198">
            <v>1986</v>
          </cell>
          <cell r="H198">
            <v>20</v>
          </cell>
          <cell r="I198">
            <v>1095000</v>
          </cell>
        </row>
        <row r="199">
          <cell r="A199" t="str">
            <v>Cook Islands</v>
          </cell>
          <cell r="B199">
            <v>184</v>
          </cell>
          <cell r="C199">
            <v>201</v>
          </cell>
          <cell r="D199">
            <v>13</v>
          </cell>
          <cell r="E199" t="str">
            <v>Less: Financial intermediation services indirectly measured (FISIM) (only to be deducted if FISIM is not distributed to uses)</v>
          </cell>
          <cell r="F199">
            <v>0</v>
          </cell>
          <cell r="G199">
            <v>1992</v>
          </cell>
          <cell r="H199">
            <v>20</v>
          </cell>
          <cell r="I199">
            <v>3314000</v>
          </cell>
        </row>
        <row r="200">
          <cell r="A200" t="str">
            <v>Cook Islands</v>
          </cell>
          <cell r="B200">
            <v>184</v>
          </cell>
          <cell r="C200">
            <v>201</v>
          </cell>
          <cell r="D200">
            <v>13</v>
          </cell>
          <cell r="E200" t="str">
            <v>Less: Financial intermediation services indirectly measured (FISIM) (only to be deducted if FISIM is not distributed to uses)</v>
          </cell>
          <cell r="F200">
            <v>0</v>
          </cell>
          <cell r="G200">
            <v>1993</v>
          </cell>
          <cell r="H200">
            <v>20</v>
          </cell>
          <cell r="I200">
            <v>4793000</v>
          </cell>
        </row>
        <row r="201">
          <cell r="A201" t="str">
            <v>Cook Islands</v>
          </cell>
          <cell r="B201">
            <v>184</v>
          </cell>
          <cell r="C201">
            <v>201</v>
          </cell>
          <cell r="D201">
            <v>13</v>
          </cell>
          <cell r="E201" t="str">
            <v>Less: Financial intermediation services indirectly measured (FISIM) (only to be deducted if FISIM is not distributed to uses)</v>
          </cell>
          <cell r="F201">
            <v>0</v>
          </cell>
          <cell r="G201">
            <v>1994</v>
          </cell>
          <cell r="H201">
            <v>20</v>
          </cell>
          <cell r="I201">
            <v>5268000</v>
          </cell>
        </row>
        <row r="202">
          <cell r="A202" t="str">
            <v>Cook Islands</v>
          </cell>
          <cell r="B202">
            <v>184</v>
          </cell>
          <cell r="C202">
            <v>201</v>
          </cell>
          <cell r="D202">
            <v>13</v>
          </cell>
          <cell r="E202" t="str">
            <v>Less: Financial intermediation services indirectly measured (FISIM) (only to be deducted if FISIM is not distributed to uses)</v>
          </cell>
          <cell r="F202">
            <v>0</v>
          </cell>
          <cell r="G202">
            <v>1995</v>
          </cell>
          <cell r="H202">
            <v>20</v>
          </cell>
          <cell r="I202">
            <v>5281000</v>
          </cell>
        </row>
        <row r="203">
          <cell r="A203" t="str">
            <v>Cook Islands</v>
          </cell>
          <cell r="B203">
            <v>184</v>
          </cell>
          <cell r="C203">
            <v>201</v>
          </cell>
          <cell r="D203">
            <v>13</v>
          </cell>
          <cell r="E203" t="str">
            <v>Less: Financial intermediation services indirectly measured (FISIM) (only to be deducted if FISIM is not distributed to uses)</v>
          </cell>
          <cell r="F203">
            <v>0</v>
          </cell>
          <cell r="G203">
            <v>1995</v>
          </cell>
          <cell r="H203">
            <v>30</v>
          </cell>
          <cell r="I203">
            <v>5000000</v>
          </cell>
        </row>
        <row r="204">
          <cell r="A204" t="str">
            <v>Cook Islands</v>
          </cell>
          <cell r="B204">
            <v>184</v>
          </cell>
          <cell r="C204">
            <v>201</v>
          </cell>
          <cell r="D204">
            <v>13</v>
          </cell>
          <cell r="E204" t="str">
            <v>Less: Financial intermediation services indirectly measured (FISIM) (only to be deducted if FISIM is not distributed to uses)</v>
          </cell>
          <cell r="F204">
            <v>0</v>
          </cell>
          <cell r="G204">
            <v>1996</v>
          </cell>
          <cell r="H204">
            <v>30</v>
          </cell>
          <cell r="I204">
            <v>5000000</v>
          </cell>
        </row>
        <row r="205">
          <cell r="A205" t="str">
            <v>Cook Islands</v>
          </cell>
          <cell r="B205">
            <v>184</v>
          </cell>
          <cell r="C205">
            <v>201</v>
          </cell>
          <cell r="D205">
            <v>13</v>
          </cell>
          <cell r="E205" t="str">
            <v>Less: Financial intermediation services indirectly measured (FISIM) (only to be deducted if FISIM is not distributed to uses)</v>
          </cell>
          <cell r="F205">
            <v>0</v>
          </cell>
          <cell r="G205">
            <v>1997</v>
          </cell>
          <cell r="H205">
            <v>30</v>
          </cell>
          <cell r="I205">
            <v>5000000</v>
          </cell>
        </row>
        <row r="206">
          <cell r="A206" t="str">
            <v>Cook Islands</v>
          </cell>
          <cell r="B206">
            <v>184</v>
          </cell>
          <cell r="C206">
            <v>201</v>
          </cell>
          <cell r="D206">
            <v>13</v>
          </cell>
          <cell r="E206" t="str">
            <v>Less: Financial intermediation services indirectly measured (FISIM) (only to be deducted if FISIM is not distributed to uses)</v>
          </cell>
          <cell r="F206">
            <v>0</v>
          </cell>
          <cell r="G206">
            <v>1998</v>
          </cell>
          <cell r="H206">
            <v>30</v>
          </cell>
          <cell r="I206">
            <v>5000000</v>
          </cell>
        </row>
        <row r="207">
          <cell r="A207" t="str">
            <v>Cook Islands</v>
          </cell>
          <cell r="B207">
            <v>184</v>
          </cell>
          <cell r="C207">
            <v>201</v>
          </cell>
          <cell r="D207">
            <v>13</v>
          </cell>
          <cell r="E207" t="str">
            <v>Less: Financial intermediation services indirectly measured (FISIM) (only to be deducted if FISIM is not distributed to uses)</v>
          </cell>
          <cell r="F207">
            <v>0</v>
          </cell>
          <cell r="G207">
            <v>1999</v>
          </cell>
          <cell r="H207">
            <v>30</v>
          </cell>
          <cell r="I207">
            <v>5000000</v>
          </cell>
        </row>
        <row r="208">
          <cell r="A208" t="str">
            <v>Cook Islands</v>
          </cell>
          <cell r="B208">
            <v>184</v>
          </cell>
          <cell r="C208">
            <v>201</v>
          </cell>
          <cell r="D208">
            <v>13</v>
          </cell>
          <cell r="E208" t="str">
            <v>Less: Financial intermediation services indirectly measured (FISIM) (only to be deducted if FISIM is not distributed to uses)</v>
          </cell>
          <cell r="F208">
            <v>0</v>
          </cell>
          <cell r="G208">
            <v>2000</v>
          </cell>
          <cell r="H208">
            <v>30</v>
          </cell>
          <cell r="I208">
            <v>6000000</v>
          </cell>
        </row>
        <row r="209">
          <cell r="A209" t="str">
            <v>Cook Islands</v>
          </cell>
          <cell r="B209">
            <v>184</v>
          </cell>
          <cell r="C209">
            <v>201</v>
          </cell>
          <cell r="D209">
            <v>13</v>
          </cell>
          <cell r="E209" t="str">
            <v>Less: Financial intermediation services indirectly measured (FISIM) (only to be deducted if FISIM is not distributed to uses)</v>
          </cell>
          <cell r="F209">
            <v>0</v>
          </cell>
          <cell r="G209">
            <v>2001</v>
          </cell>
          <cell r="H209">
            <v>30</v>
          </cell>
          <cell r="I209">
            <v>6000000</v>
          </cell>
        </row>
        <row r="210">
          <cell r="A210" t="str">
            <v>Cook Islands</v>
          </cell>
          <cell r="B210">
            <v>184</v>
          </cell>
          <cell r="C210">
            <v>201</v>
          </cell>
          <cell r="D210">
            <v>13</v>
          </cell>
          <cell r="E210" t="str">
            <v>Less: Financial intermediation services indirectly measured (FISIM) (only to be deducted if FISIM is not distributed to uses)</v>
          </cell>
          <cell r="F210">
            <v>0</v>
          </cell>
          <cell r="G210">
            <v>2002</v>
          </cell>
          <cell r="H210">
            <v>30</v>
          </cell>
          <cell r="I210">
            <v>6000000</v>
          </cell>
        </row>
        <row r="211">
          <cell r="A211" t="str">
            <v>Cook Islands</v>
          </cell>
          <cell r="B211">
            <v>184</v>
          </cell>
          <cell r="C211">
            <v>203</v>
          </cell>
          <cell r="D211">
            <v>3</v>
          </cell>
          <cell r="E211" t="str">
            <v>Equals: VALUE ADDED, GROSS, at basic prices</v>
          </cell>
          <cell r="F211">
            <v>12</v>
          </cell>
          <cell r="G211">
            <v>1995</v>
          </cell>
          <cell r="H211">
            <v>30</v>
          </cell>
          <cell r="I211">
            <v>90000000</v>
          </cell>
        </row>
        <row r="212">
          <cell r="A212" t="str">
            <v>Cook Islands</v>
          </cell>
          <cell r="B212">
            <v>184</v>
          </cell>
          <cell r="C212">
            <v>203</v>
          </cell>
          <cell r="D212">
            <v>3</v>
          </cell>
          <cell r="E212" t="str">
            <v>Equals: VALUE ADDED, GROSS, at basic prices</v>
          </cell>
          <cell r="F212">
            <v>12</v>
          </cell>
          <cell r="G212">
            <v>1996</v>
          </cell>
          <cell r="H212">
            <v>30</v>
          </cell>
          <cell r="I212">
            <v>92000000</v>
          </cell>
        </row>
        <row r="213">
          <cell r="A213" t="str">
            <v>Cook Islands</v>
          </cell>
          <cell r="B213">
            <v>184</v>
          </cell>
          <cell r="C213">
            <v>203</v>
          </cell>
          <cell r="D213">
            <v>3</v>
          </cell>
          <cell r="E213" t="str">
            <v>Equals: VALUE ADDED, GROSS, at basic prices</v>
          </cell>
          <cell r="F213">
            <v>12</v>
          </cell>
          <cell r="G213">
            <v>1997</v>
          </cell>
          <cell r="H213">
            <v>30</v>
          </cell>
          <cell r="I213">
            <v>92000000</v>
          </cell>
        </row>
        <row r="214">
          <cell r="A214" t="str">
            <v>Cook Islands</v>
          </cell>
          <cell r="B214">
            <v>184</v>
          </cell>
          <cell r="C214">
            <v>203</v>
          </cell>
          <cell r="D214">
            <v>3</v>
          </cell>
          <cell r="E214" t="str">
            <v>Equals: VALUE ADDED, GROSS, at basic prices</v>
          </cell>
          <cell r="F214">
            <v>12</v>
          </cell>
          <cell r="G214">
            <v>1998</v>
          </cell>
          <cell r="H214">
            <v>30</v>
          </cell>
          <cell r="I214">
            <v>102000000</v>
          </cell>
        </row>
        <row r="215">
          <cell r="A215" t="str">
            <v>Cook Islands</v>
          </cell>
          <cell r="B215">
            <v>184</v>
          </cell>
          <cell r="C215">
            <v>203</v>
          </cell>
          <cell r="D215">
            <v>3</v>
          </cell>
          <cell r="E215" t="str">
            <v>Equals: VALUE ADDED, GROSS, at basic prices</v>
          </cell>
          <cell r="F215">
            <v>12</v>
          </cell>
          <cell r="G215">
            <v>1999</v>
          </cell>
          <cell r="H215">
            <v>30</v>
          </cell>
          <cell r="I215">
            <v>113000000</v>
          </cell>
        </row>
        <row r="216">
          <cell r="A216" t="str">
            <v>Cook Islands</v>
          </cell>
          <cell r="B216">
            <v>184</v>
          </cell>
          <cell r="C216">
            <v>203</v>
          </cell>
          <cell r="D216">
            <v>3</v>
          </cell>
          <cell r="E216" t="str">
            <v>Equals: VALUE ADDED, GROSS, at basic prices</v>
          </cell>
          <cell r="F216">
            <v>12</v>
          </cell>
          <cell r="G216">
            <v>2000</v>
          </cell>
          <cell r="H216">
            <v>30</v>
          </cell>
          <cell r="I216">
            <v>137000000</v>
          </cell>
        </row>
        <row r="217">
          <cell r="A217" t="str">
            <v>Cook Islands</v>
          </cell>
          <cell r="B217">
            <v>184</v>
          </cell>
          <cell r="C217">
            <v>203</v>
          </cell>
          <cell r="D217">
            <v>3</v>
          </cell>
          <cell r="E217" t="str">
            <v>Equals: VALUE ADDED, GROSS, at basic prices</v>
          </cell>
          <cell r="F217">
            <v>12</v>
          </cell>
          <cell r="G217">
            <v>2001</v>
          </cell>
          <cell r="H217">
            <v>30</v>
          </cell>
          <cell r="I217">
            <v>161000000</v>
          </cell>
        </row>
        <row r="218">
          <cell r="A218" t="str">
            <v>Cook Islands</v>
          </cell>
          <cell r="B218">
            <v>184</v>
          </cell>
          <cell r="C218">
            <v>203</v>
          </cell>
          <cell r="D218">
            <v>3</v>
          </cell>
          <cell r="E218" t="str">
            <v>Equals: VALUE ADDED, GROSS, at basic prices</v>
          </cell>
          <cell r="F218">
            <v>12</v>
          </cell>
          <cell r="G218">
            <v>2002</v>
          </cell>
          <cell r="H218">
            <v>30</v>
          </cell>
          <cell r="I218">
            <v>176000000</v>
          </cell>
        </row>
        <row r="219">
          <cell r="A219" t="str">
            <v>Cook Islands</v>
          </cell>
          <cell r="B219">
            <v>184</v>
          </cell>
          <cell r="C219">
            <v>203</v>
          </cell>
          <cell r="D219">
            <v>4</v>
          </cell>
          <cell r="E219" t="str">
            <v>Compensation of employees</v>
          </cell>
          <cell r="F219">
            <v>12</v>
          </cell>
          <cell r="G219">
            <v>1995</v>
          </cell>
          <cell r="H219">
            <v>30</v>
          </cell>
          <cell r="I219">
            <v>38000000</v>
          </cell>
        </row>
        <row r="220">
          <cell r="A220" t="str">
            <v>Cook Islands</v>
          </cell>
          <cell r="B220">
            <v>184</v>
          </cell>
          <cell r="C220">
            <v>203</v>
          </cell>
          <cell r="D220">
            <v>4</v>
          </cell>
          <cell r="E220" t="str">
            <v>Compensation of employees</v>
          </cell>
          <cell r="F220">
            <v>12</v>
          </cell>
          <cell r="G220">
            <v>1996</v>
          </cell>
          <cell r="H220">
            <v>30</v>
          </cell>
          <cell r="I220">
            <v>38000000</v>
          </cell>
        </row>
        <row r="221">
          <cell r="A221" t="str">
            <v>Cook Islands</v>
          </cell>
          <cell r="B221">
            <v>184</v>
          </cell>
          <cell r="C221">
            <v>203</v>
          </cell>
          <cell r="D221">
            <v>4</v>
          </cell>
          <cell r="E221" t="str">
            <v>Compensation of employees</v>
          </cell>
          <cell r="F221">
            <v>12</v>
          </cell>
          <cell r="G221">
            <v>1997</v>
          </cell>
          <cell r="H221">
            <v>30</v>
          </cell>
          <cell r="I221">
            <v>39000000</v>
          </cell>
        </row>
        <row r="222">
          <cell r="A222" t="str">
            <v>Cook Islands</v>
          </cell>
          <cell r="B222">
            <v>184</v>
          </cell>
          <cell r="C222">
            <v>203</v>
          </cell>
          <cell r="D222">
            <v>4</v>
          </cell>
          <cell r="E222" t="str">
            <v>Compensation of employees</v>
          </cell>
          <cell r="F222">
            <v>12</v>
          </cell>
          <cell r="G222">
            <v>1998</v>
          </cell>
          <cell r="H222">
            <v>30</v>
          </cell>
          <cell r="I222">
            <v>49000000</v>
          </cell>
        </row>
        <row r="223">
          <cell r="A223" t="str">
            <v>Cook Islands</v>
          </cell>
          <cell r="B223">
            <v>184</v>
          </cell>
          <cell r="C223">
            <v>203</v>
          </cell>
          <cell r="D223">
            <v>4</v>
          </cell>
          <cell r="E223" t="str">
            <v>Compensation of employees</v>
          </cell>
          <cell r="F223">
            <v>12</v>
          </cell>
          <cell r="G223">
            <v>1999</v>
          </cell>
          <cell r="H223">
            <v>30</v>
          </cell>
          <cell r="I223">
            <v>53000000</v>
          </cell>
        </row>
        <row r="224">
          <cell r="A224" t="str">
            <v>Cook Islands</v>
          </cell>
          <cell r="B224">
            <v>184</v>
          </cell>
          <cell r="C224">
            <v>203</v>
          </cell>
          <cell r="D224">
            <v>4</v>
          </cell>
          <cell r="E224" t="str">
            <v>Compensation of employees</v>
          </cell>
          <cell r="F224">
            <v>12</v>
          </cell>
          <cell r="G224">
            <v>2000</v>
          </cell>
          <cell r="H224">
            <v>30</v>
          </cell>
          <cell r="I224">
            <v>63000000</v>
          </cell>
        </row>
        <row r="225">
          <cell r="A225" t="str">
            <v>Cook Islands</v>
          </cell>
          <cell r="B225">
            <v>184</v>
          </cell>
          <cell r="C225">
            <v>203</v>
          </cell>
          <cell r="D225">
            <v>4</v>
          </cell>
          <cell r="E225" t="str">
            <v>Compensation of employees</v>
          </cell>
          <cell r="F225">
            <v>12</v>
          </cell>
          <cell r="G225">
            <v>2001</v>
          </cell>
          <cell r="H225">
            <v>30</v>
          </cell>
          <cell r="I225">
            <v>74000000</v>
          </cell>
        </row>
        <row r="226">
          <cell r="A226" t="str">
            <v>Cook Islands</v>
          </cell>
          <cell r="B226">
            <v>184</v>
          </cell>
          <cell r="C226">
            <v>203</v>
          </cell>
          <cell r="D226">
            <v>4</v>
          </cell>
          <cell r="E226" t="str">
            <v>Compensation of employees</v>
          </cell>
          <cell r="F226">
            <v>12</v>
          </cell>
          <cell r="G226">
            <v>2002</v>
          </cell>
          <cell r="H226">
            <v>30</v>
          </cell>
          <cell r="I226">
            <v>81000000</v>
          </cell>
        </row>
        <row r="227">
          <cell r="A227" t="str">
            <v>Cook Islands</v>
          </cell>
          <cell r="B227">
            <v>184</v>
          </cell>
          <cell r="C227">
            <v>203</v>
          </cell>
          <cell r="D227">
            <v>11</v>
          </cell>
          <cell r="E227" t="str">
            <v>OPERATING SURPLUS, GROSS</v>
          </cell>
          <cell r="F227">
            <v>12</v>
          </cell>
          <cell r="G227">
            <v>1995</v>
          </cell>
          <cell r="H227">
            <v>30</v>
          </cell>
          <cell r="I227">
            <v>24000000</v>
          </cell>
        </row>
        <row r="228">
          <cell r="A228" t="str">
            <v>Cook Islands</v>
          </cell>
          <cell r="B228">
            <v>184</v>
          </cell>
          <cell r="C228">
            <v>203</v>
          </cell>
          <cell r="D228">
            <v>11</v>
          </cell>
          <cell r="E228" t="str">
            <v>OPERATING SURPLUS, GROSS</v>
          </cell>
          <cell r="F228">
            <v>12</v>
          </cell>
          <cell r="G228">
            <v>1996</v>
          </cell>
          <cell r="H228">
            <v>30</v>
          </cell>
          <cell r="I228">
            <v>25000000</v>
          </cell>
        </row>
        <row r="229">
          <cell r="A229" t="str">
            <v>Cook Islands</v>
          </cell>
          <cell r="B229">
            <v>184</v>
          </cell>
          <cell r="C229">
            <v>203</v>
          </cell>
          <cell r="D229">
            <v>11</v>
          </cell>
          <cell r="E229" t="str">
            <v>OPERATING SURPLUS, GROSS</v>
          </cell>
          <cell r="F229">
            <v>12</v>
          </cell>
          <cell r="G229">
            <v>1997</v>
          </cell>
          <cell r="H229">
            <v>30</v>
          </cell>
          <cell r="I229">
            <v>22000000</v>
          </cell>
        </row>
        <row r="230">
          <cell r="A230" t="str">
            <v>Cook Islands</v>
          </cell>
          <cell r="B230">
            <v>184</v>
          </cell>
          <cell r="C230">
            <v>203</v>
          </cell>
          <cell r="D230">
            <v>11</v>
          </cell>
          <cell r="E230" t="str">
            <v>OPERATING SURPLUS, GROSS</v>
          </cell>
          <cell r="F230">
            <v>12</v>
          </cell>
          <cell r="G230">
            <v>1998</v>
          </cell>
          <cell r="H230">
            <v>30</v>
          </cell>
          <cell r="I230">
            <v>13000000</v>
          </cell>
        </row>
        <row r="231">
          <cell r="A231" t="str">
            <v>Cook Islands</v>
          </cell>
          <cell r="B231">
            <v>184</v>
          </cell>
          <cell r="C231">
            <v>203</v>
          </cell>
          <cell r="D231">
            <v>11</v>
          </cell>
          <cell r="E231" t="str">
            <v>OPERATING SURPLUS, GROSS</v>
          </cell>
          <cell r="F231">
            <v>12</v>
          </cell>
          <cell r="G231">
            <v>1999</v>
          </cell>
          <cell r="H231">
            <v>30</v>
          </cell>
          <cell r="I231">
            <v>18000000</v>
          </cell>
        </row>
        <row r="232">
          <cell r="A232" t="str">
            <v>Cook Islands</v>
          </cell>
          <cell r="B232">
            <v>184</v>
          </cell>
          <cell r="C232">
            <v>203</v>
          </cell>
          <cell r="D232">
            <v>11</v>
          </cell>
          <cell r="E232" t="str">
            <v>OPERATING SURPLUS, GROSS</v>
          </cell>
          <cell r="F232">
            <v>12</v>
          </cell>
          <cell r="G232">
            <v>2000</v>
          </cell>
          <cell r="H232">
            <v>30</v>
          </cell>
          <cell r="I232">
            <v>23000000</v>
          </cell>
        </row>
        <row r="233">
          <cell r="A233" t="str">
            <v>Cook Islands</v>
          </cell>
          <cell r="B233">
            <v>184</v>
          </cell>
          <cell r="C233">
            <v>203</v>
          </cell>
          <cell r="D233">
            <v>11</v>
          </cell>
          <cell r="E233" t="str">
            <v>OPERATING SURPLUS, GROSS</v>
          </cell>
          <cell r="F233">
            <v>12</v>
          </cell>
          <cell r="G233">
            <v>2001</v>
          </cell>
          <cell r="H233">
            <v>30</v>
          </cell>
          <cell r="I233">
            <v>26000000</v>
          </cell>
        </row>
        <row r="234">
          <cell r="A234" t="str">
            <v>Cook Islands</v>
          </cell>
          <cell r="B234">
            <v>184</v>
          </cell>
          <cell r="C234">
            <v>203</v>
          </cell>
          <cell r="D234">
            <v>11</v>
          </cell>
          <cell r="E234" t="str">
            <v>OPERATING SURPLUS, GROSS</v>
          </cell>
          <cell r="F234">
            <v>12</v>
          </cell>
          <cell r="G234">
            <v>2002</v>
          </cell>
          <cell r="H234">
            <v>30</v>
          </cell>
          <cell r="I234">
            <v>29000000</v>
          </cell>
        </row>
        <row r="235">
          <cell r="A235" t="str">
            <v>Cook Islands</v>
          </cell>
          <cell r="B235">
            <v>184</v>
          </cell>
          <cell r="C235">
            <v>203</v>
          </cell>
          <cell r="D235">
            <v>22</v>
          </cell>
          <cell r="E235" t="str">
            <v>Taxes on production and imports, less Subsidies</v>
          </cell>
          <cell r="F235">
            <v>12</v>
          </cell>
          <cell r="G235">
            <v>1995</v>
          </cell>
          <cell r="H235">
            <v>30</v>
          </cell>
          <cell r="I235">
            <v>19000000</v>
          </cell>
        </row>
        <row r="236">
          <cell r="A236" t="str">
            <v>Cook Islands</v>
          </cell>
          <cell r="B236">
            <v>184</v>
          </cell>
          <cell r="C236">
            <v>203</v>
          </cell>
          <cell r="D236">
            <v>22</v>
          </cell>
          <cell r="E236" t="str">
            <v>Taxes on production and imports, less Subsidies</v>
          </cell>
          <cell r="F236">
            <v>12</v>
          </cell>
          <cell r="G236">
            <v>1996</v>
          </cell>
          <cell r="H236">
            <v>30</v>
          </cell>
          <cell r="I236">
            <v>19000000</v>
          </cell>
        </row>
        <row r="237">
          <cell r="A237" t="str">
            <v>Cook Islands</v>
          </cell>
          <cell r="B237">
            <v>184</v>
          </cell>
          <cell r="C237">
            <v>203</v>
          </cell>
          <cell r="D237">
            <v>22</v>
          </cell>
          <cell r="E237" t="str">
            <v>Taxes on production and imports, less Subsidies</v>
          </cell>
          <cell r="F237">
            <v>12</v>
          </cell>
          <cell r="G237">
            <v>1997</v>
          </cell>
          <cell r="H237">
            <v>30</v>
          </cell>
          <cell r="I237">
            <v>19000000</v>
          </cell>
        </row>
        <row r="238">
          <cell r="A238" t="str">
            <v>Cook Islands</v>
          </cell>
          <cell r="B238">
            <v>184</v>
          </cell>
          <cell r="C238">
            <v>203</v>
          </cell>
          <cell r="D238">
            <v>22</v>
          </cell>
          <cell r="E238" t="str">
            <v>Taxes on production and imports, less Subsidies</v>
          </cell>
          <cell r="F238">
            <v>12</v>
          </cell>
          <cell r="G238">
            <v>1998</v>
          </cell>
          <cell r="H238">
            <v>30</v>
          </cell>
          <cell r="I238">
            <v>25000000</v>
          </cell>
        </row>
        <row r="239">
          <cell r="A239" t="str">
            <v>Cook Islands</v>
          </cell>
          <cell r="B239">
            <v>184</v>
          </cell>
          <cell r="C239">
            <v>203</v>
          </cell>
          <cell r="D239">
            <v>22</v>
          </cell>
          <cell r="E239" t="str">
            <v>Taxes on production and imports, less Subsidies</v>
          </cell>
          <cell r="F239">
            <v>12</v>
          </cell>
          <cell r="G239">
            <v>1999</v>
          </cell>
          <cell r="H239">
            <v>30</v>
          </cell>
          <cell r="I239">
            <v>28000000</v>
          </cell>
        </row>
        <row r="240">
          <cell r="A240" t="str">
            <v>Cook Islands</v>
          </cell>
          <cell r="B240">
            <v>184</v>
          </cell>
          <cell r="C240">
            <v>203</v>
          </cell>
          <cell r="D240">
            <v>22</v>
          </cell>
          <cell r="E240" t="str">
            <v>Taxes on production and imports, less Subsidies</v>
          </cell>
          <cell r="F240">
            <v>12</v>
          </cell>
          <cell r="G240">
            <v>2000</v>
          </cell>
          <cell r="H240">
            <v>30</v>
          </cell>
          <cell r="I240">
            <v>33000000</v>
          </cell>
        </row>
        <row r="241">
          <cell r="A241" t="str">
            <v>Cook Islands</v>
          </cell>
          <cell r="B241">
            <v>184</v>
          </cell>
          <cell r="C241">
            <v>203</v>
          </cell>
          <cell r="D241">
            <v>22</v>
          </cell>
          <cell r="E241" t="str">
            <v>Taxes on production and imports, less Subsidies</v>
          </cell>
          <cell r="F241">
            <v>12</v>
          </cell>
          <cell r="G241">
            <v>2001</v>
          </cell>
          <cell r="H241">
            <v>30</v>
          </cell>
          <cell r="I241">
            <v>39000000</v>
          </cell>
        </row>
        <row r="242">
          <cell r="A242" t="str">
            <v>Cook Islands</v>
          </cell>
          <cell r="B242">
            <v>184</v>
          </cell>
          <cell r="C242">
            <v>203</v>
          </cell>
          <cell r="D242">
            <v>22</v>
          </cell>
          <cell r="E242" t="str">
            <v>Taxes on production and imports, less Subsidies</v>
          </cell>
          <cell r="F242">
            <v>12</v>
          </cell>
          <cell r="G242">
            <v>2002</v>
          </cell>
          <cell r="H242">
            <v>30</v>
          </cell>
          <cell r="I242">
            <v>43000000</v>
          </cell>
        </row>
        <row r="243">
          <cell r="A243" t="str">
            <v>Cuba</v>
          </cell>
          <cell r="B243">
            <v>192</v>
          </cell>
          <cell r="C243">
            <v>203</v>
          </cell>
          <cell r="D243">
            <v>3</v>
          </cell>
          <cell r="E243" t="str">
            <v>Equals: VALUE ADDED, GROSS, at basic prices</v>
          </cell>
          <cell r="F243">
            <v>12</v>
          </cell>
          <cell r="G243">
            <v>1990</v>
          </cell>
          <cell r="H243">
            <v>10</v>
          </cell>
          <cell r="I243">
            <v>19644800000</v>
          </cell>
        </row>
        <row r="244">
          <cell r="A244" t="str">
            <v>Cuba</v>
          </cell>
          <cell r="B244">
            <v>192</v>
          </cell>
          <cell r="C244">
            <v>203</v>
          </cell>
          <cell r="D244">
            <v>3</v>
          </cell>
          <cell r="E244" t="str">
            <v>Equals: VALUE ADDED, GROSS, at basic prices</v>
          </cell>
          <cell r="F244">
            <v>12</v>
          </cell>
          <cell r="G244">
            <v>1991</v>
          </cell>
          <cell r="H244">
            <v>10</v>
          </cell>
          <cell r="I244">
            <v>16248100000</v>
          </cell>
        </row>
        <row r="245">
          <cell r="A245" t="str">
            <v>Cuba</v>
          </cell>
          <cell r="B245">
            <v>192</v>
          </cell>
          <cell r="C245">
            <v>203</v>
          </cell>
          <cell r="D245">
            <v>3</v>
          </cell>
          <cell r="E245" t="str">
            <v>Equals: VALUE ADDED, GROSS, at basic prices</v>
          </cell>
          <cell r="F245">
            <v>12</v>
          </cell>
          <cell r="G245">
            <v>1992</v>
          </cell>
          <cell r="H245">
            <v>10</v>
          </cell>
          <cell r="I245">
            <v>14862800000</v>
          </cell>
        </row>
        <row r="246">
          <cell r="A246" t="str">
            <v>Cuba</v>
          </cell>
          <cell r="B246">
            <v>192</v>
          </cell>
          <cell r="C246">
            <v>203</v>
          </cell>
          <cell r="D246">
            <v>3</v>
          </cell>
          <cell r="E246" t="str">
            <v>Equals: VALUE ADDED, GROSS, at basic prices</v>
          </cell>
          <cell r="F246">
            <v>12</v>
          </cell>
          <cell r="G246">
            <v>1993</v>
          </cell>
          <cell r="H246">
            <v>10</v>
          </cell>
          <cell r="I246">
            <v>14847500000</v>
          </cell>
        </row>
        <row r="247">
          <cell r="A247" t="str">
            <v>Cuba</v>
          </cell>
          <cell r="B247">
            <v>192</v>
          </cell>
          <cell r="C247">
            <v>203</v>
          </cell>
          <cell r="D247">
            <v>3</v>
          </cell>
          <cell r="E247" t="str">
            <v>Equals: VALUE ADDED, GROSS, at basic prices</v>
          </cell>
          <cell r="F247">
            <v>12</v>
          </cell>
          <cell r="G247">
            <v>1994</v>
          </cell>
          <cell r="H247">
            <v>10</v>
          </cell>
          <cell r="I247">
            <v>18873200000</v>
          </cell>
        </row>
        <row r="248">
          <cell r="A248" t="str">
            <v>Cuba</v>
          </cell>
          <cell r="B248">
            <v>192</v>
          </cell>
          <cell r="C248">
            <v>203</v>
          </cell>
          <cell r="D248">
            <v>3</v>
          </cell>
          <cell r="E248" t="str">
            <v>Equals: VALUE ADDED, GROSS, at basic prices</v>
          </cell>
          <cell r="F248">
            <v>12</v>
          </cell>
          <cell r="G248">
            <v>1995</v>
          </cell>
          <cell r="H248">
            <v>10</v>
          </cell>
          <cell r="I248">
            <v>21467700000</v>
          </cell>
        </row>
        <row r="249">
          <cell r="A249" t="str">
            <v>Cuba</v>
          </cell>
          <cell r="B249">
            <v>192</v>
          </cell>
          <cell r="C249">
            <v>203</v>
          </cell>
          <cell r="D249">
            <v>3</v>
          </cell>
          <cell r="E249" t="str">
            <v>Equals: VALUE ADDED, GROSS, at basic prices</v>
          </cell>
          <cell r="F249">
            <v>12</v>
          </cell>
          <cell r="G249">
            <v>1996</v>
          </cell>
          <cell r="H249">
            <v>10</v>
          </cell>
          <cell r="I249">
            <v>22391500000</v>
          </cell>
        </row>
        <row r="250">
          <cell r="A250" t="str">
            <v>Cuba</v>
          </cell>
          <cell r="B250">
            <v>192</v>
          </cell>
          <cell r="C250">
            <v>203</v>
          </cell>
          <cell r="D250">
            <v>3</v>
          </cell>
          <cell r="E250" t="str">
            <v>Equals: VALUE ADDED, GROSS, at basic prices</v>
          </cell>
          <cell r="F250">
            <v>12</v>
          </cell>
          <cell r="G250">
            <v>1997</v>
          </cell>
          <cell r="H250">
            <v>100</v>
          </cell>
          <cell r="I250">
            <v>23102200000</v>
          </cell>
        </row>
        <row r="251">
          <cell r="A251" t="str">
            <v>Cuba</v>
          </cell>
          <cell r="B251">
            <v>192</v>
          </cell>
          <cell r="C251">
            <v>203</v>
          </cell>
          <cell r="D251">
            <v>3</v>
          </cell>
          <cell r="E251" t="str">
            <v>Equals: VALUE ADDED, GROSS, at basic prices</v>
          </cell>
          <cell r="F251">
            <v>12</v>
          </cell>
          <cell r="G251">
            <v>1998</v>
          </cell>
          <cell r="H251">
            <v>100</v>
          </cell>
          <cell r="I251">
            <v>23416100000</v>
          </cell>
        </row>
        <row r="252">
          <cell r="A252" t="str">
            <v>Cuba</v>
          </cell>
          <cell r="B252">
            <v>192</v>
          </cell>
          <cell r="C252">
            <v>203</v>
          </cell>
          <cell r="D252">
            <v>3</v>
          </cell>
          <cell r="E252" t="str">
            <v>Equals: VALUE ADDED, GROSS, at basic prices</v>
          </cell>
          <cell r="F252">
            <v>12</v>
          </cell>
          <cell r="G252">
            <v>1999</v>
          </cell>
          <cell r="H252">
            <v>100</v>
          </cell>
          <cell r="I252">
            <v>25758600000</v>
          </cell>
        </row>
        <row r="253">
          <cell r="A253" t="str">
            <v>Cuba</v>
          </cell>
          <cell r="B253">
            <v>192</v>
          </cell>
          <cell r="C253">
            <v>203</v>
          </cell>
          <cell r="D253">
            <v>3</v>
          </cell>
          <cell r="E253" t="str">
            <v>Equals: VALUE ADDED, GROSS, at basic prices</v>
          </cell>
          <cell r="F253">
            <v>12</v>
          </cell>
          <cell r="G253">
            <v>2000</v>
          </cell>
          <cell r="H253">
            <v>100</v>
          </cell>
          <cell r="I253">
            <v>27810400000</v>
          </cell>
        </row>
        <row r="254">
          <cell r="A254" t="str">
            <v>Cuba</v>
          </cell>
          <cell r="B254">
            <v>192</v>
          </cell>
          <cell r="C254">
            <v>203</v>
          </cell>
          <cell r="D254">
            <v>3</v>
          </cell>
          <cell r="E254" t="str">
            <v>Equals: VALUE ADDED, GROSS, at basic prices</v>
          </cell>
          <cell r="F254">
            <v>12</v>
          </cell>
          <cell r="G254">
            <v>2001</v>
          </cell>
          <cell r="H254">
            <v>100</v>
          </cell>
          <cell r="I254">
            <v>29154000000</v>
          </cell>
        </row>
        <row r="255">
          <cell r="A255" t="str">
            <v>Cuba</v>
          </cell>
          <cell r="B255">
            <v>192</v>
          </cell>
          <cell r="C255">
            <v>203</v>
          </cell>
          <cell r="D255">
            <v>3</v>
          </cell>
          <cell r="E255" t="str">
            <v>Equals: VALUE ADDED, GROSS, at basic prices</v>
          </cell>
          <cell r="F255">
            <v>12</v>
          </cell>
          <cell r="G255">
            <v>2002</v>
          </cell>
          <cell r="H255">
            <v>100</v>
          </cell>
          <cell r="I255">
            <v>30361200000</v>
          </cell>
        </row>
        <row r="256">
          <cell r="A256" t="str">
            <v>Cuba</v>
          </cell>
          <cell r="B256">
            <v>192</v>
          </cell>
          <cell r="C256">
            <v>203</v>
          </cell>
          <cell r="D256">
            <v>3</v>
          </cell>
          <cell r="E256" t="str">
            <v>Equals: VALUE ADDED, GROSS, at basic prices</v>
          </cell>
          <cell r="F256">
            <v>12</v>
          </cell>
          <cell r="G256">
            <v>2003</v>
          </cell>
          <cell r="H256">
            <v>100</v>
          </cell>
          <cell r="I256">
            <v>31967200000</v>
          </cell>
        </row>
        <row r="257">
          <cell r="A257" t="str">
            <v>Cuba</v>
          </cell>
          <cell r="B257">
            <v>192</v>
          </cell>
          <cell r="C257">
            <v>203</v>
          </cell>
          <cell r="D257">
            <v>4</v>
          </cell>
          <cell r="E257" t="str">
            <v>Compensation of employees</v>
          </cell>
          <cell r="F257">
            <v>12</v>
          </cell>
          <cell r="G257">
            <v>1990</v>
          </cell>
          <cell r="H257">
            <v>10</v>
          </cell>
          <cell r="I257">
            <v>10289900000</v>
          </cell>
        </row>
        <row r="258">
          <cell r="A258" t="str">
            <v>Cuba</v>
          </cell>
          <cell r="B258">
            <v>192</v>
          </cell>
          <cell r="C258">
            <v>203</v>
          </cell>
          <cell r="D258">
            <v>4</v>
          </cell>
          <cell r="E258" t="str">
            <v>Compensation of employees</v>
          </cell>
          <cell r="F258">
            <v>12</v>
          </cell>
          <cell r="G258">
            <v>1991</v>
          </cell>
          <cell r="H258">
            <v>10</v>
          </cell>
          <cell r="I258">
            <v>9997700000</v>
          </cell>
        </row>
        <row r="259">
          <cell r="A259" t="str">
            <v>Cuba</v>
          </cell>
          <cell r="B259">
            <v>192</v>
          </cell>
          <cell r="C259">
            <v>203</v>
          </cell>
          <cell r="D259">
            <v>4</v>
          </cell>
          <cell r="E259" t="str">
            <v>Compensation of employees</v>
          </cell>
          <cell r="F259">
            <v>12</v>
          </cell>
          <cell r="G259">
            <v>1992</v>
          </cell>
          <cell r="H259">
            <v>10</v>
          </cell>
          <cell r="I259">
            <v>9928300000</v>
          </cell>
        </row>
        <row r="260">
          <cell r="A260" t="str">
            <v>Cuba</v>
          </cell>
          <cell r="B260">
            <v>192</v>
          </cell>
          <cell r="C260">
            <v>203</v>
          </cell>
          <cell r="D260">
            <v>4</v>
          </cell>
          <cell r="E260" t="str">
            <v>Compensation of employees</v>
          </cell>
          <cell r="F260">
            <v>12</v>
          </cell>
          <cell r="G260">
            <v>1993</v>
          </cell>
          <cell r="H260">
            <v>10</v>
          </cell>
          <cell r="I260">
            <v>9876000000</v>
          </cell>
        </row>
        <row r="261">
          <cell r="A261" t="str">
            <v>Cuba</v>
          </cell>
          <cell r="B261">
            <v>192</v>
          </cell>
          <cell r="C261">
            <v>203</v>
          </cell>
          <cell r="D261">
            <v>4</v>
          </cell>
          <cell r="E261" t="str">
            <v>Compensation of employees</v>
          </cell>
          <cell r="F261">
            <v>12</v>
          </cell>
          <cell r="G261">
            <v>1994</v>
          </cell>
          <cell r="H261">
            <v>10</v>
          </cell>
          <cell r="I261">
            <v>9614500000</v>
          </cell>
        </row>
        <row r="262">
          <cell r="A262" t="str">
            <v>Cuba</v>
          </cell>
          <cell r="B262">
            <v>192</v>
          </cell>
          <cell r="C262">
            <v>203</v>
          </cell>
          <cell r="D262">
            <v>4</v>
          </cell>
          <cell r="E262" t="str">
            <v>Compensation of employees</v>
          </cell>
          <cell r="F262">
            <v>12</v>
          </cell>
          <cell r="G262">
            <v>1995</v>
          </cell>
          <cell r="H262">
            <v>10</v>
          </cell>
          <cell r="I262">
            <v>9860700000</v>
          </cell>
        </row>
        <row r="263">
          <cell r="A263" t="str">
            <v>Cuba</v>
          </cell>
          <cell r="B263">
            <v>192</v>
          </cell>
          <cell r="C263">
            <v>203</v>
          </cell>
          <cell r="D263">
            <v>4</v>
          </cell>
          <cell r="E263" t="str">
            <v>Compensation of employees</v>
          </cell>
          <cell r="F263">
            <v>12</v>
          </cell>
          <cell r="G263">
            <v>1996</v>
          </cell>
          <cell r="H263">
            <v>10</v>
          </cell>
          <cell r="I263">
            <v>10181900000</v>
          </cell>
        </row>
        <row r="264">
          <cell r="A264" t="str">
            <v>Cuba</v>
          </cell>
          <cell r="B264">
            <v>192</v>
          </cell>
          <cell r="C264">
            <v>203</v>
          </cell>
          <cell r="D264">
            <v>4</v>
          </cell>
          <cell r="E264" t="str">
            <v>Compensation of employees</v>
          </cell>
          <cell r="F264">
            <v>12</v>
          </cell>
          <cell r="G264">
            <v>1996</v>
          </cell>
          <cell r="H264">
            <v>100</v>
          </cell>
          <cell r="I264">
            <v>6578400000</v>
          </cell>
        </row>
        <row r="265">
          <cell r="A265" t="str">
            <v>Cuba</v>
          </cell>
          <cell r="B265">
            <v>192</v>
          </cell>
          <cell r="C265">
            <v>203</v>
          </cell>
          <cell r="D265">
            <v>4</v>
          </cell>
          <cell r="E265" t="str">
            <v>Compensation of employees</v>
          </cell>
          <cell r="F265">
            <v>12</v>
          </cell>
          <cell r="G265">
            <v>1997</v>
          </cell>
          <cell r="H265">
            <v>100</v>
          </cell>
          <cell r="I265">
            <v>6964000000</v>
          </cell>
        </row>
        <row r="266">
          <cell r="A266" t="str">
            <v>Cuba</v>
          </cell>
          <cell r="B266">
            <v>192</v>
          </cell>
          <cell r="C266">
            <v>203</v>
          </cell>
          <cell r="D266">
            <v>4</v>
          </cell>
          <cell r="E266" t="str">
            <v>Compensation of employees</v>
          </cell>
          <cell r="F266">
            <v>12</v>
          </cell>
          <cell r="G266">
            <v>1998</v>
          </cell>
          <cell r="H266">
            <v>100</v>
          </cell>
          <cell r="I266">
            <v>6934500000</v>
          </cell>
        </row>
        <row r="267">
          <cell r="A267" t="str">
            <v>Cuba</v>
          </cell>
          <cell r="B267">
            <v>192</v>
          </cell>
          <cell r="C267">
            <v>203</v>
          </cell>
          <cell r="D267">
            <v>4</v>
          </cell>
          <cell r="E267" t="str">
            <v>Compensation of employees</v>
          </cell>
          <cell r="F267">
            <v>12</v>
          </cell>
          <cell r="G267">
            <v>1999</v>
          </cell>
          <cell r="H267">
            <v>100</v>
          </cell>
          <cell r="I267">
            <v>7569400000</v>
          </cell>
        </row>
        <row r="268">
          <cell r="A268" t="str">
            <v>Cuba</v>
          </cell>
          <cell r="B268">
            <v>192</v>
          </cell>
          <cell r="C268">
            <v>203</v>
          </cell>
          <cell r="D268">
            <v>4</v>
          </cell>
          <cell r="E268" t="str">
            <v>Compensation of employees</v>
          </cell>
          <cell r="F268">
            <v>12</v>
          </cell>
          <cell r="G268">
            <v>2000</v>
          </cell>
          <cell r="H268">
            <v>100</v>
          </cell>
          <cell r="I268">
            <v>7859800000</v>
          </cell>
        </row>
        <row r="269">
          <cell r="A269" t="str">
            <v>Cuba</v>
          </cell>
          <cell r="B269">
            <v>192</v>
          </cell>
          <cell r="C269">
            <v>203</v>
          </cell>
          <cell r="D269">
            <v>4</v>
          </cell>
          <cell r="E269" t="str">
            <v>Compensation of employees</v>
          </cell>
          <cell r="F269">
            <v>12</v>
          </cell>
          <cell r="G269">
            <v>2001</v>
          </cell>
          <cell r="H269">
            <v>100</v>
          </cell>
          <cell r="I269">
            <v>8402300000</v>
          </cell>
        </row>
        <row r="270">
          <cell r="A270" t="str">
            <v>Cuba</v>
          </cell>
          <cell r="B270">
            <v>192</v>
          </cell>
          <cell r="C270">
            <v>203</v>
          </cell>
          <cell r="D270">
            <v>4</v>
          </cell>
          <cell r="E270" t="str">
            <v>Compensation of employees</v>
          </cell>
          <cell r="F270">
            <v>12</v>
          </cell>
          <cell r="G270">
            <v>2002</v>
          </cell>
          <cell r="H270">
            <v>100</v>
          </cell>
          <cell r="I270">
            <v>9034500000</v>
          </cell>
        </row>
        <row r="271">
          <cell r="A271" t="str">
            <v>Cuba</v>
          </cell>
          <cell r="B271">
            <v>192</v>
          </cell>
          <cell r="C271">
            <v>203</v>
          </cell>
          <cell r="D271">
            <v>4</v>
          </cell>
          <cell r="E271" t="str">
            <v>Compensation of employees</v>
          </cell>
          <cell r="F271">
            <v>12</v>
          </cell>
          <cell r="G271">
            <v>2003</v>
          </cell>
          <cell r="H271">
            <v>100</v>
          </cell>
          <cell r="I271">
            <v>9496800000</v>
          </cell>
        </row>
        <row r="272">
          <cell r="A272" t="str">
            <v>Cuba</v>
          </cell>
          <cell r="B272">
            <v>192</v>
          </cell>
          <cell r="C272">
            <v>203</v>
          </cell>
          <cell r="D272">
            <v>11</v>
          </cell>
          <cell r="E272" t="str">
            <v>OPERATING SURPLUS, GROSS</v>
          </cell>
          <cell r="F272">
            <v>12</v>
          </cell>
          <cell r="G272">
            <v>1990</v>
          </cell>
          <cell r="H272">
            <v>10</v>
          </cell>
          <cell r="I272">
            <v>2578000000</v>
          </cell>
        </row>
        <row r="273">
          <cell r="A273" t="str">
            <v>Cuba</v>
          </cell>
          <cell r="B273">
            <v>192</v>
          </cell>
          <cell r="C273">
            <v>203</v>
          </cell>
          <cell r="D273">
            <v>11</v>
          </cell>
          <cell r="E273" t="str">
            <v>OPERATING SURPLUS, GROSS</v>
          </cell>
          <cell r="F273">
            <v>12</v>
          </cell>
          <cell r="G273">
            <v>1991</v>
          </cell>
          <cell r="H273">
            <v>10</v>
          </cell>
          <cell r="I273">
            <v>1495800000</v>
          </cell>
        </row>
        <row r="274">
          <cell r="A274" t="str">
            <v>Cuba</v>
          </cell>
          <cell r="B274">
            <v>192</v>
          </cell>
          <cell r="C274">
            <v>203</v>
          </cell>
          <cell r="D274">
            <v>11</v>
          </cell>
          <cell r="E274" t="str">
            <v>OPERATING SURPLUS, GROSS</v>
          </cell>
          <cell r="F274">
            <v>12</v>
          </cell>
          <cell r="G274">
            <v>1992</v>
          </cell>
          <cell r="H274">
            <v>10</v>
          </cell>
          <cell r="I274">
            <v>1096500000</v>
          </cell>
        </row>
        <row r="275">
          <cell r="A275" t="str">
            <v>Cuba</v>
          </cell>
          <cell r="B275">
            <v>192</v>
          </cell>
          <cell r="C275">
            <v>203</v>
          </cell>
          <cell r="D275">
            <v>11</v>
          </cell>
          <cell r="E275" t="str">
            <v>OPERATING SURPLUS, GROSS</v>
          </cell>
          <cell r="F275">
            <v>12</v>
          </cell>
          <cell r="G275">
            <v>1993</v>
          </cell>
          <cell r="H275">
            <v>10</v>
          </cell>
          <cell r="I275">
            <v>1674600000</v>
          </cell>
        </row>
        <row r="276">
          <cell r="A276" t="str">
            <v>Cuba</v>
          </cell>
          <cell r="B276">
            <v>192</v>
          </cell>
          <cell r="C276">
            <v>203</v>
          </cell>
          <cell r="D276">
            <v>11</v>
          </cell>
          <cell r="E276" t="str">
            <v>OPERATING SURPLUS, GROSS</v>
          </cell>
          <cell r="F276">
            <v>12</v>
          </cell>
          <cell r="G276">
            <v>1994</v>
          </cell>
          <cell r="H276">
            <v>10</v>
          </cell>
          <cell r="I276">
            <v>3712100000</v>
          </cell>
        </row>
        <row r="277">
          <cell r="A277" t="str">
            <v>Cuba</v>
          </cell>
          <cell r="B277">
            <v>192</v>
          </cell>
          <cell r="C277">
            <v>203</v>
          </cell>
          <cell r="D277">
            <v>11</v>
          </cell>
          <cell r="E277" t="str">
            <v>OPERATING SURPLUS, GROSS</v>
          </cell>
          <cell r="F277">
            <v>12</v>
          </cell>
          <cell r="G277">
            <v>1995</v>
          </cell>
          <cell r="H277">
            <v>10</v>
          </cell>
          <cell r="I277">
            <v>4283600000</v>
          </cell>
        </row>
        <row r="278">
          <cell r="A278" t="str">
            <v>Cuba</v>
          </cell>
          <cell r="B278">
            <v>192</v>
          </cell>
          <cell r="C278">
            <v>203</v>
          </cell>
          <cell r="D278">
            <v>11</v>
          </cell>
          <cell r="E278" t="str">
            <v>OPERATING SURPLUS, GROSS</v>
          </cell>
          <cell r="F278">
            <v>12</v>
          </cell>
          <cell r="G278">
            <v>1996</v>
          </cell>
          <cell r="H278">
            <v>10</v>
          </cell>
          <cell r="I278">
            <v>7553800000</v>
          </cell>
        </row>
        <row r="279">
          <cell r="A279" t="str">
            <v>Cuba</v>
          </cell>
          <cell r="B279">
            <v>192</v>
          </cell>
          <cell r="C279">
            <v>203</v>
          </cell>
          <cell r="D279">
            <v>22</v>
          </cell>
          <cell r="E279" t="str">
            <v>Taxes on production and imports, less Subsidies</v>
          </cell>
          <cell r="F279">
            <v>12</v>
          </cell>
          <cell r="G279">
            <v>1990</v>
          </cell>
          <cell r="H279">
            <v>10</v>
          </cell>
          <cell r="I279">
            <v>6776900000</v>
          </cell>
        </row>
        <row r="280">
          <cell r="A280" t="str">
            <v>Cuba</v>
          </cell>
          <cell r="B280">
            <v>192</v>
          </cell>
          <cell r="C280">
            <v>203</v>
          </cell>
          <cell r="D280">
            <v>22</v>
          </cell>
          <cell r="E280" t="str">
            <v>Taxes on production and imports, less Subsidies</v>
          </cell>
          <cell r="F280">
            <v>12</v>
          </cell>
          <cell r="G280">
            <v>1991</v>
          </cell>
          <cell r="H280">
            <v>10</v>
          </cell>
          <cell r="I280">
            <v>4754600000</v>
          </cell>
        </row>
        <row r="281">
          <cell r="A281" t="str">
            <v>Cuba</v>
          </cell>
          <cell r="B281">
            <v>192</v>
          </cell>
          <cell r="C281">
            <v>203</v>
          </cell>
          <cell r="D281">
            <v>22</v>
          </cell>
          <cell r="E281" t="str">
            <v>Taxes on production and imports, less Subsidies</v>
          </cell>
          <cell r="F281">
            <v>12</v>
          </cell>
          <cell r="G281">
            <v>1992</v>
          </cell>
          <cell r="H281">
            <v>10</v>
          </cell>
          <cell r="I281">
            <v>3838000000</v>
          </cell>
        </row>
        <row r="282">
          <cell r="A282" t="str">
            <v>Cuba</v>
          </cell>
          <cell r="B282">
            <v>192</v>
          </cell>
          <cell r="C282">
            <v>203</v>
          </cell>
          <cell r="D282">
            <v>22</v>
          </cell>
          <cell r="E282" t="str">
            <v>Taxes on production and imports, less Subsidies</v>
          </cell>
          <cell r="F282">
            <v>12</v>
          </cell>
          <cell r="G282">
            <v>1993</v>
          </cell>
          <cell r="H282">
            <v>10</v>
          </cell>
          <cell r="I282">
            <v>3296900000</v>
          </cell>
        </row>
        <row r="283">
          <cell r="A283" t="str">
            <v>Cuba</v>
          </cell>
          <cell r="B283">
            <v>192</v>
          </cell>
          <cell r="C283">
            <v>203</v>
          </cell>
          <cell r="D283">
            <v>22</v>
          </cell>
          <cell r="E283" t="str">
            <v>Taxes on production and imports, less Subsidies</v>
          </cell>
          <cell r="F283">
            <v>12</v>
          </cell>
          <cell r="G283">
            <v>1994</v>
          </cell>
          <cell r="H283">
            <v>10</v>
          </cell>
          <cell r="I283">
            <v>5546700000</v>
          </cell>
        </row>
        <row r="284">
          <cell r="A284" t="str">
            <v>Cuba</v>
          </cell>
          <cell r="B284">
            <v>192</v>
          </cell>
          <cell r="C284">
            <v>203</v>
          </cell>
          <cell r="D284">
            <v>22</v>
          </cell>
          <cell r="E284" t="str">
            <v>Taxes on production and imports, less Subsidies</v>
          </cell>
          <cell r="F284">
            <v>12</v>
          </cell>
          <cell r="G284">
            <v>1995</v>
          </cell>
          <cell r="H284">
            <v>10</v>
          </cell>
          <cell r="I284">
            <v>7323400000</v>
          </cell>
        </row>
        <row r="285">
          <cell r="A285" t="str">
            <v>Cuba</v>
          </cell>
          <cell r="B285">
            <v>192</v>
          </cell>
          <cell r="C285">
            <v>203</v>
          </cell>
          <cell r="D285">
            <v>22</v>
          </cell>
          <cell r="E285" t="str">
            <v>Taxes on production and imports, less Subsidies</v>
          </cell>
          <cell r="F285">
            <v>12</v>
          </cell>
          <cell r="G285">
            <v>1996</v>
          </cell>
          <cell r="H285">
            <v>10</v>
          </cell>
          <cell r="I285">
            <v>4655800000</v>
          </cell>
        </row>
        <row r="286">
          <cell r="A286" t="str">
            <v>Benin</v>
          </cell>
          <cell r="B286">
            <v>204</v>
          </cell>
          <cell r="C286">
            <v>201</v>
          </cell>
          <cell r="D286">
            <v>13</v>
          </cell>
          <cell r="E286" t="str">
            <v>Less: Financial intermediation services indirectly measured (FISIM) (only to be deducted if FISIM is not distributed to uses)</v>
          </cell>
          <cell r="F286">
            <v>0</v>
          </cell>
          <cell r="G286">
            <v>1970</v>
          </cell>
          <cell r="H286">
            <v>10</v>
          </cell>
          <cell r="I286">
            <v>743000000</v>
          </cell>
        </row>
        <row r="287">
          <cell r="A287" t="str">
            <v>Benin</v>
          </cell>
          <cell r="B287">
            <v>204</v>
          </cell>
          <cell r="C287">
            <v>201</v>
          </cell>
          <cell r="D287">
            <v>13</v>
          </cell>
          <cell r="E287" t="str">
            <v>Less: Financial intermediation services indirectly measured (FISIM) (only to be deducted if FISIM is not distributed to uses)</v>
          </cell>
          <cell r="F287">
            <v>0</v>
          </cell>
          <cell r="G287">
            <v>1971</v>
          </cell>
          <cell r="H287">
            <v>10</v>
          </cell>
          <cell r="I287">
            <v>782000000</v>
          </cell>
        </row>
        <row r="288">
          <cell r="A288" t="str">
            <v>Benin</v>
          </cell>
          <cell r="B288">
            <v>204</v>
          </cell>
          <cell r="C288">
            <v>201</v>
          </cell>
          <cell r="D288">
            <v>13</v>
          </cell>
          <cell r="E288" t="str">
            <v>Less: Financial intermediation services indirectly measured (FISIM) (only to be deducted if FISIM is not distributed to uses)</v>
          </cell>
          <cell r="F288">
            <v>0</v>
          </cell>
          <cell r="G288">
            <v>1972</v>
          </cell>
          <cell r="H288">
            <v>10</v>
          </cell>
          <cell r="I288">
            <v>823000000</v>
          </cell>
        </row>
        <row r="289">
          <cell r="A289" t="str">
            <v>Benin</v>
          </cell>
          <cell r="B289">
            <v>204</v>
          </cell>
          <cell r="C289">
            <v>201</v>
          </cell>
          <cell r="D289">
            <v>13</v>
          </cell>
          <cell r="E289" t="str">
            <v>Less: Financial intermediation services indirectly measured (FISIM) (only to be deducted if FISIM is not distributed to uses)</v>
          </cell>
          <cell r="F289">
            <v>0</v>
          </cell>
          <cell r="G289">
            <v>1973</v>
          </cell>
          <cell r="H289">
            <v>10</v>
          </cell>
          <cell r="I289">
            <v>866000000</v>
          </cell>
        </row>
        <row r="290">
          <cell r="A290" t="str">
            <v>Benin</v>
          </cell>
          <cell r="B290">
            <v>204</v>
          </cell>
          <cell r="C290">
            <v>201</v>
          </cell>
          <cell r="D290">
            <v>13</v>
          </cell>
          <cell r="E290" t="str">
            <v>Less: Financial intermediation services indirectly measured (FISIM) (only to be deducted if FISIM is not distributed to uses)</v>
          </cell>
          <cell r="F290">
            <v>0</v>
          </cell>
          <cell r="G290">
            <v>1974</v>
          </cell>
          <cell r="H290">
            <v>10</v>
          </cell>
          <cell r="I290">
            <v>912000000</v>
          </cell>
        </row>
        <row r="291">
          <cell r="A291" t="str">
            <v>Benin</v>
          </cell>
          <cell r="B291">
            <v>204</v>
          </cell>
          <cell r="C291">
            <v>201</v>
          </cell>
          <cell r="D291">
            <v>13</v>
          </cell>
          <cell r="E291" t="str">
            <v>Less: Financial intermediation services indirectly measured (FISIM) (only to be deducted if FISIM is not distributed to uses)</v>
          </cell>
          <cell r="F291">
            <v>0</v>
          </cell>
          <cell r="G291">
            <v>1975</v>
          </cell>
          <cell r="H291">
            <v>10</v>
          </cell>
          <cell r="I291">
            <v>980000000</v>
          </cell>
        </row>
        <row r="292">
          <cell r="A292" t="str">
            <v>Benin</v>
          </cell>
          <cell r="B292">
            <v>204</v>
          </cell>
          <cell r="C292">
            <v>201</v>
          </cell>
          <cell r="D292">
            <v>13</v>
          </cell>
          <cell r="E292" t="str">
            <v>Less: Financial intermediation services indirectly measured (FISIM) (only to be deducted if FISIM is not distributed to uses)</v>
          </cell>
          <cell r="F292">
            <v>0</v>
          </cell>
          <cell r="G292">
            <v>1976</v>
          </cell>
          <cell r="H292">
            <v>10</v>
          </cell>
          <cell r="I292">
            <v>1482000000</v>
          </cell>
        </row>
        <row r="293">
          <cell r="A293" t="str">
            <v>Benin</v>
          </cell>
          <cell r="B293">
            <v>204</v>
          </cell>
          <cell r="C293">
            <v>201</v>
          </cell>
          <cell r="D293">
            <v>13</v>
          </cell>
          <cell r="E293" t="str">
            <v>Less: Financial intermediation services indirectly measured (FISIM) (only to be deducted if FISIM is not distributed to uses)</v>
          </cell>
          <cell r="F293">
            <v>0</v>
          </cell>
          <cell r="G293">
            <v>1977</v>
          </cell>
          <cell r="H293">
            <v>10</v>
          </cell>
          <cell r="I293">
            <v>866000000</v>
          </cell>
        </row>
        <row r="294">
          <cell r="A294" t="str">
            <v>Benin</v>
          </cell>
          <cell r="B294">
            <v>204</v>
          </cell>
          <cell r="C294">
            <v>203</v>
          </cell>
          <cell r="D294">
            <v>3</v>
          </cell>
          <cell r="E294" t="str">
            <v>Equals: VALUE ADDED, GROSS, at basic prices</v>
          </cell>
          <cell r="F294">
            <v>12</v>
          </cell>
          <cell r="G294">
            <v>1974</v>
          </cell>
          <cell r="H294">
            <v>10</v>
          </cell>
          <cell r="I294">
            <v>100077000000</v>
          </cell>
        </row>
        <row r="295">
          <cell r="A295" t="str">
            <v>Benin</v>
          </cell>
          <cell r="B295">
            <v>204</v>
          </cell>
          <cell r="C295">
            <v>203</v>
          </cell>
          <cell r="D295">
            <v>3</v>
          </cell>
          <cell r="E295" t="str">
            <v>Equals: VALUE ADDED, GROSS, at basic prices</v>
          </cell>
          <cell r="F295">
            <v>12</v>
          </cell>
          <cell r="G295">
            <v>1975</v>
          </cell>
          <cell r="H295">
            <v>10</v>
          </cell>
          <cell r="I295">
            <v>107893000000</v>
          </cell>
        </row>
        <row r="296">
          <cell r="A296" t="str">
            <v>Benin</v>
          </cell>
          <cell r="B296">
            <v>204</v>
          </cell>
          <cell r="C296">
            <v>203</v>
          </cell>
          <cell r="D296">
            <v>3</v>
          </cell>
          <cell r="E296" t="str">
            <v>Equals: VALUE ADDED, GROSS, at basic prices</v>
          </cell>
          <cell r="F296">
            <v>12</v>
          </cell>
          <cell r="G296">
            <v>1976</v>
          </cell>
          <cell r="H296">
            <v>10</v>
          </cell>
          <cell r="I296">
            <v>127575000000</v>
          </cell>
        </row>
        <row r="297">
          <cell r="A297" t="str">
            <v>Benin</v>
          </cell>
          <cell r="B297">
            <v>204</v>
          </cell>
          <cell r="C297">
            <v>203</v>
          </cell>
          <cell r="D297">
            <v>3</v>
          </cell>
          <cell r="E297" t="str">
            <v>Equals: VALUE ADDED, GROSS, at basic prices</v>
          </cell>
          <cell r="F297">
            <v>12</v>
          </cell>
          <cell r="G297">
            <v>1977</v>
          </cell>
          <cell r="H297">
            <v>10</v>
          </cell>
          <cell r="I297">
            <v>142242000000</v>
          </cell>
        </row>
        <row r="298">
          <cell r="A298" t="str">
            <v>Benin</v>
          </cell>
          <cell r="B298">
            <v>204</v>
          </cell>
          <cell r="C298">
            <v>203</v>
          </cell>
          <cell r="D298">
            <v>3</v>
          </cell>
          <cell r="E298" t="str">
            <v>Equals: VALUE ADDED, GROSS, at basic prices</v>
          </cell>
          <cell r="F298">
            <v>12</v>
          </cell>
          <cell r="G298">
            <v>1978</v>
          </cell>
          <cell r="H298">
            <v>10</v>
          </cell>
          <cell r="I298">
            <v>160756000000</v>
          </cell>
        </row>
        <row r="299">
          <cell r="A299" t="str">
            <v>Benin</v>
          </cell>
          <cell r="B299">
            <v>204</v>
          </cell>
          <cell r="C299">
            <v>203</v>
          </cell>
          <cell r="D299">
            <v>3</v>
          </cell>
          <cell r="E299" t="str">
            <v>Equals: VALUE ADDED, GROSS, at basic prices</v>
          </cell>
          <cell r="F299">
            <v>12</v>
          </cell>
          <cell r="G299">
            <v>1982</v>
          </cell>
          <cell r="H299">
            <v>20</v>
          </cell>
          <cell r="I299">
            <v>392439000000</v>
          </cell>
        </row>
        <row r="300">
          <cell r="A300" t="str">
            <v>Benin</v>
          </cell>
          <cell r="B300">
            <v>204</v>
          </cell>
          <cell r="C300">
            <v>203</v>
          </cell>
          <cell r="D300">
            <v>3</v>
          </cell>
          <cell r="E300" t="str">
            <v>Equals: VALUE ADDED, GROSS, at basic prices</v>
          </cell>
          <cell r="F300">
            <v>12</v>
          </cell>
          <cell r="G300">
            <v>1983</v>
          </cell>
          <cell r="H300">
            <v>20</v>
          </cell>
          <cell r="I300">
            <v>431376000000</v>
          </cell>
        </row>
        <row r="301">
          <cell r="A301" t="str">
            <v>Benin</v>
          </cell>
          <cell r="B301">
            <v>204</v>
          </cell>
          <cell r="C301">
            <v>203</v>
          </cell>
          <cell r="D301">
            <v>3</v>
          </cell>
          <cell r="E301" t="str">
            <v>Equals: VALUE ADDED, GROSS, at basic prices</v>
          </cell>
          <cell r="F301">
            <v>12</v>
          </cell>
          <cell r="G301">
            <v>1984</v>
          </cell>
          <cell r="H301">
            <v>20</v>
          </cell>
          <cell r="I301">
            <v>458120000000</v>
          </cell>
        </row>
        <row r="302">
          <cell r="A302" t="str">
            <v>Benin</v>
          </cell>
          <cell r="B302">
            <v>204</v>
          </cell>
          <cell r="C302">
            <v>203</v>
          </cell>
          <cell r="D302">
            <v>3</v>
          </cell>
          <cell r="E302" t="str">
            <v>Equals: VALUE ADDED, GROSS, at basic prices</v>
          </cell>
          <cell r="F302">
            <v>12</v>
          </cell>
          <cell r="G302">
            <v>1985</v>
          </cell>
          <cell r="H302">
            <v>20</v>
          </cell>
          <cell r="I302">
            <v>487975000000</v>
          </cell>
        </row>
        <row r="303">
          <cell r="A303" t="str">
            <v>Benin</v>
          </cell>
          <cell r="B303">
            <v>204</v>
          </cell>
          <cell r="C303">
            <v>203</v>
          </cell>
          <cell r="D303">
            <v>3</v>
          </cell>
          <cell r="E303" t="str">
            <v>Equals: VALUE ADDED, GROSS, at basic prices</v>
          </cell>
          <cell r="F303">
            <v>12</v>
          </cell>
          <cell r="G303">
            <v>1986</v>
          </cell>
          <cell r="H303">
            <v>20</v>
          </cell>
          <cell r="I303">
            <v>491911000000</v>
          </cell>
        </row>
        <row r="304">
          <cell r="A304" t="str">
            <v>Benin</v>
          </cell>
          <cell r="B304">
            <v>204</v>
          </cell>
          <cell r="C304">
            <v>203</v>
          </cell>
          <cell r="D304">
            <v>3</v>
          </cell>
          <cell r="E304" t="str">
            <v>Equals: VALUE ADDED, GROSS, at basic prices</v>
          </cell>
          <cell r="F304">
            <v>12</v>
          </cell>
          <cell r="G304">
            <v>1994</v>
          </cell>
          <cell r="H304">
            <v>30</v>
          </cell>
          <cell r="I304">
            <v>788977000000</v>
          </cell>
        </row>
        <row r="305">
          <cell r="A305" t="str">
            <v>Benin</v>
          </cell>
          <cell r="B305">
            <v>204</v>
          </cell>
          <cell r="C305">
            <v>203</v>
          </cell>
          <cell r="D305">
            <v>3</v>
          </cell>
          <cell r="E305" t="str">
            <v>Equals: VALUE ADDED, GROSS, at basic prices</v>
          </cell>
          <cell r="F305">
            <v>12</v>
          </cell>
          <cell r="G305">
            <v>1995</v>
          </cell>
          <cell r="H305">
            <v>30</v>
          </cell>
          <cell r="I305">
            <v>945871000000</v>
          </cell>
        </row>
        <row r="306">
          <cell r="A306" t="str">
            <v>Benin</v>
          </cell>
          <cell r="B306">
            <v>204</v>
          </cell>
          <cell r="C306">
            <v>203</v>
          </cell>
          <cell r="D306">
            <v>3</v>
          </cell>
          <cell r="E306" t="str">
            <v>Equals: VALUE ADDED, GROSS, at basic prices</v>
          </cell>
          <cell r="F306">
            <v>12</v>
          </cell>
          <cell r="G306">
            <v>1996</v>
          </cell>
          <cell r="H306">
            <v>30</v>
          </cell>
          <cell r="I306">
            <v>1067533000000</v>
          </cell>
        </row>
        <row r="307">
          <cell r="A307" t="str">
            <v>Benin</v>
          </cell>
          <cell r="B307">
            <v>204</v>
          </cell>
          <cell r="C307">
            <v>203</v>
          </cell>
          <cell r="D307">
            <v>3</v>
          </cell>
          <cell r="E307" t="str">
            <v>Equals: VALUE ADDED, GROSS, at basic prices</v>
          </cell>
          <cell r="F307">
            <v>12</v>
          </cell>
          <cell r="G307">
            <v>1997</v>
          </cell>
          <cell r="H307">
            <v>30</v>
          </cell>
          <cell r="I307">
            <v>1175670000000</v>
          </cell>
        </row>
        <row r="308">
          <cell r="A308" t="str">
            <v>Benin</v>
          </cell>
          <cell r="B308">
            <v>204</v>
          </cell>
          <cell r="C308">
            <v>203</v>
          </cell>
          <cell r="D308">
            <v>3</v>
          </cell>
          <cell r="E308" t="str">
            <v>Equals: VALUE ADDED, GROSS, at basic prices</v>
          </cell>
          <cell r="F308">
            <v>12</v>
          </cell>
          <cell r="G308">
            <v>1998</v>
          </cell>
          <cell r="H308">
            <v>30</v>
          </cell>
          <cell r="I308">
            <v>1282833000000</v>
          </cell>
        </row>
        <row r="309">
          <cell r="A309" t="str">
            <v>Benin</v>
          </cell>
          <cell r="B309">
            <v>204</v>
          </cell>
          <cell r="C309">
            <v>203</v>
          </cell>
          <cell r="D309">
            <v>3</v>
          </cell>
          <cell r="E309" t="str">
            <v>Equals: VALUE ADDED, GROSS, at basic prices</v>
          </cell>
          <cell r="F309">
            <v>12</v>
          </cell>
          <cell r="G309">
            <v>1999</v>
          </cell>
          <cell r="H309">
            <v>30</v>
          </cell>
          <cell r="I309">
            <v>1359063000000</v>
          </cell>
        </row>
        <row r="310">
          <cell r="A310" t="str">
            <v>Benin</v>
          </cell>
          <cell r="B310">
            <v>204</v>
          </cell>
          <cell r="C310">
            <v>203</v>
          </cell>
          <cell r="D310">
            <v>4</v>
          </cell>
          <cell r="E310" t="str">
            <v>Compensation of employees</v>
          </cell>
          <cell r="F310">
            <v>12</v>
          </cell>
          <cell r="G310">
            <v>1974</v>
          </cell>
          <cell r="H310">
            <v>10</v>
          </cell>
          <cell r="I310">
            <v>27348000000</v>
          </cell>
        </row>
        <row r="311">
          <cell r="A311" t="str">
            <v>Benin</v>
          </cell>
          <cell r="B311">
            <v>204</v>
          </cell>
          <cell r="C311">
            <v>203</v>
          </cell>
          <cell r="D311">
            <v>4</v>
          </cell>
          <cell r="E311" t="str">
            <v>Compensation of employees</v>
          </cell>
          <cell r="F311">
            <v>12</v>
          </cell>
          <cell r="G311">
            <v>1975</v>
          </cell>
          <cell r="H311">
            <v>10</v>
          </cell>
          <cell r="I311">
            <v>28338000000</v>
          </cell>
        </row>
        <row r="312">
          <cell r="A312" t="str">
            <v>Benin</v>
          </cell>
          <cell r="B312">
            <v>204</v>
          </cell>
          <cell r="C312">
            <v>203</v>
          </cell>
          <cell r="D312">
            <v>4</v>
          </cell>
          <cell r="E312" t="str">
            <v>Compensation of employees</v>
          </cell>
          <cell r="F312">
            <v>12</v>
          </cell>
          <cell r="G312">
            <v>1976</v>
          </cell>
          <cell r="H312">
            <v>10</v>
          </cell>
          <cell r="I312">
            <v>30148000000</v>
          </cell>
        </row>
        <row r="313">
          <cell r="A313" t="str">
            <v>Benin</v>
          </cell>
          <cell r="B313">
            <v>204</v>
          </cell>
          <cell r="C313">
            <v>203</v>
          </cell>
          <cell r="D313">
            <v>4</v>
          </cell>
          <cell r="E313" t="str">
            <v>Compensation of employees</v>
          </cell>
          <cell r="F313">
            <v>12</v>
          </cell>
          <cell r="G313">
            <v>1977</v>
          </cell>
          <cell r="H313">
            <v>10</v>
          </cell>
          <cell r="I313">
            <v>35733000000</v>
          </cell>
        </row>
        <row r="314">
          <cell r="A314" t="str">
            <v>Benin</v>
          </cell>
          <cell r="B314">
            <v>204</v>
          </cell>
          <cell r="C314">
            <v>203</v>
          </cell>
          <cell r="D314">
            <v>4</v>
          </cell>
          <cell r="E314" t="str">
            <v>Compensation of employees</v>
          </cell>
          <cell r="F314">
            <v>12</v>
          </cell>
          <cell r="G314">
            <v>1978</v>
          </cell>
          <cell r="H314">
            <v>10</v>
          </cell>
          <cell r="I314">
            <v>38932000000</v>
          </cell>
        </row>
        <row r="315">
          <cell r="A315" t="str">
            <v>Benin</v>
          </cell>
          <cell r="B315">
            <v>204</v>
          </cell>
          <cell r="C315">
            <v>203</v>
          </cell>
          <cell r="D315">
            <v>4</v>
          </cell>
          <cell r="E315" t="str">
            <v>Compensation of employees</v>
          </cell>
          <cell r="F315">
            <v>12</v>
          </cell>
          <cell r="G315">
            <v>1982</v>
          </cell>
          <cell r="H315">
            <v>20</v>
          </cell>
          <cell r="I315">
            <v>92849000000</v>
          </cell>
        </row>
        <row r="316">
          <cell r="A316" t="str">
            <v>Benin</v>
          </cell>
          <cell r="B316">
            <v>204</v>
          </cell>
          <cell r="C316">
            <v>203</v>
          </cell>
          <cell r="D316">
            <v>4</v>
          </cell>
          <cell r="E316" t="str">
            <v>Compensation of employees</v>
          </cell>
          <cell r="F316">
            <v>12</v>
          </cell>
          <cell r="G316">
            <v>1983</v>
          </cell>
          <cell r="H316">
            <v>20</v>
          </cell>
          <cell r="I316">
            <v>91966000000</v>
          </cell>
        </row>
        <row r="317">
          <cell r="A317" t="str">
            <v>Benin</v>
          </cell>
          <cell r="B317">
            <v>204</v>
          </cell>
          <cell r="C317">
            <v>203</v>
          </cell>
          <cell r="D317">
            <v>4</v>
          </cell>
          <cell r="E317" t="str">
            <v>Compensation of employees</v>
          </cell>
          <cell r="F317">
            <v>12</v>
          </cell>
          <cell r="G317">
            <v>1984</v>
          </cell>
          <cell r="H317">
            <v>20</v>
          </cell>
          <cell r="I317">
            <v>98961000000</v>
          </cell>
        </row>
        <row r="318">
          <cell r="A318" t="str">
            <v>Benin</v>
          </cell>
          <cell r="B318">
            <v>204</v>
          </cell>
          <cell r="C318">
            <v>203</v>
          </cell>
          <cell r="D318">
            <v>4</v>
          </cell>
          <cell r="E318" t="str">
            <v>Compensation of employees</v>
          </cell>
          <cell r="F318">
            <v>12</v>
          </cell>
          <cell r="G318">
            <v>1985</v>
          </cell>
          <cell r="H318">
            <v>20</v>
          </cell>
          <cell r="I318">
            <v>109618000000</v>
          </cell>
        </row>
        <row r="319">
          <cell r="A319" t="str">
            <v>Benin</v>
          </cell>
          <cell r="B319">
            <v>204</v>
          </cell>
          <cell r="C319">
            <v>203</v>
          </cell>
          <cell r="D319">
            <v>4</v>
          </cell>
          <cell r="E319" t="str">
            <v>Compensation of employees</v>
          </cell>
          <cell r="F319">
            <v>12</v>
          </cell>
          <cell r="G319">
            <v>1986</v>
          </cell>
          <cell r="H319">
            <v>20</v>
          </cell>
          <cell r="I319">
            <v>110886000000</v>
          </cell>
        </row>
        <row r="320">
          <cell r="A320" t="str">
            <v>Benin</v>
          </cell>
          <cell r="B320">
            <v>204</v>
          </cell>
          <cell r="C320">
            <v>203</v>
          </cell>
          <cell r="D320">
            <v>4</v>
          </cell>
          <cell r="E320" t="str">
            <v>Compensation of employees</v>
          </cell>
          <cell r="F320">
            <v>12</v>
          </cell>
          <cell r="G320">
            <v>1994</v>
          </cell>
          <cell r="H320">
            <v>30</v>
          </cell>
          <cell r="I320">
            <v>153131000000</v>
          </cell>
        </row>
        <row r="321">
          <cell r="A321" t="str">
            <v>Benin</v>
          </cell>
          <cell r="B321">
            <v>204</v>
          </cell>
          <cell r="C321">
            <v>203</v>
          </cell>
          <cell r="D321">
            <v>4</v>
          </cell>
          <cell r="E321" t="str">
            <v>Compensation of employees</v>
          </cell>
          <cell r="F321">
            <v>12</v>
          </cell>
          <cell r="G321">
            <v>1995</v>
          </cell>
          <cell r="H321">
            <v>30</v>
          </cell>
          <cell r="I321">
            <v>176617000000</v>
          </cell>
        </row>
        <row r="322">
          <cell r="A322" t="str">
            <v>Benin</v>
          </cell>
          <cell r="B322">
            <v>204</v>
          </cell>
          <cell r="C322">
            <v>203</v>
          </cell>
          <cell r="D322">
            <v>4</v>
          </cell>
          <cell r="E322" t="str">
            <v>Compensation of employees</v>
          </cell>
          <cell r="F322">
            <v>12</v>
          </cell>
          <cell r="G322">
            <v>1996</v>
          </cell>
          <cell r="H322">
            <v>30</v>
          </cell>
          <cell r="I322">
            <v>185797000000</v>
          </cell>
        </row>
        <row r="323">
          <cell r="A323" t="str">
            <v>Benin</v>
          </cell>
          <cell r="B323">
            <v>204</v>
          </cell>
          <cell r="C323">
            <v>203</v>
          </cell>
          <cell r="D323">
            <v>4</v>
          </cell>
          <cell r="E323" t="str">
            <v>Compensation of employees</v>
          </cell>
          <cell r="F323">
            <v>12</v>
          </cell>
          <cell r="G323">
            <v>1997</v>
          </cell>
          <cell r="H323">
            <v>30</v>
          </cell>
          <cell r="I323">
            <v>204511000000</v>
          </cell>
        </row>
        <row r="324">
          <cell r="A324" t="str">
            <v>Benin</v>
          </cell>
          <cell r="B324">
            <v>204</v>
          </cell>
          <cell r="C324">
            <v>203</v>
          </cell>
          <cell r="D324">
            <v>4</v>
          </cell>
          <cell r="E324" t="str">
            <v>Compensation of employees</v>
          </cell>
          <cell r="F324">
            <v>12</v>
          </cell>
          <cell r="G324">
            <v>1998</v>
          </cell>
          <cell r="H324">
            <v>30</v>
          </cell>
          <cell r="I324">
            <v>221496000000</v>
          </cell>
        </row>
        <row r="325">
          <cell r="A325" t="str">
            <v>Benin</v>
          </cell>
          <cell r="B325">
            <v>204</v>
          </cell>
          <cell r="C325">
            <v>203</v>
          </cell>
          <cell r="D325">
            <v>4</v>
          </cell>
          <cell r="E325" t="str">
            <v>Compensation of employees</v>
          </cell>
          <cell r="F325">
            <v>12</v>
          </cell>
          <cell r="G325">
            <v>1999</v>
          </cell>
          <cell r="H325">
            <v>30</v>
          </cell>
          <cell r="I325">
            <v>235247000000</v>
          </cell>
        </row>
        <row r="326">
          <cell r="A326" t="str">
            <v>Benin</v>
          </cell>
          <cell r="B326">
            <v>204</v>
          </cell>
          <cell r="C326">
            <v>203</v>
          </cell>
          <cell r="D326">
            <v>11</v>
          </cell>
          <cell r="E326" t="str">
            <v>OPERATING SURPLUS, GROSS</v>
          </cell>
          <cell r="F326">
            <v>12</v>
          </cell>
          <cell r="G326">
            <v>1974</v>
          </cell>
          <cell r="H326">
            <v>10</v>
          </cell>
          <cell r="I326">
            <v>68697000000</v>
          </cell>
        </row>
        <row r="327">
          <cell r="A327" t="str">
            <v>Benin</v>
          </cell>
          <cell r="B327">
            <v>204</v>
          </cell>
          <cell r="C327">
            <v>203</v>
          </cell>
          <cell r="D327">
            <v>11</v>
          </cell>
          <cell r="E327" t="str">
            <v>OPERATING SURPLUS, GROSS</v>
          </cell>
          <cell r="F327">
            <v>12</v>
          </cell>
          <cell r="G327">
            <v>1975</v>
          </cell>
          <cell r="H327">
            <v>10</v>
          </cell>
          <cell r="I327">
            <v>75818000000</v>
          </cell>
        </row>
        <row r="328">
          <cell r="A328" t="str">
            <v>Benin</v>
          </cell>
          <cell r="B328">
            <v>204</v>
          </cell>
          <cell r="C328">
            <v>203</v>
          </cell>
          <cell r="D328">
            <v>11</v>
          </cell>
          <cell r="E328" t="str">
            <v>OPERATING SURPLUS, GROSS</v>
          </cell>
          <cell r="F328">
            <v>12</v>
          </cell>
          <cell r="G328">
            <v>1976</v>
          </cell>
          <cell r="H328">
            <v>10</v>
          </cell>
          <cell r="I328">
            <v>92306000000</v>
          </cell>
        </row>
        <row r="329">
          <cell r="A329" t="str">
            <v>Benin</v>
          </cell>
          <cell r="B329">
            <v>204</v>
          </cell>
          <cell r="C329">
            <v>203</v>
          </cell>
          <cell r="D329">
            <v>11</v>
          </cell>
          <cell r="E329" t="str">
            <v>OPERATING SURPLUS, GROSS</v>
          </cell>
          <cell r="F329">
            <v>12</v>
          </cell>
          <cell r="G329">
            <v>1977</v>
          </cell>
          <cell r="H329">
            <v>10</v>
          </cell>
          <cell r="I329">
            <v>100445000000</v>
          </cell>
        </row>
        <row r="330">
          <cell r="A330" t="str">
            <v>Benin</v>
          </cell>
          <cell r="B330">
            <v>204</v>
          </cell>
          <cell r="C330">
            <v>203</v>
          </cell>
          <cell r="D330">
            <v>11</v>
          </cell>
          <cell r="E330" t="str">
            <v>OPERATING SURPLUS, GROSS</v>
          </cell>
          <cell r="F330">
            <v>12</v>
          </cell>
          <cell r="G330">
            <v>1978</v>
          </cell>
          <cell r="H330">
            <v>10</v>
          </cell>
          <cell r="I330">
            <v>116840000000</v>
          </cell>
        </row>
        <row r="331">
          <cell r="A331" t="str">
            <v>Benin</v>
          </cell>
          <cell r="B331">
            <v>204</v>
          </cell>
          <cell r="C331">
            <v>203</v>
          </cell>
          <cell r="D331">
            <v>11</v>
          </cell>
          <cell r="E331" t="str">
            <v>OPERATING SURPLUS, GROSS</v>
          </cell>
          <cell r="F331">
            <v>12</v>
          </cell>
          <cell r="G331">
            <v>1982</v>
          </cell>
          <cell r="H331">
            <v>20</v>
          </cell>
          <cell r="I331">
            <v>293717000000</v>
          </cell>
        </row>
        <row r="332">
          <cell r="A332" t="str">
            <v>Benin</v>
          </cell>
          <cell r="B332">
            <v>204</v>
          </cell>
          <cell r="C332">
            <v>203</v>
          </cell>
          <cell r="D332">
            <v>11</v>
          </cell>
          <cell r="E332" t="str">
            <v>OPERATING SURPLUS, GROSS</v>
          </cell>
          <cell r="F332">
            <v>12</v>
          </cell>
          <cell r="G332">
            <v>1983</v>
          </cell>
          <cell r="H332">
            <v>20</v>
          </cell>
          <cell r="I332">
            <v>331188000000</v>
          </cell>
        </row>
        <row r="333">
          <cell r="A333" t="str">
            <v>Benin</v>
          </cell>
          <cell r="B333">
            <v>204</v>
          </cell>
          <cell r="C333">
            <v>203</v>
          </cell>
          <cell r="D333">
            <v>11</v>
          </cell>
          <cell r="E333" t="str">
            <v>OPERATING SURPLUS, GROSS</v>
          </cell>
          <cell r="F333">
            <v>12</v>
          </cell>
          <cell r="G333">
            <v>1984</v>
          </cell>
          <cell r="H333">
            <v>20</v>
          </cell>
          <cell r="I333">
            <v>352421000000</v>
          </cell>
        </row>
        <row r="334">
          <cell r="A334" t="str">
            <v>Benin</v>
          </cell>
          <cell r="B334">
            <v>204</v>
          </cell>
          <cell r="C334">
            <v>203</v>
          </cell>
          <cell r="D334">
            <v>11</v>
          </cell>
          <cell r="E334" t="str">
            <v>OPERATING SURPLUS, GROSS</v>
          </cell>
          <cell r="F334">
            <v>12</v>
          </cell>
          <cell r="G334">
            <v>1985</v>
          </cell>
          <cell r="H334">
            <v>20</v>
          </cell>
          <cell r="I334">
            <v>369858000000</v>
          </cell>
        </row>
        <row r="335">
          <cell r="A335" t="str">
            <v>Benin</v>
          </cell>
          <cell r="B335">
            <v>204</v>
          </cell>
          <cell r="C335">
            <v>203</v>
          </cell>
          <cell r="D335">
            <v>11</v>
          </cell>
          <cell r="E335" t="str">
            <v>OPERATING SURPLUS, GROSS</v>
          </cell>
          <cell r="F335">
            <v>12</v>
          </cell>
          <cell r="G335">
            <v>1986</v>
          </cell>
          <cell r="H335">
            <v>20</v>
          </cell>
          <cell r="I335">
            <v>372382000000</v>
          </cell>
        </row>
        <row r="336">
          <cell r="A336" t="str">
            <v>Benin</v>
          </cell>
          <cell r="B336">
            <v>204</v>
          </cell>
          <cell r="C336">
            <v>203</v>
          </cell>
          <cell r="D336">
            <v>11</v>
          </cell>
          <cell r="E336" t="str">
            <v>OPERATING SURPLUS, GROSS</v>
          </cell>
          <cell r="F336">
            <v>12</v>
          </cell>
          <cell r="G336">
            <v>1994</v>
          </cell>
          <cell r="H336">
            <v>30</v>
          </cell>
          <cell r="I336">
            <v>75645000000</v>
          </cell>
        </row>
        <row r="337">
          <cell r="A337" t="str">
            <v>Benin</v>
          </cell>
          <cell r="B337">
            <v>204</v>
          </cell>
          <cell r="C337">
            <v>203</v>
          </cell>
          <cell r="D337">
            <v>11</v>
          </cell>
          <cell r="E337" t="str">
            <v>OPERATING SURPLUS, GROSS</v>
          </cell>
          <cell r="F337">
            <v>12</v>
          </cell>
          <cell r="G337">
            <v>1995</v>
          </cell>
          <cell r="H337">
            <v>30</v>
          </cell>
          <cell r="I337">
            <v>89305000000</v>
          </cell>
        </row>
        <row r="338">
          <cell r="A338" t="str">
            <v>Benin</v>
          </cell>
          <cell r="B338">
            <v>204</v>
          </cell>
          <cell r="C338">
            <v>203</v>
          </cell>
          <cell r="D338">
            <v>11</v>
          </cell>
          <cell r="E338" t="str">
            <v>OPERATING SURPLUS, GROSS</v>
          </cell>
          <cell r="F338">
            <v>12</v>
          </cell>
          <cell r="G338">
            <v>1996</v>
          </cell>
          <cell r="H338">
            <v>30</v>
          </cell>
          <cell r="I338">
            <v>96481000000</v>
          </cell>
        </row>
        <row r="339">
          <cell r="A339" t="str">
            <v>Benin</v>
          </cell>
          <cell r="B339">
            <v>204</v>
          </cell>
          <cell r="C339">
            <v>203</v>
          </cell>
          <cell r="D339">
            <v>11</v>
          </cell>
          <cell r="E339" t="str">
            <v>OPERATING SURPLUS, GROSS</v>
          </cell>
          <cell r="F339">
            <v>12</v>
          </cell>
          <cell r="G339">
            <v>1997</v>
          </cell>
          <cell r="H339">
            <v>30</v>
          </cell>
          <cell r="I339">
            <v>96571000000</v>
          </cell>
        </row>
        <row r="340">
          <cell r="A340" t="str">
            <v>Benin</v>
          </cell>
          <cell r="B340">
            <v>204</v>
          </cell>
          <cell r="C340">
            <v>203</v>
          </cell>
          <cell r="D340">
            <v>11</v>
          </cell>
          <cell r="E340" t="str">
            <v>OPERATING SURPLUS, GROSS</v>
          </cell>
          <cell r="F340">
            <v>12</v>
          </cell>
          <cell r="G340">
            <v>1998</v>
          </cell>
          <cell r="H340">
            <v>30</v>
          </cell>
          <cell r="I340">
            <v>98564000000</v>
          </cell>
        </row>
        <row r="341">
          <cell r="A341" t="str">
            <v>Benin</v>
          </cell>
          <cell r="B341">
            <v>204</v>
          </cell>
          <cell r="C341">
            <v>203</v>
          </cell>
          <cell r="D341">
            <v>11</v>
          </cell>
          <cell r="E341" t="str">
            <v>OPERATING SURPLUS, GROSS</v>
          </cell>
          <cell r="F341">
            <v>12</v>
          </cell>
          <cell r="G341">
            <v>1999</v>
          </cell>
          <cell r="H341">
            <v>30</v>
          </cell>
          <cell r="I341">
            <v>102773000000</v>
          </cell>
        </row>
        <row r="342">
          <cell r="A342" t="str">
            <v>Benin</v>
          </cell>
          <cell r="B342">
            <v>204</v>
          </cell>
          <cell r="C342">
            <v>203</v>
          </cell>
          <cell r="D342">
            <v>12</v>
          </cell>
          <cell r="E342" t="str">
            <v>MIXED INCOME, GROSS</v>
          </cell>
          <cell r="F342">
            <v>12</v>
          </cell>
          <cell r="G342">
            <v>1994</v>
          </cell>
          <cell r="H342">
            <v>30</v>
          </cell>
          <cell r="I342">
            <v>553259000000</v>
          </cell>
        </row>
        <row r="343">
          <cell r="A343" t="str">
            <v>Benin</v>
          </cell>
          <cell r="B343">
            <v>204</v>
          </cell>
          <cell r="C343">
            <v>203</v>
          </cell>
          <cell r="D343">
            <v>12</v>
          </cell>
          <cell r="E343" t="str">
            <v>MIXED INCOME, GROSS</v>
          </cell>
          <cell r="F343">
            <v>12</v>
          </cell>
          <cell r="G343">
            <v>1995</v>
          </cell>
          <cell r="H343">
            <v>30</v>
          </cell>
          <cell r="I343">
            <v>662212000000</v>
          </cell>
        </row>
        <row r="344">
          <cell r="A344" t="str">
            <v>Benin</v>
          </cell>
          <cell r="B344">
            <v>204</v>
          </cell>
          <cell r="C344">
            <v>203</v>
          </cell>
          <cell r="D344">
            <v>12</v>
          </cell>
          <cell r="E344" t="str">
            <v>MIXED INCOME, GROSS</v>
          </cell>
          <cell r="F344">
            <v>12</v>
          </cell>
          <cell r="G344">
            <v>1996</v>
          </cell>
          <cell r="H344">
            <v>30</v>
          </cell>
          <cell r="I344">
            <v>763246000000</v>
          </cell>
        </row>
        <row r="345">
          <cell r="A345" t="str">
            <v>Benin</v>
          </cell>
          <cell r="B345">
            <v>204</v>
          </cell>
          <cell r="C345">
            <v>203</v>
          </cell>
          <cell r="D345">
            <v>12</v>
          </cell>
          <cell r="E345" t="str">
            <v>MIXED INCOME, GROSS</v>
          </cell>
          <cell r="F345">
            <v>12</v>
          </cell>
          <cell r="G345">
            <v>1997</v>
          </cell>
          <cell r="H345">
            <v>30</v>
          </cell>
          <cell r="I345">
            <v>842079000000</v>
          </cell>
        </row>
        <row r="346">
          <cell r="A346" t="str">
            <v>Benin</v>
          </cell>
          <cell r="B346">
            <v>204</v>
          </cell>
          <cell r="C346">
            <v>203</v>
          </cell>
          <cell r="D346">
            <v>12</v>
          </cell>
          <cell r="E346" t="str">
            <v>MIXED INCOME, GROSS</v>
          </cell>
          <cell r="F346">
            <v>12</v>
          </cell>
          <cell r="G346">
            <v>1998</v>
          </cell>
          <cell r="H346">
            <v>30</v>
          </cell>
          <cell r="I346">
            <v>925439000000</v>
          </cell>
        </row>
        <row r="347">
          <cell r="A347" t="str">
            <v>Benin</v>
          </cell>
          <cell r="B347">
            <v>204</v>
          </cell>
          <cell r="C347">
            <v>203</v>
          </cell>
          <cell r="D347">
            <v>12</v>
          </cell>
          <cell r="E347" t="str">
            <v>MIXED INCOME, GROSS</v>
          </cell>
          <cell r="F347">
            <v>12</v>
          </cell>
          <cell r="G347">
            <v>1999</v>
          </cell>
          <cell r="H347">
            <v>30</v>
          </cell>
          <cell r="I347">
            <v>981761000000</v>
          </cell>
        </row>
        <row r="348">
          <cell r="A348" t="str">
            <v>Benin</v>
          </cell>
          <cell r="B348">
            <v>204</v>
          </cell>
          <cell r="C348">
            <v>203</v>
          </cell>
          <cell r="D348">
            <v>22</v>
          </cell>
          <cell r="E348" t="str">
            <v>Taxes on production and imports, less Subsidies</v>
          </cell>
          <cell r="F348">
            <v>12</v>
          </cell>
          <cell r="G348">
            <v>1994</v>
          </cell>
          <cell r="H348">
            <v>30</v>
          </cell>
          <cell r="I348">
            <v>17270000000</v>
          </cell>
        </row>
        <row r="349">
          <cell r="A349" t="str">
            <v>Benin</v>
          </cell>
          <cell r="B349">
            <v>204</v>
          </cell>
          <cell r="C349">
            <v>203</v>
          </cell>
          <cell r="D349">
            <v>22</v>
          </cell>
          <cell r="E349" t="str">
            <v>Taxes on production and imports, less Subsidies</v>
          </cell>
          <cell r="F349">
            <v>12</v>
          </cell>
          <cell r="G349">
            <v>1995</v>
          </cell>
          <cell r="H349">
            <v>30</v>
          </cell>
          <cell r="I349">
            <v>20982000000</v>
          </cell>
        </row>
        <row r="350">
          <cell r="A350" t="str">
            <v>Benin</v>
          </cell>
          <cell r="B350">
            <v>204</v>
          </cell>
          <cell r="C350">
            <v>203</v>
          </cell>
          <cell r="D350">
            <v>22</v>
          </cell>
          <cell r="E350" t="str">
            <v>Taxes on production and imports, less Subsidies</v>
          </cell>
          <cell r="F350">
            <v>12</v>
          </cell>
          <cell r="G350">
            <v>1996</v>
          </cell>
          <cell r="H350">
            <v>30</v>
          </cell>
          <cell r="I350">
            <v>23930000000</v>
          </cell>
        </row>
        <row r="351">
          <cell r="A351" t="str">
            <v>Benin</v>
          </cell>
          <cell r="B351">
            <v>204</v>
          </cell>
          <cell r="C351">
            <v>203</v>
          </cell>
          <cell r="D351">
            <v>22</v>
          </cell>
          <cell r="E351" t="str">
            <v>Taxes on production and imports, less Subsidies</v>
          </cell>
          <cell r="F351">
            <v>12</v>
          </cell>
          <cell r="G351">
            <v>1997</v>
          </cell>
          <cell r="H351">
            <v>30</v>
          </cell>
          <cell r="I351">
            <v>34433000000</v>
          </cell>
        </row>
        <row r="352">
          <cell r="A352" t="str">
            <v>Benin</v>
          </cell>
          <cell r="B352">
            <v>204</v>
          </cell>
          <cell r="C352">
            <v>203</v>
          </cell>
          <cell r="D352">
            <v>22</v>
          </cell>
          <cell r="E352" t="str">
            <v>Taxes on production and imports, less Subsidies</v>
          </cell>
          <cell r="F352">
            <v>12</v>
          </cell>
          <cell r="G352">
            <v>1998</v>
          </cell>
          <cell r="H352">
            <v>30</v>
          </cell>
          <cell r="I352">
            <v>38866000000</v>
          </cell>
        </row>
        <row r="353">
          <cell r="A353" t="str">
            <v>Benin</v>
          </cell>
          <cell r="B353">
            <v>204</v>
          </cell>
          <cell r="C353">
            <v>203</v>
          </cell>
          <cell r="D353">
            <v>22</v>
          </cell>
          <cell r="E353" t="str">
            <v>Taxes on production and imports, less Subsidies</v>
          </cell>
          <cell r="F353">
            <v>12</v>
          </cell>
          <cell r="G353">
            <v>1999</v>
          </cell>
          <cell r="H353">
            <v>30</v>
          </cell>
          <cell r="I353">
            <v>42664000000</v>
          </cell>
        </row>
        <row r="354">
          <cell r="A354" t="str">
            <v>Dominican Republic</v>
          </cell>
          <cell r="B354">
            <v>214</v>
          </cell>
          <cell r="C354">
            <v>201</v>
          </cell>
          <cell r="D354">
            <v>13</v>
          </cell>
          <cell r="E354" t="str">
            <v>Less: Financial intermediation services indirectly measured (FISIM) (only to be deducted if FISIM is not distributed to uses)</v>
          </cell>
          <cell r="F354">
            <v>0</v>
          </cell>
          <cell r="G354">
            <v>1994</v>
          </cell>
          <cell r="H354">
            <v>100</v>
          </cell>
          <cell r="I354">
            <v>1481040000</v>
          </cell>
        </row>
        <row r="355">
          <cell r="A355" t="str">
            <v>Dominican Republic</v>
          </cell>
          <cell r="B355">
            <v>214</v>
          </cell>
          <cell r="C355">
            <v>201</v>
          </cell>
          <cell r="D355">
            <v>13</v>
          </cell>
          <cell r="E355" t="str">
            <v>Less: Financial intermediation services indirectly measured (FISIM) (only to be deducted if FISIM is not distributed to uses)</v>
          </cell>
          <cell r="F355">
            <v>0</v>
          </cell>
          <cell r="G355">
            <v>1995</v>
          </cell>
          <cell r="H355">
            <v>100</v>
          </cell>
          <cell r="I355">
            <v>1353540000</v>
          </cell>
        </row>
        <row r="356">
          <cell r="A356" t="str">
            <v>Dominican Republic</v>
          </cell>
          <cell r="B356">
            <v>214</v>
          </cell>
          <cell r="C356">
            <v>201</v>
          </cell>
          <cell r="D356">
            <v>13</v>
          </cell>
          <cell r="E356" t="str">
            <v>Less: Financial intermediation services indirectly measured (FISIM) (only to be deducted if FISIM is not distributed to uses)</v>
          </cell>
          <cell r="F356">
            <v>0</v>
          </cell>
          <cell r="G356">
            <v>1996</v>
          </cell>
          <cell r="H356">
            <v>100</v>
          </cell>
          <cell r="I356">
            <v>1835220000</v>
          </cell>
        </row>
        <row r="357">
          <cell r="A357" t="str">
            <v>Dominican Republic</v>
          </cell>
          <cell r="B357">
            <v>214</v>
          </cell>
          <cell r="C357">
            <v>203</v>
          </cell>
          <cell r="D357">
            <v>3</v>
          </cell>
          <cell r="E357" t="str">
            <v>Equals: VALUE ADDED, GROSS, at basic prices</v>
          </cell>
          <cell r="F357">
            <v>12</v>
          </cell>
          <cell r="G357">
            <v>1990</v>
          </cell>
          <cell r="H357">
            <v>10</v>
          </cell>
          <cell r="I357">
            <v>64866900000</v>
          </cell>
        </row>
        <row r="358">
          <cell r="A358" t="str">
            <v>Dominican Republic</v>
          </cell>
          <cell r="B358">
            <v>214</v>
          </cell>
          <cell r="C358">
            <v>203</v>
          </cell>
          <cell r="D358">
            <v>3</v>
          </cell>
          <cell r="E358" t="str">
            <v>Equals: VALUE ADDED, GROSS, at basic prices</v>
          </cell>
          <cell r="F358">
            <v>12</v>
          </cell>
          <cell r="G358">
            <v>1991</v>
          </cell>
          <cell r="H358">
            <v>10</v>
          </cell>
          <cell r="I358">
            <v>100070200000</v>
          </cell>
        </row>
        <row r="359">
          <cell r="A359" t="str">
            <v>Dominican Republic</v>
          </cell>
          <cell r="B359">
            <v>214</v>
          </cell>
          <cell r="C359">
            <v>203</v>
          </cell>
          <cell r="D359">
            <v>3</v>
          </cell>
          <cell r="E359" t="str">
            <v>Equals: VALUE ADDED, GROSS, at basic prices</v>
          </cell>
          <cell r="F359">
            <v>12</v>
          </cell>
          <cell r="G359">
            <v>1991</v>
          </cell>
          <cell r="H359">
            <v>100</v>
          </cell>
          <cell r="I359">
            <v>111437860000</v>
          </cell>
        </row>
        <row r="360">
          <cell r="A360" t="str">
            <v>Dominican Republic</v>
          </cell>
          <cell r="B360">
            <v>214</v>
          </cell>
          <cell r="C360">
            <v>203</v>
          </cell>
          <cell r="D360">
            <v>3</v>
          </cell>
          <cell r="E360" t="str">
            <v>Equals: VALUE ADDED, GROSS, at basic prices</v>
          </cell>
          <cell r="F360">
            <v>12</v>
          </cell>
          <cell r="G360">
            <v>1992</v>
          </cell>
          <cell r="H360">
            <v>100</v>
          </cell>
          <cell r="I360">
            <v>130832800000</v>
          </cell>
        </row>
        <row r="361">
          <cell r="A361" t="str">
            <v>Dominican Republic</v>
          </cell>
          <cell r="B361">
            <v>214</v>
          </cell>
          <cell r="C361">
            <v>203</v>
          </cell>
          <cell r="D361">
            <v>3</v>
          </cell>
          <cell r="E361" t="str">
            <v>Equals: VALUE ADDED, GROSS, at basic prices</v>
          </cell>
          <cell r="F361">
            <v>12</v>
          </cell>
          <cell r="G361">
            <v>1993</v>
          </cell>
          <cell r="H361">
            <v>100</v>
          </cell>
          <cell r="I361">
            <v>147052770000</v>
          </cell>
        </row>
        <row r="362">
          <cell r="A362" t="str">
            <v>Dominican Republic</v>
          </cell>
          <cell r="B362">
            <v>214</v>
          </cell>
          <cell r="C362">
            <v>203</v>
          </cell>
          <cell r="D362">
            <v>3</v>
          </cell>
          <cell r="E362" t="str">
            <v>Equals: VALUE ADDED, GROSS, at basic prices</v>
          </cell>
          <cell r="F362">
            <v>12</v>
          </cell>
          <cell r="G362">
            <v>1994</v>
          </cell>
          <cell r="H362">
            <v>100</v>
          </cell>
          <cell r="I362">
            <v>165807750000</v>
          </cell>
        </row>
        <row r="363">
          <cell r="A363" t="str">
            <v>Dominican Republic</v>
          </cell>
          <cell r="B363">
            <v>214</v>
          </cell>
          <cell r="C363">
            <v>203</v>
          </cell>
          <cell r="D363">
            <v>3</v>
          </cell>
          <cell r="E363" t="str">
            <v>Equals: VALUE ADDED, GROSS, at basic prices</v>
          </cell>
          <cell r="F363">
            <v>12</v>
          </cell>
          <cell r="G363">
            <v>1995</v>
          </cell>
          <cell r="H363">
            <v>100</v>
          </cell>
          <cell r="I363">
            <v>193435990000</v>
          </cell>
        </row>
        <row r="364">
          <cell r="A364" t="str">
            <v>Dominican Republic</v>
          </cell>
          <cell r="B364">
            <v>214</v>
          </cell>
          <cell r="C364">
            <v>203</v>
          </cell>
          <cell r="D364">
            <v>3</v>
          </cell>
          <cell r="E364" t="str">
            <v>Equals: VALUE ADDED, GROSS, at basic prices</v>
          </cell>
          <cell r="F364">
            <v>12</v>
          </cell>
          <cell r="G364">
            <v>1996</v>
          </cell>
          <cell r="H364">
            <v>100</v>
          </cell>
          <cell r="I364">
            <v>228022340000</v>
          </cell>
        </row>
        <row r="365">
          <cell r="A365" t="str">
            <v>Dominican Republic</v>
          </cell>
          <cell r="B365">
            <v>214</v>
          </cell>
          <cell r="C365">
            <v>203</v>
          </cell>
          <cell r="D365">
            <v>4</v>
          </cell>
          <cell r="E365" t="str">
            <v>Compensation of employees</v>
          </cell>
          <cell r="F365">
            <v>12</v>
          </cell>
          <cell r="G365">
            <v>1991</v>
          </cell>
          <cell r="H365">
            <v>100</v>
          </cell>
          <cell r="I365">
            <v>36843790000</v>
          </cell>
        </row>
        <row r="366">
          <cell r="A366" t="str">
            <v>Dominican Republic</v>
          </cell>
          <cell r="B366">
            <v>214</v>
          </cell>
          <cell r="C366">
            <v>203</v>
          </cell>
          <cell r="D366">
            <v>4</v>
          </cell>
          <cell r="E366" t="str">
            <v>Compensation of employees</v>
          </cell>
          <cell r="F366">
            <v>12</v>
          </cell>
          <cell r="G366">
            <v>1992</v>
          </cell>
          <cell r="H366">
            <v>100</v>
          </cell>
          <cell r="I366">
            <v>46040040000</v>
          </cell>
        </row>
        <row r="367">
          <cell r="A367" t="str">
            <v>Dominican Republic</v>
          </cell>
          <cell r="B367">
            <v>214</v>
          </cell>
          <cell r="C367">
            <v>203</v>
          </cell>
          <cell r="D367">
            <v>4</v>
          </cell>
          <cell r="E367" t="str">
            <v>Compensation of employees</v>
          </cell>
          <cell r="F367">
            <v>12</v>
          </cell>
          <cell r="G367">
            <v>1993</v>
          </cell>
          <cell r="H367">
            <v>100</v>
          </cell>
          <cell r="I367">
            <v>49776170000</v>
          </cell>
        </row>
        <row r="368">
          <cell r="A368" t="str">
            <v>Dominican Republic</v>
          </cell>
          <cell r="B368">
            <v>214</v>
          </cell>
          <cell r="C368">
            <v>203</v>
          </cell>
          <cell r="D368">
            <v>4</v>
          </cell>
          <cell r="E368" t="str">
            <v>Compensation of employees</v>
          </cell>
          <cell r="F368">
            <v>12</v>
          </cell>
          <cell r="G368">
            <v>1994</v>
          </cell>
          <cell r="H368">
            <v>100</v>
          </cell>
          <cell r="I368">
            <v>61938410000</v>
          </cell>
        </row>
        <row r="369">
          <cell r="A369" t="str">
            <v>Dominican Republic</v>
          </cell>
          <cell r="B369">
            <v>214</v>
          </cell>
          <cell r="C369">
            <v>203</v>
          </cell>
          <cell r="D369">
            <v>4</v>
          </cell>
          <cell r="E369" t="str">
            <v>Compensation of employees</v>
          </cell>
          <cell r="F369">
            <v>12</v>
          </cell>
          <cell r="G369">
            <v>1995</v>
          </cell>
          <cell r="H369">
            <v>100</v>
          </cell>
          <cell r="I369">
            <v>67619990000</v>
          </cell>
        </row>
        <row r="370">
          <cell r="A370" t="str">
            <v>Dominican Republic</v>
          </cell>
          <cell r="B370">
            <v>214</v>
          </cell>
          <cell r="C370">
            <v>203</v>
          </cell>
          <cell r="D370">
            <v>4</v>
          </cell>
          <cell r="E370" t="str">
            <v>Compensation of employees</v>
          </cell>
          <cell r="F370">
            <v>12</v>
          </cell>
          <cell r="G370">
            <v>1996</v>
          </cell>
          <cell r="H370">
            <v>100</v>
          </cell>
          <cell r="I370">
            <v>74725470000</v>
          </cell>
        </row>
        <row r="371">
          <cell r="A371" t="str">
            <v>Dominican Republic</v>
          </cell>
          <cell r="B371">
            <v>214</v>
          </cell>
          <cell r="C371">
            <v>203</v>
          </cell>
          <cell r="D371">
            <v>11</v>
          </cell>
          <cell r="E371" t="str">
            <v>OPERATING SURPLUS, GROSS</v>
          </cell>
          <cell r="F371">
            <v>12</v>
          </cell>
          <cell r="G371">
            <v>1991</v>
          </cell>
          <cell r="H371">
            <v>100</v>
          </cell>
          <cell r="I371">
            <v>74394140000</v>
          </cell>
        </row>
        <row r="372">
          <cell r="A372" t="str">
            <v>Dominican Republic</v>
          </cell>
          <cell r="B372">
            <v>214</v>
          </cell>
          <cell r="C372">
            <v>203</v>
          </cell>
          <cell r="D372">
            <v>11</v>
          </cell>
          <cell r="E372" t="str">
            <v>OPERATING SURPLUS, GROSS</v>
          </cell>
          <cell r="F372">
            <v>12</v>
          </cell>
          <cell r="G372">
            <v>1992</v>
          </cell>
          <cell r="H372">
            <v>100</v>
          </cell>
          <cell r="I372">
            <v>84370570000</v>
          </cell>
        </row>
        <row r="373">
          <cell r="A373" t="str">
            <v>Dominican Republic</v>
          </cell>
          <cell r="B373">
            <v>214</v>
          </cell>
          <cell r="C373">
            <v>203</v>
          </cell>
          <cell r="D373">
            <v>11</v>
          </cell>
          <cell r="E373" t="str">
            <v>OPERATING SURPLUS, GROSS</v>
          </cell>
          <cell r="F373">
            <v>12</v>
          </cell>
          <cell r="G373">
            <v>1993</v>
          </cell>
          <cell r="H373">
            <v>100</v>
          </cell>
          <cell r="I373">
            <v>96795320000</v>
          </cell>
        </row>
        <row r="374">
          <cell r="A374" t="str">
            <v>Dominican Republic</v>
          </cell>
          <cell r="B374">
            <v>214</v>
          </cell>
          <cell r="C374">
            <v>203</v>
          </cell>
          <cell r="D374">
            <v>11</v>
          </cell>
          <cell r="E374" t="str">
            <v>OPERATING SURPLUS, GROSS</v>
          </cell>
          <cell r="F374">
            <v>12</v>
          </cell>
          <cell r="G374">
            <v>1994</v>
          </cell>
          <cell r="H374">
            <v>100</v>
          </cell>
          <cell r="I374">
            <v>101850790000</v>
          </cell>
        </row>
        <row r="375">
          <cell r="A375" t="str">
            <v>Dominican Republic</v>
          </cell>
          <cell r="B375">
            <v>214</v>
          </cell>
          <cell r="C375">
            <v>203</v>
          </cell>
          <cell r="D375">
            <v>11</v>
          </cell>
          <cell r="E375" t="str">
            <v>OPERATING SURPLUS, GROSS</v>
          </cell>
          <cell r="F375">
            <v>12</v>
          </cell>
          <cell r="G375">
            <v>1995</v>
          </cell>
          <cell r="H375">
            <v>100</v>
          </cell>
          <cell r="I375">
            <v>123825750000</v>
          </cell>
        </row>
        <row r="376">
          <cell r="A376" t="str">
            <v>Dominican Republic</v>
          </cell>
          <cell r="B376">
            <v>214</v>
          </cell>
          <cell r="C376">
            <v>203</v>
          </cell>
          <cell r="D376">
            <v>11</v>
          </cell>
          <cell r="E376" t="str">
            <v>OPERATING SURPLUS, GROSS</v>
          </cell>
          <cell r="F376">
            <v>12</v>
          </cell>
          <cell r="G376">
            <v>1996</v>
          </cell>
          <cell r="H376">
            <v>100</v>
          </cell>
          <cell r="I376">
            <v>150741640000</v>
          </cell>
        </row>
        <row r="377">
          <cell r="A377" t="str">
            <v>Dominican Republic</v>
          </cell>
          <cell r="B377">
            <v>214</v>
          </cell>
          <cell r="C377">
            <v>203</v>
          </cell>
          <cell r="D377">
            <v>22</v>
          </cell>
          <cell r="E377" t="str">
            <v>Taxes on production and imports, less Subsidies</v>
          </cell>
          <cell r="F377">
            <v>12</v>
          </cell>
          <cell r="G377">
            <v>1991</v>
          </cell>
          <cell r="H377">
            <v>100</v>
          </cell>
          <cell r="I377">
            <v>199940000</v>
          </cell>
        </row>
        <row r="378">
          <cell r="A378" t="str">
            <v>Dominican Republic</v>
          </cell>
          <cell r="B378">
            <v>214</v>
          </cell>
          <cell r="C378">
            <v>203</v>
          </cell>
          <cell r="D378">
            <v>22</v>
          </cell>
          <cell r="E378" t="str">
            <v>Taxes on production and imports, less Subsidies</v>
          </cell>
          <cell r="F378">
            <v>12</v>
          </cell>
          <cell r="G378">
            <v>1992</v>
          </cell>
          <cell r="H378">
            <v>100</v>
          </cell>
          <cell r="I378">
            <v>422200000</v>
          </cell>
        </row>
        <row r="379">
          <cell r="A379" t="str">
            <v>Dominican Republic</v>
          </cell>
          <cell r="B379">
            <v>214</v>
          </cell>
          <cell r="C379">
            <v>203</v>
          </cell>
          <cell r="D379">
            <v>22</v>
          </cell>
          <cell r="E379" t="str">
            <v>Taxes on production and imports, less Subsidies</v>
          </cell>
          <cell r="F379">
            <v>12</v>
          </cell>
          <cell r="G379">
            <v>1993</v>
          </cell>
          <cell r="H379">
            <v>100</v>
          </cell>
          <cell r="I379">
            <v>481280000</v>
          </cell>
        </row>
        <row r="380">
          <cell r="A380" t="str">
            <v>Dominican Republic</v>
          </cell>
          <cell r="B380">
            <v>214</v>
          </cell>
          <cell r="C380">
            <v>203</v>
          </cell>
          <cell r="D380">
            <v>22</v>
          </cell>
          <cell r="E380" t="str">
            <v>Taxes on production and imports, less Subsidies</v>
          </cell>
          <cell r="F380">
            <v>12</v>
          </cell>
          <cell r="G380">
            <v>1994</v>
          </cell>
          <cell r="H380">
            <v>100</v>
          </cell>
          <cell r="I380">
            <v>537510000</v>
          </cell>
        </row>
        <row r="381">
          <cell r="A381" t="str">
            <v>Dominican Republic</v>
          </cell>
          <cell r="B381">
            <v>214</v>
          </cell>
          <cell r="C381">
            <v>203</v>
          </cell>
          <cell r="D381">
            <v>22</v>
          </cell>
          <cell r="E381" t="str">
            <v>Taxes on production and imports, less Subsidies</v>
          </cell>
          <cell r="F381">
            <v>12</v>
          </cell>
          <cell r="G381">
            <v>1995</v>
          </cell>
          <cell r="H381">
            <v>100</v>
          </cell>
          <cell r="I381">
            <v>636720000</v>
          </cell>
        </row>
        <row r="382">
          <cell r="A382" t="str">
            <v>Dominican Republic</v>
          </cell>
          <cell r="B382">
            <v>214</v>
          </cell>
          <cell r="C382">
            <v>203</v>
          </cell>
          <cell r="D382">
            <v>22</v>
          </cell>
          <cell r="E382" t="str">
            <v>Taxes on production and imports, less Subsidies</v>
          </cell>
          <cell r="F382">
            <v>12</v>
          </cell>
          <cell r="G382">
            <v>1996</v>
          </cell>
          <cell r="H382">
            <v>100</v>
          </cell>
          <cell r="I382">
            <v>720010000</v>
          </cell>
        </row>
        <row r="383">
          <cell r="A383" t="str">
            <v>Finland</v>
          </cell>
          <cell r="B383">
            <v>246</v>
          </cell>
          <cell r="C383">
            <v>201</v>
          </cell>
          <cell r="D383">
            <v>13</v>
          </cell>
          <cell r="E383" t="str">
            <v>Less: Financial intermediation services indirectly measured (FISIM) (only to be deducted if FISIM is not distributed to uses)</v>
          </cell>
          <cell r="F383">
            <v>0</v>
          </cell>
          <cell r="G383">
            <v>1960</v>
          </cell>
          <cell r="H383">
            <v>20</v>
          </cell>
          <cell r="I383">
            <v>173000000</v>
          </cell>
        </row>
        <row r="384">
          <cell r="A384" t="str">
            <v>Finland</v>
          </cell>
          <cell r="B384">
            <v>246</v>
          </cell>
          <cell r="C384">
            <v>201</v>
          </cell>
          <cell r="D384">
            <v>13</v>
          </cell>
          <cell r="E384" t="str">
            <v>Less: Financial intermediation services indirectly measured (FISIM) (only to be deducted if FISIM is not distributed to uses)</v>
          </cell>
          <cell r="F384">
            <v>0</v>
          </cell>
          <cell r="G384">
            <v>1961</v>
          </cell>
          <cell r="H384">
            <v>20</v>
          </cell>
          <cell r="I384">
            <v>199000000</v>
          </cell>
        </row>
        <row r="385">
          <cell r="A385" t="str">
            <v>Finland</v>
          </cell>
          <cell r="B385">
            <v>246</v>
          </cell>
          <cell r="C385">
            <v>201</v>
          </cell>
          <cell r="D385">
            <v>13</v>
          </cell>
          <cell r="E385" t="str">
            <v>Less: Financial intermediation services indirectly measured (FISIM) (only to be deducted if FISIM is not distributed to uses)</v>
          </cell>
          <cell r="F385">
            <v>0</v>
          </cell>
          <cell r="G385">
            <v>1962</v>
          </cell>
          <cell r="H385">
            <v>20</v>
          </cell>
          <cell r="I385">
            <v>228000000</v>
          </cell>
        </row>
        <row r="386">
          <cell r="A386" t="str">
            <v>Finland</v>
          </cell>
          <cell r="B386">
            <v>246</v>
          </cell>
          <cell r="C386">
            <v>201</v>
          </cell>
          <cell r="D386">
            <v>13</v>
          </cell>
          <cell r="E386" t="str">
            <v>Less: Financial intermediation services indirectly measured (FISIM) (only to be deducted if FISIM is not distributed to uses)</v>
          </cell>
          <cell r="F386">
            <v>0</v>
          </cell>
          <cell r="G386">
            <v>1963</v>
          </cell>
          <cell r="H386">
            <v>20</v>
          </cell>
          <cell r="I386">
            <v>256000000</v>
          </cell>
        </row>
        <row r="387">
          <cell r="A387" t="str">
            <v>Finland</v>
          </cell>
          <cell r="B387">
            <v>246</v>
          </cell>
          <cell r="C387">
            <v>201</v>
          </cell>
          <cell r="D387">
            <v>13</v>
          </cell>
          <cell r="E387" t="str">
            <v>Less: Financial intermediation services indirectly measured (FISIM) (only to be deducted if FISIM is not distributed to uses)</v>
          </cell>
          <cell r="F387">
            <v>0</v>
          </cell>
          <cell r="G387">
            <v>1964</v>
          </cell>
          <cell r="H387">
            <v>20</v>
          </cell>
          <cell r="I387">
            <v>308000000</v>
          </cell>
        </row>
        <row r="388">
          <cell r="A388" t="str">
            <v>Finland</v>
          </cell>
          <cell r="B388">
            <v>246</v>
          </cell>
          <cell r="C388">
            <v>201</v>
          </cell>
          <cell r="D388">
            <v>13</v>
          </cell>
          <cell r="E388" t="str">
            <v>Less: Financial intermediation services indirectly measured (FISIM) (only to be deducted if FISIM is not distributed to uses)</v>
          </cell>
          <cell r="F388">
            <v>0</v>
          </cell>
          <cell r="G388">
            <v>1965</v>
          </cell>
          <cell r="H388">
            <v>20</v>
          </cell>
          <cell r="I388">
            <v>369000000</v>
          </cell>
        </row>
        <row r="389">
          <cell r="A389" t="str">
            <v>Finland</v>
          </cell>
          <cell r="B389">
            <v>246</v>
          </cell>
          <cell r="C389">
            <v>201</v>
          </cell>
          <cell r="D389">
            <v>13</v>
          </cell>
          <cell r="E389" t="str">
            <v>Less: Financial intermediation services indirectly measured (FISIM) (only to be deducted if FISIM is not distributed to uses)</v>
          </cell>
          <cell r="F389">
            <v>0</v>
          </cell>
          <cell r="G389">
            <v>1966</v>
          </cell>
          <cell r="H389">
            <v>20</v>
          </cell>
          <cell r="I389">
            <v>412000000</v>
          </cell>
        </row>
        <row r="390">
          <cell r="A390" t="str">
            <v>Finland</v>
          </cell>
          <cell r="B390">
            <v>246</v>
          </cell>
          <cell r="C390">
            <v>201</v>
          </cell>
          <cell r="D390">
            <v>13</v>
          </cell>
          <cell r="E390" t="str">
            <v>Less: Financial intermediation services indirectly measured (FISIM) (only to be deducted if FISIM is not distributed to uses)</v>
          </cell>
          <cell r="F390">
            <v>0</v>
          </cell>
          <cell r="G390">
            <v>1967</v>
          </cell>
          <cell r="H390">
            <v>20</v>
          </cell>
          <cell r="I390">
            <v>488000000</v>
          </cell>
        </row>
        <row r="391">
          <cell r="A391" t="str">
            <v>Finland</v>
          </cell>
          <cell r="B391">
            <v>246</v>
          </cell>
          <cell r="C391">
            <v>201</v>
          </cell>
          <cell r="D391">
            <v>13</v>
          </cell>
          <cell r="E391" t="str">
            <v>Less: Financial intermediation services indirectly measured (FISIM) (only to be deducted if FISIM is not distributed to uses)</v>
          </cell>
          <cell r="F391">
            <v>0</v>
          </cell>
          <cell r="G391">
            <v>1968</v>
          </cell>
          <cell r="H391">
            <v>20</v>
          </cell>
          <cell r="I391">
            <v>543000000</v>
          </cell>
        </row>
        <row r="392">
          <cell r="A392" t="str">
            <v>Finland</v>
          </cell>
          <cell r="B392">
            <v>246</v>
          </cell>
          <cell r="C392">
            <v>201</v>
          </cell>
          <cell r="D392">
            <v>13</v>
          </cell>
          <cell r="E392" t="str">
            <v>Less: Financial intermediation services indirectly measured (FISIM) (only to be deducted if FISIM is not distributed to uses)</v>
          </cell>
          <cell r="F392">
            <v>0</v>
          </cell>
          <cell r="G392">
            <v>1969</v>
          </cell>
          <cell r="H392">
            <v>20</v>
          </cell>
          <cell r="I392">
            <v>559000000</v>
          </cell>
        </row>
        <row r="393">
          <cell r="A393" t="str">
            <v>Finland</v>
          </cell>
          <cell r="B393">
            <v>246</v>
          </cell>
          <cell r="C393">
            <v>201</v>
          </cell>
          <cell r="D393">
            <v>13</v>
          </cell>
          <cell r="E393" t="str">
            <v>Less: Financial intermediation services indirectly measured (FISIM) (only to be deducted if FISIM is not distributed to uses)</v>
          </cell>
          <cell r="F393">
            <v>0</v>
          </cell>
          <cell r="G393">
            <v>1970</v>
          </cell>
          <cell r="H393">
            <v>20</v>
          </cell>
          <cell r="I393">
            <v>656000000</v>
          </cell>
        </row>
        <row r="394">
          <cell r="A394" t="str">
            <v>Finland</v>
          </cell>
          <cell r="B394">
            <v>246</v>
          </cell>
          <cell r="C394">
            <v>201</v>
          </cell>
          <cell r="D394">
            <v>13</v>
          </cell>
          <cell r="E394" t="str">
            <v>Less: Financial intermediation services indirectly measured (FISIM) (only to be deducted if FISIM is not distributed to uses)</v>
          </cell>
          <cell r="F394">
            <v>0</v>
          </cell>
          <cell r="G394">
            <v>1970</v>
          </cell>
          <cell r="H394">
            <v>300</v>
          </cell>
          <cell r="I394">
            <v>115296747.26734801</v>
          </cell>
        </row>
        <row r="395">
          <cell r="A395" t="str">
            <v>Finland</v>
          </cell>
          <cell r="B395">
            <v>246</v>
          </cell>
          <cell r="C395">
            <v>201</v>
          </cell>
          <cell r="D395">
            <v>13</v>
          </cell>
          <cell r="E395" t="str">
            <v>Less: Financial intermediation services indirectly measured (FISIM) (only to be deducted if FISIM is not distributed to uses)</v>
          </cell>
          <cell r="F395">
            <v>0</v>
          </cell>
          <cell r="G395">
            <v>1971</v>
          </cell>
          <cell r="H395">
            <v>300</v>
          </cell>
          <cell r="I395">
            <v>130844338.944308</v>
          </cell>
        </row>
        <row r="396">
          <cell r="A396" t="str">
            <v>Finland</v>
          </cell>
          <cell r="B396">
            <v>246</v>
          </cell>
          <cell r="C396">
            <v>201</v>
          </cell>
          <cell r="D396">
            <v>13</v>
          </cell>
          <cell r="E396" t="str">
            <v>Less: Financial intermediation services indirectly measured (FISIM) (only to be deducted if FISIM is not distributed to uses)</v>
          </cell>
          <cell r="F396">
            <v>0</v>
          </cell>
          <cell r="G396">
            <v>1972</v>
          </cell>
          <cell r="H396">
            <v>300</v>
          </cell>
          <cell r="I396">
            <v>156698761.05880401</v>
          </cell>
        </row>
        <row r="397">
          <cell r="A397" t="str">
            <v>Finland</v>
          </cell>
          <cell r="B397">
            <v>246</v>
          </cell>
          <cell r="C397">
            <v>201</v>
          </cell>
          <cell r="D397">
            <v>13</v>
          </cell>
          <cell r="E397" t="str">
            <v>Less: Financial intermediation services indirectly measured (FISIM) (only to be deducted if FISIM is not distributed to uses)</v>
          </cell>
          <cell r="F397">
            <v>0</v>
          </cell>
          <cell r="G397">
            <v>1973</v>
          </cell>
          <cell r="H397">
            <v>300</v>
          </cell>
          <cell r="I397">
            <v>199148927.09814599</v>
          </cell>
        </row>
        <row r="398">
          <cell r="A398" t="str">
            <v>Finland</v>
          </cell>
          <cell r="B398">
            <v>246</v>
          </cell>
          <cell r="C398">
            <v>201</v>
          </cell>
          <cell r="D398">
            <v>13</v>
          </cell>
          <cell r="E398" t="str">
            <v>Less: Financial intermediation services indirectly measured (FISIM) (only to be deducted if FISIM is not distributed to uses)</v>
          </cell>
          <cell r="F398">
            <v>0</v>
          </cell>
          <cell r="G398">
            <v>1974</v>
          </cell>
          <cell r="H398">
            <v>300</v>
          </cell>
          <cell r="I398">
            <v>334709951.15793598</v>
          </cell>
        </row>
        <row r="399">
          <cell r="A399" t="str">
            <v>Finland</v>
          </cell>
          <cell r="B399">
            <v>246</v>
          </cell>
          <cell r="C399">
            <v>201</v>
          </cell>
          <cell r="D399">
            <v>13</v>
          </cell>
          <cell r="E399" t="str">
            <v>Less: Financial intermediation services indirectly measured (FISIM) (only to be deducted if FISIM is not distributed to uses)</v>
          </cell>
          <cell r="F399">
            <v>0</v>
          </cell>
          <cell r="G399">
            <v>1975</v>
          </cell>
          <cell r="H399">
            <v>300</v>
          </cell>
          <cell r="I399">
            <v>395000000</v>
          </cell>
        </row>
        <row r="400">
          <cell r="A400" t="str">
            <v>Finland</v>
          </cell>
          <cell r="B400">
            <v>246</v>
          </cell>
          <cell r="C400">
            <v>201</v>
          </cell>
          <cell r="D400">
            <v>13</v>
          </cell>
          <cell r="E400" t="str">
            <v>Less: Financial intermediation services indirectly measured (FISIM) (only to be deducted if FISIM is not distributed to uses)</v>
          </cell>
          <cell r="F400">
            <v>0</v>
          </cell>
          <cell r="G400">
            <v>1976</v>
          </cell>
          <cell r="H400">
            <v>300</v>
          </cell>
          <cell r="I400">
            <v>459000000</v>
          </cell>
        </row>
        <row r="401">
          <cell r="A401" t="str">
            <v>Finland</v>
          </cell>
          <cell r="B401">
            <v>246</v>
          </cell>
          <cell r="C401">
            <v>201</v>
          </cell>
          <cell r="D401">
            <v>13</v>
          </cell>
          <cell r="E401" t="str">
            <v>Less: Financial intermediation services indirectly measured (FISIM) (only to be deducted if FISIM is not distributed to uses)</v>
          </cell>
          <cell r="F401">
            <v>0</v>
          </cell>
          <cell r="G401">
            <v>1977</v>
          </cell>
          <cell r="H401">
            <v>300</v>
          </cell>
          <cell r="I401">
            <v>508000000</v>
          </cell>
        </row>
        <row r="402">
          <cell r="A402" t="str">
            <v>Finland</v>
          </cell>
          <cell r="B402">
            <v>246</v>
          </cell>
          <cell r="C402">
            <v>201</v>
          </cell>
          <cell r="D402">
            <v>13</v>
          </cell>
          <cell r="E402" t="str">
            <v>Less: Financial intermediation services indirectly measured (FISIM) (only to be deducted if FISIM is not distributed to uses)</v>
          </cell>
          <cell r="F402">
            <v>0</v>
          </cell>
          <cell r="G402">
            <v>1978</v>
          </cell>
          <cell r="H402">
            <v>300</v>
          </cell>
          <cell r="I402">
            <v>552000000</v>
          </cell>
        </row>
        <row r="403">
          <cell r="A403" t="str">
            <v>Finland</v>
          </cell>
          <cell r="B403">
            <v>246</v>
          </cell>
          <cell r="C403">
            <v>201</v>
          </cell>
          <cell r="D403">
            <v>13</v>
          </cell>
          <cell r="E403" t="str">
            <v>Less: Financial intermediation services indirectly measured (FISIM) (only to be deducted if FISIM is not distributed to uses)</v>
          </cell>
          <cell r="F403">
            <v>0</v>
          </cell>
          <cell r="G403">
            <v>1979</v>
          </cell>
          <cell r="H403">
            <v>300</v>
          </cell>
          <cell r="I403">
            <v>612000000</v>
          </cell>
        </row>
        <row r="404">
          <cell r="A404" t="str">
            <v>Finland</v>
          </cell>
          <cell r="B404">
            <v>246</v>
          </cell>
          <cell r="C404">
            <v>201</v>
          </cell>
          <cell r="D404">
            <v>13</v>
          </cell>
          <cell r="E404" t="str">
            <v>Less: Financial intermediation services indirectly measured (FISIM) (only to be deducted if FISIM is not distributed to uses)</v>
          </cell>
          <cell r="F404">
            <v>0</v>
          </cell>
          <cell r="G404">
            <v>1980</v>
          </cell>
          <cell r="H404">
            <v>300</v>
          </cell>
          <cell r="I404">
            <v>787000000</v>
          </cell>
        </row>
        <row r="405">
          <cell r="A405" t="str">
            <v>Finland</v>
          </cell>
          <cell r="B405">
            <v>246</v>
          </cell>
          <cell r="C405">
            <v>201</v>
          </cell>
          <cell r="D405">
            <v>13</v>
          </cell>
          <cell r="E405" t="str">
            <v>Less: Financial intermediation services indirectly measured (FISIM) (only to be deducted if FISIM is not distributed to uses)</v>
          </cell>
          <cell r="F405">
            <v>0</v>
          </cell>
          <cell r="G405">
            <v>1981</v>
          </cell>
          <cell r="H405">
            <v>300</v>
          </cell>
          <cell r="I405">
            <v>898000000</v>
          </cell>
        </row>
        <row r="406">
          <cell r="A406" t="str">
            <v>Finland</v>
          </cell>
          <cell r="B406">
            <v>246</v>
          </cell>
          <cell r="C406">
            <v>201</v>
          </cell>
          <cell r="D406">
            <v>13</v>
          </cell>
          <cell r="E406" t="str">
            <v>Less: Financial intermediation services indirectly measured (FISIM) (only to be deducted if FISIM is not distributed to uses)</v>
          </cell>
          <cell r="F406">
            <v>0</v>
          </cell>
          <cell r="G406">
            <v>1982</v>
          </cell>
          <cell r="H406">
            <v>300</v>
          </cell>
          <cell r="I406">
            <v>943000000</v>
          </cell>
        </row>
        <row r="407">
          <cell r="A407" t="str">
            <v>Finland</v>
          </cell>
          <cell r="B407">
            <v>246</v>
          </cell>
          <cell r="C407">
            <v>201</v>
          </cell>
          <cell r="D407">
            <v>13</v>
          </cell>
          <cell r="E407" t="str">
            <v>Less: Financial intermediation services indirectly measured (FISIM) (only to be deducted if FISIM is not distributed to uses)</v>
          </cell>
          <cell r="F407">
            <v>0</v>
          </cell>
          <cell r="G407">
            <v>1983</v>
          </cell>
          <cell r="H407">
            <v>300</v>
          </cell>
          <cell r="I407">
            <v>1078000000</v>
          </cell>
        </row>
        <row r="408">
          <cell r="A408" t="str">
            <v>Finland</v>
          </cell>
          <cell r="B408">
            <v>246</v>
          </cell>
          <cell r="C408">
            <v>201</v>
          </cell>
          <cell r="D408">
            <v>13</v>
          </cell>
          <cell r="E408" t="str">
            <v>Less: Financial intermediation services indirectly measured (FISIM) (only to be deducted if FISIM is not distributed to uses)</v>
          </cell>
          <cell r="F408">
            <v>0</v>
          </cell>
          <cell r="G408">
            <v>1984</v>
          </cell>
          <cell r="H408">
            <v>300</v>
          </cell>
          <cell r="I408">
            <v>1251000000</v>
          </cell>
        </row>
        <row r="409">
          <cell r="A409" t="str">
            <v>Finland</v>
          </cell>
          <cell r="B409">
            <v>246</v>
          </cell>
          <cell r="C409">
            <v>201</v>
          </cell>
          <cell r="D409">
            <v>13</v>
          </cell>
          <cell r="E409" t="str">
            <v>Less: Financial intermediation services indirectly measured (FISIM) (only to be deducted if FISIM is not distributed to uses)</v>
          </cell>
          <cell r="F409">
            <v>0</v>
          </cell>
          <cell r="G409">
            <v>1985</v>
          </cell>
          <cell r="H409">
            <v>300</v>
          </cell>
          <cell r="I409">
            <v>1349000000</v>
          </cell>
        </row>
        <row r="410">
          <cell r="A410" t="str">
            <v>Finland</v>
          </cell>
          <cell r="B410">
            <v>246</v>
          </cell>
          <cell r="C410">
            <v>201</v>
          </cell>
          <cell r="D410">
            <v>13</v>
          </cell>
          <cell r="E410" t="str">
            <v>Less: Financial intermediation services indirectly measured (FISIM) (only to be deducted if FISIM is not distributed to uses)</v>
          </cell>
          <cell r="F410">
            <v>0</v>
          </cell>
          <cell r="G410">
            <v>1986</v>
          </cell>
          <cell r="H410">
            <v>300</v>
          </cell>
          <cell r="I410">
            <v>1512000000</v>
          </cell>
        </row>
        <row r="411">
          <cell r="A411" t="str">
            <v>Finland</v>
          </cell>
          <cell r="B411">
            <v>246</v>
          </cell>
          <cell r="C411">
            <v>201</v>
          </cell>
          <cell r="D411">
            <v>13</v>
          </cell>
          <cell r="E411" t="str">
            <v>Less: Financial intermediation services indirectly measured (FISIM) (only to be deducted if FISIM is not distributed to uses)</v>
          </cell>
          <cell r="F411">
            <v>0</v>
          </cell>
          <cell r="G411">
            <v>1987</v>
          </cell>
          <cell r="H411">
            <v>300</v>
          </cell>
          <cell r="I411">
            <v>1779000000</v>
          </cell>
        </row>
        <row r="412">
          <cell r="A412" t="str">
            <v>Finland</v>
          </cell>
          <cell r="B412">
            <v>246</v>
          </cell>
          <cell r="C412">
            <v>201</v>
          </cell>
          <cell r="D412">
            <v>13</v>
          </cell>
          <cell r="E412" t="str">
            <v>Less: Financial intermediation services indirectly measured (FISIM) (only to be deducted if FISIM is not distributed to uses)</v>
          </cell>
          <cell r="F412">
            <v>0</v>
          </cell>
          <cell r="G412">
            <v>1988</v>
          </cell>
          <cell r="H412">
            <v>300</v>
          </cell>
          <cell r="I412">
            <v>2049000000</v>
          </cell>
        </row>
        <row r="413">
          <cell r="A413" t="str">
            <v>Finland</v>
          </cell>
          <cell r="B413">
            <v>246</v>
          </cell>
          <cell r="C413">
            <v>201</v>
          </cell>
          <cell r="D413">
            <v>13</v>
          </cell>
          <cell r="E413" t="str">
            <v>Less: Financial intermediation services indirectly measured (FISIM) (only to be deducted if FISIM is not distributed to uses)</v>
          </cell>
          <cell r="F413">
            <v>0</v>
          </cell>
          <cell r="G413">
            <v>1989</v>
          </cell>
          <cell r="H413">
            <v>300</v>
          </cell>
          <cell r="I413">
            <v>2501000000</v>
          </cell>
        </row>
        <row r="414">
          <cell r="A414" t="str">
            <v>Finland</v>
          </cell>
          <cell r="B414">
            <v>246</v>
          </cell>
          <cell r="C414">
            <v>201</v>
          </cell>
          <cell r="D414">
            <v>13</v>
          </cell>
          <cell r="E414" t="str">
            <v>Less: Financial intermediation services indirectly measured (FISIM) (only to be deducted if FISIM is not distributed to uses)</v>
          </cell>
          <cell r="F414">
            <v>0</v>
          </cell>
          <cell r="G414">
            <v>1990</v>
          </cell>
          <cell r="H414">
            <v>300</v>
          </cell>
          <cell r="I414">
            <v>2859000000</v>
          </cell>
        </row>
        <row r="415">
          <cell r="A415" t="str">
            <v>Finland</v>
          </cell>
          <cell r="B415">
            <v>246</v>
          </cell>
          <cell r="C415">
            <v>201</v>
          </cell>
          <cell r="D415">
            <v>13</v>
          </cell>
          <cell r="E415" t="str">
            <v>Less: Financial intermediation services indirectly measured (FISIM) (only to be deducted if FISIM is not distributed to uses)</v>
          </cell>
          <cell r="F415">
            <v>0</v>
          </cell>
          <cell r="G415">
            <v>1991</v>
          </cell>
          <cell r="H415">
            <v>300</v>
          </cell>
          <cell r="I415">
            <v>2578000000</v>
          </cell>
        </row>
        <row r="416">
          <cell r="A416" t="str">
            <v>Finland</v>
          </cell>
          <cell r="B416">
            <v>246</v>
          </cell>
          <cell r="C416">
            <v>201</v>
          </cell>
          <cell r="D416">
            <v>13</v>
          </cell>
          <cell r="E416" t="str">
            <v>Less: Financial intermediation services indirectly measured (FISIM) (only to be deducted if FISIM is not distributed to uses)</v>
          </cell>
          <cell r="F416">
            <v>0</v>
          </cell>
          <cell r="G416">
            <v>1992</v>
          </cell>
          <cell r="H416">
            <v>300</v>
          </cell>
          <cell r="I416">
            <v>1768000000</v>
          </cell>
        </row>
        <row r="417">
          <cell r="A417" t="str">
            <v>Finland</v>
          </cell>
          <cell r="B417">
            <v>246</v>
          </cell>
          <cell r="C417">
            <v>201</v>
          </cell>
          <cell r="D417">
            <v>13</v>
          </cell>
          <cell r="E417" t="str">
            <v>Less: Financial intermediation services indirectly measured (FISIM) (only to be deducted if FISIM is not distributed to uses)</v>
          </cell>
          <cell r="F417">
            <v>0</v>
          </cell>
          <cell r="G417">
            <v>1993</v>
          </cell>
          <cell r="H417">
            <v>300</v>
          </cell>
          <cell r="I417">
            <v>2389000000</v>
          </cell>
        </row>
        <row r="418">
          <cell r="A418" t="str">
            <v>Finland</v>
          </cell>
          <cell r="B418">
            <v>246</v>
          </cell>
          <cell r="C418">
            <v>201</v>
          </cell>
          <cell r="D418">
            <v>13</v>
          </cell>
          <cell r="E418" t="str">
            <v>Less: Financial intermediation services indirectly measured (FISIM) (only to be deducted if FISIM is not distributed to uses)</v>
          </cell>
          <cell r="F418">
            <v>0</v>
          </cell>
          <cell r="G418">
            <v>1994</v>
          </cell>
          <cell r="H418">
            <v>300</v>
          </cell>
          <cell r="I418">
            <v>2421000000</v>
          </cell>
        </row>
        <row r="419">
          <cell r="A419" t="str">
            <v>Finland</v>
          </cell>
          <cell r="B419">
            <v>246</v>
          </cell>
          <cell r="C419">
            <v>201</v>
          </cell>
          <cell r="D419">
            <v>13</v>
          </cell>
          <cell r="E419" t="str">
            <v>Less: Financial intermediation services indirectly measured (FISIM) (only to be deducted if FISIM is not distributed to uses)</v>
          </cell>
          <cell r="F419">
            <v>0</v>
          </cell>
          <cell r="G419">
            <v>1995</v>
          </cell>
          <cell r="H419">
            <v>300</v>
          </cell>
          <cell r="I419">
            <v>2471000000</v>
          </cell>
        </row>
        <row r="420">
          <cell r="A420" t="str">
            <v>Finland</v>
          </cell>
          <cell r="B420">
            <v>246</v>
          </cell>
          <cell r="C420">
            <v>201</v>
          </cell>
          <cell r="D420">
            <v>13</v>
          </cell>
          <cell r="E420" t="str">
            <v>Less: Financial intermediation services indirectly measured (FISIM) (only to be deducted if FISIM is not distributed to uses)</v>
          </cell>
          <cell r="F420">
            <v>0</v>
          </cell>
          <cell r="G420">
            <v>1996</v>
          </cell>
          <cell r="H420">
            <v>300</v>
          </cell>
          <cell r="I420">
            <v>2332000000</v>
          </cell>
        </row>
        <row r="421">
          <cell r="A421" t="str">
            <v>Finland</v>
          </cell>
          <cell r="B421">
            <v>246</v>
          </cell>
          <cell r="C421">
            <v>201</v>
          </cell>
          <cell r="D421">
            <v>13</v>
          </cell>
          <cell r="E421" t="str">
            <v>Less: Financial intermediation services indirectly measured (FISIM) (only to be deducted if FISIM is not distributed to uses)</v>
          </cell>
          <cell r="F421">
            <v>0</v>
          </cell>
          <cell r="G421">
            <v>1997</v>
          </cell>
          <cell r="H421">
            <v>300</v>
          </cell>
          <cell r="I421">
            <v>2592000000</v>
          </cell>
        </row>
        <row r="422">
          <cell r="A422" t="str">
            <v>Finland</v>
          </cell>
          <cell r="B422">
            <v>246</v>
          </cell>
          <cell r="C422">
            <v>201</v>
          </cell>
          <cell r="D422">
            <v>13</v>
          </cell>
          <cell r="E422" t="str">
            <v>Less: Financial intermediation services indirectly measured (FISIM) (only to be deducted if FISIM is not distributed to uses)</v>
          </cell>
          <cell r="F422">
            <v>0</v>
          </cell>
          <cell r="G422">
            <v>1998</v>
          </cell>
          <cell r="H422">
            <v>300</v>
          </cell>
          <cell r="I422">
            <v>2536000000</v>
          </cell>
        </row>
        <row r="423">
          <cell r="A423" t="str">
            <v>Finland</v>
          </cell>
          <cell r="B423">
            <v>246</v>
          </cell>
          <cell r="C423">
            <v>201</v>
          </cell>
          <cell r="D423">
            <v>13</v>
          </cell>
          <cell r="E423" t="str">
            <v>Less: Financial intermediation services indirectly measured (FISIM) (only to be deducted if FISIM is not distributed to uses)</v>
          </cell>
          <cell r="F423">
            <v>0</v>
          </cell>
          <cell r="G423">
            <v>1999</v>
          </cell>
          <cell r="H423">
            <v>300</v>
          </cell>
          <cell r="I423">
            <v>2730000000</v>
          </cell>
        </row>
        <row r="424">
          <cell r="A424" t="str">
            <v>Finland</v>
          </cell>
          <cell r="B424">
            <v>246</v>
          </cell>
          <cell r="C424">
            <v>201</v>
          </cell>
          <cell r="D424">
            <v>13</v>
          </cell>
          <cell r="E424" t="str">
            <v>Less: Financial intermediation services indirectly measured (FISIM) (only to be deducted if FISIM is not distributed to uses)</v>
          </cell>
          <cell r="F424">
            <v>0</v>
          </cell>
          <cell r="G424">
            <v>2000</v>
          </cell>
          <cell r="H424">
            <v>300</v>
          </cell>
          <cell r="I424">
            <v>3167000000</v>
          </cell>
        </row>
        <row r="425">
          <cell r="A425" t="str">
            <v>Finland</v>
          </cell>
          <cell r="B425">
            <v>246</v>
          </cell>
          <cell r="C425">
            <v>201</v>
          </cell>
          <cell r="D425">
            <v>13</v>
          </cell>
          <cell r="E425" t="str">
            <v>Less: Financial intermediation services indirectly measured (FISIM) (only to be deducted if FISIM is not distributed to uses)</v>
          </cell>
          <cell r="F425">
            <v>0</v>
          </cell>
          <cell r="G425">
            <v>2001</v>
          </cell>
          <cell r="H425">
            <v>300</v>
          </cell>
          <cell r="I425">
            <v>3078000000</v>
          </cell>
        </row>
        <row r="426">
          <cell r="A426" t="str">
            <v>Finland</v>
          </cell>
          <cell r="B426">
            <v>246</v>
          </cell>
          <cell r="C426">
            <v>201</v>
          </cell>
          <cell r="D426">
            <v>13</v>
          </cell>
          <cell r="E426" t="str">
            <v>Less: Financial intermediation services indirectly measured (FISIM) (only to be deducted if FISIM is not distributed to uses)</v>
          </cell>
          <cell r="F426">
            <v>0</v>
          </cell>
          <cell r="G426">
            <v>2002</v>
          </cell>
          <cell r="H426">
            <v>300</v>
          </cell>
          <cell r="I426">
            <v>2757000000</v>
          </cell>
        </row>
        <row r="427">
          <cell r="A427" t="str">
            <v>Finland</v>
          </cell>
          <cell r="B427">
            <v>246</v>
          </cell>
          <cell r="C427">
            <v>201</v>
          </cell>
          <cell r="D427">
            <v>13</v>
          </cell>
          <cell r="E427" t="str">
            <v>Less: Financial intermediation services indirectly measured (FISIM) (only to be deducted if FISIM is not distributed to uses)</v>
          </cell>
          <cell r="F427">
            <v>0</v>
          </cell>
          <cell r="G427">
            <v>2003</v>
          </cell>
          <cell r="H427">
            <v>300</v>
          </cell>
          <cell r="I427">
            <v>2787000000</v>
          </cell>
        </row>
        <row r="428">
          <cell r="A428" t="str">
            <v>Finland</v>
          </cell>
          <cell r="B428">
            <v>246</v>
          </cell>
          <cell r="C428">
            <v>203</v>
          </cell>
          <cell r="D428">
            <v>3</v>
          </cell>
          <cell r="E428" t="str">
            <v>Equals: VALUE ADDED, GROSS, at basic prices</v>
          </cell>
          <cell r="F428">
            <v>12</v>
          </cell>
          <cell r="G428">
            <v>1970</v>
          </cell>
          <cell r="H428">
            <v>20</v>
          </cell>
          <cell r="I428">
            <v>41734000000</v>
          </cell>
        </row>
        <row r="429">
          <cell r="A429" t="str">
            <v>Finland</v>
          </cell>
          <cell r="B429">
            <v>246</v>
          </cell>
          <cell r="C429">
            <v>203</v>
          </cell>
          <cell r="D429">
            <v>3</v>
          </cell>
          <cell r="E429" t="str">
            <v>Equals: VALUE ADDED, GROSS, at basic prices</v>
          </cell>
          <cell r="F429">
            <v>12</v>
          </cell>
          <cell r="G429">
            <v>1971</v>
          </cell>
          <cell r="H429">
            <v>20</v>
          </cell>
          <cell r="I429">
            <v>45659000000</v>
          </cell>
        </row>
        <row r="430">
          <cell r="A430" t="str">
            <v>Finland</v>
          </cell>
          <cell r="B430">
            <v>246</v>
          </cell>
          <cell r="C430">
            <v>203</v>
          </cell>
          <cell r="D430">
            <v>3</v>
          </cell>
          <cell r="E430" t="str">
            <v>Equals: VALUE ADDED, GROSS, at basic prices</v>
          </cell>
          <cell r="F430">
            <v>12</v>
          </cell>
          <cell r="G430">
            <v>1972</v>
          </cell>
          <cell r="H430">
            <v>20</v>
          </cell>
          <cell r="I430">
            <v>53226000000</v>
          </cell>
        </row>
        <row r="431">
          <cell r="A431" t="str">
            <v>Finland</v>
          </cell>
          <cell r="B431">
            <v>246</v>
          </cell>
          <cell r="C431">
            <v>203</v>
          </cell>
          <cell r="D431">
            <v>3</v>
          </cell>
          <cell r="E431" t="str">
            <v>Equals: VALUE ADDED, GROSS, at basic prices</v>
          </cell>
          <cell r="F431">
            <v>12</v>
          </cell>
          <cell r="G431">
            <v>1973</v>
          </cell>
          <cell r="H431">
            <v>20</v>
          </cell>
          <cell r="I431">
            <v>64932000000</v>
          </cell>
        </row>
        <row r="432">
          <cell r="A432" t="str">
            <v>Finland</v>
          </cell>
          <cell r="B432">
            <v>246</v>
          </cell>
          <cell r="C432">
            <v>203</v>
          </cell>
          <cell r="D432">
            <v>3</v>
          </cell>
          <cell r="E432" t="str">
            <v>Equals: VALUE ADDED, GROSS, at basic prices</v>
          </cell>
          <cell r="F432">
            <v>12</v>
          </cell>
          <cell r="G432">
            <v>1974</v>
          </cell>
          <cell r="H432">
            <v>20</v>
          </cell>
          <cell r="I432">
            <v>83664000000</v>
          </cell>
        </row>
        <row r="433">
          <cell r="A433" t="str">
            <v>Finland</v>
          </cell>
          <cell r="B433">
            <v>246</v>
          </cell>
          <cell r="C433">
            <v>203</v>
          </cell>
          <cell r="D433">
            <v>3</v>
          </cell>
          <cell r="E433" t="str">
            <v>Equals: VALUE ADDED, GROSS, at basic prices</v>
          </cell>
          <cell r="F433">
            <v>12</v>
          </cell>
          <cell r="G433">
            <v>1975</v>
          </cell>
          <cell r="H433">
            <v>20</v>
          </cell>
          <cell r="I433">
            <v>97693000000</v>
          </cell>
        </row>
        <row r="434">
          <cell r="A434" t="str">
            <v>Finland</v>
          </cell>
          <cell r="B434">
            <v>246</v>
          </cell>
          <cell r="C434">
            <v>203</v>
          </cell>
          <cell r="D434">
            <v>3</v>
          </cell>
          <cell r="E434" t="str">
            <v>Equals: VALUE ADDED, GROSS, at basic prices</v>
          </cell>
          <cell r="F434">
            <v>12</v>
          </cell>
          <cell r="G434">
            <v>1975</v>
          </cell>
          <cell r="H434">
            <v>300</v>
          </cell>
          <cell r="I434">
            <v>16510000000</v>
          </cell>
        </row>
        <row r="435">
          <cell r="A435" t="str">
            <v>Finland</v>
          </cell>
          <cell r="B435">
            <v>246</v>
          </cell>
          <cell r="C435">
            <v>203</v>
          </cell>
          <cell r="D435">
            <v>3</v>
          </cell>
          <cell r="E435" t="str">
            <v>Equals: VALUE ADDED, GROSS, at basic prices</v>
          </cell>
          <cell r="F435">
            <v>12</v>
          </cell>
          <cell r="G435">
            <v>1976</v>
          </cell>
          <cell r="H435">
            <v>300</v>
          </cell>
          <cell r="I435">
            <v>18760000000</v>
          </cell>
        </row>
        <row r="436">
          <cell r="A436" t="str">
            <v>Finland</v>
          </cell>
          <cell r="B436">
            <v>246</v>
          </cell>
          <cell r="C436">
            <v>203</v>
          </cell>
          <cell r="D436">
            <v>3</v>
          </cell>
          <cell r="E436" t="str">
            <v>Equals: VALUE ADDED, GROSS, at basic prices</v>
          </cell>
          <cell r="F436">
            <v>12</v>
          </cell>
          <cell r="G436">
            <v>1977</v>
          </cell>
          <cell r="H436">
            <v>300</v>
          </cell>
          <cell r="I436">
            <v>20431000000</v>
          </cell>
        </row>
        <row r="437">
          <cell r="A437" t="str">
            <v>Finland</v>
          </cell>
          <cell r="B437">
            <v>246</v>
          </cell>
          <cell r="C437">
            <v>203</v>
          </cell>
          <cell r="D437">
            <v>3</v>
          </cell>
          <cell r="E437" t="str">
            <v>Equals: VALUE ADDED, GROSS, at basic prices</v>
          </cell>
          <cell r="F437">
            <v>12</v>
          </cell>
          <cell r="G437">
            <v>1978</v>
          </cell>
          <cell r="H437">
            <v>300</v>
          </cell>
          <cell r="I437">
            <v>22391000000</v>
          </cell>
        </row>
        <row r="438">
          <cell r="A438" t="str">
            <v>Finland</v>
          </cell>
          <cell r="B438">
            <v>246</v>
          </cell>
          <cell r="C438">
            <v>203</v>
          </cell>
          <cell r="D438">
            <v>3</v>
          </cell>
          <cell r="E438" t="str">
            <v>Equals: VALUE ADDED, GROSS, at basic prices</v>
          </cell>
          <cell r="F438">
            <v>12</v>
          </cell>
          <cell r="G438">
            <v>1979</v>
          </cell>
          <cell r="H438">
            <v>300</v>
          </cell>
          <cell r="I438">
            <v>26026000000</v>
          </cell>
        </row>
        <row r="439">
          <cell r="A439" t="str">
            <v>Finland</v>
          </cell>
          <cell r="B439">
            <v>246</v>
          </cell>
          <cell r="C439">
            <v>203</v>
          </cell>
          <cell r="D439">
            <v>3</v>
          </cell>
          <cell r="E439" t="str">
            <v>Equals: VALUE ADDED, GROSS, at basic prices</v>
          </cell>
          <cell r="F439">
            <v>12</v>
          </cell>
          <cell r="G439">
            <v>1980</v>
          </cell>
          <cell r="H439">
            <v>300</v>
          </cell>
          <cell r="I439">
            <v>30010000000</v>
          </cell>
        </row>
        <row r="440">
          <cell r="A440" t="str">
            <v>Finland</v>
          </cell>
          <cell r="B440">
            <v>246</v>
          </cell>
          <cell r="C440">
            <v>203</v>
          </cell>
          <cell r="D440">
            <v>3</v>
          </cell>
          <cell r="E440" t="str">
            <v>Equals: VALUE ADDED, GROSS, at basic prices</v>
          </cell>
          <cell r="F440">
            <v>12</v>
          </cell>
          <cell r="G440">
            <v>1981</v>
          </cell>
          <cell r="H440">
            <v>300</v>
          </cell>
          <cell r="I440">
            <v>33884000000</v>
          </cell>
        </row>
        <row r="441">
          <cell r="A441" t="str">
            <v>Finland</v>
          </cell>
          <cell r="B441">
            <v>246</v>
          </cell>
          <cell r="C441">
            <v>203</v>
          </cell>
          <cell r="D441">
            <v>3</v>
          </cell>
          <cell r="E441" t="str">
            <v>Equals: VALUE ADDED, GROSS, at basic prices</v>
          </cell>
          <cell r="F441">
            <v>12</v>
          </cell>
          <cell r="G441">
            <v>1982</v>
          </cell>
          <cell r="H441">
            <v>300</v>
          </cell>
          <cell r="I441">
            <v>37880000000</v>
          </cell>
        </row>
        <row r="442">
          <cell r="A442" t="str">
            <v>Finland</v>
          </cell>
          <cell r="B442">
            <v>246</v>
          </cell>
          <cell r="C442">
            <v>203</v>
          </cell>
          <cell r="D442">
            <v>3</v>
          </cell>
          <cell r="E442" t="str">
            <v>Equals: VALUE ADDED, GROSS, at basic prices</v>
          </cell>
          <cell r="F442">
            <v>12</v>
          </cell>
          <cell r="G442">
            <v>1983</v>
          </cell>
          <cell r="H442">
            <v>300</v>
          </cell>
          <cell r="I442">
            <v>42383000000</v>
          </cell>
        </row>
        <row r="443">
          <cell r="A443" t="str">
            <v>Finland</v>
          </cell>
          <cell r="B443">
            <v>246</v>
          </cell>
          <cell r="C443">
            <v>203</v>
          </cell>
          <cell r="D443">
            <v>3</v>
          </cell>
          <cell r="E443" t="str">
            <v>Equals: VALUE ADDED, GROSS, at basic prices</v>
          </cell>
          <cell r="F443">
            <v>12</v>
          </cell>
          <cell r="G443">
            <v>1984</v>
          </cell>
          <cell r="H443">
            <v>300</v>
          </cell>
          <cell r="I443">
            <v>47096000000</v>
          </cell>
        </row>
        <row r="444">
          <cell r="A444" t="str">
            <v>Finland</v>
          </cell>
          <cell r="B444">
            <v>246</v>
          </cell>
          <cell r="C444">
            <v>203</v>
          </cell>
          <cell r="D444">
            <v>3</v>
          </cell>
          <cell r="E444" t="str">
            <v>Equals: VALUE ADDED, GROSS, at basic prices</v>
          </cell>
          <cell r="F444">
            <v>12</v>
          </cell>
          <cell r="G444">
            <v>1985</v>
          </cell>
          <cell r="H444">
            <v>300</v>
          </cell>
          <cell r="I444">
            <v>51079000000</v>
          </cell>
        </row>
        <row r="445">
          <cell r="A445" t="str">
            <v>Finland</v>
          </cell>
          <cell r="B445">
            <v>246</v>
          </cell>
          <cell r="C445">
            <v>203</v>
          </cell>
          <cell r="D445">
            <v>3</v>
          </cell>
          <cell r="E445" t="str">
            <v>Equals: VALUE ADDED, GROSS, at basic prices</v>
          </cell>
          <cell r="F445">
            <v>12</v>
          </cell>
          <cell r="G445">
            <v>1986</v>
          </cell>
          <cell r="H445">
            <v>300</v>
          </cell>
          <cell r="I445">
            <v>54368000000</v>
          </cell>
        </row>
        <row r="446">
          <cell r="A446" t="str">
            <v>Finland</v>
          </cell>
          <cell r="B446">
            <v>246</v>
          </cell>
          <cell r="C446">
            <v>203</v>
          </cell>
          <cell r="D446">
            <v>3</v>
          </cell>
          <cell r="E446" t="str">
            <v>Equals: VALUE ADDED, GROSS, at basic prices</v>
          </cell>
          <cell r="F446">
            <v>12</v>
          </cell>
          <cell r="G446">
            <v>1987</v>
          </cell>
          <cell r="H446">
            <v>300</v>
          </cell>
          <cell r="I446">
            <v>58968000000</v>
          </cell>
        </row>
        <row r="447">
          <cell r="A447" t="str">
            <v>Finland</v>
          </cell>
          <cell r="B447">
            <v>246</v>
          </cell>
          <cell r="C447">
            <v>203</v>
          </cell>
          <cell r="D447">
            <v>3</v>
          </cell>
          <cell r="E447" t="str">
            <v>Equals: VALUE ADDED, GROSS, at basic prices</v>
          </cell>
          <cell r="F447">
            <v>12</v>
          </cell>
          <cell r="G447">
            <v>1988</v>
          </cell>
          <cell r="H447">
            <v>300</v>
          </cell>
          <cell r="I447">
            <v>65767000000</v>
          </cell>
        </row>
        <row r="448">
          <cell r="A448" t="str">
            <v>Finland</v>
          </cell>
          <cell r="B448">
            <v>246</v>
          </cell>
          <cell r="C448">
            <v>203</v>
          </cell>
          <cell r="D448">
            <v>3</v>
          </cell>
          <cell r="E448" t="str">
            <v>Equals: VALUE ADDED, GROSS, at basic prices</v>
          </cell>
          <cell r="F448">
            <v>12</v>
          </cell>
          <cell r="G448">
            <v>1989</v>
          </cell>
          <cell r="H448">
            <v>300</v>
          </cell>
          <cell r="I448">
            <v>73658000000</v>
          </cell>
        </row>
        <row r="449">
          <cell r="A449" t="str">
            <v>Finland</v>
          </cell>
          <cell r="B449">
            <v>246</v>
          </cell>
          <cell r="C449">
            <v>203</v>
          </cell>
          <cell r="D449">
            <v>3</v>
          </cell>
          <cell r="E449" t="str">
            <v>Equals: VALUE ADDED, GROSS, at basic prices</v>
          </cell>
          <cell r="F449">
            <v>12</v>
          </cell>
          <cell r="G449">
            <v>1990</v>
          </cell>
          <cell r="H449">
            <v>300</v>
          </cell>
          <cell r="I449">
            <v>79013000000</v>
          </cell>
        </row>
        <row r="450">
          <cell r="A450" t="str">
            <v>Finland</v>
          </cell>
          <cell r="B450">
            <v>246</v>
          </cell>
          <cell r="C450">
            <v>203</v>
          </cell>
          <cell r="D450">
            <v>3</v>
          </cell>
          <cell r="E450" t="str">
            <v>Equals: VALUE ADDED, GROSS, at basic prices</v>
          </cell>
          <cell r="F450">
            <v>12</v>
          </cell>
          <cell r="G450">
            <v>1991</v>
          </cell>
          <cell r="H450">
            <v>300</v>
          </cell>
          <cell r="I450">
            <v>75318000000</v>
          </cell>
        </row>
        <row r="451">
          <cell r="A451" t="str">
            <v>Finland</v>
          </cell>
          <cell r="B451">
            <v>246</v>
          </cell>
          <cell r="C451">
            <v>203</v>
          </cell>
          <cell r="D451">
            <v>3</v>
          </cell>
          <cell r="E451" t="str">
            <v>Equals: VALUE ADDED, GROSS, at basic prices</v>
          </cell>
          <cell r="F451">
            <v>12</v>
          </cell>
          <cell r="G451">
            <v>1992</v>
          </cell>
          <cell r="H451">
            <v>300</v>
          </cell>
          <cell r="I451">
            <v>72919000000</v>
          </cell>
        </row>
        <row r="452">
          <cell r="A452" t="str">
            <v>Finland</v>
          </cell>
          <cell r="B452">
            <v>246</v>
          </cell>
          <cell r="C452">
            <v>203</v>
          </cell>
          <cell r="D452">
            <v>3</v>
          </cell>
          <cell r="E452" t="str">
            <v>Equals: VALUE ADDED, GROSS, at basic prices</v>
          </cell>
          <cell r="F452">
            <v>12</v>
          </cell>
          <cell r="G452">
            <v>1993</v>
          </cell>
          <cell r="H452">
            <v>300</v>
          </cell>
          <cell r="I452">
            <v>74697000000</v>
          </cell>
        </row>
        <row r="453">
          <cell r="A453" t="str">
            <v>Finland</v>
          </cell>
          <cell r="B453">
            <v>246</v>
          </cell>
          <cell r="C453">
            <v>203</v>
          </cell>
          <cell r="D453">
            <v>3</v>
          </cell>
          <cell r="E453" t="str">
            <v>Equals: VALUE ADDED, GROSS, at basic prices</v>
          </cell>
          <cell r="F453">
            <v>12</v>
          </cell>
          <cell r="G453">
            <v>1994</v>
          </cell>
          <cell r="H453">
            <v>300</v>
          </cell>
          <cell r="I453">
            <v>78985000000</v>
          </cell>
        </row>
        <row r="454">
          <cell r="A454" t="str">
            <v>Finland</v>
          </cell>
          <cell r="B454">
            <v>246</v>
          </cell>
          <cell r="C454">
            <v>203</v>
          </cell>
          <cell r="D454">
            <v>3</v>
          </cell>
          <cell r="E454" t="str">
            <v>Equals: VALUE ADDED, GROSS, at basic prices</v>
          </cell>
          <cell r="F454">
            <v>12</v>
          </cell>
          <cell r="G454">
            <v>1995</v>
          </cell>
          <cell r="H454">
            <v>300</v>
          </cell>
          <cell r="I454">
            <v>85499000000</v>
          </cell>
        </row>
        <row r="455">
          <cell r="A455" t="str">
            <v>Finland</v>
          </cell>
          <cell r="B455">
            <v>246</v>
          </cell>
          <cell r="C455">
            <v>203</v>
          </cell>
          <cell r="D455">
            <v>3</v>
          </cell>
          <cell r="E455" t="str">
            <v>Equals: VALUE ADDED, GROSS, at basic prices</v>
          </cell>
          <cell r="F455">
            <v>12</v>
          </cell>
          <cell r="G455">
            <v>1996</v>
          </cell>
          <cell r="H455">
            <v>300</v>
          </cell>
          <cell r="I455">
            <v>88064000000</v>
          </cell>
        </row>
        <row r="456">
          <cell r="A456" t="str">
            <v>Finland</v>
          </cell>
          <cell r="B456">
            <v>246</v>
          </cell>
          <cell r="C456">
            <v>203</v>
          </cell>
          <cell r="D456">
            <v>3</v>
          </cell>
          <cell r="E456" t="str">
            <v>Equals: VALUE ADDED, GROSS, at basic prices</v>
          </cell>
          <cell r="F456">
            <v>12</v>
          </cell>
          <cell r="G456">
            <v>1997</v>
          </cell>
          <cell r="H456">
            <v>300</v>
          </cell>
          <cell r="I456">
            <v>94903000000</v>
          </cell>
        </row>
        <row r="457">
          <cell r="A457" t="str">
            <v>Finland</v>
          </cell>
          <cell r="B457">
            <v>246</v>
          </cell>
          <cell r="C457">
            <v>203</v>
          </cell>
          <cell r="D457">
            <v>3</v>
          </cell>
          <cell r="E457" t="str">
            <v>Equals: VALUE ADDED, GROSS, at basic prices</v>
          </cell>
          <cell r="F457">
            <v>12</v>
          </cell>
          <cell r="G457">
            <v>1998</v>
          </cell>
          <cell r="H457">
            <v>300</v>
          </cell>
          <cell r="I457">
            <v>103100000000</v>
          </cell>
        </row>
        <row r="458">
          <cell r="A458" t="str">
            <v>Finland</v>
          </cell>
          <cell r="B458">
            <v>246</v>
          </cell>
          <cell r="C458">
            <v>203</v>
          </cell>
          <cell r="D458">
            <v>3</v>
          </cell>
          <cell r="E458" t="str">
            <v>Equals: VALUE ADDED, GROSS, at basic prices</v>
          </cell>
          <cell r="F458">
            <v>12</v>
          </cell>
          <cell r="G458">
            <v>1999</v>
          </cell>
          <cell r="H458">
            <v>300</v>
          </cell>
          <cell r="I458">
            <v>106171000000</v>
          </cell>
        </row>
        <row r="459">
          <cell r="A459" t="str">
            <v>Finland</v>
          </cell>
          <cell r="B459">
            <v>246</v>
          </cell>
          <cell r="C459">
            <v>203</v>
          </cell>
          <cell r="D459">
            <v>3</v>
          </cell>
          <cell r="E459" t="str">
            <v>Equals: VALUE ADDED, GROSS, at basic prices</v>
          </cell>
          <cell r="F459">
            <v>12</v>
          </cell>
          <cell r="G459">
            <v>2000</v>
          </cell>
          <cell r="H459">
            <v>300</v>
          </cell>
          <cell r="I459">
            <v>116222000000</v>
          </cell>
        </row>
        <row r="460">
          <cell r="A460" t="str">
            <v>Finland</v>
          </cell>
          <cell r="B460">
            <v>246</v>
          </cell>
          <cell r="C460">
            <v>203</v>
          </cell>
          <cell r="D460">
            <v>3</v>
          </cell>
          <cell r="E460" t="str">
            <v>Equals: VALUE ADDED, GROSS, at basic prices</v>
          </cell>
          <cell r="F460">
            <v>12</v>
          </cell>
          <cell r="G460">
            <v>2001</v>
          </cell>
          <cell r="H460">
            <v>300</v>
          </cell>
          <cell r="I460">
            <v>121184000000</v>
          </cell>
        </row>
        <row r="461">
          <cell r="A461" t="str">
            <v>Finland</v>
          </cell>
          <cell r="B461">
            <v>246</v>
          </cell>
          <cell r="C461">
            <v>203</v>
          </cell>
          <cell r="D461">
            <v>3</v>
          </cell>
          <cell r="E461" t="str">
            <v>Equals: VALUE ADDED, GROSS, at basic prices</v>
          </cell>
          <cell r="F461">
            <v>12</v>
          </cell>
          <cell r="G461">
            <v>2002</v>
          </cell>
          <cell r="H461">
            <v>300</v>
          </cell>
          <cell r="I461">
            <v>124301000000</v>
          </cell>
        </row>
        <row r="462">
          <cell r="A462" t="str">
            <v>Finland</v>
          </cell>
          <cell r="B462">
            <v>246</v>
          </cell>
          <cell r="C462">
            <v>203</v>
          </cell>
          <cell r="D462">
            <v>4</v>
          </cell>
          <cell r="E462" t="str">
            <v>Compensation of employees</v>
          </cell>
          <cell r="F462">
            <v>12</v>
          </cell>
          <cell r="G462">
            <v>1970</v>
          </cell>
          <cell r="H462">
            <v>20</v>
          </cell>
          <cell r="I462">
            <v>23840000000</v>
          </cell>
        </row>
        <row r="463">
          <cell r="A463" t="str">
            <v>Finland</v>
          </cell>
          <cell r="B463">
            <v>246</v>
          </cell>
          <cell r="C463">
            <v>203</v>
          </cell>
          <cell r="D463">
            <v>4</v>
          </cell>
          <cell r="E463" t="str">
            <v>Compensation of employees</v>
          </cell>
          <cell r="F463">
            <v>12</v>
          </cell>
          <cell r="G463">
            <v>1971</v>
          </cell>
          <cell r="H463">
            <v>20</v>
          </cell>
          <cell r="I463">
            <v>27039000000</v>
          </cell>
        </row>
        <row r="464">
          <cell r="A464" t="str">
            <v>Finland</v>
          </cell>
          <cell r="B464">
            <v>246</v>
          </cell>
          <cell r="C464">
            <v>203</v>
          </cell>
          <cell r="D464">
            <v>4</v>
          </cell>
          <cell r="E464" t="str">
            <v>Compensation of employees</v>
          </cell>
          <cell r="F464">
            <v>12</v>
          </cell>
          <cell r="G464">
            <v>1972</v>
          </cell>
          <cell r="H464">
            <v>20</v>
          </cell>
          <cell r="I464">
            <v>31770000000</v>
          </cell>
        </row>
        <row r="465">
          <cell r="A465" t="str">
            <v>Finland</v>
          </cell>
          <cell r="B465">
            <v>246</v>
          </cell>
          <cell r="C465">
            <v>203</v>
          </cell>
          <cell r="D465">
            <v>4</v>
          </cell>
          <cell r="E465" t="str">
            <v>Compensation of employees</v>
          </cell>
          <cell r="F465">
            <v>12</v>
          </cell>
          <cell r="G465">
            <v>1973</v>
          </cell>
          <cell r="H465">
            <v>20</v>
          </cell>
          <cell r="I465">
            <v>38522000000</v>
          </cell>
        </row>
        <row r="466">
          <cell r="A466" t="str">
            <v>Finland</v>
          </cell>
          <cell r="B466">
            <v>246</v>
          </cell>
          <cell r="C466">
            <v>203</v>
          </cell>
          <cell r="D466">
            <v>4</v>
          </cell>
          <cell r="E466" t="str">
            <v>Compensation of employees</v>
          </cell>
          <cell r="F466">
            <v>12</v>
          </cell>
          <cell r="G466">
            <v>1974</v>
          </cell>
          <cell r="H466">
            <v>20</v>
          </cell>
          <cell r="I466">
            <v>48567000000</v>
          </cell>
        </row>
        <row r="467">
          <cell r="A467" t="str">
            <v>Finland</v>
          </cell>
          <cell r="B467">
            <v>246</v>
          </cell>
          <cell r="C467">
            <v>203</v>
          </cell>
          <cell r="D467">
            <v>4</v>
          </cell>
          <cell r="E467" t="str">
            <v>Compensation of employees</v>
          </cell>
          <cell r="F467">
            <v>12</v>
          </cell>
          <cell r="G467">
            <v>1975</v>
          </cell>
          <cell r="H467">
            <v>20</v>
          </cell>
          <cell r="I467">
            <v>60382000000</v>
          </cell>
        </row>
        <row r="468">
          <cell r="A468" t="str">
            <v>Finland</v>
          </cell>
          <cell r="B468">
            <v>246</v>
          </cell>
          <cell r="C468">
            <v>203</v>
          </cell>
          <cell r="D468">
            <v>4</v>
          </cell>
          <cell r="E468" t="str">
            <v>Compensation of employees</v>
          </cell>
          <cell r="F468">
            <v>12</v>
          </cell>
          <cell r="G468">
            <v>1975</v>
          </cell>
          <cell r="H468">
            <v>300</v>
          </cell>
          <cell r="I468">
            <v>10024000000</v>
          </cell>
        </row>
        <row r="469">
          <cell r="A469" t="str">
            <v>Finland</v>
          </cell>
          <cell r="B469">
            <v>246</v>
          </cell>
          <cell r="C469">
            <v>203</v>
          </cell>
          <cell r="D469">
            <v>4</v>
          </cell>
          <cell r="E469" t="str">
            <v>Compensation of employees</v>
          </cell>
          <cell r="F469">
            <v>12</v>
          </cell>
          <cell r="G469">
            <v>1976</v>
          </cell>
          <cell r="H469">
            <v>300</v>
          </cell>
          <cell r="I469">
            <v>11591000000</v>
          </cell>
        </row>
        <row r="470">
          <cell r="A470" t="str">
            <v>Finland</v>
          </cell>
          <cell r="B470">
            <v>246</v>
          </cell>
          <cell r="C470">
            <v>203</v>
          </cell>
          <cell r="D470">
            <v>4</v>
          </cell>
          <cell r="E470" t="str">
            <v>Compensation of employees</v>
          </cell>
          <cell r="F470">
            <v>12</v>
          </cell>
          <cell r="G470">
            <v>1977</v>
          </cell>
          <cell r="H470">
            <v>300</v>
          </cell>
          <cell r="I470">
            <v>12515000000</v>
          </cell>
        </row>
        <row r="471">
          <cell r="A471" t="str">
            <v>Finland</v>
          </cell>
          <cell r="B471">
            <v>246</v>
          </cell>
          <cell r="C471">
            <v>203</v>
          </cell>
          <cell r="D471">
            <v>4</v>
          </cell>
          <cell r="E471" t="str">
            <v>Compensation of employees</v>
          </cell>
          <cell r="F471">
            <v>12</v>
          </cell>
          <cell r="G471">
            <v>1978</v>
          </cell>
          <cell r="H471">
            <v>300</v>
          </cell>
          <cell r="I471">
            <v>13200000000</v>
          </cell>
        </row>
        <row r="472">
          <cell r="A472" t="str">
            <v>Finland</v>
          </cell>
          <cell r="B472">
            <v>246</v>
          </cell>
          <cell r="C472">
            <v>203</v>
          </cell>
          <cell r="D472">
            <v>4</v>
          </cell>
          <cell r="E472" t="str">
            <v>Compensation of employees</v>
          </cell>
          <cell r="F472">
            <v>12</v>
          </cell>
          <cell r="G472">
            <v>1979</v>
          </cell>
          <cell r="H472">
            <v>300</v>
          </cell>
          <cell r="I472">
            <v>15099000000</v>
          </cell>
        </row>
        <row r="473">
          <cell r="A473" t="str">
            <v>Finland</v>
          </cell>
          <cell r="B473">
            <v>246</v>
          </cell>
          <cell r="C473">
            <v>203</v>
          </cell>
          <cell r="D473">
            <v>4</v>
          </cell>
          <cell r="E473" t="str">
            <v>Compensation of employees</v>
          </cell>
          <cell r="F473">
            <v>12</v>
          </cell>
          <cell r="G473">
            <v>1980</v>
          </cell>
          <cell r="H473">
            <v>300</v>
          </cell>
          <cell r="I473">
            <v>17674000000</v>
          </cell>
        </row>
        <row r="474">
          <cell r="A474" t="str">
            <v>Finland</v>
          </cell>
          <cell r="B474">
            <v>246</v>
          </cell>
          <cell r="C474">
            <v>203</v>
          </cell>
          <cell r="D474">
            <v>4</v>
          </cell>
          <cell r="E474" t="str">
            <v>Compensation of employees</v>
          </cell>
          <cell r="F474">
            <v>12</v>
          </cell>
          <cell r="G474">
            <v>1981</v>
          </cell>
          <cell r="H474">
            <v>300</v>
          </cell>
          <cell r="I474">
            <v>20457000000</v>
          </cell>
        </row>
        <row r="475">
          <cell r="A475" t="str">
            <v>Finland</v>
          </cell>
          <cell r="B475">
            <v>246</v>
          </cell>
          <cell r="C475">
            <v>203</v>
          </cell>
          <cell r="D475">
            <v>4</v>
          </cell>
          <cell r="E475" t="str">
            <v>Compensation of employees</v>
          </cell>
          <cell r="F475">
            <v>12</v>
          </cell>
          <cell r="G475">
            <v>1982</v>
          </cell>
          <cell r="H475">
            <v>300</v>
          </cell>
          <cell r="I475">
            <v>22659000000</v>
          </cell>
        </row>
        <row r="476">
          <cell r="A476" t="str">
            <v>Finland</v>
          </cell>
          <cell r="B476">
            <v>246</v>
          </cell>
          <cell r="C476">
            <v>203</v>
          </cell>
          <cell r="D476">
            <v>4</v>
          </cell>
          <cell r="E476" t="str">
            <v>Compensation of employees</v>
          </cell>
          <cell r="F476">
            <v>12</v>
          </cell>
          <cell r="G476">
            <v>1983</v>
          </cell>
          <cell r="H476">
            <v>300</v>
          </cell>
          <cell r="I476">
            <v>25115000000</v>
          </cell>
        </row>
        <row r="477">
          <cell r="A477" t="str">
            <v>Finland</v>
          </cell>
          <cell r="B477">
            <v>246</v>
          </cell>
          <cell r="C477">
            <v>203</v>
          </cell>
          <cell r="D477">
            <v>4</v>
          </cell>
          <cell r="E477" t="str">
            <v>Compensation of employees</v>
          </cell>
          <cell r="F477">
            <v>12</v>
          </cell>
          <cell r="G477">
            <v>1984</v>
          </cell>
          <cell r="H477">
            <v>300</v>
          </cell>
          <cell r="I477">
            <v>27954000000</v>
          </cell>
        </row>
        <row r="478">
          <cell r="A478" t="str">
            <v>Finland</v>
          </cell>
          <cell r="B478">
            <v>246</v>
          </cell>
          <cell r="C478">
            <v>203</v>
          </cell>
          <cell r="D478">
            <v>4</v>
          </cell>
          <cell r="E478" t="str">
            <v>Compensation of employees</v>
          </cell>
          <cell r="F478">
            <v>12</v>
          </cell>
          <cell r="G478">
            <v>1985</v>
          </cell>
          <cell r="H478">
            <v>300</v>
          </cell>
          <cell r="I478">
            <v>31120000000</v>
          </cell>
        </row>
        <row r="479">
          <cell r="A479" t="str">
            <v>Finland</v>
          </cell>
          <cell r="B479">
            <v>246</v>
          </cell>
          <cell r="C479">
            <v>203</v>
          </cell>
          <cell r="D479">
            <v>4</v>
          </cell>
          <cell r="E479" t="str">
            <v>Compensation of employees</v>
          </cell>
          <cell r="F479">
            <v>12</v>
          </cell>
          <cell r="G479">
            <v>1986</v>
          </cell>
          <cell r="H479">
            <v>300</v>
          </cell>
          <cell r="I479">
            <v>33363000000</v>
          </cell>
        </row>
        <row r="480">
          <cell r="A480" t="str">
            <v>Finland</v>
          </cell>
          <cell r="B480">
            <v>246</v>
          </cell>
          <cell r="C480">
            <v>203</v>
          </cell>
          <cell r="D480">
            <v>4</v>
          </cell>
          <cell r="E480" t="str">
            <v>Compensation of employees</v>
          </cell>
          <cell r="F480">
            <v>12</v>
          </cell>
          <cell r="G480">
            <v>1987</v>
          </cell>
          <cell r="H480">
            <v>300</v>
          </cell>
          <cell r="I480">
            <v>36302000000</v>
          </cell>
        </row>
        <row r="481">
          <cell r="A481" t="str">
            <v>Finland</v>
          </cell>
          <cell r="B481">
            <v>246</v>
          </cell>
          <cell r="C481">
            <v>203</v>
          </cell>
          <cell r="D481">
            <v>4</v>
          </cell>
          <cell r="E481" t="str">
            <v>Compensation of employees</v>
          </cell>
          <cell r="F481">
            <v>12</v>
          </cell>
          <cell r="G481">
            <v>1988</v>
          </cell>
          <cell r="H481">
            <v>300</v>
          </cell>
          <cell r="I481">
            <v>40159000000</v>
          </cell>
        </row>
        <row r="482">
          <cell r="A482" t="str">
            <v>Finland</v>
          </cell>
          <cell r="B482">
            <v>246</v>
          </cell>
          <cell r="C482">
            <v>203</v>
          </cell>
          <cell r="D482">
            <v>4</v>
          </cell>
          <cell r="E482" t="str">
            <v>Compensation of employees</v>
          </cell>
          <cell r="F482">
            <v>12</v>
          </cell>
          <cell r="G482">
            <v>1989</v>
          </cell>
          <cell r="H482">
            <v>300</v>
          </cell>
          <cell r="I482">
            <v>44937000000</v>
          </cell>
        </row>
        <row r="483">
          <cell r="A483" t="str">
            <v>Finland</v>
          </cell>
          <cell r="B483">
            <v>246</v>
          </cell>
          <cell r="C483">
            <v>203</v>
          </cell>
          <cell r="D483">
            <v>4</v>
          </cell>
          <cell r="E483" t="str">
            <v>Compensation of employees</v>
          </cell>
          <cell r="F483">
            <v>12</v>
          </cell>
          <cell r="G483">
            <v>1990</v>
          </cell>
          <cell r="H483">
            <v>300</v>
          </cell>
          <cell r="I483">
            <v>49081000000</v>
          </cell>
        </row>
        <row r="484">
          <cell r="A484" t="str">
            <v>Finland</v>
          </cell>
          <cell r="B484">
            <v>246</v>
          </cell>
          <cell r="C484">
            <v>203</v>
          </cell>
          <cell r="D484">
            <v>4</v>
          </cell>
          <cell r="E484" t="str">
            <v>Compensation of employees</v>
          </cell>
          <cell r="F484">
            <v>12</v>
          </cell>
          <cell r="G484">
            <v>1991</v>
          </cell>
          <cell r="H484">
            <v>300</v>
          </cell>
          <cell r="I484">
            <v>49217000000</v>
          </cell>
        </row>
        <row r="485">
          <cell r="A485" t="str">
            <v>Finland</v>
          </cell>
          <cell r="B485">
            <v>246</v>
          </cell>
          <cell r="C485">
            <v>203</v>
          </cell>
          <cell r="D485">
            <v>4</v>
          </cell>
          <cell r="E485" t="str">
            <v>Compensation of employees</v>
          </cell>
          <cell r="F485">
            <v>12</v>
          </cell>
          <cell r="G485">
            <v>1992</v>
          </cell>
          <cell r="H485">
            <v>300</v>
          </cell>
          <cell r="I485">
            <v>46512000000</v>
          </cell>
        </row>
        <row r="486">
          <cell r="A486" t="str">
            <v>Finland</v>
          </cell>
          <cell r="B486">
            <v>246</v>
          </cell>
          <cell r="C486">
            <v>203</v>
          </cell>
          <cell r="D486">
            <v>4</v>
          </cell>
          <cell r="E486" t="str">
            <v>Compensation of employees</v>
          </cell>
          <cell r="F486">
            <v>12</v>
          </cell>
          <cell r="G486">
            <v>1993</v>
          </cell>
          <cell r="H486">
            <v>300</v>
          </cell>
          <cell r="I486">
            <v>43917000000</v>
          </cell>
        </row>
        <row r="487">
          <cell r="A487" t="str">
            <v>Finland</v>
          </cell>
          <cell r="B487">
            <v>246</v>
          </cell>
          <cell r="C487">
            <v>203</v>
          </cell>
          <cell r="D487">
            <v>4</v>
          </cell>
          <cell r="E487" t="str">
            <v>Compensation of employees</v>
          </cell>
          <cell r="F487">
            <v>12</v>
          </cell>
          <cell r="G487">
            <v>1994</v>
          </cell>
          <cell r="H487">
            <v>300</v>
          </cell>
          <cell r="I487">
            <v>44696000000</v>
          </cell>
        </row>
        <row r="488">
          <cell r="A488" t="str">
            <v>Finland</v>
          </cell>
          <cell r="B488">
            <v>246</v>
          </cell>
          <cell r="C488">
            <v>203</v>
          </cell>
          <cell r="D488">
            <v>4</v>
          </cell>
          <cell r="E488" t="str">
            <v>Compensation of employees</v>
          </cell>
          <cell r="F488">
            <v>12</v>
          </cell>
          <cell r="G488">
            <v>1995</v>
          </cell>
          <cell r="H488">
            <v>300</v>
          </cell>
          <cell r="I488">
            <v>47483000000</v>
          </cell>
        </row>
        <row r="489">
          <cell r="A489" t="str">
            <v>Finland</v>
          </cell>
          <cell r="B489">
            <v>246</v>
          </cell>
          <cell r="C489">
            <v>203</v>
          </cell>
          <cell r="D489">
            <v>4</v>
          </cell>
          <cell r="E489" t="str">
            <v>Compensation of employees</v>
          </cell>
          <cell r="F489">
            <v>12</v>
          </cell>
          <cell r="G489">
            <v>1996</v>
          </cell>
          <cell r="H489">
            <v>300</v>
          </cell>
          <cell r="I489">
            <v>49501000000</v>
          </cell>
        </row>
        <row r="490">
          <cell r="A490" t="str">
            <v>Finland</v>
          </cell>
          <cell r="B490">
            <v>246</v>
          </cell>
          <cell r="C490">
            <v>203</v>
          </cell>
          <cell r="D490">
            <v>4</v>
          </cell>
          <cell r="E490" t="str">
            <v>Compensation of employees</v>
          </cell>
          <cell r="F490">
            <v>12</v>
          </cell>
          <cell r="G490">
            <v>1997</v>
          </cell>
          <cell r="H490">
            <v>300</v>
          </cell>
          <cell r="I490">
            <v>52095000000</v>
          </cell>
        </row>
        <row r="491">
          <cell r="A491" t="str">
            <v>Finland</v>
          </cell>
          <cell r="B491">
            <v>246</v>
          </cell>
          <cell r="C491">
            <v>203</v>
          </cell>
          <cell r="D491">
            <v>4</v>
          </cell>
          <cell r="E491" t="str">
            <v>Compensation of employees</v>
          </cell>
          <cell r="F491">
            <v>12</v>
          </cell>
          <cell r="G491">
            <v>1998</v>
          </cell>
          <cell r="H491">
            <v>300</v>
          </cell>
          <cell r="I491">
            <v>56057000000</v>
          </cell>
        </row>
        <row r="492">
          <cell r="A492" t="str">
            <v>Finland</v>
          </cell>
          <cell r="B492">
            <v>246</v>
          </cell>
          <cell r="C492">
            <v>203</v>
          </cell>
          <cell r="D492">
            <v>4</v>
          </cell>
          <cell r="E492" t="str">
            <v>Compensation of employees</v>
          </cell>
          <cell r="F492">
            <v>12</v>
          </cell>
          <cell r="G492">
            <v>1999</v>
          </cell>
          <cell r="H492">
            <v>300</v>
          </cell>
          <cell r="I492">
            <v>58708000000</v>
          </cell>
        </row>
        <row r="493">
          <cell r="A493" t="str">
            <v>Finland</v>
          </cell>
          <cell r="B493">
            <v>246</v>
          </cell>
          <cell r="C493">
            <v>203</v>
          </cell>
          <cell r="D493">
            <v>4</v>
          </cell>
          <cell r="E493" t="str">
            <v>Compensation of employees</v>
          </cell>
          <cell r="F493">
            <v>12</v>
          </cell>
          <cell r="G493">
            <v>2000</v>
          </cell>
          <cell r="H493">
            <v>300</v>
          </cell>
          <cell r="I493">
            <v>62361000000</v>
          </cell>
        </row>
        <row r="494">
          <cell r="A494" t="str">
            <v>Finland</v>
          </cell>
          <cell r="B494">
            <v>246</v>
          </cell>
          <cell r="C494">
            <v>203</v>
          </cell>
          <cell r="D494">
            <v>4</v>
          </cell>
          <cell r="E494" t="str">
            <v>Compensation of employees</v>
          </cell>
          <cell r="F494">
            <v>12</v>
          </cell>
          <cell r="G494">
            <v>2001</v>
          </cell>
          <cell r="H494">
            <v>300</v>
          </cell>
          <cell r="I494">
            <v>66481000000</v>
          </cell>
        </row>
        <row r="495">
          <cell r="A495" t="str">
            <v>Finland</v>
          </cell>
          <cell r="B495">
            <v>246</v>
          </cell>
          <cell r="C495">
            <v>203</v>
          </cell>
          <cell r="D495">
            <v>4</v>
          </cell>
          <cell r="E495" t="str">
            <v>Compensation of employees</v>
          </cell>
          <cell r="F495">
            <v>12</v>
          </cell>
          <cell r="G495">
            <v>2002</v>
          </cell>
          <cell r="H495">
            <v>300</v>
          </cell>
          <cell r="I495">
            <v>68445000000</v>
          </cell>
        </row>
        <row r="496">
          <cell r="A496" t="str">
            <v>Finland</v>
          </cell>
          <cell r="B496">
            <v>246</v>
          </cell>
          <cell r="C496">
            <v>203</v>
          </cell>
          <cell r="D496">
            <v>11</v>
          </cell>
          <cell r="E496" t="str">
            <v>OPERATING SURPLUS, GROSS</v>
          </cell>
          <cell r="F496">
            <v>12</v>
          </cell>
          <cell r="G496">
            <v>1970</v>
          </cell>
          <cell r="H496">
            <v>20</v>
          </cell>
          <cell r="I496">
            <v>17818000000</v>
          </cell>
        </row>
        <row r="497">
          <cell r="A497" t="str">
            <v>Finland</v>
          </cell>
          <cell r="B497">
            <v>246</v>
          </cell>
          <cell r="C497">
            <v>203</v>
          </cell>
          <cell r="D497">
            <v>11</v>
          </cell>
          <cell r="E497" t="str">
            <v>OPERATING SURPLUS, GROSS</v>
          </cell>
          <cell r="F497">
            <v>12</v>
          </cell>
          <cell r="G497">
            <v>1971</v>
          </cell>
          <cell r="H497">
            <v>20</v>
          </cell>
          <cell r="I497">
            <v>18537000000</v>
          </cell>
        </row>
        <row r="498">
          <cell r="A498" t="str">
            <v>Finland</v>
          </cell>
          <cell r="B498">
            <v>246</v>
          </cell>
          <cell r="C498">
            <v>203</v>
          </cell>
          <cell r="D498">
            <v>11</v>
          </cell>
          <cell r="E498" t="str">
            <v>OPERATING SURPLUS, GROSS</v>
          </cell>
          <cell r="F498">
            <v>12</v>
          </cell>
          <cell r="G498">
            <v>1972</v>
          </cell>
          <cell r="H498">
            <v>20</v>
          </cell>
          <cell r="I498">
            <v>21376000000</v>
          </cell>
        </row>
        <row r="499">
          <cell r="A499" t="str">
            <v>Finland</v>
          </cell>
          <cell r="B499">
            <v>246</v>
          </cell>
          <cell r="C499">
            <v>203</v>
          </cell>
          <cell r="D499">
            <v>11</v>
          </cell>
          <cell r="E499" t="str">
            <v>OPERATING SURPLUS, GROSS</v>
          </cell>
          <cell r="F499">
            <v>12</v>
          </cell>
          <cell r="G499">
            <v>1973</v>
          </cell>
          <cell r="H499">
            <v>20</v>
          </cell>
          <cell r="I499">
            <v>26255000000</v>
          </cell>
        </row>
        <row r="500">
          <cell r="A500" t="str">
            <v>Finland</v>
          </cell>
          <cell r="B500">
            <v>246</v>
          </cell>
          <cell r="C500">
            <v>203</v>
          </cell>
          <cell r="D500">
            <v>11</v>
          </cell>
          <cell r="E500" t="str">
            <v>OPERATING SURPLUS, GROSS</v>
          </cell>
          <cell r="F500">
            <v>12</v>
          </cell>
          <cell r="G500">
            <v>1974</v>
          </cell>
          <cell r="H500">
            <v>20</v>
          </cell>
          <cell r="I500">
            <v>35024000000</v>
          </cell>
        </row>
        <row r="501">
          <cell r="A501" t="str">
            <v>Finland</v>
          </cell>
          <cell r="B501">
            <v>246</v>
          </cell>
          <cell r="C501">
            <v>203</v>
          </cell>
          <cell r="D501">
            <v>11</v>
          </cell>
          <cell r="E501" t="str">
            <v>OPERATING SURPLUS, GROSS</v>
          </cell>
          <cell r="F501">
            <v>12</v>
          </cell>
          <cell r="G501">
            <v>1975</v>
          </cell>
          <cell r="H501">
            <v>20</v>
          </cell>
          <cell r="I501">
            <v>37369000000</v>
          </cell>
        </row>
        <row r="502">
          <cell r="A502" t="str">
            <v>Finland</v>
          </cell>
          <cell r="B502">
            <v>246</v>
          </cell>
          <cell r="C502">
            <v>203</v>
          </cell>
          <cell r="D502">
            <v>11</v>
          </cell>
          <cell r="E502" t="str">
            <v>OPERATING SURPLUS, GROSS</v>
          </cell>
          <cell r="F502">
            <v>12</v>
          </cell>
          <cell r="G502">
            <v>1975</v>
          </cell>
          <cell r="H502">
            <v>300</v>
          </cell>
          <cell r="I502">
            <v>6563000000</v>
          </cell>
        </row>
        <row r="503">
          <cell r="A503" t="str">
            <v>Finland</v>
          </cell>
          <cell r="B503">
            <v>246</v>
          </cell>
          <cell r="C503">
            <v>203</v>
          </cell>
          <cell r="D503">
            <v>11</v>
          </cell>
          <cell r="E503" t="str">
            <v>OPERATING SURPLUS, GROSS</v>
          </cell>
          <cell r="F503">
            <v>12</v>
          </cell>
          <cell r="G503">
            <v>1976</v>
          </cell>
          <cell r="H503">
            <v>300</v>
          </cell>
          <cell r="I503">
            <v>7268000000</v>
          </cell>
        </row>
        <row r="504">
          <cell r="A504" t="str">
            <v>Finland</v>
          </cell>
          <cell r="B504">
            <v>246</v>
          </cell>
          <cell r="C504">
            <v>203</v>
          </cell>
          <cell r="D504">
            <v>11</v>
          </cell>
          <cell r="E504" t="str">
            <v>OPERATING SURPLUS, GROSS</v>
          </cell>
          <cell r="F504">
            <v>12</v>
          </cell>
          <cell r="G504">
            <v>1977</v>
          </cell>
          <cell r="H504">
            <v>300</v>
          </cell>
          <cell r="I504">
            <v>8035000000</v>
          </cell>
        </row>
        <row r="505">
          <cell r="A505" t="str">
            <v>Finland</v>
          </cell>
          <cell r="B505">
            <v>246</v>
          </cell>
          <cell r="C505">
            <v>203</v>
          </cell>
          <cell r="D505">
            <v>11</v>
          </cell>
          <cell r="E505" t="str">
            <v>OPERATING SURPLUS, GROSS</v>
          </cell>
          <cell r="F505">
            <v>12</v>
          </cell>
          <cell r="G505">
            <v>1978</v>
          </cell>
          <cell r="H505">
            <v>300</v>
          </cell>
          <cell r="I505">
            <v>9333000000</v>
          </cell>
        </row>
        <row r="506">
          <cell r="A506" t="str">
            <v>Finland</v>
          </cell>
          <cell r="B506">
            <v>246</v>
          </cell>
          <cell r="C506">
            <v>203</v>
          </cell>
          <cell r="D506">
            <v>11</v>
          </cell>
          <cell r="E506" t="str">
            <v>OPERATING SURPLUS, GROSS</v>
          </cell>
          <cell r="F506">
            <v>12</v>
          </cell>
          <cell r="G506">
            <v>1979</v>
          </cell>
          <cell r="H506">
            <v>300</v>
          </cell>
          <cell r="I506">
            <v>11116000000</v>
          </cell>
        </row>
        <row r="507">
          <cell r="A507" t="str">
            <v>Finland</v>
          </cell>
          <cell r="B507">
            <v>246</v>
          </cell>
          <cell r="C507">
            <v>203</v>
          </cell>
          <cell r="D507">
            <v>11</v>
          </cell>
          <cell r="E507" t="str">
            <v>OPERATING SURPLUS, GROSS</v>
          </cell>
          <cell r="F507">
            <v>12</v>
          </cell>
          <cell r="G507">
            <v>1980</v>
          </cell>
          <cell r="H507">
            <v>300</v>
          </cell>
          <cell r="I507">
            <v>12582000000</v>
          </cell>
        </row>
        <row r="508">
          <cell r="A508" t="str">
            <v>Finland</v>
          </cell>
          <cell r="B508">
            <v>246</v>
          </cell>
          <cell r="C508">
            <v>203</v>
          </cell>
          <cell r="D508">
            <v>11</v>
          </cell>
          <cell r="E508" t="str">
            <v>OPERATING SURPLUS, GROSS</v>
          </cell>
          <cell r="F508">
            <v>12</v>
          </cell>
          <cell r="G508">
            <v>1981</v>
          </cell>
          <cell r="H508">
            <v>300</v>
          </cell>
          <cell r="I508">
            <v>13720000000</v>
          </cell>
        </row>
        <row r="509">
          <cell r="A509" t="str">
            <v>Finland</v>
          </cell>
          <cell r="B509">
            <v>246</v>
          </cell>
          <cell r="C509">
            <v>203</v>
          </cell>
          <cell r="D509">
            <v>11</v>
          </cell>
          <cell r="E509" t="str">
            <v>OPERATING SURPLUS, GROSS</v>
          </cell>
          <cell r="F509">
            <v>12</v>
          </cell>
          <cell r="G509">
            <v>1982</v>
          </cell>
          <cell r="H509">
            <v>300</v>
          </cell>
          <cell r="I509">
            <v>15572000000</v>
          </cell>
        </row>
        <row r="510">
          <cell r="A510" t="str">
            <v>Finland</v>
          </cell>
          <cell r="B510">
            <v>246</v>
          </cell>
          <cell r="C510">
            <v>203</v>
          </cell>
          <cell r="D510">
            <v>11</v>
          </cell>
          <cell r="E510" t="str">
            <v>OPERATING SURPLUS, GROSS</v>
          </cell>
          <cell r="F510">
            <v>12</v>
          </cell>
          <cell r="G510">
            <v>1983</v>
          </cell>
          <cell r="H510">
            <v>300</v>
          </cell>
          <cell r="I510">
            <v>17639000000</v>
          </cell>
        </row>
        <row r="511">
          <cell r="A511" t="str">
            <v>Finland</v>
          </cell>
          <cell r="B511">
            <v>246</v>
          </cell>
          <cell r="C511">
            <v>203</v>
          </cell>
          <cell r="D511">
            <v>11</v>
          </cell>
          <cell r="E511" t="str">
            <v>OPERATING SURPLUS, GROSS</v>
          </cell>
          <cell r="F511">
            <v>12</v>
          </cell>
          <cell r="G511">
            <v>1984</v>
          </cell>
          <cell r="H511">
            <v>300</v>
          </cell>
          <cell r="I511">
            <v>19549000000</v>
          </cell>
        </row>
        <row r="512">
          <cell r="A512" t="str">
            <v>Finland</v>
          </cell>
          <cell r="B512">
            <v>246</v>
          </cell>
          <cell r="C512">
            <v>203</v>
          </cell>
          <cell r="D512">
            <v>11</v>
          </cell>
          <cell r="E512" t="str">
            <v>OPERATING SURPLUS, GROSS</v>
          </cell>
          <cell r="F512">
            <v>12</v>
          </cell>
          <cell r="G512">
            <v>1985</v>
          </cell>
          <cell r="H512">
            <v>300</v>
          </cell>
          <cell r="I512">
            <v>20447000000</v>
          </cell>
        </row>
        <row r="513">
          <cell r="A513" t="str">
            <v>Finland</v>
          </cell>
          <cell r="B513">
            <v>246</v>
          </cell>
          <cell r="C513">
            <v>203</v>
          </cell>
          <cell r="D513">
            <v>11</v>
          </cell>
          <cell r="E513" t="str">
            <v>OPERATING SURPLUS, GROSS</v>
          </cell>
          <cell r="F513">
            <v>12</v>
          </cell>
          <cell r="G513">
            <v>1986</v>
          </cell>
          <cell r="H513">
            <v>300</v>
          </cell>
          <cell r="I513">
            <v>21518000000</v>
          </cell>
        </row>
        <row r="514">
          <cell r="A514" t="str">
            <v>Finland</v>
          </cell>
          <cell r="B514">
            <v>246</v>
          </cell>
          <cell r="C514">
            <v>203</v>
          </cell>
          <cell r="D514">
            <v>11</v>
          </cell>
          <cell r="E514" t="str">
            <v>OPERATING SURPLUS, GROSS</v>
          </cell>
          <cell r="F514">
            <v>12</v>
          </cell>
          <cell r="G514">
            <v>1987</v>
          </cell>
          <cell r="H514">
            <v>300</v>
          </cell>
          <cell r="I514">
            <v>23250000000</v>
          </cell>
        </row>
        <row r="515">
          <cell r="A515" t="str">
            <v>Finland</v>
          </cell>
          <cell r="B515">
            <v>246</v>
          </cell>
          <cell r="C515">
            <v>203</v>
          </cell>
          <cell r="D515">
            <v>11</v>
          </cell>
          <cell r="E515" t="str">
            <v>OPERATING SURPLUS, GROSS</v>
          </cell>
          <cell r="F515">
            <v>12</v>
          </cell>
          <cell r="G515">
            <v>1988</v>
          </cell>
          <cell r="H515">
            <v>300</v>
          </cell>
          <cell r="I515">
            <v>26606000000</v>
          </cell>
        </row>
        <row r="516">
          <cell r="A516" t="str">
            <v>Finland</v>
          </cell>
          <cell r="B516">
            <v>246</v>
          </cell>
          <cell r="C516">
            <v>203</v>
          </cell>
          <cell r="D516">
            <v>11</v>
          </cell>
          <cell r="E516" t="str">
            <v>OPERATING SURPLUS, GROSS</v>
          </cell>
          <cell r="F516">
            <v>12</v>
          </cell>
          <cell r="G516">
            <v>1989</v>
          </cell>
          <cell r="H516">
            <v>300</v>
          </cell>
          <cell r="I516">
            <v>29669000000</v>
          </cell>
        </row>
        <row r="517">
          <cell r="A517" t="str">
            <v>Finland</v>
          </cell>
          <cell r="B517">
            <v>246</v>
          </cell>
          <cell r="C517">
            <v>203</v>
          </cell>
          <cell r="D517">
            <v>11</v>
          </cell>
          <cell r="E517" t="str">
            <v>OPERATING SURPLUS, GROSS</v>
          </cell>
          <cell r="F517">
            <v>12</v>
          </cell>
          <cell r="G517">
            <v>1990</v>
          </cell>
          <cell r="H517">
            <v>300</v>
          </cell>
          <cell r="I517">
            <v>30948000000</v>
          </cell>
        </row>
        <row r="518">
          <cell r="A518" t="str">
            <v>Finland</v>
          </cell>
          <cell r="B518">
            <v>246</v>
          </cell>
          <cell r="C518">
            <v>203</v>
          </cell>
          <cell r="D518">
            <v>11</v>
          </cell>
          <cell r="E518" t="str">
            <v>OPERATING SURPLUS, GROSS</v>
          </cell>
          <cell r="F518">
            <v>12</v>
          </cell>
          <cell r="G518">
            <v>1991</v>
          </cell>
          <cell r="H518">
            <v>300</v>
          </cell>
          <cell r="I518">
            <v>27337000000</v>
          </cell>
        </row>
        <row r="519">
          <cell r="A519" t="str">
            <v>Finland</v>
          </cell>
          <cell r="B519">
            <v>246</v>
          </cell>
          <cell r="C519">
            <v>203</v>
          </cell>
          <cell r="D519">
            <v>11</v>
          </cell>
          <cell r="E519" t="str">
            <v>OPERATING SURPLUS, GROSS</v>
          </cell>
          <cell r="F519">
            <v>12</v>
          </cell>
          <cell r="G519">
            <v>1992</v>
          </cell>
          <cell r="H519">
            <v>300</v>
          </cell>
          <cell r="I519">
            <v>27800000000</v>
          </cell>
        </row>
        <row r="520">
          <cell r="A520" t="str">
            <v>Finland</v>
          </cell>
          <cell r="B520">
            <v>246</v>
          </cell>
          <cell r="C520">
            <v>203</v>
          </cell>
          <cell r="D520">
            <v>11</v>
          </cell>
          <cell r="E520" t="str">
            <v>OPERATING SURPLUS, GROSS</v>
          </cell>
          <cell r="F520">
            <v>12</v>
          </cell>
          <cell r="G520">
            <v>1993</v>
          </cell>
          <cell r="H520">
            <v>300</v>
          </cell>
          <cell r="I520">
            <v>32108000000</v>
          </cell>
        </row>
        <row r="521">
          <cell r="A521" t="str">
            <v>Finland</v>
          </cell>
          <cell r="B521">
            <v>246</v>
          </cell>
          <cell r="C521">
            <v>203</v>
          </cell>
          <cell r="D521">
            <v>11</v>
          </cell>
          <cell r="E521" t="str">
            <v>OPERATING SURPLUS, GROSS</v>
          </cell>
          <cell r="F521">
            <v>12</v>
          </cell>
          <cell r="G521">
            <v>1994</v>
          </cell>
          <cell r="H521">
            <v>300</v>
          </cell>
          <cell r="I521">
            <v>35446000000</v>
          </cell>
        </row>
        <row r="522">
          <cell r="A522" t="str">
            <v>Finland</v>
          </cell>
          <cell r="B522">
            <v>246</v>
          </cell>
          <cell r="C522">
            <v>203</v>
          </cell>
          <cell r="D522">
            <v>11</v>
          </cell>
          <cell r="E522" t="str">
            <v>OPERATING SURPLUS, GROSS</v>
          </cell>
          <cell r="F522">
            <v>12</v>
          </cell>
          <cell r="G522">
            <v>1995</v>
          </cell>
          <cell r="H522">
            <v>300</v>
          </cell>
          <cell r="I522">
            <v>39792000000</v>
          </cell>
        </row>
        <row r="523">
          <cell r="A523" t="str">
            <v>Finland</v>
          </cell>
          <cell r="B523">
            <v>246</v>
          </cell>
          <cell r="C523">
            <v>203</v>
          </cell>
          <cell r="D523">
            <v>11</v>
          </cell>
          <cell r="E523" t="str">
            <v>OPERATING SURPLUS, GROSS</v>
          </cell>
          <cell r="F523">
            <v>12</v>
          </cell>
          <cell r="G523">
            <v>1996</v>
          </cell>
          <cell r="H523">
            <v>300</v>
          </cell>
          <cell r="I523">
            <v>39905000000</v>
          </cell>
        </row>
        <row r="524">
          <cell r="A524" t="str">
            <v>Finland</v>
          </cell>
          <cell r="B524">
            <v>246</v>
          </cell>
          <cell r="C524">
            <v>203</v>
          </cell>
          <cell r="D524">
            <v>11</v>
          </cell>
          <cell r="E524" t="str">
            <v>OPERATING SURPLUS, GROSS</v>
          </cell>
          <cell r="F524">
            <v>12</v>
          </cell>
          <cell r="G524">
            <v>1997</v>
          </cell>
          <cell r="H524">
            <v>300</v>
          </cell>
          <cell r="I524">
            <v>44123000000</v>
          </cell>
        </row>
        <row r="525">
          <cell r="A525" t="str">
            <v>Finland</v>
          </cell>
          <cell r="B525">
            <v>246</v>
          </cell>
          <cell r="C525">
            <v>203</v>
          </cell>
          <cell r="D525">
            <v>11</v>
          </cell>
          <cell r="E525" t="str">
            <v>OPERATING SURPLUS, GROSS</v>
          </cell>
          <cell r="F525">
            <v>12</v>
          </cell>
          <cell r="G525">
            <v>1998</v>
          </cell>
          <cell r="H525">
            <v>300</v>
          </cell>
          <cell r="I525">
            <v>48407000000</v>
          </cell>
        </row>
        <row r="526">
          <cell r="A526" t="str">
            <v>Finland</v>
          </cell>
          <cell r="B526">
            <v>246</v>
          </cell>
          <cell r="C526">
            <v>203</v>
          </cell>
          <cell r="D526">
            <v>11</v>
          </cell>
          <cell r="E526" t="str">
            <v>OPERATING SURPLUS, GROSS</v>
          </cell>
          <cell r="F526">
            <v>12</v>
          </cell>
          <cell r="G526">
            <v>1999</v>
          </cell>
          <cell r="H526">
            <v>300</v>
          </cell>
          <cell r="I526">
            <v>48853000000</v>
          </cell>
        </row>
        <row r="527">
          <cell r="A527" t="str">
            <v>Finland</v>
          </cell>
          <cell r="B527">
            <v>246</v>
          </cell>
          <cell r="C527">
            <v>203</v>
          </cell>
          <cell r="D527">
            <v>11</v>
          </cell>
          <cell r="E527" t="str">
            <v>OPERATING SURPLUS, GROSS</v>
          </cell>
          <cell r="F527">
            <v>12</v>
          </cell>
          <cell r="G527">
            <v>2000</v>
          </cell>
          <cell r="H527">
            <v>300</v>
          </cell>
          <cell r="I527">
            <v>55362000000</v>
          </cell>
        </row>
        <row r="528">
          <cell r="A528" t="str">
            <v>Finland</v>
          </cell>
          <cell r="B528">
            <v>246</v>
          </cell>
          <cell r="C528">
            <v>203</v>
          </cell>
          <cell r="D528">
            <v>11</v>
          </cell>
          <cell r="E528" t="str">
            <v>OPERATING SURPLUS, GROSS</v>
          </cell>
          <cell r="F528">
            <v>12</v>
          </cell>
          <cell r="G528">
            <v>2001</v>
          </cell>
          <cell r="H528">
            <v>300</v>
          </cell>
          <cell r="I528">
            <v>56162000000</v>
          </cell>
        </row>
        <row r="529">
          <cell r="A529" t="str">
            <v>Finland</v>
          </cell>
          <cell r="B529">
            <v>246</v>
          </cell>
          <cell r="C529">
            <v>203</v>
          </cell>
          <cell r="D529">
            <v>11</v>
          </cell>
          <cell r="E529" t="str">
            <v>OPERATING SURPLUS, GROSS</v>
          </cell>
          <cell r="F529">
            <v>12</v>
          </cell>
          <cell r="G529">
            <v>2002</v>
          </cell>
          <cell r="H529">
            <v>300</v>
          </cell>
          <cell r="I529">
            <v>57292000000</v>
          </cell>
        </row>
        <row r="530">
          <cell r="A530" t="str">
            <v>Finland</v>
          </cell>
          <cell r="B530">
            <v>246</v>
          </cell>
          <cell r="C530">
            <v>203</v>
          </cell>
          <cell r="D530">
            <v>22</v>
          </cell>
          <cell r="E530" t="str">
            <v>Taxes on production and imports, less Subsidies</v>
          </cell>
          <cell r="F530">
            <v>12</v>
          </cell>
          <cell r="G530">
            <v>1970</v>
          </cell>
          <cell r="H530">
            <v>20</v>
          </cell>
          <cell r="I530">
            <v>76000000</v>
          </cell>
        </row>
        <row r="531">
          <cell r="A531" t="str">
            <v>Finland</v>
          </cell>
          <cell r="B531">
            <v>246</v>
          </cell>
          <cell r="C531">
            <v>203</v>
          </cell>
          <cell r="D531">
            <v>22</v>
          </cell>
          <cell r="E531" t="str">
            <v>Taxes on production and imports, less Subsidies</v>
          </cell>
          <cell r="F531">
            <v>12</v>
          </cell>
          <cell r="G531">
            <v>1971</v>
          </cell>
          <cell r="H531">
            <v>20</v>
          </cell>
          <cell r="I531">
            <v>83000000</v>
          </cell>
        </row>
        <row r="532">
          <cell r="A532" t="str">
            <v>Finland</v>
          </cell>
          <cell r="B532">
            <v>246</v>
          </cell>
          <cell r="C532">
            <v>203</v>
          </cell>
          <cell r="D532">
            <v>22</v>
          </cell>
          <cell r="E532" t="str">
            <v>Taxes on production and imports, less Subsidies</v>
          </cell>
          <cell r="F532">
            <v>12</v>
          </cell>
          <cell r="G532">
            <v>1972</v>
          </cell>
          <cell r="H532">
            <v>20</v>
          </cell>
          <cell r="I532">
            <v>80000000</v>
          </cell>
        </row>
        <row r="533">
          <cell r="A533" t="str">
            <v>Finland</v>
          </cell>
          <cell r="B533">
            <v>246</v>
          </cell>
          <cell r="C533">
            <v>203</v>
          </cell>
          <cell r="D533">
            <v>22</v>
          </cell>
          <cell r="E533" t="str">
            <v>Taxes on production and imports, less Subsidies</v>
          </cell>
          <cell r="F533">
            <v>12</v>
          </cell>
          <cell r="G533">
            <v>1973</v>
          </cell>
          <cell r="H533">
            <v>20</v>
          </cell>
          <cell r="I533">
            <v>155000000</v>
          </cell>
        </row>
        <row r="534">
          <cell r="A534" t="str">
            <v>Finland</v>
          </cell>
          <cell r="B534">
            <v>246</v>
          </cell>
          <cell r="C534">
            <v>203</v>
          </cell>
          <cell r="D534">
            <v>22</v>
          </cell>
          <cell r="E534" t="str">
            <v>Taxes on production and imports, less Subsidies</v>
          </cell>
          <cell r="F534">
            <v>12</v>
          </cell>
          <cell r="G534">
            <v>1974</v>
          </cell>
          <cell r="H534">
            <v>20</v>
          </cell>
          <cell r="I534">
            <v>73000000</v>
          </cell>
        </row>
        <row r="535">
          <cell r="A535" t="str">
            <v>Finland</v>
          </cell>
          <cell r="B535">
            <v>246</v>
          </cell>
          <cell r="C535">
            <v>203</v>
          </cell>
          <cell r="D535">
            <v>22</v>
          </cell>
          <cell r="E535" t="str">
            <v>Taxes on production and imports, less Subsidies</v>
          </cell>
          <cell r="F535">
            <v>12</v>
          </cell>
          <cell r="G535">
            <v>1975</v>
          </cell>
          <cell r="H535">
            <v>20</v>
          </cell>
          <cell r="I535">
            <v>-58000000</v>
          </cell>
        </row>
        <row r="536">
          <cell r="A536" t="str">
            <v>Finland</v>
          </cell>
          <cell r="B536">
            <v>246</v>
          </cell>
          <cell r="C536">
            <v>203</v>
          </cell>
          <cell r="D536">
            <v>22</v>
          </cell>
          <cell r="E536" t="str">
            <v>Taxes on production and imports, less Subsidies</v>
          </cell>
          <cell r="F536">
            <v>12</v>
          </cell>
          <cell r="G536">
            <v>1975</v>
          </cell>
          <cell r="H536">
            <v>300</v>
          </cell>
          <cell r="I536">
            <v>-77000000</v>
          </cell>
        </row>
        <row r="537">
          <cell r="A537" t="str">
            <v>Finland</v>
          </cell>
          <cell r="B537">
            <v>246</v>
          </cell>
          <cell r="C537">
            <v>203</v>
          </cell>
          <cell r="D537">
            <v>22</v>
          </cell>
          <cell r="E537" t="str">
            <v>Taxes on production and imports, less Subsidies</v>
          </cell>
          <cell r="F537">
            <v>12</v>
          </cell>
          <cell r="G537">
            <v>1976</v>
          </cell>
          <cell r="H537">
            <v>300</v>
          </cell>
          <cell r="I537">
            <v>-99000000</v>
          </cell>
        </row>
        <row r="538">
          <cell r="A538" t="str">
            <v>Finland</v>
          </cell>
          <cell r="B538">
            <v>246</v>
          </cell>
          <cell r="C538">
            <v>203</v>
          </cell>
          <cell r="D538">
            <v>22</v>
          </cell>
          <cell r="E538" t="str">
            <v>Taxes on production and imports, less Subsidies</v>
          </cell>
          <cell r="F538">
            <v>12</v>
          </cell>
          <cell r="G538">
            <v>1977</v>
          </cell>
          <cell r="H538">
            <v>300</v>
          </cell>
          <cell r="I538">
            <v>-119000000</v>
          </cell>
        </row>
        <row r="539">
          <cell r="A539" t="str">
            <v>Finland</v>
          </cell>
          <cell r="B539">
            <v>246</v>
          </cell>
          <cell r="C539">
            <v>203</v>
          </cell>
          <cell r="D539">
            <v>22</v>
          </cell>
          <cell r="E539" t="str">
            <v>Taxes on production and imports, less Subsidies</v>
          </cell>
          <cell r="F539">
            <v>12</v>
          </cell>
          <cell r="G539">
            <v>1978</v>
          </cell>
          <cell r="H539">
            <v>300</v>
          </cell>
          <cell r="I539">
            <v>-142000000</v>
          </cell>
        </row>
        <row r="540">
          <cell r="A540" t="str">
            <v>Finland</v>
          </cell>
          <cell r="B540">
            <v>246</v>
          </cell>
          <cell r="C540">
            <v>203</v>
          </cell>
          <cell r="D540">
            <v>22</v>
          </cell>
          <cell r="E540" t="str">
            <v>Taxes on production and imports, less Subsidies</v>
          </cell>
          <cell r="F540">
            <v>12</v>
          </cell>
          <cell r="G540">
            <v>1979</v>
          </cell>
          <cell r="H540">
            <v>300</v>
          </cell>
          <cell r="I540">
            <v>-189000000</v>
          </cell>
        </row>
        <row r="541">
          <cell r="A541" t="str">
            <v>Finland</v>
          </cell>
          <cell r="B541">
            <v>246</v>
          </cell>
          <cell r="C541">
            <v>203</v>
          </cell>
          <cell r="D541">
            <v>22</v>
          </cell>
          <cell r="E541" t="str">
            <v>Taxes on production and imports, less Subsidies</v>
          </cell>
          <cell r="F541">
            <v>12</v>
          </cell>
          <cell r="G541">
            <v>1980</v>
          </cell>
          <cell r="H541">
            <v>300</v>
          </cell>
          <cell r="I541">
            <v>-246000000</v>
          </cell>
        </row>
        <row r="542">
          <cell r="A542" t="str">
            <v>Finland</v>
          </cell>
          <cell r="B542">
            <v>246</v>
          </cell>
          <cell r="C542">
            <v>203</v>
          </cell>
          <cell r="D542">
            <v>22</v>
          </cell>
          <cell r="E542" t="str">
            <v>Taxes on production and imports, less Subsidies</v>
          </cell>
          <cell r="F542">
            <v>12</v>
          </cell>
          <cell r="G542">
            <v>1981</v>
          </cell>
          <cell r="H542">
            <v>300</v>
          </cell>
          <cell r="I542">
            <v>-293000000</v>
          </cell>
        </row>
        <row r="543">
          <cell r="A543" t="str">
            <v>Finland</v>
          </cell>
          <cell r="B543">
            <v>246</v>
          </cell>
          <cell r="C543">
            <v>203</v>
          </cell>
          <cell r="D543">
            <v>22</v>
          </cell>
          <cell r="E543" t="str">
            <v>Taxes on production and imports, less Subsidies</v>
          </cell>
          <cell r="F543">
            <v>12</v>
          </cell>
          <cell r="G543">
            <v>1982</v>
          </cell>
          <cell r="H543">
            <v>300</v>
          </cell>
          <cell r="I543">
            <v>-351000000</v>
          </cell>
        </row>
        <row r="544">
          <cell r="A544" t="str">
            <v>Finland</v>
          </cell>
          <cell r="B544">
            <v>246</v>
          </cell>
          <cell r="C544">
            <v>203</v>
          </cell>
          <cell r="D544">
            <v>22</v>
          </cell>
          <cell r="E544" t="str">
            <v>Taxes on production and imports, less Subsidies</v>
          </cell>
          <cell r="F544">
            <v>12</v>
          </cell>
          <cell r="G544">
            <v>1983</v>
          </cell>
          <cell r="H544">
            <v>300</v>
          </cell>
          <cell r="I544">
            <v>-371000000</v>
          </cell>
        </row>
        <row r="545">
          <cell r="A545" t="str">
            <v>Finland</v>
          </cell>
          <cell r="B545">
            <v>246</v>
          </cell>
          <cell r="C545">
            <v>203</v>
          </cell>
          <cell r="D545">
            <v>22</v>
          </cell>
          <cell r="E545" t="str">
            <v>Taxes on production and imports, less Subsidies</v>
          </cell>
          <cell r="F545">
            <v>12</v>
          </cell>
          <cell r="G545">
            <v>1984</v>
          </cell>
          <cell r="H545">
            <v>300</v>
          </cell>
          <cell r="I545">
            <v>-407000000</v>
          </cell>
        </row>
        <row r="546">
          <cell r="A546" t="str">
            <v>Finland</v>
          </cell>
          <cell r="B546">
            <v>246</v>
          </cell>
          <cell r="C546">
            <v>203</v>
          </cell>
          <cell r="D546">
            <v>22</v>
          </cell>
          <cell r="E546" t="str">
            <v>Taxes on production and imports, less Subsidies</v>
          </cell>
          <cell r="F546">
            <v>12</v>
          </cell>
          <cell r="G546">
            <v>1985</v>
          </cell>
          <cell r="H546">
            <v>300</v>
          </cell>
          <cell r="I546">
            <v>-488000000</v>
          </cell>
        </row>
        <row r="547">
          <cell r="A547" t="str">
            <v>Finland</v>
          </cell>
          <cell r="B547">
            <v>246</v>
          </cell>
          <cell r="C547">
            <v>203</v>
          </cell>
          <cell r="D547">
            <v>22</v>
          </cell>
          <cell r="E547" t="str">
            <v>Taxes on production and imports, less Subsidies</v>
          </cell>
          <cell r="F547">
            <v>12</v>
          </cell>
          <cell r="G547">
            <v>1986</v>
          </cell>
          <cell r="H547">
            <v>300</v>
          </cell>
          <cell r="I547">
            <v>-513000000</v>
          </cell>
        </row>
        <row r="548">
          <cell r="A548" t="str">
            <v>Finland</v>
          </cell>
          <cell r="B548">
            <v>246</v>
          </cell>
          <cell r="C548">
            <v>203</v>
          </cell>
          <cell r="D548">
            <v>22</v>
          </cell>
          <cell r="E548" t="str">
            <v>Taxes on production and imports, less Subsidies</v>
          </cell>
          <cell r="F548">
            <v>12</v>
          </cell>
          <cell r="G548">
            <v>1987</v>
          </cell>
          <cell r="H548">
            <v>300</v>
          </cell>
          <cell r="I548">
            <v>-584000000</v>
          </cell>
        </row>
        <row r="549">
          <cell r="A549" t="str">
            <v>Finland</v>
          </cell>
          <cell r="B549">
            <v>246</v>
          </cell>
          <cell r="C549">
            <v>203</v>
          </cell>
          <cell r="D549">
            <v>22</v>
          </cell>
          <cell r="E549" t="str">
            <v>Taxes on production and imports, less Subsidies</v>
          </cell>
          <cell r="F549">
            <v>12</v>
          </cell>
          <cell r="G549">
            <v>1988</v>
          </cell>
          <cell r="H549">
            <v>300</v>
          </cell>
          <cell r="I549">
            <v>-998000000</v>
          </cell>
        </row>
        <row r="550">
          <cell r="A550" t="str">
            <v>Finland</v>
          </cell>
          <cell r="B550">
            <v>246</v>
          </cell>
          <cell r="C550">
            <v>203</v>
          </cell>
          <cell r="D550">
            <v>22</v>
          </cell>
          <cell r="E550" t="str">
            <v>Taxes on production and imports, less Subsidies</v>
          </cell>
          <cell r="F550">
            <v>12</v>
          </cell>
          <cell r="G550">
            <v>1989</v>
          </cell>
          <cell r="H550">
            <v>300</v>
          </cell>
          <cell r="I550">
            <v>-948000000</v>
          </cell>
        </row>
        <row r="551">
          <cell r="A551" t="str">
            <v>Finland</v>
          </cell>
          <cell r="B551">
            <v>246</v>
          </cell>
          <cell r="C551">
            <v>203</v>
          </cell>
          <cell r="D551">
            <v>22</v>
          </cell>
          <cell r="E551" t="str">
            <v>Taxes on production and imports, less Subsidies</v>
          </cell>
          <cell r="F551">
            <v>12</v>
          </cell>
          <cell r="G551">
            <v>1990</v>
          </cell>
          <cell r="H551">
            <v>300</v>
          </cell>
          <cell r="I551">
            <v>-1016000000</v>
          </cell>
        </row>
        <row r="552">
          <cell r="A552" t="str">
            <v>Finland</v>
          </cell>
          <cell r="B552">
            <v>246</v>
          </cell>
          <cell r="C552">
            <v>203</v>
          </cell>
          <cell r="D552">
            <v>22</v>
          </cell>
          <cell r="E552" t="str">
            <v>Taxes on production and imports, less Subsidies</v>
          </cell>
          <cell r="F552">
            <v>12</v>
          </cell>
          <cell r="G552">
            <v>1991</v>
          </cell>
          <cell r="H552">
            <v>300</v>
          </cell>
          <cell r="I552">
            <v>-1236000000</v>
          </cell>
        </row>
        <row r="553">
          <cell r="A553" t="str">
            <v>Finland</v>
          </cell>
          <cell r="B553">
            <v>246</v>
          </cell>
          <cell r="C553">
            <v>203</v>
          </cell>
          <cell r="D553">
            <v>22</v>
          </cell>
          <cell r="E553" t="str">
            <v>Taxes on production and imports, less Subsidies</v>
          </cell>
          <cell r="F553">
            <v>12</v>
          </cell>
          <cell r="G553">
            <v>1992</v>
          </cell>
          <cell r="H553">
            <v>300</v>
          </cell>
          <cell r="I553">
            <v>-1393000000</v>
          </cell>
        </row>
        <row r="554">
          <cell r="A554" t="str">
            <v>Finland</v>
          </cell>
          <cell r="B554">
            <v>246</v>
          </cell>
          <cell r="C554">
            <v>203</v>
          </cell>
          <cell r="D554">
            <v>22</v>
          </cell>
          <cell r="E554" t="str">
            <v>Taxes on production and imports, less Subsidies</v>
          </cell>
          <cell r="F554">
            <v>12</v>
          </cell>
          <cell r="G554">
            <v>1993</v>
          </cell>
          <cell r="H554">
            <v>300</v>
          </cell>
          <cell r="I554">
            <v>-1328000000</v>
          </cell>
        </row>
        <row r="555">
          <cell r="A555" t="str">
            <v>Finland</v>
          </cell>
          <cell r="B555">
            <v>246</v>
          </cell>
          <cell r="C555">
            <v>203</v>
          </cell>
          <cell r="D555">
            <v>22</v>
          </cell>
          <cell r="E555" t="str">
            <v>Taxes on production and imports, less Subsidies</v>
          </cell>
          <cell r="F555">
            <v>12</v>
          </cell>
          <cell r="G555">
            <v>1994</v>
          </cell>
          <cell r="H555">
            <v>300</v>
          </cell>
          <cell r="I555">
            <v>-1157000000</v>
          </cell>
        </row>
        <row r="556">
          <cell r="A556" t="str">
            <v>Finland</v>
          </cell>
          <cell r="B556">
            <v>246</v>
          </cell>
          <cell r="C556">
            <v>203</v>
          </cell>
          <cell r="D556">
            <v>22</v>
          </cell>
          <cell r="E556" t="str">
            <v>Taxes on production and imports, less Subsidies</v>
          </cell>
          <cell r="F556">
            <v>12</v>
          </cell>
          <cell r="G556">
            <v>1995</v>
          </cell>
          <cell r="H556">
            <v>300</v>
          </cell>
          <cell r="I556">
            <v>-1776000000</v>
          </cell>
        </row>
        <row r="557">
          <cell r="A557" t="str">
            <v>Finland</v>
          </cell>
          <cell r="B557">
            <v>246</v>
          </cell>
          <cell r="C557">
            <v>203</v>
          </cell>
          <cell r="D557">
            <v>22</v>
          </cell>
          <cell r="E557" t="str">
            <v>Taxes on production and imports, less Subsidies</v>
          </cell>
          <cell r="F557">
            <v>12</v>
          </cell>
          <cell r="G557">
            <v>1996</v>
          </cell>
          <cell r="H557">
            <v>300</v>
          </cell>
          <cell r="I557">
            <v>-1342000000</v>
          </cell>
        </row>
        <row r="558">
          <cell r="A558" t="str">
            <v>Finland</v>
          </cell>
          <cell r="B558">
            <v>246</v>
          </cell>
          <cell r="C558">
            <v>203</v>
          </cell>
          <cell r="D558">
            <v>22</v>
          </cell>
          <cell r="E558" t="str">
            <v>Taxes on production and imports, less Subsidies</v>
          </cell>
          <cell r="F558">
            <v>12</v>
          </cell>
          <cell r="G558">
            <v>1997</v>
          </cell>
          <cell r="H558">
            <v>300</v>
          </cell>
          <cell r="I558">
            <v>-1315000000</v>
          </cell>
        </row>
        <row r="559">
          <cell r="A559" t="str">
            <v>Finland</v>
          </cell>
          <cell r="B559">
            <v>246</v>
          </cell>
          <cell r="C559">
            <v>203</v>
          </cell>
          <cell r="D559">
            <v>22</v>
          </cell>
          <cell r="E559" t="str">
            <v>Taxes on production and imports, less Subsidies</v>
          </cell>
          <cell r="F559">
            <v>12</v>
          </cell>
          <cell r="G559">
            <v>1998</v>
          </cell>
          <cell r="H559">
            <v>300</v>
          </cell>
          <cell r="I559">
            <v>-1364000000</v>
          </cell>
        </row>
        <row r="560">
          <cell r="A560" t="str">
            <v>Finland</v>
          </cell>
          <cell r="B560">
            <v>246</v>
          </cell>
          <cell r="C560">
            <v>203</v>
          </cell>
          <cell r="D560">
            <v>22</v>
          </cell>
          <cell r="E560" t="str">
            <v>Taxes on production and imports, less Subsidies</v>
          </cell>
          <cell r="F560">
            <v>12</v>
          </cell>
          <cell r="G560">
            <v>1999</v>
          </cell>
          <cell r="H560">
            <v>300</v>
          </cell>
          <cell r="I560">
            <v>-1390000000</v>
          </cell>
        </row>
        <row r="561">
          <cell r="A561" t="str">
            <v>Finland</v>
          </cell>
          <cell r="B561">
            <v>246</v>
          </cell>
          <cell r="C561">
            <v>203</v>
          </cell>
          <cell r="D561">
            <v>22</v>
          </cell>
          <cell r="E561" t="str">
            <v>Taxes on production and imports, less Subsidies</v>
          </cell>
          <cell r="F561">
            <v>12</v>
          </cell>
          <cell r="G561">
            <v>2000</v>
          </cell>
          <cell r="H561">
            <v>300</v>
          </cell>
          <cell r="I561">
            <v>-1501000000</v>
          </cell>
        </row>
        <row r="562">
          <cell r="A562" t="str">
            <v>Finland</v>
          </cell>
          <cell r="B562">
            <v>246</v>
          </cell>
          <cell r="C562">
            <v>203</v>
          </cell>
          <cell r="D562">
            <v>22</v>
          </cell>
          <cell r="E562" t="str">
            <v>Taxes on production and imports, less Subsidies</v>
          </cell>
          <cell r="F562">
            <v>12</v>
          </cell>
          <cell r="G562">
            <v>2001</v>
          </cell>
          <cell r="H562">
            <v>300</v>
          </cell>
          <cell r="I562">
            <v>-1459000000</v>
          </cell>
        </row>
        <row r="563">
          <cell r="A563" t="str">
            <v>Finland</v>
          </cell>
          <cell r="B563">
            <v>246</v>
          </cell>
          <cell r="C563">
            <v>203</v>
          </cell>
          <cell r="D563">
            <v>22</v>
          </cell>
          <cell r="E563" t="str">
            <v>Taxes on production and imports, less Subsidies</v>
          </cell>
          <cell r="F563">
            <v>12</v>
          </cell>
          <cell r="G563">
            <v>2002</v>
          </cell>
          <cell r="H563">
            <v>300</v>
          </cell>
          <cell r="I563">
            <v>-1436000000</v>
          </cell>
        </row>
        <row r="564">
          <cell r="A564" t="str">
            <v>Georgia</v>
          </cell>
          <cell r="B564">
            <v>268</v>
          </cell>
          <cell r="C564">
            <v>201</v>
          </cell>
          <cell r="D564">
            <v>13</v>
          </cell>
          <cell r="E564" t="str">
            <v>Less: Financial intermediation services indirectly measured (FISIM) (only to be deducted if FISIM is not distributed to uses)</v>
          </cell>
          <cell r="F564">
            <v>0</v>
          </cell>
          <cell r="G564">
            <v>1990</v>
          </cell>
          <cell r="H564">
            <v>100</v>
          </cell>
          <cell r="I564">
            <v>100000000</v>
          </cell>
        </row>
        <row r="565">
          <cell r="A565" t="str">
            <v>Georgia</v>
          </cell>
          <cell r="B565">
            <v>268</v>
          </cell>
          <cell r="C565">
            <v>201</v>
          </cell>
          <cell r="D565">
            <v>13</v>
          </cell>
          <cell r="E565" t="str">
            <v>Less: Financial intermediation services indirectly measured (FISIM) (only to be deducted if FISIM is not distributed to uses)</v>
          </cell>
          <cell r="F565">
            <v>0</v>
          </cell>
          <cell r="G565">
            <v>1991</v>
          </cell>
          <cell r="H565">
            <v>100</v>
          </cell>
          <cell r="I565">
            <v>100000000</v>
          </cell>
        </row>
        <row r="566">
          <cell r="A566" t="str">
            <v>Georgia</v>
          </cell>
          <cell r="B566">
            <v>268</v>
          </cell>
          <cell r="C566">
            <v>201</v>
          </cell>
          <cell r="D566">
            <v>13</v>
          </cell>
          <cell r="E566" t="str">
            <v>Less: Financial intermediation services indirectly measured (FISIM) (only to be deducted if FISIM is not distributed to uses)</v>
          </cell>
          <cell r="F566">
            <v>0</v>
          </cell>
          <cell r="G566">
            <v>1992</v>
          </cell>
          <cell r="H566">
            <v>100</v>
          </cell>
          <cell r="I566">
            <v>700000000</v>
          </cell>
        </row>
        <row r="567">
          <cell r="A567" t="str">
            <v>Georgia</v>
          </cell>
          <cell r="B567">
            <v>268</v>
          </cell>
          <cell r="C567">
            <v>201</v>
          </cell>
          <cell r="D567">
            <v>13</v>
          </cell>
          <cell r="E567" t="str">
            <v>Less: Financial intermediation services indirectly measured (FISIM) (only to be deducted if FISIM is not distributed to uses)</v>
          </cell>
          <cell r="F567">
            <v>0</v>
          </cell>
          <cell r="G567">
            <v>1993</v>
          </cell>
          <cell r="H567">
            <v>200</v>
          </cell>
          <cell r="I567">
            <v>143000000</v>
          </cell>
        </row>
        <row r="568">
          <cell r="A568" t="str">
            <v>Georgia</v>
          </cell>
          <cell r="B568">
            <v>268</v>
          </cell>
          <cell r="C568">
            <v>201</v>
          </cell>
          <cell r="D568">
            <v>13</v>
          </cell>
          <cell r="E568" t="str">
            <v>Less: Financial intermediation services indirectly measured (FISIM) (only to be deducted if FISIM is not distributed to uses)</v>
          </cell>
          <cell r="F568">
            <v>0</v>
          </cell>
          <cell r="G568">
            <v>1994</v>
          </cell>
          <cell r="H568">
            <v>200</v>
          </cell>
          <cell r="I568">
            <v>19531000000</v>
          </cell>
        </row>
        <row r="569">
          <cell r="A569" t="str">
            <v>Georgia</v>
          </cell>
          <cell r="B569">
            <v>268</v>
          </cell>
          <cell r="C569">
            <v>201</v>
          </cell>
          <cell r="D569">
            <v>13</v>
          </cell>
          <cell r="E569" t="str">
            <v>Less: Financial intermediation services indirectly measured (FISIM) (only to be deducted if FISIM is not distributed to uses)</v>
          </cell>
          <cell r="F569">
            <v>0</v>
          </cell>
          <cell r="G569">
            <v>1995</v>
          </cell>
          <cell r="H569">
            <v>300</v>
          </cell>
          <cell r="I569">
            <v>1900000</v>
          </cell>
        </row>
        <row r="570">
          <cell r="A570" t="str">
            <v>Georgia</v>
          </cell>
          <cell r="B570">
            <v>268</v>
          </cell>
          <cell r="C570">
            <v>201</v>
          </cell>
          <cell r="D570">
            <v>13</v>
          </cell>
          <cell r="E570" t="str">
            <v>Less: Financial intermediation services indirectly measured (FISIM) (only to be deducted if FISIM is not distributed to uses)</v>
          </cell>
          <cell r="F570">
            <v>0</v>
          </cell>
          <cell r="G570">
            <v>1996</v>
          </cell>
          <cell r="H570">
            <v>300</v>
          </cell>
          <cell r="I570">
            <v>16900000</v>
          </cell>
        </row>
        <row r="571">
          <cell r="A571" t="str">
            <v>Georgia</v>
          </cell>
          <cell r="B571">
            <v>268</v>
          </cell>
          <cell r="C571">
            <v>201</v>
          </cell>
          <cell r="D571">
            <v>13</v>
          </cell>
          <cell r="E571" t="str">
            <v>Less: Financial intermediation services indirectly measured (FISIM) (only to be deducted if FISIM is not distributed to uses)</v>
          </cell>
          <cell r="F571">
            <v>0</v>
          </cell>
          <cell r="G571">
            <v>1997</v>
          </cell>
          <cell r="H571">
            <v>300</v>
          </cell>
          <cell r="I571">
            <v>20300000</v>
          </cell>
        </row>
        <row r="572">
          <cell r="A572" t="str">
            <v>Georgia</v>
          </cell>
          <cell r="B572">
            <v>268</v>
          </cell>
          <cell r="C572">
            <v>201</v>
          </cell>
          <cell r="D572">
            <v>13</v>
          </cell>
          <cell r="E572" t="str">
            <v>Less: Financial intermediation services indirectly measured (FISIM) (only to be deducted if FISIM is not distributed to uses)</v>
          </cell>
          <cell r="F572">
            <v>0</v>
          </cell>
          <cell r="G572">
            <v>1998</v>
          </cell>
          <cell r="H572">
            <v>300</v>
          </cell>
          <cell r="I572">
            <v>42800000</v>
          </cell>
        </row>
        <row r="573">
          <cell r="A573" t="str">
            <v>Georgia</v>
          </cell>
          <cell r="B573">
            <v>268</v>
          </cell>
          <cell r="C573">
            <v>201</v>
          </cell>
          <cell r="D573">
            <v>13</v>
          </cell>
          <cell r="E573" t="str">
            <v>Less: Financial intermediation services indirectly measured (FISIM) (only to be deducted if FISIM is not distributed to uses)</v>
          </cell>
          <cell r="F573">
            <v>0</v>
          </cell>
          <cell r="G573">
            <v>1999</v>
          </cell>
          <cell r="H573">
            <v>300</v>
          </cell>
          <cell r="I573">
            <v>52600000</v>
          </cell>
        </row>
        <row r="574">
          <cell r="A574" t="str">
            <v>Georgia</v>
          </cell>
          <cell r="B574">
            <v>268</v>
          </cell>
          <cell r="C574">
            <v>201</v>
          </cell>
          <cell r="D574">
            <v>13</v>
          </cell>
          <cell r="E574" t="str">
            <v>Less: Financial intermediation services indirectly measured (FISIM) (only to be deducted if FISIM is not distributed to uses)</v>
          </cell>
          <cell r="F574">
            <v>0</v>
          </cell>
          <cell r="G574">
            <v>2000</v>
          </cell>
          <cell r="H574">
            <v>300</v>
          </cell>
          <cell r="I574">
            <v>55400000</v>
          </cell>
        </row>
        <row r="575">
          <cell r="A575" t="str">
            <v>Georgia</v>
          </cell>
          <cell r="B575">
            <v>268</v>
          </cell>
          <cell r="C575">
            <v>201</v>
          </cell>
          <cell r="D575">
            <v>13</v>
          </cell>
          <cell r="E575" t="str">
            <v>Less: Financial intermediation services indirectly measured (FISIM) (only to be deducted if FISIM is not distributed to uses)</v>
          </cell>
          <cell r="F575">
            <v>0</v>
          </cell>
          <cell r="G575">
            <v>2001</v>
          </cell>
          <cell r="H575">
            <v>300</v>
          </cell>
          <cell r="I575">
            <v>63000000</v>
          </cell>
        </row>
        <row r="576">
          <cell r="A576" t="str">
            <v>Georgia</v>
          </cell>
          <cell r="B576">
            <v>268</v>
          </cell>
          <cell r="C576">
            <v>201</v>
          </cell>
          <cell r="D576">
            <v>13</v>
          </cell>
          <cell r="E576" t="str">
            <v>Less: Financial intermediation services indirectly measured (FISIM) (only to be deducted if FISIM is not distributed to uses)</v>
          </cell>
          <cell r="F576">
            <v>0</v>
          </cell>
          <cell r="G576">
            <v>2002</v>
          </cell>
          <cell r="H576">
            <v>300</v>
          </cell>
          <cell r="I576">
            <v>72700000</v>
          </cell>
        </row>
        <row r="577">
          <cell r="A577" t="str">
            <v>Georgia</v>
          </cell>
          <cell r="B577">
            <v>268</v>
          </cell>
          <cell r="C577">
            <v>201</v>
          </cell>
          <cell r="D577">
            <v>13</v>
          </cell>
          <cell r="E577" t="str">
            <v>Less: Financial intermediation services indirectly measured (FISIM) (only to be deducted if FISIM is not distributed to uses)</v>
          </cell>
          <cell r="F577">
            <v>0</v>
          </cell>
          <cell r="G577">
            <v>2003</v>
          </cell>
          <cell r="H577">
            <v>300</v>
          </cell>
          <cell r="I577">
            <v>77800000</v>
          </cell>
        </row>
        <row r="578">
          <cell r="A578" t="str">
            <v>Georgia</v>
          </cell>
          <cell r="B578">
            <v>268</v>
          </cell>
          <cell r="C578">
            <v>201</v>
          </cell>
          <cell r="D578">
            <v>13</v>
          </cell>
          <cell r="E578" t="str">
            <v>Less: Financial intermediation services indirectly measured (FISIM) (only to be deducted if FISIM is not distributed to uses)</v>
          </cell>
          <cell r="F578">
            <v>0</v>
          </cell>
          <cell r="G578">
            <v>2004</v>
          </cell>
          <cell r="H578">
            <v>300</v>
          </cell>
          <cell r="I578">
            <v>75000000</v>
          </cell>
        </row>
        <row r="579">
          <cell r="A579" t="str">
            <v>Germany</v>
          </cell>
          <cell r="B579">
            <v>276</v>
          </cell>
          <cell r="C579">
            <v>201</v>
          </cell>
          <cell r="D579">
            <v>13</v>
          </cell>
          <cell r="E579" t="str">
            <v>Less: Financial intermediation services indirectly measured (FISIM) (only to be deducted if FISIM is not distributed to uses)</v>
          </cell>
          <cell r="F579">
            <v>0</v>
          </cell>
          <cell r="G579">
            <v>1970</v>
          </cell>
          <cell r="H579">
            <v>200</v>
          </cell>
          <cell r="I579">
            <v>8869123293.0932102</v>
          </cell>
        </row>
        <row r="580">
          <cell r="A580" t="str">
            <v>Germany</v>
          </cell>
          <cell r="B580">
            <v>276</v>
          </cell>
          <cell r="C580">
            <v>201</v>
          </cell>
          <cell r="D580">
            <v>13</v>
          </cell>
          <cell r="E580" t="str">
            <v>Less: Financial intermediation services indirectly measured (FISIM) (only to be deducted if FISIM is not distributed to uses)</v>
          </cell>
          <cell r="F580">
            <v>0</v>
          </cell>
          <cell r="G580">
            <v>1971</v>
          </cell>
          <cell r="H580">
            <v>200</v>
          </cell>
          <cell r="I580">
            <v>10341895903.4237</v>
          </cell>
        </row>
        <row r="581">
          <cell r="A581" t="str">
            <v>Germany</v>
          </cell>
          <cell r="B581">
            <v>276</v>
          </cell>
          <cell r="C581">
            <v>201</v>
          </cell>
          <cell r="D581">
            <v>13</v>
          </cell>
          <cell r="E581" t="str">
            <v>Less: Financial intermediation services indirectly measured (FISIM) (only to be deducted if FISIM is not distributed to uses)</v>
          </cell>
          <cell r="F581">
            <v>0</v>
          </cell>
          <cell r="G581">
            <v>1972</v>
          </cell>
          <cell r="H581">
            <v>200</v>
          </cell>
          <cell r="I581">
            <v>12031252721.155701</v>
          </cell>
        </row>
        <row r="582">
          <cell r="A582" t="str">
            <v>Germany</v>
          </cell>
          <cell r="B582">
            <v>276</v>
          </cell>
          <cell r="C582">
            <v>201</v>
          </cell>
          <cell r="D582">
            <v>13</v>
          </cell>
          <cell r="E582" t="str">
            <v>Less: Financial intermediation services indirectly measured (FISIM) (only to be deducted if FISIM is not distributed to uses)</v>
          </cell>
          <cell r="F582">
            <v>0</v>
          </cell>
          <cell r="G582">
            <v>1973</v>
          </cell>
          <cell r="H582">
            <v>200</v>
          </cell>
          <cell r="I582">
            <v>13287441124.0847</v>
          </cell>
        </row>
        <row r="583">
          <cell r="A583" t="str">
            <v>Germany</v>
          </cell>
          <cell r="B583">
            <v>276</v>
          </cell>
          <cell r="C583">
            <v>201</v>
          </cell>
          <cell r="D583">
            <v>13</v>
          </cell>
          <cell r="E583" t="str">
            <v>Less: Financial intermediation services indirectly measured (FISIM) (only to be deducted if FISIM is not distributed to uses)</v>
          </cell>
          <cell r="F583">
            <v>0</v>
          </cell>
          <cell r="G583">
            <v>1974</v>
          </cell>
          <cell r="H583">
            <v>200</v>
          </cell>
          <cell r="I583">
            <v>16568691866.2181</v>
          </cell>
        </row>
        <row r="584">
          <cell r="A584" t="str">
            <v>Germany</v>
          </cell>
          <cell r="B584">
            <v>276</v>
          </cell>
          <cell r="C584">
            <v>201</v>
          </cell>
          <cell r="D584">
            <v>13</v>
          </cell>
          <cell r="E584" t="str">
            <v>Less: Financial intermediation services indirectly measured (FISIM) (only to be deducted if FISIM is not distributed to uses)</v>
          </cell>
          <cell r="F584">
            <v>0</v>
          </cell>
          <cell r="G584">
            <v>1975</v>
          </cell>
          <cell r="H584">
            <v>200</v>
          </cell>
          <cell r="I584">
            <v>18377169998.021</v>
          </cell>
        </row>
        <row r="585">
          <cell r="A585" t="str">
            <v>Germany</v>
          </cell>
          <cell r="B585">
            <v>276</v>
          </cell>
          <cell r="C585">
            <v>201</v>
          </cell>
          <cell r="D585">
            <v>13</v>
          </cell>
          <cell r="E585" t="str">
            <v>Less: Financial intermediation services indirectly measured (FISIM) (only to be deducted if FISIM is not distributed to uses)</v>
          </cell>
          <cell r="F585">
            <v>0</v>
          </cell>
          <cell r="G585">
            <v>1976</v>
          </cell>
          <cell r="H585">
            <v>200</v>
          </cell>
          <cell r="I585">
            <v>19416774193.548401</v>
          </cell>
        </row>
        <row r="586">
          <cell r="A586" t="str">
            <v>Germany</v>
          </cell>
          <cell r="B586">
            <v>276</v>
          </cell>
          <cell r="C586">
            <v>201</v>
          </cell>
          <cell r="D586">
            <v>13</v>
          </cell>
          <cell r="E586" t="str">
            <v>Less: Financial intermediation services indirectly measured (FISIM) (only to be deducted if FISIM is not distributed to uses)</v>
          </cell>
          <cell r="F586">
            <v>0</v>
          </cell>
          <cell r="G586">
            <v>1977</v>
          </cell>
          <cell r="H586">
            <v>200</v>
          </cell>
          <cell r="I586">
            <v>20824571541.658401</v>
          </cell>
        </row>
        <row r="587">
          <cell r="A587" t="str">
            <v>Germany</v>
          </cell>
          <cell r="B587">
            <v>276</v>
          </cell>
          <cell r="C587">
            <v>201</v>
          </cell>
          <cell r="D587">
            <v>13</v>
          </cell>
          <cell r="E587" t="str">
            <v>Less: Financial intermediation services indirectly measured (FISIM) (only to be deducted if FISIM is not distributed to uses)</v>
          </cell>
          <cell r="F587">
            <v>0</v>
          </cell>
          <cell r="G587">
            <v>1978</v>
          </cell>
          <cell r="H587">
            <v>200</v>
          </cell>
          <cell r="I587">
            <v>22719683356.421902</v>
          </cell>
        </row>
        <row r="588">
          <cell r="A588" t="str">
            <v>Germany</v>
          </cell>
          <cell r="B588">
            <v>276</v>
          </cell>
          <cell r="C588">
            <v>201</v>
          </cell>
          <cell r="D588">
            <v>13</v>
          </cell>
          <cell r="E588" t="str">
            <v>Less: Financial intermediation services indirectly measured (FISIM) (only to be deducted if FISIM is not distributed to uses)</v>
          </cell>
          <cell r="F588">
            <v>0</v>
          </cell>
          <cell r="G588">
            <v>1979</v>
          </cell>
          <cell r="H588">
            <v>200</v>
          </cell>
          <cell r="I588">
            <v>24365723332.673698</v>
          </cell>
        </row>
        <row r="589">
          <cell r="A589" t="str">
            <v>Germany</v>
          </cell>
          <cell r="B589">
            <v>276</v>
          </cell>
          <cell r="C589">
            <v>201</v>
          </cell>
          <cell r="D589">
            <v>13</v>
          </cell>
          <cell r="E589" t="str">
            <v>Less: Financial intermediation services indirectly measured (FISIM) (only to be deducted if FISIM is not distributed to uses)</v>
          </cell>
          <cell r="F589">
            <v>0</v>
          </cell>
          <cell r="G589">
            <v>1980</v>
          </cell>
          <cell r="H589">
            <v>200</v>
          </cell>
          <cell r="I589">
            <v>25784349891.153801</v>
          </cell>
        </row>
        <row r="590">
          <cell r="A590" t="str">
            <v>Germany</v>
          </cell>
          <cell r="B590">
            <v>276</v>
          </cell>
          <cell r="C590">
            <v>201</v>
          </cell>
          <cell r="D590">
            <v>13</v>
          </cell>
          <cell r="E590" t="str">
            <v>Less: Financial intermediation services indirectly measured (FISIM) (only to be deducted if FISIM is not distributed to uses)</v>
          </cell>
          <cell r="F590">
            <v>0</v>
          </cell>
          <cell r="G590">
            <v>1981</v>
          </cell>
          <cell r="H590">
            <v>200</v>
          </cell>
          <cell r="I590">
            <v>30300130615.476002</v>
          </cell>
        </row>
        <row r="591">
          <cell r="A591" t="str">
            <v>Germany</v>
          </cell>
          <cell r="B591">
            <v>276</v>
          </cell>
          <cell r="C591">
            <v>201</v>
          </cell>
          <cell r="D591">
            <v>13</v>
          </cell>
          <cell r="E591" t="str">
            <v>Less: Financial intermediation services indirectly measured (FISIM) (only to be deducted if FISIM is not distributed to uses)</v>
          </cell>
          <cell r="F591">
            <v>0</v>
          </cell>
          <cell r="G591">
            <v>1982</v>
          </cell>
          <cell r="H591">
            <v>200</v>
          </cell>
          <cell r="I591">
            <v>35747223431.624802</v>
          </cell>
        </row>
        <row r="592">
          <cell r="A592" t="str">
            <v>Germany</v>
          </cell>
          <cell r="B592">
            <v>276</v>
          </cell>
          <cell r="C592">
            <v>201</v>
          </cell>
          <cell r="D592">
            <v>13</v>
          </cell>
          <cell r="E592" t="str">
            <v>Less: Financial intermediation services indirectly measured (FISIM) (only to be deducted if FISIM is not distributed to uses)</v>
          </cell>
          <cell r="F592">
            <v>0</v>
          </cell>
          <cell r="G592">
            <v>1983</v>
          </cell>
          <cell r="H592">
            <v>200</v>
          </cell>
          <cell r="I592">
            <v>40252174945.576897</v>
          </cell>
        </row>
        <row r="593">
          <cell r="A593" t="str">
            <v>Germany</v>
          </cell>
          <cell r="B593">
            <v>276</v>
          </cell>
          <cell r="C593">
            <v>201</v>
          </cell>
          <cell r="D593">
            <v>13</v>
          </cell>
          <cell r="E593" t="str">
            <v>Less: Financial intermediation services indirectly measured (FISIM) (only to be deducted if FISIM is not distributed to uses)</v>
          </cell>
          <cell r="F593">
            <v>0</v>
          </cell>
          <cell r="G593">
            <v>1984</v>
          </cell>
          <cell r="H593">
            <v>200</v>
          </cell>
          <cell r="I593">
            <v>41367583613.694801</v>
          </cell>
        </row>
        <row r="594">
          <cell r="A594" t="str">
            <v>Germany</v>
          </cell>
          <cell r="B594">
            <v>276</v>
          </cell>
          <cell r="C594">
            <v>201</v>
          </cell>
          <cell r="D594">
            <v>13</v>
          </cell>
          <cell r="E594" t="str">
            <v>Less: Financial intermediation services indirectly measured (FISIM) (only to be deducted if FISIM is not distributed to uses)</v>
          </cell>
          <cell r="F594">
            <v>0</v>
          </cell>
          <cell r="G594">
            <v>1985</v>
          </cell>
          <cell r="H594">
            <v>200</v>
          </cell>
          <cell r="I594">
            <v>41345925192.954697</v>
          </cell>
        </row>
        <row r="595">
          <cell r="A595" t="str">
            <v>Germany</v>
          </cell>
          <cell r="B595">
            <v>276</v>
          </cell>
          <cell r="C595">
            <v>201</v>
          </cell>
          <cell r="D595">
            <v>13</v>
          </cell>
          <cell r="E595" t="str">
            <v>Less: Financial intermediation services indirectly measured (FISIM) (only to be deducted if FISIM is not distributed to uses)</v>
          </cell>
          <cell r="F595">
            <v>0</v>
          </cell>
          <cell r="G595">
            <v>1986</v>
          </cell>
          <cell r="H595">
            <v>200</v>
          </cell>
          <cell r="I595">
            <v>41172657827.033401</v>
          </cell>
        </row>
        <row r="596">
          <cell r="A596" t="str">
            <v>Germany</v>
          </cell>
          <cell r="B596">
            <v>276</v>
          </cell>
          <cell r="C596">
            <v>201</v>
          </cell>
          <cell r="D596">
            <v>13</v>
          </cell>
          <cell r="E596" t="str">
            <v>Less: Financial intermediation services indirectly measured (FISIM) (only to be deducted if FISIM is not distributed to uses)</v>
          </cell>
          <cell r="F596">
            <v>0</v>
          </cell>
          <cell r="G596">
            <v>1987</v>
          </cell>
          <cell r="H596">
            <v>200</v>
          </cell>
          <cell r="I596">
            <v>40587880467.049301</v>
          </cell>
        </row>
        <row r="597">
          <cell r="A597" t="str">
            <v>Germany</v>
          </cell>
          <cell r="B597">
            <v>276</v>
          </cell>
          <cell r="C597">
            <v>201</v>
          </cell>
          <cell r="D597">
            <v>13</v>
          </cell>
          <cell r="E597" t="str">
            <v>Less: Financial intermediation services indirectly measured (FISIM) (only to be deducted if FISIM is not distributed to uses)</v>
          </cell>
          <cell r="F597">
            <v>0</v>
          </cell>
          <cell r="G597">
            <v>1988</v>
          </cell>
          <cell r="H597">
            <v>200</v>
          </cell>
          <cell r="I597">
            <v>41898214921.828598</v>
          </cell>
        </row>
        <row r="598">
          <cell r="A598" t="str">
            <v>Germany</v>
          </cell>
          <cell r="B598">
            <v>276</v>
          </cell>
          <cell r="C598">
            <v>201</v>
          </cell>
          <cell r="D598">
            <v>13</v>
          </cell>
          <cell r="E598" t="str">
            <v>Less: Financial intermediation services indirectly measured (FISIM) (only to be deducted if FISIM is not distributed to uses)</v>
          </cell>
          <cell r="F598">
            <v>0</v>
          </cell>
          <cell r="G598">
            <v>1989</v>
          </cell>
          <cell r="H598">
            <v>200</v>
          </cell>
          <cell r="I598">
            <v>43100257272.907204</v>
          </cell>
        </row>
        <row r="599">
          <cell r="A599" t="str">
            <v>Germany</v>
          </cell>
          <cell r="B599">
            <v>276</v>
          </cell>
          <cell r="C599">
            <v>201</v>
          </cell>
          <cell r="D599">
            <v>13</v>
          </cell>
          <cell r="E599" t="str">
            <v>Less: Financial intermediation services indirectly measured (FISIM) (only to be deducted if FISIM is not distributed to uses)</v>
          </cell>
          <cell r="F599">
            <v>0</v>
          </cell>
          <cell r="G599">
            <v>1990</v>
          </cell>
          <cell r="H599">
            <v>200</v>
          </cell>
          <cell r="I599">
            <v>46208240649.119301</v>
          </cell>
        </row>
        <row r="600">
          <cell r="A600" t="str">
            <v>Germany</v>
          </cell>
          <cell r="B600">
            <v>276</v>
          </cell>
          <cell r="C600">
            <v>201</v>
          </cell>
          <cell r="D600">
            <v>13</v>
          </cell>
          <cell r="E600" t="str">
            <v>Less: Financial intermediation services indirectly measured (FISIM) (only to be deducted if FISIM is not distributed to uses)</v>
          </cell>
          <cell r="F600">
            <v>0</v>
          </cell>
          <cell r="G600">
            <v>1991</v>
          </cell>
          <cell r="H600">
            <v>200</v>
          </cell>
          <cell r="I600">
            <v>54720000000</v>
          </cell>
        </row>
        <row r="601">
          <cell r="A601" t="str">
            <v>Germany</v>
          </cell>
          <cell r="B601">
            <v>276</v>
          </cell>
          <cell r="C601">
            <v>201</v>
          </cell>
          <cell r="D601">
            <v>13</v>
          </cell>
          <cell r="E601" t="str">
            <v>Less: Financial intermediation services indirectly measured (FISIM) (only to be deducted if FISIM is not distributed to uses)</v>
          </cell>
          <cell r="F601">
            <v>0</v>
          </cell>
          <cell r="G601">
            <v>1992</v>
          </cell>
          <cell r="H601">
            <v>200</v>
          </cell>
          <cell r="I601">
            <v>60170000000</v>
          </cell>
        </row>
        <row r="602">
          <cell r="A602" t="str">
            <v>Germany</v>
          </cell>
          <cell r="B602">
            <v>276</v>
          </cell>
          <cell r="C602">
            <v>201</v>
          </cell>
          <cell r="D602">
            <v>13</v>
          </cell>
          <cell r="E602" t="str">
            <v>Less: Financial intermediation services indirectly measured (FISIM) (only to be deducted if FISIM is not distributed to uses)</v>
          </cell>
          <cell r="F602">
            <v>0</v>
          </cell>
          <cell r="G602">
            <v>1993</v>
          </cell>
          <cell r="H602">
            <v>200</v>
          </cell>
          <cell r="I602">
            <v>63520000000</v>
          </cell>
        </row>
        <row r="603">
          <cell r="A603" t="str">
            <v>Germany</v>
          </cell>
          <cell r="B603">
            <v>276</v>
          </cell>
          <cell r="C603">
            <v>201</v>
          </cell>
          <cell r="D603">
            <v>13</v>
          </cell>
          <cell r="E603" t="str">
            <v>Less: Financial intermediation services indirectly measured (FISIM) (only to be deducted if FISIM is not distributed to uses)</v>
          </cell>
          <cell r="F603">
            <v>0</v>
          </cell>
          <cell r="G603">
            <v>1994</v>
          </cell>
          <cell r="H603">
            <v>200</v>
          </cell>
          <cell r="I603">
            <v>67600000000</v>
          </cell>
        </row>
        <row r="604">
          <cell r="A604" t="str">
            <v>Germany</v>
          </cell>
          <cell r="B604">
            <v>276</v>
          </cell>
          <cell r="C604">
            <v>201</v>
          </cell>
          <cell r="D604">
            <v>13</v>
          </cell>
          <cell r="E604" t="str">
            <v>Less: Financial intermediation services indirectly measured (FISIM) (only to be deducted if FISIM is not distributed to uses)</v>
          </cell>
          <cell r="F604">
            <v>0</v>
          </cell>
          <cell r="G604">
            <v>1995</v>
          </cell>
          <cell r="H604">
            <v>200</v>
          </cell>
          <cell r="I604">
            <v>66240000000</v>
          </cell>
        </row>
        <row r="605">
          <cell r="A605" t="str">
            <v>Germany</v>
          </cell>
          <cell r="B605">
            <v>276</v>
          </cell>
          <cell r="C605">
            <v>201</v>
          </cell>
          <cell r="D605">
            <v>13</v>
          </cell>
          <cell r="E605" t="str">
            <v>Less: Financial intermediation services indirectly measured (FISIM) (only to be deducted if FISIM is not distributed to uses)</v>
          </cell>
          <cell r="F605">
            <v>0</v>
          </cell>
          <cell r="G605">
            <v>1996</v>
          </cell>
          <cell r="H605">
            <v>200</v>
          </cell>
          <cell r="I605">
            <v>66810000000</v>
          </cell>
        </row>
        <row r="606">
          <cell r="A606" t="str">
            <v>Germany</v>
          </cell>
          <cell r="B606">
            <v>276</v>
          </cell>
          <cell r="C606">
            <v>201</v>
          </cell>
          <cell r="D606">
            <v>13</v>
          </cell>
          <cell r="E606" t="str">
            <v>Less: Financial intermediation services indirectly measured (FISIM) (only to be deducted if FISIM is not distributed to uses)</v>
          </cell>
          <cell r="F606">
            <v>0</v>
          </cell>
          <cell r="G606">
            <v>1997</v>
          </cell>
          <cell r="H606">
            <v>200</v>
          </cell>
          <cell r="I606">
            <v>69070000000</v>
          </cell>
        </row>
        <row r="607">
          <cell r="A607" t="str">
            <v>Germany</v>
          </cell>
          <cell r="B607">
            <v>276</v>
          </cell>
          <cell r="C607">
            <v>201</v>
          </cell>
          <cell r="D607">
            <v>13</v>
          </cell>
          <cell r="E607" t="str">
            <v>Less: Financial intermediation services indirectly measured (FISIM) (only to be deducted if FISIM is not distributed to uses)</v>
          </cell>
          <cell r="F607">
            <v>0</v>
          </cell>
          <cell r="G607">
            <v>1998</v>
          </cell>
          <cell r="H607">
            <v>200</v>
          </cell>
          <cell r="I607">
            <v>68420000000</v>
          </cell>
        </row>
        <row r="608">
          <cell r="A608" t="str">
            <v>Germany</v>
          </cell>
          <cell r="B608">
            <v>276</v>
          </cell>
          <cell r="C608">
            <v>201</v>
          </cell>
          <cell r="D608">
            <v>13</v>
          </cell>
          <cell r="E608" t="str">
            <v>Less: Financial intermediation services indirectly measured (FISIM) (only to be deducted if FISIM is not distributed to uses)</v>
          </cell>
          <cell r="F608">
            <v>0</v>
          </cell>
          <cell r="G608">
            <v>1999</v>
          </cell>
          <cell r="H608">
            <v>200</v>
          </cell>
          <cell r="I608">
            <v>66780000000</v>
          </cell>
        </row>
        <row r="609">
          <cell r="A609" t="str">
            <v>Germany</v>
          </cell>
          <cell r="B609">
            <v>276</v>
          </cell>
          <cell r="C609">
            <v>201</v>
          </cell>
          <cell r="D609">
            <v>13</v>
          </cell>
          <cell r="E609" t="str">
            <v>Less: Financial intermediation services indirectly measured (FISIM) (only to be deducted if FISIM is not distributed to uses)</v>
          </cell>
          <cell r="F609">
            <v>0</v>
          </cell>
          <cell r="G609">
            <v>2000</v>
          </cell>
          <cell r="H609">
            <v>200</v>
          </cell>
          <cell r="I609">
            <v>61800000000</v>
          </cell>
        </row>
        <row r="610">
          <cell r="A610" t="str">
            <v>Germany</v>
          </cell>
          <cell r="B610">
            <v>276</v>
          </cell>
          <cell r="C610">
            <v>201</v>
          </cell>
          <cell r="D610">
            <v>13</v>
          </cell>
          <cell r="E610" t="str">
            <v>Less: Financial intermediation services indirectly measured (FISIM) (only to be deducted if FISIM is not distributed to uses)</v>
          </cell>
          <cell r="F610">
            <v>0</v>
          </cell>
          <cell r="G610">
            <v>2001</v>
          </cell>
          <cell r="H610">
            <v>200</v>
          </cell>
          <cell r="I610">
            <v>58980000000</v>
          </cell>
        </row>
        <row r="611">
          <cell r="A611" t="str">
            <v>Germany</v>
          </cell>
          <cell r="B611">
            <v>276</v>
          </cell>
          <cell r="C611">
            <v>201</v>
          </cell>
          <cell r="D611">
            <v>13</v>
          </cell>
          <cell r="E611" t="str">
            <v>Less: Financial intermediation services indirectly measured (FISIM) (only to be deducted if FISIM is not distributed to uses)</v>
          </cell>
          <cell r="F611">
            <v>0</v>
          </cell>
          <cell r="G611">
            <v>2002</v>
          </cell>
          <cell r="H611">
            <v>200</v>
          </cell>
          <cell r="I611">
            <v>58220000000</v>
          </cell>
        </row>
        <row r="612">
          <cell r="A612" t="str">
            <v>Germany</v>
          </cell>
          <cell r="B612">
            <v>276</v>
          </cell>
          <cell r="C612">
            <v>201</v>
          </cell>
          <cell r="D612">
            <v>13</v>
          </cell>
          <cell r="E612" t="str">
            <v>Less: Financial intermediation services indirectly measured (FISIM) (only to be deducted if FISIM is not distributed to uses)</v>
          </cell>
          <cell r="F612">
            <v>0</v>
          </cell>
          <cell r="G612">
            <v>2003</v>
          </cell>
          <cell r="H612">
            <v>200</v>
          </cell>
          <cell r="I612">
            <v>58070000000</v>
          </cell>
        </row>
        <row r="613">
          <cell r="A613" t="str">
            <v>Germany</v>
          </cell>
          <cell r="B613">
            <v>276</v>
          </cell>
          <cell r="C613">
            <v>203</v>
          </cell>
          <cell r="D613">
            <v>3</v>
          </cell>
          <cell r="E613" t="str">
            <v>Equals: VALUE ADDED, GROSS, at basic prices</v>
          </cell>
          <cell r="F613">
            <v>12</v>
          </cell>
          <cell r="G613">
            <v>1991</v>
          </cell>
          <cell r="H613">
            <v>200</v>
          </cell>
          <cell r="I613">
            <v>1414190000000</v>
          </cell>
        </row>
        <row r="614">
          <cell r="A614" t="str">
            <v>Germany</v>
          </cell>
          <cell r="B614">
            <v>276</v>
          </cell>
          <cell r="C614">
            <v>203</v>
          </cell>
          <cell r="D614">
            <v>3</v>
          </cell>
          <cell r="E614" t="str">
            <v>Equals: VALUE ADDED, GROSS, at basic prices</v>
          </cell>
          <cell r="F614">
            <v>12</v>
          </cell>
          <cell r="G614">
            <v>1992</v>
          </cell>
          <cell r="H614">
            <v>200</v>
          </cell>
          <cell r="I614">
            <v>1518900000000</v>
          </cell>
        </row>
        <row r="615">
          <cell r="A615" t="str">
            <v>Germany</v>
          </cell>
          <cell r="B615">
            <v>276</v>
          </cell>
          <cell r="C615">
            <v>203</v>
          </cell>
          <cell r="D615">
            <v>3</v>
          </cell>
          <cell r="E615" t="str">
            <v>Equals: VALUE ADDED, GROSS, at basic prices</v>
          </cell>
          <cell r="F615">
            <v>12</v>
          </cell>
          <cell r="G615">
            <v>1993</v>
          </cell>
          <cell r="H615">
            <v>200</v>
          </cell>
          <cell r="I615">
            <v>1555370000000</v>
          </cell>
        </row>
        <row r="616">
          <cell r="A616" t="str">
            <v>Germany</v>
          </cell>
          <cell r="B616">
            <v>276</v>
          </cell>
          <cell r="C616">
            <v>203</v>
          </cell>
          <cell r="D616">
            <v>3</v>
          </cell>
          <cell r="E616" t="str">
            <v>Equals: VALUE ADDED, GROSS, at basic prices</v>
          </cell>
          <cell r="F616">
            <v>12</v>
          </cell>
          <cell r="G616">
            <v>1994</v>
          </cell>
          <cell r="H616">
            <v>200</v>
          </cell>
          <cell r="I616">
            <v>1626080000000</v>
          </cell>
        </row>
        <row r="617">
          <cell r="A617" t="str">
            <v>Germany</v>
          </cell>
          <cell r="B617">
            <v>276</v>
          </cell>
          <cell r="C617">
            <v>203</v>
          </cell>
          <cell r="D617">
            <v>3</v>
          </cell>
          <cell r="E617" t="str">
            <v>Equals: VALUE ADDED, GROSS, at basic prices</v>
          </cell>
          <cell r="F617">
            <v>12</v>
          </cell>
          <cell r="G617">
            <v>1995</v>
          </cell>
          <cell r="H617">
            <v>200</v>
          </cell>
          <cell r="I617">
            <v>1690400000000</v>
          </cell>
        </row>
        <row r="618">
          <cell r="A618" t="str">
            <v>Germany</v>
          </cell>
          <cell r="B618">
            <v>276</v>
          </cell>
          <cell r="C618">
            <v>203</v>
          </cell>
          <cell r="D618">
            <v>3</v>
          </cell>
          <cell r="E618" t="str">
            <v>Equals: VALUE ADDED, GROSS, at basic prices</v>
          </cell>
          <cell r="F618">
            <v>12</v>
          </cell>
          <cell r="G618">
            <v>1996</v>
          </cell>
          <cell r="H618">
            <v>200</v>
          </cell>
          <cell r="I618">
            <v>1722070000000</v>
          </cell>
        </row>
        <row r="619">
          <cell r="A619" t="str">
            <v>Germany</v>
          </cell>
          <cell r="B619">
            <v>276</v>
          </cell>
          <cell r="C619">
            <v>203</v>
          </cell>
          <cell r="D619">
            <v>3</v>
          </cell>
          <cell r="E619" t="str">
            <v>Equals: VALUE ADDED, GROSS, at basic prices</v>
          </cell>
          <cell r="F619">
            <v>12</v>
          </cell>
          <cell r="G619">
            <v>1997</v>
          </cell>
          <cell r="H619">
            <v>200</v>
          </cell>
          <cell r="I619">
            <v>1760160000000</v>
          </cell>
        </row>
        <row r="620">
          <cell r="A620" t="str">
            <v>Germany</v>
          </cell>
          <cell r="B620">
            <v>276</v>
          </cell>
          <cell r="C620">
            <v>203</v>
          </cell>
          <cell r="D620">
            <v>3</v>
          </cell>
          <cell r="E620" t="str">
            <v>Equals: VALUE ADDED, GROSS, at basic prices</v>
          </cell>
          <cell r="F620">
            <v>12</v>
          </cell>
          <cell r="G620">
            <v>1998</v>
          </cell>
          <cell r="H620">
            <v>200</v>
          </cell>
          <cell r="I620">
            <v>1810250000000</v>
          </cell>
        </row>
        <row r="621">
          <cell r="A621" t="str">
            <v>Germany</v>
          </cell>
          <cell r="B621">
            <v>276</v>
          </cell>
          <cell r="C621">
            <v>203</v>
          </cell>
          <cell r="D621">
            <v>3</v>
          </cell>
          <cell r="E621" t="str">
            <v>Equals: VALUE ADDED, GROSS, at basic prices</v>
          </cell>
          <cell r="F621">
            <v>12</v>
          </cell>
          <cell r="G621">
            <v>1999</v>
          </cell>
          <cell r="H621">
            <v>200</v>
          </cell>
          <cell r="I621">
            <v>1843180000000</v>
          </cell>
        </row>
        <row r="622">
          <cell r="A622" t="str">
            <v>Germany</v>
          </cell>
          <cell r="B622">
            <v>276</v>
          </cell>
          <cell r="C622">
            <v>203</v>
          </cell>
          <cell r="D622">
            <v>3</v>
          </cell>
          <cell r="E622" t="str">
            <v>Equals: VALUE ADDED, GROSS, at basic prices</v>
          </cell>
          <cell r="F622">
            <v>12</v>
          </cell>
          <cell r="G622">
            <v>2000</v>
          </cell>
          <cell r="H622">
            <v>200</v>
          </cell>
          <cell r="I622">
            <v>1885320000000</v>
          </cell>
        </row>
        <row r="623">
          <cell r="A623" t="str">
            <v>Germany</v>
          </cell>
          <cell r="B623">
            <v>276</v>
          </cell>
          <cell r="C623">
            <v>203</v>
          </cell>
          <cell r="D623">
            <v>3</v>
          </cell>
          <cell r="E623" t="str">
            <v>Equals: VALUE ADDED, GROSS, at basic prices</v>
          </cell>
          <cell r="F623">
            <v>12</v>
          </cell>
          <cell r="G623">
            <v>2001</v>
          </cell>
          <cell r="H623">
            <v>200</v>
          </cell>
          <cell r="I623">
            <v>1925060000000</v>
          </cell>
        </row>
        <row r="624">
          <cell r="A624" t="str">
            <v>Germany</v>
          </cell>
          <cell r="B624">
            <v>276</v>
          </cell>
          <cell r="C624">
            <v>203</v>
          </cell>
          <cell r="D624">
            <v>3</v>
          </cell>
          <cell r="E624" t="str">
            <v>Equals: VALUE ADDED, GROSS, at basic prices</v>
          </cell>
          <cell r="F624">
            <v>12</v>
          </cell>
          <cell r="G624">
            <v>2002</v>
          </cell>
          <cell r="H624">
            <v>200</v>
          </cell>
          <cell r="I624">
            <v>1958890000000</v>
          </cell>
        </row>
        <row r="625">
          <cell r="A625" t="str">
            <v>Germany</v>
          </cell>
          <cell r="B625">
            <v>276</v>
          </cell>
          <cell r="C625">
            <v>203</v>
          </cell>
          <cell r="D625">
            <v>4</v>
          </cell>
          <cell r="E625" t="str">
            <v>Compensation of employees</v>
          </cell>
          <cell r="F625">
            <v>12</v>
          </cell>
          <cell r="G625">
            <v>1991</v>
          </cell>
          <cell r="H625">
            <v>200</v>
          </cell>
          <cell r="I625">
            <v>844000001000</v>
          </cell>
        </row>
        <row r="626">
          <cell r="A626" t="str">
            <v>Germany</v>
          </cell>
          <cell r="B626">
            <v>276</v>
          </cell>
          <cell r="C626">
            <v>203</v>
          </cell>
          <cell r="D626">
            <v>4</v>
          </cell>
          <cell r="E626" t="str">
            <v>Compensation of employees</v>
          </cell>
          <cell r="F626">
            <v>12</v>
          </cell>
          <cell r="G626">
            <v>1992</v>
          </cell>
          <cell r="H626">
            <v>200</v>
          </cell>
          <cell r="I626">
            <v>915290001000</v>
          </cell>
        </row>
        <row r="627">
          <cell r="A627" t="str">
            <v>Germany</v>
          </cell>
          <cell r="B627">
            <v>276</v>
          </cell>
          <cell r="C627">
            <v>203</v>
          </cell>
          <cell r="D627">
            <v>4</v>
          </cell>
          <cell r="E627" t="str">
            <v>Compensation of employees</v>
          </cell>
          <cell r="F627">
            <v>12</v>
          </cell>
          <cell r="G627">
            <v>1993</v>
          </cell>
          <cell r="H627">
            <v>200</v>
          </cell>
          <cell r="I627">
            <v>937390001000</v>
          </cell>
        </row>
        <row r="628">
          <cell r="A628" t="str">
            <v>Germany</v>
          </cell>
          <cell r="B628">
            <v>276</v>
          </cell>
          <cell r="C628">
            <v>203</v>
          </cell>
          <cell r="D628">
            <v>4</v>
          </cell>
          <cell r="E628" t="str">
            <v>Compensation of employees</v>
          </cell>
          <cell r="F628">
            <v>12</v>
          </cell>
          <cell r="G628">
            <v>1994</v>
          </cell>
          <cell r="H628">
            <v>200</v>
          </cell>
          <cell r="I628">
            <v>960960001000</v>
          </cell>
        </row>
        <row r="629">
          <cell r="A629" t="str">
            <v>Germany</v>
          </cell>
          <cell r="B629">
            <v>276</v>
          </cell>
          <cell r="C629">
            <v>203</v>
          </cell>
          <cell r="D629">
            <v>4</v>
          </cell>
          <cell r="E629" t="str">
            <v>Compensation of employees</v>
          </cell>
          <cell r="F629">
            <v>12</v>
          </cell>
          <cell r="G629">
            <v>1995</v>
          </cell>
          <cell r="H629">
            <v>200</v>
          </cell>
          <cell r="I629">
            <v>996900002000</v>
          </cell>
        </row>
        <row r="630">
          <cell r="A630" t="str">
            <v>Germany</v>
          </cell>
          <cell r="B630">
            <v>276</v>
          </cell>
          <cell r="C630">
            <v>203</v>
          </cell>
          <cell r="D630">
            <v>4</v>
          </cell>
          <cell r="E630" t="str">
            <v>Compensation of employees</v>
          </cell>
          <cell r="F630">
            <v>12</v>
          </cell>
          <cell r="G630">
            <v>1996</v>
          </cell>
          <cell r="H630">
            <v>200</v>
          </cell>
          <cell r="I630">
            <v>1006170000000</v>
          </cell>
        </row>
        <row r="631">
          <cell r="A631" t="str">
            <v>Germany</v>
          </cell>
          <cell r="B631">
            <v>276</v>
          </cell>
          <cell r="C631">
            <v>203</v>
          </cell>
          <cell r="D631">
            <v>4</v>
          </cell>
          <cell r="E631" t="str">
            <v>Compensation of employees</v>
          </cell>
          <cell r="F631">
            <v>12</v>
          </cell>
          <cell r="G631">
            <v>1997</v>
          </cell>
          <cell r="H631">
            <v>200</v>
          </cell>
          <cell r="I631">
            <v>1010300000000</v>
          </cell>
        </row>
        <row r="632">
          <cell r="A632" t="str">
            <v>Germany</v>
          </cell>
          <cell r="B632">
            <v>276</v>
          </cell>
          <cell r="C632">
            <v>203</v>
          </cell>
          <cell r="D632">
            <v>4</v>
          </cell>
          <cell r="E632" t="str">
            <v>Compensation of employees</v>
          </cell>
          <cell r="F632">
            <v>12</v>
          </cell>
          <cell r="G632">
            <v>1998</v>
          </cell>
          <cell r="H632">
            <v>200</v>
          </cell>
          <cell r="I632">
            <v>1031420000000</v>
          </cell>
        </row>
        <row r="633">
          <cell r="A633" t="str">
            <v>Germany</v>
          </cell>
          <cell r="B633">
            <v>276</v>
          </cell>
          <cell r="C633">
            <v>203</v>
          </cell>
          <cell r="D633">
            <v>4</v>
          </cell>
          <cell r="E633" t="str">
            <v>Compensation of employees</v>
          </cell>
          <cell r="F633">
            <v>12</v>
          </cell>
          <cell r="G633">
            <v>1999</v>
          </cell>
          <cell r="H633">
            <v>200</v>
          </cell>
          <cell r="I633">
            <v>1058710000000</v>
          </cell>
        </row>
        <row r="634">
          <cell r="A634" t="str">
            <v>Germany</v>
          </cell>
          <cell r="B634">
            <v>276</v>
          </cell>
          <cell r="C634">
            <v>203</v>
          </cell>
          <cell r="D634">
            <v>4</v>
          </cell>
          <cell r="E634" t="str">
            <v>Compensation of employees</v>
          </cell>
          <cell r="F634">
            <v>12</v>
          </cell>
          <cell r="G634">
            <v>2000</v>
          </cell>
          <cell r="H634">
            <v>200</v>
          </cell>
          <cell r="I634">
            <v>1099960000000</v>
          </cell>
        </row>
        <row r="635">
          <cell r="A635" t="str">
            <v>Germany</v>
          </cell>
          <cell r="B635">
            <v>276</v>
          </cell>
          <cell r="C635">
            <v>203</v>
          </cell>
          <cell r="D635">
            <v>4</v>
          </cell>
          <cell r="E635" t="str">
            <v>Compensation of employees</v>
          </cell>
          <cell r="F635">
            <v>12</v>
          </cell>
          <cell r="G635">
            <v>2001</v>
          </cell>
          <cell r="H635">
            <v>200</v>
          </cell>
          <cell r="I635">
            <v>1121900000000</v>
          </cell>
        </row>
        <row r="636">
          <cell r="A636" t="str">
            <v>Germany</v>
          </cell>
          <cell r="B636">
            <v>276</v>
          </cell>
          <cell r="C636">
            <v>203</v>
          </cell>
          <cell r="D636">
            <v>4</v>
          </cell>
          <cell r="E636" t="str">
            <v>Compensation of employees</v>
          </cell>
          <cell r="F636">
            <v>12</v>
          </cell>
          <cell r="G636">
            <v>2002</v>
          </cell>
          <cell r="H636">
            <v>200</v>
          </cell>
          <cell r="I636">
            <v>1131000000000</v>
          </cell>
        </row>
        <row r="637">
          <cell r="A637" t="str">
            <v>Germany</v>
          </cell>
          <cell r="B637">
            <v>276</v>
          </cell>
          <cell r="C637">
            <v>203</v>
          </cell>
          <cell r="D637">
            <v>11</v>
          </cell>
          <cell r="E637" t="str">
            <v>OPERATING SURPLUS, GROSS</v>
          </cell>
          <cell r="F637">
            <v>12</v>
          </cell>
          <cell r="G637">
            <v>1991</v>
          </cell>
          <cell r="H637">
            <v>200</v>
          </cell>
          <cell r="I637">
            <v>569819999000</v>
          </cell>
        </row>
        <row r="638">
          <cell r="A638" t="str">
            <v>Germany</v>
          </cell>
          <cell r="B638">
            <v>276</v>
          </cell>
          <cell r="C638">
            <v>203</v>
          </cell>
          <cell r="D638">
            <v>11</v>
          </cell>
          <cell r="E638" t="str">
            <v>OPERATING SURPLUS, GROSS</v>
          </cell>
          <cell r="F638">
            <v>12</v>
          </cell>
          <cell r="G638">
            <v>1992</v>
          </cell>
          <cell r="H638">
            <v>200</v>
          </cell>
          <cell r="I638">
            <v>599329999000</v>
          </cell>
        </row>
        <row r="639">
          <cell r="A639" t="str">
            <v>Germany</v>
          </cell>
          <cell r="B639">
            <v>276</v>
          </cell>
          <cell r="C639">
            <v>203</v>
          </cell>
          <cell r="D639">
            <v>11</v>
          </cell>
          <cell r="E639" t="str">
            <v>OPERATING SURPLUS, GROSS</v>
          </cell>
          <cell r="F639">
            <v>12</v>
          </cell>
          <cell r="G639">
            <v>1993</v>
          </cell>
          <cell r="H639">
            <v>200</v>
          </cell>
          <cell r="I639">
            <v>613429999000</v>
          </cell>
        </row>
        <row r="640">
          <cell r="A640" t="str">
            <v>Germany</v>
          </cell>
          <cell r="B640">
            <v>276</v>
          </cell>
          <cell r="C640">
            <v>203</v>
          </cell>
          <cell r="D640">
            <v>11</v>
          </cell>
          <cell r="E640" t="str">
            <v>OPERATING SURPLUS, GROSS</v>
          </cell>
          <cell r="F640">
            <v>12</v>
          </cell>
          <cell r="G640">
            <v>1994</v>
          </cell>
          <cell r="H640">
            <v>200</v>
          </cell>
          <cell r="I640">
            <v>662969999000</v>
          </cell>
        </row>
        <row r="641">
          <cell r="A641" t="str">
            <v>Germany</v>
          </cell>
          <cell r="B641">
            <v>276</v>
          </cell>
          <cell r="C641">
            <v>203</v>
          </cell>
          <cell r="D641">
            <v>11</v>
          </cell>
          <cell r="E641" t="str">
            <v>OPERATING SURPLUS, GROSS</v>
          </cell>
          <cell r="F641">
            <v>12</v>
          </cell>
          <cell r="G641">
            <v>1995</v>
          </cell>
          <cell r="H641">
            <v>200</v>
          </cell>
          <cell r="I641">
            <v>692999998000</v>
          </cell>
        </row>
        <row r="642">
          <cell r="A642" t="str">
            <v>Germany</v>
          </cell>
          <cell r="B642">
            <v>276</v>
          </cell>
          <cell r="C642">
            <v>203</v>
          </cell>
          <cell r="D642">
            <v>11</v>
          </cell>
          <cell r="E642" t="str">
            <v>OPERATING SURPLUS, GROSS</v>
          </cell>
          <cell r="F642">
            <v>12</v>
          </cell>
          <cell r="G642">
            <v>1996</v>
          </cell>
          <cell r="H642">
            <v>200</v>
          </cell>
          <cell r="I642">
            <v>713430000000</v>
          </cell>
        </row>
        <row r="643">
          <cell r="A643" t="str">
            <v>Germany</v>
          </cell>
          <cell r="B643">
            <v>276</v>
          </cell>
          <cell r="C643">
            <v>203</v>
          </cell>
          <cell r="D643">
            <v>11</v>
          </cell>
          <cell r="E643" t="str">
            <v>OPERATING SURPLUS, GROSS</v>
          </cell>
          <cell r="F643">
            <v>12</v>
          </cell>
          <cell r="G643">
            <v>1997</v>
          </cell>
          <cell r="H643">
            <v>200</v>
          </cell>
          <cell r="I643">
            <v>742350000000</v>
          </cell>
        </row>
        <row r="644">
          <cell r="A644" t="str">
            <v>Germany</v>
          </cell>
          <cell r="B644">
            <v>276</v>
          </cell>
          <cell r="C644">
            <v>203</v>
          </cell>
          <cell r="D644">
            <v>11</v>
          </cell>
          <cell r="E644" t="str">
            <v>OPERATING SURPLUS, GROSS</v>
          </cell>
          <cell r="F644">
            <v>12</v>
          </cell>
          <cell r="G644">
            <v>1998</v>
          </cell>
          <cell r="H644">
            <v>200</v>
          </cell>
          <cell r="I644">
            <v>771400000000</v>
          </cell>
        </row>
        <row r="645">
          <cell r="A645" t="str">
            <v>Germany</v>
          </cell>
          <cell r="B645">
            <v>276</v>
          </cell>
          <cell r="C645">
            <v>203</v>
          </cell>
          <cell r="D645">
            <v>11</v>
          </cell>
          <cell r="E645" t="str">
            <v>OPERATING SURPLUS, GROSS</v>
          </cell>
          <cell r="F645">
            <v>12</v>
          </cell>
          <cell r="G645">
            <v>1999</v>
          </cell>
          <cell r="H645">
            <v>200</v>
          </cell>
          <cell r="I645">
            <v>775420000000</v>
          </cell>
        </row>
        <row r="646">
          <cell r="A646" t="str">
            <v>Germany</v>
          </cell>
          <cell r="B646">
            <v>276</v>
          </cell>
          <cell r="C646">
            <v>203</v>
          </cell>
          <cell r="D646">
            <v>11</v>
          </cell>
          <cell r="E646" t="str">
            <v>OPERATING SURPLUS, GROSS</v>
          </cell>
          <cell r="F646">
            <v>12</v>
          </cell>
          <cell r="G646">
            <v>2000</v>
          </cell>
          <cell r="H646">
            <v>200</v>
          </cell>
          <cell r="I646">
            <v>775010000000</v>
          </cell>
        </row>
        <row r="647">
          <cell r="A647" t="str">
            <v>Germany</v>
          </cell>
          <cell r="B647">
            <v>276</v>
          </cell>
          <cell r="C647">
            <v>203</v>
          </cell>
          <cell r="D647">
            <v>11</v>
          </cell>
          <cell r="E647" t="str">
            <v>OPERATING SURPLUS, GROSS</v>
          </cell>
          <cell r="F647">
            <v>12</v>
          </cell>
          <cell r="G647">
            <v>2001</v>
          </cell>
          <cell r="H647">
            <v>200</v>
          </cell>
          <cell r="I647">
            <v>792820000000</v>
          </cell>
        </row>
        <row r="648">
          <cell r="A648" t="str">
            <v>Germany</v>
          </cell>
          <cell r="B648">
            <v>276</v>
          </cell>
          <cell r="C648">
            <v>203</v>
          </cell>
          <cell r="D648">
            <v>11</v>
          </cell>
          <cell r="E648" t="str">
            <v>OPERATING SURPLUS, GROSS</v>
          </cell>
          <cell r="F648">
            <v>12</v>
          </cell>
          <cell r="G648">
            <v>2002</v>
          </cell>
          <cell r="H648">
            <v>200</v>
          </cell>
          <cell r="I648">
            <v>815870000000</v>
          </cell>
        </row>
        <row r="649">
          <cell r="A649" t="str">
            <v>Germany</v>
          </cell>
          <cell r="B649">
            <v>276</v>
          </cell>
          <cell r="C649">
            <v>203</v>
          </cell>
          <cell r="D649">
            <v>22</v>
          </cell>
          <cell r="E649" t="str">
            <v>Taxes on production and imports, less Subsidies</v>
          </cell>
          <cell r="F649">
            <v>12</v>
          </cell>
          <cell r="G649">
            <v>1991</v>
          </cell>
          <cell r="H649">
            <v>200</v>
          </cell>
          <cell r="I649">
            <v>370000000</v>
          </cell>
        </row>
        <row r="650">
          <cell r="A650" t="str">
            <v>Germany</v>
          </cell>
          <cell r="B650">
            <v>276</v>
          </cell>
          <cell r="C650">
            <v>203</v>
          </cell>
          <cell r="D650">
            <v>22</v>
          </cell>
          <cell r="E650" t="str">
            <v>Taxes on production and imports, less Subsidies</v>
          </cell>
          <cell r="F650">
            <v>12</v>
          </cell>
          <cell r="G650">
            <v>1992</v>
          </cell>
          <cell r="H650">
            <v>200</v>
          </cell>
          <cell r="I650">
            <v>4280000000</v>
          </cell>
        </row>
        <row r="651">
          <cell r="A651" t="str">
            <v>Germany</v>
          </cell>
          <cell r="B651">
            <v>276</v>
          </cell>
          <cell r="C651">
            <v>203</v>
          </cell>
          <cell r="D651">
            <v>22</v>
          </cell>
          <cell r="E651" t="str">
            <v>Taxes on production and imports, less Subsidies</v>
          </cell>
          <cell r="F651">
            <v>12</v>
          </cell>
          <cell r="G651">
            <v>1993</v>
          </cell>
          <cell r="H651">
            <v>200</v>
          </cell>
          <cell r="I651">
            <v>4550000000</v>
          </cell>
        </row>
        <row r="652">
          <cell r="A652" t="str">
            <v>Germany</v>
          </cell>
          <cell r="B652">
            <v>276</v>
          </cell>
          <cell r="C652">
            <v>203</v>
          </cell>
          <cell r="D652">
            <v>22</v>
          </cell>
          <cell r="E652" t="str">
            <v>Taxes on production and imports, less Subsidies</v>
          </cell>
          <cell r="F652">
            <v>12</v>
          </cell>
          <cell r="G652">
            <v>1994</v>
          </cell>
          <cell r="H652">
            <v>200</v>
          </cell>
          <cell r="I652">
            <v>2150000000</v>
          </cell>
        </row>
        <row r="653">
          <cell r="A653" t="str">
            <v>Germany</v>
          </cell>
          <cell r="B653">
            <v>276</v>
          </cell>
          <cell r="C653">
            <v>203</v>
          </cell>
          <cell r="D653">
            <v>22</v>
          </cell>
          <cell r="E653" t="str">
            <v>Taxes on production and imports, less Subsidies</v>
          </cell>
          <cell r="F653">
            <v>12</v>
          </cell>
          <cell r="G653">
            <v>1995</v>
          </cell>
          <cell r="H653">
            <v>200</v>
          </cell>
          <cell r="I653">
            <v>500000000</v>
          </cell>
        </row>
        <row r="654">
          <cell r="A654" t="str">
            <v>Germany</v>
          </cell>
          <cell r="B654">
            <v>276</v>
          </cell>
          <cell r="C654">
            <v>203</v>
          </cell>
          <cell r="D654">
            <v>22</v>
          </cell>
          <cell r="E654" t="str">
            <v>Taxes on production and imports, less Subsidies</v>
          </cell>
          <cell r="F654">
            <v>12</v>
          </cell>
          <cell r="G654">
            <v>1996</v>
          </cell>
          <cell r="H654">
            <v>200</v>
          </cell>
          <cell r="I654">
            <v>2470000000</v>
          </cell>
        </row>
        <row r="655">
          <cell r="A655" t="str">
            <v>Germany</v>
          </cell>
          <cell r="B655">
            <v>276</v>
          </cell>
          <cell r="C655">
            <v>203</v>
          </cell>
          <cell r="D655">
            <v>22</v>
          </cell>
          <cell r="E655" t="str">
            <v>Taxes on production and imports, less Subsidies</v>
          </cell>
          <cell r="F655">
            <v>12</v>
          </cell>
          <cell r="G655">
            <v>1997</v>
          </cell>
          <cell r="H655">
            <v>200</v>
          </cell>
          <cell r="I655">
            <v>7510000000</v>
          </cell>
        </row>
        <row r="656">
          <cell r="A656" t="str">
            <v>Germany</v>
          </cell>
          <cell r="B656">
            <v>276</v>
          </cell>
          <cell r="C656">
            <v>203</v>
          </cell>
          <cell r="D656">
            <v>22</v>
          </cell>
          <cell r="E656" t="str">
            <v>Taxes on production and imports, less Subsidies</v>
          </cell>
          <cell r="F656">
            <v>12</v>
          </cell>
          <cell r="G656">
            <v>1998</v>
          </cell>
          <cell r="H656">
            <v>200</v>
          </cell>
          <cell r="I656">
            <v>7430000000</v>
          </cell>
        </row>
        <row r="657">
          <cell r="A657" t="str">
            <v>Germany</v>
          </cell>
          <cell r="B657">
            <v>276</v>
          </cell>
          <cell r="C657">
            <v>203</v>
          </cell>
          <cell r="D657">
            <v>22</v>
          </cell>
          <cell r="E657" t="str">
            <v>Taxes on production and imports, less Subsidies</v>
          </cell>
          <cell r="F657">
            <v>12</v>
          </cell>
          <cell r="G657">
            <v>1999</v>
          </cell>
          <cell r="H657">
            <v>200</v>
          </cell>
          <cell r="I657">
            <v>9050000000</v>
          </cell>
        </row>
        <row r="658">
          <cell r="A658" t="str">
            <v>Germany</v>
          </cell>
          <cell r="B658">
            <v>276</v>
          </cell>
          <cell r="C658">
            <v>203</v>
          </cell>
          <cell r="D658">
            <v>22</v>
          </cell>
          <cell r="E658" t="str">
            <v>Taxes on production and imports, less Subsidies</v>
          </cell>
          <cell r="F658">
            <v>12</v>
          </cell>
          <cell r="G658">
            <v>2000</v>
          </cell>
          <cell r="H658">
            <v>200</v>
          </cell>
          <cell r="I658">
            <v>10350000000</v>
          </cell>
        </row>
        <row r="659">
          <cell r="A659" t="str">
            <v>Germany</v>
          </cell>
          <cell r="B659">
            <v>276</v>
          </cell>
          <cell r="C659">
            <v>203</v>
          </cell>
          <cell r="D659">
            <v>22</v>
          </cell>
          <cell r="E659" t="str">
            <v>Taxes on production and imports, less Subsidies</v>
          </cell>
          <cell r="F659">
            <v>12</v>
          </cell>
          <cell r="G659">
            <v>2001</v>
          </cell>
          <cell r="H659">
            <v>200</v>
          </cell>
          <cell r="I659">
            <v>10340000000</v>
          </cell>
        </row>
        <row r="660">
          <cell r="A660" t="str">
            <v>Germany</v>
          </cell>
          <cell r="B660">
            <v>276</v>
          </cell>
          <cell r="C660">
            <v>203</v>
          </cell>
          <cell r="D660">
            <v>22</v>
          </cell>
          <cell r="E660" t="str">
            <v>Taxes on production and imports, less Subsidies</v>
          </cell>
          <cell r="F660">
            <v>12</v>
          </cell>
          <cell r="G660">
            <v>2002</v>
          </cell>
          <cell r="H660">
            <v>200</v>
          </cell>
          <cell r="I660">
            <v>12020000000</v>
          </cell>
        </row>
        <row r="661">
          <cell r="A661" t="str">
            <v>Kiribati</v>
          </cell>
          <cell r="B661">
            <v>296</v>
          </cell>
          <cell r="C661">
            <v>201</v>
          </cell>
          <cell r="D661">
            <v>13</v>
          </cell>
          <cell r="E661" t="str">
            <v>Less: Financial intermediation services indirectly measured (FISIM) (only to be deducted if FISIM is not distributed to uses)</v>
          </cell>
          <cell r="F661">
            <v>0</v>
          </cell>
          <cell r="G661">
            <v>1972</v>
          </cell>
          <cell r="H661">
            <v>10</v>
          </cell>
          <cell r="I661">
            <v>59000</v>
          </cell>
        </row>
        <row r="662">
          <cell r="A662" t="str">
            <v>Kiribati</v>
          </cell>
          <cell r="B662">
            <v>296</v>
          </cell>
          <cell r="C662">
            <v>201</v>
          </cell>
          <cell r="D662">
            <v>13</v>
          </cell>
          <cell r="E662" t="str">
            <v>Less: Financial intermediation services indirectly measured (FISIM) (only to be deducted if FISIM is not distributed to uses)</v>
          </cell>
          <cell r="F662">
            <v>0</v>
          </cell>
          <cell r="G662">
            <v>1973</v>
          </cell>
          <cell r="H662">
            <v>10</v>
          </cell>
          <cell r="I662">
            <v>17000</v>
          </cell>
        </row>
        <row r="663">
          <cell r="A663" t="str">
            <v>Kiribati</v>
          </cell>
          <cell r="B663">
            <v>296</v>
          </cell>
          <cell r="C663">
            <v>201</v>
          </cell>
          <cell r="D663">
            <v>13</v>
          </cell>
          <cell r="E663" t="str">
            <v>Less: Financial intermediation services indirectly measured (FISIM) (only to be deducted if FISIM is not distributed to uses)</v>
          </cell>
          <cell r="F663">
            <v>0</v>
          </cell>
          <cell r="G663">
            <v>1974</v>
          </cell>
          <cell r="H663">
            <v>10</v>
          </cell>
          <cell r="I663">
            <v>0</v>
          </cell>
        </row>
        <row r="664">
          <cell r="A664" t="str">
            <v>Guadeloupe</v>
          </cell>
          <cell r="B664">
            <v>312</v>
          </cell>
          <cell r="C664">
            <v>201</v>
          </cell>
          <cell r="D664">
            <v>13</v>
          </cell>
          <cell r="E664" t="str">
            <v>Less: Financial intermediation services indirectly measured (FISIM) (only to be deducted if FISIM is not distributed to uses)</v>
          </cell>
          <cell r="F664">
            <v>0</v>
          </cell>
          <cell r="G664">
            <v>1970</v>
          </cell>
          <cell r="H664">
            <v>20</v>
          </cell>
          <cell r="I664">
            <v>32700000</v>
          </cell>
        </row>
        <row r="665">
          <cell r="A665" t="str">
            <v>Guadeloupe</v>
          </cell>
          <cell r="B665">
            <v>312</v>
          </cell>
          <cell r="C665">
            <v>201</v>
          </cell>
          <cell r="D665">
            <v>13</v>
          </cell>
          <cell r="E665" t="str">
            <v>Less: Financial intermediation services indirectly measured (FISIM) (only to be deducted if FISIM is not distributed to uses)</v>
          </cell>
          <cell r="F665">
            <v>0</v>
          </cell>
          <cell r="G665">
            <v>1971</v>
          </cell>
          <cell r="H665">
            <v>20</v>
          </cell>
          <cell r="I665">
            <v>38300000</v>
          </cell>
        </row>
        <row r="666">
          <cell r="A666" t="str">
            <v>Guadeloupe</v>
          </cell>
          <cell r="B666">
            <v>312</v>
          </cell>
          <cell r="C666">
            <v>201</v>
          </cell>
          <cell r="D666">
            <v>13</v>
          </cell>
          <cell r="E666" t="str">
            <v>Less: Financial intermediation services indirectly measured (FISIM) (only to be deducted if FISIM is not distributed to uses)</v>
          </cell>
          <cell r="F666">
            <v>0</v>
          </cell>
          <cell r="G666">
            <v>1972</v>
          </cell>
          <cell r="H666">
            <v>20</v>
          </cell>
          <cell r="I666">
            <v>49200000</v>
          </cell>
        </row>
        <row r="667">
          <cell r="A667" t="str">
            <v>Guadeloupe</v>
          </cell>
          <cell r="B667">
            <v>312</v>
          </cell>
          <cell r="C667">
            <v>201</v>
          </cell>
          <cell r="D667">
            <v>13</v>
          </cell>
          <cell r="E667" t="str">
            <v>Less: Financial intermediation services indirectly measured (FISIM) (only to be deducted if FISIM is not distributed to uses)</v>
          </cell>
          <cell r="F667">
            <v>0</v>
          </cell>
          <cell r="G667">
            <v>1973</v>
          </cell>
          <cell r="H667">
            <v>20</v>
          </cell>
          <cell r="I667">
            <v>60500000</v>
          </cell>
        </row>
        <row r="668">
          <cell r="A668" t="str">
            <v>Guadeloupe</v>
          </cell>
          <cell r="B668">
            <v>312</v>
          </cell>
          <cell r="C668">
            <v>201</v>
          </cell>
          <cell r="D668">
            <v>13</v>
          </cell>
          <cell r="E668" t="str">
            <v>Less: Financial intermediation services indirectly measured (FISIM) (only to be deducted if FISIM is not distributed to uses)</v>
          </cell>
          <cell r="F668">
            <v>0</v>
          </cell>
          <cell r="G668">
            <v>1974</v>
          </cell>
          <cell r="H668">
            <v>20</v>
          </cell>
          <cell r="I668">
            <v>81700000</v>
          </cell>
        </row>
        <row r="669">
          <cell r="A669" t="str">
            <v>Guadeloupe</v>
          </cell>
          <cell r="B669">
            <v>312</v>
          </cell>
          <cell r="C669">
            <v>201</v>
          </cell>
          <cell r="D669">
            <v>13</v>
          </cell>
          <cell r="E669" t="str">
            <v>Less: Financial intermediation services indirectly measured (FISIM) (only to be deducted if FISIM is not distributed to uses)</v>
          </cell>
          <cell r="F669">
            <v>0</v>
          </cell>
          <cell r="G669">
            <v>1975</v>
          </cell>
          <cell r="H669">
            <v>20</v>
          </cell>
          <cell r="I669">
            <v>93800000</v>
          </cell>
        </row>
        <row r="670">
          <cell r="A670" t="str">
            <v>Guadeloupe</v>
          </cell>
          <cell r="B670">
            <v>312</v>
          </cell>
          <cell r="C670">
            <v>201</v>
          </cell>
          <cell r="D670">
            <v>13</v>
          </cell>
          <cell r="E670" t="str">
            <v>Less: Financial intermediation services indirectly measured (FISIM) (only to be deducted if FISIM is not distributed to uses)</v>
          </cell>
          <cell r="F670">
            <v>0</v>
          </cell>
          <cell r="G670">
            <v>1976</v>
          </cell>
          <cell r="H670">
            <v>20</v>
          </cell>
          <cell r="I670">
            <v>114100000</v>
          </cell>
        </row>
        <row r="671">
          <cell r="A671" t="str">
            <v>Guadeloupe</v>
          </cell>
          <cell r="B671">
            <v>312</v>
          </cell>
          <cell r="C671">
            <v>201</v>
          </cell>
          <cell r="D671">
            <v>13</v>
          </cell>
          <cell r="E671" t="str">
            <v>Less: Financial intermediation services indirectly measured (FISIM) (only to be deducted if FISIM is not distributed to uses)</v>
          </cell>
          <cell r="F671">
            <v>0</v>
          </cell>
          <cell r="G671">
            <v>1977</v>
          </cell>
          <cell r="H671">
            <v>20</v>
          </cell>
          <cell r="I671">
            <v>170200000</v>
          </cell>
        </row>
        <row r="672">
          <cell r="A672" t="str">
            <v>Guadeloupe</v>
          </cell>
          <cell r="B672">
            <v>312</v>
          </cell>
          <cell r="C672">
            <v>201</v>
          </cell>
          <cell r="D672">
            <v>13</v>
          </cell>
          <cell r="E672" t="str">
            <v>Less: Financial intermediation services indirectly measured (FISIM) (only to be deducted if FISIM is not distributed to uses)</v>
          </cell>
          <cell r="F672">
            <v>0</v>
          </cell>
          <cell r="G672">
            <v>1978</v>
          </cell>
          <cell r="H672">
            <v>20</v>
          </cell>
          <cell r="I672">
            <v>191300000</v>
          </cell>
        </row>
        <row r="673">
          <cell r="A673" t="str">
            <v>Guadeloupe</v>
          </cell>
          <cell r="B673">
            <v>312</v>
          </cell>
          <cell r="C673">
            <v>201</v>
          </cell>
          <cell r="D673">
            <v>13</v>
          </cell>
          <cell r="E673" t="str">
            <v>Less: Financial intermediation services indirectly measured (FISIM) (only to be deducted if FISIM is not distributed to uses)</v>
          </cell>
          <cell r="F673">
            <v>0</v>
          </cell>
          <cell r="G673">
            <v>1979</v>
          </cell>
          <cell r="H673">
            <v>20</v>
          </cell>
          <cell r="I673">
            <v>226700000</v>
          </cell>
        </row>
        <row r="674">
          <cell r="A674" t="str">
            <v>Guadeloupe</v>
          </cell>
          <cell r="B674">
            <v>312</v>
          </cell>
          <cell r="C674">
            <v>201</v>
          </cell>
          <cell r="D674">
            <v>13</v>
          </cell>
          <cell r="E674" t="str">
            <v>Less: Financial intermediation services indirectly measured (FISIM) (only to be deducted if FISIM is not distributed to uses)</v>
          </cell>
          <cell r="F674">
            <v>0</v>
          </cell>
          <cell r="G674">
            <v>1980</v>
          </cell>
          <cell r="H674">
            <v>20</v>
          </cell>
          <cell r="I674">
            <v>305900000</v>
          </cell>
        </row>
        <row r="675">
          <cell r="A675" t="str">
            <v>Guadeloupe</v>
          </cell>
          <cell r="B675">
            <v>312</v>
          </cell>
          <cell r="C675">
            <v>201</v>
          </cell>
          <cell r="D675">
            <v>13</v>
          </cell>
          <cell r="E675" t="str">
            <v>Less: Financial intermediation services indirectly measured (FISIM) (only to be deducted if FISIM is not distributed to uses)</v>
          </cell>
          <cell r="F675">
            <v>0</v>
          </cell>
          <cell r="G675">
            <v>1981</v>
          </cell>
          <cell r="H675">
            <v>20</v>
          </cell>
          <cell r="I675">
            <v>418500000</v>
          </cell>
        </row>
        <row r="676">
          <cell r="A676" t="str">
            <v>Guadeloupe</v>
          </cell>
          <cell r="B676">
            <v>312</v>
          </cell>
          <cell r="C676">
            <v>201</v>
          </cell>
          <cell r="D676">
            <v>13</v>
          </cell>
          <cell r="E676" t="str">
            <v>Less: Financial intermediation services indirectly measured (FISIM) (only to be deducted if FISIM is not distributed to uses)</v>
          </cell>
          <cell r="F676">
            <v>0</v>
          </cell>
          <cell r="G676">
            <v>1982</v>
          </cell>
          <cell r="H676">
            <v>20</v>
          </cell>
          <cell r="I676">
            <v>486900000</v>
          </cell>
        </row>
        <row r="677">
          <cell r="A677" t="str">
            <v>Guadeloupe</v>
          </cell>
          <cell r="B677">
            <v>312</v>
          </cell>
          <cell r="C677">
            <v>201</v>
          </cell>
          <cell r="D677">
            <v>13</v>
          </cell>
          <cell r="E677" t="str">
            <v>Less: Financial intermediation services indirectly measured (FISIM) (only to be deducted if FISIM is not distributed to uses)</v>
          </cell>
          <cell r="F677">
            <v>0</v>
          </cell>
          <cell r="G677">
            <v>1983</v>
          </cell>
          <cell r="H677">
            <v>20</v>
          </cell>
          <cell r="I677">
            <v>484700000</v>
          </cell>
        </row>
        <row r="678">
          <cell r="A678" t="str">
            <v>Guadeloupe</v>
          </cell>
          <cell r="B678">
            <v>312</v>
          </cell>
          <cell r="C678">
            <v>201</v>
          </cell>
          <cell r="D678">
            <v>13</v>
          </cell>
          <cell r="E678" t="str">
            <v>Less: Financial intermediation services indirectly measured (FISIM) (only to be deducted if FISIM is not distributed to uses)</v>
          </cell>
          <cell r="F678">
            <v>0</v>
          </cell>
          <cell r="G678">
            <v>1984</v>
          </cell>
          <cell r="H678">
            <v>20</v>
          </cell>
          <cell r="I678">
            <v>560500000</v>
          </cell>
        </row>
        <row r="679">
          <cell r="A679" t="str">
            <v>Guadeloupe</v>
          </cell>
          <cell r="B679">
            <v>312</v>
          </cell>
          <cell r="C679">
            <v>201</v>
          </cell>
          <cell r="D679">
            <v>13</v>
          </cell>
          <cell r="E679" t="str">
            <v>Less: Financial intermediation services indirectly measured (FISIM) (only to be deducted if FISIM is not distributed to uses)</v>
          </cell>
          <cell r="F679">
            <v>0</v>
          </cell>
          <cell r="G679">
            <v>1985</v>
          </cell>
          <cell r="H679">
            <v>20</v>
          </cell>
          <cell r="I679">
            <v>600600000</v>
          </cell>
        </row>
        <row r="680">
          <cell r="A680" t="str">
            <v>Guadeloupe</v>
          </cell>
          <cell r="B680">
            <v>312</v>
          </cell>
          <cell r="C680">
            <v>201</v>
          </cell>
          <cell r="D680">
            <v>13</v>
          </cell>
          <cell r="E680" t="str">
            <v>Less: Financial intermediation services indirectly measured (FISIM) (only to be deducted if FISIM is not distributed to uses)</v>
          </cell>
          <cell r="F680">
            <v>0</v>
          </cell>
          <cell r="G680">
            <v>1986</v>
          </cell>
          <cell r="H680">
            <v>20</v>
          </cell>
          <cell r="I680">
            <v>628100000</v>
          </cell>
        </row>
        <row r="681">
          <cell r="A681" t="str">
            <v>Guadeloupe</v>
          </cell>
          <cell r="B681">
            <v>312</v>
          </cell>
          <cell r="C681">
            <v>201</v>
          </cell>
          <cell r="D681">
            <v>13</v>
          </cell>
          <cell r="E681" t="str">
            <v>Less: Financial intermediation services indirectly measured (FISIM) (only to be deducted if FISIM is not distributed to uses)</v>
          </cell>
          <cell r="F681">
            <v>0</v>
          </cell>
          <cell r="G681">
            <v>1987</v>
          </cell>
          <cell r="H681">
            <v>20</v>
          </cell>
          <cell r="I681">
            <v>794800000</v>
          </cell>
        </row>
        <row r="682">
          <cell r="A682" t="str">
            <v>Guadeloupe</v>
          </cell>
          <cell r="B682">
            <v>312</v>
          </cell>
          <cell r="C682">
            <v>201</v>
          </cell>
          <cell r="D682">
            <v>13</v>
          </cell>
          <cell r="E682" t="str">
            <v>Less: Financial intermediation services indirectly measured (FISIM) (only to be deducted if FISIM is not distributed to uses)</v>
          </cell>
          <cell r="F682">
            <v>0</v>
          </cell>
          <cell r="G682">
            <v>1988</v>
          </cell>
          <cell r="H682">
            <v>20</v>
          </cell>
          <cell r="I682">
            <v>971900000</v>
          </cell>
        </row>
        <row r="683">
          <cell r="A683" t="str">
            <v>Guadeloupe</v>
          </cell>
          <cell r="B683">
            <v>312</v>
          </cell>
          <cell r="C683">
            <v>201</v>
          </cell>
          <cell r="D683">
            <v>13</v>
          </cell>
          <cell r="E683" t="str">
            <v>Less: Financial intermediation services indirectly measured (FISIM) (only to be deducted if FISIM is not distributed to uses)</v>
          </cell>
          <cell r="F683">
            <v>0</v>
          </cell>
          <cell r="G683">
            <v>1989</v>
          </cell>
          <cell r="H683">
            <v>20</v>
          </cell>
          <cell r="I683">
            <v>1160300000</v>
          </cell>
        </row>
        <row r="684">
          <cell r="A684" t="str">
            <v>Guadeloupe</v>
          </cell>
          <cell r="B684">
            <v>312</v>
          </cell>
          <cell r="C684">
            <v>201</v>
          </cell>
          <cell r="D684">
            <v>13</v>
          </cell>
          <cell r="E684" t="str">
            <v>Less: Financial intermediation services indirectly measured (FISIM) (only to be deducted if FISIM is not distributed to uses)</v>
          </cell>
          <cell r="F684">
            <v>0</v>
          </cell>
          <cell r="G684">
            <v>1990</v>
          </cell>
          <cell r="H684">
            <v>20</v>
          </cell>
          <cell r="I684">
            <v>1222300000</v>
          </cell>
        </row>
        <row r="685">
          <cell r="A685" t="str">
            <v>Guadeloupe</v>
          </cell>
          <cell r="B685">
            <v>312</v>
          </cell>
          <cell r="C685">
            <v>201</v>
          </cell>
          <cell r="D685">
            <v>13</v>
          </cell>
          <cell r="E685" t="str">
            <v>Less: Financial intermediation services indirectly measured (FISIM) (only to be deducted if FISIM is not distributed to uses)</v>
          </cell>
          <cell r="F685">
            <v>0</v>
          </cell>
          <cell r="G685">
            <v>1991</v>
          </cell>
          <cell r="H685">
            <v>20</v>
          </cell>
          <cell r="I685">
            <v>1535200000</v>
          </cell>
        </row>
        <row r="686">
          <cell r="A686" t="str">
            <v>Guadeloupe</v>
          </cell>
          <cell r="B686">
            <v>312</v>
          </cell>
          <cell r="C686">
            <v>201</v>
          </cell>
          <cell r="D686">
            <v>13</v>
          </cell>
          <cell r="E686" t="str">
            <v>Less: Financial intermediation services indirectly measured (FISIM) (only to be deducted if FISIM is not distributed to uses)</v>
          </cell>
          <cell r="F686">
            <v>0</v>
          </cell>
          <cell r="G686">
            <v>1992</v>
          </cell>
          <cell r="H686">
            <v>20</v>
          </cell>
          <cell r="I686">
            <v>1311200000</v>
          </cell>
        </row>
        <row r="687">
          <cell r="A687" t="str">
            <v>China, Hong Kong Special Administrative Region</v>
          </cell>
          <cell r="B687">
            <v>344</v>
          </cell>
          <cell r="C687">
            <v>201</v>
          </cell>
          <cell r="D687">
            <v>13</v>
          </cell>
          <cell r="E687" t="str">
            <v>Less: Financial intermediation services indirectly measured (FISIM) (only to be deducted if FISIM is not distributed to uses)</v>
          </cell>
          <cell r="F687">
            <v>0</v>
          </cell>
          <cell r="G687">
            <v>1980</v>
          </cell>
          <cell r="H687">
            <v>10</v>
          </cell>
          <cell r="I687">
            <v>7200000000</v>
          </cell>
        </row>
        <row r="688">
          <cell r="A688" t="str">
            <v>China, Hong Kong Special Administrative Region</v>
          </cell>
          <cell r="B688">
            <v>344</v>
          </cell>
          <cell r="C688">
            <v>201</v>
          </cell>
          <cell r="D688">
            <v>13</v>
          </cell>
          <cell r="E688" t="str">
            <v>Less: Financial intermediation services indirectly measured (FISIM) (only to be deducted if FISIM is not distributed to uses)</v>
          </cell>
          <cell r="F688">
            <v>0</v>
          </cell>
          <cell r="G688">
            <v>1981</v>
          </cell>
          <cell r="H688">
            <v>10</v>
          </cell>
          <cell r="I688">
            <v>10325000000</v>
          </cell>
        </row>
        <row r="689">
          <cell r="A689" t="str">
            <v>China, Hong Kong Special Administrative Region</v>
          </cell>
          <cell r="B689">
            <v>344</v>
          </cell>
          <cell r="C689">
            <v>201</v>
          </cell>
          <cell r="D689">
            <v>13</v>
          </cell>
          <cell r="E689" t="str">
            <v>Less: Financial intermediation services indirectly measured (FISIM) (only to be deducted if FISIM is not distributed to uses)</v>
          </cell>
          <cell r="F689">
            <v>0</v>
          </cell>
          <cell r="G689">
            <v>1982</v>
          </cell>
          <cell r="H689">
            <v>10</v>
          </cell>
          <cell r="I689">
            <v>11405000000</v>
          </cell>
        </row>
        <row r="690">
          <cell r="A690" t="str">
            <v>China, Hong Kong Special Administrative Region</v>
          </cell>
          <cell r="B690">
            <v>344</v>
          </cell>
          <cell r="C690">
            <v>201</v>
          </cell>
          <cell r="D690">
            <v>13</v>
          </cell>
          <cell r="E690" t="str">
            <v>Less: Financial intermediation services indirectly measured (FISIM) (only to be deducted if FISIM is not distributed to uses)</v>
          </cell>
          <cell r="F690">
            <v>0</v>
          </cell>
          <cell r="G690">
            <v>1983</v>
          </cell>
          <cell r="H690">
            <v>10</v>
          </cell>
          <cell r="I690">
            <v>11848000000</v>
          </cell>
        </row>
        <row r="691">
          <cell r="A691" t="str">
            <v>China, Hong Kong Special Administrative Region</v>
          </cell>
          <cell r="B691">
            <v>344</v>
          </cell>
          <cell r="C691">
            <v>201</v>
          </cell>
          <cell r="D691">
            <v>13</v>
          </cell>
          <cell r="E691" t="str">
            <v>Less: Financial intermediation services indirectly measured (FISIM) (only to be deducted if FISIM is not distributed to uses)</v>
          </cell>
          <cell r="F691">
            <v>0</v>
          </cell>
          <cell r="G691">
            <v>1984</v>
          </cell>
          <cell r="H691">
            <v>10</v>
          </cell>
          <cell r="I691">
            <v>11725000000</v>
          </cell>
        </row>
        <row r="692">
          <cell r="A692" t="str">
            <v>China, Hong Kong Special Administrative Region</v>
          </cell>
          <cell r="B692">
            <v>344</v>
          </cell>
          <cell r="C692">
            <v>201</v>
          </cell>
          <cell r="D692">
            <v>13</v>
          </cell>
          <cell r="E692" t="str">
            <v>Less: Financial intermediation services indirectly measured (FISIM) (only to be deducted if FISIM is not distributed to uses)</v>
          </cell>
          <cell r="F692">
            <v>0</v>
          </cell>
          <cell r="G692">
            <v>1985</v>
          </cell>
          <cell r="H692">
            <v>10</v>
          </cell>
          <cell r="I692">
            <v>11722000000</v>
          </cell>
        </row>
        <row r="693">
          <cell r="A693" t="str">
            <v>China, Hong Kong Special Administrative Region</v>
          </cell>
          <cell r="B693">
            <v>344</v>
          </cell>
          <cell r="C693">
            <v>201</v>
          </cell>
          <cell r="D693">
            <v>13</v>
          </cell>
          <cell r="E693" t="str">
            <v>Less: Financial intermediation services indirectly measured (FISIM) (only to be deducted if FISIM is not distributed to uses)</v>
          </cell>
          <cell r="F693">
            <v>0</v>
          </cell>
          <cell r="G693">
            <v>1986</v>
          </cell>
          <cell r="H693">
            <v>10</v>
          </cell>
          <cell r="I693">
            <v>13079000000</v>
          </cell>
        </row>
        <row r="694">
          <cell r="A694" t="str">
            <v>China, Hong Kong Special Administrative Region</v>
          </cell>
          <cell r="B694">
            <v>344</v>
          </cell>
          <cell r="C694">
            <v>201</v>
          </cell>
          <cell r="D694">
            <v>13</v>
          </cell>
          <cell r="E694" t="str">
            <v>Less: Financial intermediation services indirectly measured (FISIM) (only to be deducted if FISIM is not distributed to uses)</v>
          </cell>
          <cell r="F694">
            <v>0</v>
          </cell>
          <cell r="G694">
            <v>1987</v>
          </cell>
          <cell r="H694">
            <v>10</v>
          </cell>
          <cell r="I694">
            <v>17743000000</v>
          </cell>
        </row>
        <row r="695">
          <cell r="A695" t="str">
            <v>China, Hong Kong Special Administrative Region</v>
          </cell>
          <cell r="B695">
            <v>344</v>
          </cell>
          <cell r="C695">
            <v>201</v>
          </cell>
          <cell r="D695">
            <v>13</v>
          </cell>
          <cell r="E695" t="str">
            <v>Less: Financial intermediation services indirectly measured (FISIM) (only to be deducted if FISIM is not distributed to uses)</v>
          </cell>
          <cell r="F695">
            <v>0</v>
          </cell>
          <cell r="G695">
            <v>1988</v>
          </cell>
          <cell r="H695">
            <v>10</v>
          </cell>
          <cell r="I695">
            <v>21313000000</v>
          </cell>
        </row>
        <row r="696">
          <cell r="A696" t="str">
            <v>China, Hong Kong Special Administrative Region</v>
          </cell>
          <cell r="B696">
            <v>344</v>
          </cell>
          <cell r="C696">
            <v>201</v>
          </cell>
          <cell r="D696">
            <v>13</v>
          </cell>
          <cell r="E696" t="str">
            <v>Less: Financial intermediation services indirectly measured (FISIM) (only to be deducted if FISIM is not distributed to uses)</v>
          </cell>
          <cell r="F696">
            <v>0</v>
          </cell>
          <cell r="G696">
            <v>1989</v>
          </cell>
          <cell r="H696">
            <v>10</v>
          </cell>
          <cell r="I696">
            <v>23800000000</v>
          </cell>
        </row>
        <row r="697">
          <cell r="A697" t="str">
            <v>China, Hong Kong Special Administrative Region</v>
          </cell>
          <cell r="B697">
            <v>344</v>
          </cell>
          <cell r="C697">
            <v>201</v>
          </cell>
          <cell r="D697">
            <v>13</v>
          </cell>
          <cell r="E697" t="str">
            <v>Less: Financial intermediation services indirectly measured (FISIM) (only to be deducted if FISIM is not distributed to uses)</v>
          </cell>
          <cell r="F697">
            <v>0</v>
          </cell>
          <cell r="G697">
            <v>1990</v>
          </cell>
          <cell r="H697">
            <v>10</v>
          </cell>
          <cell r="I697">
            <v>30741000000</v>
          </cell>
        </row>
        <row r="698">
          <cell r="A698" t="str">
            <v>China, Hong Kong Special Administrative Region</v>
          </cell>
          <cell r="B698">
            <v>344</v>
          </cell>
          <cell r="C698">
            <v>201</v>
          </cell>
          <cell r="D698">
            <v>13</v>
          </cell>
          <cell r="E698" t="str">
            <v>Less: Financial intermediation services indirectly measured (FISIM) (only to be deducted if FISIM is not distributed to uses)</v>
          </cell>
          <cell r="F698">
            <v>0</v>
          </cell>
          <cell r="G698">
            <v>1991</v>
          </cell>
          <cell r="H698">
            <v>10</v>
          </cell>
          <cell r="I698">
            <v>45902000000</v>
          </cell>
        </row>
        <row r="699">
          <cell r="A699" t="str">
            <v>China, Hong Kong Special Administrative Region</v>
          </cell>
          <cell r="B699">
            <v>344</v>
          </cell>
          <cell r="C699">
            <v>201</v>
          </cell>
          <cell r="D699">
            <v>13</v>
          </cell>
          <cell r="E699" t="str">
            <v>Less: Financial intermediation services indirectly measured (FISIM) (only to be deducted if FISIM is not distributed to uses)</v>
          </cell>
          <cell r="F699">
            <v>0</v>
          </cell>
          <cell r="G699">
            <v>1992</v>
          </cell>
          <cell r="H699">
            <v>10</v>
          </cell>
          <cell r="I699">
            <v>54846000000</v>
          </cell>
        </row>
        <row r="700">
          <cell r="A700" t="str">
            <v>China, Hong Kong Special Administrative Region</v>
          </cell>
          <cell r="B700">
            <v>344</v>
          </cell>
          <cell r="C700">
            <v>201</v>
          </cell>
          <cell r="D700">
            <v>13</v>
          </cell>
          <cell r="E700" t="str">
            <v>Less: Financial intermediation services indirectly measured (FISIM) (only to be deducted if FISIM is not distributed to uses)</v>
          </cell>
          <cell r="F700">
            <v>0</v>
          </cell>
          <cell r="G700">
            <v>1992</v>
          </cell>
          <cell r="H700">
            <v>100</v>
          </cell>
          <cell r="I700">
            <v>54846000000</v>
          </cell>
        </row>
        <row r="701">
          <cell r="A701" t="str">
            <v>China, Hong Kong Special Administrative Region</v>
          </cell>
          <cell r="B701">
            <v>344</v>
          </cell>
          <cell r="C701">
            <v>201</v>
          </cell>
          <cell r="D701">
            <v>13</v>
          </cell>
          <cell r="E701" t="str">
            <v>Less: Financial intermediation services indirectly measured (FISIM) (only to be deducted if FISIM is not distributed to uses)</v>
          </cell>
          <cell r="F701">
            <v>0</v>
          </cell>
          <cell r="G701">
            <v>1993</v>
          </cell>
          <cell r="H701">
            <v>100</v>
          </cell>
          <cell r="I701">
            <v>63177000000</v>
          </cell>
        </row>
        <row r="702">
          <cell r="A702" t="str">
            <v>China, Hong Kong Special Administrative Region</v>
          </cell>
          <cell r="B702">
            <v>344</v>
          </cell>
          <cell r="C702">
            <v>201</v>
          </cell>
          <cell r="D702">
            <v>13</v>
          </cell>
          <cell r="E702" t="str">
            <v>Less: Financial intermediation services indirectly measured (FISIM) (only to be deducted if FISIM is not distributed to uses)</v>
          </cell>
          <cell r="F702">
            <v>0</v>
          </cell>
          <cell r="G702">
            <v>1994</v>
          </cell>
          <cell r="H702">
            <v>100</v>
          </cell>
          <cell r="I702">
            <v>70101000000</v>
          </cell>
        </row>
        <row r="703">
          <cell r="A703" t="str">
            <v>China, Hong Kong Special Administrative Region</v>
          </cell>
          <cell r="B703">
            <v>344</v>
          </cell>
          <cell r="C703">
            <v>201</v>
          </cell>
          <cell r="D703">
            <v>13</v>
          </cell>
          <cell r="E703" t="str">
            <v>Less: Financial intermediation services indirectly measured (FISIM) (only to be deducted if FISIM is not distributed to uses)</v>
          </cell>
          <cell r="F703">
            <v>0</v>
          </cell>
          <cell r="G703">
            <v>1995</v>
          </cell>
          <cell r="H703">
            <v>100</v>
          </cell>
          <cell r="I703">
            <v>80358000000</v>
          </cell>
        </row>
        <row r="704">
          <cell r="A704" t="str">
            <v>China, Hong Kong Special Administrative Region</v>
          </cell>
          <cell r="B704">
            <v>344</v>
          </cell>
          <cell r="C704">
            <v>201</v>
          </cell>
          <cell r="D704">
            <v>13</v>
          </cell>
          <cell r="E704" t="str">
            <v>Less: Financial intermediation services indirectly measured (FISIM) (only to be deducted if FISIM is not distributed to uses)</v>
          </cell>
          <cell r="F704">
            <v>0</v>
          </cell>
          <cell r="G704">
            <v>1996</v>
          </cell>
          <cell r="H704">
            <v>100</v>
          </cell>
          <cell r="I704">
            <v>89356000000</v>
          </cell>
        </row>
        <row r="705">
          <cell r="A705" t="str">
            <v>China, Hong Kong Special Administrative Region</v>
          </cell>
          <cell r="B705">
            <v>344</v>
          </cell>
          <cell r="C705">
            <v>201</v>
          </cell>
          <cell r="D705">
            <v>13</v>
          </cell>
          <cell r="E705" t="str">
            <v>Less: Financial intermediation services indirectly measured (FISIM) (only to be deducted if FISIM is not distributed to uses)</v>
          </cell>
          <cell r="F705">
            <v>0</v>
          </cell>
          <cell r="G705">
            <v>1997</v>
          </cell>
          <cell r="H705">
            <v>100</v>
          </cell>
          <cell r="I705">
            <v>90164000000</v>
          </cell>
        </row>
        <row r="706">
          <cell r="A706" t="str">
            <v>China, Hong Kong Special Administrative Region</v>
          </cell>
          <cell r="B706">
            <v>344</v>
          </cell>
          <cell r="C706">
            <v>201</v>
          </cell>
          <cell r="D706">
            <v>13</v>
          </cell>
          <cell r="E706" t="str">
            <v>Less: Financial intermediation services indirectly measured (FISIM) (only to be deducted if FISIM is not distributed to uses)</v>
          </cell>
          <cell r="F706">
            <v>0</v>
          </cell>
          <cell r="G706">
            <v>1998</v>
          </cell>
          <cell r="H706">
            <v>100</v>
          </cell>
          <cell r="I706">
            <v>89446000000</v>
          </cell>
        </row>
        <row r="707">
          <cell r="A707" t="str">
            <v>China, Hong Kong Special Administrative Region</v>
          </cell>
          <cell r="B707">
            <v>344</v>
          </cell>
          <cell r="C707">
            <v>201</v>
          </cell>
          <cell r="D707">
            <v>13</v>
          </cell>
          <cell r="E707" t="str">
            <v>Less: Financial intermediation services indirectly measured (FISIM) (only to be deducted if FISIM is not distributed to uses)</v>
          </cell>
          <cell r="F707">
            <v>0</v>
          </cell>
          <cell r="G707">
            <v>1999</v>
          </cell>
          <cell r="H707">
            <v>100</v>
          </cell>
          <cell r="I707">
            <v>94580000000</v>
          </cell>
        </row>
        <row r="708">
          <cell r="A708" t="str">
            <v>China, Hong Kong Special Administrative Region</v>
          </cell>
          <cell r="B708">
            <v>344</v>
          </cell>
          <cell r="C708">
            <v>201</v>
          </cell>
          <cell r="D708">
            <v>13</v>
          </cell>
          <cell r="E708" t="str">
            <v>Less: Financial intermediation services indirectly measured (FISIM) (only to be deducted if FISIM is not distributed to uses)</v>
          </cell>
          <cell r="F708">
            <v>0</v>
          </cell>
          <cell r="G708">
            <v>2000</v>
          </cell>
          <cell r="H708">
            <v>100</v>
          </cell>
          <cell r="I708">
            <v>95945000000</v>
          </cell>
        </row>
        <row r="709">
          <cell r="A709" t="str">
            <v>China, Hong Kong Special Administrative Region</v>
          </cell>
          <cell r="B709">
            <v>344</v>
          </cell>
          <cell r="C709">
            <v>201</v>
          </cell>
          <cell r="D709">
            <v>13</v>
          </cell>
          <cell r="E709" t="str">
            <v>Less: Financial intermediation services indirectly measured (FISIM) (only to be deducted if FISIM is not distributed to uses)</v>
          </cell>
          <cell r="F709">
            <v>0</v>
          </cell>
          <cell r="G709">
            <v>2001</v>
          </cell>
          <cell r="H709">
            <v>100</v>
          </cell>
          <cell r="I709">
            <v>95582000000</v>
          </cell>
        </row>
        <row r="710">
          <cell r="A710" t="str">
            <v>China, Hong Kong Special Administrative Region</v>
          </cell>
          <cell r="B710">
            <v>344</v>
          </cell>
          <cell r="C710">
            <v>201</v>
          </cell>
          <cell r="D710">
            <v>13</v>
          </cell>
          <cell r="E710" t="str">
            <v>Less: Financial intermediation services indirectly measured (FISIM) (only to be deducted if FISIM is not distributed to uses)</v>
          </cell>
          <cell r="F710">
            <v>0</v>
          </cell>
          <cell r="G710">
            <v>2002</v>
          </cell>
          <cell r="H710">
            <v>100</v>
          </cell>
          <cell r="I710">
            <v>92328000000</v>
          </cell>
        </row>
        <row r="711">
          <cell r="A711" t="str">
            <v>China, Hong Kong Special Administrative Region</v>
          </cell>
          <cell r="B711">
            <v>344</v>
          </cell>
          <cell r="C711">
            <v>201</v>
          </cell>
          <cell r="D711">
            <v>13</v>
          </cell>
          <cell r="E711" t="str">
            <v>Less: Financial intermediation services indirectly measured (FISIM) (only to be deducted if FISIM is not distributed to uses)</v>
          </cell>
          <cell r="F711">
            <v>0</v>
          </cell>
          <cell r="G711">
            <v>2003</v>
          </cell>
          <cell r="H711">
            <v>100</v>
          </cell>
          <cell r="I711">
            <v>88407000000</v>
          </cell>
        </row>
        <row r="712">
          <cell r="A712" t="str">
            <v>China, Hong Kong Special Administrative Region</v>
          </cell>
          <cell r="B712">
            <v>344</v>
          </cell>
          <cell r="C712">
            <v>203</v>
          </cell>
          <cell r="D712">
            <v>3</v>
          </cell>
          <cell r="E712" t="str">
            <v>Equals: VALUE ADDED, GROSS, at basic prices</v>
          </cell>
          <cell r="F712">
            <v>12</v>
          </cell>
          <cell r="G712">
            <v>1980</v>
          </cell>
          <cell r="H712">
            <v>10</v>
          </cell>
          <cell r="I712">
            <v>141651000000</v>
          </cell>
        </row>
        <row r="713">
          <cell r="A713" t="str">
            <v>China, Hong Kong Special Administrative Region</v>
          </cell>
          <cell r="B713">
            <v>344</v>
          </cell>
          <cell r="C713">
            <v>203</v>
          </cell>
          <cell r="D713">
            <v>3</v>
          </cell>
          <cell r="E713" t="str">
            <v>Equals: VALUE ADDED, GROSS, at basic prices</v>
          </cell>
          <cell r="F713">
            <v>12</v>
          </cell>
          <cell r="G713">
            <v>1981</v>
          </cell>
          <cell r="H713">
            <v>10</v>
          </cell>
          <cell r="I713">
            <v>175036000000</v>
          </cell>
        </row>
        <row r="714">
          <cell r="A714" t="str">
            <v>China, Hong Kong Special Administrative Region</v>
          </cell>
          <cell r="B714">
            <v>344</v>
          </cell>
          <cell r="C714">
            <v>203</v>
          </cell>
          <cell r="D714">
            <v>3</v>
          </cell>
          <cell r="E714" t="str">
            <v>Equals: VALUE ADDED, GROSS, at basic prices</v>
          </cell>
          <cell r="F714">
            <v>12</v>
          </cell>
          <cell r="G714">
            <v>1982</v>
          </cell>
          <cell r="H714">
            <v>10</v>
          </cell>
          <cell r="I714">
            <v>194610000000</v>
          </cell>
        </row>
        <row r="715">
          <cell r="A715" t="str">
            <v>China, Hong Kong Special Administrative Region</v>
          </cell>
          <cell r="B715">
            <v>344</v>
          </cell>
          <cell r="C715">
            <v>203</v>
          </cell>
          <cell r="D715">
            <v>3</v>
          </cell>
          <cell r="E715" t="str">
            <v>Equals: VALUE ADDED, GROSS, at basic prices</v>
          </cell>
          <cell r="F715">
            <v>12</v>
          </cell>
          <cell r="G715">
            <v>1983</v>
          </cell>
          <cell r="H715">
            <v>10</v>
          </cell>
          <cell r="I715">
            <v>213362000000</v>
          </cell>
        </row>
        <row r="716">
          <cell r="A716" t="str">
            <v>China, Hong Kong Special Administrative Region</v>
          </cell>
          <cell r="B716">
            <v>344</v>
          </cell>
          <cell r="C716">
            <v>203</v>
          </cell>
          <cell r="D716">
            <v>3</v>
          </cell>
          <cell r="E716" t="str">
            <v>Equals: VALUE ADDED, GROSS, at basic prices</v>
          </cell>
          <cell r="F716">
            <v>12</v>
          </cell>
          <cell r="G716">
            <v>1984</v>
          </cell>
          <cell r="H716">
            <v>10</v>
          </cell>
          <cell r="I716">
            <v>251513000000</v>
          </cell>
        </row>
        <row r="717">
          <cell r="A717" t="str">
            <v>China, Hong Kong Special Administrative Region</v>
          </cell>
          <cell r="B717">
            <v>344</v>
          </cell>
          <cell r="C717">
            <v>203</v>
          </cell>
          <cell r="D717">
            <v>3</v>
          </cell>
          <cell r="E717" t="str">
            <v>Equals: VALUE ADDED, GROSS, at basic prices</v>
          </cell>
          <cell r="F717">
            <v>12</v>
          </cell>
          <cell r="G717">
            <v>1985</v>
          </cell>
          <cell r="H717">
            <v>10</v>
          </cell>
          <cell r="I717">
            <v>265596000000</v>
          </cell>
        </row>
        <row r="718">
          <cell r="A718" t="str">
            <v>China, Hong Kong Special Administrative Region</v>
          </cell>
          <cell r="B718">
            <v>344</v>
          </cell>
          <cell r="C718">
            <v>203</v>
          </cell>
          <cell r="D718">
            <v>3</v>
          </cell>
          <cell r="E718" t="str">
            <v>Equals: VALUE ADDED, GROSS, at basic prices</v>
          </cell>
          <cell r="F718">
            <v>12</v>
          </cell>
          <cell r="G718">
            <v>1986</v>
          </cell>
          <cell r="H718">
            <v>10</v>
          </cell>
          <cell r="I718">
            <v>309086000000</v>
          </cell>
        </row>
        <row r="719">
          <cell r="A719" t="str">
            <v>China, Hong Kong Special Administrative Region</v>
          </cell>
          <cell r="B719">
            <v>344</v>
          </cell>
          <cell r="C719">
            <v>203</v>
          </cell>
          <cell r="D719">
            <v>3</v>
          </cell>
          <cell r="E719" t="str">
            <v>Equals: VALUE ADDED, GROSS, at basic prices</v>
          </cell>
          <cell r="F719">
            <v>12</v>
          </cell>
          <cell r="G719">
            <v>1987</v>
          </cell>
          <cell r="H719">
            <v>10</v>
          </cell>
          <cell r="I719">
            <v>384538000000</v>
          </cell>
        </row>
        <row r="720">
          <cell r="A720" t="str">
            <v>China, Hong Kong Special Administrative Region</v>
          </cell>
          <cell r="B720">
            <v>344</v>
          </cell>
          <cell r="C720">
            <v>203</v>
          </cell>
          <cell r="D720">
            <v>3</v>
          </cell>
          <cell r="E720" t="str">
            <v>Equals: VALUE ADDED, GROSS, at basic prices</v>
          </cell>
          <cell r="F720">
            <v>12</v>
          </cell>
          <cell r="G720">
            <v>1988</v>
          </cell>
          <cell r="H720">
            <v>10</v>
          </cell>
          <cell r="I720">
            <v>459567000000</v>
          </cell>
        </row>
        <row r="721">
          <cell r="A721" t="str">
            <v>China, Hong Kong Special Administrative Region</v>
          </cell>
          <cell r="B721">
            <v>344</v>
          </cell>
          <cell r="C721">
            <v>203</v>
          </cell>
          <cell r="D721">
            <v>3</v>
          </cell>
          <cell r="E721" t="str">
            <v>Equals: VALUE ADDED, GROSS, at basic prices</v>
          </cell>
          <cell r="F721">
            <v>12</v>
          </cell>
          <cell r="G721">
            <v>1989</v>
          </cell>
          <cell r="H721">
            <v>10</v>
          </cell>
          <cell r="I721">
            <v>499000000000</v>
          </cell>
        </row>
        <row r="722">
          <cell r="A722" t="str">
            <v>China, Hong Kong Special Administrative Region</v>
          </cell>
          <cell r="B722">
            <v>344</v>
          </cell>
          <cell r="C722">
            <v>203</v>
          </cell>
          <cell r="D722">
            <v>3</v>
          </cell>
          <cell r="E722" t="str">
            <v>Equals: VALUE ADDED, GROSS, at basic prices</v>
          </cell>
          <cell r="F722">
            <v>12</v>
          </cell>
          <cell r="G722">
            <v>1990</v>
          </cell>
          <cell r="H722">
            <v>10</v>
          </cell>
          <cell r="I722">
            <v>559000000000</v>
          </cell>
        </row>
        <row r="723">
          <cell r="A723" t="str">
            <v>China, Hong Kong Special Administrative Region</v>
          </cell>
          <cell r="B723">
            <v>344</v>
          </cell>
          <cell r="C723">
            <v>203</v>
          </cell>
          <cell r="D723">
            <v>3</v>
          </cell>
          <cell r="E723" t="str">
            <v>Equals: VALUE ADDED, GROSS, at basic prices</v>
          </cell>
          <cell r="F723">
            <v>12</v>
          </cell>
          <cell r="G723">
            <v>1991</v>
          </cell>
          <cell r="H723">
            <v>10</v>
          </cell>
          <cell r="I723">
            <v>632000000000</v>
          </cell>
        </row>
        <row r="724">
          <cell r="A724" t="str">
            <v>China, Hong Kong Special Administrative Region</v>
          </cell>
          <cell r="B724">
            <v>344</v>
          </cell>
          <cell r="C724">
            <v>203</v>
          </cell>
          <cell r="D724">
            <v>3</v>
          </cell>
          <cell r="E724" t="str">
            <v>Equals: VALUE ADDED, GROSS, at basic prices</v>
          </cell>
          <cell r="F724">
            <v>12</v>
          </cell>
          <cell r="G724">
            <v>1992</v>
          </cell>
          <cell r="H724">
            <v>10</v>
          </cell>
          <cell r="I724">
            <v>732120000000</v>
          </cell>
        </row>
        <row r="725">
          <cell r="A725" t="str">
            <v>China, Hong Kong Special Administrative Region</v>
          </cell>
          <cell r="B725">
            <v>344</v>
          </cell>
          <cell r="C725">
            <v>203</v>
          </cell>
          <cell r="D725">
            <v>3</v>
          </cell>
          <cell r="E725" t="str">
            <v>Equals: VALUE ADDED, GROSS, at basic prices</v>
          </cell>
          <cell r="F725">
            <v>12</v>
          </cell>
          <cell r="G725">
            <v>1992</v>
          </cell>
          <cell r="H725">
            <v>100</v>
          </cell>
          <cell r="I725">
            <v>797606000000</v>
          </cell>
        </row>
        <row r="726">
          <cell r="A726" t="str">
            <v>China, Hong Kong Special Administrative Region</v>
          </cell>
          <cell r="B726">
            <v>344</v>
          </cell>
          <cell r="C726">
            <v>203</v>
          </cell>
          <cell r="D726">
            <v>3</v>
          </cell>
          <cell r="E726" t="str">
            <v>Equals: VALUE ADDED, GROSS, at basic prices</v>
          </cell>
          <cell r="F726">
            <v>12</v>
          </cell>
          <cell r="G726">
            <v>1993</v>
          </cell>
          <cell r="H726">
            <v>100</v>
          </cell>
          <cell r="I726">
            <v>907499000000</v>
          </cell>
        </row>
        <row r="727">
          <cell r="A727" t="str">
            <v>China, Hong Kong Special Administrative Region</v>
          </cell>
          <cell r="B727">
            <v>344</v>
          </cell>
          <cell r="C727">
            <v>203</v>
          </cell>
          <cell r="D727">
            <v>3</v>
          </cell>
          <cell r="E727" t="str">
            <v>Equals: VALUE ADDED, GROSS, at basic prices</v>
          </cell>
          <cell r="F727">
            <v>12</v>
          </cell>
          <cell r="G727">
            <v>1994</v>
          </cell>
          <cell r="H727">
            <v>100</v>
          </cell>
          <cell r="I727">
            <v>1039001000000</v>
          </cell>
        </row>
        <row r="728">
          <cell r="A728" t="str">
            <v>China, Hong Kong Special Administrative Region</v>
          </cell>
          <cell r="B728">
            <v>344</v>
          </cell>
          <cell r="C728">
            <v>203</v>
          </cell>
          <cell r="D728">
            <v>3</v>
          </cell>
          <cell r="E728" t="str">
            <v>Equals: VALUE ADDED, GROSS, at basic prices</v>
          </cell>
          <cell r="F728">
            <v>12</v>
          </cell>
          <cell r="G728">
            <v>1995</v>
          </cell>
          <cell r="H728">
            <v>100</v>
          </cell>
          <cell r="I728">
            <v>1121430000000</v>
          </cell>
        </row>
        <row r="729">
          <cell r="A729" t="str">
            <v>China, Hong Kong Special Administrative Region</v>
          </cell>
          <cell r="B729">
            <v>344</v>
          </cell>
          <cell r="C729">
            <v>203</v>
          </cell>
          <cell r="D729">
            <v>3</v>
          </cell>
          <cell r="E729" t="str">
            <v>Equals: VALUE ADDED, GROSS, at basic prices</v>
          </cell>
          <cell r="F729">
            <v>12</v>
          </cell>
          <cell r="G729">
            <v>1996</v>
          </cell>
          <cell r="H729">
            <v>100</v>
          </cell>
          <cell r="I729">
            <v>1248319000000</v>
          </cell>
        </row>
        <row r="730">
          <cell r="A730" t="str">
            <v>China, Hong Kong Special Administrative Region</v>
          </cell>
          <cell r="B730">
            <v>344</v>
          </cell>
          <cell r="C730">
            <v>203</v>
          </cell>
          <cell r="D730">
            <v>3</v>
          </cell>
          <cell r="E730" t="str">
            <v>Equals: VALUE ADDED, GROSS, at basic prices</v>
          </cell>
          <cell r="F730">
            <v>12</v>
          </cell>
          <cell r="G730">
            <v>1997</v>
          </cell>
          <cell r="H730">
            <v>100</v>
          </cell>
          <cell r="I730">
            <v>1357653000000</v>
          </cell>
        </row>
        <row r="731">
          <cell r="A731" t="str">
            <v>China, Hong Kong Special Administrative Region</v>
          </cell>
          <cell r="B731">
            <v>344</v>
          </cell>
          <cell r="C731">
            <v>203</v>
          </cell>
          <cell r="D731">
            <v>3</v>
          </cell>
          <cell r="E731" t="str">
            <v>Equals: VALUE ADDED, GROSS, at basic prices</v>
          </cell>
          <cell r="F731">
            <v>12</v>
          </cell>
          <cell r="G731">
            <v>1998</v>
          </cell>
          <cell r="H731">
            <v>100</v>
          </cell>
          <cell r="I731">
            <v>1294795000000</v>
          </cell>
        </row>
        <row r="732">
          <cell r="A732" t="str">
            <v>China, Hong Kong Special Administrative Region</v>
          </cell>
          <cell r="B732">
            <v>344</v>
          </cell>
          <cell r="C732">
            <v>203</v>
          </cell>
          <cell r="D732">
            <v>3</v>
          </cell>
          <cell r="E732" t="str">
            <v>Equals: VALUE ADDED, GROSS, at basic prices</v>
          </cell>
          <cell r="F732">
            <v>12</v>
          </cell>
          <cell r="G732">
            <v>1999</v>
          </cell>
          <cell r="H732">
            <v>100</v>
          </cell>
          <cell r="I732">
            <v>1272376000000</v>
          </cell>
        </row>
        <row r="733">
          <cell r="A733" t="str">
            <v>China, Hong Kong Special Administrative Region</v>
          </cell>
          <cell r="B733">
            <v>344</v>
          </cell>
          <cell r="C733">
            <v>203</v>
          </cell>
          <cell r="D733">
            <v>3</v>
          </cell>
          <cell r="E733" t="str">
            <v>Equals: VALUE ADDED, GROSS, at basic prices</v>
          </cell>
          <cell r="F733">
            <v>12</v>
          </cell>
          <cell r="G733">
            <v>2000</v>
          </cell>
          <cell r="H733">
            <v>100</v>
          </cell>
          <cell r="I733">
            <v>1324842000000</v>
          </cell>
        </row>
        <row r="734">
          <cell r="A734" t="str">
            <v>China, Hong Kong Special Administrative Region</v>
          </cell>
          <cell r="B734">
            <v>344</v>
          </cell>
          <cell r="C734">
            <v>203</v>
          </cell>
          <cell r="D734">
            <v>3</v>
          </cell>
          <cell r="E734" t="str">
            <v>Equals: VALUE ADDED, GROSS, at basic prices</v>
          </cell>
          <cell r="F734">
            <v>12</v>
          </cell>
          <cell r="G734">
            <v>2001</v>
          </cell>
          <cell r="H734">
            <v>100</v>
          </cell>
          <cell r="I734">
            <v>1310936000000</v>
          </cell>
        </row>
        <row r="735">
          <cell r="A735" t="str">
            <v>China, Hong Kong Special Administrative Region</v>
          </cell>
          <cell r="B735">
            <v>344</v>
          </cell>
          <cell r="C735">
            <v>203</v>
          </cell>
          <cell r="D735">
            <v>3</v>
          </cell>
          <cell r="E735" t="str">
            <v>Equals: VALUE ADDED, GROSS, at basic prices</v>
          </cell>
          <cell r="F735">
            <v>12</v>
          </cell>
          <cell r="G735">
            <v>2002</v>
          </cell>
          <cell r="H735">
            <v>100</v>
          </cell>
          <cell r="I735">
            <v>1297806000000</v>
          </cell>
        </row>
        <row r="736">
          <cell r="A736" t="str">
            <v>China, Hong Kong Special Administrative Region</v>
          </cell>
          <cell r="B736">
            <v>344</v>
          </cell>
          <cell r="C736">
            <v>203</v>
          </cell>
          <cell r="D736">
            <v>3</v>
          </cell>
          <cell r="E736" t="str">
            <v>Equals: VALUE ADDED, GROSS, at basic prices</v>
          </cell>
          <cell r="F736">
            <v>12</v>
          </cell>
          <cell r="G736">
            <v>2003</v>
          </cell>
          <cell r="H736">
            <v>100</v>
          </cell>
          <cell r="I736">
            <v>1262716000000</v>
          </cell>
        </row>
        <row r="737">
          <cell r="A737" t="str">
            <v>China, Hong Kong Special Administrative Region</v>
          </cell>
          <cell r="B737">
            <v>344</v>
          </cell>
          <cell r="C737">
            <v>203</v>
          </cell>
          <cell r="D737">
            <v>4</v>
          </cell>
          <cell r="E737" t="str">
            <v>Compensation of employees</v>
          </cell>
          <cell r="F737">
            <v>12</v>
          </cell>
          <cell r="G737">
            <v>1980</v>
          </cell>
          <cell r="H737">
            <v>10</v>
          </cell>
          <cell r="I737">
            <v>65535000000</v>
          </cell>
        </row>
        <row r="738">
          <cell r="A738" t="str">
            <v>China, Hong Kong Special Administrative Region</v>
          </cell>
          <cell r="B738">
            <v>344</v>
          </cell>
          <cell r="C738">
            <v>203</v>
          </cell>
          <cell r="D738">
            <v>4</v>
          </cell>
          <cell r="E738" t="str">
            <v>Compensation of employees</v>
          </cell>
          <cell r="F738">
            <v>12</v>
          </cell>
          <cell r="G738">
            <v>1981</v>
          </cell>
          <cell r="H738">
            <v>10</v>
          </cell>
          <cell r="I738">
            <v>80284000000</v>
          </cell>
        </row>
        <row r="739">
          <cell r="A739" t="str">
            <v>China, Hong Kong Special Administrative Region</v>
          </cell>
          <cell r="B739">
            <v>344</v>
          </cell>
          <cell r="C739">
            <v>203</v>
          </cell>
          <cell r="D739">
            <v>4</v>
          </cell>
          <cell r="E739" t="str">
            <v>Compensation of employees</v>
          </cell>
          <cell r="F739">
            <v>12</v>
          </cell>
          <cell r="G739">
            <v>1982</v>
          </cell>
          <cell r="H739">
            <v>10</v>
          </cell>
          <cell r="I739">
            <v>93497000000</v>
          </cell>
        </row>
        <row r="740">
          <cell r="A740" t="str">
            <v>China, Hong Kong Special Administrative Region</v>
          </cell>
          <cell r="B740">
            <v>344</v>
          </cell>
          <cell r="C740">
            <v>203</v>
          </cell>
          <cell r="D740">
            <v>4</v>
          </cell>
          <cell r="E740" t="str">
            <v>Compensation of employees</v>
          </cell>
          <cell r="F740">
            <v>12</v>
          </cell>
          <cell r="G740">
            <v>1983</v>
          </cell>
          <cell r="H740">
            <v>10</v>
          </cell>
          <cell r="I740">
            <v>105503000000</v>
          </cell>
        </row>
        <row r="741">
          <cell r="A741" t="str">
            <v>China, Hong Kong Special Administrative Region</v>
          </cell>
          <cell r="B741">
            <v>344</v>
          </cell>
          <cell r="C741">
            <v>203</v>
          </cell>
          <cell r="D741">
            <v>4</v>
          </cell>
          <cell r="E741" t="str">
            <v>Compensation of employees</v>
          </cell>
          <cell r="F741">
            <v>12</v>
          </cell>
          <cell r="G741">
            <v>1984</v>
          </cell>
          <cell r="H741">
            <v>10</v>
          </cell>
          <cell r="I741">
            <v>124213000000</v>
          </cell>
        </row>
        <row r="742">
          <cell r="A742" t="str">
            <v>China, Hong Kong Special Administrative Region</v>
          </cell>
          <cell r="B742">
            <v>344</v>
          </cell>
          <cell r="C742">
            <v>203</v>
          </cell>
          <cell r="D742">
            <v>4</v>
          </cell>
          <cell r="E742" t="str">
            <v>Compensation of employees</v>
          </cell>
          <cell r="F742">
            <v>12</v>
          </cell>
          <cell r="G742">
            <v>1985</v>
          </cell>
          <cell r="H742">
            <v>10</v>
          </cell>
          <cell r="I742">
            <v>137628000000</v>
          </cell>
        </row>
        <row r="743">
          <cell r="A743" t="str">
            <v>China, Hong Kong Special Administrative Region</v>
          </cell>
          <cell r="B743">
            <v>344</v>
          </cell>
          <cell r="C743">
            <v>203</v>
          </cell>
          <cell r="D743">
            <v>4</v>
          </cell>
          <cell r="E743" t="str">
            <v>Compensation of employees</v>
          </cell>
          <cell r="F743">
            <v>12</v>
          </cell>
          <cell r="G743">
            <v>1986</v>
          </cell>
          <cell r="H743">
            <v>10</v>
          </cell>
          <cell r="I743">
            <v>155954000000</v>
          </cell>
        </row>
        <row r="744">
          <cell r="A744" t="str">
            <v>China, Hong Kong Special Administrative Region</v>
          </cell>
          <cell r="B744">
            <v>344</v>
          </cell>
          <cell r="C744">
            <v>203</v>
          </cell>
          <cell r="D744">
            <v>4</v>
          </cell>
          <cell r="E744" t="str">
            <v>Compensation of employees</v>
          </cell>
          <cell r="F744">
            <v>12</v>
          </cell>
          <cell r="G744">
            <v>1987</v>
          </cell>
          <cell r="H744">
            <v>10</v>
          </cell>
          <cell r="I744">
            <v>184569000000</v>
          </cell>
        </row>
        <row r="745">
          <cell r="A745" t="str">
            <v>China, Hong Kong Special Administrative Region</v>
          </cell>
          <cell r="B745">
            <v>344</v>
          </cell>
          <cell r="C745">
            <v>203</v>
          </cell>
          <cell r="D745">
            <v>4</v>
          </cell>
          <cell r="E745" t="str">
            <v>Compensation of employees</v>
          </cell>
          <cell r="F745">
            <v>12</v>
          </cell>
          <cell r="G745">
            <v>1988</v>
          </cell>
          <cell r="H745">
            <v>10</v>
          </cell>
          <cell r="I745">
            <v>216828000000</v>
          </cell>
        </row>
        <row r="746">
          <cell r="A746" t="str">
            <v>China, Hong Kong Special Administrative Region</v>
          </cell>
          <cell r="B746">
            <v>344</v>
          </cell>
          <cell r="C746">
            <v>203</v>
          </cell>
          <cell r="D746">
            <v>4</v>
          </cell>
          <cell r="E746" t="str">
            <v>Compensation of employees</v>
          </cell>
          <cell r="F746">
            <v>12</v>
          </cell>
          <cell r="G746">
            <v>1989</v>
          </cell>
          <cell r="H746">
            <v>10</v>
          </cell>
          <cell r="I746">
            <v>252498000000</v>
          </cell>
        </row>
        <row r="747">
          <cell r="A747" t="str">
            <v>China, Hong Kong Special Administrative Region</v>
          </cell>
          <cell r="B747">
            <v>344</v>
          </cell>
          <cell r="C747">
            <v>203</v>
          </cell>
          <cell r="D747">
            <v>4</v>
          </cell>
          <cell r="E747" t="str">
            <v>Compensation of employees</v>
          </cell>
          <cell r="F747">
            <v>12</v>
          </cell>
          <cell r="G747">
            <v>1990</v>
          </cell>
          <cell r="H747">
            <v>10</v>
          </cell>
          <cell r="I747">
            <v>290838000000</v>
          </cell>
        </row>
        <row r="748">
          <cell r="A748" t="str">
            <v>China, Hong Kong Special Administrative Region</v>
          </cell>
          <cell r="B748">
            <v>344</v>
          </cell>
          <cell r="C748">
            <v>203</v>
          </cell>
          <cell r="D748">
            <v>4</v>
          </cell>
          <cell r="E748" t="str">
            <v>Compensation of employees</v>
          </cell>
          <cell r="F748">
            <v>12</v>
          </cell>
          <cell r="G748">
            <v>1991</v>
          </cell>
          <cell r="H748">
            <v>10</v>
          </cell>
          <cell r="I748">
            <v>326002000000</v>
          </cell>
        </row>
        <row r="749">
          <cell r="A749" t="str">
            <v>China, Hong Kong Special Administrative Region</v>
          </cell>
          <cell r="B749">
            <v>344</v>
          </cell>
          <cell r="C749">
            <v>203</v>
          </cell>
          <cell r="D749">
            <v>4</v>
          </cell>
          <cell r="E749" t="str">
            <v>Compensation of employees</v>
          </cell>
          <cell r="F749">
            <v>12</v>
          </cell>
          <cell r="G749">
            <v>1992</v>
          </cell>
          <cell r="H749">
            <v>10</v>
          </cell>
          <cell r="I749">
            <v>369292000000</v>
          </cell>
        </row>
        <row r="750">
          <cell r="A750" t="str">
            <v>China, Hong Kong Special Administrative Region</v>
          </cell>
          <cell r="B750">
            <v>344</v>
          </cell>
          <cell r="C750">
            <v>203</v>
          </cell>
          <cell r="D750">
            <v>4</v>
          </cell>
          <cell r="E750" t="str">
            <v>Compensation of employees</v>
          </cell>
          <cell r="F750">
            <v>12</v>
          </cell>
          <cell r="G750">
            <v>1992</v>
          </cell>
          <cell r="H750">
            <v>100</v>
          </cell>
          <cell r="I750">
            <v>371756000000</v>
          </cell>
        </row>
        <row r="751">
          <cell r="A751" t="str">
            <v>China, Hong Kong Special Administrative Region</v>
          </cell>
          <cell r="B751">
            <v>344</v>
          </cell>
          <cell r="C751">
            <v>203</v>
          </cell>
          <cell r="D751">
            <v>4</v>
          </cell>
          <cell r="E751" t="str">
            <v>Compensation of employees</v>
          </cell>
          <cell r="F751">
            <v>12</v>
          </cell>
          <cell r="G751">
            <v>1993</v>
          </cell>
          <cell r="H751">
            <v>100</v>
          </cell>
          <cell r="I751">
            <v>421883000000</v>
          </cell>
        </row>
        <row r="752">
          <cell r="A752" t="str">
            <v>China, Hong Kong Special Administrative Region</v>
          </cell>
          <cell r="B752">
            <v>344</v>
          </cell>
          <cell r="C752">
            <v>203</v>
          </cell>
          <cell r="D752">
            <v>4</v>
          </cell>
          <cell r="E752" t="str">
            <v>Compensation of employees</v>
          </cell>
          <cell r="F752">
            <v>12</v>
          </cell>
          <cell r="G752">
            <v>1994</v>
          </cell>
          <cell r="H752">
            <v>100</v>
          </cell>
          <cell r="I752">
            <v>469489000000</v>
          </cell>
        </row>
        <row r="753">
          <cell r="A753" t="str">
            <v>China, Hong Kong Special Administrative Region</v>
          </cell>
          <cell r="B753">
            <v>344</v>
          </cell>
          <cell r="C753">
            <v>203</v>
          </cell>
          <cell r="D753">
            <v>4</v>
          </cell>
          <cell r="E753" t="str">
            <v>Compensation of employees</v>
          </cell>
          <cell r="F753">
            <v>12</v>
          </cell>
          <cell r="G753">
            <v>1995</v>
          </cell>
          <cell r="H753">
            <v>100</v>
          </cell>
          <cell r="I753">
            <v>529546000000</v>
          </cell>
        </row>
        <row r="754">
          <cell r="A754" t="str">
            <v>China, Hong Kong Special Administrative Region</v>
          </cell>
          <cell r="B754">
            <v>344</v>
          </cell>
          <cell r="C754">
            <v>203</v>
          </cell>
          <cell r="D754">
            <v>4</v>
          </cell>
          <cell r="E754" t="str">
            <v>Compensation of employees</v>
          </cell>
          <cell r="F754">
            <v>12</v>
          </cell>
          <cell r="G754">
            <v>1996</v>
          </cell>
          <cell r="H754">
            <v>100</v>
          </cell>
          <cell r="I754">
            <v>584383000000</v>
          </cell>
        </row>
        <row r="755">
          <cell r="A755" t="str">
            <v>China, Hong Kong Special Administrative Region</v>
          </cell>
          <cell r="B755">
            <v>344</v>
          </cell>
          <cell r="C755">
            <v>203</v>
          </cell>
          <cell r="D755">
            <v>4</v>
          </cell>
          <cell r="E755" t="str">
            <v>Compensation of employees</v>
          </cell>
          <cell r="F755">
            <v>12</v>
          </cell>
          <cell r="G755">
            <v>1997</v>
          </cell>
          <cell r="H755">
            <v>100</v>
          </cell>
          <cell r="I755">
            <v>649905000000</v>
          </cell>
        </row>
        <row r="756">
          <cell r="A756" t="str">
            <v>China, Hong Kong Special Administrative Region</v>
          </cell>
          <cell r="B756">
            <v>344</v>
          </cell>
          <cell r="C756">
            <v>203</v>
          </cell>
          <cell r="D756">
            <v>4</v>
          </cell>
          <cell r="E756" t="str">
            <v>Compensation of employees</v>
          </cell>
          <cell r="F756">
            <v>12</v>
          </cell>
          <cell r="G756">
            <v>1998</v>
          </cell>
          <cell r="H756">
            <v>100</v>
          </cell>
          <cell r="I756">
            <v>654417000000</v>
          </cell>
        </row>
        <row r="757">
          <cell r="A757" t="str">
            <v>China, Hong Kong Special Administrative Region</v>
          </cell>
          <cell r="B757">
            <v>344</v>
          </cell>
          <cell r="C757">
            <v>203</v>
          </cell>
          <cell r="D757">
            <v>4</v>
          </cell>
          <cell r="E757" t="str">
            <v>Compensation of employees</v>
          </cell>
          <cell r="F757">
            <v>12</v>
          </cell>
          <cell r="G757">
            <v>1999</v>
          </cell>
          <cell r="H757">
            <v>100</v>
          </cell>
          <cell r="I757">
            <v>652199000000</v>
          </cell>
        </row>
        <row r="758">
          <cell r="A758" t="str">
            <v>China, Hong Kong Special Administrative Region</v>
          </cell>
          <cell r="B758">
            <v>344</v>
          </cell>
          <cell r="C758">
            <v>203</v>
          </cell>
          <cell r="D758">
            <v>4</v>
          </cell>
          <cell r="E758" t="str">
            <v>Compensation of employees</v>
          </cell>
          <cell r="F758">
            <v>12</v>
          </cell>
          <cell r="G758">
            <v>2000</v>
          </cell>
          <cell r="H758">
            <v>100</v>
          </cell>
          <cell r="I758">
            <v>677316000000</v>
          </cell>
        </row>
        <row r="759">
          <cell r="A759" t="str">
            <v>China, Hong Kong Special Administrative Region</v>
          </cell>
          <cell r="B759">
            <v>344</v>
          </cell>
          <cell r="C759">
            <v>203</v>
          </cell>
          <cell r="D759">
            <v>4</v>
          </cell>
          <cell r="E759" t="str">
            <v>Compensation of employees</v>
          </cell>
          <cell r="F759">
            <v>12</v>
          </cell>
          <cell r="G759">
            <v>2001</v>
          </cell>
          <cell r="H759">
            <v>100</v>
          </cell>
          <cell r="I759">
            <v>684369000000</v>
          </cell>
        </row>
        <row r="760">
          <cell r="A760" t="str">
            <v>China, Hong Kong Special Administrative Region</v>
          </cell>
          <cell r="B760">
            <v>344</v>
          </cell>
          <cell r="C760">
            <v>203</v>
          </cell>
          <cell r="D760">
            <v>4</v>
          </cell>
          <cell r="E760" t="str">
            <v>Compensation of employees</v>
          </cell>
          <cell r="F760">
            <v>12</v>
          </cell>
          <cell r="G760">
            <v>2002</v>
          </cell>
          <cell r="H760">
            <v>100</v>
          </cell>
          <cell r="I760">
            <v>672695000000</v>
          </cell>
        </row>
        <row r="761">
          <cell r="A761" t="str">
            <v>China, Hong Kong Special Administrative Region</v>
          </cell>
          <cell r="B761">
            <v>344</v>
          </cell>
          <cell r="C761">
            <v>203</v>
          </cell>
          <cell r="D761">
            <v>11</v>
          </cell>
          <cell r="E761" t="str">
            <v>OPERATING SURPLUS, GROSS</v>
          </cell>
          <cell r="F761">
            <v>12</v>
          </cell>
          <cell r="G761">
            <v>1988</v>
          </cell>
          <cell r="H761">
            <v>10</v>
          </cell>
          <cell r="I761">
            <v>242741000000</v>
          </cell>
        </row>
        <row r="762">
          <cell r="A762" t="str">
            <v>China, Hong Kong Special Administrative Region</v>
          </cell>
          <cell r="B762">
            <v>344</v>
          </cell>
          <cell r="C762">
            <v>203</v>
          </cell>
          <cell r="D762">
            <v>11</v>
          </cell>
          <cell r="E762" t="str">
            <v>OPERATING SURPLUS, GROSS</v>
          </cell>
          <cell r="F762">
            <v>12</v>
          </cell>
          <cell r="G762">
            <v>1989</v>
          </cell>
          <cell r="H762">
            <v>10</v>
          </cell>
          <cell r="I762">
            <v>246000000000</v>
          </cell>
        </row>
        <row r="763">
          <cell r="A763" t="str">
            <v>China, Hong Kong Special Administrative Region</v>
          </cell>
          <cell r="B763">
            <v>344</v>
          </cell>
          <cell r="C763">
            <v>203</v>
          </cell>
          <cell r="D763">
            <v>11</v>
          </cell>
          <cell r="E763" t="str">
            <v>OPERATING SURPLUS, GROSS</v>
          </cell>
          <cell r="F763">
            <v>12</v>
          </cell>
          <cell r="G763">
            <v>1990</v>
          </cell>
          <cell r="H763">
            <v>10</v>
          </cell>
          <cell r="I763">
            <v>269000000000</v>
          </cell>
        </row>
        <row r="764">
          <cell r="A764" t="str">
            <v>China, Hong Kong Special Administrative Region</v>
          </cell>
          <cell r="B764">
            <v>344</v>
          </cell>
          <cell r="C764">
            <v>203</v>
          </cell>
          <cell r="D764">
            <v>11</v>
          </cell>
          <cell r="E764" t="str">
            <v>OPERATING SURPLUS, GROSS</v>
          </cell>
          <cell r="F764">
            <v>12</v>
          </cell>
          <cell r="G764">
            <v>1991</v>
          </cell>
          <cell r="H764">
            <v>10</v>
          </cell>
          <cell r="I764">
            <v>306000000000</v>
          </cell>
        </row>
        <row r="765">
          <cell r="A765" t="str">
            <v>China, Hong Kong Special Administrative Region</v>
          </cell>
          <cell r="B765">
            <v>344</v>
          </cell>
          <cell r="C765">
            <v>203</v>
          </cell>
          <cell r="D765">
            <v>11</v>
          </cell>
          <cell r="E765" t="str">
            <v>OPERATING SURPLUS, GROSS</v>
          </cell>
          <cell r="F765">
            <v>12</v>
          </cell>
          <cell r="G765">
            <v>1992</v>
          </cell>
          <cell r="H765">
            <v>10</v>
          </cell>
          <cell r="I765">
            <v>362826000000</v>
          </cell>
        </row>
        <row r="766">
          <cell r="A766" t="str">
            <v>China, Hong Kong Special Administrative Region</v>
          </cell>
          <cell r="B766">
            <v>344</v>
          </cell>
          <cell r="C766">
            <v>203</v>
          </cell>
          <cell r="D766">
            <v>11</v>
          </cell>
          <cell r="E766" t="str">
            <v>OPERATING SURPLUS, GROSS</v>
          </cell>
          <cell r="F766">
            <v>12</v>
          </cell>
          <cell r="G766">
            <v>1992</v>
          </cell>
          <cell r="H766">
            <v>100</v>
          </cell>
          <cell r="I766">
            <v>425851000000</v>
          </cell>
        </row>
        <row r="767">
          <cell r="A767" t="str">
            <v>China, Hong Kong Special Administrative Region</v>
          </cell>
          <cell r="B767">
            <v>344</v>
          </cell>
          <cell r="C767">
            <v>203</v>
          </cell>
          <cell r="D767">
            <v>11</v>
          </cell>
          <cell r="E767" t="str">
            <v>OPERATING SURPLUS, GROSS</v>
          </cell>
          <cell r="F767">
            <v>12</v>
          </cell>
          <cell r="G767">
            <v>1993</v>
          </cell>
          <cell r="H767">
            <v>100</v>
          </cell>
          <cell r="I767">
            <v>485616000000</v>
          </cell>
        </row>
        <row r="768">
          <cell r="A768" t="str">
            <v>China, Hong Kong Special Administrative Region</v>
          </cell>
          <cell r="B768">
            <v>344</v>
          </cell>
          <cell r="C768">
            <v>203</v>
          </cell>
          <cell r="D768">
            <v>11</v>
          </cell>
          <cell r="E768" t="str">
            <v>OPERATING SURPLUS, GROSS</v>
          </cell>
          <cell r="F768">
            <v>12</v>
          </cell>
          <cell r="G768">
            <v>1994</v>
          </cell>
          <cell r="H768">
            <v>100</v>
          </cell>
          <cell r="I768">
            <v>569512000000</v>
          </cell>
        </row>
        <row r="769">
          <cell r="A769" t="str">
            <v>China, Hong Kong Special Administrative Region</v>
          </cell>
          <cell r="B769">
            <v>344</v>
          </cell>
          <cell r="C769">
            <v>203</v>
          </cell>
          <cell r="D769">
            <v>11</v>
          </cell>
          <cell r="E769" t="str">
            <v>OPERATING SURPLUS, GROSS</v>
          </cell>
          <cell r="F769">
            <v>12</v>
          </cell>
          <cell r="G769">
            <v>1995</v>
          </cell>
          <cell r="H769">
            <v>100</v>
          </cell>
          <cell r="I769">
            <v>591884000000</v>
          </cell>
        </row>
        <row r="770">
          <cell r="A770" t="str">
            <v>China, Hong Kong Special Administrative Region</v>
          </cell>
          <cell r="B770">
            <v>344</v>
          </cell>
          <cell r="C770">
            <v>203</v>
          </cell>
          <cell r="D770">
            <v>11</v>
          </cell>
          <cell r="E770" t="str">
            <v>OPERATING SURPLUS, GROSS</v>
          </cell>
          <cell r="F770">
            <v>12</v>
          </cell>
          <cell r="G770">
            <v>1996</v>
          </cell>
          <cell r="H770">
            <v>100</v>
          </cell>
          <cell r="I770">
            <v>663936000000</v>
          </cell>
        </row>
        <row r="771">
          <cell r="A771" t="str">
            <v>China, Hong Kong Special Administrative Region</v>
          </cell>
          <cell r="B771">
            <v>344</v>
          </cell>
          <cell r="C771">
            <v>203</v>
          </cell>
          <cell r="D771">
            <v>11</v>
          </cell>
          <cell r="E771" t="str">
            <v>OPERATING SURPLUS, GROSS</v>
          </cell>
          <cell r="F771">
            <v>12</v>
          </cell>
          <cell r="G771">
            <v>1997</v>
          </cell>
          <cell r="H771">
            <v>100</v>
          </cell>
          <cell r="I771">
            <v>707748000000</v>
          </cell>
        </row>
        <row r="772">
          <cell r="A772" t="str">
            <v>China, Hong Kong Special Administrative Region</v>
          </cell>
          <cell r="B772">
            <v>344</v>
          </cell>
          <cell r="C772">
            <v>203</v>
          </cell>
          <cell r="D772">
            <v>11</v>
          </cell>
          <cell r="E772" t="str">
            <v>OPERATING SURPLUS, GROSS</v>
          </cell>
          <cell r="F772">
            <v>12</v>
          </cell>
          <cell r="G772">
            <v>1998</v>
          </cell>
          <cell r="H772">
            <v>100</v>
          </cell>
          <cell r="I772">
            <v>640378000000</v>
          </cell>
        </row>
        <row r="773">
          <cell r="A773" t="str">
            <v>China, Hong Kong Special Administrative Region</v>
          </cell>
          <cell r="B773">
            <v>344</v>
          </cell>
          <cell r="C773">
            <v>203</v>
          </cell>
          <cell r="D773">
            <v>11</v>
          </cell>
          <cell r="E773" t="str">
            <v>OPERATING SURPLUS, GROSS</v>
          </cell>
          <cell r="F773">
            <v>12</v>
          </cell>
          <cell r="G773">
            <v>1999</v>
          </cell>
          <cell r="H773">
            <v>100</v>
          </cell>
          <cell r="I773">
            <v>620177000000</v>
          </cell>
        </row>
        <row r="774">
          <cell r="A774" t="str">
            <v>China, Hong Kong Special Administrative Region</v>
          </cell>
          <cell r="B774">
            <v>344</v>
          </cell>
          <cell r="C774">
            <v>203</v>
          </cell>
          <cell r="D774">
            <v>11</v>
          </cell>
          <cell r="E774" t="str">
            <v>OPERATING SURPLUS, GROSS</v>
          </cell>
          <cell r="F774">
            <v>12</v>
          </cell>
          <cell r="G774">
            <v>2000</v>
          </cell>
          <cell r="H774">
            <v>100</v>
          </cell>
          <cell r="I774">
            <v>647526000000</v>
          </cell>
        </row>
        <row r="775">
          <cell r="A775" t="str">
            <v>China, Hong Kong Special Administrative Region</v>
          </cell>
          <cell r="B775">
            <v>344</v>
          </cell>
          <cell r="C775">
            <v>203</v>
          </cell>
          <cell r="D775">
            <v>11</v>
          </cell>
          <cell r="E775" t="str">
            <v>OPERATING SURPLUS, GROSS</v>
          </cell>
          <cell r="F775">
            <v>12</v>
          </cell>
          <cell r="G775">
            <v>2001</v>
          </cell>
          <cell r="H775">
            <v>100</v>
          </cell>
          <cell r="I775">
            <v>626567000000</v>
          </cell>
        </row>
        <row r="776">
          <cell r="A776" t="str">
            <v>China, Hong Kong Special Administrative Region</v>
          </cell>
          <cell r="B776">
            <v>344</v>
          </cell>
          <cell r="C776">
            <v>203</v>
          </cell>
          <cell r="D776">
            <v>11</v>
          </cell>
          <cell r="E776" t="str">
            <v>OPERATING SURPLUS, GROSS</v>
          </cell>
          <cell r="F776">
            <v>12</v>
          </cell>
          <cell r="G776">
            <v>2002</v>
          </cell>
          <cell r="H776">
            <v>100</v>
          </cell>
          <cell r="I776">
            <v>625111000000</v>
          </cell>
        </row>
        <row r="777">
          <cell r="A777" t="str">
            <v>India</v>
          </cell>
          <cell r="B777">
            <v>356</v>
          </cell>
          <cell r="C777">
            <v>203</v>
          </cell>
          <cell r="D777">
            <v>3</v>
          </cell>
          <cell r="E777" t="str">
            <v>Equals: VALUE ADDED, GROSS, at basic prices</v>
          </cell>
          <cell r="F777">
            <v>12</v>
          </cell>
          <cell r="G777">
            <v>1970</v>
          </cell>
          <cell r="H777">
            <v>20</v>
          </cell>
          <cell r="I777">
            <v>397080000000</v>
          </cell>
        </row>
        <row r="778">
          <cell r="A778" t="str">
            <v>India</v>
          </cell>
          <cell r="B778">
            <v>356</v>
          </cell>
          <cell r="C778">
            <v>203</v>
          </cell>
          <cell r="D778">
            <v>3</v>
          </cell>
          <cell r="E778" t="str">
            <v>Equals: VALUE ADDED, GROSS, at basic prices</v>
          </cell>
          <cell r="F778">
            <v>12</v>
          </cell>
          <cell r="G778">
            <v>1971</v>
          </cell>
          <cell r="H778">
            <v>20</v>
          </cell>
          <cell r="I778">
            <v>422480000000</v>
          </cell>
        </row>
        <row r="779">
          <cell r="A779" t="str">
            <v>India</v>
          </cell>
          <cell r="B779">
            <v>356</v>
          </cell>
          <cell r="C779">
            <v>203</v>
          </cell>
          <cell r="D779">
            <v>3</v>
          </cell>
          <cell r="E779" t="str">
            <v>Equals: VALUE ADDED, GROSS, at basic prices</v>
          </cell>
          <cell r="F779">
            <v>12</v>
          </cell>
          <cell r="G779">
            <v>1972</v>
          </cell>
          <cell r="H779">
            <v>20</v>
          </cell>
          <cell r="I779">
            <v>464730000000</v>
          </cell>
        </row>
        <row r="780">
          <cell r="A780" t="str">
            <v>India</v>
          </cell>
          <cell r="B780">
            <v>356</v>
          </cell>
          <cell r="C780">
            <v>203</v>
          </cell>
          <cell r="D780">
            <v>3</v>
          </cell>
          <cell r="E780" t="str">
            <v>Equals: VALUE ADDED, GROSS, at basic prices</v>
          </cell>
          <cell r="F780">
            <v>12</v>
          </cell>
          <cell r="G780">
            <v>1973</v>
          </cell>
          <cell r="H780">
            <v>20</v>
          </cell>
          <cell r="I780">
            <v>569540000000</v>
          </cell>
        </row>
        <row r="781">
          <cell r="A781" t="str">
            <v>India</v>
          </cell>
          <cell r="B781">
            <v>356</v>
          </cell>
          <cell r="C781">
            <v>203</v>
          </cell>
          <cell r="D781">
            <v>3</v>
          </cell>
          <cell r="E781" t="str">
            <v>Equals: VALUE ADDED, GROSS, at basic prices</v>
          </cell>
          <cell r="F781">
            <v>12</v>
          </cell>
          <cell r="G781">
            <v>1974</v>
          </cell>
          <cell r="H781">
            <v>20</v>
          </cell>
          <cell r="I781">
            <v>670390000000</v>
          </cell>
        </row>
        <row r="782">
          <cell r="A782" t="str">
            <v>India</v>
          </cell>
          <cell r="B782">
            <v>356</v>
          </cell>
          <cell r="C782">
            <v>203</v>
          </cell>
          <cell r="D782">
            <v>3</v>
          </cell>
          <cell r="E782" t="str">
            <v>Equals: VALUE ADDED, GROSS, at basic prices</v>
          </cell>
          <cell r="F782">
            <v>12</v>
          </cell>
          <cell r="G782">
            <v>1975</v>
          </cell>
          <cell r="H782">
            <v>20</v>
          </cell>
          <cell r="I782">
            <v>712010000000</v>
          </cell>
        </row>
        <row r="783">
          <cell r="A783" t="str">
            <v>India</v>
          </cell>
          <cell r="B783">
            <v>356</v>
          </cell>
          <cell r="C783">
            <v>203</v>
          </cell>
          <cell r="D783">
            <v>3</v>
          </cell>
          <cell r="E783" t="str">
            <v>Equals: VALUE ADDED, GROSS, at basic prices</v>
          </cell>
          <cell r="F783">
            <v>12</v>
          </cell>
          <cell r="G783">
            <v>1976</v>
          </cell>
          <cell r="H783">
            <v>20</v>
          </cell>
          <cell r="I783">
            <v>765350000000</v>
          </cell>
        </row>
        <row r="784">
          <cell r="A784" t="str">
            <v>India</v>
          </cell>
          <cell r="B784">
            <v>356</v>
          </cell>
          <cell r="C784">
            <v>203</v>
          </cell>
          <cell r="D784">
            <v>3</v>
          </cell>
          <cell r="E784" t="str">
            <v>Equals: VALUE ADDED, GROSS, at basic prices</v>
          </cell>
          <cell r="F784">
            <v>12</v>
          </cell>
          <cell r="G784">
            <v>1977</v>
          </cell>
          <cell r="H784">
            <v>20</v>
          </cell>
          <cell r="I784">
            <v>873510000000</v>
          </cell>
        </row>
        <row r="785">
          <cell r="A785" t="str">
            <v>India</v>
          </cell>
          <cell r="B785">
            <v>356</v>
          </cell>
          <cell r="C785">
            <v>203</v>
          </cell>
          <cell r="D785">
            <v>3</v>
          </cell>
          <cell r="E785" t="str">
            <v>Equals: VALUE ADDED, GROSS, at basic prices</v>
          </cell>
          <cell r="F785">
            <v>12</v>
          </cell>
          <cell r="G785">
            <v>1978</v>
          </cell>
          <cell r="H785">
            <v>20</v>
          </cell>
          <cell r="I785">
            <v>938800000000</v>
          </cell>
        </row>
        <row r="786">
          <cell r="A786" t="str">
            <v>India</v>
          </cell>
          <cell r="B786">
            <v>356</v>
          </cell>
          <cell r="C786">
            <v>203</v>
          </cell>
          <cell r="D786">
            <v>3</v>
          </cell>
          <cell r="E786" t="str">
            <v>Equals: VALUE ADDED, GROSS, at basic prices</v>
          </cell>
          <cell r="F786">
            <v>12</v>
          </cell>
          <cell r="G786">
            <v>1979</v>
          </cell>
          <cell r="H786">
            <v>20</v>
          </cell>
          <cell r="I786">
            <v>1024420000000</v>
          </cell>
        </row>
        <row r="787">
          <cell r="A787" t="str">
            <v>India</v>
          </cell>
          <cell r="B787">
            <v>356</v>
          </cell>
          <cell r="C787">
            <v>203</v>
          </cell>
          <cell r="D787">
            <v>3</v>
          </cell>
          <cell r="E787" t="str">
            <v>Equals: VALUE ADDED, GROSS, at basic prices</v>
          </cell>
          <cell r="F787">
            <v>12</v>
          </cell>
          <cell r="G787">
            <v>1980</v>
          </cell>
          <cell r="H787">
            <v>20</v>
          </cell>
          <cell r="I787">
            <v>1224270000000</v>
          </cell>
        </row>
        <row r="788">
          <cell r="A788" t="str">
            <v>India</v>
          </cell>
          <cell r="B788">
            <v>356</v>
          </cell>
          <cell r="C788">
            <v>203</v>
          </cell>
          <cell r="D788">
            <v>3</v>
          </cell>
          <cell r="E788" t="str">
            <v>Equals: VALUE ADDED, GROSS, at basic prices</v>
          </cell>
          <cell r="F788">
            <v>12</v>
          </cell>
          <cell r="G788">
            <v>1981</v>
          </cell>
          <cell r="H788">
            <v>20</v>
          </cell>
          <cell r="I788">
            <v>1432160000000</v>
          </cell>
        </row>
        <row r="789">
          <cell r="A789" t="str">
            <v>India</v>
          </cell>
          <cell r="B789">
            <v>356</v>
          </cell>
          <cell r="C789">
            <v>203</v>
          </cell>
          <cell r="D789">
            <v>3</v>
          </cell>
          <cell r="E789" t="str">
            <v>Equals: VALUE ADDED, GROSS, at basic prices</v>
          </cell>
          <cell r="F789">
            <v>12</v>
          </cell>
          <cell r="G789">
            <v>1982</v>
          </cell>
          <cell r="H789">
            <v>20</v>
          </cell>
          <cell r="I789">
            <v>1593950000000</v>
          </cell>
        </row>
        <row r="790">
          <cell r="A790" t="str">
            <v>India</v>
          </cell>
          <cell r="B790">
            <v>356</v>
          </cell>
          <cell r="C790">
            <v>203</v>
          </cell>
          <cell r="D790">
            <v>3</v>
          </cell>
          <cell r="E790" t="str">
            <v>Equals: VALUE ADDED, GROSS, at basic prices</v>
          </cell>
          <cell r="F790">
            <v>12</v>
          </cell>
          <cell r="G790">
            <v>1983</v>
          </cell>
          <cell r="H790">
            <v>20</v>
          </cell>
          <cell r="I790">
            <v>1867230000000</v>
          </cell>
        </row>
        <row r="791">
          <cell r="A791" t="str">
            <v>India</v>
          </cell>
          <cell r="B791">
            <v>356</v>
          </cell>
          <cell r="C791">
            <v>203</v>
          </cell>
          <cell r="D791">
            <v>3</v>
          </cell>
          <cell r="E791" t="str">
            <v>Equals: VALUE ADDED, GROSS, at basic prices</v>
          </cell>
          <cell r="F791">
            <v>12</v>
          </cell>
          <cell r="G791">
            <v>1984</v>
          </cell>
          <cell r="H791">
            <v>20</v>
          </cell>
          <cell r="I791">
            <v>2085330000000</v>
          </cell>
        </row>
        <row r="792">
          <cell r="A792" t="str">
            <v>India</v>
          </cell>
          <cell r="B792">
            <v>356</v>
          </cell>
          <cell r="C792">
            <v>203</v>
          </cell>
          <cell r="D792">
            <v>3</v>
          </cell>
          <cell r="E792" t="str">
            <v>Equals: VALUE ADDED, GROSS, at basic prices</v>
          </cell>
          <cell r="F792">
            <v>12</v>
          </cell>
          <cell r="G792">
            <v>1985</v>
          </cell>
          <cell r="H792">
            <v>20</v>
          </cell>
          <cell r="I792">
            <v>2337990000000</v>
          </cell>
        </row>
        <row r="793">
          <cell r="A793" t="str">
            <v>India</v>
          </cell>
          <cell r="B793">
            <v>356</v>
          </cell>
          <cell r="C793">
            <v>203</v>
          </cell>
          <cell r="D793">
            <v>3</v>
          </cell>
          <cell r="E793" t="str">
            <v>Equals: VALUE ADDED, GROSS, at basic prices</v>
          </cell>
          <cell r="F793">
            <v>12</v>
          </cell>
          <cell r="G793">
            <v>1986</v>
          </cell>
          <cell r="H793">
            <v>20</v>
          </cell>
          <cell r="I793">
            <v>2600300000000</v>
          </cell>
        </row>
        <row r="794">
          <cell r="A794" t="str">
            <v>India</v>
          </cell>
          <cell r="B794">
            <v>356</v>
          </cell>
          <cell r="C794">
            <v>203</v>
          </cell>
          <cell r="D794">
            <v>3</v>
          </cell>
          <cell r="E794" t="str">
            <v>Equals: VALUE ADDED, GROSS, at basic prices</v>
          </cell>
          <cell r="F794">
            <v>12</v>
          </cell>
          <cell r="G794">
            <v>1987</v>
          </cell>
          <cell r="H794">
            <v>20</v>
          </cell>
          <cell r="I794">
            <v>2948510000000</v>
          </cell>
        </row>
        <row r="795">
          <cell r="A795" t="str">
            <v>India</v>
          </cell>
          <cell r="B795">
            <v>356</v>
          </cell>
          <cell r="C795">
            <v>203</v>
          </cell>
          <cell r="D795">
            <v>3</v>
          </cell>
          <cell r="E795" t="str">
            <v>Equals: VALUE ADDED, GROSS, at basic prices</v>
          </cell>
          <cell r="F795">
            <v>12</v>
          </cell>
          <cell r="G795">
            <v>1988</v>
          </cell>
          <cell r="H795">
            <v>20</v>
          </cell>
          <cell r="I795">
            <v>3527060000000</v>
          </cell>
        </row>
        <row r="796">
          <cell r="A796" t="str">
            <v>India</v>
          </cell>
          <cell r="B796">
            <v>356</v>
          </cell>
          <cell r="C796">
            <v>203</v>
          </cell>
          <cell r="D796">
            <v>3</v>
          </cell>
          <cell r="E796" t="str">
            <v>Equals: VALUE ADDED, GROSS, at basic prices</v>
          </cell>
          <cell r="F796">
            <v>12</v>
          </cell>
          <cell r="G796">
            <v>1989</v>
          </cell>
          <cell r="H796">
            <v>20</v>
          </cell>
          <cell r="I796">
            <v>4086620000000</v>
          </cell>
        </row>
        <row r="797">
          <cell r="A797" t="str">
            <v>India</v>
          </cell>
          <cell r="B797">
            <v>356</v>
          </cell>
          <cell r="C797">
            <v>203</v>
          </cell>
          <cell r="D797">
            <v>3</v>
          </cell>
          <cell r="E797" t="str">
            <v>Equals: VALUE ADDED, GROSS, at basic prices</v>
          </cell>
          <cell r="F797">
            <v>12</v>
          </cell>
          <cell r="G797">
            <v>1990</v>
          </cell>
          <cell r="H797">
            <v>20</v>
          </cell>
          <cell r="I797">
            <v>4778140000000</v>
          </cell>
        </row>
        <row r="798">
          <cell r="A798" t="str">
            <v>India</v>
          </cell>
          <cell r="B798">
            <v>356</v>
          </cell>
          <cell r="C798">
            <v>203</v>
          </cell>
          <cell r="D798">
            <v>3</v>
          </cell>
          <cell r="E798" t="str">
            <v>Equals: VALUE ADDED, GROSS, at basic prices</v>
          </cell>
          <cell r="F798">
            <v>12</v>
          </cell>
          <cell r="G798">
            <v>1991</v>
          </cell>
          <cell r="H798">
            <v>20</v>
          </cell>
          <cell r="I798">
            <v>5527680000000</v>
          </cell>
        </row>
        <row r="799">
          <cell r="A799" t="str">
            <v>India</v>
          </cell>
          <cell r="B799">
            <v>356</v>
          </cell>
          <cell r="C799">
            <v>203</v>
          </cell>
          <cell r="D799">
            <v>3</v>
          </cell>
          <cell r="E799" t="str">
            <v>Equals: VALUE ADDED, GROSS, at basic prices</v>
          </cell>
          <cell r="F799">
            <v>12</v>
          </cell>
          <cell r="G799">
            <v>1992</v>
          </cell>
          <cell r="H799">
            <v>20</v>
          </cell>
          <cell r="I799">
            <v>6307720000000</v>
          </cell>
        </row>
        <row r="800">
          <cell r="A800" t="str">
            <v>India</v>
          </cell>
          <cell r="B800">
            <v>356</v>
          </cell>
          <cell r="C800">
            <v>203</v>
          </cell>
          <cell r="D800">
            <v>3</v>
          </cell>
          <cell r="E800" t="str">
            <v>Equals: VALUE ADDED, GROSS, at basic prices</v>
          </cell>
          <cell r="F800">
            <v>12</v>
          </cell>
          <cell r="G800">
            <v>1993</v>
          </cell>
          <cell r="H800">
            <v>20</v>
          </cell>
          <cell r="I800">
            <v>7328740000000</v>
          </cell>
        </row>
        <row r="801">
          <cell r="A801" t="str">
            <v>India</v>
          </cell>
          <cell r="B801">
            <v>356</v>
          </cell>
          <cell r="C801">
            <v>203</v>
          </cell>
          <cell r="D801">
            <v>3</v>
          </cell>
          <cell r="E801" t="str">
            <v>Equals: VALUE ADDED, GROSS, at basic prices</v>
          </cell>
          <cell r="F801">
            <v>12</v>
          </cell>
          <cell r="G801">
            <v>1993</v>
          </cell>
          <cell r="H801">
            <v>30</v>
          </cell>
          <cell r="I801">
            <v>7813450000000</v>
          </cell>
        </row>
        <row r="802">
          <cell r="A802" t="str">
            <v>India</v>
          </cell>
          <cell r="B802">
            <v>356</v>
          </cell>
          <cell r="C802">
            <v>203</v>
          </cell>
          <cell r="D802">
            <v>3</v>
          </cell>
          <cell r="E802" t="str">
            <v>Equals: VALUE ADDED, GROSS, at basic prices</v>
          </cell>
          <cell r="F802">
            <v>12</v>
          </cell>
          <cell r="G802">
            <v>1994</v>
          </cell>
          <cell r="H802">
            <v>30</v>
          </cell>
          <cell r="I802">
            <v>9170570000000</v>
          </cell>
        </row>
        <row r="803">
          <cell r="A803" t="str">
            <v>India</v>
          </cell>
          <cell r="B803">
            <v>356</v>
          </cell>
          <cell r="C803">
            <v>203</v>
          </cell>
          <cell r="D803">
            <v>3</v>
          </cell>
          <cell r="E803" t="str">
            <v>Equals: VALUE ADDED, GROSS, at basic prices</v>
          </cell>
          <cell r="F803">
            <v>12</v>
          </cell>
          <cell r="G803">
            <v>1995</v>
          </cell>
          <cell r="H803">
            <v>30</v>
          </cell>
          <cell r="I803">
            <v>10732710000000</v>
          </cell>
        </row>
        <row r="804">
          <cell r="A804" t="str">
            <v>India</v>
          </cell>
          <cell r="B804">
            <v>356</v>
          </cell>
          <cell r="C804">
            <v>203</v>
          </cell>
          <cell r="D804">
            <v>3</v>
          </cell>
          <cell r="E804" t="str">
            <v>Equals: VALUE ADDED, GROSS, at basic prices</v>
          </cell>
          <cell r="F804">
            <v>12</v>
          </cell>
          <cell r="G804">
            <v>1996</v>
          </cell>
          <cell r="H804">
            <v>30</v>
          </cell>
          <cell r="I804">
            <v>12435450000000</v>
          </cell>
        </row>
        <row r="805">
          <cell r="A805" t="str">
            <v>India</v>
          </cell>
          <cell r="B805">
            <v>356</v>
          </cell>
          <cell r="C805">
            <v>203</v>
          </cell>
          <cell r="D805">
            <v>3</v>
          </cell>
          <cell r="E805" t="str">
            <v>Equals: VALUE ADDED, GROSS, at basic prices</v>
          </cell>
          <cell r="F805">
            <v>12</v>
          </cell>
          <cell r="G805">
            <v>1997</v>
          </cell>
          <cell r="H805">
            <v>30</v>
          </cell>
          <cell r="I805">
            <v>13901480000000</v>
          </cell>
        </row>
        <row r="806">
          <cell r="A806" t="str">
            <v>India</v>
          </cell>
          <cell r="B806">
            <v>356</v>
          </cell>
          <cell r="C806">
            <v>203</v>
          </cell>
          <cell r="D806">
            <v>3</v>
          </cell>
          <cell r="E806" t="str">
            <v>Equals: VALUE ADDED, GROSS, at basic prices</v>
          </cell>
          <cell r="F806">
            <v>12</v>
          </cell>
          <cell r="G806">
            <v>1998</v>
          </cell>
          <cell r="H806">
            <v>30</v>
          </cell>
          <cell r="I806">
            <v>15981290000000</v>
          </cell>
        </row>
        <row r="807">
          <cell r="A807" t="str">
            <v>India</v>
          </cell>
          <cell r="B807">
            <v>356</v>
          </cell>
          <cell r="C807">
            <v>203</v>
          </cell>
          <cell r="D807">
            <v>3</v>
          </cell>
          <cell r="E807" t="str">
            <v>Equals: VALUE ADDED, GROSS, at basic prices</v>
          </cell>
          <cell r="F807">
            <v>12</v>
          </cell>
          <cell r="G807">
            <v>1999</v>
          </cell>
          <cell r="H807">
            <v>30</v>
          </cell>
          <cell r="I807">
            <v>17618370000000</v>
          </cell>
        </row>
        <row r="808">
          <cell r="A808" t="str">
            <v>India</v>
          </cell>
          <cell r="B808">
            <v>356</v>
          </cell>
          <cell r="C808">
            <v>203</v>
          </cell>
          <cell r="D808">
            <v>3</v>
          </cell>
          <cell r="E808" t="str">
            <v>Equals: VALUE ADDED, GROSS, at basic prices</v>
          </cell>
          <cell r="F808">
            <v>12</v>
          </cell>
          <cell r="G808">
            <v>2000</v>
          </cell>
          <cell r="H808">
            <v>30</v>
          </cell>
          <cell r="I808">
            <v>19029990000000</v>
          </cell>
        </row>
        <row r="809">
          <cell r="A809" t="str">
            <v>India</v>
          </cell>
          <cell r="B809">
            <v>356</v>
          </cell>
          <cell r="C809">
            <v>203</v>
          </cell>
          <cell r="D809">
            <v>3</v>
          </cell>
          <cell r="E809" t="str">
            <v>Equals: VALUE ADDED, GROSS, at basic prices</v>
          </cell>
          <cell r="F809">
            <v>12</v>
          </cell>
          <cell r="G809">
            <v>2001</v>
          </cell>
          <cell r="H809">
            <v>30</v>
          </cell>
          <cell r="I809">
            <v>20909570000000</v>
          </cell>
        </row>
        <row r="810">
          <cell r="A810" t="str">
            <v>India</v>
          </cell>
          <cell r="B810">
            <v>356</v>
          </cell>
          <cell r="C810">
            <v>203</v>
          </cell>
          <cell r="D810">
            <v>4</v>
          </cell>
          <cell r="E810" t="str">
            <v>Compensation of employees</v>
          </cell>
          <cell r="F810">
            <v>12</v>
          </cell>
          <cell r="G810">
            <v>1980</v>
          </cell>
          <cell r="H810">
            <v>20</v>
          </cell>
          <cell r="I810">
            <v>405970000000</v>
          </cell>
        </row>
        <row r="811">
          <cell r="A811" t="str">
            <v>India</v>
          </cell>
          <cell r="B811">
            <v>356</v>
          </cell>
          <cell r="C811">
            <v>203</v>
          </cell>
          <cell r="D811">
            <v>4</v>
          </cell>
          <cell r="E811" t="str">
            <v>Compensation of employees</v>
          </cell>
          <cell r="F811">
            <v>12</v>
          </cell>
          <cell r="G811">
            <v>1981</v>
          </cell>
          <cell r="H811">
            <v>20</v>
          </cell>
          <cell r="I811">
            <v>465640000000</v>
          </cell>
        </row>
        <row r="812">
          <cell r="A812" t="str">
            <v>India</v>
          </cell>
          <cell r="B812">
            <v>356</v>
          </cell>
          <cell r="C812">
            <v>203</v>
          </cell>
          <cell r="D812">
            <v>4</v>
          </cell>
          <cell r="E812" t="str">
            <v>Compensation of employees</v>
          </cell>
          <cell r="F812">
            <v>12</v>
          </cell>
          <cell r="G812">
            <v>1982</v>
          </cell>
          <cell r="H812">
            <v>20</v>
          </cell>
          <cell r="I812">
            <v>527430000000</v>
          </cell>
        </row>
        <row r="813">
          <cell r="A813" t="str">
            <v>India</v>
          </cell>
          <cell r="B813">
            <v>356</v>
          </cell>
          <cell r="C813">
            <v>203</v>
          </cell>
          <cell r="D813">
            <v>4</v>
          </cell>
          <cell r="E813" t="str">
            <v>Compensation of employees</v>
          </cell>
          <cell r="F813">
            <v>12</v>
          </cell>
          <cell r="G813">
            <v>1983</v>
          </cell>
          <cell r="H813">
            <v>20</v>
          </cell>
          <cell r="I813">
            <v>620250000000</v>
          </cell>
        </row>
        <row r="814">
          <cell r="A814" t="str">
            <v>India</v>
          </cell>
          <cell r="B814">
            <v>356</v>
          </cell>
          <cell r="C814">
            <v>203</v>
          </cell>
          <cell r="D814">
            <v>4</v>
          </cell>
          <cell r="E814" t="str">
            <v>Compensation of employees</v>
          </cell>
          <cell r="F814">
            <v>12</v>
          </cell>
          <cell r="G814">
            <v>1984</v>
          </cell>
          <cell r="H814">
            <v>20</v>
          </cell>
          <cell r="I814">
            <v>716880000000</v>
          </cell>
        </row>
        <row r="815">
          <cell r="A815" t="str">
            <v>India</v>
          </cell>
          <cell r="B815">
            <v>356</v>
          </cell>
          <cell r="C815">
            <v>203</v>
          </cell>
          <cell r="D815">
            <v>4</v>
          </cell>
          <cell r="E815" t="str">
            <v>Compensation of employees</v>
          </cell>
          <cell r="F815">
            <v>12</v>
          </cell>
          <cell r="G815">
            <v>1985</v>
          </cell>
          <cell r="H815">
            <v>20</v>
          </cell>
          <cell r="I815">
            <v>798370000000</v>
          </cell>
        </row>
        <row r="816">
          <cell r="A816" t="str">
            <v>India</v>
          </cell>
          <cell r="B816">
            <v>356</v>
          </cell>
          <cell r="C816">
            <v>203</v>
          </cell>
          <cell r="D816">
            <v>4</v>
          </cell>
          <cell r="E816" t="str">
            <v>Compensation of employees</v>
          </cell>
          <cell r="F816">
            <v>12</v>
          </cell>
          <cell r="G816">
            <v>1986</v>
          </cell>
          <cell r="H816">
            <v>20</v>
          </cell>
          <cell r="I816">
            <v>911840000000</v>
          </cell>
        </row>
        <row r="817">
          <cell r="A817" t="str">
            <v>India</v>
          </cell>
          <cell r="B817">
            <v>356</v>
          </cell>
          <cell r="C817">
            <v>203</v>
          </cell>
          <cell r="D817">
            <v>4</v>
          </cell>
          <cell r="E817" t="str">
            <v>Compensation of employees</v>
          </cell>
          <cell r="F817">
            <v>12</v>
          </cell>
          <cell r="G817">
            <v>1987</v>
          </cell>
          <cell r="H817">
            <v>20</v>
          </cell>
          <cell r="I817">
            <v>1051830000000</v>
          </cell>
        </row>
        <row r="818">
          <cell r="A818" t="str">
            <v>India</v>
          </cell>
          <cell r="B818">
            <v>356</v>
          </cell>
          <cell r="C818">
            <v>203</v>
          </cell>
          <cell r="D818">
            <v>4</v>
          </cell>
          <cell r="E818" t="str">
            <v>Compensation of employees</v>
          </cell>
          <cell r="F818">
            <v>12</v>
          </cell>
          <cell r="G818">
            <v>1988</v>
          </cell>
          <cell r="H818">
            <v>20</v>
          </cell>
          <cell r="I818">
            <v>1217640000000</v>
          </cell>
        </row>
        <row r="819">
          <cell r="A819" t="str">
            <v>India</v>
          </cell>
          <cell r="B819">
            <v>356</v>
          </cell>
          <cell r="C819">
            <v>203</v>
          </cell>
          <cell r="D819">
            <v>4</v>
          </cell>
          <cell r="E819" t="str">
            <v>Compensation of employees</v>
          </cell>
          <cell r="F819">
            <v>12</v>
          </cell>
          <cell r="G819">
            <v>1989</v>
          </cell>
          <cell r="H819">
            <v>20</v>
          </cell>
          <cell r="I819">
            <v>1403520000000</v>
          </cell>
        </row>
        <row r="820">
          <cell r="A820" t="str">
            <v>India</v>
          </cell>
          <cell r="B820">
            <v>356</v>
          </cell>
          <cell r="C820">
            <v>203</v>
          </cell>
          <cell r="D820">
            <v>4</v>
          </cell>
          <cell r="E820" t="str">
            <v>Compensation of employees</v>
          </cell>
          <cell r="F820">
            <v>12</v>
          </cell>
          <cell r="G820">
            <v>1990</v>
          </cell>
          <cell r="H820">
            <v>20</v>
          </cell>
          <cell r="I820">
            <v>1634510000000</v>
          </cell>
        </row>
        <row r="821">
          <cell r="A821" t="str">
            <v>India</v>
          </cell>
          <cell r="B821">
            <v>356</v>
          </cell>
          <cell r="C821">
            <v>203</v>
          </cell>
          <cell r="D821">
            <v>4</v>
          </cell>
          <cell r="E821" t="str">
            <v>Compensation of employees</v>
          </cell>
          <cell r="F821">
            <v>12</v>
          </cell>
          <cell r="G821">
            <v>1991</v>
          </cell>
          <cell r="H821">
            <v>20</v>
          </cell>
          <cell r="I821">
            <v>1862240000000</v>
          </cell>
        </row>
        <row r="822">
          <cell r="A822" t="str">
            <v>India</v>
          </cell>
          <cell r="B822">
            <v>356</v>
          </cell>
          <cell r="C822">
            <v>203</v>
          </cell>
          <cell r="D822">
            <v>4</v>
          </cell>
          <cell r="E822" t="str">
            <v>Compensation of employees</v>
          </cell>
          <cell r="F822">
            <v>12</v>
          </cell>
          <cell r="G822">
            <v>1992</v>
          </cell>
          <cell r="H822">
            <v>20</v>
          </cell>
          <cell r="I822">
            <v>2117770000000</v>
          </cell>
        </row>
        <row r="823">
          <cell r="A823" t="str">
            <v>India</v>
          </cell>
          <cell r="B823">
            <v>356</v>
          </cell>
          <cell r="C823">
            <v>203</v>
          </cell>
          <cell r="D823">
            <v>4</v>
          </cell>
          <cell r="E823" t="str">
            <v>Compensation of employees</v>
          </cell>
          <cell r="F823">
            <v>12</v>
          </cell>
          <cell r="G823">
            <v>1993</v>
          </cell>
          <cell r="H823">
            <v>20</v>
          </cell>
          <cell r="I823">
            <v>2380570000000</v>
          </cell>
        </row>
        <row r="824">
          <cell r="A824" t="str">
            <v>India</v>
          </cell>
          <cell r="B824">
            <v>356</v>
          </cell>
          <cell r="C824">
            <v>203</v>
          </cell>
          <cell r="D824">
            <v>4</v>
          </cell>
          <cell r="E824" t="str">
            <v>Compensation of employees</v>
          </cell>
          <cell r="F824">
            <v>12</v>
          </cell>
          <cell r="G824">
            <v>1993</v>
          </cell>
          <cell r="H824">
            <v>30</v>
          </cell>
          <cell r="I824">
            <v>3121400000000</v>
          </cell>
        </row>
        <row r="825">
          <cell r="A825" t="str">
            <v>India</v>
          </cell>
          <cell r="B825">
            <v>356</v>
          </cell>
          <cell r="C825">
            <v>203</v>
          </cell>
          <cell r="D825">
            <v>4</v>
          </cell>
          <cell r="E825" t="str">
            <v>Compensation of employees</v>
          </cell>
          <cell r="F825">
            <v>12</v>
          </cell>
          <cell r="G825">
            <v>1994</v>
          </cell>
          <cell r="H825">
            <v>30</v>
          </cell>
          <cell r="I825">
            <v>3576160000000</v>
          </cell>
        </row>
        <row r="826">
          <cell r="A826" t="str">
            <v>India</v>
          </cell>
          <cell r="B826">
            <v>356</v>
          </cell>
          <cell r="C826">
            <v>203</v>
          </cell>
          <cell r="D826">
            <v>4</v>
          </cell>
          <cell r="E826" t="str">
            <v>Compensation of employees</v>
          </cell>
          <cell r="F826">
            <v>12</v>
          </cell>
          <cell r="G826">
            <v>1995</v>
          </cell>
          <cell r="H826">
            <v>30</v>
          </cell>
          <cell r="I826">
            <v>4232090000000</v>
          </cell>
        </row>
        <row r="827">
          <cell r="A827" t="str">
            <v>India</v>
          </cell>
          <cell r="B827">
            <v>356</v>
          </cell>
          <cell r="C827">
            <v>203</v>
          </cell>
          <cell r="D827">
            <v>4</v>
          </cell>
          <cell r="E827" t="str">
            <v>Compensation of employees</v>
          </cell>
          <cell r="F827">
            <v>12</v>
          </cell>
          <cell r="G827">
            <v>1996</v>
          </cell>
          <cell r="H827">
            <v>30</v>
          </cell>
          <cell r="I827">
            <v>4748560000000</v>
          </cell>
        </row>
        <row r="828">
          <cell r="A828" t="str">
            <v>India</v>
          </cell>
          <cell r="B828">
            <v>356</v>
          </cell>
          <cell r="C828">
            <v>203</v>
          </cell>
          <cell r="D828">
            <v>4</v>
          </cell>
          <cell r="E828" t="str">
            <v>Compensation of employees</v>
          </cell>
          <cell r="F828">
            <v>12</v>
          </cell>
          <cell r="G828">
            <v>1997</v>
          </cell>
          <cell r="H828">
            <v>30</v>
          </cell>
          <cell r="I828">
            <v>5496290000000</v>
          </cell>
        </row>
        <row r="829">
          <cell r="A829" t="str">
            <v>India</v>
          </cell>
          <cell r="B829">
            <v>356</v>
          </cell>
          <cell r="C829">
            <v>203</v>
          </cell>
          <cell r="D829">
            <v>4</v>
          </cell>
          <cell r="E829" t="str">
            <v>Compensation of employees</v>
          </cell>
          <cell r="F829">
            <v>12</v>
          </cell>
          <cell r="G829">
            <v>1998</v>
          </cell>
          <cell r="H829">
            <v>30</v>
          </cell>
          <cell r="I829">
            <v>6129230000000</v>
          </cell>
        </row>
        <row r="830">
          <cell r="A830" t="str">
            <v>India</v>
          </cell>
          <cell r="B830">
            <v>356</v>
          </cell>
          <cell r="C830">
            <v>203</v>
          </cell>
          <cell r="D830">
            <v>4</v>
          </cell>
          <cell r="E830" t="str">
            <v>Compensation of employees</v>
          </cell>
          <cell r="F830">
            <v>12</v>
          </cell>
          <cell r="G830">
            <v>1999</v>
          </cell>
          <cell r="H830">
            <v>30</v>
          </cell>
          <cell r="I830">
            <v>6877050000000</v>
          </cell>
        </row>
        <row r="831">
          <cell r="A831" t="str">
            <v>India</v>
          </cell>
          <cell r="B831">
            <v>356</v>
          </cell>
          <cell r="C831">
            <v>203</v>
          </cell>
          <cell r="D831">
            <v>4</v>
          </cell>
          <cell r="E831" t="str">
            <v>Compensation of employees</v>
          </cell>
          <cell r="F831">
            <v>12</v>
          </cell>
          <cell r="G831">
            <v>2000</v>
          </cell>
          <cell r="H831">
            <v>30</v>
          </cell>
          <cell r="I831">
            <v>7637650000000</v>
          </cell>
        </row>
        <row r="832">
          <cell r="A832" t="str">
            <v>India</v>
          </cell>
          <cell r="B832">
            <v>356</v>
          </cell>
          <cell r="C832">
            <v>203</v>
          </cell>
          <cell r="D832">
            <v>4</v>
          </cell>
          <cell r="E832" t="str">
            <v>Compensation of employees</v>
          </cell>
          <cell r="F832">
            <v>12</v>
          </cell>
          <cell r="G832">
            <v>2001</v>
          </cell>
          <cell r="H832">
            <v>30</v>
          </cell>
          <cell r="I832">
            <v>8307180000000</v>
          </cell>
        </row>
        <row r="833">
          <cell r="A833" t="str">
            <v>India</v>
          </cell>
          <cell r="B833">
            <v>356</v>
          </cell>
          <cell r="C833">
            <v>203</v>
          </cell>
          <cell r="D833">
            <v>11</v>
          </cell>
          <cell r="E833" t="str">
            <v>OPERATING SURPLUS, GROSS</v>
          </cell>
          <cell r="F833">
            <v>12</v>
          </cell>
          <cell r="G833">
            <v>1980</v>
          </cell>
          <cell r="H833">
            <v>20</v>
          </cell>
          <cell r="I833">
            <v>818300000000</v>
          </cell>
        </row>
        <row r="834">
          <cell r="A834" t="str">
            <v>India</v>
          </cell>
          <cell r="B834">
            <v>356</v>
          </cell>
          <cell r="C834">
            <v>203</v>
          </cell>
          <cell r="D834">
            <v>11</v>
          </cell>
          <cell r="E834" t="str">
            <v>OPERATING SURPLUS, GROSS</v>
          </cell>
          <cell r="F834">
            <v>12</v>
          </cell>
          <cell r="G834">
            <v>1981</v>
          </cell>
          <cell r="H834">
            <v>20</v>
          </cell>
          <cell r="I834">
            <v>966520000000</v>
          </cell>
        </row>
        <row r="835">
          <cell r="A835" t="str">
            <v>India</v>
          </cell>
          <cell r="B835">
            <v>356</v>
          </cell>
          <cell r="C835">
            <v>203</v>
          </cell>
          <cell r="D835">
            <v>11</v>
          </cell>
          <cell r="E835" t="str">
            <v>OPERATING SURPLUS, GROSS</v>
          </cell>
          <cell r="F835">
            <v>12</v>
          </cell>
          <cell r="G835">
            <v>1982</v>
          </cell>
          <cell r="H835">
            <v>20</v>
          </cell>
          <cell r="I835">
            <v>1066520000000</v>
          </cell>
        </row>
        <row r="836">
          <cell r="A836" t="str">
            <v>India</v>
          </cell>
          <cell r="B836">
            <v>356</v>
          </cell>
          <cell r="C836">
            <v>203</v>
          </cell>
          <cell r="D836">
            <v>11</v>
          </cell>
          <cell r="E836" t="str">
            <v>OPERATING SURPLUS, GROSS</v>
          </cell>
          <cell r="F836">
            <v>12</v>
          </cell>
          <cell r="G836">
            <v>1983</v>
          </cell>
          <cell r="H836">
            <v>20</v>
          </cell>
          <cell r="I836">
            <v>1246980000000</v>
          </cell>
        </row>
        <row r="837">
          <cell r="A837" t="str">
            <v>India</v>
          </cell>
          <cell r="B837">
            <v>356</v>
          </cell>
          <cell r="C837">
            <v>203</v>
          </cell>
          <cell r="D837">
            <v>11</v>
          </cell>
          <cell r="E837" t="str">
            <v>OPERATING SURPLUS, GROSS</v>
          </cell>
          <cell r="F837">
            <v>12</v>
          </cell>
          <cell r="G837">
            <v>1984</v>
          </cell>
          <cell r="H837">
            <v>20</v>
          </cell>
          <cell r="I837">
            <v>1368450000000</v>
          </cell>
        </row>
        <row r="838">
          <cell r="A838" t="str">
            <v>India</v>
          </cell>
          <cell r="B838">
            <v>356</v>
          </cell>
          <cell r="C838">
            <v>203</v>
          </cell>
          <cell r="D838">
            <v>11</v>
          </cell>
          <cell r="E838" t="str">
            <v>OPERATING SURPLUS, GROSS</v>
          </cell>
          <cell r="F838">
            <v>12</v>
          </cell>
          <cell r="G838">
            <v>1985</v>
          </cell>
          <cell r="H838">
            <v>20</v>
          </cell>
          <cell r="I838">
            <v>1539620000000</v>
          </cell>
        </row>
        <row r="839">
          <cell r="A839" t="str">
            <v>India</v>
          </cell>
          <cell r="B839">
            <v>356</v>
          </cell>
          <cell r="C839">
            <v>203</v>
          </cell>
          <cell r="D839">
            <v>11</v>
          </cell>
          <cell r="E839" t="str">
            <v>OPERATING SURPLUS, GROSS</v>
          </cell>
          <cell r="F839">
            <v>12</v>
          </cell>
          <cell r="G839">
            <v>1986</v>
          </cell>
          <cell r="H839">
            <v>20</v>
          </cell>
          <cell r="I839">
            <v>1688460000000</v>
          </cell>
        </row>
        <row r="840">
          <cell r="A840" t="str">
            <v>India</v>
          </cell>
          <cell r="B840">
            <v>356</v>
          </cell>
          <cell r="C840">
            <v>203</v>
          </cell>
          <cell r="D840">
            <v>11</v>
          </cell>
          <cell r="E840" t="str">
            <v>OPERATING SURPLUS, GROSS</v>
          </cell>
          <cell r="F840">
            <v>12</v>
          </cell>
          <cell r="G840">
            <v>1987</v>
          </cell>
          <cell r="H840">
            <v>20</v>
          </cell>
          <cell r="I840">
            <v>1896680000000</v>
          </cell>
        </row>
        <row r="841">
          <cell r="A841" t="str">
            <v>India</v>
          </cell>
          <cell r="B841">
            <v>356</v>
          </cell>
          <cell r="C841">
            <v>203</v>
          </cell>
          <cell r="D841">
            <v>11</v>
          </cell>
          <cell r="E841" t="str">
            <v>OPERATING SURPLUS, GROSS</v>
          </cell>
          <cell r="F841">
            <v>12</v>
          </cell>
          <cell r="G841">
            <v>1988</v>
          </cell>
          <cell r="H841">
            <v>20</v>
          </cell>
          <cell r="I841">
            <v>2309420000000</v>
          </cell>
        </row>
        <row r="842">
          <cell r="A842" t="str">
            <v>India</v>
          </cell>
          <cell r="B842">
            <v>356</v>
          </cell>
          <cell r="C842">
            <v>203</v>
          </cell>
          <cell r="D842">
            <v>11</v>
          </cell>
          <cell r="E842" t="str">
            <v>OPERATING SURPLUS, GROSS</v>
          </cell>
          <cell r="F842">
            <v>12</v>
          </cell>
          <cell r="G842">
            <v>1989</v>
          </cell>
          <cell r="H842">
            <v>20</v>
          </cell>
          <cell r="I842">
            <v>2683100000000</v>
          </cell>
        </row>
        <row r="843">
          <cell r="A843" t="str">
            <v>India</v>
          </cell>
          <cell r="B843">
            <v>356</v>
          </cell>
          <cell r="C843">
            <v>203</v>
          </cell>
          <cell r="D843">
            <v>11</v>
          </cell>
          <cell r="E843" t="str">
            <v>OPERATING SURPLUS, GROSS</v>
          </cell>
          <cell r="F843">
            <v>12</v>
          </cell>
          <cell r="G843">
            <v>1990</v>
          </cell>
          <cell r="H843">
            <v>20</v>
          </cell>
          <cell r="I843">
            <v>3143630000000</v>
          </cell>
        </row>
        <row r="844">
          <cell r="A844" t="str">
            <v>India</v>
          </cell>
          <cell r="B844">
            <v>356</v>
          </cell>
          <cell r="C844">
            <v>203</v>
          </cell>
          <cell r="D844">
            <v>11</v>
          </cell>
          <cell r="E844" t="str">
            <v>OPERATING SURPLUS, GROSS</v>
          </cell>
          <cell r="F844">
            <v>12</v>
          </cell>
          <cell r="G844">
            <v>1991</v>
          </cell>
          <cell r="H844">
            <v>20</v>
          </cell>
          <cell r="I844">
            <v>3665440000000</v>
          </cell>
        </row>
        <row r="845">
          <cell r="A845" t="str">
            <v>India</v>
          </cell>
          <cell r="B845">
            <v>356</v>
          </cell>
          <cell r="C845">
            <v>203</v>
          </cell>
          <cell r="D845">
            <v>11</v>
          </cell>
          <cell r="E845" t="str">
            <v>OPERATING SURPLUS, GROSS</v>
          </cell>
          <cell r="F845">
            <v>12</v>
          </cell>
          <cell r="G845">
            <v>1992</v>
          </cell>
          <cell r="H845">
            <v>20</v>
          </cell>
          <cell r="I845">
            <v>4189950000000</v>
          </cell>
        </row>
        <row r="846">
          <cell r="A846" t="str">
            <v>India</v>
          </cell>
          <cell r="B846">
            <v>356</v>
          </cell>
          <cell r="C846">
            <v>203</v>
          </cell>
          <cell r="D846">
            <v>11</v>
          </cell>
          <cell r="E846" t="str">
            <v>OPERATING SURPLUS, GROSS</v>
          </cell>
          <cell r="F846">
            <v>12</v>
          </cell>
          <cell r="G846">
            <v>1993</v>
          </cell>
          <cell r="H846">
            <v>20</v>
          </cell>
          <cell r="I846">
            <v>4948170000000</v>
          </cell>
        </row>
        <row r="847">
          <cell r="A847" t="str">
            <v>India</v>
          </cell>
          <cell r="B847">
            <v>356</v>
          </cell>
          <cell r="C847">
            <v>203</v>
          </cell>
          <cell r="D847">
            <v>11</v>
          </cell>
          <cell r="E847" t="str">
            <v>OPERATING SURPLUS, GROSS</v>
          </cell>
          <cell r="F847">
            <v>12</v>
          </cell>
          <cell r="G847">
            <v>1993</v>
          </cell>
          <cell r="H847">
            <v>30</v>
          </cell>
          <cell r="I847">
            <v>3084165000000</v>
          </cell>
        </row>
        <row r="848">
          <cell r="A848" t="str">
            <v>India</v>
          </cell>
          <cell r="B848">
            <v>356</v>
          </cell>
          <cell r="C848">
            <v>203</v>
          </cell>
          <cell r="D848">
            <v>11</v>
          </cell>
          <cell r="E848" t="str">
            <v>OPERATING SURPLUS, GROSS</v>
          </cell>
          <cell r="F848">
            <v>12</v>
          </cell>
          <cell r="G848">
            <v>1994</v>
          </cell>
          <cell r="H848">
            <v>30</v>
          </cell>
          <cell r="I848">
            <v>3719790000000</v>
          </cell>
        </row>
        <row r="849">
          <cell r="A849" t="str">
            <v>India</v>
          </cell>
          <cell r="B849">
            <v>356</v>
          </cell>
          <cell r="C849">
            <v>203</v>
          </cell>
          <cell r="D849">
            <v>11</v>
          </cell>
          <cell r="E849" t="str">
            <v>OPERATING SURPLUS, GROSS</v>
          </cell>
          <cell r="F849">
            <v>12</v>
          </cell>
          <cell r="G849">
            <v>1995</v>
          </cell>
          <cell r="H849">
            <v>30</v>
          </cell>
          <cell r="I849">
            <v>4417750000000</v>
          </cell>
        </row>
        <row r="850">
          <cell r="A850" t="str">
            <v>India</v>
          </cell>
          <cell r="B850">
            <v>356</v>
          </cell>
          <cell r="C850">
            <v>203</v>
          </cell>
          <cell r="D850">
            <v>11</v>
          </cell>
          <cell r="E850" t="str">
            <v>OPERATING SURPLUS, GROSS</v>
          </cell>
          <cell r="F850">
            <v>12</v>
          </cell>
          <cell r="G850">
            <v>1996</v>
          </cell>
          <cell r="H850">
            <v>30</v>
          </cell>
          <cell r="I850">
            <v>5128900000000</v>
          </cell>
        </row>
        <row r="851">
          <cell r="A851" t="str">
            <v>India</v>
          </cell>
          <cell r="B851">
            <v>356</v>
          </cell>
          <cell r="C851">
            <v>203</v>
          </cell>
          <cell r="D851">
            <v>11</v>
          </cell>
          <cell r="E851" t="str">
            <v>OPERATING SURPLUS, GROSS</v>
          </cell>
          <cell r="F851">
            <v>12</v>
          </cell>
          <cell r="G851">
            <v>1997</v>
          </cell>
          <cell r="H851">
            <v>30</v>
          </cell>
          <cell r="I851">
            <v>5653700000000</v>
          </cell>
        </row>
        <row r="852">
          <cell r="A852" t="str">
            <v>India</v>
          </cell>
          <cell r="B852">
            <v>356</v>
          </cell>
          <cell r="C852">
            <v>203</v>
          </cell>
          <cell r="D852">
            <v>11</v>
          </cell>
          <cell r="E852" t="str">
            <v>OPERATING SURPLUS, GROSS</v>
          </cell>
          <cell r="F852">
            <v>12</v>
          </cell>
          <cell r="G852">
            <v>1998</v>
          </cell>
          <cell r="H852">
            <v>30</v>
          </cell>
          <cell r="I852">
            <v>6402690000000</v>
          </cell>
        </row>
        <row r="853">
          <cell r="A853" t="str">
            <v>India</v>
          </cell>
          <cell r="B853">
            <v>356</v>
          </cell>
          <cell r="C853">
            <v>203</v>
          </cell>
          <cell r="D853">
            <v>11</v>
          </cell>
          <cell r="E853" t="str">
            <v>OPERATING SURPLUS, GROSS</v>
          </cell>
          <cell r="F853">
            <v>12</v>
          </cell>
          <cell r="G853">
            <v>1999</v>
          </cell>
          <cell r="H853">
            <v>30</v>
          </cell>
          <cell r="I853">
            <v>7109870000000</v>
          </cell>
        </row>
        <row r="854">
          <cell r="A854" t="str">
            <v>India</v>
          </cell>
          <cell r="B854">
            <v>356</v>
          </cell>
          <cell r="C854">
            <v>203</v>
          </cell>
          <cell r="D854">
            <v>11</v>
          </cell>
          <cell r="E854" t="str">
            <v>OPERATING SURPLUS, GROSS</v>
          </cell>
          <cell r="F854">
            <v>12</v>
          </cell>
          <cell r="G854">
            <v>2000</v>
          </cell>
          <cell r="H854">
            <v>30</v>
          </cell>
          <cell r="I854">
            <v>7641090000000</v>
          </cell>
        </row>
        <row r="855">
          <cell r="A855" t="str">
            <v>India</v>
          </cell>
          <cell r="B855">
            <v>356</v>
          </cell>
          <cell r="C855">
            <v>203</v>
          </cell>
          <cell r="D855">
            <v>11</v>
          </cell>
          <cell r="E855" t="str">
            <v>OPERATING SURPLUS, GROSS</v>
          </cell>
          <cell r="F855">
            <v>12</v>
          </cell>
          <cell r="G855">
            <v>2001</v>
          </cell>
          <cell r="H855">
            <v>30</v>
          </cell>
          <cell r="I855">
            <v>8273620000000</v>
          </cell>
        </row>
        <row r="856">
          <cell r="A856" t="str">
            <v>Iraq</v>
          </cell>
          <cell r="B856">
            <v>368</v>
          </cell>
          <cell r="C856">
            <v>201</v>
          </cell>
          <cell r="D856">
            <v>13</v>
          </cell>
          <cell r="E856" t="str">
            <v>Less: Financial intermediation services indirectly measured (FISIM) (only to be deducted if FISIM is not distributed to uses)</v>
          </cell>
          <cell r="F856">
            <v>0</v>
          </cell>
          <cell r="G856">
            <v>1970</v>
          </cell>
          <cell r="H856">
            <v>10</v>
          </cell>
          <cell r="I856">
            <v>27200000</v>
          </cell>
        </row>
        <row r="857">
          <cell r="A857" t="str">
            <v>Iraq</v>
          </cell>
          <cell r="B857">
            <v>368</v>
          </cell>
          <cell r="C857">
            <v>201</v>
          </cell>
          <cell r="D857">
            <v>13</v>
          </cell>
          <cell r="E857" t="str">
            <v>Less: Financial intermediation services indirectly measured (FISIM) (only to be deducted if FISIM is not distributed to uses)</v>
          </cell>
          <cell r="F857">
            <v>0</v>
          </cell>
          <cell r="G857">
            <v>1971</v>
          </cell>
          <cell r="H857">
            <v>10</v>
          </cell>
          <cell r="I857">
            <v>30200000</v>
          </cell>
        </row>
        <row r="858">
          <cell r="A858" t="str">
            <v>Iraq</v>
          </cell>
          <cell r="B858">
            <v>368</v>
          </cell>
          <cell r="C858">
            <v>201</v>
          </cell>
          <cell r="D858">
            <v>13</v>
          </cell>
          <cell r="E858" t="str">
            <v>Less: Financial intermediation services indirectly measured (FISIM) (only to be deducted if FISIM is not distributed to uses)</v>
          </cell>
          <cell r="F858">
            <v>0</v>
          </cell>
          <cell r="G858">
            <v>1972</v>
          </cell>
          <cell r="H858">
            <v>10</v>
          </cell>
          <cell r="I858">
            <v>29400000</v>
          </cell>
        </row>
        <row r="859">
          <cell r="A859" t="str">
            <v>Iraq</v>
          </cell>
          <cell r="B859">
            <v>368</v>
          </cell>
          <cell r="C859">
            <v>201</v>
          </cell>
          <cell r="D859">
            <v>13</v>
          </cell>
          <cell r="E859" t="str">
            <v>Less: Financial intermediation services indirectly measured (FISIM) (only to be deducted if FISIM is not distributed to uses)</v>
          </cell>
          <cell r="F859">
            <v>0</v>
          </cell>
          <cell r="G859">
            <v>1973</v>
          </cell>
          <cell r="H859">
            <v>10</v>
          </cell>
          <cell r="I859">
            <v>43400000</v>
          </cell>
        </row>
        <row r="860">
          <cell r="A860" t="str">
            <v>Iraq</v>
          </cell>
          <cell r="B860">
            <v>368</v>
          </cell>
          <cell r="C860">
            <v>201</v>
          </cell>
          <cell r="D860">
            <v>13</v>
          </cell>
          <cell r="E860" t="str">
            <v>Less: Financial intermediation services indirectly measured (FISIM) (only to be deducted if FISIM is not distributed to uses)</v>
          </cell>
          <cell r="F860">
            <v>0</v>
          </cell>
          <cell r="G860">
            <v>1974</v>
          </cell>
          <cell r="H860">
            <v>10</v>
          </cell>
          <cell r="I860">
            <v>121700000</v>
          </cell>
        </row>
        <row r="861">
          <cell r="A861" t="str">
            <v>Iraq</v>
          </cell>
          <cell r="B861">
            <v>368</v>
          </cell>
          <cell r="C861">
            <v>201</v>
          </cell>
          <cell r="D861">
            <v>13</v>
          </cell>
          <cell r="E861" t="str">
            <v>Less: Financial intermediation services indirectly measured (FISIM) (only to be deducted if FISIM is not distributed to uses)</v>
          </cell>
          <cell r="F861">
            <v>0</v>
          </cell>
          <cell r="G861">
            <v>1975</v>
          </cell>
          <cell r="H861">
            <v>10</v>
          </cell>
          <cell r="I861">
            <v>130800000</v>
          </cell>
        </row>
        <row r="862">
          <cell r="A862" t="str">
            <v>Iraq</v>
          </cell>
          <cell r="B862">
            <v>368</v>
          </cell>
          <cell r="C862">
            <v>201</v>
          </cell>
          <cell r="D862">
            <v>13</v>
          </cell>
          <cell r="E862" t="str">
            <v>Less: Financial intermediation services indirectly measured (FISIM) (only to be deducted if FISIM is not distributed to uses)</v>
          </cell>
          <cell r="F862">
            <v>0</v>
          </cell>
          <cell r="G862">
            <v>1976</v>
          </cell>
          <cell r="H862">
            <v>10</v>
          </cell>
          <cell r="I862">
            <v>138700000</v>
          </cell>
        </row>
        <row r="863">
          <cell r="A863" t="str">
            <v>Iraq</v>
          </cell>
          <cell r="B863">
            <v>368</v>
          </cell>
          <cell r="C863">
            <v>201</v>
          </cell>
          <cell r="D863">
            <v>13</v>
          </cell>
          <cell r="E863" t="str">
            <v>Less: Financial intermediation services indirectly measured (FISIM) (only to be deducted if FISIM is not distributed to uses)</v>
          </cell>
          <cell r="F863">
            <v>0</v>
          </cell>
          <cell r="G863">
            <v>1977</v>
          </cell>
          <cell r="H863">
            <v>10</v>
          </cell>
          <cell r="I863">
            <v>150300000</v>
          </cell>
        </row>
        <row r="864">
          <cell r="A864" t="str">
            <v>Iraq</v>
          </cell>
          <cell r="B864">
            <v>368</v>
          </cell>
          <cell r="C864">
            <v>201</v>
          </cell>
          <cell r="D864">
            <v>13</v>
          </cell>
          <cell r="E864" t="str">
            <v>Less: Financial intermediation services indirectly measured (FISIM) (only to be deducted if FISIM is not distributed to uses)</v>
          </cell>
          <cell r="F864">
            <v>0</v>
          </cell>
          <cell r="G864">
            <v>1978</v>
          </cell>
          <cell r="H864">
            <v>10</v>
          </cell>
          <cell r="I864">
            <v>208400000</v>
          </cell>
        </row>
        <row r="865">
          <cell r="A865" t="str">
            <v>Iraq</v>
          </cell>
          <cell r="B865">
            <v>368</v>
          </cell>
          <cell r="C865">
            <v>201</v>
          </cell>
          <cell r="D865">
            <v>13</v>
          </cell>
          <cell r="E865" t="str">
            <v>Less: Financial intermediation services indirectly measured (FISIM) (only to be deducted if FISIM is not distributed to uses)</v>
          </cell>
          <cell r="F865">
            <v>0</v>
          </cell>
          <cell r="G865">
            <v>1979</v>
          </cell>
          <cell r="H865">
            <v>10</v>
          </cell>
          <cell r="I865">
            <v>485600000</v>
          </cell>
        </row>
        <row r="866">
          <cell r="A866" t="str">
            <v>Iraq</v>
          </cell>
          <cell r="B866">
            <v>368</v>
          </cell>
          <cell r="C866">
            <v>201</v>
          </cell>
          <cell r="D866">
            <v>13</v>
          </cell>
          <cell r="E866" t="str">
            <v>Less: Financial intermediation services indirectly measured (FISIM) (only to be deducted if FISIM is not distributed to uses)</v>
          </cell>
          <cell r="F866">
            <v>0</v>
          </cell>
          <cell r="G866">
            <v>1980</v>
          </cell>
          <cell r="H866">
            <v>10</v>
          </cell>
          <cell r="I866">
            <v>147500000</v>
          </cell>
        </row>
        <row r="867">
          <cell r="A867" t="str">
            <v>Iraq</v>
          </cell>
          <cell r="B867">
            <v>368</v>
          </cell>
          <cell r="C867">
            <v>201</v>
          </cell>
          <cell r="D867">
            <v>13</v>
          </cell>
          <cell r="E867" t="str">
            <v>Less: Financial intermediation services indirectly measured (FISIM) (only to be deducted if FISIM is not distributed to uses)</v>
          </cell>
          <cell r="F867">
            <v>0</v>
          </cell>
          <cell r="G867">
            <v>1981</v>
          </cell>
          <cell r="H867">
            <v>10</v>
          </cell>
          <cell r="I867">
            <v>134500000</v>
          </cell>
        </row>
        <row r="868">
          <cell r="A868" t="str">
            <v>Iraq</v>
          </cell>
          <cell r="B868">
            <v>368</v>
          </cell>
          <cell r="C868">
            <v>201</v>
          </cell>
          <cell r="D868">
            <v>13</v>
          </cell>
          <cell r="E868" t="str">
            <v>Less: Financial intermediation services indirectly measured (FISIM) (only to be deducted if FISIM is not distributed to uses)</v>
          </cell>
          <cell r="F868">
            <v>0</v>
          </cell>
          <cell r="G868">
            <v>1982</v>
          </cell>
          <cell r="H868">
            <v>10</v>
          </cell>
          <cell r="I868">
            <v>217800000</v>
          </cell>
        </row>
        <row r="869">
          <cell r="A869" t="str">
            <v>Iraq</v>
          </cell>
          <cell r="B869">
            <v>368</v>
          </cell>
          <cell r="C869">
            <v>201</v>
          </cell>
          <cell r="D869">
            <v>13</v>
          </cell>
          <cell r="E869" t="str">
            <v>Less: Financial intermediation services indirectly measured (FISIM) (only to be deducted if FISIM is not distributed to uses)</v>
          </cell>
          <cell r="F869">
            <v>0</v>
          </cell>
          <cell r="G869">
            <v>1983</v>
          </cell>
          <cell r="H869">
            <v>10</v>
          </cell>
          <cell r="I869">
            <v>433800000</v>
          </cell>
        </row>
        <row r="870">
          <cell r="A870" t="str">
            <v>Iraq</v>
          </cell>
          <cell r="B870">
            <v>368</v>
          </cell>
          <cell r="C870">
            <v>201</v>
          </cell>
          <cell r="D870">
            <v>13</v>
          </cell>
          <cell r="E870" t="str">
            <v>Less: Financial intermediation services indirectly measured (FISIM) (only to be deducted if FISIM is not distributed to uses)</v>
          </cell>
          <cell r="F870">
            <v>0</v>
          </cell>
          <cell r="G870">
            <v>1984</v>
          </cell>
          <cell r="H870">
            <v>10</v>
          </cell>
          <cell r="I870">
            <v>720900000</v>
          </cell>
        </row>
        <row r="871">
          <cell r="A871" t="str">
            <v>Iraq</v>
          </cell>
          <cell r="B871">
            <v>368</v>
          </cell>
          <cell r="C871">
            <v>201</v>
          </cell>
          <cell r="D871">
            <v>13</v>
          </cell>
          <cell r="E871" t="str">
            <v>Less: Financial intermediation services indirectly measured (FISIM) (only to be deducted if FISIM is not distributed to uses)</v>
          </cell>
          <cell r="F871">
            <v>0</v>
          </cell>
          <cell r="G871">
            <v>1985</v>
          </cell>
          <cell r="H871">
            <v>10</v>
          </cell>
          <cell r="I871">
            <v>571100000</v>
          </cell>
        </row>
        <row r="872">
          <cell r="A872" t="str">
            <v>Iraq</v>
          </cell>
          <cell r="B872">
            <v>368</v>
          </cell>
          <cell r="C872">
            <v>201</v>
          </cell>
          <cell r="D872">
            <v>13</v>
          </cell>
          <cell r="E872" t="str">
            <v>Less: Financial intermediation services indirectly measured (FISIM) (only to be deducted if FISIM is not distributed to uses)</v>
          </cell>
          <cell r="F872">
            <v>0</v>
          </cell>
          <cell r="G872">
            <v>1986</v>
          </cell>
          <cell r="H872">
            <v>10</v>
          </cell>
          <cell r="I872">
            <v>767000000</v>
          </cell>
        </row>
        <row r="873">
          <cell r="A873" t="str">
            <v>Iraq</v>
          </cell>
          <cell r="B873">
            <v>368</v>
          </cell>
          <cell r="C873">
            <v>201</v>
          </cell>
          <cell r="D873">
            <v>13</v>
          </cell>
          <cell r="E873" t="str">
            <v>Less: Financial intermediation services indirectly measured (FISIM) (only to be deducted if FISIM is not distributed to uses)</v>
          </cell>
          <cell r="F873">
            <v>0</v>
          </cell>
          <cell r="G873">
            <v>1987</v>
          </cell>
          <cell r="H873">
            <v>10</v>
          </cell>
          <cell r="I873">
            <v>983300000</v>
          </cell>
        </row>
        <row r="874">
          <cell r="A874" t="str">
            <v>Iraq</v>
          </cell>
          <cell r="B874">
            <v>368</v>
          </cell>
          <cell r="C874">
            <v>201</v>
          </cell>
          <cell r="D874">
            <v>13</v>
          </cell>
          <cell r="E874" t="str">
            <v>Less: Financial intermediation services indirectly measured (FISIM) (only to be deducted if FISIM is not distributed to uses)</v>
          </cell>
          <cell r="F874">
            <v>0</v>
          </cell>
          <cell r="G874">
            <v>1988</v>
          </cell>
          <cell r="H874">
            <v>10</v>
          </cell>
          <cell r="I874">
            <v>1123400000</v>
          </cell>
        </row>
        <row r="875">
          <cell r="A875" t="str">
            <v>Iraq</v>
          </cell>
          <cell r="B875">
            <v>368</v>
          </cell>
          <cell r="C875">
            <v>201</v>
          </cell>
          <cell r="D875">
            <v>13</v>
          </cell>
          <cell r="E875" t="str">
            <v>Less: Financial intermediation services indirectly measured (FISIM) (only to be deducted if FISIM is not distributed to uses)</v>
          </cell>
          <cell r="F875">
            <v>0</v>
          </cell>
          <cell r="G875">
            <v>1989</v>
          </cell>
          <cell r="H875">
            <v>10</v>
          </cell>
          <cell r="I875">
            <v>1412600000</v>
          </cell>
        </row>
        <row r="876">
          <cell r="A876" t="str">
            <v>Iraq</v>
          </cell>
          <cell r="B876">
            <v>368</v>
          </cell>
          <cell r="C876">
            <v>201</v>
          </cell>
          <cell r="D876">
            <v>13</v>
          </cell>
          <cell r="E876" t="str">
            <v>Less: Financial intermediation services indirectly measured (FISIM) (only to be deducted if FISIM is not distributed to uses)</v>
          </cell>
          <cell r="F876">
            <v>0</v>
          </cell>
          <cell r="G876">
            <v>1990</v>
          </cell>
          <cell r="H876">
            <v>10</v>
          </cell>
          <cell r="I876">
            <v>1550500000</v>
          </cell>
        </row>
        <row r="877">
          <cell r="A877" t="str">
            <v>Iraq</v>
          </cell>
          <cell r="B877">
            <v>368</v>
          </cell>
          <cell r="C877">
            <v>201</v>
          </cell>
          <cell r="D877">
            <v>13</v>
          </cell>
          <cell r="E877" t="str">
            <v>Less: Financial intermediation services indirectly measured (FISIM) (only to be deducted if FISIM is not distributed to uses)</v>
          </cell>
          <cell r="F877">
            <v>0</v>
          </cell>
          <cell r="G877">
            <v>1991</v>
          </cell>
          <cell r="H877">
            <v>10</v>
          </cell>
          <cell r="I877">
            <v>1871800000</v>
          </cell>
        </row>
        <row r="878">
          <cell r="A878" t="str">
            <v>Iraq</v>
          </cell>
          <cell r="B878">
            <v>368</v>
          </cell>
          <cell r="C878">
            <v>201</v>
          </cell>
          <cell r="D878">
            <v>13</v>
          </cell>
          <cell r="E878" t="str">
            <v>Less: Financial intermediation services indirectly measured (FISIM) (only to be deducted if FISIM is not distributed to uses)</v>
          </cell>
          <cell r="F878">
            <v>0</v>
          </cell>
          <cell r="G878">
            <v>1992</v>
          </cell>
          <cell r="H878">
            <v>10</v>
          </cell>
          <cell r="I878">
            <v>2823600000</v>
          </cell>
        </row>
        <row r="879">
          <cell r="A879" t="str">
            <v>Iraq</v>
          </cell>
          <cell r="B879">
            <v>368</v>
          </cell>
          <cell r="C879">
            <v>201</v>
          </cell>
          <cell r="D879">
            <v>13</v>
          </cell>
          <cell r="E879" t="str">
            <v>Less: Financial intermediation services indirectly measured (FISIM) (only to be deducted if FISIM is not distributed to uses)</v>
          </cell>
          <cell r="F879">
            <v>0</v>
          </cell>
          <cell r="G879">
            <v>1993</v>
          </cell>
          <cell r="H879">
            <v>10</v>
          </cell>
          <cell r="I879">
            <v>5141700000</v>
          </cell>
        </row>
        <row r="880">
          <cell r="A880" t="str">
            <v>Iraq</v>
          </cell>
          <cell r="B880">
            <v>368</v>
          </cell>
          <cell r="C880">
            <v>201</v>
          </cell>
          <cell r="D880">
            <v>13</v>
          </cell>
          <cell r="E880" t="str">
            <v>Less: Financial intermediation services indirectly measured (FISIM) (only to be deducted if FISIM is not distributed to uses)</v>
          </cell>
          <cell r="F880">
            <v>0</v>
          </cell>
          <cell r="G880">
            <v>1994</v>
          </cell>
          <cell r="H880">
            <v>10</v>
          </cell>
          <cell r="I880">
            <v>11850500000</v>
          </cell>
        </row>
        <row r="881">
          <cell r="A881" t="str">
            <v>Iraq</v>
          </cell>
          <cell r="B881">
            <v>368</v>
          </cell>
          <cell r="C881">
            <v>201</v>
          </cell>
          <cell r="D881">
            <v>13</v>
          </cell>
          <cell r="E881" t="str">
            <v>Less: Financial intermediation services indirectly measured (FISIM) (only to be deducted if FISIM is not distributed to uses)</v>
          </cell>
          <cell r="F881">
            <v>0</v>
          </cell>
          <cell r="G881">
            <v>1995</v>
          </cell>
          <cell r="H881">
            <v>10</v>
          </cell>
          <cell r="I881">
            <v>30399000000</v>
          </cell>
        </row>
        <row r="882">
          <cell r="A882" t="str">
            <v>Iraq</v>
          </cell>
          <cell r="B882">
            <v>368</v>
          </cell>
          <cell r="C882">
            <v>203</v>
          </cell>
          <cell r="D882">
            <v>4</v>
          </cell>
          <cell r="E882" t="str">
            <v>Compensation of employees</v>
          </cell>
          <cell r="F882">
            <v>12</v>
          </cell>
          <cell r="G882">
            <v>1970</v>
          </cell>
          <cell r="H882">
            <v>10</v>
          </cell>
          <cell r="I882">
            <v>389000000</v>
          </cell>
        </row>
        <row r="883">
          <cell r="A883" t="str">
            <v>Iraq</v>
          </cell>
          <cell r="B883">
            <v>368</v>
          </cell>
          <cell r="C883">
            <v>203</v>
          </cell>
          <cell r="D883">
            <v>4</v>
          </cell>
          <cell r="E883" t="str">
            <v>Compensation of employees</v>
          </cell>
          <cell r="F883">
            <v>12</v>
          </cell>
          <cell r="G883">
            <v>1971</v>
          </cell>
          <cell r="H883">
            <v>10</v>
          </cell>
          <cell r="I883">
            <v>420900000</v>
          </cell>
        </row>
        <row r="884">
          <cell r="A884" t="str">
            <v>Iraq</v>
          </cell>
          <cell r="B884">
            <v>368</v>
          </cell>
          <cell r="C884">
            <v>203</v>
          </cell>
          <cell r="D884">
            <v>4</v>
          </cell>
          <cell r="E884" t="str">
            <v>Compensation of employees</v>
          </cell>
          <cell r="F884">
            <v>12</v>
          </cell>
          <cell r="G884">
            <v>1972</v>
          </cell>
          <cell r="H884">
            <v>10</v>
          </cell>
          <cell r="I884">
            <v>469700000</v>
          </cell>
        </row>
        <row r="885">
          <cell r="A885" t="str">
            <v>Iraq</v>
          </cell>
          <cell r="B885">
            <v>368</v>
          </cell>
          <cell r="C885">
            <v>203</v>
          </cell>
          <cell r="D885">
            <v>4</v>
          </cell>
          <cell r="E885" t="str">
            <v>Compensation of employees</v>
          </cell>
          <cell r="F885">
            <v>12</v>
          </cell>
          <cell r="G885">
            <v>1973</v>
          </cell>
          <cell r="H885">
            <v>10</v>
          </cell>
          <cell r="I885">
            <v>505300000</v>
          </cell>
        </row>
        <row r="886">
          <cell r="A886" t="str">
            <v>Iraq</v>
          </cell>
          <cell r="B886">
            <v>368</v>
          </cell>
          <cell r="C886">
            <v>203</v>
          </cell>
          <cell r="D886">
            <v>4</v>
          </cell>
          <cell r="E886" t="str">
            <v>Compensation of employees</v>
          </cell>
          <cell r="F886">
            <v>12</v>
          </cell>
          <cell r="G886">
            <v>1974</v>
          </cell>
          <cell r="H886">
            <v>10</v>
          </cell>
          <cell r="I886">
            <v>765300000</v>
          </cell>
        </row>
        <row r="887">
          <cell r="A887" t="str">
            <v>Iraq</v>
          </cell>
          <cell r="B887">
            <v>368</v>
          </cell>
          <cell r="C887">
            <v>203</v>
          </cell>
          <cell r="D887">
            <v>4</v>
          </cell>
          <cell r="E887" t="str">
            <v>Compensation of employees</v>
          </cell>
          <cell r="F887">
            <v>12</v>
          </cell>
          <cell r="G887">
            <v>1975</v>
          </cell>
          <cell r="H887">
            <v>10</v>
          </cell>
          <cell r="I887">
            <v>947300000</v>
          </cell>
        </row>
        <row r="888">
          <cell r="A888" t="str">
            <v>Iraq</v>
          </cell>
          <cell r="B888">
            <v>368</v>
          </cell>
          <cell r="C888">
            <v>203</v>
          </cell>
          <cell r="D888">
            <v>4</v>
          </cell>
          <cell r="E888" t="str">
            <v>Compensation of employees</v>
          </cell>
          <cell r="F888">
            <v>12</v>
          </cell>
          <cell r="G888">
            <v>1976</v>
          </cell>
          <cell r="H888">
            <v>10</v>
          </cell>
          <cell r="I888">
            <v>1127300000</v>
          </cell>
        </row>
        <row r="889">
          <cell r="A889" t="str">
            <v>Iraq</v>
          </cell>
          <cell r="B889">
            <v>368</v>
          </cell>
          <cell r="C889">
            <v>203</v>
          </cell>
          <cell r="D889">
            <v>4</v>
          </cell>
          <cell r="E889" t="str">
            <v>Compensation of employees</v>
          </cell>
          <cell r="F889">
            <v>12</v>
          </cell>
          <cell r="G889">
            <v>1977</v>
          </cell>
          <cell r="H889">
            <v>10</v>
          </cell>
          <cell r="I889">
            <v>1306000000</v>
          </cell>
        </row>
        <row r="890">
          <cell r="A890" t="str">
            <v>Iraq</v>
          </cell>
          <cell r="B890">
            <v>368</v>
          </cell>
          <cell r="C890">
            <v>203</v>
          </cell>
          <cell r="D890">
            <v>4</v>
          </cell>
          <cell r="E890" t="str">
            <v>Compensation of employees</v>
          </cell>
          <cell r="F890">
            <v>12</v>
          </cell>
          <cell r="G890">
            <v>1978</v>
          </cell>
          <cell r="H890">
            <v>10</v>
          </cell>
          <cell r="I890">
            <v>1651800000</v>
          </cell>
        </row>
        <row r="891">
          <cell r="A891" t="str">
            <v>Iraq</v>
          </cell>
          <cell r="B891">
            <v>368</v>
          </cell>
          <cell r="C891">
            <v>203</v>
          </cell>
          <cell r="D891">
            <v>4</v>
          </cell>
          <cell r="E891" t="str">
            <v>Compensation of employees</v>
          </cell>
          <cell r="F891">
            <v>12</v>
          </cell>
          <cell r="G891">
            <v>1979</v>
          </cell>
          <cell r="H891">
            <v>10</v>
          </cell>
          <cell r="I891">
            <v>2048400000</v>
          </cell>
        </row>
        <row r="892">
          <cell r="A892" t="str">
            <v>Iraq</v>
          </cell>
          <cell r="B892">
            <v>368</v>
          </cell>
          <cell r="C892">
            <v>203</v>
          </cell>
          <cell r="D892">
            <v>4</v>
          </cell>
          <cell r="E892" t="str">
            <v>Compensation of employees</v>
          </cell>
          <cell r="F892">
            <v>12</v>
          </cell>
          <cell r="G892">
            <v>1980</v>
          </cell>
          <cell r="H892">
            <v>10</v>
          </cell>
          <cell r="I892">
            <v>2849200000</v>
          </cell>
        </row>
        <row r="893">
          <cell r="A893" t="str">
            <v>Iraq</v>
          </cell>
          <cell r="B893">
            <v>368</v>
          </cell>
          <cell r="C893">
            <v>203</v>
          </cell>
          <cell r="D893">
            <v>4</v>
          </cell>
          <cell r="E893" t="str">
            <v>Compensation of employees</v>
          </cell>
          <cell r="F893">
            <v>12</v>
          </cell>
          <cell r="G893">
            <v>1981</v>
          </cell>
          <cell r="H893">
            <v>10</v>
          </cell>
          <cell r="I893">
            <v>3714700000</v>
          </cell>
        </row>
        <row r="894">
          <cell r="A894" t="str">
            <v>Iraq</v>
          </cell>
          <cell r="B894">
            <v>368</v>
          </cell>
          <cell r="C894">
            <v>203</v>
          </cell>
          <cell r="D894">
            <v>4</v>
          </cell>
          <cell r="E894" t="str">
            <v>Compensation of employees</v>
          </cell>
          <cell r="F894">
            <v>12</v>
          </cell>
          <cell r="G894">
            <v>1982</v>
          </cell>
          <cell r="H894">
            <v>10</v>
          </cell>
          <cell r="I894">
            <v>4411900000</v>
          </cell>
        </row>
        <row r="895">
          <cell r="A895" t="str">
            <v>Iraq</v>
          </cell>
          <cell r="B895">
            <v>368</v>
          </cell>
          <cell r="C895">
            <v>203</v>
          </cell>
          <cell r="D895">
            <v>4</v>
          </cell>
          <cell r="E895" t="str">
            <v>Compensation of employees</v>
          </cell>
          <cell r="F895">
            <v>12</v>
          </cell>
          <cell r="G895">
            <v>1983</v>
          </cell>
          <cell r="H895">
            <v>10</v>
          </cell>
          <cell r="I895">
            <v>4458700000</v>
          </cell>
        </row>
        <row r="896">
          <cell r="A896" t="str">
            <v>Iraq</v>
          </cell>
          <cell r="B896">
            <v>368</v>
          </cell>
          <cell r="C896">
            <v>203</v>
          </cell>
          <cell r="D896">
            <v>4</v>
          </cell>
          <cell r="E896" t="str">
            <v>Compensation of employees</v>
          </cell>
          <cell r="F896">
            <v>12</v>
          </cell>
          <cell r="G896">
            <v>1984</v>
          </cell>
          <cell r="H896">
            <v>10</v>
          </cell>
          <cell r="I896">
            <v>4765400000</v>
          </cell>
        </row>
        <row r="897">
          <cell r="A897" t="str">
            <v>Iraq</v>
          </cell>
          <cell r="B897">
            <v>368</v>
          </cell>
          <cell r="C897">
            <v>203</v>
          </cell>
          <cell r="D897">
            <v>4</v>
          </cell>
          <cell r="E897" t="str">
            <v>Compensation of employees</v>
          </cell>
          <cell r="F897">
            <v>12</v>
          </cell>
          <cell r="G897">
            <v>1985</v>
          </cell>
          <cell r="H897">
            <v>10</v>
          </cell>
          <cell r="I897">
            <v>4889900000</v>
          </cell>
        </row>
        <row r="898">
          <cell r="A898" t="str">
            <v>Iraq</v>
          </cell>
          <cell r="B898">
            <v>368</v>
          </cell>
          <cell r="C898">
            <v>203</v>
          </cell>
          <cell r="D898">
            <v>4</v>
          </cell>
          <cell r="E898" t="str">
            <v>Compensation of employees</v>
          </cell>
          <cell r="F898">
            <v>12</v>
          </cell>
          <cell r="G898">
            <v>1986</v>
          </cell>
          <cell r="H898">
            <v>10</v>
          </cell>
          <cell r="I898">
            <v>5151200000</v>
          </cell>
        </row>
        <row r="899">
          <cell r="A899" t="str">
            <v>Iraq</v>
          </cell>
          <cell r="B899">
            <v>368</v>
          </cell>
          <cell r="C899">
            <v>203</v>
          </cell>
          <cell r="D899">
            <v>4</v>
          </cell>
          <cell r="E899" t="str">
            <v>Compensation of employees</v>
          </cell>
          <cell r="F899">
            <v>12</v>
          </cell>
          <cell r="G899">
            <v>1987</v>
          </cell>
          <cell r="H899">
            <v>10</v>
          </cell>
          <cell r="I899">
            <v>5697000000</v>
          </cell>
        </row>
        <row r="900">
          <cell r="A900" t="str">
            <v>Iraq</v>
          </cell>
          <cell r="B900">
            <v>368</v>
          </cell>
          <cell r="C900">
            <v>203</v>
          </cell>
          <cell r="D900">
            <v>4</v>
          </cell>
          <cell r="E900" t="str">
            <v>Compensation of employees</v>
          </cell>
          <cell r="F900">
            <v>12</v>
          </cell>
          <cell r="G900">
            <v>1988</v>
          </cell>
          <cell r="H900">
            <v>10</v>
          </cell>
          <cell r="I900">
            <v>6300900000</v>
          </cell>
        </row>
        <row r="901">
          <cell r="A901" t="str">
            <v>Iraq</v>
          </cell>
          <cell r="B901">
            <v>368</v>
          </cell>
          <cell r="C901">
            <v>203</v>
          </cell>
          <cell r="D901">
            <v>4</v>
          </cell>
          <cell r="E901" t="str">
            <v>Compensation of employees</v>
          </cell>
          <cell r="F901">
            <v>12</v>
          </cell>
          <cell r="G901">
            <v>1989</v>
          </cell>
          <cell r="H901">
            <v>10</v>
          </cell>
          <cell r="I901">
            <v>6705200000</v>
          </cell>
        </row>
        <row r="902">
          <cell r="A902" t="str">
            <v>Italy</v>
          </cell>
          <cell r="B902">
            <v>380</v>
          </cell>
          <cell r="C902">
            <v>201</v>
          </cell>
          <cell r="D902">
            <v>13</v>
          </cell>
          <cell r="E902" t="str">
            <v>Less: Financial intermediation services indirectly measured (FISIM) (only to be deducted if FISIM is not distributed to uses)</v>
          </cell>
          <cell r="F902">
            <v>0</v>
          </cell>
          <cell r="G902">
            <v>1960</v>
          </cell>
          <cell r="H902">
            <v>20</v>
          </cell>
          <cell r="I902">
            <v>412000000000</v>
          </cell>
        </row>
        <row r="903">
          <cell r="A903" t="str">
            <v>Italy</v>
          </cell>
          <cell r="B903">
            <v>380</v>
          </cell>
          <cell r="C903">
            <v>201</v>
          </cell>
          <cell r="D903">
            <v>13</v>
          </cell>
          <cell r="E903" t="str">
            <v>Less: Financial intermediation services indirectly measured (FISIM) (only to be deducted if FISIM is not distributed to uses)</v>
          </cell>
          <cell r="F903">
            <v>0</v>
          </cell>
          <cell r="G903">
            <v>1961</v>
          </cell>
          <cell r="H903">
            <v>20</v>
          </cell>
          <cell r="I903">
            <v>477000000000</v>
          </cell>
        </row>
        <row r="904">
          <cell r="A904" t="str">
            <v>Italy</v>
          </cell>
          <cell r="B904">
            <v>380</v>
          </cell>
          <cell r="C904">
            <v>201</v>
          </cell>
          <cell r="D904">
            <v>13</v>
          </cell>
          <cell r="E904" t="str">
            <v>Less: Financial intermediation services indirectly measured (FISIM) (only to be deducted if FISIM is not distributed to uses)</v>
          </cell>
          <cell r="F904">
            <v>0</v>
          </cell>
          <cell r="G904">
            <v>1962</v>
          </cell>
          <cell r="H904">
            <v>20</v>
          </cell>
          <cell r="I904">
            <v>556000000000</v>
          </cell>
        </row>
        <row r="905">
          <cell r="A905" t="str">
            <v>Italy</v>
          </cell>
          <cell r="B905">
            <v>380</v>
          </cell>
          <cell r="C905">
            <v>201</v>
          </cell>
          <cell r="D905">
            <v>13</v>
          </cell>
          <cell r="E905" t="str">
            <v>Less: Financial intermediation services indirectly measured (FISIM) (only to be deducted if FISIM is not distributed to uses)</v>
          </cell>
          <cell r="F905">
            <v>0</v>
          </cell>
          <cell r="G905">
            <v>1963</v>
          </cell>
          <cell r="H905">
            <v>20</v>
          </cell>
          <cell r="I905">
            <v>720000000000</v>
          </cell>
        </row>
        <row r="906">
          <cell r="A906" t="str">
            <v>Italy</v>
          </cell>
          <cell r="B906">
            <v>380</v>
          </cell>
          <cell r="C906">
            <v>201</v>
          </cell>
          <cell r="D906">
            <v>13</v>
          </cell>
          <cell r="E906" t="str">
            <v>Less: Financial intermediation services indirectly measured (FISIM) (only to be deducted if FISIM is not distributed to uses)</v>
          </cell>
          <cell r="F906">
            <v>0</v>
          </cell>
          <cell r="G906">
            <v>1964</v>
          </cell>
          <cell r="H906">
            <v>20</v>
          </cell>
          <cell r="I906">
            <v>839000000000</v>
          </cell>
        </row>
        <row r="907">
          <cell r="A907" t="str">
            <v>Italy</v>
          </cell>
          <cell r="B907">
            <v>380</v>
          </cell>
          <cell r="C907">
            <v>201</v>
          </cell>
          <cell r="D907">
            <v>13</v>
          </cell>
          <cell r="E907" t="str">
            <v>Less: Financial intermediation services indirectly measured (FISIM) (only to be deducted if FISIM is not distributed to uses)</v>
          </cell>
          <cell r="F907">
            <v>0</v>
          </cell>
          <cell r="G907">
            <v>1965</v>
          </cell>
          <cell r="H907">
            <v>20</v>
          </cell>
          <cell r="I907">
            <v>917000000000</v>
          </cell>
        </row>
        <row r="908">
          <cell r="A908" t="str">
            <v>Italy</v>
          </cell>
          <cell r="B908">
            <v>380</v>
          </cell>
          <cell r="C908">
            <v>201</v>
          </cell>
          <cell r="D908">
            <v>13</v>
          </cell>
          <cell r="E908" t="str">
            <v>Less: Financial intermediation services indirectly measured (FISIM) (only to be deducted if FISIM is not distributed to uses)</v>
          </cell>
          <cell r="F908">
            <v>0</v>
          </cell>
          <cell r="G908">
            <v>1966</v>
          </cell>
          <cell r="H908">
            <v>20</v>
          </cell>
          <cell r="I908">
            <v>970000000000</v>
          </cell>
        </row>
        <row r="909">
          <cell r="A909" t="str">
            <v>Italy</v>
          </cell>
          <cell r="B909">
            <v>380</v>
          </cell>
          <cell r="C909">
            <v>201</v>
          </cell>
          <cell r="D909">
            <v>13</v>
          </cell>
          <cell r="E909" t="str">
            <v>Less: Financial intermediation services indirectly measured (FISIM) (only to be deducted if FISIM is not distributed to uses)</v>
          </cell>
          <cell r="F909">
            <v>0</v>
          </cell>
          <cell r="G909">
            <v>1967</v>
          </cell>
          <cell r="H909">
            <v>20</v>
          </cell>
          <cell r="I909">
            <v>1067000000000</v>
          </cell>
        </row>
        <row r="910">
          <cell r="A910" t="str">
            <v>Italy</v>
          </cell>
          <cell r="B910">
            <v>380</v>
          </cell>
          <cell r="C910">
            <v>201</v>
          </cell>
          <cell r="D910">
            <v>13</v>
          </cell>
          <cell r="E910" t="str">
            <v>Less: Financial intermediation services indirectly measured (FISIM) (only to be deducted if FISIM is not distributed to uses)</v>
          </cell>
          <cell r="F910">
            <v>0</v>
          </cell>
          <cell r="G910">
            <v>1968</v>
          </cell>
          <cell r="H910">
            <v>20</v>
          </cell>
          <cell r="I910">
            <v>1213000000000</v>
          </cell>
        </row>
        <row r="911">
          <cell r="A911" t="str">
            <v>Italy</v>
          </cell>
          <cell r="B911">
            <v>380</v>
          </cell>
          <cell r="C911">
            <v>201</v>
          </cell>
          <cell r="D911">
            <v>13</v>
          </cell>
          <cell r="E911" t="str">
            <v>Less: Financial intermediation services indirectly measured (FISIM) (only to be deducted if FISIM is not distributed to uses)</v>
          </cell>
          <cell r="F911">
            <v>0</v>
          </cell>
          <cell r="G911">
            <v>1969</v>
          </cell>
          <cell r="H911">
            <v>20</v>
          </cell>
          <cell r="I911">
            <v>1409000000000</v>
          </cell>
        </row>
        <row r="912">
          <cell r="A912" t="str">
            <v>Italy</v>
          </cell>
          <cell r="B912">
            <v>380</v>
          </cell>
          <cell r="C912">
            <v>201</v>
          </cell>
          <cell r="D912">
            <v>13</v>
          </cell>
          <cell r="E912" t="str">
            <v>Less: Financial intermediation services indirectly measured (FISIM) (only to be deducted if FISIM is not distributed to uses)</v>
          </cell>
          <cell r="F912">
            <v>0</v>
          </cell>
          <cell r="G912">
            <v>1970</v>
          </cell>
          <cell r="H912">
            <v>200</v>
          </cell>
          <cell r="I912">
            <v>1003999452</v>
          </cell>
        </row>
        <row r="913">
          <cell r="A913" t="str">
            <v>Italy</v>
          </cell>
          <cell r="B913">
            <v>380</v>
          </cell>
          <cell r="C913">
            <v>201</v>
          </cell>
          <cell r="D913">
            <v>13</v>
          </cell>
          <cell r="E913" t="str">
            <v>Less: Financial intermediation services indirectly measured (FISIM) (only to be deducted if FISIM is not distributed to uses)</v>
          </cell>
          <cell r="F913">
            <v>0</v>
          </cell>
          <cell r="G913">
            <v>1971</v>
          </cell>
          <cell r="H913">
            <v>200</v>
          </cell>
          <cell r="I913">
            <v>1184336976</v>
          </cell>
        </row>
        <row r="914">
          <cell r="A914" t="str">
            <v>Italy</v>
          </cell>
          <cell r="B914">
            <v>380</v>
          </cell>
          <cell r="C914">
            <v>201</v>
          </cell>
          <cell r="D914">
            <v>13</v>
          </cell>
          <cell r="E914" t="str">
            <v>Less: Financial intermediation services indirectly measured (FISIM) (only to be deducted if FISIM is not distributed to uses)</v>
          </cell>
          <cell r="F914">
            <v>0</v>
          </cell>
          <cell r="G914">
            <v>1972</v>
          </cell>
          <cell r="H914">
            <v>200</v>
          </cell>
          <cell r="I914">
            <v>1325403291</v>
          </cell>
        </row>
        <row r="915">
          <cell r="A915" t="str">
            <v>Italy</v>
          </cell>
          <cell r="B915">
            <v>380</v>
          </cell>
          <cell r="C915">
            <v>201</v>
          </cell>
          <cell r="D915">
            <v>13</v>
          </cell>
          <cell r="E915" t="str">
            <v>Less: Financial intermediation services indirectly measured (FISIM) (only to be deducted if FISIM is not distributed to uses)</v>
          </cell>
          <cell r="F915">
            <v>0</v>
          </cell>
          <cell r="G915">
            <v>1973</v>
          </cell>
          <cell r="H915">
            <v>200</v>
          </cell>
          <cell r="I915">
            <v>1691245603</v>
          </cell>
        </row>
        <row r="916">
          <cell r="A916" t="str">
            <v>Italy</v>
          </cell>
          <cell r="B916">
            <v>380</v>
          </cell>
          <cell r="C916">
            <v>201</v>
          </cell>
          <cell r="D916">
            <v>13</v>
          </cell>
          <cell r="E916" t="str">
            <v>Less: Financial intermediation services indirectly measured (FISIM) (only to be deducted if FISIM is not distributed to uses)</v>
          </cell>
          <cell r="F916">
            <v>0</v>
          </cell>
          <cell r="G916">
            <v>1974</v>
          </cell>
          <cell r="H916">
            <v>200</v>
          </cell>
          <cell r="I916">
            <v>2759319132</v>
          </cell>
        </row>
        <row r="917">
          <cell r="A917" t="str">
            <v>Italy</v>
          </cell>
          <cell r="B917">
            <v>380</v>
          </cell>
          <cell r="C917">
            <v>201</v>
          </cell>
          <cell r="D917">
            <v>13</v>
          </cell>
          <cell r="E917" t="str">
            <v>Less: Financial intermediation services indirectly measured (FISIM) (only to be deducted if FISIM is not distributed to uses)</v>
          </cell>
          <cell r="F917">
            <v>0</v>
          </cell>
          <cell r="G917">
            <v>1975</v>
          </cell>
          <cell r="H917">
            <v>200</v>
          </cell>
          <cell r="I917">
            <v>3571096352</v>
          </cell>
        </row>
        <row r="918">
          <cell r="A918" t="str">
            <v>Italy</v>
          </cell>
          <cell r="B918">
            <v>380</v>
          </cell>
          <cell r="C918">
            <v>201</v>
          </cell>
          <cell r="D918">
            <v>13</v>
          </cell>
          <cell r="E918" t="str">
            <v>Less: Financial intermediation services indirectly measured (FISIM) (only to be deducted if FISIM is not distributed to uses)</v>
          </cell>
          <cell r="F918">
            <v>0</v>
          </cell>
          <cell r="G918">
            <v>1976</v>
          </cell>
          <cell r="H918">
            <v>200</v>
          </cell>
          <cell r="I918">
            <v>4131953266</v>
          </cell>
        </row>
        <row r="919">
          <cell r="A919" t="str">
            <v>Italy</v>
          </cell>
          <cell r="B919">
            <v>380</v>
          </cell>
          <cell r="C919">
            <v>201</v>
          </cell>
          <cell r="D919">
            <v>13</v>
          </cell>
          <cell r="E919" t="str">
            <v>Less: Financial intermediation services indirectly measured (FISIM) (only to be deducted if FISIM is not distributed to uses)</v>
          </cell>
          <cell r="F919">
            <v>0</v>
          </cell>
          <cell r="G919">
            <v>1977</v>
          </cell>
          <cell r="H919">
            <v>200</v>
          </cell>
          <cell r="I919">
            <v>4836355092</v>
          </cell>
        </row>
        <row r="920">
          <cell r="A920" t="str">
            <v>Italy</v>
          </cell>
          <cell r="B920">
            <v>380</v>
          </cell>
          <cell r="C920">
            <v>201</v>
          </cell>
          <cell r="D920">
            <v>13</v>
          </cell>
          <cell r="E920" t="str">
            <v>Less: Financial intermediation services indirectly measured (FISIM) (only to be deducted if FISIM is not distributed to uses)</v>
          </cell>
          <cell r="F920">
            <v>0</v>
          </cell>
          <cell r="G920">
            <v>1978</v>
          </cell>
          <cell r="H920">
            <v>200</v>
          </cell>
          <cell r="I920">
            <v>5460577203</v>
          </cell>
        </row>
        <row r="921">
          <cell r="A921" t="str">
            <v>Italy</v>
          </cell>
          <cell r="B921">
            <v>380</v>
          </cell>
          <cell r="C921">
            <v>201</v>
          </cell>
          <cell r="D921">
            <v>13</v>
          </cell>
          <cell r="E921" t="str">
            <v>Less: Financial intermediation services indirectly measured (FISIM) (only to be deducted if FISIM is not distributed to uses)</v>
          </cell>
          <cell r="F921">
            <v>0</v>
          </cell>
          <cell r="G921">
            <v>1979</v>
          </cell>
          <cell r="H921">
            <v>200</v>
          </cell>
          <cell r="I921">
            <v>6320779822</v>
          </cell>
        </row>
        <row r="922">
          <cell r="A922" t="str">
            <v>Italy</v>
          </cell>
          <cell r="B922">
            <v>380</v>
          </cell>
          <cell r="C922">
            <v>201</v>
          </cell>
          <cell r="D922">
            <v>13</v>
          </cell>
          <cell r="E922" t="str">
            <v>Less: Financial intermediation services indirectly measured (FISIM) (only to be deducted if FISIM is not distributed to uses)</v>
          </cell>
          <cell r="F922">
            <v>0</v>
          </cell>
          <cell r="G922">
            <v>1980</v>
          </cell>
          <cell r="H922">
            <v>200</v>
          </cell>
          <cell r="I922">
            <v>8868370415</v>
          </cell>
        </row>
        <row r="923">
          <cell r="A923" t="str">
            <v>Italy</v>
          </cell>
          <cell r="B923">
            <v>380</v>
          </cell>
          <cell r="C923">
            <v>201</v>
          </cell>
          <cell r="D923">
            <v>13</v>
          </cell>
          <cell r="E923" t="str">
            <v>Less: Financial intermediation services indirectly measured (FISIM) (only to be deducted if FISIM is not distributed to uses)</v>
          </cell>
          <cell r="F923">
            <v>0</v>
          </cell>
          <cell r="G923">
            <v>1981</v>
          </cell>
          <cell r="H923">
            <v>200</v>
          </cell>
          <cell r="I923">
            <v>10615529849</v>
          </cell>
        </row>
        <row r="924">
          <cell r="A924" t="str">
            <v>Italy</v>
          </cell>
          <cell r="B924">
            <v>380</v>
          </cell>
          <cell r="C924">
            <v>201</v>
          </cell>
          <cell r="D924">
            <v>13</v>
          </cell>
          <cell r="E924" t="str">
            <v>Less: Financial intermediation services indirectly measured (FISIM) (only to be deducted if FISIM is not distributed to uses)</v>
          </cell>
          <cell r="F924">
            <v>0</v>
          </cell>
          <cell r="G924">
            <v>1982</v>
          </cell>
          <cell r="H924">
            <v>200</v>
          </cell>
          <cell r="I924">
            <v>11411115185</v>
          </cell>
        </row>
        <row r="925">
          <cell r="A925" t="str">
            <v>Italy</v>
          </cell>
          <cell r="B925">
            <v>380</v>
          </cell>
          <cell r="C925">
            <v>201</v>
          </cell>
          <cell r="D925">
            <v>13</v>
          </cell>
          <cell r="E925" t="str">
            <v>Less: Financial intermediation services indirectly measured (FISIM) (only to be deducted if FISIM is not distributed to uses)</v>
          </cell>
          <cell r="F925">
            <v>0</v>
          </cell>
          <cell r="G925">
            <v>1983</v>
          </cell>
          <cell r="H925">
            <v>200</v>
          </cell>
          <cell r="I925">
            <v>14047627655</v>
          </cell>
        </row>
        <row r="926">
          <cell r="A926" t="str">
            <v>Italy</v>
          </cell>
          <cell r="B926">
            <v>380</v>
          </cell>
          <cell r="C926">
            <v>201</v>
          </cell>
          <cell r="D926">
            <v>13</v>
          </cell>
          <cell r="E926" t="str">
            <v>Less: Financial intermediation services indirectly measured (FISIM) (only to be deducted if FISIM is not distributed to uses)</v>
          </cell>
          <cell r="F926">
            <v>0</v>
          </cell>
          <cell r="G926">
            <v>1984</v>
          </cell>
          <cell r="H926">
            <v>200</v>
          </cell>
          <cell r="I926">
            <v>15702872017</v>
          </cell>
        </row>
        <row r="927">
          <cell r="A927" t="str">
            <v>Italy</v>
          </cell>
          <cell r="B927">
            <v>380</v>
          </cell>
          <cell r="C927">
            <v>201</v>
          </cell>
          <cell r="D927">
            <v>13</v>
          </cell>
          <cell r="E927" t="str">
            <v>Less: Financial intermediation services indirectly measured (FISIM) (only to be deducted if FISIM is not distributed to uses)</v>
          </cell>
          <cell r="F927">
            <v>0</v>
          </cell>
          <cell r="G927">
            <v>1985</v>
          </cell>
          <cell r="H927">
            <v>200</v>
          </cell>
          <cell r="I927">
            <v>17376192370</v>
          </cell>
        </row>
        <row r="928">
          <cell r="A928" t="str">
            <v>Italy</v>
          </cell>
          <cell r="B928">
            <v>380</v>
          </cell>
          <cell r="C928">
            <v>201</v>
          </cell>
          <cell r="D928">
            <v>13</v>
          </cell>
          <cell r="E928" t="str">
            <v>Less: Financial intermediation services indirectly measured (FISIM) (only to be deducted if FISIM is not distributed to uses)</v>
          </cell>
          <cell r="F928">
            <v>0</v>
          </cell>
          <cell r="G928">
            <v>1986</v>
          </cell>
          <cell r="H928">
            <v>200</v>
          </cell>
          <cell r="I928">
            <v>20096370857</v>
          </cell>
        </row>
        <row r="929">
          <cell r="A929" t="str">
            <v>Italy</v>
          </cell>
          <cell r="B929">
            <v>380</v>
          </cell>
          <cell r="C929">
            <v>201</v>
          </cell>
          <cell r="D929">
            <v>13</v>
          </cell>
          <cell r="E929" t="str">
            <v>Less: Financial intermediation services indirectly measured (FISIM) (only to be deducted if FISIM is not distributed to uses)</v>
          </cell>
          <cell r="F929">
            <v>0</v>
          </cell>
          <cell r="G929">
            <v>1987</v>
          </cell>
          <cell r="H929">
            <v>200</v>
          </cell>
          <cell r="I929">
            <v>21234641863</v>
          </cell>
        </row>
        <row r="930">
          <cell r="A930" t="str">
            <v>Italy</v>
          </cell>
          <cell r="B930">
            <v>380</v>
          </cell>
          <cell r="C930">
            <v>201</v>
          </cell>
          <cell r="D930">
            <v>13</v>
          </cell>
          <cell r="E930" t="str">
            <v>Less: Financial intermediation services indirectly measured (FISIM) (only to be deducted if FISIM is not distributed to uses)</v>
          </cell>
          <cell r="F930">
            <v>0</v>
          </cell>
          <cell r="G930">
            <v>1988</v>
          </cell>
          <cell r="H930">
            <v>200</v>
          </cell>
          <cell r="I930">
            <v>24220279197</v>
          </cell>
        </row>
        <row r="931">
          <cell r="A931" t="str">
            <v>Italy</v>
          </cell>
          <cell r="B931">
            <v>380</v>
          </cell>
          <cell r="C931">
            <v>201</v>
          </cell>
          <cell r="D931">
            <v>13</v>
          </cell>
          <cell r="E931" t="str">
            <v>Less: Financial intermediation services indirectly measured (FISIM) (only to be deducted if FISIM is not distributed to uses)</v>
          </cell>
          <cell r="F931">
            <v>0</v>
          </cell>
          <cell r="G931">
            <v>1989</v>
          </cell>
          <cell r="H931">
            <v>200</v>
          </cell>
          <cell r="I931">
            <v>27652651748</v>
          </cell>
        </row>
        <row r="932">
          <cell r="A932" t="str">
            <v>Italy</v>
          </cell>
          <cell r="B932">
            <v>380</v>
          </cell>
          <cell r="C932">
            <v>201</v>
          </cell>
          <cell r="D932">
            <v>13</v>
          </cell>
          <cell r="E932" t="str">
            <v>Less: Financial intermediation services indirectly measured (FISIM) (only to be deducted if FISIM is not distributed to uses)</v>
          </cell>
          <cell r="F932">
            <v>0</v>
          </cell>
          <cell r="G932">
            <v>1990</v>
          </cell>
          <cell r="H932">
            <v>200</v>
          </cell>
          <cell r="I932">
            <v>32629230428</v>
          </cell>
        </row>
        <row r="933">
          <cell r="A933" t="str">
            <v>Italy</v>
          </cell>
          <cell r="B933">
            <v>380</v>
          </cell>
          <cell r="C933">
            <v>201</v>
          </cell>
          <cell r="D933">
            <v>13</v>
          </cell>
          <cell r="E933" t="str">
            <v>Less: Financial intermediation services indirectly measured (FISIM) (only to be deducted if FISIM is not distributed to uses)</v>
          </cell>
          <cell r="F933">
            <v>0</v>
          </cell>
          <cell r="G933">
            <v>1991</v>
          </cell>
          <cell r="H933">
            <v>200</v>
          </cell>
          <cell r="I933">
            <v>34546318437</v>
          </cell>
        </row>
        <row r="934">
          <cell r="A934" t="str">
            <v>Italy</v>
          </cell>
          <cell r="B934">
            <v>380</v>
          </cell>
          <cell r="C934">
            <v>201</v>
          </cell>
          <cell r="D934">
            <v>13</v>
          </cell>
          <cell r="E934" t="str">
            <v>Less: Financial intermediation services indirectly measured (FISIM) (only to be deducted if FISIM is not distributed to uses)</v>
          </cell>
          <cell r="F934">
            <v>0</v>
          </cell>
          <cell r="G934">
            <v>1992</v>
          </cell>
          <cell r="H934">
            <v>200</v>
          </cell>
          <cell r="I934">
            <v>39626808245</v>
          </cell>
        </row>
        <row r="935">
          <cell r="A935" t="str">
            <v>Italy</v>
          </cell>
          <cell r="B935">
            <v>380</v>
          </cell>
          <cell r="C935">
            <v>201</v>
          </cell>
          <cell r="D935">
            <v>13</v>
          </cell>
          <cell r="E935" t="str">
            <v>Less: Financial intermediation services indirectly measured (FISIM) (only to be deducted if FISIM is not distributed to uses)</v>
          </cell>
          <cell r="F935">
            <v>0</v>
          </cell>
          <cell r="G935">
            <v>1993</v>
          </cell>
          <cell r="H935">
            <v>200</v>
          </cell>
          <cell r="I935">
            <v>38189973506</v>
          </cell>
        </row>
        <row r="936">
          <cell r="A936" t="str">
            <v>Italy</v>
          </cell>
          <cell r="B936">
            <v>380</v>
          </cell>
          <cell r="C936">
            <v>201</v>
          </cell>
          <cell r="D936">
            <v>13</v>
          </cell>
          <cell r="E936" t="str">
            <v>Less: Financial intermediation services indirectly measured (FISIM) (only to be deducted if FISIM is not distributed to uses)</v>
          </cell>
          <cell r="F936">
            <v>0</v>
          </cell>
          <cell r="G936">
            <v>1994</v>
          </cell>
          <cell r="H936">
            <v>200</v>
          </cell>
          <cell r="I936">
            <v>37157731102</v>
          </cell>
        </row>
        <row r="937">
          <cell r="A937" t="str">
            <v>Italy</v>
          </cell>
          <cell r="B937">
            <v>380</v>
          </cell>
          <cell r="C937">
            <v>201</v>
          </cell>
          <cell r="D937">
            <v>13</v>
          </cell>
          <cell r="E937" t="str">
            <v>Less: Financial intermediation services indirectly measured (FISIM) (only to be deducted if FISIM is not distributed to uses)</v>
          </cell>
          <cell r="F937">
            <v>0</v>
          </cell>
          <cell r="G937">
            <v>1995</v>
          </cell>
          <cell r="H937">
            <v>200</v>
          </cell>
          <cell r="I937">
            <v>39860143472</v>
          </cell>
        </row>
        <row r="938">
          <cell r="A938" t="str">
            <v>Italy</v>
          </cell>
          <cell r="B938">
            <v>380</v>
          </cell>
          <cell r="C938">
            <v>201</v>
          </cell>
          <cell r="D938">
            <v>13</v>
          </cell>
          <cell r="E938" t="str">
            <v>Less: Financial intermediation services indirectly measured (FISIM) (only to be deducted if FISIM is not distributed to uses)</v>
          </cell>
          <cell r="F938">
            <v>0</v>
          </cell>
          <cell r="G938">
            <v>1996</v>
          </cell>
          <cell r="H938">
            <v>200</v>
          </cell>
          <cell r="I938">
            <v>40719914248</v>
          </cell>
        </row>
        <row r="939">
          <cell r="A939" t="str">
            <v>Italy</v>
          </cell>
          <cell r="B939">
            <v>380</v>
          </cell>
          <cell r="C939">
            <v>201</v>
          </cell>
          <cell r="D939">
            <v>13</v>
          </cell>
          <cell r="E939" t="str">
            <v>Less: Financial intermediation services indirectly measured (FISIM) (only to be deducted if FISIM is not distributed to uses)</v>
          </cell>
          <cell r="F939">
            <v>0</v>
          </cell>
          <cell r="G939">
            <v>1997</v>
          </cell>
          <cell r="H939">
            <v>200</v>
          </cell>
          <cell r="I939">
            <v>41108332812</v>
          </cell>
        </row>
        <row r="940">
          <cell r="A940" t="str">
            <v>Italy</v>
          </cell>
          <cell r="B940">
            <v>380</v>
          </cell>
          <cell r="C940">
            <v>201</v>
          </cell>
          <cell r="D940">
            <v>13</v>
          </cell>
          <cell r="E940" t="str">
            <v>Less: Financial intermediation services indirectly measured (FISIM) (only to be deducted if FISIM is not distributed to uses)</v>
          </cell>
          <cell r="F940">
            <v>0</v>
          </cell>
          <cell r="G940">
            <v>1998</v>
          </cell>
          <cell r="H940">
            <v>200</v>
          </cell>
          <cell r="I940">
            <v>40824491322</v>
          </cell>
        </row>
        <row r="941">
          <cell r="A941" t="str">
            <v>Italy</v>
          </cell>
          <cell r="B941">
            <v>380</v>
          </cell>
          <cell r="C941">
            <v>201</v>
          </cell>
          <cell r="D941">
            <v>13</v>
          </cell>
          <cell r="E941" t="str">
            <v>Less: Financial intermediation services indirectly measured (FISIM) (only to be deducted if FISIM is not distributed to uses)</v>
          </cell>
          <cell r="F941">
            <v>0</v>
          </cell>
          <cell r="G941">
            <v>1999</v>
          </cell>
          <cell r="H941">
            <v>200</v>
          </cell>
          <cell r="I941">
            <v>39038427565</v>
          </cell>
        </row>
        <row r="942">
          <cell r="A942" t="str">
            <v>Italy</v>
          </cell>
          <cell r="B942">
            <v>380</v>
          </cell>
          <cell r="C942">
            <v>201</v>
          </cell>
          <cell r="D942">
            <v>13</v>
          </cell>
          <cell r="E942" t="str">
            <v>Less: Financial intermediation services indirectly measured (FISIM) (only to be deducted if FISIM is not distributed to uses)</v>
          </cell>
          <cell r="F942">
            <v>0</v>
          </cell>
          <cell r="G942">
            <v>2000</v>
          </cell>
          <cell r="H942">
            <v>200</v>
          </cell>
          <cell r="I942">
            <v>43430851520</v>
          </cell>
        </row>
        <row r="943">
          <cell r="A943" t="str">
            <v>Italy</v>
          </cell>
          <cell r="B943">
            <v>380</v>
          </cell>
          <cell r="C943">
            <v>201</v>
          </cell>
          <cell r="D943">
            <v>13</v>
          </cell>
          <cell r="E943" t="str">
            <v>Less: Financial intermediation services indirectly measured (FISIM) (only to be deducted if FISIM is not distributed to uses)</v>
          </cell>
          <cell r="F943">
            <v>0</v>
          </cell>
          <cell r="G943">
            <v>2001</v>
          </cell>
          <cell r="H943">
            <v>200</v>
          </cell>
          <cell r="I943">
            <v>48001840935</v>
          </cell>
        </row>
        <row r="944">
          <cell r="A944" t="str">
            <v>Italy</v>
          </cell>
          <cell r="B944">
            <v>380</v>
          </cell>
          <cell r="C944">
            <v>201</v>
          </cell>
          <cell r="D944">
            <v>13</v>
          </cell>
          <cell r="E944" t="str">
            <v>Less: Financial intermediation services indirectly measured (FISIM) (only to be deducted if FISIM is not distributed to uses)</v>
          </cell>
          <cell r="F944">
            <v>0</v>
          </cell>
          <cell r="G944">
            <v>2002</v>
          </cell>
          <cell r="H944">
            <v>200</v>
          </cell>
          <cell r="I944">
            <v>50905083560</v>
          </cell>
        </row>
        <row r="945">
          <cell r="A945" t="str">
            <v>Italy</v>
          </cell>
          <cell r="B945">
            <v>380</v>
          </cell>
          <cell r="C945">
            <v>203</v>
          </cell>
          <cell r="D945">
            <v>3</v>
          </cell>
          <cell r="E945" t="str">
            <v>Equals: VALUE ADDED, GROSS, at basic prices</v>
          </cell>
          <cell r="F945">
            <v>12</v>
          </cell>
          <cell r="G945">
            <v>1970</v>
          </cell>
          <cell r="H945">
            <v>200</v>
          </cell>
          <cell r="I945">
            <v>32662335315</v>
          </cell>
        </row>
        <row r="946">
          <cell r="A946" t="str">
            <v>Italy</v>
          </cell>
          <cell r="B946">
            <v>380</v>
          </cell>
          <cell r="C946">
            <v>203</v>
          </cell>
          <cell r="D946">
            <v>3</v>
          </cell>
          <cell r="E946" t="str">
            <v>Equals: VALUE ADDED, GROSS, at basic prices</v>
          </cell>
          <cell r="F946">
            <v>12</v>
          </cell>
          <cell r="G946">
            <v>1971</v>
          </cell>
          <cell r="H946">
            <v>200</v>
          </cell>
          <cell r="I946">
            <v>35820159379</v>
          </cell>
        </row>
        <row r="947">
          <cell r="A947" t="str">
            <v>Italy</v>
          </cell>
          <cell r="B947">
            <v>380</v>
          </cell>
          <cell r="C947">
            <v>203</v>
          </cell>
          <cell r="D947">
            <v>3</v>
          </cell>
          <cell r="E947" t="str">
            <v>Equals: VALUE ADDED, GROSS, at basic prices</v>
          </cell>
          <cell r="F947">
            <v>12</v>
          </cell>
          <cell r="G947">
            <v>1972</v>
          </cell>
          <cell r="H947">
            <v>200</v>
          </cell>
          <cell r="I947">
            <v>39513291018</v>
          </cell>
        </row>
        <row r="948">
          <cell r="A948" t="str">
            <v>Italy</v>
          </cell>
          <cell r="B948">
            <v>380</v>
          </cell>
          <cell r="C948">
            <v>203</v>
          </cell>
          <cell r="D948">
            <v>3</v>
          </cell>
          <cell r="E948" t="str">
            <v>Equals: VALUE ADDED, GROSS, at basic prices</v>
          </cell>
          <cell r="F948">
            <v>12</v>
          </cell>
          <cell r="G948">
            <v>1973</v>
          </cell>
          <cell r="H948">
            <v>200</v>
          </cell>
          <cell r="I948">
            <v>47834754451</v>
          </cell>
        </row>
        <row r="949">
          <cell r="A949" t="str">
            <v>Italy</v>
          </cell>
          <cell r="B949">
            <v>380</v>
          </cell>
          <cell r="C949">
            <v>203</v>
          </cell>
          <cell r="D949">
            <v>3</v>
          </cell>
          <cell r="E949" t="str">
            <v>Equals: VALUE ADDED, GROSS, at basic prices</v>
          </cell>
          <cell r="F949">
            <v>12</v>
          </cell>
          <cell r="G949">
            <v>1974</v>
          </cell>
          <cell r="H949">
            <v>200</v>
          </cell>
          <cell r="I949">
            <v>61197560258</v>
          </cell>
        </row>
        <row r="950">
          <cell r="A950" t="str">
            <v>Italy</v>
          </cell>
          <cell r="B950">
            <v>380</v>
          </cell>
          <cell r="C950">
            <v>203</v>
          </cell>
          <cell r="D950">
            <v>3</v>
          </cell>
          <cell r="E950" t="str">
            <v>Equals: VALUE ADDED, GROSS, at basic prices</v>
          </cell>
          <cell r="F950">
            <v>12</v>
          </cell>
          <cell r="G950">
            <v>1975</v>
          </cell>
          <cell r="H950">
            <v>200</v>
          </cell>
          <cell r="I950">
            <v>71651215998</v>
          </cell>
        </row>
        <row r="951">
          <cell r="A951" t="str">
            <v>Italy</v>
          </cell>
          <cell r="B951">
            <v>380</v>
          </cell>
          <cell r="C951">
            <v>203</v>
          </cell>
          <cell r="D951">
            <v>3</v>
          </cell>
          <cell r="E951" t="str">
            <v>Equals: VALUE ADDED, GROSS, at basic prices</v>
          </cell>
          <cell r="F951">
            <v>12</v>
          </cell>
          <cell r="G951">
            <v>1976</v>
          </cell>
          <cell r="H951">
            <v>200</v>
          </cell>
          <cell r="I951">
            <v>88897932623</v>
          </cell>
        </row>
        <row r="952">
          <cell r="A952" t="str">
            <v>Italy</v>
          </cell>
          <cell r="B952">
            <v>380</v>
          </cell>
          <cell r="C952">
            <v>203</v>
          </cell>
          <cell r="D952">
            <v>3</v>
          </cell>
          <cell r="E952" t="str">
            <v>Equals: VALUE ADDED, GROSS, at basic prices</v>
          </cell>
          <cell r="F952">
            <v>12</v>
          </cell>
          <cell r="G952">
            <v>1977</v>
          </cell>
          <cell r="H952">
            <v>200</v>
          </cell>
          <cell r="I952">
            <v>107374333125</v>
          </cell>
        </row>
        <row r="953">
          <cell r="A953" t="str">
            <v>Italy</v>
          </cell>
          <cell r="B953">
            <v>380</v>
          </cell>
          <cell r="C953">
            <v>203</v>
          </cell>
          <cell r="D953">
            <v>3</v>
          </cell>
          <cell r="E953" t="str">
            <v>Equals: VALUE ADDED, GROSS, at basic prices</v>
          </cell>
          <cell r="F953">
            <v>12</v>
          </cell>
          <cell r="G953">
            <v>1978</v>
          </cell>
          <cell r="H953">
            <v>200</v>
          </cell>
          <cell r="I953">
            <v>126261730027</v>
          </cell>
        </row>
        <row r="954">
          <cell r="A954" t="str">
            <v>Italy</v>
          </cell>
          <cell r="B954">
            <v>380</v>
          </cell>
          <cell r="C954">
            <v>203</v>
          </cell>
          <cell r="D954">
            <v>3</v>
          </cell>
          <cell r="E954" t="str">
            <v>Equals: VALUE ADDED, GROSS, at basic prices</v>
          </cell>
          <cell r="F954">
            <v>12</v>
          </cell>
          <cell r="G954">
            <v>1979</v>
          </cell>
          <cell r="H954">
            <v>200</v>
          </cell>
          <cell r="I954">
            <v>155195401468</v>
          </cell>
        </row>
        <row r="955">
          <cell r="A955" t="str">
            <v>Italy</v>
          </cell>
          <cell r="B955">
            <v>380</v>
          </cell>
          <cell r="C955">
            <v>203</v>
          </cell>
          <cell r="D955">
            <v>3</v>
          </cell>
          <cell r="E955" t="str">
            <v>Equals: VALUE ADDED, GROSS, at basic prices</v>
          </cell>
          <cell r="F955">
            <v>12</v>
          </cell>
          <cell r="G955">
            <v>1980</v>
          </cell>
          <cell r="H955">
            <v>200</v>
          </cell>
          <cell r="I955">
            <v>194847361163</v>
          </cell>
        </row>
        <row r="956">
          <cell r="A956" t="str">
            <v>Italy</v>
          </cell>
          <cell r="B956">
            <v>380</v>
          </cell>
          <cell r="C956">
            <v>203</v>
          </cell>
          <cell r="D956">
            <v>3</v>
          </cell>
          <cell r="E956" t="str">
            <v>Equals: VALUE ADDED, GROSS, at basic prices</v>
          </cell>
          <cell r="F956">
            <v>12</v>
          </cell>
          <cell r="G956">
            <v>1981</v>
          </cell>
          <cell r="H956">
            <v>200</v>
          </cell>
          <cell r="I956">
            <v>234878141995</v>
          </cell>
        </row>
        <row r="957">
          <cell r="A957" t="str">
            <v>Italy</v>
          </cell>
          <cell r="B957">
            <v>380</v>
          </cell>
          <cell r="C957">
            <v>203</v>
          </cell>
          <cell r="D957">
            <v>3</v>
          </cell>
          <cell r="E957" t="str">
            <v>Equals: VALUE ADDED, GROSS, at basic prices</v>
          </cell>
          <cell r="F957">
            <v>12</v>
          </cell>
          <cell r="G957">
            <v>1982</v>
          </cell>
          <cell r="H957">
            <v>200</v>
          </cell>
          <cell r="I957">
            <v>274255191683</v>
          </cell>
        </row>
        <row r="958">
          <cell r="A958" t="str">
            <v>Italy</v>
          </cell>
          <cell r="B958">
            <v>380</v>
          </cell>
          <cell r="C958">
            <v>203</v>
          </cell>
          <cell r="D958">
            <v>3</v>
          </cell>
          <cell r="E958" t="str">
            <v>Equals: VALUE ADDED, GROSS, at basic prices</v>
          </cell>
          <cell r="F958">
            <v>12</v>
          </cell>
          <cell r="G958">
            <v>1983</v>
          </cell>
          <cell r="H958">
            <v>200</v>
          </cell>
          <cell r="I958">
            <v>317933087844</v>
          </cell>
        </row>
        <row r="959">
          <cell r="A959" t="str">
            <v>Italy</v>
          </cell>
          <cell r="B959">
            <v>380</v>
          </cell>
          <cell r="C959">
            <v>203</v>
          </cell>
          <cell r="D959">
            <v>3</v>
          </cell>
          <cell r="E959" t="str">
            <v>Equals: VALUE ADDED, GROSS, at basic prices</v>
          </cell>
          <cell r="F959">
            <v>12</v>
          </cell>
          <cell r="G959">
            <v>1984</v>
          </cell>
          <cell r="H959">
            <v>200</v>
          </cell>
          <cell r="I959">
            <v>364221002236</v>
          </cell>
        </row>
        <row r="960">
          <cell r="A960" t="str">
            <v>Italy</v>
          </cell>
          <cell r="B960">
            <v>380</v>
          </cell>
          <cell r="C960">
            <v>203</v>
          </cell>
          <cell r="D960">
            <v>3</v>
          </cell>
          <cell r="E960" t="str">
            <v>Equals: VALUE ADDED, GROSS, at basic prices</v>
          </cell>
          <cell r="F960">
            <v>12</v>
          </cell>
          <cell r="G960">
            <v>1985</v>
          </cell>
          <cell r="H960">
            <v>200</v>
          </cell>
          <cell r="I960">
            <v>409012017952</v>
          </cell>
        </row>
        <row r="961">
          <cell r="A961" t="str">
            <v>Italy</v>
          </cell>
          <cell r="B961">
            <v>380</v>
          </cell>
          <cell r="C961">
            <v>203</v>
          </cell>
          <cell r="D961">
            <v>3</v>
          </cell>
          <cell r="E961" t="str">
            <v>Equals: VALUE ADDED, GROSS, at basic prices</v>
          </cell>
          <cell r="F961">
            <v>12</v>
          </cell>
          <cell r="G961">
            <v>1986</v>
          </cell>
          <cell r="H961">
            <v>200</v>
          </cell>
          <cell r="I961">
            <v>452470574868</v>
          </cell>
        </row>
        <row r="962">
          <cell r="A962" t="str">
            <v>Italy</v>
          </cell>
          <cell r="B962">
            <v>380</v>
          </cell>
          <cell r="C962">
            <v>203</v>
          </cell>
          <cell r="D962">
            <v>3</v>
          </cell>
          <cell r="E962" t="str">
            <v>Equals: VALUE ADDED, GROSS, at basic prices</v>
          </cell>
          <cell r="F962">
            <v>12</v>
          </cell>
          <cell r="G962">
            <v>1987</v>
          </cell>
          <cell r="H962">
            <v>200</v>
          </cell>
          <cell r="I962">
            <v>490691019331</v>
          </cell>
        </row>
        <row r="963">
          <cell r="A963" t="str">
            <v>Italy</v>
          </cell>
          <cell r="B963">
            <v>380</v>
          </cell>
          <cell r="C963">
            <v>203</v>
          </cell>
          <cell r="D963">
            <v>3</v>
          </cell>
          <cell r="E963" t="str">
            <v>Equals: VALUE ADDED, GROSS, at basic prices</v>
          </cell>
          <cell r="F963">
            <v>12</v>
          </cell>
          <cell r="G963">
            <v>1988</v>
          </cell>
          <cell r="H963">
            <v>200</v>
          </cell>
          <cell r="I963">
            <v>541804388991</v>
          </cell>
        </row>
        <row r="964">
          <cell r="A964" t="str">
            <v>Italy</v>
          </cell>
          <cell r="B964">
            <v>380</v>
          </cell>
          <cell r="C964">
            <v>203</v>
          </cell>
          <cell r="D964">
            <v>3</v>
          </cell>
          <cell r="E964" t="str">
            <v>Equals: VALUE ADDED, GROSS, at basic prices</v>
          </cell>
          <cell r="F964">
            <v>12</v>
          </cell>
          <cell r="G964">
            <v>1989</v>
          </cell>
          <cell r="H964">
            <v>200</v>
          </cell>
          <cell r="I964">
            <v>593966671142</v>
          </cell>
        </row>
        <row r="965">
          <cell r="A965" t="str">
            <v>Italy</v>
          </cell>
          <cell r="B965">
            <v>380</v>
          </cell>
          <cell r="C965">
            <v>203</v>
          </cell>
          <cell r="D965">
            <v>3</v>
          </cell>
          <cell r="E965" t="str">
            <v>Equals: VALUE ADDED, GROSS, at basic prices</v>
          </cell>
          <cell r="F965">
            <v>12</v>
          </cell>
          <cell r="G965">
            <v>1990</v>
          </cell>
          <cell r="H965">
            <v>200</v>
          </cell>
          <cell r="I965">
            <v>652918379703</v>
          </cell>
        </row>
        <row r="966">
          <cell r="A966" t="str">
            <v>Italy</v>
          </cell>
          <cell r="B966">
            <v>380</v>
          </cell>
          <cell r="C966">
            <v>203</v>
          </cell>
          <cell r="D966">
            <v>3</v>
          </cell>
          <cell r="E966" t="str">
            <v>Equals: VALUE ADDED, GROSS, at basic prices</v>
          </cell>
          <cell r="F966">
            <v>12</v>
          </cell>
          <cell r="G966">
            <v>1991</v>
          </cell>
          <cell r="H966">
            <v>200</v>
          </cell>
          <cell r="I966">
            <v>707553654004</v>
          </cell>
        </row>
        <row r="967">
          <cell r="A967" t="str">
            <v>Italy</v>
          </cell>
          <cell r="B967">
            <v>380</v>
          </cell>
          <cell r="C967">
            <v>203</v>
          </cell>
          <cell r="D967">
            <v>3</v>
          </cell>
          <cell r="E967" t="str">
            <v>Equals: VALUE ADDED, GROSS, at basic prices</v>
          </cell>
          <cell r="F967">
            <v>12</v>
          </cell>
          <cell r="G967">
            <v>1992</v>
          </cell>
          <cell r="H967">
            <v>200</v>
          </cell>
          <cell r="I967">
            <v>746167476643</v>
          </cell>
        </row>
        <row r="968">
          <cell r="A968" t="str">
            <v>Italy</v>
          </cell>
          <cell r="B968">
            <v>380</v>
          </cell>
          <cell r="C968">
            <v>203</v>
          </cell>
          <cell r="D968">
            <v>3</v>
          </cell>
          <cell r="E968" t="str">
            <v>Equals: VALUE ADDED, GROSS, at basic prices</v>
          </cell>
          <cell r="F968">
            <v>12</v>
          </cell>
          <cell r="G968">
            <v>1993</v>
          </cell>
          <cell r="H968">
            <v>200</v>
          </cell>
          <cell r="I968">
            <v>768892768054</v>
          </cell>
        </row>
        <row r="969">
          <cell r="A969" t="str">
            <v>Italy</v>
          </cell>
          <cell r="B969">
            <v>380</v>
          </cell>
          <cell r="C969">
            <v>203</v>
          </cell>
          <cell r="D969">
            <v>3</v>
          </cell>
          <cell r="E969" t="str">
            <v>Equals: VALUE ADDED, GROSS, at basic prices</v>
          </cell>
          <cell r="F969">
            <v>12</v>
          </cell>
          <cell r="G969">
            <v>1994</v>
          </cell>
          <cell r="H969">
            <v>200</v>
          </cell>
          <cell r="I969">
            <v>808080381352</v>
          </cell>
        </row>
        <row r="970">
          <cell r="A970" t="str">
            <v>Italy</v>
          </cell>
          <cell r="B970">
            <v>380</v>
          </cell>
          <cell r="C970">
            <v>203</v>
          </cell>
          <cell r="D970">
            <v>3</v>
          </cell>
          <cell r="E970" t="str">
            <v>Equals: VALUE ADDED, GROSS, at basic prices</v>
          </cell>
          <cell r="F970">
            <v>12</v>
          </cell>
          <cell r="G970">
            <v>1995</v>
          </cell>
          <cell r="H970">
            <v>200</v>
          </cell>
          <cell r="I970">
            <v>868637741637</v>
          </cell>
        </row>
        <row r="971">
          <cell r="A971" t="str">
            <v>Italy</v>
          </cell>
          <cell r="B971">
            <v>380</v>
          </cell>
          <cell r="C971">
            <v>203</v>
          </cell>
          <cell r="D971">
            <v>3</v>
          </cell>
          <cell r="E971" t="str">
            <v>Equals: VALUE ADDED, GROSS, at basic prices</v>
          </cell>
          <cell r="F971">
            <v>12</v>
          </cell>
          <cell r="G971">
            <v>1996</v>
          </cell>
          <cell r="H971">
            <v>200</v>
          </cell>
          <cell r="I971">
            <v>925790539729</v>
          </cell>
        </row>
        <row r="972">
          <cell r="A972" t="str">
            <v>Italy</v>
          </cell>
          <cell r="B972">
            <v>380</v>
          </cell>
          <cell r="C972">
            <v>203</v>
          </cell>
          <cell r="D972">
            <v>3</v>
          </cell>
          <cell r="E972" t="str">
            <v>Equals: VALUE ADDED, GROSS, at basic prices</v>
          </cell>
          <cell r="F972">
            <v>12</v>
          </cell>
          <cell r="G972">
            <v>1997</v>
          </cell>
          <cell r="H972">
            <v>200</v>
          </cell>
          <cell r="I972">
            <v>960715722278</v>
          </cell>
        </row>
        <row r="973">
          <cell r="A973" t="str">
            <v>Italy</v>
          </cell>
          <cell r="B973">
            <v>380</v>
          </cell>
          <cell r="C973">
            <v>203</v>
          </cell>
          <cell r="D973">
            <v>3</v>
          </cell>
          <cell r="E973" t="str">
            <v>Equals: VALUE ADDED, GROSS, at basic prices</v>
          </cell>
          <cell r="F973">
            <v>12</v>
          </cell>
          <cell r="G973">
            <v>1998</v>
          </cell>
          <cell r="H973">
            <v>200</v>
          </cell>
          <cell r="I973">
            <v>997660108256</v>
          </cell>
        </row>
        <row r="974">
          <cell r="A974" t="str">
            <v>Italy</v>
          </cell>
          <cell r="B974">
            <v>380</v>
          </cell>
          <cell r="C974">
            <v>203</v>
          </cell>
          <cell r="D974">
            <v>3</v>
          </cell>
          <cell r="E974" t="str">
            <v>Equals: VALUE ADDED, GROSS, at basic prices</v>
          </cell>
          <cell r="F974">
            <v>12</v>
          </cell>
          <cell r="G974">
            <v>1999</v>
          </cell>
          <cell r="H974">
            <v>200</v>
          </cell>
          <cell r="I974">
            <v>1024464013873</v>
          </cell>
        </row>
        <row r="975">
          <cell r="A975" t="str">
            <v>Italy</v>
          </cell>
          <cell r="B975">
            <v>380</v>
          </cell>
          <cell r="C975">
            <v>203</v>
          </cell>
          <cell r="D975">
            <v>3</v>
          </cell>
          <cell r="E975" t="str">
            <v>Equals: VALUE ADDED, GROSS, at basic prices</v>
          </cell>
          <cell r="F975">
            <v>12</v>
          </cell>
          <cell r="G975">
            <v>2000</v>
          </cell>
          <cell r="H975">
            <v>200</v>
          </cell>
          <cell r="I975">
            <v>1082137540153</v>
          </cell>
        </row>
        <row r="976">
          <cell r="A976" t="str">
            <v>Italy</v>
          </cell>
          <cell r="B976">
            <v>380</v>
          </cell>
          <cell r="C976">
            <v>203</v>
          </cell>
          <cell r="D976">
            <v>3</v>
          </cell>
          <cell r="E976" t="str">
            <v>Equals: VALUE ADDED, GROSS, at basic prices</v>
          </cell>
          <cell r="F976">
            <v>12</v>
          </cell>
          <cell r="G976">
            <v>2001</v>
          </cell>
          <cell r="H976">
            <v>200</v>
          </cell>
          <cell r="I976">
            <v>1140830475371</v>
          </cell>
        </row>
        <row r="977">
          <cell r="A977" t="str">
            <v>Italy</v>
          </cell>
          <cell r="B977">
            <v>380</v>
          </cell>
          <cell r="C977">
            <v>203</v>
          </cell>
          <cell r="D977">
            <v>3</v>
          </cell>
          <cell r="E977" t="str">
            <v>Equals: VALUE ADDED, GROSS, at basic prices</v>
          </cell>
          <cell r="F977">
            <v>12</v>
          </cell>
          <cell r="G977">
            <v>2002</v>
          </cell>
          <cell r="H977">
            <v>200</v>
          </cell>
          <cell r="I977">
            <v>1176803021347</v>
          </cell>
        </row>
        <row r="978">
          <cell r="A978" t="str">
            <v>Italy</v>
          </cell>
          <cell r="B978">
            <v>380</v>
          </cell>
          <cell r="C978">
            <v>203</v>
          </cell>
          <cell r="D978">
            <v>4</v>
          </cell>
          <cell r="E978" t="str">
            <v>Compensation of employees</v>
          </cell>
          <cell r="F978">
            <v>12</v>
          </cell>
          <cell r="G978">
            <v>1970</v>
          </cell>
          <cell r="H978">
            <v>200</v>
          </cell>
          <cell r="I978">
            <v>16274073347</v>
          </cell>
        </row>
        <row r="979">
          <cell r="A979" t="str">
            <v>Italy</v>
          </cell>
          <cell r="B979">
            <v>380</v>
          </cell>
          <cell r="C979">
            <v>203</v>
          </cell>
          <cell r="D979">
            <v>4</v>
          </cell>
          <cell r="E979" t="str">
            <v>Compensation of employees</v>
          </cell>
          <cell r="F979">
            <v>12</v>
          </cell>
          <cell r="G979">
            <v>1971</v>
          </cell>
          <cell r="H979">
            <v>200</v>
          </cell>
          <cell r="I979">
            <v>18704519514</v>
          </cell>
        </row>
        <row r="980">
          <cell r="A980" t="str">
            <v>Italy</v>
          </cell>
          <cell r="B980">
            <v>380</v>
          </cell>
          <cell r="C980">
            <v>203</v>
          </cell>
          <cell r="D980">
            <v>4</v>
          </cell>
          <cell r="E980" t="str">
            <v>Compensation of employees</v>
          </cell>
          <cell r="F980">
            <v>12</v>
          </cell>
          <cell r="G980">
            <v>1972</v>
          </cell>
          <cell r="H980">
            <v>200</v>
          </cell>
          <cell r="I980">
            <v>20859177697</v>
          </cell>
        </row>
        <row r="981">
          <cell r="A981" t="str">
            <v>Italy</v>
          </cell>
          <cell r="B981">
            <v>380</v>
          </cell>
          <cell r="C981">
            <v>203</v>
          </cell>
          <cell r="D981">
            <v>4</v>
          </cell>
          <cell r="E981" t="str">
            <v>Compensation of employees</v>
          </cell>
          <cell r="F981">
            <v>12</v>
          </cell>
          <cell r="G981">
            <v>1973</v>
          </cell>
          <cell r="H981">
            <v>200</v>
          </cell>
          <cell r="I981">
            <v>25083795132</v>
          </cell>
        </row>
        <row r="982">
          <cell r="A982" t="str">
            <v>Italy</v>
          </cell>
          <cell r="B982">
            <v>380</v>
          </cell>
          <cell r="C982">
            <v>203</v>
          </cell>
          <cell r="D982">
            <v>4</v>
          </cell>
          <cell r="E982" t="str">
            <v>Compensation of employees</v>
          </cell>
          <cell r="F982">
            <v>12</v>
          </cell>
          <cell r="G982">
            <v>1974</v>
          </cell>
          <cell r="H982">
            <v>200</v>
          </cell>
          <cell r="I982">
            <v>31373207249</v>
          </cell>
        </row>
        <row r="983">
          <cell r="A983" t="str">
            <v>Italy</v>
          </cell>
          <cell r="B983">
            <v>380</v>
          </cell>
          <cell r="C983">
            <v>203</v>
          </cell>
          <cell r="D983">
            <v>4</v>
          </cell>
          <cell r="E983" t="str">
            <v>Compensation of employees</v>
          </cell>
          <cell r="F983">
            <v>12</v>
          </cell>
          <cell r="G983">
            <v>1975</v>
          </cell>
          <cell r="H983">
            <v>200</v>
          </cell>
          <cell r="I983">
            <v>37934792152</v>
          </cell>
        </row>
        <row r="984">
          <cell r="A984" t="str">
            <v>Italy</v>
          </cell>
          <cell r="B984">
            <v>380</v>
          </cell>
          <cell r="C984">
            <v>203</v>
          </cell>
          <cell r="D984">
            <v>4</v>
          </cell>
          <cell r="E984" t="str">
            <v>Compensation of employees</v>
          </cell>
          <cell r="F984">
            <v>12</v>
          </cell>
          <cell r="G984">
            <v>1976</v>
          </cell>
          <cell r="H984">
            <v>200</v>
          </cell>
          <cell r="I984">
            <v>46622630108</v>
          </cell>
        </row>
        <row r="985">
          <cell r="A985" t="str">
            <v>Italy</v>
          </cell>
          <cell r="B985">
            <v>380</v>
          </cell>
          <cell r="C985">
            <v>203</v>
          </cell>
          <cell r="D985">
            <v>4</v>
          </cell>
          <cell r="E985" t="str">
            <v>Compensation of employees</v>
          </cell>
          <cell r="F985">
            <v>12</v>
          </cell>
          <cell r="G985">
            <v>1977</v>
          </cell>
          <cell r="H985">
            <v>200</v>
          </cell>
          <cell r="I985">
            <v>56934208556</v>
          </cell>
        </row>
        <row r="986">
          <cell r="A986" t="str">
            <v>Italy</v>
          </cell>
          <cell r="B986">
            <v>380</v>
          </cell>
          <cell r="C986">
            <v>203</v>
          </cell>
          <cell r="D986">
            <v>4</v>
          </cell>
          <cell r="E986" t="str">
            <v>Compensation of employees</v>
          </cell>
          <cell r="F986">
            <v>12</v>
          </cell>
          <cell r="G986">
            <v>1978</v>
          </cell>
          <cell r="H986">
            <v>200</v>
          </cell>
          <cell r="I986">
            <v>65890604100</v>
          </cell>
        </row>
        <row r="987">
          <cell r="A987" t="str">
            <v>Italy</v>
          </cell>
          <cell r="B987">
            <v>380</v>
          </cell>
          <cell r="C987">
            <v>203</v>
          </cell>
          <cell r="D987">
            <v>4</v>
          </cell>
          <cell r="E987" t="str">
            <v>Compensation of employees</v>
          </cell>
          <cell r="F987">
            <v>12</v>
          </cell>
          <cell r="G987">
            <v>1979</v>
          </cell>
          <cell r="H987">
            <v>200</v>
          </cell>
          <cell r="I987">
            <v>79969735626</v>
          </cell>
        </row>
        <row r="988">
          <cell r="A988" t="str">
            <v>Italy</v>
          </cell>
          <cell r="B988">
            <v>380</v>
          </cell>
          <cell r="C988">
            <v>203</v>
          </cell>
          <cell r="D988">
            <v>4</v>
          </cell>
          <cell r="E988" t="str">
            <v>Compensation of employees</v>
          </cell>
          <cell r="F988">
            <v>12</v>
          </cell>
          <cell r="G988">
            <v>1980</v>
          </cell>
          <cell r="H988">
            <v>200</v>
          </cell>
          <cell r="I988">
            <v>98579743528</v>
          </cell>
        </row>
        <row r="989">
          <cell r="A989" t="str">
            <v>Italy</v>
          </cell>
          <cell r="B989">
            <v>380</v>
          </cell>
          <cell r="C989">
            <v>203</v>
          </cell>
          <cell r="D989">
            <v>4</v>
          </cell>
          <cell r="E989" t="str">
            <v>Compensation of employees</v>
          </cell>
          <cell r="F989">
            <v>12</v>
          </cell>
          <cell r="G989">
            <v>1981</v>
          </cell>
          <cell r="H989">
            <v>200</v>
          </cell>
          <cell r="I989">
            <v>119957960408</v>
          </cell>
        </row>
        <row r="990">
          <cell r="A990" t="str">
            <v>Italy</v>
          </cell>
          <cell r="B990">
            <v>380</v>
          </cell>
          <cell r="C990">
            <v>203</v>
          </cell>
          <cell r="D990">
            <v>4</v>
          </cell>
          <cell r="E990" t="str">
            <v>Compensation of employees</v>
          </cell>
          <cell r="F990">
            <v>12</v>
          </cell>
          <cell r="G990">
            <v>1982</v>
          </cell>
          <cell r="H990">
            <v>200</v>
          </cell>
          <cell r="I990">
            <v>139616375815</v>
          </cell>
        </row>
        <row r="991">
          <cell r="A991" t="str">
            <v>Italy</v>
          </cell>
          <cell r="B991">
            <v>380</v>
          </cell>
          <cell r="C991">
            <v>203</v>
          </cell>
          <cell r="D991">
            <v>4</v>
          </cell>
          <cell r="E991" t="str">
            <v>Compensation of employees</v>
          </cell>
          <cell r="F991">
            <v>12</v>
          </cell>
          <cell r="G991">
            <v>1983</v>
          </cell>
          <cell r="H991">
            <v>200</v>
          </cell>
          <cell r="I991">
            <v>160366581107</v>
          </cell>
        </row>
        <row r="992">
          <cell r="A992" t="str">
            <v>Italy</v>
          </cell>
          <cell r="B992">
            <v>380</v>
          </cell>
          <cell r="C992">
            <v>203</v>
          </cell>
          <cell r="D992">
            <v>4</v>
          </cell>
          <cell r="E992" t="str">
            <v>Compensation of employees</v>
          </cell>
          <cell r="F992">
            <v>12</v>
          </cell>
          <cell r="G992">
            <v>1984</v>
          </cell>
          <cell r="H992">
            <v>200</v>
          </cell>
          <cell r="I992">
            <v>178903768586</v>
          </cell>
        </row>
        <row r="993">
          <cell r="A993" t="str">
            <v>Italy</v>
          </cell>
          <cell r="B993">
            <v>380</v>
          </cell>
          <cell r="C993">
            <v>203</v>
          </cell>
          <cell r="D993">
            <v>4</v>
          </cell>
          <cell r="E993" t="str">
            <v>Compensation of employees</v>
          </cell>
          <cell r="F993">
            <v>12</v>
          </cell>
          <cell r="G993">
            <v>1985</v>
          </cell>
          <cell r="H993">
            <v>200</v>
          </cell>
          <cell r="I993">
            <v>199696323343</v>
          </cell>
        </row>
        <row r="994">
          <cell r="A994" t="str">
            <v>Italy</v>
          </cell>
          <cell r="B994">
            <v>380</v>
          </cell>
          <cell r="C994">
            <v>203</v>
          </cell>
          <cell r="D994">
            <v>4</v>
          </cell>
          <cell r="E994" t="str">
            <v>Compensation of employees</v>
          </cell>
          <cell r="F994">
            <v>12</v>
          </cell>
          <cell r="G994">
            <v>1986</v>
          </cell>
          <cell r="H994">
            <v>200</v>
          </cell>
          <cell r="I994">
            <v>215889312957</v>
          </cell>
        </row>
        <row r="995">
          <cell r="A995" t="str">
            <v>Italy</v>
          </cell>
          <cell r="B995">
            <v>380</v>
          </cell>
          <cell r="C995">
            <v>203</v>
          </cell>
          <cell r="D995">
            <v>4</v>
          </cell>
          <cell r="E995" t="str">
            <v>Compensation of employees</v>
          </cell>
          <cell r="F995">
            <v>12</v>
          </cell>
          <cell r="G995">
            <v>1987</v>
          </cell>
          <cell r="H995">
            <v>200</v>
          </cell>
          <cell r="I995">
            <v>234130570633</v>
          </cell>
        </row>
        <row r="996">
          <cell r="A996" t="str">
            <v>Italy</v>
          </cell>
          <cell r="B996">
            <v>380</v>
          </cell>
          <cell r="C996">
            <v>203</v>
          </cell>
          <cell r="D996">
            <v>4</v>
          </cell>
          <cell r="E996" t="str">
            <v>Compensation of employees</v>
          </cell>
          <cell r="F996">
            <v>12</v>
          </cell>
          <cell r="G996">
            <v>1988</v>
          </cell>
          <cell r="H996">
            <v>200</v>
          </cell>
          <cell r="I996">
            <v>256876881840</v>
          </cell>
        </row>
        <row r="997">
          <cell r="A997" t="str">
            <v>Italy</v>
          </cell>
          <cell r="B997">
            <v>380</v>
          </cell>
          <cell r="C997">
            <v>203</v>
          </cell>
          <cell r="D997">
            <v>4</v>
          </cell>
          <cell r="E997" t="str">
            <v>Compensation of employees</v>
          </cell>
          <cell r="F997">
            <v>12</v>
          </cell>
          <cell r="G997">
            <v>1989</v>
          </cell>
          <cell r="H997">
            <v>200</v>
          </cell>
          <cell r="I997">
            <v>281393607297</v>
          </cell>
        </row>
        <row r="998">
          <cell r="A998" t="str">
            <v>Italy</v>
          </cell>
          <cell r="B998">
            <v>380</v>
          </cell>
          <cell r="C998">
            <v>203</v>
          </cell>
          <cell r="D998">
            <v>4</v>
          </cell>
          <cell r="E998" t="str">
            <v>Compensation of employees</v>
          </cell>
          <cell r="F998">
            <v>12</v>
          </cell>
          <cell r="G998">
            <v>1990</v>
          </cell>
          <cell r="H998">
            <v>200</v>
          </cell>
          <cell r="I998">
            <v>314778930624</v>
          </cell>
        </row>
        <row r="999">
          <cell r="A999" t="str">
            <v>Italy</v>
          </cell>
          <cell r="B999">
            <v>380</v>
          </cell>
          <cell r="C999">
            <v>203</v>
          </cell>
          <cell r="D999">
            <v>4</v>
          </cell>
          <cell r="E999" t="str">
            <v>Compensation of employees</v>
          </cell>
          <cell r="F999">
            <v>12</v>
          </cell>
          <cell r="G999">
            <v>1991</v>
          </cell>
          <cell r="H999">
            <v>200</v>
          </cell>
          <cell r="I999">
            <v>344382240080</v>
          </cell>
        </row>
        <row r="1000">
          <cell r="A1000" t="str">
            <v>Italy</v>
          </cell>
          <cell r="B1000">
            <v>380</v>
          </cell>
          <cell r="C1000">
            <v>203</v>
          </cell>
          <cell r="D1000">
            <v>4</v>
          </cell>
          <cell r="E1000" t="str">
            <v>Compensation of employees</v>
          </cell>
          <cell r="F1000">
            <v>12</v>
          </cell>
          <cell r="G1000">
            <v>1992</v>
          </cell>
          <cell r="H1000">
            <v>200</v>
          </cell>
          <cell r="I1000">
            <v>362034736891</v>
          </cell>
        </row>
        <row r="1001">
          <cell r="A1001" t="str">
            <v>Italy</v>
          </cell>
          <cell r="B1001">
            <v>380</v>
          </cell>
          <cell r="C1001">
            <v>203</v>
          </cell>
          <cell r="D1001">
            <v>4</v>
          </cell>
          <cell r="E1001" t="str">
            <v>Compensation of employees</v>
          </cell>
          <cell r="F1001">
            <v>12</v>
          </cell>
          <cell r="G1001">
            <v>1993</v>
          </cell>
          <cell r="H1001">
            <v>200</v>
          </cell>
          <cell r="I1001">
            <v>370143110207</v>
          </cell>
        </row>
        <row r="1002">
          <cell r="A1002" t="str">
            <v>Italy</v>
          </cell>
          <cell r="B1002">
            <v>380</v>
          </cell>
          <cell r="C1002">
            <v>203</v>
          </cell>
          <cell r="D1002">
            <v>4</v>
          </cell>
          <cell r="E1002" t="str">
            <v>Compensation of employees</v>
          </cell>
          <cell r="F1002">
            <v>12</v>
          </cell>
          <cell r="G1002">
            <v>1994</v>
          </cell>
          <cell r="H1002">
            <v>200</v>
          </cell>
          <cell r="I1002">
            <v>377992222159</v>
          </cell>
        </row>
        <row r="1003">
          <cell r="A1003" t="str">
            <v>Italy</v>
          </cell>
          <cell r="B1003">
            <v>380</v>
          </cell>
          <cell r="C1003">
            <v>203</v>
          </cell>
          <cell r="D1003">
            <v>4</v>
          </cell>
          <cell r="E1003" t="str">
            <v>Compensation of employees</v>
          </cell>
          <cell r="F1003">
            <v>12</v>
          </cell>
          <cell r="G1003">
            <v>1995</v>
          </cell>
          <cell r="H1003">
            <v>200</v>
          </cell>
          <cell r="I1003">
            <v>392832094698</v>
          </cell>
        </row>
        <row r="1004">
          <cell r="A1004" t="str">
            <v>Italy</v>
          </cell>
          <cell r="B1004">
            <v>380</v>
          </cell>
          <cell r="C1004">
            <v>203</v>
          </cell>
          <cell r="D1004">
            <v>4</v>
          </cell>
          <cell r="E1004" t="str">
            <v>Compensation of employees</v>
          </cell>
          <cell r="F1004">
            <v>12</v>
          </cell>
          <cell r="G1004">
            <v>1996</v>
          </cell>
          <cell r="H1004">
            <v>200</v>
          </cell>
          <cell r="I1004">
            <v>417713955182</v>
          </cell>
        </row>
        <row r="1005">
          <cell r="A1005" t="str">
            <v>Italy</v>
          </cell>
          <cell r="B1005">
            <v>380</v>
          </cell>
          <cell r="C1005">
            <v>203</v>
          </cell>
          <cell r="D1005">
            <v>4</v>
          </cell>
          <cell r="E1005" t="str">
            <v>Compensation of employees</v>
          </cell>
          <cell r="F1005">
            <v>12</v>
          </cell>
          <cell r="G1005">
            <v>1997</v>
          </cell>
          <cell r="H1005">
            <v>200</v>
          </cell>
          <cell r="I1005">
            <v>437780371539</v>
          </cell>
        </row>
        <row r="1006">
          <cell r="A1006" t="str">
            <v>Italy</v>
          </cell>
          <cell r="B1006">
            <v>380</v>
          </cell>
          <cell r="C1006">
            <v>203</v>
          </cell>
          <cell r="D1006">
            <v>4</v>
          </cell>
          <cell r="E1006" t="str">
            <v>Compensation of employees</v>
          </cell>
          <cell r="F1006">
            <v>12</v>
          </cell>
          <cell r="G1006">
            <v>1998</v>
          </cell>
          <cell r="H1006">
            <v>200</v>
          </cell>
          <cell r="I1006">
            <v>435443920528</v>
          </cell>
        </row>
        <row r="1007">
          <cell r="A1007" t="str">
            <v>Italy</v>
          </cell>
          <cell r="B1007">
            <v>380</v>
          </cell>
          <cell r="C1007">
            <v>203</v>
          </cell>
          <cell r="D1007">
            <v>4</v>
          </cell>
          <cell r="E1007" t="str">
            <v>Compensation of employees</v>
          </cell>
          <cell r="F1007">
            <v>12</v>
          </cell>
          <cell r="G1007">
            <v>1999</v>
          </cell>
          <cell r="H1007">
            <v>200</v>
          </cell>
          <cell r="I1007">
            <v>451349760106</v>
          </cell>
        </row>
        <row r="1008">
          <cell r="A1008" t="str">
            <v>Italy</v>
          </cell>
          <cell r="B1008">
            <v>380</v>
          </cell>
          <cell r="C1008">
            <v>203</v>
          </cell>
          <cell r="D1008">
            <v>4</v>
          </cell>
          <cell r="E1008" t="str">
            <v>Compensation of employees</v>
          </cell>
          <cell r="F1008">
            <v>12</v>
          </cell>
          <cell r="G1008">
            <v>2000</v>
          </cell>
          <cell r="H1008">
            <v>200</v>
          </cell>
          <cell r="I1008">
            <v>474075413036</v>
          </cell>
        </row>
        <row r="1009">
          <cell r="A1009" t="str">
            <v>Italy</v>
          </cell>
          <cell r="B1009">
            <v>380</v>
          </cell>
          <cell r="C1009">
            <v>203</v>
          </cell>
          <cell r="D1009">
            <v>4</v>
          </cell>
          <cell r="E1009" t="str">
            <v>Compensation of employees</v>
          </cell>
          <cell r="F1009">
            <v>12</v>
          </cell>
          <cell r="G1009">
            <v>2001</v>
          </cell>
          <cell r="H1009">
            <v>200</v>
          </cell>
          <cell r="I1009">
            <v>499104980194</v>
          </cell>
        </row>
        <row r="1010">
          <cell r="A1010" t="str">
            <v>Italy</v>
          </cell>
          <cell r="B1010">
            <v>380</v>
          </cell>
          <cell r="C1010">
            <v>203</v>
          </cell>
          <cell r="D1010">
            <v>4</v>
          </cell>
          <cell r="E1010" t="str">
            <v>Compensation of employees</v>
          </cell>
          <cell r="F1010">
            <v>12</v>
          </cell>
          <cell r="G1010">
            <v>2002</v>
          </cell>
          <cell r="H1010">
            <v>200</v>
          </cell>
          <cell r="I1010">
            <v>518991669550</v>
          </cell>
        </row>
        <row r="1011">
          <cell r="A1011" t="str">
            <v>Italy</v>
          </cell>
          <cell r="B1011">
            <v>380</v>
          </cell>
          <cell r="C1011">
            <v>203</v>
          </cell>
          <cell r="D1011">
            <v>11</v>
          </cell>
          <cell r="E1011" t="str">
            <v>OPERATING SURPLUS, GROSS</v>
          </cell>
          <cell r="F1011">
            <v>12</v>
          </cell>
          <cell r="G1011">
            <v>1970</v>
          </cell>
          <cell r="H1011">
            <v>200</v>
          </cell>
          <cell r="I1011">
            <v>16497750830</v>
          </cell>
        </row>
        <row r="1012">
          <cell r="A1012" t="str">
            <v>Italy</v>
          </cell>
          <cell r="B1012">
            <v>380</v>
          </cell>
          <cell r="C1012">
            <v>203</v>
          </cell>
          <cell r="D1012">
            <v>11</v>
          </cell>
          <cell r="E1012" t="str">
            <v>OPERATING SURPLUS, GROSS</v>
          </cell>
          <cell r="F1012">
            <v>12</v>
          </cell>
          <cell r="G1012">
            <v>1971</v>
          </cell>
          <cell r="H1012">
            <v>200</v>
          </cell>
          <cell r="I1012">
            <v>17247336374</v>
          </cell>
        </row>
        <row r="1013">
          <cell r="A1013" t="str">
            <v>Italy</v>
          </cell>
          <cell r="B1013">
            <v>380</v>
          </cell>
          <cell r="C1013">
            <v>203</v>
          </cell>
          <cell r="D1013">
            <v>11</v>
          </cell>
          <cell r="E1013" t="str">
            <v>OPERATING SURPLUS, GROSS</v>
          </cell>
          <cell r="F1013">
            <v>12</v>
          </cell>
          <cell r="G1013">
            <v>1972</v>
          </cell>
          <cell r="H1013">
            <v>200</v>
          </cell>
          <cell r="I1013">
            <v>18755338873</v>
          </cell>
        </row>
        <row r="1014">
          <cell r="A1014" t="str">
            <v>Italy</v>
          </cell>
          <cell r="B1014">
            <v>380</v>
          </cell>
          <cell r="C1014">
            <v>203</v>
          </cell>
          <cell r="D1014">
            <v>11</v>
          </cell>
          <cell r="E1014" t="str">
            <v>OPERATING SURPLUS, GROSS</v>
          </cell>
          <cell r="F1014">
            <v>12</v>
          </cell>
          <cell r="G1014">
            <v>1973</v>
          </cell>
          <cell r="H1014">
            <v>200</v>
          </cell>
          <cell r="I1014">
            <v>22846503845</v>
          </cell>
        </row>
        <row r="1015">
          <cell r="A1015" t="str">
            <v>Italy</v>
          </cell>
          <cell r="B1015">
            <v>380</v>
          </cell>
          <cell r="C1015">
            <v>203</v>
          </cell>
          <cell r="D1015">
            <v>11</v>
          </cell>
          <cell r="E1015" t="str">
            <v>OPERATING SURPLUS, GROSS</v>
          </cell>
          <cell r="F1015">
            <v>12</v>
          </cell>
          <cell r="G1015">
            <v>1974</v>
          </cell>
          <cell r="H1015">
            <v>200</v>
          </cell>
          <cell r="I1015">
            <v>29934358328</v>
          </cell>
        </row>
        <row r="1016">
          <cell r="A1016" t="str">
            <v>Italy</v>
          </cell>
          <cell r="B1016">
            <v>380</v>
          </cell>
          <cell r="C1016">
            <v>203</v>
          </cell>
          <cell r="D1016">
            <v>11</v>
          </cell>
          <cell r="E1016" t="str">
            <v>OPERATING SURPLUS, GROSS</v>
          </cell>
          <cell r="F1016">
            <v>12</v>
          </cell>
          <cell r="G1016">
            <v>1975</v>
          </cell>
          <cell r="H1016">
            <v>200</v>
          </cell>
          <cell r="I1016">
            <v>34079493046</v>
          </cell>
        </row>
        <row r="1017">
          <cell r="A1017" t="str">
            <v>Italy</v>
          </cell>
          <cell r="B1017">
            <v>380</v>
          </cell>
          <cell r="C1017">
            <v>203</v>
          </cell>
          <cell r="D1017">
            <v>11</v>
          </cell>
          <cell r="E1017" t="str">
            <v>OPERATING SURPLUS, GROSS</v>
          </cell>
          <cell r="F1017">
            <v>12</v>
          </cell>
          <cell r="G1017">
            <v>1976</v>
          </cell>
          <cell r="H1017">
            <v>200</v>
          </cell>
          <cell r="I1017">
            <v>42695181974</v>
          </cell>
        </row>
        <row r="1018">
          <cell r="A1018" t="str">
            <v>Italy</v>
          </cell>
          <cell r="B1018">
            <v>380</v>
          </cell>
          <cell r="C1018">
            <v>203</v>
          </cell>
          <cell r="D1018">
            <v>11</v>
          </cell>
          <cell r="E1018" t="str">
            <v>OPERATING SURPLUS, GROSS</v>
          </cell>
          <cell r="F1018">
            <v>12</v>
          </cell>
          <cell r="G1018">
            <v>1977</v>
          </cell>
          <cell r="H1018">
            <v>200</v>
          </cell>
          <cell r="I1018">
            <v>50845026778</v>
          </cell>
        </row>
        <row r="1019">
          <cell r="A1019" t="str">
            <v>Italy</v>
          </cell>
          <cell r="B1019">
            <v>380</v>
          </cell>
          <cell r="C1019">
            <v>203</v>
          </cell>
          <cell r="D1019">
            <v>11</v>
          </cell>
          <cell r="E1019" t="str">
            <v>OPERATING SURPLUS, GROSS</v>
          </cell>
          <cell r="F1019">
            <v>12</v>
          </cell>
          <cell r="G1019">
            <v>1978</v>
          </cell>
          <cell r="H1019">
            <v>200</v>
          </cell>
          <cell r="I1019">
            <v>60972798215</v>
          </cell>
        </row>
        <row r="1020">
          <cell r="A1020" t="str">
            <v>Italy</v>
          </cell>
          <cell r="B1020">
            <v>380</v>
          </cell>
          <cell r="C1020">
            <v>203</v>
          </cell>
          <cell r="D1020">
            <v>11</v>
          </cell>
          <cell r="E1020" t="str">
            <v>OPERATING SURPLUS, GROSS</v>
          </cell>
          <cell r="F1020">
            <v>12</v>
          </cell>
          <cell r="G1020">
            <v>1979</v>
          </cell>
          <cell r="H1020">
            <v>200</v>
          </cell>
          <cell r="I1020">
            <v>75979692915</v>
          </cell>
        </row>
        <row r="1021">
          <cell r="A1021" t="str">
            <v>Italy</v>
          </cell>
          <cell r="B1021">
            <v>380</v>
          </cell>
          <cell r="C1021">
            <v>203</v>
          </cell>
          <cell r="D1021">
            <v>11</v>
          </cell>
          <cell r="E1021" t="str">
            <v>OPERATING SURPLUS, GROSS</v>
          </cell>
          <cell r="F1021">
            <v>12</v>
          </cell>
          <cell r="G1021">
            <v>1980</v>
          </cell>
          <cell r="H1021">
            <v>200</v>
          </cell>
          <cell r="I1021">
            <v>97429232493</v>
          </cell>
        </row>
        <row r="1022">
          <cell r="A1022" t="str">
            <v>Italy</v>
          </cell>
          <cell r="B1022">
            <v>380</v>
          </cell>
          <cell r="C1022">
            <v>203</v>
          </cell>
          <cell r="D1022">
            <v>11</v>
          </cell>
          <cell r="E1022" t="str">
            <v>OPERATING SURPLUS, GROSS</v>
          </cell>
          <cell r="F1022">
            <v>12</v>
          </cell>
          <cell r="G1022">
            <v>1981</v>
          </cell>
          <cell r="H1022">
            <v>200</v>
          </cell>
          <cell r="I1022">
            <v>116114436520</v>
          </cell>
        </row>
        <row r="1023">
          <cell r="A1023" t="str">
            <v>Italy</v>
          </cell>
          <cell r="B1023">
            <v>380</v>
          </cell>
          <cell r="C1023">
            <v>203</v>
          </cell>
          <cell r="D1023">
            <v>11</v>
          </cell>
          <cell r="E1023" t="str">
            <v>OPERATING SURPLUS, GROSS</v>
          </cell>
          <cell r="F1023">
            <v>12</v>
          </cell>
          <cell r="G1023">
            <v>1982</v>
          </cell>
          <cell r="H1023">
            <v>200</v>
          </cell>
          <cell r="I1023">
            <v>136375867002</v>
          </cell>
        </row>
        <row r="1024">
          <cell r="A1024" t="str">
            <v>Italy</v>
          </cell>
          <cell r="B1024">
            <v>380</v>
          </cell>
          <cell r="C1024">
            <v>203</v>
          </cell>
          <cell r="D1024">
            <v>11</v>
          </cell>
          <cell r="E1024" t="str">
            <v>OPERATING SURPLUS, GROSS</v>
          </cell>
          <cell r="F1024">
            <v>12</v>
          </cell>
          <cell r="G1024">
            <v>1983</v>
          </cell>
          <cell r="H1024">
            <v>200</v>
          </cell>
          <cell r="I1024">
            <v>159643283220</v>
          </cell>
        </row>
        <row r="1025">
          <cell r="A1025" t="str">
            <v>Italy</v>
          </cell>
          <cell r="B1025">
            <v>380</v>
          </cell>
          <cell r="C1025">
            <v>203</v>
          </cell>
          <cell r="D1025">
            <v>11</v>
          </cell>
          <cell r="E1025" t="str">
            <v>OPERATING SURPLUS, GROSS</v>
          </cell>
          <cell r="F1025">
            <v>12</v>
          </cell>
          <cell r="G1025">
            <v>1984</v>
          </cell>
          <cell r="H1025">
            <v>200</v>
          </cell>
          <cell r="I1025">
            <v>187462957129</v>
          </cell>
        </row>
        <row r="1026">
          <cell r="A1026" t="str">
            <v>Italy</v>
          </cell>
          <cell r="B1026">
            <v>380</v>
          </cell>
          <cell r="C1026">
            <v>203</v>
          </cell>
          <cell r="D1026">
            <v>11</v>
          </cell>
          <cell r="E1026" t="str">
            <v>OPERATING SURPLUS, GROSS</v>
          </cell>
          <cell r="F1026">
            <v>12</v>
          </cell>
          <cell r="G1026">
            <v>1985</v>
          </cell>
          <cell r="H1026">
            <v>200</v>
          </cell>
          <cell r="I1026">
            <v>210947698409</v>
          </cell>
        </row>
        <row r="1027">
          <cell r="A1027" t="str">
            <v>Italy</v>
          </cell>
          <cell r="B1027">
            <v>380</v>
          </cell>
          <cell r="C1027">
            <v>203</v>
          </cell>
          <cell r="D1027">
            <v>11</v>
          </cell>
          <cell r="E1027" t="str">
            <v>OPERATING SURPLUS, GROSS</v>
          </cell>
          <cell r="F1027">
            <v>12</v>
          </cell>
          <cell r="G1027">
            <v>1986</v>
          </cell>
          <cell r="H1027">
            <v>200</v>
          </cell>
          <cell r="I1027">
            <v>238867151792</v>
          </cell>
        </row>
        <row r="1028">
          <cell r="A1028" t="str">
            <v>Italy</v>
          </cell>
          <cell r="B1028">
            <v>380</v>
          </cell>
          <cell r="C1028">
            <v>203</v>
          </cell>
          <cell r="D1028">
            <v>11</v>
          </cell>
          <cell r="E1028" t="str">
            <v>OPERATING SURPLUS, GROSS</v>
          </cell>
          <cell r="F1028">
            <v>12</v>
          </cell>
          <cell r="G1028">
            <v>1987</v>
          </cell>
          <cell r="H1028">
            <v>200</v>
          </cell>
          <cell r="I1028">
            <v>258942761082</v>
          </cell>
        </row>
        <row r="1029">
          <cell r="A1029" t="str">
            <v>Italy</v>
          </cell>
          <cell r="B1029">
            <v>380</v>
          </cell>
          <cell r="C1029">
            <v>203</v>
          </cell>
          <cell r="D1029">
            <v>11</v>
          </cell>
          <cell r="E1029" t="str">
            <v>OPERATING SURPLUS, GROSS</v>
          </cell>
          <cell r="F1029">
            <v>12</v>
          </cell>
          <cell r="G1029">
            <v>1988</v>
          </cell>
          <cell r="H1029">
            <v>200</v>
          </cell>
          <cell r="I1029">
            <v>285845767517</v>
          </cell>
        </row>
        <row r="1030">
          <cell r="A1030" t="str">
            <v>Italy</v>
          </cell>
          <cell r="B1030">
            <v>380</v>
          </cell>
          <cell r="C1030">
            <v>203</v>
          </cell>
          <cell r="D1030">
            <v>11</v>
          </cell>
          <cell r="E1030" t="str">
            <v>OPERATING SURPLUS, GROSS</v>
          </cell>
          <cell r="F1030">
            <v>12</v>
          </cell>
          <cell r="G1030">
            <v>1989</v>
          </cell>
          <cell r="H1030">
            <v>200</v>
          </cell>
          <cell r="I1030">
            <v>313882798542</v>
          </cell>
        </row>
        <row r="1031">
          <cell r="A1031" t="str">
            <v>Italy</v>
          </cell>
          <cell r="B1031">
            <v>380</v>
          </cell>
          <cell r="C1031">
            <v>203</v>
          </cell>
          <cell r="D1031">
            <v>11</v>
          </cell>
          <cell r="E1031" t="str">
            <v>OPERATING SURPLUS, GROSS</v>
          </cell>
          <cell r="F1031">
            <v>12</v>
          </cell>
          <cell r="G1031">
            <v>1990</v>
          </cell>
          <cell r="H1031">
            <v>200</v>
          </cell>
          <cell r="I1031">
            <v>338469981493</v>
          </cell>
        </row>
        <row r="1032">
          <cell r="A1032" t="str">
            <v>Italy</v>
          </cell>
          <cell r="B1032">
            <v>380</v>
          </cell>
          <cell r="C1032">
            <v>203</v>
          </cell>
          <cell r="D1032">
            <v>11</v>
          </cell>
          <cell r="E1032" t="str">
            <v>OPERATING SURPLUS, GROSS</v>
          </cell>
          <cell r="F1032">
            <v>12</v>
          </cell>
          <cell r="G1032">
            <v>1991</v>
          </cell>
          <cell r="H1032">
            <v>200</v>
          </cell>
          <cell r="I1032">
            <v>363638807417</v>
          </cell>
        </row>
        <row r="1033">
          <cell r="A1033" t="str">
            <v>Italy</v>
          </cell>
          <cell r="B1033">
            <v>380</v>
          </cell>
          <cell r="C1033">
            <v>203</v>
          </cell>
          <cell r="D1033">
            <v>11</v>
          </cell>
          <cell r="E1033" t="str">
            <v>OPERATING SURPLUS, GROSS</v>
          </cell>
          <cell r="F1033">
            <v>12</v>
          </cell>
          <cell r="G1033">
            <v>1992</v>
          </cell>
          <cell r="H1033">
            <v>200</v>
          </cell>
          <cell r="I1033">
            <v>385425947827</v>
          </cell>
        </row>
        <row r="1034">
          <cell r="A1034" t="str">
            <v>Italy</v>
          </cell>
          <cell r="B1034">
            <v>380</v>
          </cell>
          <cell r="C1034">
            <v>203</v>
          </cell>
          <cell r="D1034">
            <v>11</v>
          </cell>
          <cell r="E1034" t="str">
            <v>OPERATING SURPLUS, GROSS</v>
          </cell>
          <cell r="F1034">
            <v>12</v>
          </cell>
          <cell r="G1034">
            <v>1993</v>
          </cell>
          <cell r="H1034">
            <v>200</v>
          </cell>
          <cell r="I1034">
            <v>392729319775</v>
          </cell>
        </row>
        <row r="1035">
          <cell r="A1035" t="str">
            <v>Italy</v>
          </cell>
          <cell r="B1035">
            <v>380</v>
          </cell>
          <cell r="C1035">
            <v>203</v>
          </cell>
          <cell r="D1035">
            <v>11</v>
          </cell>
          <cell r="E1035" t="str">
            <v>OPERATING SURPLUS, GROSS</v>
          </cell>
          <cell r="F1035">
            <v>12</v>
          </cell>
          <cell r="G1035">
            <v>1994</v>
          </cell>
          <cell r="H1035">
            <v>200</v>
          </cell>
          <cell r="I1035">
            <v>424092094594</v>
          </cell>
        </row>
        <row r="1036">
          <cell r="A1036" t="str">
            <v>Italy</v>
          </cell>
          <cell r="B1036">
            <v>380</v>
          </cell>
          <cell r="C1036">
            <v>203</v>
          </cell>
          <cell r="D1036">
            <v>11</v>
          </cell>
          <cell r="E1036" t="str">
            <v>OPERATING SURPLUS, GROSS</v>
          </cell>
          <cell r="F1036">
            <v>12</v>
          </cell>
          <cell r="G1036">
            <v>1995</v>
          </cell>
          <cell r="H1036">
            <v>200</v>
          </cell>
          <cell r="I1036">
            <v>469637602194</v>
          </cell>
        </row>
        <row r="1037">
          <cell r="A1037" t="str">
            <v>Italy</v>
          </cell>
          <cell r="B1037">
            <v>380</v>
          </cell>
          <cell r="C1037">
            <v>203</v>
          </cell>
          <cell r="D1037">
            <v>11</v>
          </cell>
          <cell r="E1037" t="str">
            <v>OPERATING SURPLUS, GROSS</v>
          </cell>
          <cell r="F1037">
            <v>12</v>
          </cell>
          <cell r="G1037">
            <v>1996</v>
          </cell>
          <cell r="H1037">
            <v>200</v>
          </cell>
          <cell r="I1037">
            <v>502106342794</v>
          </cell>
        </row>
        <row r="1038">
          <cell r="A1038" t="str">
            <v>Italy</v>
          </cell>
          <cell r="B1038">
            <v>380</v>
          </cell>
          <cell r="C1038">
            <v>203</v>
          </cell>
          <cell r="D1038">
            <v>11</v>
          </cell>
          <cell r="E1038" t="str">
            <v>OPERATING SURPLUS, GROSS</v>
          </cell>
          <cell r="F1038">
            <v>12</v>
          </cell>
          <cell r="G1038">
            <v>1997</v>
          </cell>
          <cell r="H1038">
            <v>200</v>
          </cell>
          <cell r="I1038">
            <v>514426723326</v>
          </cell>
        </row>
        <row r="1039">
          <cell r="A1039" t="str">
            <v>Italy</v>
          </cell>
          <cell r="B1039">
            <v>380</v>
          </cell>
          <cell r="C1039">
            <v>203</v>
          </cell>
          <cell r="D1039">
            <v>11</v>
          </cell>
          <cell r="E1039" t="str">
            <v>OPERATING SURPLUS, GROSS</v>
          </cell>
          <cell r="F1039">
            <v>12</v>
          </cell>
          <cell r="G1039">
            <v>1998</v>
          </cell>
          <cell r="H1039">
            <v>200</v>
          </cell>
          <cell r="I1039">
            <v>526637471950</v>
          </cell>
        </row>
        <row r="1040">
          <cell r="A1040" t="str">
            <v>Italy</v>
          </cell>
          <cell r="B1040">
            <v>380</v>
          </cell>
          <cell r="C1040">
            <v>203</v>
          </cell>
          <cell r="D1040">
            <v>11</v>
          </cell>
          <cell r="E1040" t="str">
            <v>OPERATING SURPLUS, GROSS</v>
          </cell>
          <cell r="F1040">
            <v>12</v>
          </cell>
          <cell r="G1040">
            <v>1999</v>
          </cell>
          <cell r="H1040">
            <v>200</v>
          </cell>
          <cell r="I1040">
            <v>541218908593</v>
          </cell>
        </row>
        <row r="1041">
          <cell r="A1041" t="str">
            <v>Italy</v>
          </cell>
          <cell r="B1041">
            <v>380</v>
          </cell>
          <cell r="C1041">
            <v>203</v>
          </cell>
          <cell r="D1041">
            <v>11</v>
          </cell>
          <cell r="E1041" t="str">
            <v>OPERATING SURPLUS, GROSS</v>
          </cell>
          <cell r="F1041">
            <v>12</v>
          </cell>
          <cell r="G1041">
            <v>2000</v>
          </cell>
          <cell r="H1041">
            <v>200</v>
          </cell>
          <cell r="I1041">
            <v>573811325317</v>
          </cell>
        </row>
        <row r="1042">
          <cell r="A1042" t="str">
            <v>Italy</v>
          </cell>
          <cell r="B1042">
            <v>380</v>
          </cell>
          <cell r="C1042">
            <v>203</v>
          </cell>
          <cell r="D1042">
            <v>11</v>
          </cell>
          <cell r="E1042" t="str">
            <v>OPERATING SURPLUS, GROSS</v>
          </cell>
          <cell r="F1042">
            <v>12</v>
          </cell>
          <cell r="G1042">
            <v>2001</v>
          </cell>
          <cell r="H1042">
            <v>200</v>
          </cell>
          <cell r="I1042">
            <v>605836905260</v>
          </cell>
        </row>
        <row r="1043">
          <cell r="A1043" t="str">
            <v>Italy</v>
          </cell>
          <cell r="B1043">
            <v>380</v>
          </cell>
          <cell r="C1043">
            <v>203</v>
          </cell>
          <cell r="D1043">
            <v>11</v>
          </cell>
          <cell r="E1043" t="str">
            <v>OPERATING SURPLUS, GROSS</v>
          </cell>
          <cell r="F1043">
            <v>12</v>
          </cell>
          <cell r="G1043">
            <v>2002</v>
          </cell>
          <cell r="H1043">
            <v>200</v>
          </cell>
          <cell r="I1043">
            <v>619400386384</v>
          </cell>
        </row>
        <row r="1044">
          <cell r="A1044" t="str">
            <v>Italy</v>
          </cell>
          <cell r="B1044">
            <v>380</v>
          </cell>
          <cell r="C1044">
            <v>203</v>
          </cell>
          <cell r="D1044">
            <v>22</v>
          </cell>
          <cell r="E1044" t="str">
            <v>Taxes on production and imports, less Subsidies</v>
          </cell>
          <cell r="F1044">
            <v>12</v>
          </cell>
          <cell r="G1044">
            <v>1970</v>
          </cell>
          <cell r="H1044">
            <v>200</v>
          </cell>
          <cell r="I1044">
            <v>-109488863</v>
          </cell>
        </row>
        <row r="1045">
          <cell r="A1045" t="str">
            <v>Italy</v>
          </cell>
          <cell r="B1045">
            <v>380</v>
          </cell>
          <cell r="C1045">
            <v>203</v>
          </cell>
          <cell r="D1045">
            <v>22</v>
          </cell>
          <cell r="E1045" t="str">
            <v>Taxes on production and imports, less Subsidies</v>
          </cell>
          <cell r="F1045">
            <v>12</v>
          </cell>
          <cell r="G1045">
            <v>1971</v>
          </cell>
          <cell r="H1045">
            <v>200</v>
          </cell>
          <cell r="I1045">
            <v>-131696509</v>
          </cell>
        </row>
        <row r="1046">
          <cell r="A1046" t="str">
            <v>Italy</v>
          </cell>
          <cell r="B1046">
            <v>380</v>
          </cell>
          <cell r="C1046">
            <v>203</v>
          </cell>
          <cell r="D1046">
            <v>22</v>
          </cell>
          <cell r="E1046" t="str">
            <v>Taxes on production and imports, less Subsidies</v>
          </cell>
          <cell r="F1046">
            <v>12</v>
          </cell>
          <cell r="G1046">
            <v>1972</v>
          </cell>
          <cell r="H1046">
            <v>200</v>
          </cell>
          <cell r="I1046">
            <v>-101225552</v>
          </cell>
        </row>
        <row r="1047">
          <cell r="A1047" t="str">
            <v>Italy</v>
          </cell>
          <cell r="B1047">
            <v>380</v>
          </cell>
          <cell r="C1047">
            <v>203</v>
          </cell>
          <cell r="D1047">
            <v>22</v>
          </cell>
          <cell r="E1047" t="str">
            <v>Taxes on production and imports, less Subsidies</v>
          </cell>
          <cell r="F1047">
            <v>12</v>
          </cell>
          <cell r="G1047">
            <v>1973</v>
          </cell>
          <cell r="H1047">
            <v>200</v>
          </cell>
          <cell r="I1047">
            <v>-95544526</v>
          </cell>
        </row>
        <row r="1048">
          <cell r="A1048" t="str">
            <v>Italy</v>
          </cell>
          <cell r="B1048">
            <v>380</v>
          </cell>
          <cell r="C1048">
            <v>203</v>
          </cell>
          <cell r="D1048">
            <v>22</v>
          </cell>
          <cell r="E1048" t="str">
            <v>Taxes on production and imports, less Subsidies</v>
          </cell>
          <cell r="F1048">
            <v>12</v>
          </cell>
          <cell r="G1048">
            <v>1974</v>
          </cell>
          <cell r="H1048">
            <v>200</v>
          </cell>
          <cell r="I1048">
            <v>-110005320</v>
          </cell>
        </row>
        <row r="1049">
          <cell r="A1049" t="str">
            <v>Italy</v>
          </cell>
          <cell r="B1049">
            <v>380</v>
          </cell>
          <cell r="C1049">
            <v>203</v>
          </cell>
          <cell r="D1049">
            <v>22</v>
          </cell>
          <cell r="E1049" t="str">
            <v>Taxes on production and imports, less Subsidies</v>
          </cell>
          <cell r="F1049">
            <v>12</v>
          </cell>
          <cell r="G1049">
            <v>1975</v>
          </cell>
          <cell r="H1049">
            <v>200</v>
          </cell>
          <cell r="I1049">
            <v>-363069200</v>
          </cell>
        </row>
        <row r="1050">
          <cell r="A1050" t="str">
            <v>Italy</v>
          </cell>
          <cell r="B1050">
            <v>380</v>
          </cell>
          <cell r="C1050">
            <v>203</v>
          </cell>
          <cell r="D1050">
            <v>22</v>
          </cell>
          <cell r="E1050" t="str">
            <v>Taxes on production and imports, less Subsidies</v>
          </cell>
          <cell r="F1050">
            <v>12</v>
          </cell>
          <cell r="G1050">
            <v>1976</v>
          </cell>
          <cell r="H1050">
            <v>200</v>
          </cell>
          <cell r="I1050">
            <v>-419879459</v>
          </cell>
        </row>
        <row r="1051">
          <cell r="A1051" t="str">
            <v>Italy</v>
          </cell>
          <cell r="B1051">
            <v>380</v>
          </cell>
          <cell r="C1051">
            <v>203</v>
          </cell>
          <cell r="D1051">
            <v>22</v>
          </cell>
          <cell r="E1051" t="str">
            <v>Taxes on production and imports, less Subsidies</v>
          </cell>
          <cell r="F1051">
            <v>12</v>
          </cell>
          <cell r="G1051">
            <v>1977</v>
          </cell>
          <cell r="H1051">
            <v>200</v>
          </cell>
          <cell r="I1051">
            <v>-404902209</v>
          </cell>
        </row>
        <row r="1052">
          <cell r="A1052" t="str">
            <v>Italy</v>
          </cell>
          <cell r="B1052">
            <v>380</v>
          </cell>
          <cell r="C1052">
            <v>203</v>
          </cell>
          <cell r="D1052">
            <v>22</v>
          </cell>
          <cell r="E1052" t="str">
            <v>Taxes on production and imports, less Subsidies</v>
          </cell>
          <cell r="F1052">
            <v>12</v>
          </cell>
          <cell r="G1052">
            <v>1978</v>
          </cell>
          <cell r="H1052">
            <v>200</v>
          </cell>
          <cell r="I1052">
            <v>-601672287</v>
          </cell>
        </row>
        <row r="1053">
          <cell r="A1053" t="str">
            <v>Italy</v>
          </cell>
          <cell r="B1053">
            <v>380</v>
          </cell>
          <cell r="C1053">
            <v>203</v>
          </cell>
          <cell r="D1053">
            <v>22</v>
          </cell>
          <cell r="E1053" t="str">
            <v>Taxes on production and imports, less Subsidies</v>
          </cell>
          <cell r="F1053">
            <v>12</v>
          </cell>
          <cell r="G1053">
            <v>1979</v>
          </cell>
          <cell r="H1053">
            <v>200</v>
          </cell>
          <cell r="I1053">
            <v>-754027073</v>
          </cell>
        </row>
        <row r="1054">
          <cell r="A1054" t="str">
            <v>Italy</v>
          </cell>
          <cell r="B1054">
            <v>380</v>
          </cell>
          <cell r="C1054">
            <v>203</v>
          </cell>
          <cell r="D1054">
            <v>22</v>
          </cell>
          <cell r="E1054" t="str">
            <v>Taxes on production and imports, less Subsidies</v>
          </cell>
          <cell r="F1054">
            <v>12</v>
          </cell>
          <cell r="G1054">
            <v>1980</v>
          </cell>
          <cell r="H1054">
            <v>200</v>
          </cell>
          <cell r="I1054">
            <v>-1161614857</v>
          </cell>
        </row>
        <row r="1055">
          <cell r="A1055" t="str">
            <v>Italy</v>
          </cell>
          <cell r="B1055">
            <v>380</v>
          </cell>
          <cell r="C1055">
            <v>203</v>
          </cell>
          <cell r="D1055">
            <v>22</v>
          </cell>
          <cell r="E1055" t="str">
            <v>Taxes on production and imports, less Subsidies</v>
          </cell>
          <cell r="F1055">
            <v>12</v>
          </cell>
          <cell r="G1055">
            <v>1981</v>
          </cell>
          <cell r="H1055">
            <v>200</v>
          </cell>
          <cell r="I1055">
            <v>-1194254933</v>
          </cell>
        </row>
        <row r="1056">
          <cell r="A1056" t="str">
            <v>Italy</v>
          </cell>
          <cell r="B1056">
            <v>380</v>
          </cell>
          <cell r="C1056">
            <v>203</v>
          </cell>
          <cell r="D1056">
            <v>22</v>
          </cell>
          <cell r="E1056" t="str">
            <v>Taxes on production and imports, less Subsidies</v>
          </cell>
          <cell r="F1056">
            <v>12</v>
          </cell>
          <cell r="G1056">
            <v>1982</v>
          </cell>
          <cell r="H1056">
            <v>200</v>
          </cell>
          <cell r="I1056">
            <v>-1737051134</v>
          </cell>
        </row>
        <row r="1057">
          <cell r="A1057" t="str">
            <v>Italy</v>
          </cell>
          <cell r="B1057">
            <v>380</v>
          </cell>
          <cell r="C1057">
            <v>203</v>
          </cell>
          <cell r="D1057">
            <v>22</v>
          </cell>
          <cell r="E1057" t="str">
            <v>Taxes on production and imports, less Subsidies</v>
          </cell>
          <cell r="F1057">
            <v>12</v>
          </cell>
          <cell r="G1057">
            <v>1983</v>
          </cell>
          <cell r="H1057">
            <v>200</v>
          </cell>
          <cell r="I1057">
            <v>-2076776483</v>
          </cell>
        </row>
        <row r="1058">
          <cell r="A1058" t="str">
            <v>Italy</v>
          </cell>
          <cell r="B1058">
            <v>380</v>
          </cell>
          <cell r="C1058">
            <v>203</v>
          </cell>
          <cell r="D1058">
            <v>22</v>
          </cell>
          <cell r="E1058" t="str">
            <v>Taxes on production and imports, less Subsidies</v>
          </cell>
          <cell r="F1058">
            <v>12</v>
          </cell>
          <cell r="G1058">
            <v>1984</v>
          </cell>
          <cell r="H1058">
            <v>200</v>
          </cell>
          <cell r="I1058">
            <v>-2145723479</v>
          </cell>
        </row>
        <row r="1059">
          <cell r="A1059" t="str">
            <v>Italy</v>
          </cell>
          <cell r="B1059">
            <v>380</v>
          </cell>
          <cell r="C1059">
            <v>203</v>
          </cell>
          <cell r="D1059">
            <v>22</v>
          </cell>
          <cell r="E1059" t="str">
            <v>Taxes on production and imports, less Subsidies</v>
          </cell>
          <cell r="F1059">
            <v>12</v>
          </cell>
          <cell r="G1059">
            <v>1985</v>
          </cell>
          <cell r="H1059">
            <v>200</v>
          </cell>
          <cell r="I1059">
            <v>-1632003801</v>
          </cell>
        </row>
        <row r="1060">
          <cell r="A1060" t="str">
            <v>Italy</v>
          </cell>
          <cell r="B1060">
            <v>380</v>
          </cell>
          <cell r="C1060">
            <v>203</v>
          </cell>
          <cell r="D1060">
            <v>22</v>
          </cell>
          <cell r="E1060" t="str">
            <v>Taxes on production and imports, less Subsidies</v>
          </cell>
          <cell r="F1060">
            <v>12</v>
          </cell>
          <cell r="G1060">
            <v>1986</v>
          </cell>
          <cell r="H1060">
            <v>200</v>
          </cell>
          <cell r="I1060">
            <v>-2285889881</v>
          </cell>
        </row>
        <row r="1061">
          <cell r="A1061" t="str">
            <v>Italy</v>
          </cell>
          <cell r="B1061">
            <v>380</v>
          </cell>
          <cell r="C1061">
            <v>203</v>
          </cell>
          <cell r="D1061">
            <v>22</v>
          </cell>
          <cell r="E1061" t="str">
            <v>Taxes on production and imports, less Subsidies</v>
          </cell>
          <cell r="F1061">
            <v>12</v>
          </cell>
          <cell r="G1061">
            <v>1987</v>
          </cell>
          <cell r="H1061">
            <v>200</v>
          </cell>
          <cell r="I1061">
            <v>-2382312384</v>
          </cell>
        </row>
        <row r="1062">
          <cell r="A1062" t="str">
            <v>Italy</v>
          </cell>
          <cell r="B1062">
            <v>380</v>
          </cell>
          <cell r="C1062">
            <v>203</v>
          </cell>
          <cell r="D1062">
            <v>22</v>
          </cell>
          <cell r="E1062" t="str">
            <v>Taxes on production and imports, less Subsidies</v>
          </cell>
          <cell r="F1062">
            <v>12</v>
          </cell>
          <cell r="G1062">
            <v>1988</v>
          </cell>
          <cell r="H1062">
            <v>200</v>
          </cell>
          <cell r="I1062">
            <v>-918260367</v>
          </cell>
        </row>
        <row r="1063">
          <cell r="A1063" t="str">
            <v>Italy</v>
          </cell>
          <cell r="B1063">
            <v>380</v>
          </cell>
          <cell r="C1063">
            <v>203</v>
          </cell>
          <cell r="D1063">
            <v>22</v>
          </cell>
          <cell r="E1063" t="str">
            <v>Taxes on production and imports, less Subsidies</v>
          </cell>
          <cell r="F1063">
            <v>12</v>
          </cell>
          <cell r="G1063">
            <v>1989</v>
          </cell>
          <cell r="H1063">
            <v>200</v>
          </cell>
          <cell r="I1063">
            <v>-1309734696</v>
          </cell>
        </row>
        <row r="1064">
          <cell r="A1064" t="str">
            <v>Italy</v>
          </cell>
          <cell r="B1064">
            <v>380</v>
          </cell>
          <cell r="C1064">
            <v>203</v>
          </cell>
          <cell r="D1064">
            <v>22</v>
          </cell>
          <cell r="E1064" t="str">
            <v>Taxes on production and imports, less Subsidies</v>
          </cell>
          <cell r="F1064">
            <v>12</v>
          </cell>
          <cell r="G1064">
            <v>1990</v>
          </cell>
          <cell r="H1064">
            <v>200</v>
          </cell>
          <cell r="I1064">
            <v>-330532415</v>
          </cell>
        </row>
        <row r="1065">
          <cell r="A1065" t="str">
            <v>Italy</v>
          </cell>
          <cell r="B1065">
            <v>380</v>
          </cell>
          <cell r="C1065">
            <v>203</v>
          </cell>
          <cell r="D1065">
            <v>22</v>
          </cell>
          <cell r="E1065" t="str">
            <v>Taxes on production and imports, less Subsidies</v>
          </cell>
          <cell r="F1065">
            <v>12</v>
          </cell>
          <cell r="G1065">
            <v>1991</v>
          </cell>
          <cell r="H1065">
            <v>200</v>
          </cell>
          <cell r="I1065">
            <v>-467393494</v>
          </cell>
        </row>
        <row r="1066">
          <cell r="A1066" t="str">
            <v>Italy</v>
          </cell>
          <cell r="B1066">
            <v>380</v>
          </cell>
          <cell r="C1066">
            <v>203</v>
          </cell>
          <cell r="D1066">
            <v>22</v>
          </cell>
          <cell r="E1066" t="str">
            <v>Taxes on production and imports, less Subsidies</v>
          </cell>
          <cell r="F1066">
            <v>12</v>
          </cell>
          <cell r="G1066">
            <v>1992</v>
          </cell>
          <cell r="H1066">
            <v>200</v>
          </cell>
          <cell r="I1066">
            <v>-1293208075</v>
          </cell>
        </row>
        <row r="1067">
          <cell r="A1067" t="str">
            <v>Italy</v>
          </cell>
          <cell r="B1067">
            <v>380</v>
          </cell>
          <cell r="C1067">
            <v>203</v>
          </cell>
          <cell r="D1067">
            <v>22</v>
          </cell>
          <cell r="E1067" t="str">
            <v>Taxes on production and imports, less Subsidies</v>
          </cell>
          <cell r="F1067">
            <v>12</v>
          </cell>
          <cell r="G1067">
            <v>1993</v>
          </cell>
          <cell r="H1067">
            <v>200</v>
          </cell>
          <cell r="I1067">
            <v>6020338073</v>
          </cell>
        </row>
        <row r="1068">
          <cell r="A1068" t="str">
            <v>Italy</v>
          </cell>
          <cell r="B1068">
            <v>380</v>
          </cell>
          <cell r="C1068">
            <v>203</v>
          </cell>
          <cell r="D1068">
            <v>22</v>
          </cell>
          <cell r="E1068" t="str">
            <v>Taxes on production and imports, less Subsidies</v>
          </cell>
          <cell r="F1068">
            <v>12</v>
          </cell>
          <cell r="G1068">
            <v>1994</v>
          </cell>
          <cell r="H1068">
            <v>200</v>
          </cell>
          <cell r="I1068">
            <v>5996064598</v>
          </cell>
        </row>
        <row r="1069">
          <cell r="A1069" t="str">
            <v>Italy</v>
          </cell>
          <cell r="B1069">
            <v>380</v>
          </cell>
          <cell r="C1069">
            <v>203</v>
          </cell>
          <cell r="D1069">
            <v>22</v>
          </cell>
          <cell r="E1069" t="str">
            <v>Taxes on production and imports, less Subsidies</v>
          </cell>
          <cell r="F1069">
            <v>12</v>
          </cell>
          <cell r="G1069">
            <v>1995</v>
          </cell>
          <cell r="H1069">
            <v>200</v>
          </cell>
          <cell r="I1069">
            <v>6168044746</v>
          </cell>
        </row>
        <row r="1070">
          <cell r="A1070" t="str">
            <v>Italy</v>
          </cell>
          <cell r="B1070">
            <v>380</v>
          </cell>
          <cell r="C1070">
            <v>203</v>
          </cell>
          <cell r="D1070">
            <v>22</v>
          </cell>
          <cell r="E1070" t="str">
            <v>Taxes on production and imports, less Subsidies</v>
          </cell>
          <cell r="F1070">
            <v>12</v>
          </cell>
          <cell r="G1070">
            <v>1996</v>
          </cell>
          <cell r="H1070">
            <v>200</v>
          </cell>
          <cell r="I1070">
            <v>5970241753</v>
          </cell>
        </row>
        <row r="1071">
          <cell r="A1071" t="str">
            <v>Italy</v>
          </cell>
          <cell r="B1071">
            <v>380</v>
          </cell>
          <cell r="C1071">
            <v>203</v>
          </cell>
          <cell r="D1071">
            <v>22</v>
          </cell>
          <cell r="E1071" t="str">
            <v>Taxes on production and imports, less Subsidies</v>
          </cell>
          <cell r="F1071">
            <v>12</v>
          </cell>
          <cell r="G1071">
            <v>1997</v>
          </cell>
          <cell r="H1071">
            <v>200</v>
          </cell>
          <cell r="I1071">
            <v>8508627412</v>
          </cell>
        </row>
        <row r="1072">
          <cell r="A1072" t="str">
            <v>Italy</v>
          </cell>
          <cell r="B1072">
            <v>380</v>
          </cell>
          <cell r="C1072">
            <v>203</v>
          </cell>
          <cell r="D1072">
            <v>22</v>
          </cell>
          <cell r="E1072" t="str">
            <v>Taxes on production and imports, less Subsidies</v>
          </cell>
          <cell r="F1072">
            <v>12</v>
          </cell>
          <cell r="G1072">
            <v>1998</v>
          </cell>
          <cell r="H1072">
            <v>200</v>
          </cell>
          <cell r="I1072">
            <v>35578715778</v>
          </cell>
        </row>
        <row r="1073">
          <cell r="A1073" t="str">
            <v>Italy</v>
          </cell>
          <cell r="B1073">
            <v>380</v>
          </cell>
          <cell r="C1073">
            <v>203</v>
          </cell>
          <cell r="D1073">
            <v>22</v>
          </cell>
          <cell r="E1073" t="str">
            <v>Taxes on production and imports, less Subsidies</v>
          </cell>
          <cell r="F1073">
            <v>12</v>
          </cell>
          <cell r="G1073">
            <v>1999</v>
          </cell>
          <cell r="H1073">
            <v>200</v>
          </cell>
          <cell r="I1073">
            <v>31895345174</v>
          </cell>
        </row>
        <row r="1074">
          <cell r="A1074" t="str">
            <v>Italy</v>
          </cell>
          <cell r="B1074">
            <v>380</v>
          </cell>
          <cell r="C1074">
            <v>203</v>
          </cell>
          <cell r="D1074">
            <v>22</v>
          </cell>
          <cell r="E1074" t="str">
            <v>Taxes on production and imports, less Subsidies</v>
          </cell>
          <cell r="F1074">
            <v>12</v>
          </cell>
          <cell r="G1074">
            <v>2000</v>
          </cell>
          <cell r="H1074">
            <v>200</v>
          </cell>
          <cell r="I1074">
            <v>34250801799</v>
          </cell>
        </row>
        <row r="1075">
          <cell r="A1075" t="str">
            <v>Italy</v>
          </cell>
          <cell r="B1075">
            <v>380</v>
          </cell>
          <cell r="C1075">
            <v>203</v>
          </cell>
          <cell r="D1075">
            <v>22</v>
          </cell>
          <cell r="E1075" t="str">
            <v>Taxes on production and imports, less Subsidies</v>
          </cell>
          <cell r="F1075">
            <v>12</v>
          </cell>
          <cell r="G1075">
            <v>2001</v>
          </cell>
          <cell r="H1075">
            <v>200</v>
          </cell>
          <cell r="I1075">
            <v>35888589918</v>
          </cell>
        </row>
        <row r="1076">
          <cell r="A1076" t="str">
            <v>Italy</v>
          </cell>
          <cell r="B1076">
            <v>380</v>
          </cell>
          <cell r="C1076">
            <v>203</v>
          </cell>
          <cell r="D1076">
            <v>22</v>
          </cell>
          <cell r="E1076" t="str">
            <v>Taxes on production and imports, less Subsidies</v>
          </cell>
          <cell r="F1076">
            <v>12</v>
          </cell>
          <cell r="G1076">
            <v>2002</v>
          </cell>
          <cell r="H1076">
            <v>200</v>
          </cell>
          <cell r="I1076">
            <v>38410965413</v>
          </cell>
        </row>
        <row r="1077">
          <cell r="A1077" t="str">
            <v>Japan</v>
          </cell>
          <cell r="B1077">
            <v>392</v>
          </cell>
          <cell r="C1077">
            <v>201</v>
          </cell>
          <cell r="D1077">
            <v>13</v>
          </cell>
          <cell r="E1077" t="str">
            <v>Less: Financial intermediation services indirectly measured (FISIM) (only to be deducted if FISIM is not distributed to uses)</v>
          </cell>
          <cell r="F1077">
            <v>0</v>
          </cell>
          <cell r="G1077">
            <v>1960</v>
          </cell>
          <cell r="H1077">
            <v>20</v>
          </cell>
          <cell r="I1077">
            <v>542000000000</v>
          </cell>
        </row>
        <row r="1078">
          <cell r="A1078" t="str">
            <v>Japan</v>
          </cell>
          <cell r="B1078">
            <v>392</v>
          </cell>
          <cell r="C1078">
            <v>201</v>
          </cell>
          <cell r="D1078">
            <v>13</v>
          </cell>
          <cell r="E1078" t="str">
            <v>Less: Financial intermediation services indirectly measured (FISIM) (only to be deducted if FISIM is not distributed to uses)</v>
          </cell>
          <cell r="F1078">
            <v>0</v>
          </cell>
          <cell r="G1078">
            <v>1961</v>
          </cell>
          <cell r="H1078">
            <v>20</v>
          </cell>
          <cell r="I1078">
            <v>683000000000</v>
          </cell>
        </row>
        <row r="1079">
          <cell r="A1079" t="str">
            <v>Japan</v>
          </cell>
          <cell r="B1079">
            <v>392</v>
          </cell>
          <cell r="C1079">
            <v>201</v>
          </cell>
          <cell r="D1079">
            <v>13</v>
          </cell>
          <cell r="E1079" t="str">
            <v>Less: Financial intermediation services indirectly measured (FISIM) (only to be deducted if FISIM is not distributed to uses)</v>
          </cell>
          <cell r="F1079">
            <v>0</v>
          </cell>
          <cell r="G1079">
            <v>1962</v>
          </cell>
          <cell r="H1079">
            <v>20</v>
          </cell>
          <cell r="I1079">
            <v>900000000000</v>
          </cell>
        </row>
        <row r="1080">
          <cell r="A1080" t="str">
            <v>Japan</v>
          </cell>
          <cell r="B1080">
            <v>392</v>
          </cell>
          <cell r="C1080">
            <v>201</v>
          </cell>
          <cell r="D1080">
            <v>13</v>
          </cell>
          <cell r="E1080" t="str">
            <v>Less: Financial intermediation services indirectly measured (FISIM) (only to be deducted if FISIM is not distributed to uses)</v>
          </cell>
          <cell r="F1080">
            <v>0</v>
          </cell>
          <cell r="G1080">
            <v>1963</v>
          </cell>
          <cell r="H1080">
            <v>20</v>
          </cell>
          <cell r="I1080">
            <v>1053000000000</v>
          </cell>
        </row>
        <row r="1081">
          <cell r="A1081" t="str">
            <v>Japan</v>
          </cell>
          <cell r="B1081">
            <v>392</v>
          </cell>
          <cell r="C1081">
            <v>201</v>
          </cell>
          <cell r="D1081">
            <v>13</v>
          </cell>
          <cell r="E1081" t="str">
            <v>Less: Financial intermediation services indirectly measured (FISIM) (only to be deducted if FISIM is not distributed to uses)</v>
          </cell>
          <cell r="F1081">
            <v>0</v>
          </cell>
          <cell r="G1081">
            <v>1964</v>
          </cell>
          <cell r="H1081">
            <v>20</v>
          </cell>
          <cell r="I1081">
            <v>1237000000000</v>
          </cell>
        </row>
        <row r="1082">
          <cell r="A1082" t="str">
            <v>Japan</v>
          </cell>
          <cell r="B1082">
            <v>392</v>
          </cell>
          <cell r="C1082">
            <v>201</v>
          </cell>
          <cell r="D1082">
            <v>13</v>
          </cell>
          <cell r="E1082" t="str">
            <v>Less: Financial intermediation services indirectly measured (FISIM) (only to be deducted if FISIM is not distributed to uses)</v>
          </cell>
          <cell r="F1082">
            <v>0</v>
          </cell>
          <cell r="G1082">
            <v>1965</v>
          </cell>
          <cell r="H1082">
            <v>20</v>
          </cell>
          <cell r="I1082">
            <v>1381000000000</v>
          </cell>
        </row>
        <row r="1083">
          <cell r="A1083" t="str">
            <v>Japan</v>
          </cell>
          <cell r="B1083">
            <v>392</v>
          </cell>
          <cell r="C1083">
            <v>201</v>
          </cell>
          <cell r="D1083">
            <v>13</v>
          </cell>
          <cell r="E1083" t="str">
            <v>Less: Financial intermediation services indirectly measured (FISIM) (only to be deducted if FISIM is not distributed to uses)</v>
          </cell>
          <cell r="F1083">
            <v>0</v>
          </cell>
          <cell r="G1083">
            <v>1966</v>
          </cell>
          <cell r="H1083">
            <v>20</v>
          </cell>
          <cell r="I1083">
            <v>1525000000000</v>
          </cell>
        </row>
        <row r="1084">
          <cell r="A1084" t="str">
            <v>Japan</v>
          </cell>
          <cell r="B1084">
            <v>392</v>
          </cell>
          <cell r="C1084">
            <v>201</v>
          </cell>
          <cell r="D1084">
            <v>13</v>
          </cell>
          <cell r="E1084" t="str">
            <v>Less: Financial intermediation services indirectly measured (FISIM) (only to be deducted if FISIM is not distributed to uses)</v>
          </cell>
          <cell r="F1084">
            <v>0</v>
          </cell>
          <cell r="G1084">
            <v>1967</v>
          </cell>
          <cell r="H1084">
            <v>20</v>
          </cell>
          <cell r="I1084">
            <v>1757000000000</v>
          </cell>
        </row>
        <row r="1085">
          <cell r="A1085" t="str">
            <v>Japan</v>
          </cell>
          <cell r="B1085">
            <v>392</v>
          </cell>
          <cell r="C1085">
            <v>201</v>
          </cell>
          <cell r="D1085">
            <v>13</v>
          </cell>
          <cell r="E1085" t="str">
            <v>Less: Financial intermediation services indirectly measured (FISIM) (only to be deducted if FISIM is not distributed to uses)</v>
          </cell>
          <cell r="F1085">
            <v>0</v>
          </cell>
          <cell r="G1085">
            <v>1968</v>
          </cell>
          <cell r="H1085">
            <v>20</v>
          </cell>
          <cell r="I1085">
            <v>2058000000000</v>
          </cell>
        </row>
        <row r="1086">
          <cell r="A1086" t="str">
            <v>Japan</v>
          </cell>
          <cell r="B1086">
            <v>392</v>
          </cell>
          <cell r="C1086">
            <v>201</v>
          </cell>
          <cell r="D1086">
            <v>13</v>
          </cell>
          <cell r="E1086" t="str">
            <v>Less: Financial intermediation services indirectly measured (FISIM) (only to be deducted if FISIM is not distributed to uses)</v>
          </cell>
          <cell r="F1086">
            <v>0</v>
          </cell>
          <cell r="G1086">
            <v>1969</v>
          </cell>
          <cell r="H1086">
            <v>20</v>
          </cell>
          <cell r="I1086">
            <v>2437000000000</v>
          </cell>
        </row>
        <row r="1087">
          <cell r="A1087" t="str">
            <v>Japan</v>
          </cell>
          <cell r="B1087">
            <v>392</v>
          </cell>
          <cell r="C1087">
            <v>201</v>
          </cell>
          <cell r="D1087">
            <v>13</v>
          </cell>
          <cell r="E1087" t="str">
            <v>Less: Financial intermediation services indirectly measured (FISIM) (only to be deducted if FISIM is not distributed to uses)</v>
          </cell>
          <cell r="F1087">
            <v>0</v>
          </cell>
          <cell r="G1087">
            <v>1970</v>
          </cell>
          <cell r="H1087">
            <v>20</v>
          </cell>
          <cell r="I1087">
            <v>2822000000000</v>
          </cell>
        </row>
        <row r="1088">
          <cell r="A1088" t="str">
            <v>Japan</v>
          </cell>
          <cell r="B1088">
            <v>392</v>
          </cell>
          <cell r="C1088">
            <v>201</v>
          </cell>
          <cell r="D1088">
            <v>13</v>
          </cell>
          <cell r="E1088" t="str">
            <v>Less: Financial intermediation services indirectly measured (FISIM) (only to be deducted if FISIM is not distributed to uses)</v>
          </cell>
          <cell r="F1088">
            <v>0</v>
          </cell>
          <cell r="G1088">
            <v>1970</v>
          </cell>
          <cell r="H1088">
            <v>100</v>
          </cell>
          <cell r="I1088">
            <v>2513991222257.4399</v>
          </cell>
        </row>
        <row r="1089">
          <cell r="A1089" t="str">
            <v>Japan</v>
          </cell>
          <cell r="B1089">
            <v>392</v>
          </cell>
          <cell r="C1089">
            <v>201</v>
          </cell>
          <cell r="D1089">
            <v>13</v>
          </cell>
          <cell r="E1089" t="str">
            <v>Less: Financial intermediation services indirectly measured (FISIM) (only to be deducted if FISIM is not distributed to uses)</v>
          </cell>
          <cell r="F1089">
            <v>0</v>
          </cell>
          <cell r="G1089">
            <v>1971</v>
          </cell>
          <cell r="H1089">
            <v>100</v>
          </cell>
          <cell r="I1089">
            <v>3001734026717.3701</v>
          </cell>
        </row>
        <row r="1090">
          <cell r="A1090" t="str">
            <v>Japan</v>
          </cell>
          <cell r="B1090">
            <v>392</v>
          </cell>
          <cell r="C1090">
            <v>201</v>
          </cell>
          <cell r="D1090">
            <v>13</v>
          </cell>
          <cell r="E1090" t="str">
            <v>Less: Financial intermediation services indirectly measured (FISIM) (only to be deducted if FISIM is not distributed to uses)</v>
          </cell>
          <cell r="F1090">
            <v>0</v>
          </cell>
          <cell r="G1090">
            <v>1972</v>
          </cell>
          <cell r="H1090">
            <v>100</v>
          </cell>
          <cell r="I1090">
            <v>3407072795720.6099</v>
          </cell>
        </row>
        <row r="1091">
          <cell r="A1091" t="str">
            <v>Japan</v>
          </cell>
          <cell r="B1091">
            <v>392</v>
          </cell>
          <cell r="C1091">
            <v>201</v>
          </cell>
          <cell r="D1091">
            <v>13</v>
          </cell>
          <cell r="E1091" t="str">
            <v>Less: Financial intermediation services indirectly measured (FISIM) (only to be deducted if FISIM is not distributed to uses)</v>
          </cell>
          <cell r="F1091">
            <v>0</v>
          </cell>
          <cell r="G1091">
            <v>1973</v>
          </cell>
          <cell r="H1091">
            <v>100</v>
          </cell>
          <cell r="I1091">
            <v>4396188477532.2402</v>
          </cell>
        </row>
        <row r="1092">
          <cell r="A1092" t="str">
            <v>Japan</v>
          </cell>
          <cell r="B1092">
            <v>392</v>
          </cell>
          <cell r="C1092">
            <v>201</v>
          </cell>
          <cell r="D1092">
            <v>13</v>
          </cell>
          <cell r="E1092" t="str">
            <v>Less: Financial intermediation services indirectly measured (FISIM) (only to be deducted if FISIM is not distributed to uses)</v>
          </cell>
          <cell r="F1092">
            <v>0</v>
          </cell>
          <cell r="G1092">
            <v>1974</v>
          </cell>
          <cell r="H1092">
            <v>100</v>
          </cell>
          <cell r="I1092">
            <v>5788148535922.4805</v>
          </cell>
        </row>
        <row r="1093">
          <cell r="A1093" t="str">
            <v>Japan</v>
          </cell>
          <cell r="B1093">
            <v>392</v>
          </cell>
          <cell r="C1093">
            <v>201</v>
          </cell>
          <cell r="D1093">
            <v>13</v>
          </cell>
          <cell r="E1093" t="str">
            <v>Less: Financial intermediation services indirectly measured (FISIM) (only to be deducted if FISIM is not distributed to uses)</v>
          </cell>
          <cell r="F1093">
            <v>0</v>
          </cell>
          <cell r="G1093">
            <v>1975</v>
          </cell>
          <cell r="H1093">
            <v>100</v>
          </cell>
          <cell r="I1093">
            <v>6243196982530.9502</v>
          </cell>
        </row>
        <row r="1094">
          <cell r="A1094" t="str">
            <v>Japan</v>
          </cell>
          <cell r="B1094">
            <v>392</v>
          </cell>
          <cell r="C1094">
            <v>201</v>
          </cell>
          <cell r="D1094">
            <v>13</v>
          </cell>
          <cell r="E1094" t="str">
            <v>Less: Financial intermediation services indirectly measured (FISIM) (only to be deducted if FISIM is not distributed to uses)</v>
          </cell>
          <cell r="F1094">
            <v>0</v>
          </cell>
          <cell r="G1094">
            <v>1976</v>
          </cell>
          <cell r="H1094">
            <v>100</v>
          </cell>
          <cell r="I1094">
            <v>6727465454685.1396</v>
          </cell>
        </row>
        <row r="1095">
          <cell r="A1095" t="str">
            <v>Japan</v>
          </cell>
          <cell r="B1095">
            <v>392</v>
          </cell>
          <cell r="C1095">
            <v>201</v>
          </cell>
          <cell r="D1095">
            <v>13</v>
          </cell>
          <cell r="E1095" t="str">
            <v>Less: Financial intermediation services indirectly measured (FISIM) (only to be deducted if FISIM is not distributed to uses)</v>
          </cell>
          <cell r="F1095">
            <v>0</v>
          </cell>
          <cell r="G1095">
            <v>1977</v>
          </cell>
          <cell r="H1095">
            <v>100</v>
          </cell>
          <cell r="I1095">
            <v>7150532226992.04</v>
          </cell>
        </row>
        <row r="1096">
          <cell r="A1096" t="str">
            <v>Japan</v>
          </cell>
          <cell r="B1096">
            <v>392</v>
          </cell>
          <cell r="C1096">
            <v>201</v>
          </cell>
          <cell r="D1096">
            <v>13</v>
          </cell>
          <cell r="E1096" t="str">
            <v>Less: Financial intermediation services indirectly measured (FISIM) (only to be deducted if FISIM is not distributed to uses)</v>
          </cell>
          <cell r="F1096">
            <v>0</v>
          </cell>
          <cell r="G1096">
            <v>1978</v>
          </cell>
          <cell r="H1096">
            <v>100</v>
          </cell>
          <cell r="I1096">
            <v>7707939848454.29</v>
          </cell>
        </row>
        <row r="1097">
          <cell r="A1097" t="str">
            <v>Japan</v>
          </cell>
          <cell r="B1097">
            <v>392</v>
          </cell>
          <cell r="C1097">
            <v>201</v>
          </cell>
          <cell r="D1097">
            <v>13</v>
          </cell>
          <cell r="E1097" t="str">
            <v>Less: Financial intermediation services indirectly measured (FISIM) (only to be deducted if FISIM is not distributed to uses)</v>
          </cell>
          <cell r="F1097">
            <v>0</v>
          </cell>
          <cell r="G1097">
            <v>1979</v>
          </cell>
          <cell r="H1097">
            <v>100</v>
          </cell>
          <cell r="I1097">
            <v>8675942280100.2598</v>
          </cell>
        </row>
        <row r="1098">
          <cell r="A1098" t="str">
            <v>Japan</v>
          </cell>
          <cell r="B1098">
            <v>392</v>
          </cell>
          <cell r="C1098">
            <v>201</v>
          </cell>
          <cell r="D1098">
            <v>13</v>
          </cell>
          <cell r="E1098" t="str">
            <v>Less: Financial intermediation services indirectly measured (FISIM) (only to be deducted if FISIM is not distributed to uses)</v>
          </cell>
          <cell r="F1098">
            <v>0</v>
          </cell>
          <cell r="G1098">
            <v>1980</v>
          </cell>
          <cell r="H1098">
            <v>100</v>
          </cell>
          <cell r="I1098">
            <v>9276200000000</v>
          </cell>
        </row>
        <row r="1099">
          <cell r="A1099" t="str">
            <v>Japan</v>
          </cell>
          <cell r="B1099">
            <v>392</v>
          </cell>
          <cell r="C1099">
            <v>201</v>
          </cell>
          <cell r="D1099">
            <v>13</v>
          </cell>
          <cell r="E1099" t="str">
            <v>Less: Financial intermediation services indirectly measured (FISIM) (only to be deducted if FISIM is not distributed to uses)</v>
          </cell>
          <cell r="F1099">
            <v>0</v>
          </cell>
          <cell r="G1099">
            <v>1981</v>
          </cell>
          <cell r="H1099">
            <v>100</v>
          </cell>
          <cell r="I1099">
            <v>8791000000000</v>
          </cell>
        </row>
        <row r="1100">
          <cell r="A1100" t="str">
            <v>Japan</v>
          </cell>
          <cell r="B1100">
            <v>392</v>
          </cell>
          <cell r="C1100">
            <v>201</v>
          </cell>
          <cell r="D1100">
            <v>13</v>
          </cell>
          <cell r="E1100" t="str">
            <v>Less: Financial intermediation services indirectly measured (FISIM) (only to be deducted if FISIM is not distributed to uses)</v>
          </cell>
          <cell r="F1100">
            <v>0</v>
          </cell>
          <cell r="G1100">
            <v>1982</v>
          </cell>
          <cell r="H1100">
            <v>100</v>
          </cell>
          <cell r="I1100">
            <v>10181000000000</v>
          </cell>
        </row>
        <row r="1101">
          <cell r="A1101" t="str">
            <v>Japan</v>
          </cell>
          <cell r="B1101">
            <v>392</v>
          </cell>
          <cell r="C1101">
            <v>201</v>
          </cell>
          <cell r="D1101">
            <v>13</v>
          </cell>
          <cell r="E1101" t="str">
            <v>Less: Financial intermediation services indirectly measured (FISIM) (only to be deducted if FISIM is not distributed to uses)</v>
          </cell>
          <cell r="F1101">
            <v>0</v>
          </cell>
          <cell r="G1101">
            <v>1983</v>
          </cell>
          <cell r="H1101">
            <v>100</v>
          </cell>
          <cell r="I1101">
            <v>11203200000000</v>
          </cell>
        </row>
        <row r="1102">
          <cell r="A1102" t="str">
            <v>Japan</v>
          </cell>
          <cell r="B1102">
            <v>392</v>
          </cell>
          <cell r="C1102">
            <v>201</v>
          </cell>
          <cell r="D1102">
            <v>13</v>
          </cell>
          <cell r="E1102" t="str">
            <v>Less: Financial intermediation services indirectly measured (FISIM) (only to be deducted if FISIM is not distributed to uses)</v>
          </cell>
          <cell r="F1102">
            <v>0</v>
          </cell>
          <cell r="G1102">
            <v>1984</v>
          </cell>
          <cell r="H1102">
            <v>100</v>
          </cell>
          <cell r="I1102">
            <v>11823700000000</v>
          </cell>
        </row>
        <row r="1103">
          <cell r="A1103" t="str">
            <v>Japan</v>
          </cell>
          <cell r="B1103">
            <v>392</v>
          </cell>
          <cell r="C1103">
            <v>201</v>
          </cell>
          <cell r="D1103">
            <v>13</v>
          </cell>
          <cell r="E1103" t="str">
            <v>Less: Financial intermediation services indirectly measured (FISIM) (only to be deducted if FISIM is not distributed to uses)</v>
          </cell>
          <cell r="F1103">
            <v>0</v>
          </cell>
          <cell r="G1103">
            <v>1985</v>
          </cell>
          <cell r="H1103">
            <v>100</v>
          </cell>
          <cell r="I1103">
            <v>12651800000000</v>
          </cell>
        </row>
        <row r="1104">
          <cell r="A1104" t="str">
            <v>Japan</v>
          </cell>
          <cell r="B1104">
            <v>392</v>
          </cell>
          <cell r="C1104">
            <v>201</v>
          </cell>
          <cell r="D1104">
            <v>13</v>
          </cell>
          <cell r="E1104" t="str">
            <v>Less: Financial intermediation services indirectly measured (FISIM) (only to be deducted if FISIM is not distributed to uses)</v>
          </cell>
          <cell r="F1104">
            <v>0</v>
          </cell>
          <cell r="G1104">
            <v>1986</v>
          </cell>
          <cell r="H1104">
            <v>100</v>
          </cell>
          <cell r="I1104">
            <v>12770600000000</v>
          </cell>
        </row>
        <row r="1105">
          <cell r="A1105" t="str">
            <v>Japan</v>
          </cell>
          <cell r="B1105">
            <v>392</v>
          </cell>
          <cell r="C1105">
            <v>201</v>
          </cell>
          <cell r="D1105">
            <v>13</v>
          </cell>
          <cell r="E1105" t="str">
            <v>Less: Financial intermediation services indirectly measured (FISIM) (only to be deducted if FISIM is not distributed to uses)</v>
          </cell>
          <cell r="F1105">
            <v>0</v>
          </cell>
          <cell r="G1105">
            <v>1987</v>
          </cell>
          <cell r="H1105">
            <v>100</v>
          </cell>
          <cell r="I1105">
            <v>15343600000000</v>
          </cell>
        </row>
        <row r="1106">
          <cell r="A1106" t="str">
            <v>Japan</v>
          </cell>
          <cell r="B1106">
            <v>392</v>
          </cell>
          <cell r="C1106">
            <v>201</v>
          </cell>
          <cell r="D1106">
            <v>13</v>
          </cell>
          <cell r="E1106" t="str">
            <v>Less: Financial intermediation services indirectly measured (FISIM) (only to be deducted if FISIM is not distributed to uses)</v>
          </cell>
          <cell r="F1106">
            <v>0</v>
          </cell>
          <cell r="G1106">
            <v>1988</v>
          </cell>
          <cell r="H1106">
            <v>100</v>
          </cell>
          <cell r="I1106">
            <v>15873300000000</v>
          </cell>
        </row>
        <row r="1107">
          <cell r="A1107" t="str">
            <v>Japan</v>
          </cell>
          <cell r="B1107">
            <v>392</v>
          </cell>
          <cell r="C1107">
            <v>201</v>
          </cell>
          <cell r="D1107">
            <v>13</v>
          </cell>
          <cell r="E1107" t="str">
            <v>Less: Financial intermediation services indirectly measured (FISIM) (only to be deducted if FISIM is not distributed to uses)</v>
          </cell>
          <cell r="F1107">
            <v>0</v>
          </cell>
          <cell r="G1107">
            <v>1989</v>
          </cell>
          <cell r="H1107">
            <v>100</v>
          </cell>
          <cell r="I1107">
            <v>17280900000000</v>
          </cell>
        </row>
        <row r="1108">
          <cell r="A1108" t="str">
            <v>Japan</v>
          </cell>
          <cell r="B1108">
            <v>392</v>
          </cell>
          <cell r="C1108">
            <v>201</v>
          </cell>
          <cell r="D1108">
            <v>13</v>
          </cell>
          <cell r="E1108" t="str">
            <v>Less: Financial intermediation services indirectly measured (FISIM) (only to be deducted if FISIM is not distributed to uses)</v>
          </cell>
          <cell r="F1108">
            <v>0</v>
          </cell>
          <cell r="G1108">
            <v>1990</v>
          </cell>
          <cell r="H1108">
            <v>100</v>
          </cell>
          <cell r="I1108">
            <v>15450000000000</v>
          </cell>
        </row>
        <row r="1109">
          <cell r="A1109" t="str">
            <v>Japan</v>
          </cell>
          <cell r="B1109">
            <v>392</v>
          </cell>
          <cell r="C1109">
            <v>201</v>
          </cell>
          <cell r="D1109">
            <v>13</v>
          </cell>
          <cell r="E1109" t="str">
            <v>Less: Financial intermediation services indirectly measured (FISIM) (only to be deducted if FISIM is not distributed to uses)</v>
          </cell>
          <cell r="F1109">
            <v>0</v>
          </cell>
          <cell r="G1109">
            <v>1991</v>
          </cell>
          <cell r="H1109">
            <v>100</v>
          </cell>
          <cell r="I1109">
            <v>15028200000000</v>
          </cell>
        </row>
        <row r="1110">
          <cell r="A1110" t="str">
            <v>Japan</v>
          </cell>
          <cell r="B1110">
            <v>392</v>
          </cell>
          <cell r="C1110">
            <v>201</v>
          </cell>
          <cell r="D1110">
            <v>13</v>
          </cell>
          <cell r="E1110" t="str">
            <v>Less: Financial intermediation services indirectly measured (FISIM) (only to be deducted if FISIM is not distributed to uses)</v>
          </cell>
          <cell r="F1110">
            <v>0</v>
          </cell>
          <cell r="G1110">
            <v>1992</v>
          </cell>
          <cell r="H1110">
            <v>100</v>
          </cell>
          <cell r="I1110">
            <v>17863700000000</v>
          </cell>
        </row>
        <row r="1111">
          <cell r="A1111" t="str">
            <v>Japan</v>
          </cell>
          <cell r="B1111">
            <v>392</v>
          </cell>
          <cell r="C1111">
            <v>201</v>
          </cell>
          <cell r="D1111">
            <v>13</v>
          </cell>
          <cell r="E1111" t="str">
            <v>Less: Financial intermediation services indirectly measured (FISIM) (only to be deducted if FISIM is not distributed to uses)</v>
          </cell>
          <cell r="F1111">
            <v>0</v>
          </cell>
          <cell r="G1111">
            <v>1993</v>
          </cell>
          <cell r="H1111">
            <v>100</v>
          </cell>
          <cell r="I1111">
            <v>18935000000000</v>
          </cell>
        </row>
        <row r="1112">
          <cell r="A1112" t="str">
            <v>Japan</v>
          </cell>
          <cell r="B1112">
            <v>392</v>
          </cell>
          <cell r="C1112">
            <v>201</v>
          </cell>
          <cell r="D1112">
            <v>13</v>
          </cell>
          <cell r="E1112" t="str">
            <v>Less: Financial intermediation services indirectly measured (FISIM) (only to be deducted if FISIM is not distributed to uses)</v>
          </cell>
          <cell r="F1112">
            <v>0</v>
          </cell>
          <cell r="G1112">
            <v>1994</v>
          </cell>
          <cell r="H1112">
            <v>100</v>
          </cell>
          <cell r="I1112">
            <v>20532100000000</v>
          </cell>
        </row>
        <row r="1113">
          <cell r="A1113" t="str">
            <v>Japan</v>
          </cell>
          <cell r="B1113">
            <v>392</v>
          </cell>
          <cell r="C1113">
            <v>201</v>
          </cell>
          <cell r="D1113">
            <v>13</v>
          </cell>
          <cell r="E1113" t="str">
            <v>Less: Financial intermediation services indirectly measured (FISIM) (only to be deducted if FISIM is not distributed to uses)</v>
          </cell>
          <cell r="F1113">
            <v>0</v>
          </cell>
          <cell r="G1113">
            <v>1995</v>
          </cell>
          <cell r="H1113">
            <v>100</v>
          </cell>
          <cell r="I1113">
            <v>23802000000000</v>
          </cell>
        </row>
        <row r="1114">
          <cell r="A1114" t="str">
            <v>Japan</v>
          </cell>
          <cell r="B1114">
            <v>392</v>
          </cell>
          <cell r="C1114">
            <v>201</v>
          </cell>
          <cell r="D1114">
            <v>13</v>
          </cell>
          <cell r="E1114" t="str">
            <v>Less: Financial intermediation services indirectly measured (FISIM) (only to be deducted if FISIM is not distributed to uses)</v>
          </cell>
          <cell r="F1114">
            <v>0</v>
          </cell>
          <cell r="G1114">
            <v>1996</v>
          </cell>
          <cell r="H1114">
            <v>100</v>
          </cell>
          <cell r="I1114">
            <v>22807000000000</v>
          </cell>
        </row>
        <row r="1115">
          <cell r="A1115" t="str">
            <v>Japan</v>
          </cell>
          <cell r="B1115">
            <v>392</v>
          </cell>
          <cell r="C1115">
            <v>201</v>
          </cell>
          <cell r="D1115">
            <v>13</v>
          </cell>
          <cell r="E1115" t="str">
            <v>Less: Financial intermediation services indirectly measured (FISIM) (only to be deducted if FISIM is not distributed to uses)</v>
          </cell>
          <cell r="F1115">
            <v>0</v>
          </cell>
          <cell r="G1115">
            <v>1997</v>
          </cell>
          <cell r="H1115">
            <v>100</v>
          </cell>
          <cell r="I1115">
            <v>24682100000000</v>
          </cell>
        </row>
        <row r="1116">
          <cell r="A1116" t="str">
            <v>Japan</v>
          </cell>
          <cell r="B1116">
            <v>392</v>
          </cell>
          <cell r="C1116">
            <v>201</v>
          </cell>
          <cell r="D1116">
            <v>13</v>
          </cell>
          <cell r="E1116" t="str">
            <v>Less: Financial intermediation services indirectly measured (FISIM) (only to be deducted if FISIM is not distributed to uses)</v>
          </cell>
          <cell r="F1116">
            <v>0</v>
          </cell>
          <cell r="G1116">
            <v>1998</v>
          </cell>
          <cell r="H1116">
            <v>100</v>
          </cell>
          <cell r="I1116">
            <v>24278500000000</v>
          </cell>
        </row>
        <row r="1117">
          <cell r="A1117" t="str">
            <v>Japan</v>
          </cell>
          <cell r="B1117">
            <v>392</v>
          </cell>
          <cell r="C1117">
            <v>201</v>
          </cell>
          <cell r="D1117">
            <v>13</v>
          </cell>
          <cell r="E1117" t="str">
            <v>Less: Financial intermediation services indirectly measured (FISIM) (only to be deducted if FISIM is not distributed to uses)</v>
          </cell>
          <cell r="F1117">
            <v>0</v>
          </cell>
          <cell r="G1117">
            <v>1999</v>
          </cell>
          <cell r="H1117">
            <v>100</v>
          </cell>
          <cell r="I1117">
            <v>23850400000000</v>
          </cell>
        </row>
        <row r="1118">
          <cell r="A1118" t="str">
            <v>Japan</v>
          </cell>
          <cell r="B1118">
            <v>392</v>
          </cell>
          <cell r="C1118">
            <v>201</v>
          </cell>
          <cell r="D1118">
            <v>13</v>
          </cell>
          <cell r="E1118" t="str">
            <v>Less: Financial intermediation services indirectly measured (FISIM) (only to be deducted if FISIM is not distributed to uses)</v>
          </cell>
          <cell r="F1118">
            <v>0</v>
          </cell>
          <cell r="G1118">
            <v>2000</v>
          </cell>
          <cell r="H1118">
            <v>100</v>
          </cell>
          <cell r="I1118">
            <v>23204100000000</v>
          </cell>
        </row>
        <row r="1119">
          <cell r="A1119" t="str">
            <v>Japan</v>
          </cell>
          <cell r="B1119">
            <v>392</v>
          </cell>
          <cell r="C1119">
            <v>201</v>
          </cell>
          <cell r="D1119">
            <v>13</v>
          </cell>
          <cell r="E1119" t="str">
            <v>Less: Financial intermediation services indirectly measured (FISIM) (only to be deducted if FISIM is not distributed to uses)</v>
          </cell>
          <cell r="F1119">
            <v>0</v>
          </cell>
          <cell r="G1119">
            <v>2001</v>
          </cell>
          <cell r="H1119">
            <v>100</v>
          </cell>
          <cell r="I1119">
            <v>25777800000000</v>
          </cell>
        </row>
        <row r="1120">
          <cell r="A1120" t="str">
            <v>Japan</v>
          </cell>
          <cell r="B1120">
            <v>392</v>
          </cell>
          <cell r="C1120">
            <v>201</v>
          </cell>
          <cell r="D1120">
            <v>13</v>
          </cell>
          <cell r="E1120" t="str">
            <v>Less: Financial intermediation services indirectly measured (FISIM) (only to be deducted if FISIM is not distributed to uses)</v>
          </cell>
          <cell r="F1120">
            <v>0</v>
          </cell>
          <cell r="G1120">
            <v>2002</v>
          </cell>
          <cell r="H1120">
            <v>100</v>
          </cell>
          <cell r="I1120">
            <v>26815100000000</v>
          </cell>
        </row>
        <row r="1121">
          <cell r="A1121" t="str">
            <v>Japan</v>
          </cell>
          <cell r="B1121">
            <v>392</v>
          </cell>
          <cell r="C1121">
            <v>203</v>
          </cell>
          <cell r="D1121">
            <v>3</v>
          </cell>
          <cell r="E1121" t="str">
            <v>Equals: VALUE ADDED, GROSS, at basic prices</v>
          </cell>
          <cell r="F1121">
            <v>12</v>
          </cell>
          <cell r="G1121">
            <v>1980</v>
          </cell>
          <cell r="H1121">
            <v>100</v>
          </cell>
          <cell r="I1121">
            <v>250979500000000</v>
          </cell>
        </row>
        <row r="1122">
          <cell r="A1122" t="str">
            <v>Japan</v>
          </cell>
          <cell r="B1122">
            <v>392</v>
          </cell>
          <cell r="C1122">
            <v>203</v>
          </cell>
          <cell r="D1122">
            <v>3</v>
          </cell>
          <cell r="E1122" t="str">
            <v>Equals: VALUE ADDED, GROSS, at basic prices</v>
          </cell>
          <cell r="F1122">
            <v>12</v>
          </cell>
          <cell r="G1122">
            <v>1981</v>
          </cell>
          <cell r="H1122">
            <v>100</v>
          </cell>
          <cell r="I1122">
            <v>268246200000000</v>
          </cell>
        </row>
        <row r="1123">
          <cell r="A1123" t="str">
            <v>Japan</v>
          </cell>
          <cell r="B1123">
            <v>392</v>
          </cell>
          <cell r="C1123">
            <v>203</v>
          </cell>
          <cell r="D1123">
            <v>3</v>
          </cell>
          <cell r="E1123" t="str">
            <v>Equals: VALUE ADDED, GROSS, at basic prices</v>
          </cell>
          <cell r="F1123">
            <v>12</v>
          </cell>
          <cell r="G1123">
            <v>1982</v>
          </cell>
          <cell r="H1123">
            <v>100</v>
          </cell>
          <cell r="I1123">
            <v>282253400000000</v>
          </cell>
        </row>
        <row r="1124">
          <cell r="A1124" t="str">
            <v>Japan</v>
          </cell>
          <cell r="B1124">
            <v>392</v>
          </cell>
          <cell r="C1124">
            <v>203</v>
          </cell>
          <cell r="D1124">
            <v>3</v>
          </cell>
          <cell r="E1124" t="str">
            <v>Equals: VALUE ADDED, GROSS, at basic prices</v>
          </cell>
          <cell r="F1124">
            <v>12</v>
          </cell>
          <cell r="G1124">
            <v>1983</v>
          </cell>
          <cell r="H1124">
            <v>100</v>
          </cell>
          <cell r="I1124">
            <v>294087800000000</v>
          </cell>
        </row>
        <row r="1125">
          <cell r="A1125" t="str">
            <v>Japan</v>
          </cell>
          <cell r="B1125">
            <v>392</v>
          </cell>
          <cell r="C1125">
            <v>203</v>
          </cell>
          <cell r="D1125">
            <v>3</v>
          </cell>
          <cell r="E1125" t="str">
            <v>Equals: VALUE ADDED, GROSS, at basic prices</v>
          </cell>
          <cell r="F1125">
            <v>12</v>
          </cell>
          <cell r="G1125">
            <v>1984</v>
          </cell>
          <cell r="H1125">
            <v>100</v>
          </cell>
          <cell r="I1125">
            <v>312710000000000</v>
          </cell>
        </row>
        <row r="1126">
          <cell r="A1126" t="str">
            <v>Japan</v>
          </cell>
          <cell r="B1126">
            <v>392</v>
          </cell>
          <cell r="C1126">
            <v>203</v>
          </cell>
          <cell r="D1126">
            <v>3</v>
          </cell>
          <cell r="E1126" t="str">
            <v>Equals: VALUE ADDED, GROSS, at basic prices</v>
          </cell>
          <cell r="F1126">
            <v>12</v>
          </cell>
          <cell r="G1126">
            <v>1985</v>
          </cell>
          <cell r="H1126">
            <v>100</v>
          </cell>
          <cell r="I1126">
            <v>334051600000000</v>
          </cell>
        </row>
        <row r="1127">
          <cell r="A1127" t="str">
            <v>Japan</v>
          </cell>
          <cell r="B1127">
            <v>392</v>
          </cell>
          <cell r="C1127">
            <v>203</v>
          </cell>
          <cell r="D1127">
            <v>3</v>
          </cell>
          <cell r="E1127" t="str">
            <v>Equals: VALUE ADDED, GROSS, at basic prices</v>
          </cell>
          <cell r="F1127">
            <v>12</v>
          </cell>
          <cell r="G1127">
            <v>1986</v>
          </cell>
          <cell r="H1127">
            <v>100</v>
          </cell>
          <cell r="I1127">
            <v>349057900000000</v>
          </cell>
        </row>
        <row r="1128">
          <cell r="A1128" t="str">
            <v>Japan</v>
          </cell>
          <cell r="B1128">
            <v>392</v>
          </cell>
          <cell r="C1128">
            <v>203</v>
          </cell>
          <cell r="D1128">
            <v>3</v>
          </cell>
          <cell r="E1128" t="str">
            <v>Equals: VALUE ADDED, GROSS, at basic prices</v>
          </cell>
          <cell r="F1128">
            <v>12</v>
          </cell>
          <cell r="G1128">
            <v>1987</v>
          </cell>
          <cell r="H1128">
            <v>100</v>
          </cell>
          <cell r="I1128">
            <v>367010900000000</v>
          </cell>
        </row>
        <row r="1129">
          <cell r="A1129" t="str">
            <v>Japan</v>
          </cell>
          <cell r="B1129">
            <v>392</v>
          </cell>
          <cell r="C1129">
            <v>203</v>
          </cell>
          <cell r="D1129">
            <v>3</v>
          </cell>
          <cell r="E1129" t="str">
            <v>Equals: VALUE ADDED, GROSS, at basic prices</v>
          </cell>
          <cell r="F1129">
            <v>12</v>
          </cell>
          <cell r="G1129">
            <v>1988</v>
          </cell>
          <cell r="H1129">
            <v>100</v>
          </cell>
          <cell r="I1129">
            <v>393404100000000</v>
          </cell>
        </row>
        <row r="1130">
          <cell r="A1130" t="str">
            <v>Japan</v>
          </cell>
          <cell r="B1130">
            <v>392</v>
          </cell>
          <cell r="C1130">
            <v>203</v>
          </cell>
          <cell r="D1130">
            <v>3</v>
          </cell>
          <cell r="E1130" t="str">
            <v>Equals: VALUE ADDED, GROSS, at basic prices</v>
          </cell>
          <cell r="F1130">
            <v>12</v>
          </cell>
          <cell r="G1130">
            <v>1989</v>
          </cell>
          <cell r="H1130">
            <v>100</v>
          </cell>
          <cell r="I1130">
            <v>422594400000000</v>
          </cell>
        </row>
        <row r="1131">
          <cell r="A1131" t="str">
            <v>Japan</v>
          </cell>
          <cell r="B1131">
            <v>392</v>
          </cell>
          <cell r="C1131">
            <v>203</v>
          </cell>
          <cell r="D1131">
            <v>3</v>
          </cell>
          <cell r="E1131" t="str">
            <v>Equals: VALUE ADDED, GROSS, at basic prices</v>
          </cell>
          <cell r="F1131">
            <v>12</v>
          </cell>
          <cell r="G1131">
            <v>1990</v>
          </cell>
          <cell r="H1131">
            <v>100</v>
          </cell>
          <cell r="I1131">
            <v>452781900000000</v>
          </cell>
        </row>
        <row r="1132">
          <cell r="A1132" t="str">
            <v>Japan</v>
          </cell>
          <cell r="B1132">
            <v>392</v>
          </cell>
          <cell r="C1132">
            <v>203</v>
          </cell>
          <cell r="D1132">
            <v>3</v>
          </cell>
          <cell r="E1132" t="str">
            <v>Equals: VALUE ADDED, GROSS, at basic prices</v>
          </cell>
          <cell r="F1132">
            <v>12</v>
          </cell>
          <cell r="G1132">
            <v>1991</v>
          </cell>
          <cell r="H1132">
            <v>100</v>
          </cell>
          <cell r="I1132">
            <v>482924800000000</v>
          </cell>
        </row>
        <row r="1133">
          <cell r="A1133" t="str">
            <v>Japan</v>
          </cell>
          <cell r="B1133">
            <v>392</v>
          </cell>
          <cell r="C1133">
            <v>203</v>
          </cell>
          <cell r="D1133">
            <v>3</v>
          </cell>
          <cell r="E1133" t="str">
            <v>Equals: VALUE ADDED, GROSS, at basic prices</v>
          </cell>
          <cell r="F1133">
            <v>12</v>
          </cell>
          <cell r="G1133">
            <v>1992</v>
          </cell>
          <cell r="H1133">
            <v>100</v>
          </cell>
          <cell r="I1133">
            <v>497542500000000</v>
          </cell>
        </row>
        <row r="1134">
          <cell r="A1134" t="str">
            <v>Japan</v>
          </cell>
          <cell r="B1134">
            <v>392</v>
          </cell>
          <cell r="C1134">
            <v>203</v>
          </cell>
          <cell r="D1134">
            <v>3</v>
          </cell>
          <cell r="E1134" t="str">
            <v>Equals: VALUE ADDED, GROSS, at basic prices</v>
          </cell>
          <cell r="F1134">
            <v>12</v>
          </cell>
          <cell r="G1134">
            <v>1993</v>
          </cell>
          <cell r="H1134">
            <v>100</v>
          </cell>
          <cell r="I1134">
            <v>502007000000000</v>
          </cell>
        </row>
        <row r="1135">
          <cell r="A1135" t="str">
            <v>Japan</v>
          </cell>
          <cell r="B1135">
            <v>392</v>
          </cell>
          <cell r="C1135">
            <v>203</v>
          </cell>
          <cell r="D1135">
            <v>3</v>
          </cell>
          <cell r="E1135" t="str">
            <v>Equals: VALUE ADDED, GROSS, at basic prices</v>
          </cell>
          <cell r="F1135">
            <v>12</v>
          </cell>
          <cell r="G1135">
            <v>1994</v>
          </cell>
          <cell r="H1135">
            <v>100</v>
          </cell>
          <cell r="I1135">
            <v>507210900000000</v>
          </cell>
        </row>
        <row r="1136">
          <cell r="A1136" t="str">
            <v>Japan</v>
          </cell>
          <cell r="B1136">
            <v>392</v>
          </cell>
          <cell r="C1136">
            <v>203</v>
          </cell>
          <cell r="D1136">
            <v>3</v>
          </cell>
          <cell r="E1136" t="str">
            <v>Equals: VALUE ADDED, GROSS, at basic prices</v>
          </cell>
          <cell r="F1136">
            <v>12</v>
          </cell>
          <cell r="G1136">
            <v>1995</v>
          </cell>
          <cell r="H1136">
            <v>100</v>
          </cell>
          <cell r="I1136">
            <v>515699700000000</v>
          </cell>
        </row>
        <row r="1137">
          <cell r="A1137" t="str">
            <v>Japan</v>
          </cell>
          <cell r="B1137">
            <v>392</v>
          </cell>
          <cell r="C1137">
            <v>203</v>
          </cell>
          <cell r="D1137">
            <v>3</v>
          </cell>
          <cell r="E1137" t="str">
            <v>Equals: VALUE ADDED, GROSS, at basic prices</v>
          </cell>
          <cell r="F1137">
            <v>12</v>
          </cell>
          <cell r="G1137">
            <v>1996</v>
          </cell>
          <cell r="H1137">
            <v>100</v>
          </cell>
          <cell r="I1137">
            <v>527983200000000</v>
          </cell>
        </row>
        <row r="1138">
          <cell r="A1138" t="str">
            <v>Japan</v>
          </cell>
          <cell r="B1138">
            <v>392</v>
          </cell>
          <cell r="C1138">
            <v>203</v>
          </cell>
          <cell r="D1138">
            <v>3</v>
          </cell>
          <cell r="E1138" t="str">
            <v>Equals: VALUE ADDED, GROSS, at basic prices</v>
          </cell>
          <cell r="F1138">
            <v>12</v>
          </cell>
          <cell r="G1138">
            <v>1997</v>
          </cell>
          <cell r="H1138">
            <v>100</v>
          </cell>
          <cell r="I1138">
            <v>541390100000000</v>
          </cell>
        </row>
        <row r="1139">
          <cell r="A1139" t="str">
            <v>Japan</v>
          </cell>
          <cell r="B1139">
            <v>392</v>
          </cell>
          <cell r="C1139">
            <v>203</v>
          </cell>
          <cell r="D1139">
            <v>3</v>
          </cell>
          <cell r="E1139" t="str">
            <v>Equals: VALUE ADDED, GROSS, at basic prices</v>
          </cell>
          <cell r="F1139">
            <v>12</v>
          </cell>
          <cell r="G1139">
            <v>1998</v>
          </cell>
          <cell r="H1139">
            <v>100</v>
          </cell>
          <cell r="I1139">
            <v>535422500000000</v>
          </cell>
        </row>
        <row r="1140">
          <cell r="A1140" t="str">
            <v>Japan</v>
          </cell>
          <cell r="B1140">
            <v>392</v>
          </cell>
          <cell r="C1140">
            <v>203</v>
          </cell>
          <cell r="D1140">
            <v>3</v>
          </cell>
          <cell r="E1140" t="str">
            <v>Equals: VALUE ADDED, GROSS, at basic prices</v>
          </cell>
          <cell r="F1140">
            <v>12</v>
          </cell>
          <cell r="G1140">
            <v>1999</v>
          </cell>
          <cell r="H1140">
            <v>100</v>
          </cell>
          <cell r="I1140">
            <v>528065500000000</v>
          </cell>
        </row>
        <row r="1141">
          <cell r="A1141" t="str">
            <v>Japan</v>
          </cell>
          <cell r="B1141">
            <v>392</v>
          </cell>
          <cell r="C1141">
            <v>203</v>
          </cell>
          <cell r="D1141">
            <v>3</v>
          </cell>
          <cell r="E1141" t="str">
            <v>Equals: VALUE ADDED, GROSS, at basic prices</v>
          </cell>
          <cell r="F1141">
            <v>12</v>
          </cell>
          <cell r="G1141">
            <v>2000</v>
          </cell>
          <cell r="H1141">
            <v>100</v>
          </cell>
          <cell r="I1141">
            <v>529825200000000</v>
          </cell>
        </row>
        <row r="1142">
          <cell r="A1142" t="str">
            <v>Japan</v>
          </cell>
          <cell r="B1142">
            <v>392</v>
          </cell>
          <cell r="C1142">
            <v>203</v>
          </cell>
          <cell r="D1142">
            <v>3</v>
          </cell>
          <cell r="E1142" t="str">
            <v>Equals: VALUE ADDED, GROSS, at basic prices</v>
          </cell>
          <cell r="F1142">
            <v>12</v>
          </cell>
          <cell r="G1142">
            <v>2001</v>
          </cell>
          <cell r="H1142">
            <v>100</v>
          </cell>
          <cell r="I1142">
            <v>524598600000000</v>
          </cell>
        </row>
        <row r="1143">
          <cell r="A1143" t="str">
            <v>Japan</v>
          </cell>
          <cell r="B1143">
            <v>392</v>
          </cell>
          <cell r="C1143">
            <v>203</v>
          </cell>
          <cell r="D1143">
            <v>3</v>
          </cell>
          <cell r="E1143" t="str">
            <v>Equals: VALUE ADDED, GROSS, at basic prices</v>
          </cell>
          <cell r="F1143">
            <v>12</v>
          </cell>
          <cell r="G1143">
            <v>2002</v>
          </cell>
          <cell r="H1143">
            <v>100</v>
          </cell>
          <cell r="I1143">
            <v>519761400000000</v>
          </cell>
        </row>
        <row r="1144">
          <cell r="A1144" t="str">
            <v>Japan</v>
          </cell>
          <cell r="B1144">
            <v>392</v>
          </cell>
          <cell r="C1144">
            <v>203</v>
          </cell>
          <cell r="D1144">
            <v>4</v>
          </cell>
          <cell r="E1144" t="str">
            <v>Compensation of employees</v>
          </cell>
          <cell r="F1144">
            <v>12</v>
          </cell>
          <cell r="G1144">
            <v>1980</v>
          </cell>
          <cell r="H1144">
            <v>100</v>
          </cell>
          <cell r="I1144">
            <v>129738200000000</v>
          </cell>
        </row>
        <row r="1145">
          <cell r="A1145" t="str">
            <v>Japan</v>
          </cell>
          <cell r="B1145">
            <v>392</v>
          </cell>
          <cell r="C1145">
            <v>203</v>
          </cell>
          <cell r="D1145">
            <v>4</v>
          </cell>
          <cell r="E1145" t="str">
            <v>Compensation of employees</v>
          </cell>
          <cell r="F1145">
            <v>12</v>
          </cell>
          <cell r="G1145">
            <v>1981</v>
          </cell>
          <cell r="H1145">
            <v>100</v>
          </cell>
          <cell r="I1145">
            <v>140211800000000</v>
          </cell>
        </row>
        <row r="1146">
          <cell r="A1146" t="str">
            <v>Japan</v>
          </cell>
          <cell r="B1146">
            <v>392</v>
          </cell>
          <cell r="C1146">
            <v>203</v>
          </cell>
          <cell r="D1146">
            <v>4</v>
          </cell>
          <cell r="E1146" t="str">
            <v>Compensation of employees</v>
          </cell>
          <cell r="F1146">
            <v>12</v>
          </cell>
          <cell r="G1146">
            <v>1982</v>
          </cell>
          <cell r="H1146">
            <v>100</v>
          </cell>
          <cell r="I1146">
            <v>148182000000000</v>
          </cell>
        </row>
        <row r="1147">
          <cell r="A1147" t="str">
            <v>Japan</v>
          </cell>
          <cell r="B1147">
            <v>392</v>
          </cell>
          <cell r="C1147">
            <v>203</v>
          </cell>
          <cell r="D1147">
            <v>4</v>
          </cell>
          <cell r="E1147" t="str">
            <v>Compensation of employees</v>
          </cell>
          <cell r="F1147">
            <v>12</v>
          </cell>
          <cell r="G1147">
            <v>1983</v>
          </cell>
          <cell r="H1147">
            <v>100</v>
          </cell>
          <cell r="I1147">
            <v>155831400000000</v>
          </cell>
        </row>
        <row r="1148">
          <cell r="A1148" t="str">
            <v>Japan</v>
          </cell>
          <cell r="B1148">
            <v>392</v>
          </cell>
          <cell r="C1148">
            <v>203</v>
          </cell>
          <cell r="D1148">
            <v>4</v>
          </cell>
          <cell r="E1148" t="str">
            <v>Compensation of employees</v>
          </cell>
          <cell r="F1148">
            <v>12</v>
          </cell>
          <cell r="G1148">
            <v>1984</v>
          </cell>
          <cell r="H1148">
            <v>100</v>
          </cell>
          <cell r="I1148">
            <v>164385600000000</v>
          </cell>
        </row>
        <row r="1149">
          <cell r="A1149" t="str">
            <v>Japan</v>
          </cell>
          <cell r="B1149">
            <v>392</v>
          </cell>
          <cell r="C1149">
            <v>203</v>
          </cell>
          <cell r="D1149">
            <v>4</v>
          </cell>
          <cell r="E1149" t="str">
            <v>Compensation of employees</v>
          </cell>
          <cell r="F1149">
            <v>12</v>
          </cell>
          <cell r="G1149">
            <v>1985</v>
          </cell>
          <cell r="H1149">
            <v>100</v>
          </cell>
          <cell r="I1149">
            <v>171818200000000</v>
          </cell>
        </row>
        <row r="1150">
          <cell r="A1150" t="str">
            <v>Japan</v>
          </cell>
          <cell r="B1150">
            <v>392</v>
          </cell>
          <cell r="C1150">
            <v>203</v>
          </cell>
          <cell r="D1150">
            <v>4</v>
          </cell>
          <cell r="E1150" t="str">
            <v>Compensation of employees</v>
          </cell>
          <cell r="F1150">
            <v>12</v>
          </cell>
          <cell r="G1150">
            <v>1986</v>
          </cell>
          <cell r="H1150">
            <v>100</v>
          </cell>
          <cell r="I1150">
            <v>179123500000000</v>
          </cell>
        </row>
        <row r="1151">
          <cell r="A1151" t="str">
            <v>Japan</v>
          </cell>
          <cell r="B1151">
            <v>392</v>
          </cell>
          <cell r="C1151">
            <v>203</v>
          </cell>
          <cell r="D1151">
            <v>4</v>
          </cell>
          <cell r="E1151" t="str">
            <v>Compensation of employees</v>
          </cell>
          <cell r="F1151">
            <v>12</v>
          </cell>
          <cell r="G1151">
            <v>1987</v>
          </cell>
          <cell r="H1151">
            <v>100</v>
          </cell>
          <cell r="I1151">
            <v>185329200000000</v>
          </cell>
        </row>
        <row r="1152">
          <cell r="A1152" t="str">
            <v>Japan</v>
          </cell>
          <cell r="B1152">
            <v>392</v>
          </cell>
          <cell r="C1152">
            <v>203</v>
          </cell>
          <cell r="D1152">
            <v>4</v>
          </cell>
          <cell r="E1152" t="str">
            <v>Compensation of employees</v>
          </cell>
          <cell r="F1152">
            <v>12</v>
          </cell>
          <cell r="G1152">
            <v>1988</v>
          </cell>
          <cell r="H1152">
            <v>100</v>
          </cell>
          <cell r="I1152">
            <v>196154500000000</v>
          </cell>
        </row>
        <row r="1153">
          <cell r="A1153" t="str">
            <v>Japan</v>
          </cell>
          <cell r="B1153">
            <v>392</v>
          </cell>
          <cell r="C1153">
            <v>203</v>
          </cell>
          <cell r="D1153">
            <v>4</v>
          </cell>
          <cell r="E1153" t="str">
            <v>Compensation of employees</v>
          </cell>
          <cell r="F1153">
            <v>12</v>
          </cell>
          <cell r="G1153">
            <v>1989</v>
          </cell>
          <cell r="H1153">
            <v>100</v>
          </cell>
          <cell r="I1153">
            <v>210330700000000</v>
          </cell>
        </row>
        <row r="1154">
          <cell r="A1154" t="str">
            <v>Japan</v>
          </cell>
          <cell r="B1154">
            <v>392</v>
          </cell>
          <cell r="C1154">
            <v>203</v>
          </cell>
          <cell r="D1154">
            <v>4</v>
          </cell>
          <cell r="E1154" t="str">
            <v>Compensation of employees</v>
          </cell>
          <cell r="F1154">
            <v>12</v>
          </cell>
          <cell r="G1154">
            <v>1990</v>
          </cell>
          <cell r="H1154">
            <v>100</v>
          </cell>
          <cell r="I1154">
            <v>227455800000000</v>
          </cell>
        </row>
        <row r="1155">
          <cell r="A1155" t="str">
            <v>Japan</v>
          </cell>
          <cell r="B1155">
            <v>392</v>
          </cell>
          <cell r="C1155">
            <v>203</v>
          </cell>
          <cell r="D1155">
            <v>4</v>
          </cell>
          <cell r="E1155" t="str">
            <v>Compensation of employees</v>
          </cell>
          <cell r="F1155">
            <v>12</v>
          </cell>
          <cell r="G1155">
            <v>1991</v>
          </cell>
          <cell r="H1155">
            <v>100</v>
          </cell>
          <cell r="I1155">
            <v>245759500000000</v>
          </cell>
        </row>
        <row r="1156">
          <cell r="A1156" t="str">
            <v>Japan</v>
          </cell>
          <cell r="B1156">
            <v>392</v>
          </cell>
          <cell r="C1156">
            <v>203</v>
          </cell>
          <cell r="D1156">
            <v>4</v>
          </cell>
          <cell r="E1156" t="str">
            <v>Compensation of employees</v>
          </cell>
          <cell r="F1156">
            <v>12</v>
          </cell>
          <cell r="G1156">
            <v>1992</v>
          </cell>
          <cell r="H1156">
            <v>100</v>
          </cell>
          <cell r="I1156">
            <v>253786200000000</v>
          </cell>
        </row>
        <row r="1157">
          <cell r="A1157" t="str">
            <v>Japan</v>
          </cell>
          <cell r="B1157">
            <v>392</v>
          </cell>
          <cell r="C1157">
            <v>203</v>
          </cell>
          <cell r="D1157">
            <v>4</v>
          </cell>
          <cell r="E1157" t="str">
            <v>Compensation of employees</v>
          </cell>
          <cell r="F1157">
            <v>12</v>
          </cell>
          <cell r="G1157">
            <v>1993</v>
          </cell>
          <cell r="H1157">
            <v>100</v>
          </cell>
          <cell r="I1157">
            <v>259301500000000</v>
          </cell>
        </row>
        <row r="1158">
          <cell r="A1158" t="str">
            <v>Japan</v>
          </cell>
          <cell r="B1158">
            <v>392</v>
          </cell>
          <cell r="C1158">
            <v>203</v>
          </cell>
          <cell r="D1158">
            <v>4</v>
          </cell>
          <cell r="E1158" t="str">
            <v>Compensation of employees</v>
          </cell>
          <cell r="F1158">
            <v>12</v>
          </cell>
          <cell r="G1158">
            <v>1994</v>
          </cell>
          <cell r="H1158">
            <v>100</v>
          </cell>
          <cell r="I1158">
            <v>264428400000000</v>
          </cell>
        </row>
        <row r="1159">
          <cell r="A1159" t="str">
            <v>Japan</v>
          </cell>
          <cell r="B1159">
            <v>392</v>
          </cell>
          <cell r="C1159">
            <v>203</v>
          </cell>
          <cell r="D1159">
            <v>4</v>
          </cell>
          <cell r="E1159" t="str">
            <v>Compensation of employees</v>
          </cell>
          <cell r="F1159">
            <v>12</v>
          </cell>
          <cell r="G1159">
            <v>1995</v>
          </cell>
          <cell r="H1159">
            <v>100</v>
          </cell>
          <cell r="I1159">
            <v>269040500000000</v>
          </cell>
        </row>
        <row r="1160">
          <cell r="A1160" t="str">
            <v>Japan</v>
          </cell>
          <cell r="B1160">
            <v>392</v>
          </cell>
          <cell r="C1160">
            <v>203</v>
          </cell>
          <cell r="D1160">
            <v>4</v>
          </cell>
          <cell r="E1160" t="str">
            <v>Compensation of employees</v>
          </cell>
          <cell r="F1160">
            <v>12</v>
          </cell>
          <cell r="G1160">
            <v>1996</v>
          </cell>
          <cell r="H1160">
            <v>100</v>
          </cell>
          <cell r="I1160">
            <v>273388400000000</v>
          </cell>
        </row>
        <row r="1161">
          <cell r="A1161" t="str">
            <v>Japan</v>
          </cell>
          <cell r="B1161">
            <v>392</v>
          </cell>
          <cell r="C1161">
            <v>203</v>
          </cell>
          <cell r="D1161">
            <v>4</v>
          </cell>
          <cell r="E1161" t="str">
            <v>Compensation of employees</v>
          </cell>
          <cell r="F1161">
            <v>12</v>
          </cell>
          <cell r="G1161">
            <v>1997</v>
          </cell>
          <cell r="H1161">
            <v>100</v>
          </cell>
          <cell r="I1161">
            <v>280503500000000</v>
          </cell>
        </row>
        <row r="1162">
          <cell r="A1162" t="str">
            <v>Japan</v>
          </cell>
          <cell r="B1162">
            <v>392</v>
          </cell>
          <cell r="C1162">
            <v>203</v>
          </cell>
          <cell r="D1162">
            <v>4</v>
          </cell>
          <cell r="E1162" t="str">
            <v>Compensation of employees</v>
          </cell>
          <cell r="F1162">
            <v>12</v>
          </cell>
          <cell r="G1162">
            <v>1998</v>
          </cell>
          <cell r="H1162">
            <v>100</v>
          </cell>
          <cell r="I1162">
            <v>277706600000000</v>
          </cell>
        </row>
        <row r="1163">
          <cell r="A1163" t="str">
            <v>Japan</v>
          </cell>
          <cell r="B1163">
            <v>392</v>
          </cell>
          <cell r="C1163">
            <v>203</v>
          </cell>
          <cell r="D1163">
            <v>4</v>
          </cell>
          <cell r="E1163" t="str">
            <v>Compensation of employees</v>
          </cell>
          <cell r="F1163">
            <v>12</v>
          </cell>
          <cell r="G1163">
            <v>1999</v>
          </cell>
          <cell r="H1163">
            <v>100</v>
          </cell>
          <cell r="I1163">
            <v>273116600000000</v>
          </cell>
        </row>
        <row r="1164">
          <cell r="A1164" t="str">
            <v>Japan</v>
          </cell>
          <cell r="B1164">
            <v>392</v>
          </cell>
          <cell r="C1164">
            <v>203</v>
          </cell>
          <cell r="D1164">
            <v>4</v>
          </cell>
          <cell r="E1164" t="str">
            <v>Compensation of employees</v>
          </cell>
          <cell r="F1164">
            <v>12</v>
          </cell>
          <cell r="G1164">
            <v>2000</v>
          </cell>
          <cell r="H1164">
            <v>100</v>
          </cell>
          <cell r="I1164">
            <v>275048200000000</v>
          </cell>
        </row>
        <row r="1165">
          <cell r="A1165" t="str">
            <v>Japan</v>
          </cell>
          <cell r="B1165">
            <v>392</v>
          </cell>
          <cell r="C1165">
            <v>203</v>
          </cell>
          <cell r="D1165">
            <v>4</v>
          </cell>
          <cell r="E1165" t="str">
            <v>Compensation of employees</v>
          </cell>
          <cell r="F1165">
            <v>12</v>
          </cell>
          <cell r="G1165">
            <v>2001</v>
          </cell>
          <cell r="H1165">
            <v>100</v>
          </cell>
          <cell r="I1165">
            <v>273372800000000</v>
          </cell>
        </row>
        <row r="1166">
          <cell r="A1166" t="str">
            <v>Japan</v>
          </cell>
          <cell r="B1166">
            <v>392</v>
          </cell>
          <cell r="C1166">
            <v>203</v>
          </cell>
          <cell r="D1166">
            <v>4</v>
          </cell>
          <cell r="E1166" t="str">
            <v>Compensation of employees</v>
          </cell>
          <cell r="F1166">
            <v>12</v>
          </cell>
          <cell r="G1166">
            <v>2002</v>
          </cell>
          <cell r="H1166">
            <v>100</v>
          </cell>
          <cell r="I1166">
            <v>265368400000000</v>
          </cell>
        </row>
        <row r="1167">
          <cell r="A1167" t="str">
            <v>Japan</v>
          </cell>
          <cell r="B1167">
            <v>392</v>
          </cell>
          <cell r="C1167">
            <v>203</v>
          </cell>
          <cell r="D1167">
            <v>11</v>
          </cell>
          <cell r="E1167" t="str">
            <v>OPERATING SURPLUS, GROSS</v>
          </cell>
          <cell r="F1167">
            <v>12</v>
          </cell>
          <cell r="G1167">
            <v>1990</v>
          </cell>
          <cell r="H1167">
            <v>100</v>
          </cell>
          <cell r="I1167">
            <v>195507100000000</v>
          </cell>
        </row>
        <row r="1168">
          <cell r="A1168" t="str">
            <v>Japan</v>
          </cell>
          <cell r="B1168">
            <v>392</v>
          </cell>
          <cell r="C1168">
            <v>203</v>
          </cell>
          <cell r="D1168">
            <v>11</v>
          </cell>
          <cell r="E1168" t="str">
            <v>OPERATING SURPLUS, GROSS</v>
          </cell>
          <cell r="F1168">
            <v>12</v>
          </cell>
          <cell r="G1168">
            <v>1991</v>
          </cell>
          <cell r="H1168">
            <v>100</v>
          </cell>
          <cell r="I1168">
            <v>207614400000000</v>
          </cell>
        </row>
        <row r="1169">
          <cell r="A1169" t="str">
            <v>Japan</v>
          </cell>
          <cell r="B1169">
            <v>392</v>
          </cell>
          <cell r="C1169">
            <v>203</v>
          </cell>
          <cell r="D1169">
            <v>11</v>
          </cell>
          <cell r="E1169" t="str">
            <v>OPERATING SURPLUS, GROSS</v>
          </cell>
          <cell r="F1169">
            <v>12</v>
          </cell>
          <cell r="G1169">
            <v>1992</v>
          </cell>
          <cell r="H1169">
            <v>100</v>
          </cell>
          <cell r="I1169">
            <v>210882900000000</v>
          </cell>
        </row>
        <row r="1170">
          <cell r="A1170" t="str">
            <v>Japan</v>
          </cell>
          <cell r="B1170">
            <v>392</v>
          </cell>
          <cell r="C1170">
            <v>203</v>
          </cell>
          <cell r="D1170">
            <v>11</v>
          </cell>
          <cell r="E1170" t="str">
            <v>OPERATING SURPLUS, GROSS</v>
          </cell>
          <cell r="F1170">
            <v>12</v>
          </cell>
          <cell r="G1170">
            <v>1993</v>
          </cell>
          <cell r="H1170">
            <v>100</v>
          </cell>
          <cell r="I1170">
            <v>210941800000000</v>
          </cell>
        </row>
        <row r="1171">
          <cell r="A1171" t="str">
            <v>Japan</v>
          </cell>
          <cell r="B1171">
            <v>392</v>
          </cell>
          <cell r="C1171">
            <v>203</v>
          </cell>
          <cell r="D1171">
            <v>11</v>
          </cell>
          <cell r="E1171" t="str">
            <v>OPERATING SURPLUS, GROSS</v>
          </cell>
          <cell r="F1171">
            <v>12</v>
          </cell>
          <cell r="G1171">
            <v>1994</v>
          </cell>
          <cell r="H1171">
            <v>100</v>
          </cell>
          <cell r="I1171">
            <v>210499800000000</v>
          </cell>
        </row>
        <row r="1172">
          <cell r="A1172" t="str">
            <v>Japan</v>
          </cell>
          <cell r="B1172">
            <v>392</v>
          </cell>
          <cell r="C1172">
            <v>203</v>
          </cell>
          <cell r="D1172">
            <v>11</v>
          </cell>
          <cell r="E1172" t="str">
            <v>OPERATING SURPLUS, GROSS</v>
          </cell>
          <cell r="F1172">
            <v>12</v>
          </cell>
          <cell r="G1172">
            <v>1995</v>
          </cell>
          <cell r="H1172">
            <v>100</v>
          </cell>
          <cell r="I1172">
            <v>213286500000000</v>
          </cell>
        </row>
        <row r="1173">
          <cell r="A1173" t="str">
            <v>Japan</v>
          </cell>
          <cell r="B1173">
            <v>392</v>
          </cell>
          <cell r="C1173">
            <v>203</v>
          </cell>
          <cell r="D1173">
            <v>11</v>
          </cell>
          <cell r="E1173" t="str">
            <v>OPERATING SURPLUS, GROSS</v>
          </cell>
          <cell r="F1173">
            <v>12</v>
          </cell>
          <cell r="G1173">
            <v>1996</v>
          </cell>
          <cell r="H1173">
            <v>100</v>
          </cell>
          <cell r="I1173">
            <v>219560700000000</v>
          </cell>
        </row>
        <row r="1174">
          <cell r="A1174" t="str">
            <v>Japan</v>
          </cell>
          <cell r="B1174">
            <v>392</v>
          </cell>
          <cell r="C1174">
            <v>203</v>
          </cell>
          <cell r="D1174">
            <v>11</v>
          </cell>
          <cell r="E1174" t="str">
            <v>OPERATING SURPLUS, GROSS</v>
          </cell>
          <cell r="F1174">
            <v>12</v>
          </cell>
          <cell r="G1174">
            <v>1997</v>
          </cell>
          <cell r="H1174">
            <v>100</v>
          </cell>
          <cell r="I1174">
            <v>224220200000000</v>
          </cell>
        </row>
        <row r="1175">
          <cell r="A1175" t="str">
            <v>Japan</v>
          </cell>
          <cell r="B1175">
            <v>392</v>
          </cell>
          <cell r="C1175">
            <v>203</v>
          </cell>
          <cell r="D1175">
            <v>11</v>
          </cell>
          <cell r="E1175" t="str">
            <v>OPERATING SURPLUS, GROSS</v>
          </cell>
          <cell r="F1175">
            <v>12</v>
          </cell>
          <cell r="G1175">
            <v>1998</v>
          </cell>
          <cell r="H1175">
            <v>100</v>
          </cell>
          <cell r="I1175">
            <v>217774300000000</v>
          </cell>
        </row>
        <row r="1176">
          <cell r="A1176" t="str">
            <v>Japan</v>
          </cell>
          <cell r="B1176">
            <v>392</v>
          </cell>
          <cell r="C1176">
            <v>203</v>
          </cell>
          <cell r="D1176">
            <v>11</v>
          </cell>
          <cell r="E1176" t="str">
            <v>OPERATING SURPLUS, GROSS</v>
          </cell>
          <cell r="F1176">
            <v>12</v>
          </cell>
          <cell r="G1176">
            <v>1999</v>
          </cell>
          <cell r="H1176">
            <v>100</v>
          </cell>
          <cell r="I1176">
            <v>215926100000000</v>
          </cell>
        </row>
        <row r="1177">
          <cell r="A1177" t="str">
            <v>Japan</v>
          </cell>
          <cell r="B1177">
            <v>392</v>
          </cell>
          <cell r="C1177">
            <v>203</v>
          </cell>
          <cell r="D1177">
            <v>11</v>
          </cell>
          <cell r="E1177" t="str">
            <v>OPERATING SURPLUS, GROSS</v>
          </cell>
          <cell r="F1177">
            <v>12</v>
          </cell>
          <cell r="G1177">
            <v>2000</v>
          </cell>
          <cell r="H1177">
            <v>100</v>
          </cell>
          <cell r="I1177">
            <v>216111200000000</v>
          </cell>
        </row>
        <row r="1178">
          <cell r="A1178" t="str">
            <v>Japan</v>
          </cell>
          <cell r="B1178">
            <v>392</v>
          </cell>
          <cell r="C1178">
            <v>203</v>
          </cell>
          <cell r="D1178">
            <v>11</v>
          </cell>
          <cell r="E1178" t="str">
            <v>OPERATING SURPLUS, GROSS</v>
          </cell>
          <cell r="F1178">
            <v>12</v>
          </cell>
          <cell r="G1178">
            <v>2001</v>
          </cell>
          <cell r="H1178">
            <v>100</v>
          </cell>
          <cell r="I1178">
            <v>212203600000000</v>
          </cell>
        </row>
        <row r="1179">
          <cell r="A1179" t="str">
            <v>Japan</v>
          </cell>
          <cell r="B1179">
            <v>392</v>
          </cell>
          <cell r="C1179">
            <v>203</v>
          </cell>
          <cell r="D1179">
            <v>11</v>
          </cell>
          <cell r="E1179" t="str">
            <v>OPERATING SURPLUS, GROSS</v>
          </cell>
          <cell r="F1179">
            <v>12</v>
          </cell>
          <cell r="G1179">
            <v>2002</v>
          </cell>
          <cell r="H1179">
            <v>100</v>
          </cell>
          <cell r="I1179">
            <v>216845400000000</v>
          </cell>
        </row>
        <row r="1180">
          <cell r="A1180" t="str">
            <v>Japan</v>
          </cell>
          <cell r="B1180">
            <v>392</v>
          </cell>
          <cell r="C1180">
            <v>203</v>
          </cell>
          <cell r="D1180">
            <v>22</v>
          </cell>
          <cell r="E1180" t="str">
            <v>Taxes on production and imports, less Subsidies</v>
          </cell>
          <cell r="F1180">
            <v>12</v>
          </cell>
          <cell r="G1180">
            <v>1990</v>
          </cell>
          <cell r="H1180">
            <v>100</v>
          </cell>
          <cell r="I1180">
            <v>29819100000000</v>
          </cell>
        </row>
        <row r="1181">
          <cell r="A1181" t="str">
            <v>Japan</v>
          </cell>
          <cell r="B1181">
            <v>392</v>
          </cell>
          <cell r="C1181">
            <v>203</v>
          </cell>
          <cell r="D1181">
            <v>22</v>
          </cell>
          <cell r="E1181" t="str">
            <v>Taxes on production and imports, less Subsidies</v>
          </cell>
          <cell r="F1181">
            <v>12</v>
          </cell>
          <cell r="G1181">
            <v>1991</v>
          </cell>
          <cell r="H1181">
            <v>100</v>
          </cell>
          <cell r="I1181">
            <v>29550900000000</v>
          </cell>
        </row>
        <row r="1182">
          <cell r="A1182" t="str">
            <v>Japan</v>
          </cell>
          <cell r="B1182">
            <v>392</v>
          </cell>
          <cell r="C1182">
            <v>203</v>
          </cell>
          <cell r="D1182">
            <v>22</v>
          </cell>
          <cell r="E1182" t="str">
            <v>Taxes on production and imports, less Subsidies</v>
          </cell>
          <cell r="F1182">
            <v>12</v>
          </cell>
          <cell r="G1182">
            <v>1992</v>
          </cell>
          <cell r="H1182">
            <v>100</v>
          </cell>
          <cell r="I1182">
            <v>32873400000000</v>
          </cell>
        </row>
        <row r="1183">
          <cell r="A1183" t="str">
            <v>Japan</v>
          </cell>
          <cell r="B1183">
            <v>392</v>
          </cell>
          <cell r="C1183">
            <v>203</v>
          </cell>
          <cell r="D1183">
            <v>22</v>
          </cell>
          <cell r="E1183" t="str">
            <v>Taxes on production and imports, less Subsidies</v>
          </cell>
          <cell r="F1183">
            <v>12</v>
          </cell>
          <cell r="G1183">
            <v>1993</v>
          </cell>
          <cell r="H1183">
            <v>100</v>
          </cell>
          <cell r="I1183">
            <v>31763700000000</v>
          </cell>
        </row>
        <row r="1184">
          <cell r="A1184" t="str">
            <v>Japan</v>
          </cell>
          <cell r="B1184">
            <v>392</v>
          </cell>
          <cell r="C1184">
            <v>203</v>
          </cell>
          <cell r="D1184">
            <v>22</v>
          </cell>
          <cell r="E1184" t="str">
            <v>Taxes on production and imports, less Subsidies</v>
          </cell>
          <cell r="F1184">
            <v>12</v>
          </cell>
          <cell r="G1184">
            <v>1994</v>
          </cell>
          <cell r="H1184">
            <v>100</v>
          </cell>
          <cell r="I1184">
            <v>32282600000000</v>
          </cell>
        </row>
        <row r="1185">
          <cell r="A1185" t="str">
            <v>Japan</v>
          </cell>
          <cell r="B1185">
            <v>392</v>
          </cell>
          <cell r="C1185">
            <v>203</v>
          </cell>
          <cell r="D1185">
            <v>22</v>
          </cell>
          <cell r="E1185" t="str">
            <v>Taxes on production and imports, less Subsidies</v>
          </cell>
          <cell r="F1185">
            <v>12</v>
          </cell>
          <cell r="G1185">
            <v>1995</v>
          </cell>
          <cell r="H1185">
            <v>100</v>
          </cell>
          <cell r="I1185">
            <v>33372700000000</v>
          </cell>
        </row>
        <row r="1186">
          <cell r="A1186" t="str">
            <v>Japan</v>
          </cell>
          <cell r="B1186">
            <v>392</v>
          </cell>
          <cell r="C1186">
            <v>203</v>
          </cell>
          <cell r="D1186">
            <v>22</v>
          </cell>
          <cell r="E1186" t="str">
            <v>Taxes on production and imports, less Subsidies</v>
          </cell>
          <cell r="F1186">
            <v>12</v>
          </cell>
          <cell r="G1186">
            <v>1996</v>
          </cell>
          <cell r="H1186">
            <v>100</v>
          </cell>
          <cell r="I1186">
            <v>35034200000000</v>
          </cell>
        </row>
        <row r="1187">
          <cell r="A1187" t="str">
            <v>Japan</v>
          </cell>
          <cell r="B1187">
            <v>392</v>
          </cell>
          <cell r="C1187">
            <v>203</v>
          </cell>
          <cell r="D1187">
            <v>22</v>
          </cell>
          <cell r="E1187" t="str">
            <v>Taxes on production and imports, less Subsidies</v>
          </cell>
          <cell r="F1187">
            <v>12</v>
          </cell>
          <cell r="G1187">
            <v>1997</v>
          </cell>
          <cell r="H1187">
            <v>100</v>
          </cell>
          <cell r="I1187">
            <v>36666400000000</v>
          </cell>
        </row>
        <row r="1188">
          <cell r="A1188" t="str">
            <v>Japan</v>
          </cell>
          <cell r="B1188">
            <v>392</v>
          </cell>
          <cell r="C1188">
            <v>203</v>
          </cell>
          <cell r="D1188">
            <v>22</v>
          </cell>
          <cell r="E1188" t="str">
            <v>Taxes on production and imports, less Subsidies</v>
          </cell>
          <cell r="F1188">
            <v>12</v>
          </cell>
          <cell r="G1188">
            <v>1998</v>
          </cell>
          <cell r="H1188">
            <v>100</v>
          </cell>
          <cell r="I1188">
            <v>39941600000000</v>
          </cell>
        </row>
        <row r="1189">
          <cell r="A1189" t="str">
            <v>Japan</v>
          </cell>
          <cell r="B1189">
            <v>392</v>
          </cell>
          <cell r="C1189">
            <v>203</v>
          </cell>
          <cell r="D1189">
            <v>22</v>
          </cell>
          <cell r="E1189" t="str">
            <v>Taxes on production and imports, less Subsidies</v>
          </cell>
          <cell r="F1189">
            <v>12</v>
          </cell>
          <cell r="G1189">
            <v>1999</v>
          </cell>
          <cell r="H1189">
            <v>100</v>
          </cell>
          <cell r="I1189">
            <v>39022800000000</v>
          </cell>
        </row>
        <row r="1190">
          <cell r="A1190" t="str">
            <v>Japan</v>
          </cell>
          <cell r="B1190">
            <v>392</v>
          </cell>
          <cell r="C1190">
            <v>203</v>
          </cell>
          <cell r="D1190">
            <v>22</v>
          </cell>
          <cell r="E1190" t="str">
            <v>Taxes on production and imports, less Subsidies</v>
          </cell>
          <cell r="F1190">
            <v>12</v>
          </cell>
          <cell r="G1190">
            <v>2000</v>
          </cell>
          <cell r="H1190">
            <v>100</v>
          </cell>
          <cell r="I1190">
            <v>38665800000000</v>
          </cell>
        </row>
        <row r="1191">
          <cell r="A1191" t="str">
            <v>Japan</v>
          </cell>
          <cell r="B1191">
            <v>392</v>
          </cell>
          <cell r="C1191">
            <v>203</v>
          </cell>
          <cell r="D1191">
            <v>22</v>
          </cell>
          <cell r="E1191" t="str">
            <v>Taxes on production and imports, less Subsidies</v>
          </cell>
          <cell r="F1191">
            <v>12</v>
          </cell>
          <cell r="G1191">
            <v>2001</v>
          </cell>
          <cell r="H1191">
            <v>100</v>
          </cell>
          <cell r="I1191">
            <v>39022200000000</v>
          </cell>
        </row>
        <row r="1192">
          <cell r="A1192" t="str">
            <v>Japan</v>
          </cell>
          <cell r="B1192">
            <v>392</v>
          </cell>
          <cell r="C1192">
            <v>203</v>
          </cell>
          <cell r="D1192">
            <v>22</v>
          </cell>
          <cell r="E1192" t="str">
            <v>Taxes on production and imports, less Subsidies</v>
          </cell>
          <cell r="F1192">
            <v>12</v>
          </cell>
          <cell r="G1192">
            <v>2002</v>
          </cell>
          <cell r="H1192">
            <v>100</v>
          </cell>
          <cell r="I1192">
            <v>37547700000000</v>
          </cell>
        </row>
        <row r="1193">
          <cell r="A1193" t="str">
            <v>Kenya</v>
          </cell>
          <cell r="B1193">
            <v>404</v>
          </cell>
          <cell r="C1193">
            <v>201</v>
          </cell>
          <cell r="D1193">
            <v>13</v>
          </cell>
          <cell r="E1193" t="str">
            <v>Less: Financial intermediation services indirectly measured (FISIM) (only to be deducted if FISIM is not distributed to uses)</v>
          </cell>
          <cell r="F1193">
            <v>0</v>
          </cell>
          <cell r="G1193">
            <v>1972</v>
          </cell>
          <cell r="H1193">
            <v>20</v>
          </cell>
          <cell r="I1193">
            <v>13000000</v>
          </cell>
        </row>
        <row r="1194">
          <cell r="A1194" t="str">
            <v>Kenya</v>
          </cell>
          <cell r="B1194">
            <v>404</v>
          </cell>
          <cell r="C1194">
            <v>201</v>
          </cell>
          <cell r="D1194">
            <v>13</v>
          </cell>
          <cell r="E1194" t="str">
            <v>Less: Financial intermediation services indirectly measured (FISIM) (only to be deducted if FISIM is not distributed to uses)</v>
          </cell>
          <cell r="F1194">
            <v>0</v>
          </cell>
          <cell r="G1194">
            <v>1973</v>
          </cell>
          <cell r="H1194">
            <v>20</v>
          </cell>
          <cell r="I1194">
            <v>17000000</v>
          </cell>
        </row>
        <row r="1195">
          <cell r="A1195" t="str">
            <v>Kenya</v>
          </cell>
          <cell r="B1195">
            <v>404</v>
          </cell>
          <cell r="C1195">
            <v>201</v>
          </cell>
          <cell r="D1195">
            <v>13</v>
          </cell>
          <cell r="E1195" t="str">
            <v>Less: Financial intermediation services indirectly measured (FISIM) (only to be deducted if FISIM is not distributed to uses)</v>
          </cell>
          <cell r="F1195">
            <v>0</v>
          </cell>
          <cell r="G1195">
            <v>1974</v>
          </cell>
          <cell r="H1195">
            <v>20</v>
          </cell>
          <cell r="I1195">
            <v>21000000</v>
          </cell>
        </row>
        <row r="1196">
          <cell r="A1196" t="str">
            <v>Kenya</v>
          </cell>
          <cell r="B1196">
            <v>404</v>
          </cell>
          <cell r="C1196">
            <v>201</v>
          </cell>
          <cell r="D1196">
            <v>13</v>
          </cell>
          <cell r="E1196" t="str">
            <v>Less: Financial intermediation services indirectly measured (FISIM) (only to be deducted if FISIM is not distributed to uses)</v>
          </cell>
          <cell r="F1196">
            <v>0</v>
          </cell>
          <cell r="G1196">
            <v>1975</v>
          </cell>
          <cell r="H1196">
            <v>20</v>
          </cell>
          <cell r="I1196">
            <v>23000000</v>
          </cell>
        </row>
        <row r="1197">
          <cell r="A1197" t="str">
            <v>Kenya</v>
          </cell>
          <cell r="B1197">
            <v>404</v>
          </cell>
          <cell r="C1197">
            <v>201</v>
          </cell>
          <cell r="D1197">
            <v>13</v>
          </cell>
          <cell r="E1197" t="str">
            <v>Less: Financial intermediation services indirectly measured (FISIM) (only to be deducted if FISIM is not distributed to uses)</v>
          </cell>
          <cell r="F1197">
            <v>0</v>
          </cell>
          <cell r="G1197">
            <v>1976</v>
          </cell>
          <cell r="H1197">
            <v>20</v>
          </cell>
          <cell r="I1197">
            <v>27000000</v>
          </cell>
        </row>
        <row r="1198">
          <cell r="A1198" t="str">
            <v>Kenya</v>
          </cell>
          <cell r="B1198">
            <v>404</v>
          </cell>
          <cell r="C1198">
            <v>201</v>
          </cell>
          <cell r="D1198">
            <v>13</v>
          </cell>
          <cell r="E1198" t="str">
            <v>Less: Financial intermediation services indirectly measured (FISIM) (only to be deducted if FISIM is not distributed to uses)</v>
          </cell>
          <cell r="F1198">
            <v>0</v>
          </cell>
          <cell r="G1198">
            <v>1977</v>
          </cell>
          <cell r="H1198">
            <v>20</v>
          </cell>
          <cell r="I1198">
            <v>37000000</v>
          </cell>
        </row>
        <row r="1199">
          <cell r="A1199" t="str">
            <v>Kenya</v>
          </cell>
          <cell r="B1199">
            <v>404</v>
          </cell>
          <cell r="C1199">
            <v>201</v>
          </cell>
          <cell r="D1199">
            <v>13</v>
          </cell>
          <cell r="E1199" t="str">
            <v>Less: Financial intermediation services indirectly measured (FISIM) (only to be deducted if FISIM is not distributed to uses)</v>
          </cell>
          <cell r="F1199">
            <v>0</v>
          </cell>
          <cell r="G1199">
            <v>1978</v>
          </cell>
          <cell r="H1199">
            <v>20</v>
          </cell>
          <cell r="I1199">
            <v>47000000</v>
          </cell>
        </row>
        <row r="1200">
          <cell r="A1200" t="str">
            <v>Kenya</v>
          </cell>
          <cell r="B1200">
            <v>404</v>
          </cell>
          <cell r="C1200">
            <v>201</v>
          </cell>
          <cell r="D1200">
            <v>13</v>
          </cell>
          <cell r="E1200" t="str">
            <v>Less: Financial intermediation services indirectly measured (FISIM) (only to be deducted if FISIM is not distributed to uses)</v>
          </cell>
          <cell r="F1200">
            <v>0</v>
          </cell>
          <cell r="G1200">
            <v>1979</v>
          </cell>
          <cell r="H1200">
            <v>20</v>
          </cell>
          <cell r="I1200">
            <v>56000000</v>
          </cell>
        </row>
        <row r="1201">
          <cell r="A1201" t="str">
            <v>Kenya</v>
          </cell>
          <cell r="B1201">
            <v>404</v>
          </cell>
          <cell r="C1201">
            <v>201</v>
          </cell>
          <cell r="D1201">
            <v>13</v>
          </cell>
          <cell r="E1201" t="str">
            <v>Less: Financial intermediation services indirectly measured (FISIM) (only to be deducted if FISIM is not distributed to uses)</v>
          </cell>
          <cell r="F1201">
            <v>0</v>
          </cell>
          <cell r="G1201">
            <v>1980</v>
          </cell>
          <cell r="H1201">
            <v>20</v>
          </cell>
          <cell r="I1201">
            <v>63000000</v>
          </cell>
        </row>
        <row r="1202">
          <cell r="A1202" t="str">
            <v>Kenya</v>
          </cell>
          <cell r="B1202">
            <v>404</v>
          </cell>
          <cell r="C1202">
            <v>201</v>
          </cell>
          <cell r="D1202">
            <v>13</v>
          </cell>
          <cell r="E1202" t="str">
            <v>Less: Financial intermediation services indirectly measured (FISIM) (only to be deducted if FISIM is not distributed to uses)</v>
          </cell>
          <cell r="F1202">
            <v>0</v>
          </cell>
          <cell r="G1202">
            <v>1981</v>
          </cell>
          <cell r="H1202">
            <v>20</v>
          </cell>
          <cell r="I1202">
            <v>71000000</v>
          </cell>
        </row>
        <row r="1203">
          <cell r="A1203" t="str">
            <v>Kenya</v>
          </cell>
          <cell r="B1203">
            <v>404</v>
          </cell>
          <cell r="C1203">
            <v>201</v>
          </cell>
          <cell r="D1203">
            <v>13</v>
          </cell>
          <cell r="E1203" t="str">
            <v>Less: Financial intermediation services indirectly measured (FISIM) (only to be deducted if FISIM is not distributed to uses)</v>
          </cell>
          <cell r="F1203">
            <v>0</v>
          </cell>
          <cell r="G1203">
            <v>1982</v>
          </cell>
          <cell r="H1203">
            <v>20</v>
          </cell>
          <cell r="I1203">
            <v>87000000</v>
          </cell>
        </row>
        <row r="1204">
          <cell r="A1204" t="str">
            <v>Kenya</v>
          </cell>
          <cell r="B1204">
            <v>404</v>
          </cell>
          <cell r="C1204">
            <v>201</v>
          </cell>
          <cell r="D1204">
            <v>13</v>
          </cell>
          <cell r="E1204" t="str">
            <v>Less: Financial intermediation services indirectly measured (FISIM) (only to be deducted if FISIM is not distributed to uses)</v>
          </cell>
          <cell r="F1204">
            <v>0</v>
          </cell>
          <cell r="G1204">
            <v>1983</v>
          </cell>
          <cell r="H1204">
            <v>20</v>
          </cell>
          <cell r="I1204">
            <v>115000000</v>
          </cell>
        </row>
        <row r="1205">
          <cell r="A1205" t="str">
            <v>Kenya</v>
          </cell>
          <cell r="B1205">
            <v>404</v>
          </cell>
          <cell r="C1205">
            <v>201</v>
          </cell>
          <cell r="D1205">
            <v>13</v>
          </cell>
          <cell r="E1205" t="str">
            <v>Less: Financial intermediation services indirectly measured (FISIM) (only to be deducted if FISIM is not distributed to uses)</v>
          </cell>
          <cell r="F1205">
            <v>0</v>
          </cell>
          <cell r="G1205">
            <v>1984</v>
          </cell>
          <cell r="H1205">
            <v>20</v>
          </cell>
          <cell r="I1205">
            <v>120000000</v>
          </cell>
        </row>
        <row r="1206">
          <cell r="A1206" t="str">
            <v>Kenya</v>
          </cell>
          <cell r="B1206">
            <v>404</v>
          </cell>
          <cell r="C1206">
            <v>201</v>
          </cell>
          <cell r="D1206">
            <v>13</v>
          </cell>
          <cell r="E1206" t="str">
            <v>Less: Financial intermediation services indirectly measured (FISIM) (only to be deducted if FISIM is not distributed to uses)</v>
          </cell>
          <cell r="F1206">
            <v>0</v>
          </cell>
          <cell r="G1206">
            <v>1985</v>
          </cell>
          <cell r="H1206">
            <v>20</v>
          </cell>
          <cell r="I1206">
            <v>131000000</v>
          </cell>
        </row>
        <row r="1207">
          <cell r="A1207" t="str">
            <v>Kenya</v>
          </cell>
          <cell r="B1207">
            <v>404</v>
          </cell>
          <cell r="C1207">
            <v>201</v>
          </cell>
          <cell r="D1207">
            <v>13</v>
          </cell>
          <cell r="E1207" t="str">
            <v>Less: Financial intermediation services indirectly measured (FISIM) (only to be deducted if FISIM is not distributed to uses)</v>
          </cell>
          <cell r="F1207">
            <v>0</v>
          </cell>
          <cell r="G1207">
            <v>1986</v>
          </cell>
          <cell r="H1207">
            <v>20</v>
          </cell>
          <cell r="I1207">
            <v>150000000</v>
          </cell>
        </row>
        <row r="1208">
          <cell r="A1208" t="str">
            <v>Kenya</v>
          </cell>
          <cell r="B1208">
            <v>404</v>
          </cell>
          <cell r="C1208">
            <v>201</v>
          </cell>
          <cell r="D1208">
            <v>13</v>
          </cell>
          <cell r="E1208" t="str">
            <v>Less: Financial intermediation services indirectly measured (FISIM) (only to be deducted if FISIM is not distributed to uses)</v>
          </cell>
          <cell r="F1208">
            <v>0</v>
          </cell>
          <cell r="G1208">
            <v>1987</v>
          </cell>
          <cell r="H1208">
            <v>20</v>
          </cell>
          <cell r="I1208">
            <v>173000000</v>
          </cell>
        </row>
        <row r="1209">
          <cell r="A1209" t="str">
            <v>Kenya</v>
          </cell>
          <cell r="B1209">
            <v>404</v>
          </cell>
          <cell r="C1209">
            <v>201</v>
          </cell>
          <cell r="D1209">
            <v>13</v>
          </cell>
          <cell r="E1209" t="str">
            <v>Less: Financial intermediation services indirectly measured (FISIM) (only to be deducted if FISIM is not distributed to uses)</v>
          </cell>
          <cell r="F1209">
            <v>0</v>
          </cell>
          <cell r="G1209">
            <v>1988</v>
          </cell>
          <cell r="H1209">
            <v>20</v>
          </cell>
          <cell r="I1209">
            <v>246000000</v>
          </cell>
        </row>
        <row r="1210">
          <cell r="A1210" t="str">
            <v>Kenya</v>
          </cell>
          <cell r="B1210">
            <v>404</v>
          </cell>
          <cell r="C1210">
            <v>201</v>
          </cell>
          <cell r="D1210">
            <v>13</v>
          </cell>
          <cell r="E1210" t="str">
            <v>Less: Financial intermediation services indirectly measured (FISIM) (only to be deducted if FISIM is not distributed to uses)</v>
          </cell>
          <cell r="F1210">
            <v>0</v>
          </cell>
          <cell r="G1210">
            <v>1989</v>
          </cell>
          <cell r="H1210">
            <v>20</v>
          </cell>
          <cell r="I1210">
            <v>282000000</v>
          </cell>
        </row>
        <row r="1211">
          <cell r="A1211" t="str">
            <v>Kenya</v>
          </cell>
          <cell r="B1211">
            <v>404</v>
          </cell>
          <cell r="C1211">
            <v>201</v>
          </cell>
          <cell r="D1211">
            <v>13</v>
          </cell>
          <cell r="E1211" t="str">
            <v>Less: Financial intermediation services indirectly measured (FISIM) (only to be deducted if FISIM is not distributed to uses)</v>
          </cell>
          <cell r="F1211">
            <v>0</v>
          </cell>
          <cell r="G1211">
            <v>1990</v>
          </cell>
          <cell r="H1211">
            <v>20</v>
          </cell>
          <cell r="I1211">
            <v>263000000</v>
          </cell>
        </row>
        <row r="1212">
          <cell r="A1212" t="str">
            <v>Kenya</v>
          </cell>
          <cell r="B1212">
            <v>404</v>
          </cell>
          <cell r="C1212">
            <v>201</v>
          </cell>
          <cell r="D1212">
            <v>13</v>
          </cell>
          <cell r="E1212" t="str">
            <v>Less: Financial intermediation services indirectly measured (FISIM) (only to be deducted if FISIM is not distributed to uses)</v>
          </cell>
          <cell r="F1212">
            <v>0</v>
          </cell>
          <cell r="G1212">
            <v>1991</v>
          </cell>
          <cell r="H1212">
            <v>20</v>
          </cell>
          <cell r="I1212">
            <v>328000000</v>
          </cell>
        </row>
        <row r="1213">
          <cell r="A1213" t="str">
            <v>Kenya</v>
          </cell>
          <cell r="B1213">
            <v>404</v>
          </cell>
          <cell r="C1213">
            <v>201</v>
          </cell>
          <cell r="D1213">
            <v>13</v>
          </cell>
          <cell r="E1213" t="str">
            <v>Less: Financial intermediation services indirectly measured (FISIM) (only to be deducted if FISIM is not distributed to uses)</v>
          </cell>
          <cell r="F1213">
            <v>0</v>
          </cell>
          <cell r="G1213">
            <v>1992</v>
          </cell>
          <cell r="H1213">
            <v>20</v>
          </cell>
          <cell r="I1213">
            <v>643000000</v>
          </cell>
        </row>
        <row r="1214">
          <cell r="A1214" t="str">
            <v>Kenya</v>
          </cell>
          <cell r="B1214">
            <v>404</v>
          </cell>
          <cell r="C1214">
            <v>201</v>
          </cell>
          <cell r="D1214">
            <v>13</v>
          </cell>
          <cell r="E1214" t="str">
            <v>Less: Financial intermediation services indirectly measured (FISIM) (only to be deducted if FISIM is not distributed to uses)</v>
          </cell>
          <cell r="F1214">
            <v>0</v>
          </cell>
          <cell r="G1214">
            <v>1993</v>
          </cell>
          <cell r="H1214">
            <v>20</v>
          </cell>
          <cell r="I1214">
            <v>725000000</v>
          </cell>
        </row>
        <row r="1215">
          <cell r="A1215" t="str">
            <v>Kenya</v>
          </cell>
          <cell r="B1215">
            <v>404</v>
          </cell>
          <cell r="C1215">
            <v>201</v>
          </cell>
          <cell r="D1215">
            <v>13</v>
          </cell>
          <cell r="E1215" t="str">
            <v>Less: Financial intermediation services indirectly measured (FISIM) (only to be deducted if FISIM is not distributed to uses)</v>
          </cell>
          <cell r="F1215">
            <v>0</v>
          </cell>
          <cell r="G1215">
            <v>1994</v>
          </cell>
          <cell r="H1215">
            <v>20</v>
          </cell>
          <cell r="I1215">
            <v>1410000000</v>
          </cell>
        </row>
        <row r="1216">
          <cell r="A1216" t="str">
            <v>Kenya</v>
          </cell>
          <cell r="B1216">
            <v>404</v>
          </cell>
          <cell r="C1216">
            <v>201</v>
          </cell>
          <cell r="D1216">
            <v>13</v>
          </cell>
          <cell r="E1216" t="str">
            <v>Less: Financial intermediation services indirectly measured (FISIM) (only to be deducted if FISIM is not distributed to uses)</v>
          </cell>
          <cell r="F1216">
            <v>0</v>
          </cell>
          <cell r="G1216">
            <v>1995</v>
          </cell>
          <cell r="H1216">
            <v>20</v>
          </cell>
          <cell r="I1216">
            <v>1474000000</v>
          </cell>
        </row>
        <row r="1217">
          <cell r="A1217" t="str">
            <v>Kenya</v>
          </cell>
          <cell r="B1217">
            <v>404</v>
          </cell>
          <cell r="C1217">
            <v>201</v>
          </cell>
          <cell r="D1217">
            <v>13</v>
          </cell>
          <cell r="E1217" t="str">
            <v>Less: Financial intermediation services indirectly measured (FISIM) (only to be deducted if FISIM is not distributed to uses)</v>
          </cell>
          <cell r="F1217">
            <v>0</v>
          </cell>
          <cell r="G1217">
            <v>1996</v>
          </cell>
          <cell r="H1217">
            <v>20</v>
          </cell>
          <cell r="I1217">
            <v>1805000000</v>
          </cell>
        </row>
        <row r="1218">
          <cell r="A1218" t="str">
            <v>Kenya</v>
          </cell>
          <cell r="B1218">
            <v>404</v>
          </cell>
          <cell r="C1218">
            <v>201</v>
          </cell>
          <cell r="D1218">
            <v>13</v>
          </cell>
          <cell r="E1218" t="str">
            <v>Less: Financial intermediation services indirectly measured (FISIM) (only to be deducted if FISIM is not distributed to uses)</v>
          </cell>
          <cell r="F1218">
            <v>0</v>
          </cell>
          <cell r="G1218">
            <v>1997</v>
          </cell>
          <cell r="H1218">
            <v>20</v>
          </cell>
          <cell r="I1218">
            <v>1965000000</v>
          </cell>
        </row>
        <row r="1219">
          <cell r="A1219" t="str">
            <v>Kenya</v>
          </cell>
          <cell r="B1219">
            <v>404</v>
          </cell>
          <cell r="C1219">
            <v>201</v>
          </cell>
          <cell r="D1219">
            <v>13</v>
          </cell>
          <cell r="E1219" t="str">
            <v>Less: Financial intermediation services indirectly measured (FISIM) (only to be deducted if FISIM is not distributed to uses)</v>
          </cell>
          <cell r="F1219">
            <v>0</v>
          </cell>
          <cell r="G1219">
            <v>1998</v>
          </cell>
          <cell r="H1219">
            <v>20</v>
          </cell>
          <cell r="I1219">
            <v>2356000000</v>
          </cell>
        </row>
        <row r="1220">
          <cell r="A1220" t="str">
            <v>Kenya</v>
          </cell>
          <cell r="B1220">
            <v>404</v>
          </cell>
          <cell r="C1220">
            <v>201</v>
          </cell>
          <cell r="D1220">
            <v>13</v>
          </cell>
          <cell r="E1220" t="str">
            <v>Less: Financial intermediation services indirectly measured (FISIM) (only to be deducted if FISIM is not distributed to uses)</v>
          </cell>
          <cell r="F1220">
            <v>0</v>
          </cell>
          <cell r="G1220">
            <v>1999</v>
          </cell>
          <cell r="H1220">
            <v>20</v>
          </cell>
          <cell r="I1220">
            <v>2109000000</v>
          </cell>
        </row>
        <row r="1221">
          <cell r="A1221" t="str">
            <v>Kenya</v>
          </cell>
          <cell r="B1221">
            <v>404</v>
          </cell>
          <cell r="C1221">
            <v>201</v>
          </cell>
          <cell r="D1221">
            <v>13</v>
          </cell>
          <cell r="E1221" t="str">
            <v>Less: Financial intermediation services indirectly measured (FISIM) (only to be deducted if FISIM is not distributed to uses)</v>
          </cell>
          <cell r="F1221">
            <v>0</v>
          </cell>
          <cell r="G1221">
            <v>2000</v>
          </cell>
          <cell r="H1221">
            <v>20</v>
          </cell>
          <cell r="I1221">
            <v>1538000000</v>
          </cell>
        </row>
        <row r="1222">
          <cell r="A1222" t="str">
            <v>Kenya</v>
          </cell>
          <cell r="B1222">
            <v>404</v>
          </cell>
          <cell r="C1222">
            <v>201</v>
          </cell>
          <cell r="D1222">
            <v>13</v>
          </cell>
          <cell r="E1222" t="str">
            <v>Less: Financial intermediation services indirectly measured (FISIM) (only to be deducted if FISIM is not distributed to uses)</v>
          </cell>
          <cell r="F1222">
            <v>0</v>
          </cell>
          <cell r="G1222">
            <v>2001</v>
          </cell>
          <cell r="H1222">
            <v>20</v>
          </cell>
          <cell r="I1222">
            <v>1422000000</v>
          </cell>
        </row>
        <row r="1223">
          <cell r="A1223" t="str">
            <v>Kenya</v>
          </cell>
          <cell r="B1223">
            <v>404</v>
          </cell>
          <cell r="C1223">
            <v>201</v>
          </cell>
          <cell r="D1223">
            <v>13</v>
          </cell>
          <cell r="E1223" t="str">
            <v>Less: Financial intermediation services indirectly measured (FISIM) (only to be deducted if FISIM is not distributed to uses)</v>
          </cell>
          <cell r="F1223">
            <v>0</v>
          </cell>
          <cell r="G1223">
            <v>2002</v>
          </cell>
          <cell r="H1223">
            <v>20</v>
          </cell>
          <cell r="I1223">
            <v>1339000000</v>
          </cell>
        </row>
        <row r="1224">
          <cell r="A1224" t="str">
            <v>Kenya</v>
          </cell>
          <cell r="B1224">
            <v>404</v>
          </cell>
          <cell r="C1224">
            <v>201</v>
          </cell>
          <cell r="D1224">
            <v>13</v>
          </cell>
          <cell r="E1224" t="str">
            <v>Less: Financial intermediation services indirectly measured (FISIM) (only to be deducted if FISIM is not distributed to uses)</v>
          </cell>
          <cell r="F1224">
            <v>0</v>
          </cell>
          <cell r="G1224">
            <v>2003</v>
          </cell>
          <cell r="H1224">
            <v>20</v>
          </cell>
          <cell r="I1224">
            <v>1725000000</v>
          </cell>
        </row>
        <row r="1225">
          <cell r="A1225" t="str">
            <v>Kenya</v>
          </cell>
          <cell r="B1225">
            <v>404</v>
          </cell>
          <cell r="C1225">
            <v>203</v>
          </cell>
          <cell r="D1225">
            <v>3</v>
          </cell>
          <cell r="E1225" t="str">
            <v>Equals: VALUE ADDED, GROSS, at basic prices</v>
          </cell>
          <cell r="F1225">
            <v>12</v>
          </cell>
          <cell r="G1225">
            <v>1987</v>
          </cell>
          <cell r="H1225">
            <v>20</v>
          </cell>
          <cell r="I1225">
            <v>5820000000</v>
          </cell>
        </row>
        <row r="1226">
          <cell r="A1226" t="str">
            <v>Kenya</v>
          </cell>
          <cell r="B1226">
            <v>404</v>
          </cell>
          <cell r="C1226">
            <v>203</v>
          </cell>
          <cell r="D1226">
            <v>3</v>
          </cell>
          <cell r="E1226" t="str">
            <v>Equals: VALUE ADDED, GROSS, at basic prices</v>
          </cell>
          <cell r="F1226">
            <v>12</v>
          </cell>
          <cell r="G1226">
            <v>1988</v>
          </cell>
          <cell r="H1226">
            <v>20</v>
          </cell>
          <cell r="I1226">
            <v>6727000000</v>
          </cell>
        </row>
        <row r="1227">
          <cell r="A1227" t="str">
            <v>Kenya</v>
          </cell>
          <cell r="B1227">
            <v>404</v>
          </cell>
          <cell r="C1227">
            <v>203</v>
          </cell>
          <cell r="D1227">
            <v>3</v>
          </cell>
          <cell r="E1227" t="str">
            <v>Equals: VALUE ADDED, GROSS, at basic prices</v>
          </cell>
          <cell r="F1227">
            <v>12</v>
          </cell>
          <cell r="G1227">
            <v>1989</v>
          </cell>
          <cell r="H1227">
            <v>20</v>
          </cell>
          <cell r="I1227">
            <v>7625000000</v>
          </cell>
        </row>
        <row r="1228">
          <cell r="A1228" t="str">
            <v>Kenya</v>
          </cell>
          <cell r="B1228">
            <v>404</v>
          </cell>
          <cell r="C1228">
            <v>203</v>
          </cell>
          <cell r="D1228">
            <v>3</v>
          </cell>
          <cell r="E1228" t="str">
            <v>Equals: VALUE ADDED, GROSS, at basic prices</v>
          </cell>
          <cell r="F1228">
            <v>12</v>
          </cell>
          <cell r="G1228">
            <v>1990</v>
          </cell>
          <cell r="H1228">
            <v>20</v>
          </cell>
          <cell r="I1228">
            <v>8641000000</v>
          </cell>
        </row>
        <row r="1229">
          <cell r="A1229" t="str">
            <v>Kenya</v>
          </cell>
          <cell r="B1229">
            <v>404</v>
          </cell>
          <cell r="C1229">
            <v>203</v>
          </cell>
          <cell r="D1229">
            <v>3</v>
          </cell>
          <cell r="E1229" t="str">
            <v>Equals: VALUE ADDED, GROSS, at basic prices</v>
          </cell>
          <cell r="F1229">
            <v>12</v>
          </cell>
          <cell r="G1229">
            <v>1991</v>
          </cell>
          <cell r="H1229">
            <v>20</v>
          </cell>
          <cell r="I1229">
            <v>9848000000</v>
          </cell>
        </row>
        <row r="1230">
          <cell r="A1230" t="str">
            <v>Kenya</v>
          </cell>
          <cell r="B1230">
            <v>404</v>
          </cell>
          <cell r="C1230">
            <v>203</v>
          </cell>
          <cell r="D1230">
            <v>3</v>
          </cell>
          <cell r="E1230" t="str">
            <v>Equals: VALUE ADDED, GROSS, at basic prices</v>
          </cell>
          <cell r="F1230">
            <v>12</v>
          </cell>
          <cell r="G1230">
            <v>1992</v>
          </cell>
          <cell r="H1230">
            <v>20</v>
          </cell>
          <cell r="I1230">
            <v>10966000000</v>
          </cell>
        </row>
        <row r="1231">
          <cell r="A1231" t="str">
            <v>Kenya</v>
          </cell>
          <cell r="B1231">
            <v>404</v>
          </cell>
          <cell r="C1231">
            <v>203</v>
          </cell>
          <cell r="D1231">
            <v>3</v>
          </cell>
          <cell r="E1231" t="str">
            <v>Equals: VALUE ADDED, GROSS, at basic prices</v>
          </cell>
          <cell r="F1231">
            <v>12</v>
          </cell>
          <cell r="G1231">
            <v>1993</v>
          </cell>
          <cell r="H1231">
            <v>20</v>
          </cell>
          <cell r="I1231">
            <v>13603000000</v>
          </cell>
        </row>
        <row r="1232">
          <cell r="A1232" t="str">
            <v>Kenya</v>
          </cell>
          <cell r="B1232">
            <v>404</v>
          </cell>
          <cell r="C1232">
            <v>203</v>
          </cell>
          <cell r="D1232">
            <v>3</v>
          </cell>
          <cell r="E1232" t="str">
            <v>Equals: VALUE ADDED, GROSS, at basic prices</v>
          </cell>
          <cell r="F1232">
            <v>12</v>
          </cell>
          <cell r="G1232">
            <v>1994</v>
          </cell>
          <cell r="H1232">
            <v>20</v>
          </cell>
          <cell r="I1232">
            <v>16304000000</v>
          </cell>
        </row>
        <row r="1233">
          <cell r="A1233" t="str">
            <v>Kenya</v>
          </cell>
          <cell r="B1233">
            <v>404</v>
          </cell>
          <cell r="C1233">
            <v>203</v>
          </cell>
          <cell r="D1233">
            <v>3</v>
          </cell>
          <cell r="E1233" t="str">
            <v>Equals: VALUE ADDED, GROSS, at basic prices</v>
          </cell>
          <cell r="F1233">
            <v>12</v>
          </cell>
          <cell r="G1233">
            <v>1995</v>
          </cell>
          <cell r="H1233">
            <v>20</v>
          </cell>
          <cell r="I1233">
            <v>19206000000</v>
          </cell>
        </row>
        <row r="1234">
          <cell r="A1234" t="str">
            <v>Kenya</v>
          </cell>
          <cell r="B1234">
            <v>404</v>
          </cell>
          <cell r="C1234">
            <v>203</v>
          </cell>
          <cell r="D1234">
            <v>3</v>
          </cell>
          <cell r="E1234" t="str">
            <v>Equals: VALUE ADDED, GROSS, at basic prices</v>
          </cell>
          <cell r="F1234">
            <v>12</v>
          </cell>
          <cell r="G1234">
            <v>1996</v>
          </cell>
          <cell r="H1234">
            <v>20</v>
          </cell>
          <cell r="I1234">
            <v>22447000000</v>
          </cell>
        </row>
        <row r="1235">
          <cell r="A1235" t="str">
            <v>Kenya</v>
          </cell>
          <cell r="B1235">
            <v>404</v>
          </cell>
          <cell r="C1235">
            <v>203</v>
          </cell>
          <cell r="D1235">
            <v>3</v>
          </cell>
          <cell r="E1235" t="str">
            <v>Equals: VALUE ADDED, GROSS, at basic prices</v>
          </cell>
          <cell r="F1235">
            <v>12</v>
          </cell>
          <cell r="G1235">
            <v>1997</v>
          </cell>
          <cell r="H1235">
            <v>20</v>
          </cell>
          <cell r="I1235">
            <v>26990000000</v>
          </cell>
        </row>
        <row r="1236">
          <cell r="A1236" t="str">
            <v>Kenya</v>
          </cell>
          <cell r="B1236">
            <v>404</v>
          </cell>
          <cell r="C1236">
            <v>203</v>
          </cell>
          <cell r="D1236">
            <v>3</v>
          </cell>
          <cell r="E1236" t="str">
            <v>Equals: VALUE ADDED, GROSS, at basic prices</v>
          </cell>
          <cell r="F1236">
            <v>12</v>
          </cell>
          <cell r="G1236">
            <v>1998</v>
          </cell>
          <cell r="H1236">
            <v>20</v>
          </cell>
          <cell r="I1236">
            <v>29701000000</v>
          </cell>
        </row>
        <row r="1237">
          <cell r="A1237" t="str">
            <v>Kenya</v>
          </cell>
          <cell r="B1237">
            <v>404</v>
          </cell>
          <cell r="C1237">
            <v>203</v>
          </cell>
          <cell r="D1237">
            <v>3</v>
          </cell>
          <cell r="E1237" t="str">
            <v>Equals: VALUE ADDED, GROSS, at basic prices</v>
          </cell>
          <cell r="F1237">
            <v>12</v>
          </cell>
          <cell r="G1237">
            <v>1999</v>
          </cell>
          <cell r="H1237">
            <v>20</v>
          </cell>
          <cell r="I1237">
            <v>32134000000</v>
          </cell>
        </row>
        <row r="1238">
          <cell r="A1238" t="str">
            <v>Kenya</v>
          </cell>
          <cell r="B1238">
            <v>404</v>
          </cell>
          <cell r="C1238">
            <v>203</v>
          </cell>
          <cell r="D1238">
            <v>3</v>
          </cell>
          <cell r="E1238" t="str">
            <v>Equals: VALUE ADDED, GROSS, at basic prices</v>
          </cell>
          <cell r="F1238">
            <v>12</v>
          </cell>
          <cell r="G1238">
            <v>2000</v>
          </cell>
          <cell r="H1238">
            <v>20</v>
          </cell>
          <cell r="I1238">
            <v>34272000000</v>
          </cell>
        </row>
        <row r="1239">
          <cell r="A1239" t="str">
            <v>Kenya</v>
          </cell>
          <cell r="B1239">
            <v>404</v>
          </cell>
          <cell r="C1239">
            <v>203</v>
          </cell>
          <cell r="D1239">
            <v>3</v>
          </cell>
          <cell r="E1239" t="str">
            <v>Equals: VALUE ADDED, GROSS, at basic prices</v>
          </cell>
          <cell r="F1239">
            <v>12</v>
          </cell>
          <cell r="G1239">
            <v>2001</v>
          </cell>
          <cell r="H1239">
            <v>20</v>
          </cell>
          <cell r="I1239">
            <v>38369000000</v>
          </cell>
        </row>
        <row r="1240">
          <cell r="A1240" t="str">
            <v>Kenya</v>
          </cell>
          <cell r="B1240">
            <v>404</v>
          </cell>
          <cell r="C1240">
            <v>203</v>
          </cell>
          <cell r="D1240">
            <v>3</v>
          </cell>
          <cell r="E1240" t="str">
            <v>Equals: VALUE ADDED, GROSS, at basic prices</v>
          </cell>
          <cell r="F1240">
            <v>12</v>
          </cell>
          <cell r="G1240">
            <v>2002</v>
          </cell>
          <cell r="H1240">
            <v>20</v>
          </cell>
          <cell r="I1240">
            <v>42499000000</v>
          </cell>
        </row>
        <row r="1241">
          <cell r="A1241" t="str">
            <v>Kenya</v>
          </cell>
          <cell r="B1241">
            <v>404</v>
          </cell>
          <cell r="C1241">
            <v>203</v>
          </cell>
          <cell r="D1241">
            <v>3</v>
          </cell>
          <cell r="E1241" t="str">
            <v>Equals: VALUE ADDED, GROSS, at basic prices</v>
          </cell>
          <cell r="F1241">
            <v>12</v>
          </cell>
          <cell r="G1241">
            <v>2003</v>
          </cell>
          <cell r="H1241">
            <v>20</v>
          </cell>
          <cell r="I1241">
            <v>48421000000</v>
          </cell>
        </row>
        <row r="1242">
          <cell r="A1242" t="str">
            <v>Kenya</v>
          </cell>
          <cell r="B1242">
            <v>404</v>
          </cell>
          <cell r="C1242">
            <v>203</v>
          </cell>
          <cell r="D1242">
            <v>4</v>
          </cell>
          <cell r="E1242" t="str">
            <v>Compensation of employees</v>
          </cell>
          <cell r="F1242">
            <v>12</v>
          </cell>
          <cell r="G1242">
            <v>1970</v>
          </cell>
          <cell r="H1242">
            <v>10</v>
          </cell>
          <cell r="I1242">
            <v>237000000</v>
          </cell>
        </row>
        <row r="1243">
          <cell r="A1243" t="str">
            <v>Kenya</v>
          </cell>
          <cell r="B1243">
            <v>404</v>
          </cell>
          <cell r="C1243">
            <v>203</v>
          </cell>
          <cell r="D1243">
            <v>4</v>
          </cell>
          <cell r="E1243" t="str">
            <v>Compensation of employees</v>
          </cell>
          <cell r="F1243">
            <v>12</v>
          </cell>
          <cell r="G1243">
            <v>1971</v>
          </cell>
          <cell r="H1243">
            <v>10</v>
          </cell>
          <cell r="I1243">
            <v>267000000</v>
          </cell>
        </row>
        <row r="1244">
          <cell r="A1244" t="str">
            <v>Kenya</v>
          </cell>
          <cell r="B1244">
            <v>404</v>
          </cell>
          <cell r="C1244">
            <v>203</v>
          </cell>
          <cell r="D1244">
            <v>4</v>
          </cell>
          <cell r="E1244" t="str">
            <v>Compensation of employees</v>
          </cell>
          <cell r="F1244">
            <v>12</v>
          </cell>
          <cell r="G1244">
            <v>1972</v>
          </cell>
          <cell r="H1244">
            <v>20</v>
          </cell>
          <cell r="I1244">
            <v>310000000</v>
          </cell>
        </row>
        <row r="1245">
          <cell r="A1245" t="str">
            <v>Kenya</v>
          </cell>
          <cell r="B1245">
            <v>404</v>
          </cell>
          <cell r="C1245">
            <v>203</v>
          </cell>
          <cell r="D1245">
            <v>4</v>
          </cell>
          <cell r="E1245" t="str">
            <v>Compensation of employees</v>
          </cell>
          <cell r="F1245">
            <v>12</v>
          </cell>
          <cell r="G1245">
            <v>1973</v>
          </cell>
          <cell r="H1245">
            <v>20</v>
          </cell>
          <cell r="I1245">
            <v>336000000</v>
          </cell>
        </row>
        <row r="1246">
          <cell r="A1246" t="str">
            <v>Kenya</v>
          </cell>
          <cell r="B1246">
            <v>404</v>
          </cell>
          <cell r="C1246">
            <v>203</v>
          </cell>
          <cell r="D1246">
            <v>4</v>
          </cell>
          <cell r="E1246" t="str">
            <v>Compensation of employees</v>
          </cell>
          <cell r="F1246">
            <v>12</v>
          </cell>
          <cell r="G1246">
            <v>1974</v>
          </cell>
          <cell r="H1246">
            <v>20</v>
          </cell>
          <cell r="I1246">
            <v>387000000</v>
          </cell>
        </row>
        <row r="1247">
          <cell r="A1247" t="str">
            <v>Kenya</v>
          </cell>
          <cell r="B1247">
            <v>404</v>
          </cell>
          <cell r="C1247">
            <v>203</v>
          </cell>
          <cell r="D1247">
            <v>4</v>
          </cell>
          <cell r="E1247" t="str">
            <v>Compensation of employees</v>
          </cell>
          <cell r="F1247">
            <v>12</v>
          </cell>
          <cell r="G1247">
            <v>1975</v>
          </cell>
          <cell r="H1247">
            <v>20</v>
          </cell>
          <cell r="I1247">
            <v>446000000</v>
          </cell>
        </row>
        <row r="1248">
          <cell r="A1248" t="str">
            <v>Kenya</v>
          </cell>
          <cell r="B1248">
            <v>404</v>
          </cell>
          <cell r="C1248">
            <v>203</v>
          </cell>
          <cell r="D1248">
            <v>4</v>
          </cell>
          <cell r="E1248" t="str">
            <v>Compensation of employees</v>
          </cell>
          <cell r="F1248">
            <v>12</v>
          </cell>
          <cell r="G1248">
            <v>1976</v>
          </cell>
          <cell r="H1248">
            <v>20</v>
          </cell>
          <cell r="I1248">
            <v>508000000</v>
          </cell>
        </row>
        <row r="1249">
          <cell r="A1249" t="str">
            <v>Kenya</v>
          </cell>
          <cell r="B1249">
            <v>404</v>
          </cell>
          <cell r="C1249">
            <v>203</v>
          </cell>
          <cell r="D1249">
            <v>4</v>
          </cell>
          <cell r="E1249" t="str">
            <v>Compensation of employees</v>
          </cell>
          <cell r="F1249">
            <v>12</v>
          </cell>
          <cell r="G1249">
            <v>1977</v>
          </cell>
          <cell r="H1249">
            <v>20</v>
          </cell>
          <cell r="I1249">
            <v>594000000</v>
          </cell>
        </row>
        <row r="1250">
          <cell r="A1250" t="str">
            <v>Kenya</v>
          </cell>
          <cell r="B1250">
            <v>404</v>
          </cell>
          <cell r="C1250">
            <v>203</v>
          </cell>
          <cell r="D1250">
            <v>4</v>
          </cell>
          <cell r="E1250" t="str">
            <v>Compensation of employees</v>
          </cell>
          <cell r="F1250">
            <v>12</v>
          </cell>
          <cell r="G1250">
            <v>1978</v>
          </cell>
          <cell r="H1250">
            <v>20</v>
          </cell>
          <cell r="I1250">
            <v>691000000</v>
          </cell>
        </row>
        <row r="1251">
          <cell r="A1251" t="str">
            <v>Kenya</v>
          </cell>
          <cell r="B1251">
            <v>404</v>
          </cell>
          <cell r="C1251">
            <v>203</v>
          </cell>
          <cell r="D1251">
            <v>4</v>
          </cell>
          <cell r="E1251" t="str">
            <v>Compensation of employees</v>
          </cell>
          <cell r="F1251">
            <v>12</v>
          </cell>
          <cell r="G1251">
            <v>1979</v>
          </cell>
          <cell r="H1251">
            <v>20</v>
          </cell>
          <cell r="I1251">
            <v>802000000</v>
          </cell>
        </row>
        <row r="1252">
          <cell r="A1252" t="str">
            <v>Kenya</v>
          </cell>
          <cell r="B1252">
            <v>404</v>
          </cell>
          <cell r="C1252">
            <v>203</v>
          </cell>
          <cell r="D1252">
            <v>4</v>
          </cell>
          <cell r="E1252" t="str">
            <v>Compensation of employees</v>
          </cell>
          <cell r="F1252">
            <v>12</v>
          </cell>
          <cell r="G1252">
            <v>1980</v>
          </cell>
          <cell r="H1252">
            <v>20</v>
          </cell>
          <cell r="I1252">
            <v>935000000</v>
          </cell>
        </row>
        <row r="1253">
          <cell r="A1253" t="str">
            <v>Kenya</v>
          </cell>
          <cell r="B1253">
            <v>404</v>
          </cell>
          <cell r="C1253">
            <v>203</v>
          </cell>
          <cell r="D1253">
            <v>4</v>
          </cell>
          <cell r="E1253" t="str">
            <v>Compensation of employees</v>
          </cell>
          <cell r="F1253">
            <v>12</v>
          </cell>
          <cell r="G1253">
            <v>1981</v>
          </cell>
          <cell r="H1253">
            <v>20</v>
          </cell>
          <cell r="I1253">
            <v>1101000000</v>
          </cell>
        </row>
        <row r="1254">
          <cell r="A1254" t="str">
            <v>Kenya</v>
          </cell>
          <cell r="B1254">
            <v>404</v>
          </cell>
          <cell r="C1254">
            <v>203</v>
          </cell>
          <cell r="D1254">
            <v>4</v>
          </cell>
          <cell r="E1254" t="str">
            <v>Compensation of employees</v>
          </cell>
          <cell r="F1254">
            <v>12</v>
          </cell>
          <cell r="G1254">
            <v>1982</v>
          </cell>
          <cell r="H1254">
            <v>20</v>
          </cell>
          <cell r="I1254">
            <v>1374000000</v>
          </cell>
        </row>
        <row r="1255">
          <cell r="A1255" t="str">
            <v>Kenya</v>
          </cell>
          <cell r="B1255">
            <v>404</v>
          </cell>
          <cell r="C1255">
            <v>203</v>
          </cell>
          <cell r="D1255">
            <v>4</v>
          </cell>
          <cell r="E1255" t="str">
            <v>Compensation of employees</v>
          </cell>
          <cell r="F1255">
            <v>12</v>
          </cell>
          <cell r="G1255">
            <v>1983</v>
          </cell>
          <cell r="H1255">
            <v>20</v>
          </cell>
          <cell r="I1255">
            <v>1480000000</v>
          </cell>
        </row>
        <row r="1256">
          <cell r="A1256" t="str">
            <v>Kenya</v>
          </cell>
          <cell r="B1256">
            <v>404</v>
          </cell>
          <cell r="C1256">
            <v>203</v>
          </cell>
          <cell r="D1256">
            <v>4</v>
          </cell>
          <cell r="E1256" t="str">
            <v>Compensation of employees</v>
          </cell>
          <cell r="F1256">
            <v>12</v>
          </cell>
          <cell r="G1256">
            <v>1984</v>
          </cell>
          <cell r="H1256">
            <v>20</v>
          </cell>
          <cell r="I1256">
            <v>1561000000</v>
          </cell>
        </row>
        <row r="1257">
          <cell r="A1257" t="str">
            <v>Kenya</v>
          </cell>
          <cell r="B1257">
            <v>404</v>
          </cell>
          <cell r="C1257">
            <v>203</v>
          </cell>
          <cell r="D1257">
            <v>4</v>
          </cell>
          <cell r="E1257" t="str">
            <v>Compensation of employees</v>
          </cell>
          <cell r="F1257">
            <v>12</v>
          </cell>
          <cell r="G1257">
            <v>1985</v>
          </cell>
          <cell r="H1257">
            <v>20</v>
          </cell>
          <cell r="I1257">
            <v>1805000000</v>
          </cell>
        </row>
        <row r="1258">
          <cell r="A1258" t="str">
            <v>Kenya</v>
          </cell>
          <cell r="B1258">
            <v>404</v>
          </cell>
          <cell r="C1258">
            <v>203</v>
          </cell>
          <cell r="D1258">
            <v>4</v>
          </cell>
          <cell r="E1258" t="str">
            <v>Compensation of employees</v>
          </cell>
          <cell r="F1258">
            <v>12</v>
          </cell>
          <cell r="G1258">
            <v>1986</v>
          </cell>
          <cell r="H1258">
            <v>20</v>
          </cell>
          <cell r="I1258">
            <v>2097000000</v>
          </cell>
        </row>
        <row r="1259">
          <cell r="A1259" t="str">
            <v>Kenya</v>
          </cell>
          <cell r="B1259">
            <v>404</v>
          </cell>
          <cell r="C1259">
            <v>203</v>
          </cell>
          <cell r="D1259">
            <v>4</v>
          </cell>
          <cell r="E1259" t="str">
            <v>Compensation of employees</v>
          </cell>
          <cell r="F1259">
            <v>12</v>
          </cell>
          <cell r="G1259">
            <v>1987</v>
          </cell>
          <cell r="H1259">
            <v>20</v>
          </cell>
          <cell r="I1259">
            <v>2397000000</v>
          </cell>
        </row>
        <row r="1260">
          <cell r="A1260" t="str">
            <v>Kenya</v>
          </cell>
          <cell r="B1260">
            <v>404</v>
          </cell>
          <cell r="C1260">
            <v>203</v>
          </cell>
          <cell r="D1260">
            <v>4</v>
          </cell>
          <cell r="E1260" t="str">
            <v>Compensation of employees</v>
          </cell>
          <cell r="F1260">
            <v>12</v>
          </cell>
          <cell r="G1260">
            <v>1988</v>
          </cell>
          <cell r="H1260">
            <v>20</v>
          </cell>
          <cell r="I1260">
            <v>2766000000</v>
          </cell>
        </row>
        <row r="1261">
          <cell r="A1261" t="str">
            <v>Kenya</v>
          </cell>
          <cell r="B1261">
            <v>404</v>
          </cell>
          <cell r="C1261">
            <v>203</v>
          </cell>
          <cell r="D1261">
            <v>4</v>
          </cell>
          <cell r="E1261" t="str">
            <v>Compensation of employees</v>
          </cell>
          <cell r="F1261">
            <v>12</v>
          </cell>
          <cell r="G1261">
            <v>1989</v>
          </cell>
          <cell r="H1261">
            <v>20</v>
          </cell>
          <cell r="I1261">
            <v>3155000000</v>
          </cell>
        </row>
        <row r="1262">
          <cell r="A1262" t="str">
            <v>Kenya</v>
          </cell>
          <cell r="B1262">
            <v>404</v>
          </cell>
          <cell r="C1262">
            <v>203</v>
          </cell>
          <cell r="D1262">
            <v>4</v>
          </cell>
          <cell r="E1262" t="str">
            <v>Compensation of employees</v>
          </cell>
          <cell r="F1262">
            <v>12</v>
          </cell>
          <cell r="G1262">
            <v>1990</v>
          </cell>
          <cell r="H1262">
            <v>20</v>
          </cell>
          <cell r="I1262">
            <v>3524000000</v>
          </cell>
        </row>
        <row r="1263">
          <cell r="A1263" t="str">
            <v>Kenya</v>
          </cell>
          <cell r="B1263">
            <v>404</v>
          </cell>
          <cell r="C1263">
            <v>203</v>
          </cell>
          <cell r="D1263">
            <v>4</v>
          </cell>
          <cell r="E1263" t="str">
            <v>Compensation of employees</v>
          </cell>
          <cell r="F1263">
            <v>12</v>
          </cell>
          <cell r="G1263">
            <v>1991</v>
          </cell>
          <cell r="H1263">
            <v>20</v>
          </cell>
          <cell r="I1263">
            <v>3960000000</v>
          </cell>
        </row>
        <row r="1264">
          <cell r="A1264" t="str">
            <v>Kenya</v>
          </cell>
          <cell r="B1264">
            <v>404</v>
          </cell>
          <cell r="C1264">
            <v>203</v>
          </cell>
          <cell r="D1264">
            <v>4</v>
          </cell>
          <cell r="E1264" t="str">
            <v>Compensation of employees</v>
          </cell>
          <cell r="F1264">
            <v>12</v>
          </cell>
          <cell r="G1264">
            <v>1992</v>
          </cell>
          <cell r="H1264">
            <v>20</v>
          </cell>
          <cell r="I1264">
            <v>4674000000</v>
          </cell>
        </row>
        <row r="1265">
          <cell r="A1265" t="str">
            <v>Kenya</v>
          </cell>
          <cell r="B1265">
            <v>404</v>
          </cell>
          <cell r="C1265">
            <v>203</v>
          </cell>
          <cell r="D1265">
            <v>4</v>
          </cell>
          <cell r="E1265" t="str">
            <v>Compensation of employees</v>
          </cell>
          <cell r="F1265">
            <v>12</v>
          </cell>
          <cell r="G1265">
            <v>1993</v>
          </cell>
          <cell r="H1265">
            <v>20</v>
          </cell>
          <cell r="I1265">
            <v>5594000000</v>
          </cell>
        </row>
        <row r="1266">
          <cell r="A1266" t="str">
            <v>Kenya</v>
          </cell>
          <cell r="B1266">
            <v>404</v>
          </cell>
          <cell r="C1266">
            <v>203</v>
          </cell>
          <cell r="D1266">
            <v>4</v>
          </cell>
          <cell r="E1266" t="str">
            <v>Compensation of employees</v>
          </cell>
          <cell r="F1266">
            <v>12</v>
          </cell>
          <cell r="G1266">
            <v>1994</v>
          </cell>
          <cell r="H1266">
            <v>20</v>
          </cell>
          <cell r="I1266">
            <v>7292000000</v>
          </cell>
        </row>
        <row r="1267">
          <cell r="A1267" t="str">
            <v>Kenya</v>
          </cell>
          <cell r="B1267">
            <v>404</v>
          </cell>
          <cell r="C1267">
            <v>203</v>
          </cell>
          <cell r="D1267">
            <v>4</v>
          </cell>
          <cell r="E1267" t="str">
            <v>Compensation of employees</v>
          </cell>
          <cell r="F1267">
            <v>12</v>
          </cell>
          <cell r="G1267">
            <v>1995</v>
          </cell>
          <cell r="H1267">
            <v>20</v>
          </cell>
          <cell r="I1267">
            <v>8747000000</v>
          </cell>
        </row>
        <row r="1268">
          <cell r="A1268" t="str">
            <v>Kenya</v>
          </cell>
          <cell r="B1268">
            <v>404</v>
          </cell>
          <cell r="C1268">
            <v>203</v>
          </cell>
          <cell r="D1268">
            <v>4</v>
          </cell>
          <cell r="E1268" t="str">
            <v>Compensation of employees</v>
          </cell>
          <cell r="F1268">
            <v>12</v>
          </cell>
          <cell r="G1268">
            <v>1996</v>
          </cell>
          <cell r="H1268">
            <v>20</v>
          </cell>
          <cell r="I1268">
            <v>9088000000</v>
          </cell>
        </row>
        <row r="1269">
          <cell r="A1269" t="str">
            <v>Kenya</v>
          </cell>
          <cell r="B1269">
            <v>404</v>
          </cell>
          <cell r="C1269">
            <v>203</v>
          </cell>
          <cell r="D1269">
            <v>4</v>
          </cell>
          <cell r="E1269" t="str">
            <v>Compensation of employees</v>
          </cell>
          <cell r="F1269">
            <v>12</v>
          </cell>
          <cell r="G1269">
            <v>1997</v>
          </cell>
          <cell r="H1269">
            <v>20</v>
          </cell>
          <cell r="I1269">
            <v>10850000000</v>
          </cell>
        </row>
        <row r="1270">
          <cell r="A1270" t="str">
            <v>Kenya</v>
          </cell>
          <cell r="B1270">
            <v>404</v>
          </cell>
          <cell r="C1270">
            <v>203</v>
          </cell>
          <cell r="D1270">
            <v>4</v>
          </cell>
          <cell r="E1270" t="str">
            <v>Compensation of employees</v>
          </cell>
          <cell r="F1270">
            <v>12</v>
          </cell>
          <cell r="G1270">
            <v>1998</v>
          </cell>
          <cell r="H1270">
            <v>20</v>
          </cell>
          <cell r="I1270">
            <v>13230000000</v>
          </cell>
        </row>
        <row r="1271">
          <cell r="A1271" t="str">
            <v>Kenya</v>
          </cell>
          <cell r="B1271">
            <v>404</v>
          </cell>
          <cell r="C1271">
            <v>203</v>
          </cell>
          <cell r="D1271">
            <v>4</v>
          </cell>
          <cell r="E1271" t="str">
            <v>Compensation of employees</v>
          </cell>
          <cell r="F1271">
            <v>12</v>
          </cell>
          <cell r="G1271">
            <v>1999</v>
          </cell>
          <cell r="H1271">
            <v>20</v>
          </cell>
          <cell r="I1271">
            <v>14546000000</v>
          </cell>
        </row>
        <row r="1272">
          <cell r="A1272" t="str">
            <v>Kenya</v>
          </cell>
          <cell r="B1272">
            <v>404</v>
          </cell>
          <cell r="C1272">
            <v>203</v>
          </cell>
          <cell r="D1272">
            <v>4</v>
          </cell>
          <cell r="E1272" t="str">
            <v>Compensation of employees</v>
          </cell>
          <cell r="F1272">
            <v>12</v>
          </cell>
          <cell r="G1272">
            <v>2000</v>
          </cell>
          <cell r="H1272">
            <v>20</v>
          </cell>
          <cell r="I1272">
            <v>15724000000</v>
          </cell>
        </row>
        <row r="1273">
          <cell r="A1273" t="str">
            <v>Kenya</v>
          </cell>
          <cell r="B1273">
            <v>404</v>
          </cell>
          <cell r="C1273">
            <v>203</v>
          </cell>
          <cell r="D1273">
            <v>4</v>
          </cell>
          <cell r="E1273" t="str">
            <v>Compensation of employees</v>
          </cell>
          <cell r="F1273">
            <v>12</v>
          </cell>
          <cell r="G1273">
            <v>2001</v>
          </cell>
          <cell r="H1273">
            <v>20</v>
          </cell>
          <cell r="I1273">
            <v>18070000000</v>
          </cell>
        </row>
        <row r="1274">
          <cell r="A1274" t="str">
            <v>Kenya</v>
          </cell>
          <cell r="B1274">
            <v>404</v>
          </cell>
          <cell r="C1274">
            <v>203</v>
          </cell>
          <cell r="D1274">
            <v>4</v>
          </cell>
          <cell r="E1274" t="str">
            <v>Compensation of employees</v>
          </cell>
          <cell r="F1274">
            <v>12</v>
          </cell>
          <cell r="G1274">
            <v>2002</v>
          </cell>
          <cell r="H1274">
            <v>20</v>
          </cell>
          <cell r="I1274">
            <v>21799000000</v>
          </cell>
        </row>
        <row r="1275">
          <cell r="A1275" t="str">
            <v>Kenya</v>
          </cell>
          <cell r="B1275">
            <v>404</v>
          </cell>
          <cell r="C1275">
            <v>203</v>
          </cell>
          <cell r="D1275">
            <v>4</v>
          </cell>
          <cell r="E1275" t="str">
            <v>Compensation of employees</v>
          </cell>
          <cell r="F1275">
            <v>12</v>
          </cell>
          <cell r="G1275">
            <v>2003</v>
          </cell>
          <cell r="H1275">
            <v>20</v>
          </cell>
          <cell r="I1275">
            <v>24538000000</v>
          </cell>
        </row>
        <row r="1276">
          <cell r="A1276" t="str">
            <v>Kenya</v>
          </cell>
          <cell r="B1276">
            <v>404</v>
          </cell>
          <cell r="C1276">
            <v>203</v>
          </cell>
          <cell r="D1276">
            <v>11</v>
          </cell>
          <cell r="E1276" t="str">
            <v>OPERATING SURPLUS, GROSS</v>
          </cell>
          <cell r="F1276">
            <v>12</v>
          </cell>
          <cell r="G1276">
            <v>1970</v>
          </cell>
          <cell r="H1276">
            <v>10</v>
          </cell>
          <cell r="I1276">
            <v>282000000</v>
          </cell>
        </row>
        <row r="1277">
          <cell r="A1277" t="str">
            <v>Kenya</v>
          </cell>
          <cell r="B1277">
            <v>404</v>
          </cell>
          <cell r="C1277">
            <v>203</v>
          </cell>
          <cell r="D1277">
            <v>11</v>
          </cell>
          <cell r="E1277" t="str">
            <v>OPERATING SURPLUS, GROSS</v>
          </cell>
          <cell r="F1277">
            <v>12</v>
          </cell>
          <cell r="G1277">
            <v>1971</v>
          </cell>
          <cell r="H1277">
            <v>10</v>
          </cell>
          <cell r="I1277">
            <v>303000000</v>
          </cell>
        </row>
        <row r="1278">
          <cell r="A1278" t="str">
            <v>Kenya</v>
          </cell>
          <cell r="B1278">
            <v>404</v>
          </cell>
          <cell r="C1278">
            <v>203</v>
          </cell>
          <cell r="D1278">
            <v>11</v>
          </cell>
          <cell r="E1278" t="str">
            <v>OPERATING SURPLUS, GROSS</v>
          </cell>
          <cell r="F1278">
            <v>12</v>
          </cell>
          <cell r="G1278">
            <v>1972</v>
          </cell>
          <cell r="H1278">
            <v>20</v>
          </cell>
          <cell r="I1278">
            <v>392000000</v>
          </cell>
        </row>
        <row r="1279">
          <cell r="A1279" t="str">
            <v>Kenya</v>
          </cell>
          <cell r="B1279">
            <v>404</v>
          </cell>
          <cell r="C1279">
            <v>203</v>
          </cell>
          <cell r="D1279">
            <v>11</v>
          </cell>
          <cell r="E1279" t="str">
            <v>OPERATING SURPLUS, GROSS</v>
          </cell>
          <cell r="F1279">
            <v>12</v>
          </cell>
          <cell r="G1279">
            <v>1973</v>
          </cell>
          <cell r="H1279">
            <v>20</v>
          </cell>
          <cell r="I1279">
            <v>465000000</v>
          </cell>
        </row>
        <row r="1280">
          <cell r="A1280" t="str">
            <v>Kenya</v>
          </cell>
          <cell r="B1280">
            <v>404</v>
          </cell>
          <cell r="C1280">
            <v>203</v>
          </cell>
          <cell r="D1280">
            <v>11</v>
          </cell>
          <cell r="E1280" t="str">
            <v>OPERATING SURPLUS, GROSS</v>
          </cell>
          <cell r="F1280">
            <v>12</v>
          </cell>
          <cell r="G1280">
            <v>1974</v>
          </cell>
          <cell r="H1280">
            <v>20</v>
          </cell>
          <cell r="I1280">
            <v>570000000</v>
          </cell>
        </row>
        <row r="1281">
          <cell r="A1281" t="str">
            <v>Kenya</v>
          </cell>
          <cell r="B1281">
            <v>404</v>
          </cell>
          <cell r="C1281">
            <v>203</v>
          </cell>
          <cell r="D1281">
            <v>11</v>
          </cell>
          <cell r="E1281" t="str">
            <v>OPERATING SURPLUS, GROSS</v>
          </cell>
          <cell r="F1281">
            <v>12</v>
          </cell>
          <cell r="G1281">
            <v>1975</v>
          </cell>
          <cell r="H1281">
            <v>20</v>
          </cell>
          <cell r="I1281">
            <v>631000000</v>
          </cell>
        </row>
        <row r="1282">
          <cell r="A1282" t="str">
            <v>Kenya</v>
          </cell>
          <cell r="B1282">
            <v>404</v>
          </cell>
          <cell r="C1282">
            <v>203</v>
          </cell>
          <cell r="D1282">
            <v>11</v>
          </cell>
          <cell r="E1282" t="str">
            <v>OPERATING SURPLUS, GROSS</v>
          </cell>
          <cell r="F1282">
            <v>12</v>
          </cell>
          <cell r="G1282">
            <v>1976</v>
          </cell>
          <cell r="H1282">
            <v>20</v>
          </cell>
          <cell r="I1282">
            <v>793000000</v>
          </cell>
        </row>
        <row r="1283">
          <cell r="A1283" t="str">
            <v>Kenya</v>
          </cell>
          <cell r="B1283">
            <v>404</v>
          </cell>
          <cell r="C1283">
            <v>203</v>
          </cell>
          <cell r="D1283">
            <v>11</v>
          </cell>
          <cell r="E1283" t="str">
            <v>OPERATING SURPLUS, GROSS</v>
          </cell>
          <cell r="F1283">
            <v>12</v>
          </cell>
          <cell r="G1283">
            <v>1977</v>
          </cell>
          <cell r="H1283">
            <v>20</v>
          </cell>
          <cell r="I1283">
            <v>1079000000</v>
          </cell>
        </row>
        <row r="1284">
          <cell r="A1284" t="str">
            <v>Kenya</v>
          </cell>
          <cell r="B1284">
            <v>404</v>
          </cell>
          <cell r="C1284">
            <v>203</v>
          </cell>
          <cell r="D1284">
            <v>11</v>
          </cell>
          <cell r="E1284" t="str">
            <v>OPERATING SURPLUS, GROSS</v>
          </cell>
          <cell r="F1284">
            <v>12</v>
          </cell>
          <cell r="G1284">
            <v>1978</v>
          </cell>
          <cell r="H1284">
            <v>20</v>
          </cell>
          <cell r="I1284">
            <v>1136000000</v>
          </cell>
        </row>
        <row r="1285">
          <cell r="A1285" t="str">
            <v>Kenya</v>
          </cell>
          <cell r="B1285">
            <v>404</v>
          </cell>
          <cell r="C1285">
            <v>203</v>
          </cell>
          <cell r="D1285">
            <v>11</v>
          </cell>
          <cell r="E1285" t="str">
            <v>OPERATING SURPLUS, GROSS</v>
          </cell>
          <cell r="F1285">
            <v>12</v>
          </cell>
          <cell r="G1285">
            <v>1979</v>
          </cell>
          <cell r="H1285">
            <v>20</v>
          </cell>
          <cell r="I1285">
            <v>1231000000</v>
          </cell>
        </row>
        <row r="1286">
          <cell r="A1286" t="str">
            <v>Kenya</v>
          </cell>
          <cell r="B1286">
            <v>404</v>
          </cell>
          <cell r="C1286">
            <v>203</v>
          </cell>
          <cell r="D1286">
            <v>11</v>
          </cell>
          <cell r="E1286" t="str">
            <v>OPERATING SURPLUS, GROSS</v>
          </cell>
          <cell r="F1286">
            <v>12</v>
          </cell>
          <cell r="G1286">
            <v>1980</v>
          </cell>
          <cell r="H1286">
            <v>20</v>
          </cell>
          <cell r="I1286">
            <v>1359000000</v>
          </cell>
        </row>
        <row r="1287">
          <cell r="A1287" t="str">
            <v>Kenya</v>
          </cell>
          <cell r="B1287">
            <v>404</v>
          </cell>
          <cell r="C1287">
            <v>203</v>
          </cell>
          <cell r="D1287">
            <v>11</v>
          </cell>
          <cell r="E1287" t="str">
            <v>OPERATING SURPLUS, GROSS</v>
          </cell>
          <cell r="F1287">
            <v>12</v>
          </cell>
          <cell r="G1287">
            <v>1981</v>
          </cell>
          <cell r="H1287">
            <v>20</v>
          </cell>
          <cell r="I1287">
            <v>1553000000</v>
          </cell>
        </row>
        <row r="1288">
          <cell r="A1288" t="str">
            <v>Kenya</v>
          </cell>
          <cell r="B1288">
            <v>404</v>
          </cell>
          <cell r="C1288">
            <v>203</v>
          </cell>
          <cell r="D1288">
            <v>11</v>
          </cell>
          <cell r="E1288" t="str">
            <v>OPERATING SURPLUS, GROSS</v>
          </cell>
          <cell r="F1288">
            <v>12</v>
          </cell>
          <cell r="G1288">
            <v>1982</v>
          </cell>
          <cell r="H1288">
            <v>20</v>
          </cell>
          <cell r="I1288">
            <v>1762000000</v>
          </cell>
        </row>
        <row r="1289">
          <cell r="A1289" t="str">
            <v>Kenya</v>
          </cell>
          <cell r="B1289">
            <v>404</v>
          </cell>
          <cell r="C1289">
            <v>203</v>
          </cell>
          <cell r="D1289">
            <v>11</v>
          </cell>
          <cell r="E1289" t="str">
            <v>OPERATING SURPLUS, GROSS</v>
          </cell>
          <cell r="F1289">
            <v>12</v>
          </cell>
          <cell r="G1289">
            <v>1983</v>
          </cell>
          <cell r="H1289">
            <v>20</v>
          </cell>
          <cell r="I1289">
            <v>2108000000</v>
          </cell>
        </row>
        <row r="1290">
          <cell r="A1290" t="str">
            <v>Kenya</v>
          </cell>
          <cell r="B1290">
            <v>404</v>
          </cell>
          <cell r="C1290">
            <v>203</v>
          </cell>
          <cell r="D1290">
            <v>11</v>
          </cell>
          <cell r="E1290" t="str">
            <v>OPERATING SURPLUS, GROSS</v>
          </cell>
          <cell r="F1290">
            <v>12</v>
          </cell>
          <cell r="G1290">
            <v>1984</v>
          </cell>
          <cell r="H1290">
            <v>20</v>
          </cell>
          <cell r="I1290">
            <v>2435000000</v>
          </cell>
        </row>
        <row r="1291">
          <cell r="A1291" t="str">
            <v>Kenya</v>
          </cell>
          <cell r="B1291">
            <v>404</v>
          </cell>
          <cell r="C1291">
            <v>203</v>
          </cell>
          <cell r="D1291">
            <v>11</v>
          </cell>
          <cell r="E1291" t="str">
            <v>OPERATING SURPLUS, GROSS</v>
          </cell>
          <cell r="F1291">
            <v>12</v>
          </cell>
          <cell r="G1291">
            <v>1985</v>
          </cell>
          <cell r="H1291">
            <v>20</v>
          </cell>
          <cell r="I1291">
            <v>2749000000</v>
          </cell>
        </row>
        <row r="1292">
          <cell r="A1292" t="str">
            <v>Kenya</v>
          </cell>
          <cell r="B1292">
            <v>404</v>
          </cell>
          <cell r="C1292">
            <v>203</v>
          </cell>
          <cell r="D1292">
            <v>11</v>
          </cell>
          <cell r="E1292" t="str">
            <v>OPERATING SURPLUS, GROSS</v>
          </cell>
          <cell r="F1292">
            <v>12</v>
          </cell>
          <cell r="G1292">
            <v>1986</v>
          </cell>
          <cell r="H1292">
            <v>20</v>
          </cell>
          <cell r="I1292">
            <v>3171000000</v>
          </cell>
        </row>
        <row r="1293">
          <cell r="A1293" t="str">
            <v>Kenya</v>
          </cell>
          <cell r="B1293">
            <v>404</v>
          </cell>
          <cell r="C1293">
            <v>203</v>
          </cell>
          <cell r="D1293">
            <v>11</v>
          </cell>
          <cell r="E1293" t="str">
            <v>OPERATING SURPLUS, GROSS</v>
          </cell>
          <cell r="F1293">
            <v>12</v>
          </cell>
          <cell r="G1293">
            <v>1987</v>
          </cell>
          <cell r="H1293">
            <v>20</v>
          </cell>
          <cell r="I1293">
            <v>3423000000</v>
          </cell>
        </row>
        <row r="1294">
          <cell r="A1294" t="str">
            <v>Kenya</v>
          </cell>
          <cell r="B1294">
            <v>404</v>
          </cell>
          <cell r="C1294">
            <v>203</v>
          </cell>
          <cell r="D1294">
            <v>11</v>
          </cell>
          <cell r="E1294" t="str">
            <v>OPERATING SURPLUS, GROSS</v>
          </cell>
          <cell r="F1294">
            <v>12</v>
          </cell>
          <cell r="G1294">
            <v>1988</v>
          </cell>
          <cell r="H1294">
            <v>20</v>
          </cell>
          <cell r="I1294">
            <v>3961000000</v>
          </cell>
        </row>
        <row r="1295">
          <cell r="A1295" t="str">
            <v>Kenya</v>
          </cell>
          <cell r="B1295">
            <v>404</v>
          </cell>
          <cell r="C1295">
            <v>203</v>
          </cell>
          <cell r="D1295">
            <v>11</v>
          </cell>
          <cell r="E1295" t="str">
            <v>OPERATING SURPLUS, GROSS</v>
          </cell>
          <cell r="F1295">
            <v>12</v>
          </cell>
          <cell r="G1295">
            <v>1989</v>
          </cell>
          <cell r="H1295">
            <v>20</v>
          </cell>
          <cell r="I1295">
            <v>4541000000</v>
          </cell>
        </row>
        <row r="1296">
          <cell r="A1296" t="str">
            <v>Kenya</v>
          </cell>
          <cell r="B1296">
            <v>404</v>
          </cell>
          <cell r="C1296">
            <v>203</v>
          </cell>
          <cell r="D1296">
            <v>11</v>
          </cell>
          <cell r="E1296" t="str">
            <v>OPERATING SURPLUS, GROSS</v>
          </cell>
          <cell r="F1296">
            <v>12</v>
          </cell>
          <cell r="G1296">
            <v>1990</v>
          </cell>
          <cell r="H1296">
            <v>20</v>
          </cell>
          <cell r="I1296">
            <v>5116000000</v>
          </cell>
        </row>
        <row r="1297">
          <cell r="A1297" t="str">
            <v>Kenya</v>
          </cell>
          <cell r="B1297">
            <v>404</v>
          </cell>
          <cell r="C1297">
            <v>203</v>
          </cell>
          <cell r="D1297">
            <v>11</v>
          </cell>
          <cell r="E1297" t="str">
            <v>OPERATING SURPLUS, GROSS</v>
          </cell>
          <cell r="F1297">
            <v>12</v>
          </cell>
          <cell r="G1297">
            <v>1991</v>
          </cell>
          <cell r="H1297">
            <v>20</v>
          </cell>
          <cell r="I1297">
            <v>5908000000</v>
          </cell>
        </row>
        <row r="1298">
          <cell r="A1298" t="str">
            <v>Kenya</v>
          </cell>
          <cell r="B1298">
            <v>404</v>
          </cell>
          <cell r="C1298">
            <v>203</v>
          </cell>
          <cell r="D1298">
            <v>11</v>
          </cell>
          <cell r="E1298" t="str">
            <v>OPERATING SURPLUS, GROSS</v>
          </cell>
          <cell r="F1298">
            <v>12</v>
          </cell>
          <cell r="G1298">
            <v>1992</v>
          </cell>
          <cell r="H1298">
            <v>20</v>
          </cell>
          <cell r="I1298">
            <v>6293000000</v>
          </cell>
        </row>
        <row r="1299">
          <cell r="A1299" t="str">
            <v>Kenya</v>
          </cell>
          <cell r="B1299">
            <v>404</v>
          </cell>
          <cell r="C1299">
            <v>203</v>
          </cell>
          <cell r="D1299">
            <v>11</v>
          </cell>
          <cell r="E1299" t="str">
            <v>OPERATING SURPLUS, GROSS</v>
          </cell>
          <cell r="F1299">
            <v>12</v>
          </cell>
          <cell r="G1299">
            <v>1993</v>
          </cell>
          <cell r="H1299">
            <v>20</v>
          </cell>
          <cell r="I1299">
            <v>8009000000</v>
          </cell>
        </row>
        <row r="1300">
          <cell r="A1300" t="str">
            <v>Kenya</v>
          </cell>
          <cell r="B1300">
            <v>404</v>
          </cell>
          <cell r="C1300">
            <v>203</v>
          </cell>
          <cell r="D1300">
            <v>11</v>
          </cell>
          <cell r="E1300" t="str">
            <v>OPERATING SURPLUS, GROSS</v>
          </cell>
          <cell r="F1300">
            <v>12</v>
          </cell>
          <cell r="G1300">
            <v>1994</v>
          </cell>
          <cell r="H1300">
            <v>20</v>
          </cell>
          <cell r="I1300">
            <v>9011000000</v>
          </cell>
        </row>
        <row r="1301">
          <cell r="A1301" t="str">
            <v>Kenya</v>
          </cell>
          <cell r="B1301">
            <v>404</v>
          </cell>
          <cell r="C1301">
            <v>203</v>
          </cell>
          <cell r="D1301">
            <v>11</v>
          </cell>
          <cell r="E1301" t="str">
            <v>OPERATING SURPLUS, GROSS</v>
          </cell>
          <cell r="F1301">
            <v>12</v>
          </cell>
          <cell r="G1301">
            <v>1995</v>
          </cell>
          <cell r="H1301">
            <v>20</v>
          </cell>
          <cell r="I1301">
            <v>10454000000</v>
          </cell>
        </row>
        <row r="1302">
          <cell r="A1302" t="str">
            <v>Kenya</v>
          </cell>
          <cell r="B1302">
            <v>404</v>
          </cell>
          <cell r="C1302">
            <v>203</v>
          </cell>
          <cell r="D1302">
            <v>11</v>
          </cell>
          <cell r="E1302" t="str">
            <v>OPERATING SURPLUS, GROSS</v>
          </cell>
          <cell r="F1302">
            <v>12</v>
          </cell>
          <cell r="G1302">
            <v>1996</v>
          </cell>
          <cell r="H1302">
            <v>20</v>
          </cell>
          <cell r="I1302">
            <v>13359000000</v>
          </cell>
        </row>
        <row r="1303">
          <cell r="A1303" t="str">
            <v>Kenya</v>
          </cell>
          <cell r="B1303">
            <v>404</v>
          </cell>
          <cell r="C1303">
            <v>203</v>
          </cell>
          <cell r="D1303">
            <v>11</v>
          </cell>
          <cell r="E1303" t="str">
            <v>OPERATING SURPLUS, GROSS</v>
          </cell>
          <cell r="F1303">
            <v>12</v>
          </cell>
          <cell r="G1303">
            <v>1997</v>
          </cell>
          <cell r="H1303">
            <v>20</v>
          </cell>
          <cell r="I1303">
            <v>16140000000</v>
          </cell>
        </row>
        <row r="1304">
          <cell r="A1304" t="str">
            <v>Kenya</v>
          </cell>
          <cell r="B1304">
            <v>404</v>
          </cell>
          <cell r="C1304">
            <v>203</v>
          </cell>
          <cell r="D1304">
            <v>11</v>
          </cell>
          <cell r="E1304" t="str">
            <v>OPERATING SURPLUS, GROSS</v>
          </cell>
          <cell r="F1304">
            <v>12</v>
          </cell>
          <cell r="G1304">
            <v>1998</v>
          </cell>
          <cell r="H1304">
            <v>20</v>
          </cell>
          <cell r="I1304">
            <v>16471000000</v>
          </cell>
        </row>
        <row r="1305">
          <cell r="A1305" t="str">
            <v>Kenya</v>
          </cell>
          <cell r="B1305">
            <v>404</v>
          </cell>
          <cell r="C1305">
            <v>203</v>
          </cell>
          <cell r="D1305">
            <v>11</v>
          </cell>
          <cell r="E1305" t="str">
            <v>OPERATING SURPLUS, GROSS</v>
          </cell>
          <cell r="F1305">
            <v>12</v>
          </cell>
          <cell r="G1305">
            <v>1999</v>
          </cell>
          <cell r="H1305">
            <v>20</v>
          </cell>
          <cell r="I1305">
            <v>17588000000</v>
          </cell>
        </row>
        <row r="1306">
          <cell r="A1306" t="str">
            <v>Kenya</v>
          </cell>
          <cell r="B1306">
            <v>404</v>
          </cell>
          <cell r="C1306">
            <v>203</v>
          </cell>
          <cell r="D1306">
            <v>11</v>
          </cell>
          <cell r="E1306" t="str">
            <v>OPERATING SURPLUS, GROSS</v>
          </cell>
          <cell r="F1306">
            <v>12</v>
          </cell>
          <cell r="G1306">
            <v>2000</v>
          </cell>
          <cell r="H1306">
            <v>20</v>
          </cell>
          <cell r="I1306">
            <v>18548000000</v>
          </cell>
        </row>
        <row r="1307">
          <cell r="A1307" t="str">
            <v>Kenya</v>
          </cell>
          <cell r="B1307">
            <v>404</v>
          </cell>
          <cell r="C1307">
            <v>203</v>
          </cell>
          <cell r="D1307">
            <v>11</v>
          </cell>
          <cell r="E1307" t="str">
            <v>OPERATING SURPLUS, GROSS</v>
          </cell>
          <cell r="F1307">
            <v>12</v>
          </cell>
          <cell r="G1307">
            <v>2001</v>
          </cell>
          <cell r="H1307">
            <v>20</v>
          </cell>
          <cell r="I1307">
            <v>20299000000</v>
          </cell>
        </row>
        <row r="1308">
          <cell r="A1308" t="str">
            <v>Kenya</v>
          </cell>
          <cell r="B1308">
            <v>404</v>
          </cell>
          <cell r="C1308">
            <v>203</v>
          </cell>
          <cell r="D1308">
            <v>11</v>
          </cell>
          <cell r="E1308" t="str">
            <v>OPERATING SURPLUS, GROSS</v>
          </cell>
          <cell r="F1308">
            <v>12</v>
          </cell>
          <cell r="G1308">
            <v>2002</v>
          </cell>
          <cell r="H1308">
            <v>20</v>
          </cell>
          <cell r="I1308">
            <v>20701000000</v>
          </cell>
        </row>
        <row r="1309">
          <cell r="A1309" t="str">
            <v>Kenya</v>
          </cell>
          <cell r="B1309">
            <v>404</v>
          </cell>
          <cell r="C1309">
            <v>203</v>
          </cell>
          <cell r="D1309">
            <v>11</v>
          </cell>
          <cell r="E1309" t="str">
            <v>OPERATING SURPLUS, GROSS</v>
          </cell>
          <cell r="F1309">
            <v>12</v>
          </cell>
          <cell r="G1309">
            <v>2003</v>
          </cell>
          <cell r="H1309">
            <v>20</v>
          </cell>
          <cell r="I1309">
            <v>23883000000</v>
          </cell>
        </row>
        <row r="1310">
          <cell r="A1310" t="str">
            <v>Kuwait</v>
          </cell>
          <cell r="B1310">
            <v>414</v>
          </cell>
          <cell r="C1310">
            <v>201</v>
          </cell>
          <cell r="D1310">
            <v>13</v>
          </cell>
          <cell r="E1310" t="str">
            <v>Less: Financial intermediation services indirectly measured (FISIM) (only to be deducted if FISIM is not distributed to uses)</v>
          </cell>
          <cell r="F1310">
            <v>0</v>
          </cell>
          <cell r="G1310">
            <v>1982</v>
          </cell>
          <cell r="H1310">
            <v>30</v>
          </cell>
          <cell r="I1310">
            <v>130000000</v>
          </cell>
        </row>
        <row r="1311">
          <cell r="A1311" t="str">
            <v>Kuwait</v>
          </cell>
          <cell r="B1311">
            <v>414</v>
          </cell>
          <cell r="C1311">
            <v>201</v>
          </cell>
          <cell r="D1311">
            <v>13</v>
          </cell>
          <cell r="E1311" t="str">
            <v>Less: Financial intermediation services indirectly measured (FISIM) (only to be deducted if FISIM is not distributed to uses)</v>
          </cell>
          <cell r="F1311">
            <v>0</v>
          </cell>
          <cell r="G1311">
            <v>1983</v>
          </cell>
          <cell r="H1311">
            <v>30</v>
          </cell>
          <cell r="I1311">
            <v>134000000</v>
          </cell>
        </row>
        <row r="1312">
          <cell r="A1312" t="str">
            <v>Kuwait</v>
          </cell>
          <cell r="B1312">
            <v>414</v>
          </cell>
          <cell r="C1312">
            <v>201</v>
          </cell>
          <cell r="D1312">
            <v>13</v>
          </cell>
          <cell r="E1312" t="str">
            <v>Less: Financial intermediation services indirectly measured (FISIM) (only to be deducted if FISIM is not distributed to uses)</v>
          </cell>
          <cell r="F1312">
            <v>0</v>
          </cell>
          <cell r="G1312">
            <v>1984</v>
          </cell>
          <cell r="H1312">
            <v>30</v>
          </cell>
          <cell r="I1312">
            <v>95000000</v>
          </cell>
        </row>
        <row r="1313">
          <cell r="A1313" t="str">
            <v>Kuwait</v>
          </cell>
          <cell r="B1313">
            <v>414</v>
          </cell>
          <cell r="C1313">
            <v>201</v>
          </cell>
          <cell r="D1313">
            <v>13</v>
          </cell>
          <cell r="E1313" t="str">
            <v>Less: Financial intermediation services indirectly measured (FISIM) (only to be deducted if FISIM is not distributed to uses)</v>
          </cell>
          <cell r="F1313">
            <v>0</v>
          </cell>
          <cell r="G1313">
            <v>1985</v>
          </cell>
          <cell r="H1313">
            <v>30</v>
          </cell>
          <cell r="I1313">
            <v>128000000</v>
          </cell>
        </row>
        <row r="1314">
          <cell r="A1314" t="str">
            <v>Kuwait</v>
          </cell>
          <cell r="B1314">
            <v>414</v>
          </cell>
          <cell r="C1314">
            <v>201</v>
          </cell>
          <cell r="D1314">
            <v>13</v>
          </cell>
          <cell r="E1314" t="str">
            <v>Less: Financial intermediation services indirectly measured (FISIM) (only to be deducted if FISIM is not distributed to uses)</v>
          </cell>
          <cell r="F1314">
            <v>0</v>
          </cell>
          <cell r="G1314">
            <v>1986</v>
          </cell>
          <cell r="H1314">
            <v>30</v>
          </cell>
          <cell r="I1314">
            <v>93000000</v>
          </cell>
        </row>
        <row r="1315">
          <cell r="A1315" t="str">
            <v>Kuwait</v>
          </cell>
          <cell r="B1315">
            <v>414</v>
          </cell>
          <cell r="C1315">
            <v>201</v>
          </cell>
          <cell r="D1315">
            <v>13</v>
          </cell>
          <cell r="E1315" t="str">
            <v>Less: Financial intermediation services indirectly measured (FISIM) (only to be deducted if FISIM is not distributed to uses)</v>
          </cell>
          <cell r="F1315">
            <v>0</v>
          </cell>
          <cell r="G1315">
            <v>1987</v>
          </cell>
          <cell r="H1315">
            <v>30</v>
          </cell>
          <cell r="I1315">
            <v>103000000</v>
          </cell>
        </row>
        <row r="1316">
          <cell r="A1316" t="str">
            <v>Kuwait</v>
          </cell>
          <cell r="B1316">
            <v>414</v>
          </cell>
          <cell r="C1316">
            <v>201</v>
          </cell>
          <cell r="D1316">
            <v>13</v>
          </cell>
          <cell r="E1316" t="str">
            <v>Less: Financial intermediation services indirectly measured (FISIM) (only to be deducted if FISIM is not distributed to uses)</v>
          </cell>
          <cell r="F1316">
            <v>0</v>
          </cell>
          <cell r="G1316">
            <v>1988</v>
          </cell>
          <cell r="H1316">
            <v>30</v>
          </cell>
          <cell r="I1316">
            <v>116000000</v>
          </cell>
        </row>
        <row r="1317">
          <cell r="A1317" t="str">
            <v>Kuwait</v>
          </cell>
          <cell r="B1317">
            <v>414</v>
          </cell>
          <cell r="C1317">
            <v>201</v>
          </cell>
          <cell r="D1317">
            <v>13</v>
          </cell>
          <cell r="E1317" t="str">
            <v>Less: Financial intermediation services indirectly measured (FISIM) (only to be deducted if FISIM is not distributed to uses)</v>
          </cell>
          <cell r="F1317">
            <v>0</v>
          </cell>
          <cell r="G1317">
            <v>1989</v>
          </cell>
          <cell r="H1317">
            <v>30</v>
          </cell>
          <cell r="I1317">
            <v>118000000</v>
          </cell>
        </row>
        <row r="1318">
          <cell r="A1318" t="str">
            <v>Kuwait</v>
          </cell>
          <cell r="B1318">
            <v>414</v>
          </cell>
          <cell r="C1318">
            <v>201</v>
          </cell>
          <cell r="D1318">
            <v>13</v>
          </cell>
          <cell r="E1318" t="str">
            <v>Less: Financial intermediation services indirectly measured (FISIM) (only to be deducted if FISIM is not distributed to uses)</v>
          </cell>
          <cell r="F1318">
            <v>0</v>
          </cell>
          <cell r="G1318">
            <v>1990</v>
          </cell>
          <cell r="H1318">
            <v>30</v>
          </cell>
          <cell r="I1318">
            <v>78000000</v>
          </cell>
        </row>
        <row r="1319">
          <cell r="A1319" t="str">
            <v>Kuwait</v>
          </cell>
          <cell r="B1319">
            <v>414</v>
          </cell>
          <cell r="C1319">
            <v>201</v>
          </cell>
          <cell r="D1319">
            <v>13</v>
          </cell>
          <cell r="E1319" t="str">
            <v>Less: Financial intermediation services indirectly measured (FISIM) (only to be deducted if FISIM is not distributed to uses)</v>
          </cell>
          <cell r="F1319">
            <v>0</v>
          </cell>
          <cell r="G1319">
            <v>1991</v>
          </cell>
          <cell r="H1319">
            <v>30</v>
          </cell>
          <cell r="I1319">
            <v>100000000</v>
          </cell>
        </row>
        <row r="1320">
          <cell r="A1320" t="str">
            <v>Kuwait</v>
          </cell>
          <cell r="B1320">
            <v>414</v>
          </cell>
          <cell r="C1320">
            <v>201</v>
          </cell>
          <cell r="D1320">
            <v>13</v>
          </cell>
          <cell r="E1320" t="str">
            <v>Less: Financial intermediation services indirectly measured (FISIM) (only to be deducted if FISIM is not distributed to uses)</v>
          </cell>
          <cell r="F1320">
            <v>0</v>
          </cell>
          <cell r="G1320">
            <v>1992</v>
          </cell>
          <cell r="H1320">
            <v>30</v>
          </cell>
          <cell r="I1320">
            <v>108000000</v>
          </cell>
        </row>
        <row r="1321">
          <cell r="A1321" t="str">
            <v>Kuwait</v>
          </cell>
          <cell r="B1321">
            <v>414</v>
          </cell>
          <cell r="C1321">
            <v>201</v>
          </cell>
          <cell r="D1321">
            <v>13</v>
          </cell>
          <cell r="E1321" t="str">
            <v>Less: Financial intermediation services indirectly measured (FISIM) (only to be deducted if FISIM is not distributed to uses)</v>
          </cell>
          <cell r="F1321">
            <v>0</v>
          </cell>
          <cell r="G1321">
            <v>1993</v>
          </cell>
          <cell r="H1321">
            <v>30</v>
          </cell>
          <cell r="I1321">
            <v>136000000</v>
          </cell>
        </row>
        <row r="1322">
          <cell r="A1322" t="str">
            <v>Kuwait</v>
          </cell>
          <cell r="B1322">
            <v>414</v>
          </cell>
          <cell r="C1322">
            <v>201</v>
          </cell>
          <cell r="D1322">
            <v>13</v>
          </cell>
          <cell r="E1322" t="str">
            <v>Less: Financial intermediation services indirectly measured (FISIM) (only to be deducted if FISIM is not distributed to uses)</v>
          </cell>
          <cell r="F1322">
            <v>0</v>
          </cell>
          <cell r="G1322">
            <v>1994</v>
          </cell>
          <cell r="H1322">
            <v>30</v>
          </cell>
          <cell r="I1322">
            <v>136000000</v>
          </cell>
        </row>
        <row r="1323">
          <cell r="A1323" t="str">
            <v>Kuwait</v>
          </cell>
          <cell r="B1323">
            <v>414</v>
          </cell>
          <cell r="C1323">
            <v>201</v>
          </cell>
          <cell r="D1323">
            <v>13</v>
          </cell>
          <cell r="E1323" t="str">
            <v>Less: Financial intermediation services indirectly measured (FISIM) (only to be deducted if FISIM is not distributed to uses)</v>
          </cell>
          <cell r="F1323">
            <v>0</v>
          </cell>
          <cell r="G1323">
            <v>1995</v>
          </cell>
          <cell r="H1323">
            <v>30</v>
          </cell>
          <cell r="I1323">
            <v>165000000</v>
          </cell>
        </row>
        <row r="1324">
          <cell r="A1324" t="str">
            <v>Kuwait</v>
          </cell>
          <cell r="B1324">
            <v>414</v>
          </cell>
          <cell r="C1324">
            <v>201</v>
          </cell>
          <cell r="D1324">
            <v>13</v>
          </cell>
          <cell r="E1324" t="str">
            <v>Less: Financial intermediation services indirectly measured (FISIM) (only to be deducted if FISIM is not distributed to uses)</v>
          </cell>
          <cell r="F1324">
            <v>0</v>
          </cell>
          <cell r="G1324">
            <v>1996</v>
          </cell>
          <cell r="H1324">
            <v>30</v>
          </cell>
          <cell r="I1324">
            <v>197500000</v>
          </cell>
        </row>
        <row r="1325">
          <cell r="A1325" t="str">
            <v>Kuwait</v>
          </cell>
          <cell r="B1325">
            <v>414</v>
          </cell>
          <cell r="C1325">
            <v>201</v>
          </cell>
          <cell r="D1325">
            <v>13</v>
          </cell>
          <cell r="E1325" t="str">
            <v>Less: Financial intermediation services indirectly measured (FISIM) (only to be deducted if FISIM is not distributed to uses)</v>
          </cell>
          <cell r="F1325">
            <v>0</v>
          </cell>
          <cell r="G1325">
            <v>1997</v>
          </cell>
          <cell r="H1325">
            <v>30</v>
          </cell>
          <cell r="I1325">
            <v>302100000</v>
          </cell>
        </row>
        <row r="1326">
          <cell r="A1326" t="str">
            <v>Kuwait</v>
          </cell>
          <cell r="B1326">
            <v>414</v>
          </cell>
          <cell r="C1326">
            <v>201</v>
          </cell>
          <cell r="D1326">
            <v>13</v>
          </cell>
          <cell r="E1326" t="str">
            <v>Less: Financial intermediation services indirectly measured (FISIM) (only to be deducted if FISIM is not distributed to uses)</v>
          </cell>
          <cell r="F1326">
            <v>0</v>
          </cell>
          <cell r="G1326">
            <v>1998</v>
          </cell>
          <cell r="H1326">
            <v>30</v>
          </cell>
          <cell r="I1326">
            <v>385000000</v>
          </cell>
        </row>
        <row r="1327">
          <cell r="A1327" t="str">
            <v>Kuwait</v>
          </cell>
          <cell r="B1327">
            <v>414</v>
          </cell>
          <cell r="C1327">
            <v>201</v>
          </cell>
          <cell r="D1327">
            <v>13</v>
          </cell>
          <cell r="E1327" t="str">
            <v>Less: Financial intermediation services indirectly measured (FISIM) (only to be deducted if FISIM is not distributed to uses)</v>
          </cell>
          <cell r="F1327">
            <v>0</v>
          </cell>
          <cell r="G1327">
            <v>1999</v>
          </cell>
          <cell r="H1327">
            <v>30</v>
          </cell>
          <cell r="I1327">
            <v>442000000</v>
          </cell>
        </row>
        <row r="1328">
          <cell r="A1328" t="str">
            <v>Kuwait</v>
          </cell>
          <cell r="B1328">
            <v>414</v>
          </cell>
          <cell r="C1328">
            <v>201</v>
          </cell>
          <cell r="D1328">
            <v>13</v>
          </cell>
          <cell r="E1328" t="str">
            <v>Less: Financial intermediation services indirectly measured (FISIM) (only to be deducted if FISIM is not distributed to uses)</v>
          </cell>
          <cell r="F1328">
            <v>0</v>
          </cell>
          <cell r="G1328">
            <v>2000</v>
          </cell>
          <cell r="H1328">
            <v>30</v>
          </cell>
          <cell r="I1328">
            <v>475000000</v>
          </cell>
        </row>
        <row r="1329">
          <cell r="A1329" t="str">
            <v>Kuwait</v>
          </cell>
          <cell r="B1329">
            <v>414</v>
          </cell>
          <cell r="C1329">
            <v>201</v>
          </cell>
          <cell r="D1329">
            <v>13</v>
          </cell>
          <cell r="E1329" t="str">
            <v>Less: Financial intermediation services indirectly measured (FISIM) (only to be deducted if FISIM is not distributed to uses)</v>
          </cell>
          <cell r="F1329">
            <v>0</v>
          </cell>
          <cell r="G1329">
            <v>2001</v>
          </cell>
          <cell r="H1329">
            <v>30</v>
          </cell>
          <cell r="I1329">
            <v>480000000</v>
          </cell>
        </row>
        <row r="1330">
          <cell r="A1330" t="str">
            <v>Kuwait</v>
          </cell>
          <cell r="B1330">
            <v>414</v>
          </cell>
          <cell r="C1330">
            <v>203</v>
          </cell>
          <cell r="D1330">
            <v>3</v>
          </cell>
          <cell r="E1330" t="str">
            <v>Equals: VALUE ADDED, GROSS, at basic prices</v>
          </cell>
          <cell r="F1330">
            <v>12</v>
          </cell>
          <cell r="G1330">
            <v>1970</v>
          </cell>
          <cell r="H1330">
            <v>30</v>
          </cell>
          <cell r="I1330">
            <v>1019000000</v>
          </cell>
        </row>
        <row r="1331">
          <cell r="A1331" t="str">
            <v>Kuwait</v>
          </cell>
          <cell r="B1331">
            <v>414</v>
          </cell>
          <cell r="C1331">
            <v>203</v>
          </cell>
          <cell r="D1331">
            <v>3</v>
          </cell>
          <cell r="E1331" t="str">
            <v>Equals: VALUE ADDED, GROSS, at basic prices</v>
          </cell>
          <cell r="F1331">
            <v>12</v>
          </cell>
          <cell r="G1331">
            <v>1971</v>
          </cell>
          <cell r="H1331">
            <v>30</v>
          </cell>
          <cell r="I1331">
            <v>1374000000</v>
          </cell>
        </row>
        <row r="1332">
          <cell r="A1332" t="str">
            <v>Kuwait</v>
          </cell>
          <cell r="B1332">
            <v>414</v>
          </cell>
          <cell r="C1332">
            <v>203</v>
          </cell>
          <cell r="D1332">
            <v>3</v>
          </cell>
          <cell r="E1332" t="str">
            <v>Equals: VALUE ADDED, GROSS, at basic prices</v>
          </cell>
          <cell r="F1332">
            <v>12</v>
          </cell>
          <cell r="G1332">
            <v>1972</v>
          </cell>
          <cell r="H1332">
            <v>30</v>
          </cell>
          <cell r="I1332">
            <v>1455000000</v>
          </cell>
        </row>
        <row r="1333">
          <cell r="A1333" t="str">
            <v>Kuwait</v>
          </cell>
          <cell r="B1333">
            <v>414</v>
          </cell>
          <cell r="C1333">
            <v>203</v>
          </cell>
          <cell r="D1333">
            <v>3</v>
          </cell>
          <cell r="E1333" t="str">
            <v>Equals: VALUE ADDED, GROSS, at basic prices</v>
          </cell>
          <cell r="F1333">
            <v>12</v>
          </cell>
          <cell r="G1333">
            <v>1973</v>
          </cell>
          <cell r="H1333">
            <v>30</v>
          </cell>
          <cell r="I1333">
            <v>1593000000</v>
          </cell>
        </row>
        <row r="1334">
          <cell r="A1334" t="str">
            <v>Kuwait</v>
          </cell>
          <cell r="B1334">
            <v>414</v>
          </cell>
          <cell r="C1334">
            <v>203</v>
          </cell>
          <cell r="D1334">
            <v>3</v>
          </cell>
          <cell r="E1334" t="str">
            <v>Equals: VALUE ADDED, GROSS, at basic prices</v>
          </cell>
          <cell r="F1334">
            <v>12</v>
          </cell>
          <cell r="G1334">
            <v>1974</v>
          </cell>
          <cell r="H1334">
            <v>30</v>
          </cell>
          <cell r="I1334">
            <v>3798000000</v>
          </cell>
        </row>
        <row r="1335">
          <cell r="A1335" t="str">
            <v>Kuwait</v>
          </cell>
          <cell r="B1335">
            <v>414</v>
          </cell>
          <cell r="C1335">
            <v>203</v>
          </cell>
          <cell r="D1335">
            <v>3</v>
          </cell>
          <cell r="E1335" t="str">
            <v>Equals: VALUE ADDED, GROSS, at basic prices</v>
          </cell>
          <cell r="F1335">
            <v>12</v>
          </cell>
          <cell r="G1335">
            <v>1975</v>
          </cell>
          <cell r="H1335">
            <v>30</v>
          </cell>
          <cell r="I1335">
            <v>3461000000</v>
          </cell>
        </row>
        <row r="1336">
          <cell r="A1336" t="str">
            <v>Kuwait</v>
          </cell>
          <cell r="B1336">
            <v>414</v>
          </cell>
          <cell r="C1336">
            <v>203</v>
          </cell>
          <cell r="D1336">
            <v>3</v>
          </cell>
          <cell r="E1336" t="str">
            <v>Equals: VALUE ADDED, GROSS, at basic prices</v>
          </cell>
          <cell r="F1336">
            <v>12</v>
          </cell>
          <cell r="G1336">
            <v>1976</v>
          </cell>
          <cell r="H1336">
            <v>30</v>
          </cell>
          <cell r="I1336">
            <v>3803000000</v>
          </cell>
        </row>
        <row r="1337">
          <cell r="A1337" t="str">
            <v>Kuwait</v>
          </cell>
          <cell r="B1337">
            <v>414</v>
          </cell>
          <cell r="C1337">
            <v>203</v>
          </cell>
          <cell r="D1337">
            <v>3</v>
          </cell>
          <cell r="E1337" t="str">
            <v>Equals: VALUE ADDED, GROSS, at basic prices</v>
          </cell>
          <cell r="F1337">
            <v>12</v>
          </cell>
          <cell r="G1337">
            <v>1977</v>
          </cell>
          <cell r="H1337">
            <v>30</v>
          </cell>
          <cell r="I1337">
            <v>4002000000</v>
          </cell>
        </row>
        <row r="1338">
          <cell r="A1338" t="str">
            <v>Kuwait</v>
          </cell>
          <cell r="B1338">
            <v>414</v>
          </cell>
          <cell r="C1338">
            <v>203</v>
          </cell>
          <cell r="D1338">
            <v>3</v>
          </cell>
          <cell r="E1338" t="str">
            <v>Equals: VALUE ADDED, GROSS, at basic prices</v>
          </cell>
          <cell r="F1338">
            <v>12</v>
          </cell>
          <cell r="G1338">
            <v>1978</v>
          </cell>
          <cell r="H1338">
            <v>30</v>
          </cell>
          <cell r="I1338">
            <v>4221000000</v>
          </cell>
        </row>
        <row r="1339">
          <cell r="A1339" t="str">
            <v>Kuwait</v>
          </cell>
          <cell r="B1339">
            <v>414</v>
          </cell>
          <cell r="C1339">
            <v>203</v>
          </cell>
          <cell r="D1339">
            <v>3</v>
          </cell>
          <cell r="E1339" t="str">
            <v>Equals: VALUE ADDED, GROSS, at basic prices</v>
          </cell>
          <cell r="F1339">
            <v>12</v>
          </cell>
          <cell r="G1339">
            <v>1979</v>
          </cell>
          <cell r="H1339">
            <v>30</v>
          </cell>
          <cell r="I1339">
            <v>6791000000</v>
          </cell>
        </row>
        <row r="1340">
          <cell r="A1340" t="str">
            <v>Kuwait</v>
          </cell>
          <cell r="B1340">
            <v>414</v>
          </cell>
          <cell r="C1340">
            <v>203</v>
          </cell>
          <cell r="D1340">
            <v>3</v>
          </cell>
          <cell r="E1340" t="str">
            <v>Equals: VALUE ADDED, GROSS, at basic prices</v>
          </cell>
          <cell r="F1340">
            <v>12</v>
          </cell>
          <cell r="G1340">
            <v>1980</v>
          </cell>
          <cell r="H1340">
            <v>30</v>
          </cell>
          <cell r="I1340">
            <v>7694000000</v>
          </cell>
        </row>
        <row r="1341">
          <cell r="A1341" t="str">
            <v>Kuwait</v>
          </cell>
          <cell r="B1341">
            <v>414</v>
          </cell>
          <cell r="C1341">
            <v>203</v>
          </cell>
          <cell r="D1341">
            <v>3</v>
          </cell>
          <cell r="E1341" t="str">
            <v>Equals: VALUE ADDED, GROSS, at basic prices</v>
          </cell>
          <cell r="F1341">
            <v>12</v>
          </cell>
          <cell r="G1341">
            <v>1981</v>
          </cell>
          <cell r="H1341">
            <v>30</v>
          </cell>
          <cell r="I1341">
            <v>6961000000</v>
          </cell>
        </row>
        <row r="1342">
          <cell r="A1342" t="str">
            <v>Kuwait</v>
          </cell>
          <cell r="B1342">
            <v>414</v>
          </cell>
          <cell r="C1342">
            <v>203</v>
          </cell>
          <cell r="D1342">
            <v>3</v>
          </cell>
          <cell r="E1342" t="str">
            <v>Equals: VALUE ADDED, GROSS, at basic prices</v>
          </cell>
          <cell r="F1342">
            <v>12</v>
          </cell>
          <cell r="G1342">
            <v>1982</v>
          </cell>
          <cell r="H1342">
            <v>30</v>
          </cell>
          <cell r="I1342">
            <v>6261000000</v>
          </cell>
        </row>
        <row r="1343">
          <cell r="A1343" t="str">
            <v>Kuwait</v>
          </cell>
          <cell r="B1343">
            <v>414</v>
          </cell>
          <cell r="C1343">
            <v>203</v>
          </cell>
          <cell r="D1343">
            <v>3</v>
          </cell>
          <cell r="E1343" t="str">
            <v>Equals: VALUE ADDED, GROSS, at basic prices</v>
          </cell>
          <cell r="F1343">
            <v>12</v>
          </cell>
          <cell r="G1343">
            <v>1983</v>
          </cell>
          <cell r="H1343">
            <v>30</v>
          </cell>
          <cell r="I1343">
            <v>6144000000</v>
          </cell>
        </row>
        <row r="1344">
          <cell r="A1344" t="str">
            <v>Kuwait</v>
          </cell>
          <cell r="B1344">
            <v>414</v>
          </cell>
          <cell r="C1344">
            <v>203</v>
          </cell>
          <cell r="D1344">
            <v>3</v>
          </cell>
          <cell r="E1344" t="str">
            <v>Equals: VALUE ADDED, GROSS, at basic prices</v>
          </cell>
          <cell r="F1344">
            <v>12</v>
          </cell>
          <cell r="G1344">
            <v>1984</v>
          </cell>
          <cell r="H1344">
            <v>30</v>
          </cell>
          <cell r="I1344">
            <v>6455000000</v>
          </cell>
        </row>
        <row r="1345">
          <cell r="A1345" t="str">
            <v>Kuwait</v>
          </cell>
          <cell r="B1345">
            <v>414</v>
          </cell>
          <cell r="C1345">
            <v>203</v>
          </cell>
          <cell r="D1345">
            <v>3</v>
          </cell>
          <cell r="E1345" t="str">
            <v>Equals: VALUE ADDED, GROSS, at basic prices</v>
          </cell>
          <cell r="F1345">
            <v>12</v>
          </cell>
          <cell r="G1345">
            <v>1985</v>
          </cell>
          <cell r="H1345">
            <v>30</v>
          </cell>
          <cell r="I1345">
            <v>6517000000</v>
          </cell>
        </row>
        <row r="1346">
          <cell r="A1346" t="str">
            <v>Kuwait</v>
          </cell>
          <cell r="B1346">
            <v>414</v>
          </cell>
          <cell r="C1346">
            <v>203</v>
          </cell>
          <cell r="D1346">
            <v>3</v>
          </cell>
          <cell r="E1346" t="str">
            <v>Equals: VALUE ADDED, GROSS, at basic prices</v>
          </cell>
          <cell r="F1346">
            <v>12</v>
          </cell>
          <cell r="G1346">
            <v>1986</v>
          </cell>
          <cell r="H1346">
            <v>30</v>
          </cell>
          <cell r="I1346">
            <v>5236000000</v>
          </cell>
        </row>
        <row r="1347">
          <cell r="A1347" t="str">
            <v>Kuwait</v>
          </cell>
          <cell r="B1347">
            <v>414</v>
          </cell>
          <cell r="C1347">
            <v>203</v>
          </cell>
          <cell r="D1347">
            <v>3</v>
          </cell>
          <cell r="E1347" t="str">
            <v>Equals: VALUE ADDED, GROSS, at basic prices</v>
          </cell>
          <cell r="F1347">
            <v>12</v>
          </cell>
          <cell r="G1347">
            <v>1987</v>
          </cell>
          <cell r="H1347">
            <v>30</v>
          </cell>
          <cell r="I1347">
            <v>6279000000</v>
          </cell>
        </row>
        <row r="1348">
          <cell r="A1348" t="str">
            <v>Kuwait</v>
          </cell>
          <cell r="B1348">
            <v>414</v>
          </cell>
          <cell r="C1348">
            <v>203</v>
          </cell>
          <cell r="D1348">
            <v>3</v>
          </cell>
          <cell r="E1348" t="str">
            <v>Equals: VALUE ADDED, GROSS, at basic prices</v>
          </cell>
          <cell r="F1348">
            <v>12</v>
          </cell>
          <cell r="G1348">
            <v>1988</v>
          </cell>
          <cell r="H1348">
            <v>30</v>
          </cell>
          <cell r="I1348">
            <v>5828946000</v>
          </cell>
        </row>
        <row r="1349">
          <cell r="A1349" t="str">
            <v>Kuwait</v>
          </cell>
          <cell r="B1349">
            <v>414</v>
          </cell>
          <cell r="C1349">
            <v>203</v>
          </cell>
          <cell r="D1349">
            <v>3</v>
          </cell>
          <cell r="E1349" t="str">
            <v>Equals: VALUE ADDED, GROSS, at basic prices</v>
          </cell>
          <cell r="F1349">
            <v>12</v>
          </cell>
          <cell r="G1349">
            <v>1989</v>
          </cell>
          <cell r="H1349">
            <v>30</v>
          </cell>
          <cell r="I1349">
            <v>7196797000</v>
          </cell>
        </row>
        <row r="1350">
          <cell r="A1350" t="str">
            <v>Kuwait</v>
          </cell>
          <cell r="B1350">
            <v>414</v>
          </cell>
          <cell r="C1350">
            <v>203</v>
          </cell>
          <cell r="D1350">
            <v>3</v>
          </cell>
          <cell r="E1350" t="str">
            <v>Equals: VALUE ADDED, GROSS, at basic prices</v>
          </cell>
          <cell r="F1350">
            <v>12</v>
          </cell>
          <cell r="G1350">
            <v>1990</v>
          </cell>
          <cell r="H1350">
            <v>30</v>
          </cell>
          <cell r="I1350">
            <v>5370888000</v>
          </cell>
        </row>
        <row r="1351">
          <cell r="A1351" t="str">
            <v>Kuwait</v>
          </cell>
          <cell r="B1351">
            <v>414</v>
          </cell>
          <cell r="C1351">
            <v>203</v>
          </cell>
          <cell r="D1351">
            <v>3</v>
          </cell>
          <cell r="E1351" t="str">
            <v>Equals: VALUE ADDED, GROSS, at basic prices</v>
          </cell>
          <cell r="F1351">
            <v>12</v>
          </cell>
          <cell r="G1351">
            <v>1991</v>
          </cell>
          <cell r="H1351">
            <v>30</v>
          </cell>
          <cell r="I1351">
            <v>3227446000</v>
          </cell>
        </row>
        <row r="1352">
          <cell r="A1352" t="str">
            <v>Kuwait</v>
          </cell>
          <cell r="B1352">
            <v>414</v>
          </cell>
          <cell r="C1352">
            <v>203</v>
          </cell>
          <cell r="D1352">
            <v>3</v>
          </cell>
          <cell r="E1352" t="str">
            <v>Equals: VALUE ADDED, GROSS, at basic prices</v>
          </cell>
          <cell r="F1352">
            <v>12</v>
          </cell>
          <cell r="G1352">
            <v>1992</v>
          </cell>
          <cell r="H1352">
            <v>30</v>
          </cell>
          <cell r="I1352">
            <v>5903807000</v>
          </cell>
        </row>
        <row r="1353">
          <cell r="A1353" t="str">
            <v>Kuwait</v>
          </cell>
          <cell r="B1353">
            <v>414</v>
          </cell>
          <cell r="C1353">
            <v>203</v>
          </cell>
          <cell r="D1353">
            <v>3</v>
          </cell>
          <cell r="E1353" t="str">
            <v>Equals: VALUE ADDED, GROSS, at basic prices</v>
          </cell>
          <cell r="F1353">
            <v>12</v>
          </cell>
          <cell r="G1353">
            <v>1993</v>
          </cell>
          <cell r="H1353">
            <v>30</v>
          </cell>
          <cell r="I1353">
            <v>7302595000</v>
          </cell>
        </row>
        <row r="1354">
          <cell r="A1354" t="str">
            <v>Kuwait</v>
          </cell>
          <cell r="B1354">
            <v>414</v>
          </cell>
          <cell r="C1354">
            <v>203</v>
          </cell>
          <cell r="D1354">
            <v>3</v>
          </cell>
          <cell r="E1354" t="str">
            <v>Equals: VALUE ADDED, GROSS, at basic prices</v>
          </cell>
          <cell r="F1354">
            <v>12</v>
          </cell>
          <cell r="G1354">
            <v>1994</v>
          </cell>
          <cell r="H1354">
            <v>30</v>
          </cell>
          <cell r="I1354">
            <v>7457410000</v>
          </cell>
        </row>
        <row r="1355">
          <cell r="A1355" t="str">
            <v>Kuwait</v>
          </cell>
          <cell r="B1355">
            <v>414</v>
          </cell>
          <cell r="C1355">
            <v>203</v>
          </cell>
          <cell r="D1355">
            <v>3</v>
          </cell>
          <cell r="E1355" t="str">
            <v>Equals: VALUE ADDED, GROSS, at basic prices</v>
          </cell>
          <cell r="F1355">
            <v>12</v>
          </cell>
          <cell r="G1355">
            <v>1995</v>
          </cell>
          <cell r="H1355">
            <v>30</v>
          </cell>
          <cell r="I1355">
            <v>8022080000</v>
          </cell>
        </row>
        <row r="1356">
          <cell r="A1356" t="str">
            <v>Kuwait</v>
          </cell>
          <cell r="B1356">
            <v>414</v>
          </cell>
          <cell r="C1356">
            <v>203</v>
          </cell>
          <cell r="D1356">
            <v>3</v>
          </cell>
          <cell r="E1356" t="str">
            <v>Equals: VALUE ADDED, GROSS, at basic prices</v>
          </cell>
          <cell r="F1356">
            <v>12</v>
          </cell>
          <cell r="G1356">
            <v>1996</v>
          </cell>
          <cell r="H1356">
            <v>30</v>
          </cell>
          <cell r="I1356">
            <v>9423000000</v>
          </cell>
        </row>
        <row r="1357">
          <cell r="A1357" t="str">
            <v>Kuwait</v>
          </cell>
          <cell r="B1357">
            <v>414</v>
          </cell>
          <cell r="C1357">
            <v>203</v>
          </cell>
          <cell r="D1357">
            <v>3</v>
          </cell>
          <cell r="E1357" t="str">
            <v>Equals: VALUE ADDED, GROSS, at basic prices</v>
          </cell>
          <cell r="F1357">
            <v>12</v>
          </cell>
          <cell r="G1357">
            <v>1997</v>
          </cell>
          <cell r="H1357">
            <v>30</v>
          </cell>
          <cell r="I1357">
            <v>9279000000</v>
          </cell>
        </row>
        <row r="1358">
          <cell r="A1358" t="str">
            <v>Kuwait</v>
          </cell>
          <cell r="B1358">
            <v>414</v>
          </cell>
          <cell r="C1358">
            <v>203</v>
          </cell>
          <cell r="D1358">
            <v>3</v>
          </cell>
          <cell r="E1358" t="str">
            <v>Equals: VALUE ADDED, GROSS, at basic prices</v>
          </cell>
          <cell r="F1358">
            <v>12</v>
          </cell>
          <cell r="G1358">
            <v>1998</v>
          </cell>
          <cell r="H1358">
            <v>30</v>
          </cell>
          <cell r="I1358">
            <v>7957000000</v>
          </cell>
        </row>
        <row r="1359">
          <cell r="A1359" t="str">
            <v>Kuwait</v>
          </cell>
          <cell r="B1359">
            <v>414</v>
          </cell>
          <cell r="C1359">
            <v>203</v>
          </cell>
          <cell r="D1359">
            <v>3</v>
          </cell>
          <cell r="E1359" t="str">
            <v>Equals: VALUE ADDED, GROSS, at basic prices</v>
          </cell>
          <cell r="F1359">
            <v>12</v>
          </cell>
          <cell r="G1359">
            <v>1999</v>
          </cell>
          <cell r="H1359">
            <v>30</v>
          </cell>
          <cell r="I1359">
            <v>9247000000</v>
          </cell>
        </row>
        <row r="1360">
          <cell r="A1360" t="str">
            <v>Kuwait</v>
          </cell>
          <cell r="B1360">
            <v>414</v>
          </cell>
          <cell r="C1360">
            <v>203</v>
          </cell>
          <cell r="D1360">
            <v>4</v>
          </cell>
          <cell r="E1360" t="str">
            <v>Compensation of employees</v>
          </cell>
          <cell r="F1360">
            <v>12</v>
          </cell>
          <cell r="G1360">
            <v>1992</v>
          </cell>
          <cell r="H1360">
            <v>30</v>
          </cell>
          <cell r="I1360">
            <v>2487000000</v>
          </cell>
        </row>
        <row r="1361">
          <cell r="A1361" t="str">
            <v>Kuwait</v>
          </cell>
          <cell r="B1361">
            <v>414</v>
          </cell>
          <cell r="C1361">
            <v>203</v>
          </cell>
          <cell r="D1361">
            <v>4</v>
          </cell>
          <cell r="E1361" t="str">
            <v>Compensation of employees</v>
          </cell>
          <cell r="F1361">
            <v>12</v>
          </cell>
          <cell r="G1361">
            <v>1993</v>
          </cell>
          <cell r="H1361">
            <v>30</v>
          </cell>
          <cell r="I1361">
            <v>2506000000</v>
          </cell>
        </row>
        <row r="1362">
          <cell r="A1362" t="str">
            <v>Kuwait</v>
          </cell>
          <cell r="B1362">
            <v>414</v>
          </cell>
          <cell r="C1362">
            <v>203</v>
          </cell>
          <cell r="D1362">
            <v>4</v>
          </cell>
          <cell r="E1362" t="str">
            <v>Compensation of employees</v>
          </cell>
          <cell r="F1362">
            <v>12</v>
          </cell>
          <cell r="G1362">
            <v>1994</v>
          </cell>
          <cell r="H1362">
            <v>30</v>
          </cell>
          <cell r="I1362">
            <v>2611000000</v>
          </cell>
        </row>
        <row r="1363">
          <cell r="A1363" t="str">
            <v>Kuwait</v>
          </cell>
          <cell r="B1363">
            <v>414</v>
          </cell>
          <cell r="C1363">
            <v>203</v>
          </cell>
          <cell r="D1363">
            <v>4</v>
          </cell>
          <cell r="E1363" t="str">
            <v>Compensation of employees</v>
          </cell>
          <cell r="F1363">
            <v>12</v>
          </cell>
          <cell r="G1363">
            <v>1995</v>
          </cell>
          <cell r="H1363">
            <v>30</v>
          </cell>
          <cell r="I1363">
            <v>2720000000</v>
          </cell>
        </row>
        <row r="1364">
          <cell r="A1364" t="str">
            <v>Kuwait</v>
          </cell>
          <cell r="B1364">
            <v>414</v>
          </cell>
          <cell r="C1364">
            <v>203</v>
          </cell>
          <cell r="D1364">
            <v>4</v>
          </cell>
          <cell r="E1364" t="str">
            <v>Compensation of employees</v>
          </cell>
          <cell r="F1364">
            <v>12</v>
          </cell>
          <cell r="G1364">
            <v>1996</v>
          </cell>
          <cell r="H1364">
            <v>30</v>
          </cell>
          <cell r="I1364">
            <v>2818000000</v>
          </cell>
        </row>
        <row r="1365">
          <cell r="A1365" t="str">
            <v>Kuwait</v>
          </cell>
          <cell r="B1365">
            <v>414</v>
          </cell>
          <cell r="C1365">
            <v>203</v>
          </cell>
          <cell r="D1365">
            <v>4</v>
          </cell>
          <cell r="E1365" t="str">
            <v>Compensation of employees</v>
          </cell>
          <cell r="F1365">
            <v>12</v>
          </cell>
          <cell r="G1365">
            <v>1997</v>
          </cell>
          <cell r="H1365">
            <v>30</v>
          </cell>
          <cell r="I1365">
            <v>2917000000</v>
          </cell>
        </row>
        <row r="1366">
          <cell r="A1366" t="str">
            <v>Kuwait</v>
          </cell>
          <cell r="B1366">
            <v>414</v>
          </cell>
          <cell r="C1366">
            <v>203</v>
          </cell>
          <cell r="D1366">
            <v>4</v>
          </cell>
          <cell r="E1366" t="str">
            <v>Compensation of employees</v>
          </cell>
          <cell r="F1366">
            <v>12</v>
          </cell>
          <cell r="G1366">
            <v>1998</v>
          </cell>
          <cell r="H1366">
            <v>30</v>
          </cell>
          <cell r="I1366">
            <v>3130000000</v>
          </cell>
        </row>
        <row r="1367">
          <cell r="A1367" t="str">
            <v>Kuwait</v>
          </cell>
          <cell r="B1367">
            <v>414</v>
          </cell>
          <cell r="C1367">
            <v>203</v>
          </cell>
          <cell r="D1367">
            <v>4</v>
          </cell>
          <cell r="E1367" t="str">
            <v>Compensation of employees</v>
          </cell>
          <cell r="F1367">
            <v>12</v>
          </cell>
          <cell r="G1367">
            <v>1999</v>
          </cell>
          <cell r="H1367">
            <v>30</v>
          </cell>
          <cell r="I1367">
            <v>3247000000</v>
          </cell>
        </row>
        <row r="1368">
          <cell r="A1368" t="str">
            <v>Kuwait</v>
          </cell>
          <cell r="B1368">
            <v>414</v>
          </cell>
          <cell r="C1368">
            <v>203</v>
          </cell>
          <cell r="D1368">
            <v>11</v>
          </cell>
          <cell r="E1368" t="str">
            <v>OPERATING SURPLUS, GROSS</v>
          </cell>
          <cell r="F1368">
            <v>12</v>
          </cell>
          <cell r="G1368">
            <v>1992</v>
          </cell>
          <cell r="H1368">
            <v>30</v>
          </cell>
          <cell r="I1368">
            <v>3411000000</v>
          </cell>
        </row>
        <row r="1369">
          <cell r="A1369" t="str">
            <v>Kuwait</v>
          </cell>
          <cell r="B1369">
            <v>414</v>
          </cell>
          <cell r="C1369">
            <v>203</v>
          </cell>
          <cell r="D1369">
            <v>11</v>
          </cell>
          <cell r="E1369" t="str">
            <v>OPERATING SURPLUS, GROSS</v>
          </cell>
          <cell r="F1369">
            <v>12</v>
          </cell>
          <cell r="G1369">
            <v>1993</v>
          </cell>
          <cell r="H1369">
            <v>30</v>
          </cell>
          <cell r="I1369">
            <v>4791000000</v>
          </cell>
        </row>
        <row r="1370">
          <cell r="A1370" t="str">
            <v>Kuwait</v>
          </cell>
          <cell r="B1370">
            <v>414</v>
          </cell>
          <cell r="C1370">
            <v>203</v>
          </cell>
          <cell r="D1370">
            <v>11</v>
          </cell>
          <cell r="E1370" t="str">
            <v>OPERATING SURPLUS, GROSS</v>
          </cell>
          <cell r="F1370">
            <v>12</v>
          </cell>
          <cell r="G1370">
            <v>1994</v>
          </cell>
          <cell r="H1370">
            <v>30</v>
          </cell>
          <cell r="I1370">
            <v>4842000000</v>
          </cell>
        </row>
        <row r="1371">
          <cell r="A1371" t="str">
            <v>Kuwait</v>
          </cell>
          <cell r="B1371">
            <v>414</v>
          </cell>
          <cell r="C1371">
            <v>203</v>
          </cell>
          <cell r="D1371">
            <v>11</v>
          </cell>
          <cell r="E1371" t="str">
            <v>OPERATING SURPLUS, GROSS</v>
          </cell>
          <cell r="F1371">
            <v>12</v>
          </cell>
          <cell r="G1371">
            <v>1995</v>
          </cell>
          <cell r="H1371">
            <v>30</v>
          </cell>
          <cell r="I1371">
            <v>5297000000</v>
          </cell>
        </row>
        <row r="1372">
          <cell r="A1372" t="str">
            <v>Kuwait</v>
          </cell>
          <cell r="B1372">
            <v>414</v>
          </cell>
          <cell r="C1372">
            <v>203</v>
          </cell>
          <cell r="D1372">
            <v>11</v>
          </cell>
          <cell r="E1372" t="str">
            <v>OPERATING SURPLUS, GROSS</v>
          </cell>
          <cell r="F1372">
            <v>12</v>
          </cell>
          <cell r="G1372">
            <v>1996</v>
          </cell>
          <cell r="H1372">
            <v>30</v>
          </cell>
          <cell r="I1372">
            <v>6605000000</v>
          </cell>
        </row>
        <row r="1373">
          <cell r="A1373" t="str">
            <v>Kuwait</v>
          </cell>
          <cell r="B1373">
            <v>414</v>
          </cell>
          <cell r="C1373">
            <v>203</v>
          </cell>
          <cell r="D1373">
            <v>11</v>
          </cell>
          <cell r="E1373" t="str">
            <v>OPERATING SURPLUS, GROSS</v>
          </cell>
          <cell r="F1373">
            <v>12</v>
          </cell>
          <cell r="G1373">
            <v>1997</v>
          </cell>
          <cell r="H1373">
            <v>30</v>
          </cell>
          <cell r="I1373">
            <v>6361000000</v>
          </cell>
        </row>
        <row r="1374">
          <cell r="A1374" t="str">
            <v>Kuwait</v>
          </cell>
          <cell r="B1374">
            <v>414</v>
          </cell>
          <cell r="C1374">
            <v>203</v>
          </cell>
          <cell r="D1374">
            <v>11</v>
          </cell>
          <cell r="E1374" t="str">
            <v>OPERATING SURPLUS, GROSS</v>
          </cell>
          <cell r="F1374">
            <v>12</v>
          </cell>
          <cell r="G1374">
            <v>1998</v>
          </cell>
          <cell r="H1374">
            <v>30</v>
          </cell>
          <cell r="I1374">
            <v>4819000000</v>
          </cell>
        </row>
        <row r="1375">
          <cell r="A1375" t="str">
            <v>Kuwait</v>
          </cell>
          <cell r="B1375">
            <v>414</v>
          </cell>
          <cell r="C1375">
            <v>203</v>
          </cell>
          <cell r="D1375">
            <v>11</v>
          </cell>
          <cell r="E1375" t="str">
            <v>OPERATING SURPLUS, GROSS</v>
          </cell>
          <cell r="F1375">
            <v>12</v>
          </cell>
          <cell r="G1375">
            <v>1999</v>
          </cell>
          <cell r="H1375">
            <v>30</v>
          </cell>
          <cell r="I1375">
            <v>5983000000</v>
          </cell>
        </row>
        <row r="1376">
          <cell r="A1376" t="str">
            <v>Kuwait</v>
          </cell>
          <cell r="B1376">
            <v>414</v>
          </cell>
          <cell r="C1376">
            <v>203</v>
          </cell>
          <cell r="D1376">
            <v>22</v>
          </cell>
          <cell r="E1376" t="str">
            <v>Taxes on production and imports, less Subsidies</v>
          </cell>
          <cell r="F1376">
            <v>12</v>
          </cell>
          <cell r="G1376">
            <v>1992</v>
          </cell>
          <cell r="H1376">
            <v>30</v>
          </cell>
          <cell r="I1376">
            <v>6000000</v>
          </cell>
        </row>
        <row r="1377">
          <cell r="A1377" t="str">
            <v>Kuwait</v>
          </cell>
          <cell r="B1377">
            <v>414</v>
          </cell>
          <cell r="C1377">
            <v>203</v>
          </cell>
          <cell r="D1377">
            <v>22</v>
          </cell>
          <cell r="E1377" t="str">
            <v>Taxes on production and imports, less Subsidies</v>
          </cell>
          <cell r="F1377">
            <v>12</v>
          </cell>
          <cell r="G1377">
            <v>1993</v>
          </cell>
          <cell r="H1377">
            <v>30</v>
          </cell>
          <cell r="I1377">
            <v>6000000</v>
          </cell>
        </row>
        <row r="1378">
          <cell r="A1378" t="str">
            <v>Kuwait</v>
          </cell>
          <cell r="B1378">
            <v>414</v>
          </cell>
          <cell r="C1378">
            <v>203</v>
          </cell>
          <cell r="D1378">
            <v>22</v>
          </cell>
          <cell r="E1378" t="str">
            <v>Taxes on production and imports, less Subsidies</v>
          </cell>
          <cell r="F1378">
            <v>12</v>
          </cell>
          <cell r="G1378">
            <v>1994</v>
          </cell>
          <cell r="H1378">
            <v>30</v>
          </cell>
          <cell r="I1378">
            <v>4000000</v>
          </cell>
        </row>
        <row r="1379">
          <cell r="A1379" t="str">
            <v>Kuwait</v>
          </cell>
          <cell r="B1379">
            <v>414</v>
          </cell>
          <cell r="C1379">
            <v>203</v>
          </cell>
          <cell r="D1379">
            <v>22</v>
          </cell>
          <cell r="E1379" t="str">
            <v>Taxes on production and imports, less Subsidies</v>
          </cell>
          <cell r="F1379">
            <v>12</v>
          </cell>
          <cell r="G1379">
            <v>1995</v>
          </cell>
          <cell r="H1379">
            <v>30</v>
          </cell>
          <cell r="I1379">
            <v>5000000</v>
          </cell>
        </row>
        <row r="1380">
          <cell r="A1380" t="str">
            <v>Kuwait</v>
          </cell>
          <cell r="B1380">
            <v>414</v>
          </cell>
          <cell r="C1380">
            <v>203</v>
          </cell>
          <cell r="D1380">
            <v>22</v>
          </cell>
          <cell r="E1380" t="str">
            <v>Taxes on production and imports, less Subsidies</v>
          </cell>
          <cell r="F1380">
            <v>12</v>
          </cell>
          <cell r="G1380">
            <v>1996</v>
          </cell>
          <cell r="H1380">
            <v>30</v>
          </cell>
          <cell r="I1380">
            <v>0</v>
          </cell>
        </row>
        <row r="1381">
          <cell r="A1381" t="str">
            <v>Kuwait</v>
          </cell>
          <cell r="B1381">
            <v>414</v>
          </cell>
          <cell r="C1381">
            <v>203</v>
          </cell>
          <cell r="D1381">
            <v>22</v>
          </cell>
          <cell r="E1381" t="str">
            <v>Taxes on production and imports, less Subsidies</v>
          </cell>
          <cell r="F1381">
            <v>12</v>
          </cell>
          <cell r="G1381">
            <v>1997</v>
          </cell>
          <cell r="H1381">
            <v>30</v>
          </cell>
          <cell r="I1381">
            <v>1000000</v>
          </cell>
        </row>
        <row r="1382">
          <cell r="A1382" t="str">
            <v>Kuwait</v>
          </cell>
          <cell r="B1382">
            <v>414</v>
          </cell>
          <cell r="C1382">
            <v>203</v>
          </cell>
          <cell r="D1382">
            <v>22</v>
          </cell>
          <cell r="E1382" t="str">
            <v>Taxes on production and imports, less Subsidies</v>
          </cell>
          <cell r="F1382">
            <v>12</v>
          </cell>
          <cell r="G1382">
            <v>1998</v>
          </cell>
          <cell r="H1382">
            <v>30</v>
          </cell>
          <cell r="I1382">
            <v>8000000</v>
          </cell>
        </row>
        <row r="1383">
          <cell r="A1383" t="str">
            <v>Kuwait</v>
          </cell>
          <cell r="B1383">
            <v>414</v>
          </cell>
          <cell r="C1383">
            <v>203</v>
          </cell>
          <cell r="D1383">
            <v>22</v>
          </cell>
          <cell r="E1383" t="str">
            <v>Taxes on production and imports, less Subsidies</v>
          </cell>
          <cell r="F1383">
            <v>12</v>
          </cell>
          <cell r="G1383">
            <v>1999</v>
          </cell>
          <cell r="H1383">
            <v>30</v>
          </cell>
          <cell r="I1383">
            <v>17000000</v>
          </cell>
        </row>
        <row r="1384">
          <cell r="A1384" t="str">
            <v>Liberia</v>
          </cell>
          <cell r="B1384">
            <v>430</v>
          </cell>
          <cell r="C1384">
            <v>201</v>
          </cell>
          <cell r="D1384">
            <v>13</v>
          </cell>
          <cell r="E1384" t="str">
            <v>Less: Financial intermediation services indirectly measured (FISIM) (only to be deducted if FISIM is not distributed to uses)</v>
          </cell>
          <cell r="F1384">
            <v>0</v>
          </cell>
          <cell r="G1384">
            <v>1964</v>
          </cell>
          <cell r="H1384">
            <v>10</v>
          </cell>
          <cell r="I1384">
            <v>1100000</v>
          </cell>
        </row>
        <row r="1385">
          <cell r="A1385" t="str">
            <v>Liberia</v>
          </cell>
          <cell r="B1385">
            <v>430</v>
          </cell>
          <cell r="C1385">
            <v>201</v>
          </cell>
          <cell r="D1385">
            <v>13</v>
          </cell>
          <cell r="E1385" t="str">
            <v>Less: Financial intermediation services indirectly measured (FISIM) (only to be deducted if FISIM is not distributed to uses)</v>
          </cell>
          <cell r="F1385">
            <v>0</v>
          </cell>
          <cell r="G1385">
            <v>1965</v>
          </cell>
          <cell r="H1385">
            <v>10</v>
          </cell>
          <cell r="I1385">
            <v>2600000</v>
          </cell>
        </row>
        <row r="1386">
          <cell r="A1386" t="str">
            <v>Liberia</v>
          </cell>
          <cell r="B1386">
            <v>430</v>
          </cell>
          <cell r="C1386">
            <v>201</v>
          </cell>
          <cell r="D1386">
            <v>13</v>
          </cell>
          <cell r="E1386" t="str">
            <v>Less: Financial intermediation services indirectly measured (FISIM) (only to be deducted if FISIM is not distributed to uses)</v>
          </cell>
          <cell r="F1386">
            <v>0</v>
          </cell>
          <cell r="G1386">
            <v>1966</v>
          </cell>
          <cell r="H1386">
            <v>10</v>
          </cell>
          <cell r="I1386">
            <v>2300000</v>
          </cell>
        </row>
        <row r="1387">
          <cell r="A1387" t="str">
            <v>Liberia</v>
          </cell>
          <cell r="B1387">
            <v>430</v>
          </cell>
          <cell r="C1387">
            <v>201</v>
          </cell>
          <cell r="D1387">
            <v>13</v>
          </cell>
          <cell r="E1387" t="str">
            <v>Less: Financial intermediation services indirectly measured (FISIM) (only to be deducted if FISIM is not distributed to uses)</v>
          </cell>
          <cell r="F1387">
            <v>0</v>
          </cell>
          <cell r="G1387">
            <v>1967</v>
          </cell>
          <cell r="H1387">
            <v>10</v>
          </cell>
          <cell r="I1387">
            <v>2000000</v>
          </cell>
        </row>
        <row r="1388">
          <cell r="A1388" t="str">
            <v>Liberia</v>
          </cell>
          <cell r="B1388">
            <v>430</v>
          </cell>
          <cell r="C1388">
            <v>201</v>
          </cell>
          <cell r="D1388">
            <v>13</v>
          </cell>
          <cell r="E1388" t="str">
            <v>Less: Financial intermediation services indirectly measured (FISIM) (only to be deducted if FISIM is not distributed to uses)</v>
          </cell>
          <cell r="F1388">
            <v>0</v>
          </cell>
          <cell r="G1388">
            <v>1968</v>
          </cell>
          <cell r="H1388">
            <v>10</v>
          </cell>
          <cell r="I1388">
            <v>2600000</v>
          </cell>
        </row>
        <row r="1389">
          <cell r="A1389" t="str">
            <v>Liberia</v>
          </cell>
          <cell r="B1389">
            <v>430</v>
          </cell>
          <cell r="C1389">
            <v>201</v>
          </cell>
          <cell r="D1389">
            <v>13</v>
          </cell>
          <cell r="E1389" t="str">
            <v>Less: Financial intermediation services indirectly measured (FISIM) (only to be deducted if FISIM is not distributed to uses)</v>
          </cell>
          <cell r="F1389">
            <v>0</v>
          </cell>
          <cell r="G1389">
            <v>1969</v>
          </cell>
          <cell r="H1389">
            <v>10</v>
          </cell>
          <cell r="I1389">
            <v>3500000</v>
          </cell>
        </row>
        <row r="1390">
          <cell r="A1390" t="str">
            <v>Liberia</v>
          </cell>
          <cell r="B1390">
            <v>430</v>
          </cell>
          <cell r="C1390">
            <v>201</v>
          </cell>
          <cell r="D1390">
            <v>13</v>
          </cell>
          <cell r="E1390" t="str">
            <v>Less: Financial intermediation services indirectly measured (FISIM) (only to be deducted if FISIM is not distributed to uses)</v>
          </cell>
          <cell r="F1390">
            <v>0</v>
          </cell>
          <cell r="G1390">
            <v>1970</v>
          </cell>
          <cell r="H1390">
            <v>10</v>
          </cell>
          <cell r="I1390">
            <v>3400000</v>
          </cell>
        </row>
        <row r="1391">
          <cell r="A1391" t="str">
            <v>Liberia</v>
          </cell>
          <cell r="B1391">
            <v>430</v>
          </cell>
          <cell r="C1391">
            <v>201</v>
          </cell>
          <cell r="D1391">
            <v>13</v>
          </cell>
          <cell r="E1391" t="str">
            <v>Less: Financial intermediation services indirectly measured (FISIM) (only to be deducted if FISIM is not distributed to uses)</v>
          </cell>
          <cell r="F1391">
            <v>0</v>
          </cell>
          <cell r="G1391">
            <v>1971</v>
          </cell>
          <cell r="H1391">
            <v>10</v>
          </cell>
          <cell r="I1391">
            <v>3400000</v>
          </cell>
        </row>
        <row r="1392">
          <cell r="A1392" t="str">
            <v>Liberia</v>
          </cell>
          <cell r="B1392">
            <v>430</v>
          </cell>
          <cell r="C1392">
            <v>201</v>
          </cell>
          <cell r="D1392">
            <v>13</v>
          </cell>
          <cell r="E1392" t="str">
            <v>Less: Financial intermediation services indirectly measured (FISIM) (only to be deducted if FISIM is not distributed to uses)</v>
          </cell>
          <cell r="F1392">
            <v>0</v>
          </cell>
          <cell r="G1392">
            <v>1972</v>
          </cell>
          <cell r="H1392">
            <v>10</v>
          </cell>
          <cell r="I1392">
            <v>3500000</v>
          </cell>
        </row>
        <row r="1393">
          <cell r="A1393" t="str">
            <v>Liberia</v>
          </cell>
          <cell r="B1393">
            <v>430</v>
          </cell>
          <cell r="C1393">
            <v>201</v>
          </cell>
          <cell r="D1393">
            <v>13</v>
          </cell>
          <cell r="E1393" t="str">
            <v>Less: Financial intermediation services indirectly measured (FISIM) (only to be deducted if FISIM is not distributed to uses)</v>
          </cell>
          <cell r="F1393">
            <v>0</v>
          </cell>
          <cell r="G1393">
            <v>1973</v>
          </cell>
          <cell r="H1393">
            <v>10</v>
          </cell>
          <cell r="I1393">
            <v>4200000</v>
          </cell>
        </row>
        <row r="1394">
          <cell r="A1394" t="str">
            <v>Liberia</v>
          </cell>
          <cell r="B1394">
            <v>430</v>
          </cell>
          <cell r="C1394">
            <v>201</v>
          </cell>
          <cell r="D1394">
            <v>13</v>
          </cell>
          <cell r="E1394" t="str">
            <v>Less: Financial intermediation services indirectly measured (FISIM) (only to be deducted if FISIM is not distributed to uses)</v>
          </cell>
          <cell r="F1394">
            <v>0</v>
          </cell>
          <cell r="G1394">
            <v>1973</v>
          </cell>
          <cell r="H1394">
            <v>20</v>
          </cell>
          <cell r="I1394">
            <v>4200000</v>
          </cell>
        </row>
        <row r="1395">
          <cell r="A1395" t="str">
            <v>Liberia</v>
          </cell>
          <cell r="B1395">
            <v>430</v>
          </cell>
          <cell r="C1395">
            <v>201</v>
          </cell>
          <cell r="D1395">
            <v>13</v>
          </cell>
          <cell r="E1395" t="str">
            <v>Less: Financial intermediation services indirectly measured (FISIM) (only to be deducted if FISIM is not distributed to uses)</v>
          </cell>
          <cell r="F1395">
            <v>0</v>
          </cell>
          <cell r="G1395">
            <v>1974</v>
          </cell>
          <cell r="H1395">
            <v>20</v>
          </cell>
          <cell r="I1395">
            <v>5100000</v>
          </cell>
        </row>
        <row r="1396">
          <cell r="A1396" t="str">
            <v>Liberia</v>
          </cell>
          <cell r="B1396">
            <v>430</v>
          </cell>
          <cell r="C1396">
            <v>201</v>
          </cell>
          <cell r="D1396">
            <v>13</v>
          </cell>
          <cell r="E1396" t="str">
            <v>Less: Financial intermediation services indirectly measured (FISIM) (only to be deducted if FISIM is not distributed to uses)</v>
          </cell>
          <cell r="F1396">
            <v>0</v>
          </cell>
          <cell r="G1396">
            <v>1975</v>
          </cell>
          <cell r="H1396">
            <v>20</v>
          </cell>
          <cell r="I1396">
            <v>4700000</v>
          </cell>
        </row>
        <row r="1397">
          <cell r="A1397" t="str">
            <v>Liberia</v>
          </cell>
          <cell r="B1397">
            <v>430</v>
          </cell>
          <cell r="C1397">
            <v>201</v>
          </cell>
          <cell r="D1397">
            <v>13</v>
          </cell>
          <cell r="E1397" t="str">
            <v>Less: Financial intermediation services indirectly measured (FISIM) (only to be deducted if FISIM is not distributed to uses)</v>
          </cell>
          <cell r="F1397">
            <v>0</v>
          </cell>
          <cell r="G1397">
            <v>1976</v>
          </cell>
          <cell r="H1397">
            <v>20</v>
          </cell>
          <cell r="I1397">
            <v>6700000</v>
          </cell>
        </row>
        <row r="1398">
          <cell r="A1398" t="str">
            <v>Liberia</v>
          </cell>
          <cell r="B1398">
            <v>430</v>
          </cell>
          <cell r="C1398">
            <v>201</v>
          </cell>
          <cell r="D1398">
            <v>13</v>
          </cell>
          <cell r="E1398" t="str">
            <v>Less: Financial intermediation services indirectly measured (FISIM) (only to be deducted if FISIM is not distributed to uses)</v>
          </cell>
          <cell r="F1398">
            <v>0</v>
          </cell>
          <cell r="G1398">
            <v>1977</v>
          </cell>
          <cell r="H1398">
            <v>20</v>
          </cell>
          <cell r="I1398">
            <v>3800000</v>
          </cell>
        </row>
        <row r="1399">
          <cell r="A1399" t="str">
            <v>Liberia</v>
          </cell>
          <cell r="B1399">
            <v>430</v>
          </cell>
          <cell r="C1399">
            <v>201</v>
          </cell>
          <cell r="D1399">
            <v>13</v>
          </cell>
          <cell r="E1399" t="str">
            <v>Less: Financial intermediation services indirectly measured (FISIM) (only to be deducted if FISIM is not distributed to uses)</v>
          </cell>
          <cell r="F1399">
            <v>0</v>
          </cell>
          <cell r="G1399">
            <v>1978</v>
          </cell>
          <cell r="H1399">
            <v>20</v>
          </cell>
          <cell r="I1399">
            <v>5000000</v>
          </cell>
        </row>
        <row r="1400">
          <cell r="A1400" t="str">
            <v>Liberia</v>
          </cell>
          <cell r="B1400">
            <v>430</v>
          </cell>
          <cell r="C1400">
            <v>201</v>
          </cell>
          <cell r="D1400">
            <v>13</v>
          </cell>
          <cell r="E1400" t="str">
            <v>Less: Financial intermediation services indirectly measured (FISIM) (only to be deducted if FISIM is not distributed to uses)</v>
          </cell>
          <cell r="F1400">
            <v>0</v>
          </cell>
          <cell r="G1400">
            <v>1979</v>
          </cell>
          <cell r="H1400">
            <v>20</v>
          </cell>
          <cell r="I1400">
            <v>14100000</v>
          </cell>
        </row>
        <row r="1401">
          <cell r="A1401" t="str">
            <v>Liberia</v>
          </cell>
          <cell r="B1401">
            <v>430</v>
          </cell>
          <cell r="C1401">
            <v>201</v>
          </cell>
          <cell r="D1401">
            <v>13</v>
          </cell>
          <cell r="E1401" t="str">
            <v>Less: Financial intermediation services indirectly measured (FISIM) (only to be deducted if FISIM is not distributed to uses)</v>
          </cell>
          <cell r="F1401">
            <v>0</v>
          </cell>
          <cell r="G1401">
            <v>1980</v>
          </cell>
          <cell r="H1401">
            <v>20</v>
          </cell>
          <cell r="I1401">
            <v>11500000</v>
          </cell>
        </row>
        <row r="1402">
          <cell r="A1402" t="str">
            <v>Liberia</v>
          </cell>
          <cell r="B1402">
            <v>430</v>
          </cell>
          <cell r="C1402">
            <v>201</v>
          </cell>
          <cell r="D1402">
            <v>13</v>
          </cell>
          <cell r="E1402" t="str">
            <v>Less: Financial intermediation services indirectly measured (FISIM) (only to be deducted if FISIM is not distributed to uses)</v>
          </cell>
          <cell r="F1402">
            <v>0</v>
          </cell>
          <cell r="G1402">
            <v>1981</v>
          </cell>
          <cell r="H1402">
            <v>20</v>
          </cell>
          <cell r="I1402">
            <v>13300000</v>
          </cell>
        </row>
        <row r="1403">
          <cell r="A1403" t="str">
            <v>Liberia</v>
          </cell>
          <cell r="B1403">
            <v>430</v>
          </cell>
          <cell r="C1403">
            <v>201</v>
          </cell>
          <cell r="D1403">
            <v>13</v>
          </cell>
          <cell r="E1403" t="str">
            <v>Less: Financial intermediation services indirectly measured (FISIM) (only to be deducted if FISIM is not distributed to uses)</v>
          </cell>
          <cell r="F1403">
            <v>0</v>
          </cell>
          <cell r="G1403">
            <v>1982</v>
          </cell>
          <cell r="H1403">
            <v>20</v>
          </cell>
          <cell r="I1403">
            <v>16500000</v>
          </cell>
        </row>
        <row r="1404">
          <cell r="A1404" t="str">
            <v>Liberia</v>
          </cell>
          <cell r="B1404">
            <v>430</v>
          </cell>
          <cell r="C1404">
            <v>201</v>
          </cell>
          <cell r="D1404">
            <v>13</v>
          </cell>
          <cell r="E1404" t="str">
            <v>Less: Financial intermediation services indirectly measured (FISIM) (only to be deducted if FISIM is not distributed to uses)</v>
          </cell>
          <cell r="F1404">
            <v>0</v>
          </cell>
          <cell r="G1404">
            <v>1983</v>
          </cell>
          <cell r="H1404">
            <v>20</v>
          </cell>
          <cell r="I1404">
            <v>17700000</v>
          </cell>
        </row>
        <row r="1405">
          <cell r="A1405" t="str">
            <v>Liberia</v>
          </cell>
          <cell r="B1405">
            <v>430</v>
          </cell>
          <cell r="C1405">
            <v>201</v>
          </cell>
          <cell r="D1405">
            <v>13</v>
          </cell>
          <cell r="E1405" t="str">
            <v>Less: Financial intermediation services indirectly measured (FISIM) (only to be deducted if FISIM is not distributed to uses)</v>
          </cell>
          <cell r="F1405">
            <v>0</v>
          </cell>
          <cell r="G1405">
            <v>1984</v>
          </cell>
          <cell r="H1405">
            <v>20</v>
          </cell>
          <cell r="I1405">
            <v>24700000</v>
          </cell>
        </row>
        <row r="1406">
          <cell r="A1406" t="str">
            <v>Liberia</v>
          </cell>
          <cell r="B1406">
            <v>430</v>
          </cell>
          <cell r="C1406">
            <v>201</v>
          </cell>
          <cell r="D1406">
            <v>13</v>
          </cell>
          <cell r="E1406" t="str">
            <v>Less: Financial intermediation services indirectly measured (FISIM) (only to be deducted if FISIM is not distributed to uses)</v>
          </cell>
          <cell r="F1406">
            <v>0</v>
          </cell>
          <cell r="G1406">
            <v>1985</v>
          </cell>
          <cell r="H1406">
            <v>20</v>
          </cell>
          <cell r="I1406">
            <v>20300000</v>
          </cell>
        </row>
        <row r="1407">
          <cell r="A1407" t="str">
            <v>Liberia</v>
          </cell>
          <cell r="B1407">
            <v>430</v>
          </cell>
          <cell r="C1407">
            <v>201</v>
          </cell>
          <cell r="D1407">
            <v>13</v>
          </cell>
          <cell r="E1407" t="str">
            <v>Less: Financial intermediation services indirectly measured (FISIM) (only to be deducted if FISIM is not distributed to uses)</v>
          </cell>
          <cell r="F1407">
            <v>0</v>
          </cell>
          <cell r="G1407">
            <v>1986</v>
          </cell>
          <cell r="H1407">
            <v>20</v>
          </cell>
          <cell r="I1407">
            <v>19700000</v>
          </cell>
        </row>
        <row r="1408">
          <cell r="A1408" t="str">
            <v>Liberia</v>
          </cell>
          <cell r="B1408">
            <v>430</v>
          </cell>
          <cell r="C1408">
            <v>201</v>
          </cell>
          <cell r="D1408">
            <v>13</v>
          </cell>
          <cell r="E1408" t="str">
            <v>Less: Financial intermediation services indirectly measured (FISIM) (only to be deducted if FISIM is not distributed to uses)</v>
          </cell>
          <cell r="F1408">
            <v>0</v>
          </cell>
          <cell r="G1408">
            <v>1987</v>
          </cell>
          <cell r="H1408">
            <v>20</v>
          </cell>
          <cell r="I1408">
            <v>18300000</v>
          </cell>
        </row>
        <row r="1409">
          <cell r="A1409" t="str">
            <v>Liberia</v>
          </cell>
          <cell r="B1409">
            <v>430</v>
          </cell>
          <cell r="C1409">
            <v>201</v>
          </cell>
          <cell r="D1409">
            <v>13</v>
          </cell>
          <cell r="E1409" t="str">
            <v>Less: Financial intermediation services indirectly measured (FISIM) (only to be deducted if FISIM is not distributed to uses)</v>
          </cell>
          <cell r="F1409">
            <v>0</v>
          </cell>
          <cell r="G1409">
            <v>1988</v>
          </cell>
          <cell r="H1409">
            <v>20</v>
          </cell>
          <cell r="I1409">
            <v>27100000</v>
          </cell>
        </row>
        <row r="1410">
          <cell r="A1410" t="str">
            <v>Liberia</v>
          </cell>
          <cell r="B1410">
            <v>430</v>
          </cell>
          <cell r="C1410">
            <v>201</v>
          </cell>
          <cell r="D1410">
            <v>13</v>
          </cell>
          <cell r="E1410" t="str">
            <v>Less: Financial intermediation services indirectly measured (FISIM) (only to be deducted if FISIM is not distributed to uses)</v>
          </cell>
          <cell r="F1410">
            <v>0</v>
          </cell>
          <cell r="G1410">
            <v>1989</v>
          </cell>
          <cell r="H1410">
            <v>20</v>
          </cell>
          <cell r="I1410">
            <v>36500000</v>
          </cell>
        </row>
        <row r="1411">
          <cell r="A1411" t="str">
            <v>Lithuania</v>
          </cell>
          <cell r="B1411">
            <v>440</v>
          </cell>
          <cell r="C1411">
            <v>201</v>
          </cell>
          <cell r="D1411">
            <v>13</v>
          </cell>
          <cell r="E1411" t="str">
            <v>Less: Financial intermediation services indirectly measured (FISIM) (only to be deducted if FISIM is not distributed to uses)</v>
          </cell>
          <cell r="F1411">
            <v>0</v>
          </cell>
          <cell r="G1411">
            <v>1990</v>
          </cell>
          <cell r="H1411">
            <v>100</v>
          </cell>
          <cell r="I1411">
            <v>3500000</v>
          </cell>
        </row>
        <row r="1412">
          <cell r="A1412" t="str">
            <v>Lithuania</v>
          </cell>
          <cell r="B1412">
            <v>440</v>
          </cell>
          <cell r="C1412">
            <v>201</v>
          </cell>
          <cell r="D1412">
            <v>13</v>
          </cell>
          <cell r="E1412" t="str">
            <v>Less: Financial intermediation services indirectly measured (FISIM) (only to be deducted if FISIM is not distributed to uses)</v>
          </cell>
          <cell r="F1412">
            <v>0</v>
          </cell>
          <cell r="G1412">
            <v>1991</v>
          </cell>
          <cell r="H1412">
            <v>100</v>
          </cell>
          <cell r="I1412">
            <v>8200000</v>
          </cell>
        </row>
        <row r="1413">
          <cell r="A1413" t="str">
            <v>Lithuania</v>
          </cell>
          <cell r="B1413">
            <v>440</v>
          </cell>
          <cell r="C1413">
            <v>201</v>
          </cell>
          <cell r="D1413">
            <v>13</v>
          </cell>
          <cell r="E1413" t="str">
            <v>Less: Financial intermediation services indirectly measured (FISIM) (only to be deducted if FISIM is not distributed to uses)</v>
          </cell>
          <cell r="F1413">
            <v>0</v>
          </cell>
          <cell r="G1413">
            <v>1992</v>
          </cell>
          <cell r="H1413">
            <v>100</v>
          </cell>
          <cell r="I1413">
            <v>107600000</v>
          </cell>
        </row>
        <row r="1414">
          <cell r="A1414" t="str">
            <v>Lithuania</v>
          </cell>
          <cell r="B1414">
            <v>440</v>
          </cell>
          <cell r="C1414">
            <v>201</v>
          </cell>
          <cell r="D1414">
            <v>13</v>
          </cell>
          <cell r="E1414" t="str">
            <v>Less: Financial intermediation services indirectly measured (FISIM) (only to be deducted if FISIM is not distributed to uses)</v>
          </cell>
          <cell r="F1414">
            <v>0</v>
          </cell>
          <cell r="G1414">
            <v>1993</v>
          </cell>
          <cell r="H1414">
            <v>100</v>
          </cell>
          <cell r="I1414">
            <v>565000000</v>
          </cell>
        </row>
        <row r="1415">
          <cell r="A1415" t="str">
            <v>Lithuania</v>
          </cell>
          <cell r="B1415">
            <v>440</v>
          </cell>
          <cell r="C1415">
            <v>201</v>
          </cell>
          <cell r="D1415">
            <v>13</v>
          </cell>
          <cell r="E1415" t="str">
            <v>Less: Financial intermediation services indirectly measured (FISIM) (only to be deducted if FISIM is not distributed to uses)</v>
          </cell>
          <cell r="F1415">
            <v>0</v>
          </cell>
          <cell r="G1415">
            <v>1994</v>
          </cell>
          <cell r="H1415">
            <v>100</v>
          </cell>
          <cell r="I1415">
            <v>598600000</v>
          </cell>
        </row>
        <row r="1416">
          <cell r="A1416" t="str">
            <v>Lithuania</v>
          </cell>
          <cell r="B1416">
            <v>440</v>
          </cell>
          <cell r="C1416">
            <v>201</v>
          </cell>
          <cell r="D1416">
            <v>13</v>
          </cell>
          <cell r="E1416" t="str">
            <v>Less: Financial intermediation services indirectly measured (FISIM) (only to be deducted if FISIM is not distributed to uses)</v>
          </cell>
          <cell r="F1416">
            <v>0</v>
          </cell>
          <cell r="G1416">
            <v>1995</v>
          </cell>
          <cell r="H1416">
            <v>100</v>
          </cell>
          <cell r="I1416">
            <v>414000000</v>
          </cell>
        </row>
        <row r="1417">
          <cell r="A1417" t="str">
            <v>Lithuania</v>
          </cell>
          <cell r="B1417">
            <v>440</v>
          </cell>
          <cell r="C1417">
            <v>201</v>
          </cell>
          <cell r="D1417">
            <v>13</v>
          </cell>
          <cell r="E1417" t="str">
            <v>Less: Financial intermediation services indirectly measured (FISIM) (only to be deducted if FISIM is not distributed to uses)</v>
          </cell>
          <cell r="F1417">
            <v>0</v>
          </cell>
          <cell r="G1417">
            <v>1996</v>
          </cell>
          <cell r="H1417">
            <v>100</v>
          </cell>
          <cell r="I1417">
            <v>448000000</v>
          </cell>
        </row>
        <row r="1418">
          <cell r="A1418" t="str">
            <v>Lithuania</v>
          </cell>
          <cell r="B1418">
            <v>440</v>
          </cell>
          <cell r="C1418">
            <v>201</v>
          </cell>
          <cell r="D1418">
            <v>13</v>
          </cell>
          <cell r="E1418" t="str">
            <v>Less: Financial intermediation services indirectly measured (FISIM) (only to be deducted if FISIM is not distributed to uses)</v>
          </cell>
          <cell r="F1418">
            <v>0</v>
          </cell>
          <cell r="G1418">
            <v>1997</v>
          </cell>
          <cell r="H1418">
            <v>100</v>
          </cell>
          <cell r="I1418">
            <v>457000000</v>
          </cell>
        </row>
        <row r="1419">
          <cell r="A1419" t="str">
            <v>Lithuania</v>
          </cell>
          <cell r="B1419">
            <v>440</v>
          </cell>
          <cell r="C1419">
            <v>201</v>
          </cell>
          <cell r="D1419">
            <v>13</v>
          </cell>
          <cell r="E1419" t="str">
            <v>Less: Financial intermediation services indirectly measured (FISIM) (only to be deducted if FISIM is not distributed to uses)</v>
          </cell>
          <cell r="F1419">
            <v>0</v>
          </cell>
          <cell r="G1419">
            <v>1998</v>
          </cell>
          <cell r="H1419">
            <v>100</v>
          </cell>
          <cell r="I1419">
            <v>497000000</v>
          </cell>
        </row>
        <row r="1420">
          <cell r="A1420" t="str">
            <v>Lithuania</v>
          </cell>
          <cell r="B1420">
            <v>440</v>
          </cell>
          <cell r="C1420">
            <v>201</v>
          </cell>
          <cell r="D1420">
            <v>13</v>
          </cell>
          <cell r="E1420" t="str">
            <v>Less: Financial intermediation services indirectly measured (FISIM) (only to be deducted if FISIM is not distributed to uses)</v>
          </cell>
          <cell r="F1420">
            <v>0</v>
          </cell>
          <cell r="G1420">
            <v>1999</v>
          </cell>
          <cell r="H1420">
            <v>100</v>
          </cell>
          <cell r="I1420">
            <v>613000000</v>
          </cell>
        </row>
        <row r="1421">
          <cell r="A1421" t="str">
            <v>Lithuania</v>
          </cell>
          <cell r="B1421">
            <v>440</v>
          </cell>
          <cell r="C1421">
            <v>201</v>
          </cell>
          <cell r="D1421">
            <v>13</v>
          </cell>
          <cell r="E1421" t="str">
            <v>Less: Financial intermediation services indirectly measured (FISIM) (only to be deducted if FISIM is not distributed to uses)</v>
          </cell>
          <cell r="F1421">
            <v>0</v>
          </cell>
          <cell r="G1421">
            <v>2000</v>
          </cell>
          <cell r="H1421">
            <v>100</v>
          </cell>
          <cell r="I1421">
            <v>591000000</v>
          </cell>
        </row>
        <row r="1422">
          <cell r="A1422" t="str">
            <v>Lithuania</v>
          </cell>
          <cell r="B1422">
            <v>440</v>
          </cell>
          <cell r="C1422">
            <v>201</v>
          </cell>
          <cell r="D1422">
            <v>13</v>
          </cell>
          <cell r="E1422" t="str">
            <v>Less: Financial intermediation services indirectly measured (FISIM) (only to be deducted if FISIM is not distributed to uses)</v>
          </cell>
          <cell r="F1422">
            <v>0</v>
          </cell>
          <cell r="G1422">
            <v>2001</v>
          </cell>
          <cell r="H1422">
            <v>100</v>
          </cell>
          <cell r="I1422">
            <v>593000000</v>
          </cell>
        </row>
        <row r="1423">
          <cell r="A1423" t="str">
            <v>Lithuania</v>
          </cell>
          <cell r="B1423">
            <v>440</v>
          </cell>
          <cell r="C1423">
            <v>201</v>
          </cell>
          <cell r="D1423">
            <v>13</v>
          </cell>
          <cell r="E1423" t="str">
            <v>Less: Financial intermediation services indirectly measured (FISIM) (only to be deducted if FISIM is not distributed to uses)</v>
          </cell>
          <cell r="F1423">
            <v>0</v>
          </cell>
          <cell r="G1423">
            <v>2002</v>
          </cell>
          <cell r="H1423">
            <v>100</v>
          </cell>
          <cell r="I1423">
            <v>657000000</v>
          </cell>
        </row>
        <row r="1424">
          <cell r="A1424" t="str">
            <v>Lithuania</v>
          </cell>
          <cell r="B1424">
            <v>440</v>
          </cell>
          <cell r="C1424">
            <v>201</v>
          </cell>
          <cell r="D1424">
            <v>13</v>
          </cell>
          <cell r="E1424" t="str">
            <v>Less: Financial intermediation services indirectly measured (FISIM) (only to be deducted if FISIM is not distributed to uses)</v>
          </cell>
          <cell r="F1424">
            <v>0</v>
          </cell>
          <cell r="G1424">
            <v>2003</v>
          </cell>
          <cell r="H1424">
            <v>100</v>
          </cell>
          <cell r="I1424">
            <v>659300000</v>
          </cell>
        </row>
        <row r="1425">
          <cell r="A1425" t="str">
            <v>Lithuania</v>
          </cell>
          <cell r="B1425">
            <v>440</v>
          </cell>
          <cell r="C1425">
            <v>203</v>
          </cell>
          <cell r="D1425">
            <v>3</v>
          </cell>
          <cell r="E1425" t="str">
            <v>Equals: VALUE ADDED, GROSS, at basic prices</v>
          </cell>
          <cell r="F1425">
            <v>12</v>
          </cell>
          <cell r="G1425">
            <v>1995</v>
          </cell>
          <cell r="H1425">
            <v>100</v>
          </cell>
          <cell r="I1425">
            <v>23032600000</v>
          </cell>
        </row>
        <row r="1426">
          <cell r="A1426" t="str">
            <v>Lithuania</v>
          </cell>
          <cell r="B1426">
            <v>440</v>
          </cell>
          <cell r="C1426">
            <v>203</v>
          </cell>
          <cell r="D1426">
            <v>3</v>
          </cell>
          <cell r="E1426" t="str">
            <v>Equals: VALUE ADDED, GROSS, at basic prices</v>
          </cell>
          <cell r="F1426">
            <v>12</v>
          </cell>
          <cell r="G1426">
            <v>1996</v>
          </cell>
          <cell r="H1426">
            <v>100</v>
          </cell>
          <cell r="I1426">
            <v>29263500000</v>
          </cell>
        </row>
        <row r="1427">
          <cell r="A1427" t="str">
            <v>Lithuania</v>
          </cell>
          <cell r="B1427">
            <v>440</v>
          </cell>
          <cell r="C1427">
            <v>203</v>
          </cell>
          <cell r="D1427">
            <v>3</v>
          </cell>
          <cell r="E1427" t="str">
            <v>Equals: VALUE ADDED, GROSS, at basic prices</v>
          </cell>
          <cell r="F1427">
            <v>12</v>
          </cell>
          <cell r="G1427">
            <v>1997</v>
          </cell>
          <cell r="H1427">
            <v>100</v>
          </cell>
          <cell r="I1427">
            <v>34812000000</v>
          </cell>
        </row>
        <row r="1428">
          <cell r="A1428" t="str">
            <v>Lithuania</v>
          </cell>
          <cell r="B1428">
            <v>440</v>
          </cell>
          <cell r="C1428">
            <v>203</v>
          </cell>
          <cell r="D1428">
            <v>3</v>
          </cell>
          <cell r="E1428" t="str">
            <v>Equals: VALUE ADDED, GROSS, at basic prices</v>
          </cell>
          <cell r="F1428">
            <v>12</v>
          </cell>
          <cell r="G1428">
            <v>1998</v>
          </cell>
          <cell r="H1428">
            <v>100</v>
          </cell>
          <cell r="I1428">
            <v>38795700000</v>
          </cell>
        </row>
        <row r="1429">
          <cell r="A1429" t="str">
            <v>Lithuania</v>
          </cell>
          <cell r="B1429">
            <v>440</v>
          </cell>
          <cell r="C1429">
            <v>203</v>
          </cell>
          <cell r="D1429">
            <v>3</v>
          </cell>
          <cell r="E1429" t="str">
            <v>Equals: VALUE ADDED, GROSS, at basic prices</v>
          </cell>
          <cell r="F1429">
            <v>12</v>
          </cell>
          <cell r="G1429">
            <v>1999</v>
          </cell>
          <cell r="H1429">
            <v>100</v>
          </cell>
          <cell r="I1429">
            <v>38047800000</v>
          </cell>
        </row>
        <row r="1430">
          <cell r="A1430" t="str">
            <v>Lithuania</v>
          </cell>
          <cell r="B1430">
            <v>440</v>
          </cell>
          <cell r="C1430">
            <v>203</v>
          </cell>
          <cell r="D1430">
            <v>3</v>
          </cell>
          <cell r="E1430" t="str">
            <v>Equals: VALUE ADDED, GROSS, at basic prices</v>
          </cell>
          <cell r="F1430">
            <v>12</v>
          </cell>
          <cell r="G1430">
            <v>2000</v>
          </cell>
          <cell r="H1430">
            <v>100</v>
          </cell>
          <cell r="I1430">
            <v>40437100000</v>
          </cell>
        </row>
        <row r="1431">
          <cell r="A1431" t="str">
            <v>Lithuania</v>
          </cell>
          <cell r="B1431">
            <v>440</v>
          </cell>
          <cell r="C1431">
            <v>203</v>
          </cell>
          <cell r="D1431">
            <v>3</v>
          </cell>
          <cell r="E1431" t="str">
            <v>Equals: VALUE ADDED, GROSS, at basic prices</v>
          </cell>
          <cell r="F1431">
            <v>12</v>
          </cell>
          <cell r="G1431">
            <v>2001</v>
          </cell>
          <cell r="H1431">
            <v>100</v>
          </cell>
          <cell r="I1431">
            <v>43015900000</v>
          </cell>
        </row>
        <row r="1432">
          <cell r="A1432" t="str">
            <v>Lithuania</v>
          </cell>
          <cell r="B1432">
            <v>440</v>
          </cell>
          <cell r="C1432">
            <v>203</v>
          </cell>
          <cell r="D1432">
            <v>3</v>
          </cell>
          <cell r="E1432" t="str">
            <v>Equals: VALUE ADDED, GROSS, at basic prices</v>
          </cell>
          <cell r="F1432">
            <v>12</v>
          </cell>
          <cell r="G1432">
            <v>2002</v>
          </cell>
          <cell r="H1432">
            <v>100</v>
          </cell>
          <cell r="I1432">
            <v>45873000000</v>
          </cell>
        </row>
        <row r="1433">
          <cell r="A1433" t="str">
            <v>Lithuania</v>
          </cell>
          <cell r="B1433">
            <v>440</v>
          </cell>
          <cell r="C1433">
            <v>203</v>
          </cell>
          <cell r="D1433">
            <v>3</v>
          </cell>
          <cell r="E1433" t="str">
            <v>Equals: VALUE ADDED, GROSS, at basic prices</v>
          </cell>
          <cell r="F1433">
            <v>12</v>
          </cell>
          <cell r="G1433">
            <v>2003</v>
          </cell>
          <cell r="H1433">
            <v>100</v>
          </cell>
          <cell r="I1433">
            <v>50216200000</v>
          </cell>
        </row>
        <row r="1434">
          <cell r="A1434" t="str">
            <v>Lithuania</v>
          </cell>
          <cell r="B1434">
            <v>440</v>
          </cell>
          <cell r="C1434">
            <v>203</v>
          </cell>
          <cell r="D1434">
            <v>4</v>
          </cell>
          <cell r="E1434" t="str">
            <v>Compensation of employees</v>
          </cell>
          <cell r="F1434">
            <v>12</v>
          </cell>
          <cell r="G1434">
            <v>1995</v>
          </cell>
          <cell r="H1434">
            <v>100</v>
          </cell>
          <cell r="I1434">
            <v>10021000000</v>
          </cell>
        </row>
        <row r="1435">
          <cell r="A1435" t="str">
            <v>Lithuania</v>
          </cell>
          <cell r="B1435">
            <v>440</v>
          </cell>
          <cell r="C1435">
            <v>203</v>
          </cell>
          <cell r="D1435">
            <v>4</v>
          </cell>
          <cell r="E1435" t="str">
            <v>Compensation of employees</v>
          </cell>
          <cell r="F1435">
            <v>12</v>
          </cell>
          <cell r="G1435">
            <v>1996</v>
          </cell>
          <cell r="H1435">
            <v>100</v>
          </cell>
          <cell r="I1435">
            <v>12744000000</v>
          </cell>
        </row>
        <row r="1436">
          <cell r="A1436" t="str">
            <v>Lithuania</v>
          </cell>
          <cell r="B1436">
            <v>440</v>
          </cell>
          <cell r="C1436">
            <v>203</v>
          </cell>
          <cell r="D1436">
            <v>4</v>
          </cell>
          <cell r="E1436" t="str">
            <v>Compensation of employees</v>
          </cell>
          <cell r="F1436">
            <v>12</v>
          </cell>
          <cell r="G1436">
            <v>1997</v>
          </cell>
          <cell r="H1436">
            <v>100</v>
          </cell>
          <cell r="I1436">
            <v>15664000000</v>
          </cell>
        </row>
        <row r="1437">
          <cell r="A1437" t="str">
            <v>Lithuania</v>
          </cell>
          <cell r="B1437">
            <v>440</v>
          </cell>
          <cell r="C1437">
            <v>203</v>
          </cell>
          <cell r="D1437">
            <v>4</v>
          </cell>
          <cell r="E1437" t="str">
            <v>Compensation of employees</v>
          </cell>
          <cell r="F1437">
            <v>12</v>
          </cell>
          <cell r="G1437">
            <v>1998</v>
          </cell>
          <cell r="H1437">
            <v>100</v>
          </cell>
          <cell r="I1437">
            <v>18699000000</v>
          </cell>
        </row>
        <row r="1438">
          <cell r="A1438" t="str">
            <v>Lithuania</v>
          </cell>
          <cell r="B1438">
            <v>440</v>
          </cell>
          <cell r="C1438">
            <v>203</v>
          </cell>
          <cell r="D1438">
            <v>4</v>
          </cell>
          <cell r="E1438" t="str">
            <v>Compensation of employees</v>
          </cell>
          <cell r="F1438">
            <v>12</v>
          </cell>
          <cell r="G1438">
            <v>1999</v>
          </cell>
          <cell r="H1438">
            <v>100</v>
          </cell>
          <cell r="I1438">
            <v>18832000000</v>
          </cell>
        </row>
        <row r="1439">
          <cell r="A1439" t="str">
            <v>Lithuania</v>
          </cell>
          <cell r="B1439">
            <v>440</v>
          </cell>
          <cell r="C1439">
            <v>203</v>
          </cell>
          <cell r="D1439">
            <v>4</v>
          </cell>
          <cell r="E1439" t="str">
            <v>Compensation of employees</v>
          </cell>
          <cell r="F1439">
            <v>12</v>
          </cell>
          <cell r="G1439">
            <v>2000</v>
          </cell>
          <cell r="H1439">
            <v>100</v>
          </cell>
          <cell r="I1439">
            <v>18265700000</v>
          </cell>
        </row>
        <row r="1440">
          <cell r="A1440" t="str">
            <v>Lithuania</v>
          </cell>
          <cell r="B1440">
            <v>440</v>
          </cell>
          <cell r="C1440">
            <v>203</v>
          </cell>
          <cell r="D1440">
            <v>4</v>
          </cell>
          <cell r="E1440" t="str">
            <v>Compensation of employees</v>
          </cell>
          <cell r="F1440">
            <v>12</v>
          </cell>
          <cell r="G1440">
            <v>2001</v>
          </cell>
          <cell r="H1440">
            <v>100</v>
          </cell>
          <cell r="I1440">
            <v>18527500000</v>
          </cell>
        </row>
        <row r="1441">
          <cell r="A1441" t="str">
            <v>Lithuania</v>
          </cell>
          <cell r="B1441">
            <v>440</v>
          </cell>
          <cell r="C1441">
            <v>203</v>
          </cell>
          <cell r="D1441">
            <v>4</v>
          </cell>
          <cell r="E1441" t="str">
            <v>Compensation of employees</v>
          </cell>
          <cell r="F1441">
            <v>12</v>
          </cell>
          <cell r="G1441">
            <v>2002</v>
          </cell>
          <cell r="H1441">
            <v>100</v>
          </cell>
          <cell r="I1441">
            <v>20067000000</v>
          </cell>
        </row>
        <row r="1442">
          <cell r="A1442" t="str">
            <v>Lithuania</v>
          </cell>
          <cell r="B1442">
            <v>440</v>
          </cell>
          <cell r="C1442">
            <v>203</v>
          </cell>
          <cell r="D1442">
            <v>4</v>
          </cell>
          <cell r="E1442" t="str">
            <v>Compensation of employees</v>
          </cell>
          <cell r="F1442">
            <v>12</v>
          </cell>
          <cell r="G1442">
            <v>2003</v>
          </cell>
          <cell r="H1442">
            <v>100</v>
          </cell>
          <cell r="I1442">
            <v>22088400000</v>
          </cell>
        </row>
        <row r="1443">
          <cell r="A1443" t="str">
            <v>Lithuania</v>
          </cell>
          <cell r="B1443">
            <v>440</v>
          </cell>
          <cell r="C1443">
            <v>203</v>
          </cell>
          <cell r="D1443">
            <v>11</v>
          </cell>
          <cell r="E1443" t="str">
            <v>OPERATING SURPLUS, GROSS</v>
          </cell>
          <cell r="F1443">
            <v>12</v>
          </cell>
          <cell r="G1443">
            <v>1995</v>
          </cell>
          <cell r="H1443">
            <v>100</v>
          </cell>
          <cell r="I1443">
            <v>8298500000</v>
          </cell>
        </row>
        <row r="1444">
          <cell r="A1444" t="str">
            <v>Lithuania</v>
          </cell>
          <cell r="B1444">
            <v>440</v>
          </cell>
          <cell r="C1444">
            <v>203</v>
          </cell>
          <cell r="D1444">
            <v>11</v>
          </cell>
          <cell r="E1444" t="str">
            <v>OPERATING SURPLUS, GROSS</v>
          </cell>
          <cell r="F1444">
            <v>12</v>
          </cell>
          <cell r="G1444">
            <v>1996</v>
          </cell>
          <cell r="H1444">
            <v>100</v>
          </cell>
          <cell r="I1444">
            <v>10657100000</v>
          </cell>
        </row>
        <row r="1445">
          <cell r="A1445" t="str">
            <v>Lithuania</v>
          </cell>
          <cell r="B1445">
            <v>440</v>
          </cell>
          <cell r="C1445">
            <v>203</v>
          </cell>
          <cell r="D1445">
            <v>11</v>
          </cell>
          <cell r="E1445" t="str">
            <v>OPERATING SURPLUS, GROSS</v>
          </cell>
          <cell r="F1445">
            <v>12</v>
          </cell>
          <cell r="G1445">
            <v>1997</v>
          </cell>
          <cell r="H1445">
            <v>100</v>
          </cell>
          <cell r="I1445">
            <v>12506500000</v>
          </cell>
        </row>
        <row r="1446">
          <cell r="A1446" t="str">
            <v>Lithuania</v>
          </cell>
          <cell r="B1446">
            <v>440</v>
          </cell>
          <cell r="C1446">
            <v>203</v>
          </cell>
          <cell r="D1446">
            <v>11</v>
          </cell>
          <cell r="E1446" t="str">
            <v>OPERATING SURPLUS, GROSS</v>
          </cell>
          <cell r="F1446">
            <v>12</v>
          </cell>
          <cell r="G1446">
            <v>1998</v>
          </cell>
          <cell r="H1446">
            <v>100</v>
          </cell>
          <cell r="I1446">
            <v>13658400000</v>
          </cell>
        </row>
        <row r="1447">
          <cell r="A1447" t="str">
            <v>Lithuania</v>
          </cell>
          <cell r="B1447">
            <v>440</v>
          </cell>
          <cell r="C1447">
            <v>203</v>
          </cell>
          <cell r="D1447">
            <v>11</v>
          </cell>
          <cell r="E1447" t="str">
            <v>OPERATING SURPLUS, GROSS</v>
          </cell>
          <cell r="F1447">
            <v>12</v>
          </cell>
          <cell r="G1447">
            <v>1999</v>
          </cell>
          <cell r="H1447">
            <v>100</v>
          </cell>
          <cell r="I1447">
            <v>13005700000</v>
          </cell>
        </row>
        <row r="1448">
          <cell r="A1448" t="str">
            <v>Lithuania</v>
          </cell>
          <cell r="B1448">
            <v>440</v>
          </cell>
          <cell r="C1448">
            <v>203</v>
          </cell>
          <cell r="D1448">
            <v>11</v>
          </cell>
          <cell r="E1448" t="str">
            <v>OPERATING SURPLUS, GROSS</v>
          </cell>
          <cell r="F1448">
            <v>12</v>
          </cell>
          <cell r="G1448">
            <v>2000</v>
          </cell>
          <cell r="H1448">
            <v>100</v>
          </cell>
          <cell r="I1448">
            <v>15926500000</v>
          </cell>
        </row>
        <row r="1449">
          <cell r="A1449" t="str">
            <v>Lithuania</v>
          </cell>
          <cell r="B1449">
            <v>440</v>
          </cell>
          <cell r="C1449">
            <v>203</v>
          </cell>
          <cell r="D1449">
            <v>11</v>
          </cell>
          <cell r="E1449" t="str">
            <v>OPERATING SURPLUS, GROSS</v>
          </cell>
          <cell r="F1449">
            <v>12</v>
          </cell>
          <cell r="G1449">
            <v>2001</v>
          </cell>
          <cell r="H1449">
            <v>100</v>
          </cell>
          <cell r="I1449">
            <v>18772800000</v>
          </cell>
        </row>
        <row r="1450">
          <cell r="A1450" t="str">
            <v>Lithuania</v>
          </cell>
          <cell r="B1450">
            <v>440</v>
          </cell>
          <cell r="C1450">
            <v>203</v>
          </cell>
          <cell r="D1450">
            <v>11</v>
          </cell>
          <cell r="E1450" t="str">
            <v>OPERATING SURPLUS, GROSS</v>
          </cell>
          <cell r="F1450">
            <v>12</v>
          </cell>
          <cell r="G1450">
            <v>2002</v>
          </cell>
          <cell r="H1450">
            <v>100</v>
          </cell>
          <cell r="I1450">
            <v>20065900000</v>
          </cell>
        </row>
        <row r="1451">
          <cell r="A1451" t="str">
            <v>Lithuania</v>
          </cell>
          <cell r="B1451">
            <v>440</v>
          </cell>
          <cell r="C1451">
            <v>203</v>
          </cell>
          <cell r="D1451">
            <v>11</v>
          </cell>
          <cell r="E1451" t="str">
            <v>OPERATING SURPLUS, GROSS</v>
          </cell>
          <cell r="F1451">
            <v>12</v>
          </cell>
          <cell r="G1451">
            <v>2003</v>
          </cell>
          <cell r="H1451">
            <v>100</v>
          </cell>
          <cell r="I1451">
            <v>20635500000</v>
          </cell>
        </row>
        <row r="1452">
          <cell r="A1452" t="str">
            <v>Lithuania</v>
          </cell>
          <cell r="B1452">
            <v>440</v>
          </cell>
          <cell r="C1452">
            <v>203</v>
          </cell>
          <cell r="D1452">
            <v>12</v>
          </cell>
          <cell r="E1452" t="str">
            <v>MIXED INCOME, GROSS</v>
          </cell>
          <cell r="F1452">
            <v>12</v>
          </cell>
          <cell r="G1452">
            <v>1995</v>
          </cell>
          <cell r="H1452">
            <v>100</v>
          </cell>
          <cell r="I1452">
            <v>4797100000</v>
          </cell>
        </row>
        <row r="1453">
          <cell r="A1453" t="str">
            <v>Lithuania</v>
          </cell>
          <cell r="B1453">
            <v>440</v>
          </cell>
          <cell r="C1453">
            <v>203</v>
          </cell>
          <cell r="D1453">
            <v>12</v>
          </cell>
          <cell r="E1453" t="str">
            <v>MIXED INCOME, GROSS</v>
          </cell>
          <cell r="F1453">
            <v>12</v>
          </cell>
          <cell r="G1453">
            <v>1996</v>
          </cell>
          <cell r="H1453">
            <v>100</v>
          </cell>
          <cell r="I1453">
            <v>5905400000</v>
          </cell>
        </row>
        <row r="1454">
          <cell r="A1454" t="str">
            <v>Lithuania</v>
          </cell>
          <cell r="B1454">
            <v>440</v>
          </cell>
          <cell r="C1454">
            <v>203</v>
          </cell>
          <cell r="D1454">
            <v>12</v>
          </cell>
          <cell r="E1454" t="str">
            <v>MIXED INCOME, GROSS</v>
          </cell>
          <cell r="F1454">
            <v>12</v>
          </cell>
          <cell r="G1454">
            <v>1997</v>
          </cell>
          <cell r="H1454">
            <v>100</v>
          </cell>
          <cell r="I1454">
            <v>6245200000</v>
          </cell>
        </row>
        <row r="1455">
          <cell r="A1455" t="str">
            <v>Lithuania</v>
          </cell>
          <cell r="B1455">
            <v>440</v>
          </cell>
          <cell r="C1455">
            <v>203</v>
          </cell>
          <cell r="D1455">
            <v>12</v>
          </cell>
          <cell r="E1455" t="str">
            <v>MIXED INCOME, GROSS</v>
          </cell>
          <cell r="F1455">
            <v>12</v>
          </cell>
          <cell r="G1455">
            <v>1998</v>
          </cell>
          <cell r="H1455">
            <v>100</v>
          </cell>
          <cell r="I1455">
            <v>6770800000</v>
          </cell>
        </row>
        <row r="1456">
          <cell r="A1456" t="str">
            <v>Lithuania</v>
          </cell>
          <cell r="B1456">
            <v>440</v>
          </cell>
          <cell r="C1456">
            <v>203</v>
          </cell>
          <cell r="D1456">
            <v>12</v>
          </cell>
          <cell r="E1456" t="str">
            <v>MIXED INCOME, GROSS</v>
          </cell>
          <cell r="F1456">
            <v>12</v>
          </cell>
          <cell r="G1456">
            <v>1999</v>
          </cell>
          <cell r="H1456">
            <v>100</v>
          </cell>
          <cell r="I1456">
            <v>6601700000</v>
          </cell>
        </row>
        <row r="1457">
          <cell r="A1457" t="str">
            <v>Lithuania</v>
          </cell>
          <cell r="B1457">
            <v>440</v>
          </cell>
          <cell r="C1457">
            <v>203</v>
          </cell>
          <cell r="D1457">
            <v>12</v>
          </cell>
          <cell r="E1457" t="str">
            <v>MIXED INCOME, GROSS</v>
          </cell>
          <cell r="F1457">
            <v>12</v>
          </cell>
          <cell r="G1457">
            <v>2000</v>
          </cell>
          <cell r="H1457">
            <v>100</v>
          </cell>
          <cell r="I1457">
            <v>6576500000</v>
          </cell>
        </row>
        <row r="1458">
          <cell r="A1458" t="str">
            <v>Lithuania</v>
          </cell>
          <cell r="B1458">
            <v>440</v>
          </cell>
          <cell r="C1458">
            <v>203</v>
          </cell>
          <cell r="D1458">
            <v>12</v>
          </cell>
          <cell r="E1458" t="str">
            <v>MIXED INCOME, GROSS</v>
          </cell>
          <cell r="F1458">
            <v>12</v>
          </cell>
          <cell r="G1458">
            <v>2001</v>
          </cell>
          <cell r="H1458">
            <v>100</v>
          </cell>
          <cell r="I1458">
            <v>6168000000</v>
          </cell>
        </row>
        <row r="1459">
          <cell r="A1459" t="str">
            <v>Lithuania</v>
          </cell>
          <cell r="B1459">
            <v>440</v>
          </cell>
          <cell r="C1459">
            <v>203</v>
          </cell>
          <cell r="D1459">
            <v>12</v>
          </cell>
          <cell r="E1459" t="str">
            <v>MIXED INCOME, GROSS</v>
          </cell>
          <cell r="F1459">
            <v>12</v>
          </cell>
          <cell r="G1459">
            <v>2002</v>
          </cell>
          <cell r="H1459">
            <v>100</v>
          </cell>
          <cell r="I1459">
            <v>6138000000</v>
          </cell>
        </row>
        <row r="1460">
          <cell r="A1460" t="str">
            <v>Lithuania</v>
          </cell>
          <cell r="B1460">
            <v>440</v>
          </cell>
          <cell r="C1460">
            <v>203</v>
          </cell>
          <cell r="D1460">
            <v>12</v>
          </cell>
          <cell r="E1460" t="str">
            <v>MIXED INCOME, GROSS</v>
          </cell>
          <cell r="F1460">
            <v>12</v>
          </cell>
          <cell r="G1460">
            <v>2003</v>
          </cell>
          <cell r="H1460">
            <v>100</v>
          </cell>
          <cell r="I1460">
            <v>7890700000</v>
          </cell>
        </row>
        <row r="1461">
          <cell r="A1461" t="str">
            <v>Lithuania</v>
          </cell>
          <cell r="B1461">
            <v>440</v>
          </cell>
          <cell r="C1461">
            <v>203</v>
          </cell>
          <cell r="D1461">
            <v>22</v>
          </cell>
          <cell r="E1461" t="str">
            <v>Taxes on production and imports, less Subsidies</v>
          </cell>
          <cell r="F1461">
            <v>12</v>
          </cell>
          <cell r="G1461">
            <v>1995</v>
          </cell>
          <cell r="H1461">
            <v>100</v>
          </cell>
          <cell r="I1461">
            <v>2866000000</v>
          </cell>
        </row>
        <row r="1462">
          <cell r="A1462" t="str">
            <v>Lithuania</v>
          </cell>
          <cell r="B1462">
            <v>440</v>
          </cell>
          <cell r="C1462">
            <v>203</v>
          </cell>
          <cell r="D1462">
            <v>22</v>
          </cell>
          <cell r="E1462" t="str">
            <v>Taxes on production and imports, less Subsidies</v>
          </cell>
          <cell r="F1462">
            <v>12</v>
          </cell>
          <cell r="G1462">
            <v>1996</v>
          </cell>
          <cell r="H1462">
            <v>100</v>
          </cell>
          <cell r="I1462">
            <v>3432000000</v>
          </cell>
        </row>
        <row r="1463">
          <cell r="A1463" t="str">
            <v>Lithuania</v>
          </cell>
          <cell r="B1463">
            <v>440</v>
          </cell>
          <cell r="C1463">
            <v>203</v>
          </cell>
          <cell r="D1463">
            <v>22</v>
          </cell>
          <cell r="E1463" t="str">
            <v>Taxes on production and imports, less Subsidies</v>
          </cell>
          <cell r="F1463">
            <v>12</v>
          </cell>
          <cell r="G1463">
            <v>1997</v>
          </cell>
          <cell r="H1463">
            <v>100</v>
          </cell>
          <cell r="I1463">
            <v>5419000000</v>
          </cell>
        </row>
        <row r="1464">
          <cell r="A1464" t="str">
            <v>Lithuania</v>
          </cell>
          <cell r="B1464">
            <v>440</v>
          </cell>
          <cell r="C1464">
            <v>203</v>
          </cell>
          <cell r="D1464">
            <v>22</v>
          </cell>
          <cell r="E1464" t="str">
            <v>Taxes on production and imports, less Subsidies</v>
          </cell>
          <cell r="F1464">
            <v>12</v>
          </cell>
          <cell r="G1464">
            <v>1998</v>
          </cell>
          <cell r="H1464">
            <v>100</v>
          </cell>
          <cell r="I1464">
            <v>5746000000</v>
          </cell>
        </row>
        <row r="1465">
          <cell r="A1465" t="str">
            <v>Lithuania</v>
          </cell>
          <cell r="B1465">
            <v>440</v>
          </cell>
          <cell r="C1465">
            <v>203</v>
          </cell>
          <cell r="D1465">
            <v>22</v>
          </cell>
          <cell r="E1465" t="str">
            <v>Taxes on production and imports, less Subsidies</v>
          </cell>
          <cell r="F1465">
            <v>12</v>
          </cell>
          <cell r="G1465">
            <v>1999</v>
          </cell>
          <cell r="H1465">
            <v>100</v>
          </cell>
          <cell r="I1465">
            <v>5533000000</v>
          </cell>
        </row>
        <row r="1466">
          <cell r="A1466" t="str">
            <v>Lithuania</v>
          </cell>
          <cell r="B1466">
            <v>440</v>
          </cell>
          <cell r="C1466">
            <v>203</v>
          </cell>
          <cell r="D1466">
            <v>22</v>
          </cell>
          <cell r="E1466" t="str">
            <v>Taxes on production and imports, less Subsidies</v>
          </cell>
          <cell r="F1466">
            <v>12</v>
          </cell>
          <cell r="G1466">
            <v>2000</v>
          </cell>
          <cell r="H1466">
            <v>100</v>
          </cell>
          <cell r="I1466">
            <v>5348000000</v>
          </cell>
        </row>
        <row r="1467">
          <cell r="A1467" t="str">
            <v>Lithuania</v>
          </cell>
          <cell r="B1467">
            <v>440</v>
          </cell>
          <cell r="C1467">
            <v>203</v>
          </cell>
          <cell r="D1467">
            <v>22</v>
          </cell>
          <cell r="E1467" t="str">
            <v>Taxes on production and imports, less Subsidies</v>
          </cell>
          <cell r="F1467">
            <v>12</v>
          </cell>
          <cell r="G1467">
            <v>2001</v>
          </cell>
          <cell r="H1467">
            <v>100</v>
          </cell>
          <cell r="I1467">
            <v>5504000000</v>
          </cell>
        </row>
        <row r="1468">
          <cell r="A1468" t="str">
            <v>Lithuania</v>
          </cell>
          <cell r="B1468">
            <v>440</v>
          </cell>
          <cell r="C1468">
            <v>203</v>
          </cell>
          <cell r="D1468">
            <v>22</v>
          </cell>
          <cell r="E1468" t="str">
            <v>Taxes on production and imports, less Subsidies</v>
          </cell>
          <cell r="F1468">
            <v>12</v>
          </cell>
          <cell r="G1468">
            <v>2002</v>
          </cell>
          <cell r="H1468">
            <v>100</v>
          </cell>
          <cell r="I1468">
            <v>6028000000</v>
          </cell>
        </row>
        <row r="1469">
          <cell r="A1469" t="str">
            <v>Lithuania</v>
          </cell>
          <cell r="B1469">
            <v>440</v>
          </cell>
          <cell r="C1469">
            <v>203</v>
          </cell>
          <cell r="D1469">
            <v>22</v>
          </cell>
          <cell r="E1469" t="str">
            <v>Taxes on production and imports, less Subsidies</v>
          </cell>
          <cell r="F1469">
            <v>12</v>
          </cell>
          <cell r="G1469">
            <v>2003</v>
          </cell>
          <cell r="H1469">
            <v>100</v>
          </cell>
          <cell r="I1469">
            <v>6212000000</v>
          </cell>
        </row>
        <row r="1470">
          <cell r="A1470" t="str">
            <v>Madagascar</v>
          </cell>
          <cell r="B1470">
            <v>450</v>
          </cell>
          <cell r="C1470">
            <v>203</v>
          </cell>
          <cell r="D1470">
            <v>4</v>
          </cell>
          <cell r="E1470" t="str">
            <v>Compensation of employees</v>
          </cell>
          <cell r="F1470">
            <v>12</v>
          </cell>
          <cell r="G1470">
            <v>1973</v>
          </cell>
          <cell r="H1470">
            <v>10</v>
          </cell>
          <cell r="I1470">
            <v>93923000000</v>
          </cell>
        </row>
        <row r="1471">
          <cell r="A1471" t="str">
            <v>Martinique</v>
          </cell>
          <cell r="B1471">
            <v>474</v>
          </cell>
          <cell r="C1471">
            <v>201</v>
          </cell>
          <cell r="D1471">
            <v>13</v>
          </cell>
          <cell r="E1471" t="str">
            <v>Less: Financial intermediation services indirectly measured (FISIM) (only to be deducted if FISIM is not distributed to uses)</v>
          </cell>
          <cell r="F1471">
            <v>0</v>
          </cell>
          <cell r="G1471">
            <v>1970</v>
          </cell>
          <cell r="H1471">
            <v>20</v>
          </cell>
          <cell r="I1471">
            <v>45000000</v>
          </cell>
        </row>
        <row r="1472">
          <cell r="A1472" t="str">
            <v>Martinique</v>
          </cell>
          <cell r="B1472">
            <v>474</v>
          </cell>
          <cell r="C1472">
            <v>201</v>
          </cell>
          <cell r="D1472">
            <v>13</v>
          </cell>
          <cell r="E1472" t="str">
            <v>Less: Financial intermediation services indirectly measured (FISIM) (only to be deducted if FISIM is not distributed to uses)</v>
          </cell>
          <cell r="F1472">
            <v>0</v>
          </cell>
          <cell r="G1472">
            <v>1971</v>
          </cell>
          <cell r="H1472">
            <v>20</v>
          </cell>
          <cell r="I1472">
            <v>52000000</v>
          </cell>
        </row>
        <row r="1473">
          <cell r="A1473" t="str">
            <v>Martinique</v>
          </cell>
          <cell r="B1473">
            <v>474</v>
          </cell>
          <cell r="C1473">
            <v>201</v>
          </cell>
          <cell r="D1473">
            <v>13</v>
          </cell>
          <cell r="E1473" t="str">
            <v>Less: Financial intermediation services indirectly measured (FISIM) (only to be deducted if FISIM is not distributed to uses)</v>
          </cell>
          <cell r="F1473">
            <v>0</v>
          </cell>
          <cell r="G1473">
            <v>1972</v>
          </cell>
          <cell r="H1473">
            <v>20</v>
          </cell>
          <cell r="I1473">
            <v>57700000</v>
          </cell>
        </row>
        <row r="1474">
          <cell r="A1474" t="str">
            <v>Martinique</v>
          </cell>
          <cell r="B1474">
            <v>474</v>
          </cell>
          <cell r="C1474">
            <v>201</v>
          </cell>
          <cell r="D1474">
            <v>13</v>
          </cell>
          <cell r="E1474" t="str">
            <v>Less: Financial intermediation services indirectly measured (FISIM) (only to be deducted if FISIM is not distributed to uses)</v>
          </cell>
          <cell r="F1474">
            <v>0</v>
          </cell>
          <cell r="G1474">
            <v>1973</v>
          </cell>
          <cell r="H1474">
            <v>20</v>
          </cell>
          <cell r="I1474">
            <v>71800000</v>
          </cell>
        </row>
        <row r="1475">
          <cell r="A1475" t="str">
            <v>Martinique</v>
          </cell>
          <cell r="B1475">
            <v>474</v>
          </cell>
          <cell r="C1475">
            <v>201</v>
          </cell>
          <cell r="D1475">
            <v>13</v>
          </cell>
          <cell r="E1475" t="str">
            <v>Less: Financial intermediation services indirectly measured (FISIM) (only to be deducted if FISIM is not distributed to uses)</v>
          </cell>
          <cell r="F1475">
            <v>0</v>
          </cell>
          <cell r="G1475">
            <v>1974</v>
          </cell>
          <cell r="H1475">
            <v>20</v>
          </cell>
          <cell r="I1475">
            <v>86300000</v>
          </cell>
        </row>
        <row r="1476">
          <cell r="A1476" t="str">
            <v>Martinique</v>
          </cell>
          <cell r="B1476">
            <v>474</v>
          </cell>
          <cell r="C1476">
            <v>201</v>
          </cell>
          <cell r="D1476">
            <v>13</v>
          </cell>
          <cell r="E1476" t="str">
            <v>Less: Financial intermediation services indirectly measured (FISIM) (only to be deducted if FISIM is not distributed to uses)</v>
          </cell>
          <cell r="F1476">
            <v>0</v>
          </cell>
          <cell r="G1476">
            <v>1975</v>
          </cell>
          <cell r="H1476">
            <v>20</v>
          </cell>
          <cell r="I1476">
            <v>116000000</v>
          </cell>
        </row>
        <row r="1477">
          <cell r="A1477" t="str">
            <v>Martinique</v>
          </cell>
          <cell r="B1477">
            <v>474</v>
          </cell>
          <cell r="C1477">
            <v>201</v>
          </cell>
          <cell r="D1477">
            <v>13</v>
          </cell>
          <cell r="E1477" t="str">
            <v>Less: Financial intermediation services indirectly measured (FISIM) (only to be deducted if FISIM is not distributed to uses)</v>
          </cell>
          <cell r="F1477">
            <v>0</v>
          </cell>
          <cell r="G1477">
            <v>1976</v>
          </cell>
          <cell r="H1477">
            <v>20</v>
          </cell>
          <cell r="I1477">
            <v>143400000</v>
          </cell>
        </row>
        <row r="1478">
          <cell r="A1478" t="str">
            <v>Martinique</v>
          </cell>
          <cell r="B1478">
            <v>474</v>
          </cell>
          <cell r="C1478">
            <v>201</v>
          </cell>
          <cell r="D1478">
            <v>13</v>
          </cell>
          <cell r="E1478" t="str">
            <v>Less: Financial intermediation services indirectly measured (FISIM) (only to be deducted if FISIM is not distributed to uses)</v>
          </cell>
          <cell r="F1478">
            <v>0</v>
          </cell>
          <cell r="G1478">
            <v>1977</v>
          </cell>
          <cell r="H1478">
            <v>20</v>
          </cell>
          <cell r="I1478">
            <v>152200000</v>
          </cell>
        </row>
        <row r="1479">
          <cell r="A1479" t="str">
            <v>Martinique</v>
          </cell>
          <cell r="B1479">
            <v>474</v>
          </cell>
          <cell r="C1479">
            <v>201</v>
          </cell>
          <cell r="D1479">
            <v>13</v>
          </cell>
          <cell r="E1479" t="str">
            <v>Less: Financial intermediation services indirectly measured (FISIM) (only to be deducted if FISIM is not distributed to uses)</v>
          </cell>
          <cell r="F1479">
            <v>0</v>
          </cell>
          <cell r="G1479">
            <v>1978</v>
          </cell>
          <cell r="H1479">
            <v>20</v>
          </cell>
          <cell r="I1479">
            <v>196400000</v>
          </cell>
        </row>
        <row r="1480">
          <cell r="A1480" t="str">
            <v>Martinique</v>
          </cell>
          <cell r="B1480">
            <v>474</v>
          </cell>
          <cell r="C1480">
            <v>201</v>
          </cell>
          <cell r="D1480">
            <v>13</v>
          </cell>
          <cell r="E1480" t="str">
            <v>Less: Financial intermediation services indirectly measured (FISIM) (only to be deducted if FISIM is not distributed to uses)</v>
          </cell>
          <cell r="F1480">
            <v>0</v>
          </cell>
          <cell r="G1480">
            <v>1979</v>
          </cell>
          <cell r="H1480">
            <v>20</v>
          </cell>
          <cell r="I1480">
            <v>231700000</v>
          </cell>
        </row>
        <row r="1481">
          <cell r="A1481" t="str">
            <v>Martinique</v>
          </cell>
          <cell r="B1481">
            <v>474</v>
          </cell>
          <cell r="C1481">
            <v>201</v>
          </cell>
          <cell r="D1481">
            <v>13</v>
          </cell>
          <cell r="E1481" t="str">
            <v>Less: Financial intermediation services indirectly measured (FISIM) (only to be deducted if FISIM is not distributed to uses)</v>
          </cell>
          <cell r="F1481">
            <v>0</v>
          </cell>
          <cell r="G1481">
            <v>1980</v>
          </cell>
          <cell r="H1481">
            <v>20</v>
          </cell>
          <cell r="I1481">
            <v>308600000</v>
          </cell>
        </row>
        <row r="1482">
          <cell r="A1482" t="str">
            <v>Martinique</v>
          </cell>
          <cell r="B1482">
            <v>474</v>
          </cell>
          <cell r="C1482">
            <v>201</v>
          </cell>
          <cell r="D1482">
            <v>13</v>
          </cell>
          <cell r="E1482" t="str">
            <v>Less: Financial intermediation services indirectly measured (FISIM) (only to be deducted if FISIM is not distributed to uses)</v>
          </cell>
          <cell r="F1482">
            <v>0</v>
          </cell>
          <cell r="G1482">
            <v>1981</v>
          </cell>
          <cell r="H1482">
            <v>20</v>
          </cell>
          <cell r="I1482">
            <v>418000000</v>
          </cell>
        </row>
        <row r="1483">
          <cell r="A1483" t="str">
            <v>Martinique</v>
          </cell>
          <cell r="B1483">
            <v>474</v>
          </cell>
          <cell r="C1483">
            <v>201</v>
          </cell>
          <cell r="D1483">
            <v>13</v>
          </cell>
          <cell r="E1483" t="str">
            <v>Less: Financial intermediation services indirectly measured (FISIM) (only to be deducted if FISIM is not distributed to uses)</v>
          </cell>
          <cell r="F1483">
            <v>0</v>
          </cell>
          <cell r="G1483">
            <v>1982</v>
          </cell>
          <cell r="H1483">
            <v>20</v>
          </cell>
          <cell r="I1483">
            <v>479800000</v>
          </cell>
        </row>
        <row r="1484">
          <cell r="A1484" t="str">
            <v>Martinique</v>
          </cell>
          <cell r="B1484">
            <v>474</v>
          </cell>
          <cell r="C1484">
            <v>201</v>
          </cell>
          <cell r="D1484">
            <v>13</v>
          </cell>
          <cell r="E1484" t="str">
            <v>Less: Financial intermediation services indirectly measured (FISIM) (only to be deducted if FISIM is not distributed to uses)</v>
          </cell>
          <cell r="F1484">
            <v>0</v>
          </cell>
          <cell r="G1484">
            <v>1983</v>
          </cell>
          <cell r="H1484">
            <v>20</v>
          </cell>
          <cell r="I1484">
            <v>468200000</v>
          </cell>
        </row>
        <row r="1485">
          <cell r="A1485" t="str">
            <v>Martinique</v>
          </cell>
          <cell r="B1485">
            <v>474</v>
          </cell>
          <cell r="C1485">
            <v>201</v>
          </cell>
          <cell r="D1485">
            <v>13</v>
          </cell>
          <cell r="E1485" t="str">
            <v>Less: Financial intermediation services indirectly measured (FISIM) (only to be deducted if FISIM is not distributed to uses)</v>
          </cell>
          <cell r="F1485">
            <v>0</v>
          </cell>
          <cell r="G1485">
            <v>1984</v>
          </cell>
          <cell r="H1485">
            <v>20</v>
          </cell>
          <cell r="I1485">
            <v>514100000</v>
          </cell>
        </row>
        <row r="1486">
          <cell r="A1486" t="str">
            <v>Martinique</v>
          </cell>
          <cell r="B1486">
            <v>474</v>
          </cell>
          <cell r="C1486">
            <v>201</v>
          </cell>
          <cell r="D1486">
            <v>13</v>
          </cell>
          <cell r="E1486" t="str">
            <v>Less: Financial intermediation services indirectly measured (FISIM) (only to be deducted if FISIM is not distributed to uses)</v>
          </cell>
          <cell r="F1486">
            <v>0</v>
          </cell>
          <cell r="G1486">
            <v>1985</v>
          </cell>
          <cell r="H1486">
            <v>20</v>
          </cell>
          <cell r="I1486">
            <v>553400000</v>
          </cell>
        </row>
        <row r="1487">
          <cell r="A1487" t="str">
            <v>Martinique</v>
          </cell>
          <cell r="B1487">
            <v>474</v>
          </cell>
          <cell r="C1487">
            <v>201</v>
          </cell>
          <cell r="D1487">
            <v>13</v>
          </cell>
          <cell r="E1487" t="str">
            <v>Less: Financial intermediation services indirectly measured (FISIM) (only to be deducted if FISIM is not distributed to uses)</v>
          </cell>
          <cell r="F1487">
            <v>0</v>
          </cell>
          <cell r="G1487">
            <v>1986</v>
          </cell>
          <cell r="H1487">
            <v>20</v>
          </cell>
          <cell r="I1487">
            <v>613900000</v>
          </cell>
        </row>
        <row r="1488">
          <cell r="A1488" t="str">
            <v>Martinique</v>
          </cell>
          <cell r="B1488">
            <v>474</v>
          </cell>
          <cell r="C1488">
            <v>201</v>
          </cell>
          <cell r="D1488">
            <v>13</v>
          </cell>
          <cell r="E1488" t="str">
            <v>Less: Financial intermediation services indirectly measured (FISIM) (only to be deducted if FISIM is not distributed to uses)</v>
          </cell>
          <cell r="F1488">
            <v>0</v>
          </cell>
          <cell r="G1488">
            <v>1987</v>
          </cell>
          <cell r="H1488">
            <v>20</v>
          </cell>
          <cell r="I1488">
            <v>679000000</v>
          </cell>
        </row>
        <row r="1489">
          <cell r="A1489" t="str">
            <v>Martinique</v>
          </cell>
          <cell r="B1489">
            <v>474</v>
          </cell>
          <cell r="C1489">
            <v>201</v>
          </cell>
          <cell r="D1489">
            <v>13</v>
          </cell>
          <cell r="E1489" t="str">
            <v>Less: Financial intermediation services indirectly measured (FISIM) (only to be deducted if FISIM is not distributed to uses)</v>
          </cell>
          <cell r="F1489">
            <v>0</v>
          </cell>
          <cell r="G1489">
            <v>1988</v>
          </cell>
          <cell r="H1489">
            <v>20</v>
          </cell>
          <cell r="I1489">
            <v>781500000</v>
          </cell>
        </row>
        <row r="1490">
          <cell r="A1490" t="str">
            <v>Martinique</v>
          </cell>
          <cell r="B1490">
            <v>474</v>
          </cell>
          <cell r="C1490">
            <v>201</v>
          </cell>
          <cell r="D1490">
            <v>13</v>
          </cell>
          <cell r="E1490" t="str">
            <v>Less: Financial intermediation services indirectly measured (FISIM) (only to be deducted if FISIM is not distributed to uses)</v>
          </cell>
          <cell r="F1490">
            <v>0</v>
          </cell>
          <cell r="G1490">
            <v>1989</v>
          </cell>
          <cell r="H1490">
            <v>20</v>
          </cell>
          <cell r="I1490">
            <v>891400000</v>
          </cell>
        </row>
        <row r="1491">
          <cell r="A1491" t="str">
            <v>Martinique</v>
          </cell>
          <cell r="B1491">
            <v>474</v>
          </cell>
          <cell r="C1491">
            <v>201</v>
          </cell>
          <cell r="D1491">
            <v>13</v>
          </cell>
          <cell r="E1491" t="str">
            <v>Less: Financial intermediation services indirectly measured (FISIM) (only to be deducted if FISIM is not distributed to uses)</v>
          </cell>
          <cell r="F1491">
            <v>0</v>
          </cell>
          <cell r="G1491">
            <v>1990</v>
          </cell>
          <cell r="H1491">
            <v>20</v>
          </cell>
          <cell r="I1491">
            <v>934500000</v>
          </cell>
        </row>
        <row r="1492">
          <cell r="A1492" t="str">
            <v>Martinique</v>
          </cell>
          <cell r="B1492">
            <v>474</v>
          </cell>
          <cell r="C1492">
            <v>201</v>
          </cell>
          <cell r="D1492">
            <v>13</v>
          </cell>
          <cell r="E1492" t="str">
            <v>Less: Financial intermediation services indirectly measured (FISIM) (only to be deducted if FISIM is not distributed to uses)</v>
          </cell>
          <cell r="F1492">
            <v>0</v>
          </cell>
          <cell r="G1492">
            <v>1991</v>
          </cell>
          <cell r="H1492">
            <v>20</v>
          </cell>
          <cell r="I1492">
            <v>1077900000</v>
          </cell>
        </row>
        <row r="1493">
          <cell r="A1493" t="str">
            <v>Martinique</v>
          </cell>
          <cell r="B1493">
            <v>474</v>
          </cell>
          <cell r="C1493">
            <v>201</v>
          </cell>
          <cell r="D1493">
            <v>13</v>
          </cell>
          <cell r="E1493" t="str">
            <v>Less: Financial intermediation services indirectly measured (FISIM) (only to be deducted if FISIM is not distributed to uses)</v>
          </cell>
          <cell r="F1493">
            <v>0</v>
          </cell>
          <cell r="G1493">
            <v>1992</v>
          </cell>
          <cell r="H1493">
            <v>20</v>
          </cell>
          <cell r="I1493">
            <v>1207100000</v>
          </cell>
        </row>
        <row r="1494">
          <cell r="A1494" t="str">
            <v>Mexico</v>
          </cell>
          <cell r="B1494">
            <v>484</v>
          </cell>
          <cell r="C1494">
            <v>201</v>
          </cell>
          <cell r="D1494">
            <v>13</v>
          </cell>
          <cell r="E1494" t="str">
            <v>Less: Financial intermediation services indirectly measured (FISIM) (only to be deducted if FISIM is not distributed to uses)</v>
          </cell>
          <cell r="F1494">
            <v>0</v>
          </cell>
          <cell r="G1494">
            <v>1970</v>
          </cell>
          <cell r="H1494">
            <v>100</v>
          </cell>
          <cell r="I1494">
            <v>5142433.3138726903</v>
          </cell>
        </row>
        <row r="1495">
          <cell r="A1495" t="str">
            <v>Mexico</v>
          </cell>
          <cell r="B1495">
            <v>484</v>
          </cell>
          <cell r="C1495">
            <v>201</v>
          </cell>
          <cell r="D1495">
            <v>13</v>
          </cell>
          <cell r="E1495" t="str">
            <v>Less: Financial intermediation services indirectly measured (FISIM) (only to be deducted if FISIM is not distributed to uses)</v>
          </cell>
          <cell r="F1495">
            <v>0</v>
          </cell>
          <cell r="G1495">
            <v>1971</v>
          </cell>
          <cell r="H1495">
            <v>100</v>
          </cell>
          <cell r="I1495">
            <v>6170919.9766472299</v>
          </cell>
        </row>
        <row r="1496">
          <cell r="A1496" t="str">
            <v>Mexico</v>
          </cell>
          <cell r="B1496">
            <v>484</v>
          </cell>
          <cell r="C1496">
            <v>201</v>
          </cell>
          <cell r="D1496">
            <v>13</v>
          </cell>
          <cell r="E1496" t="str">
            <v>Less: Financial intermediation services indirectly measured (FISIM) (only to be deducted if FISIM is not distributed to uses)</v>
          </cell>
          <cell r="F1496">
            <v>0</v>
          </cell>
          <cell r="G1496">
            <v>1972</v>
          </cell>
          <cell r="H1496">
            <v>100</v>
          </cell>
          <cell r="I1496">
            <v>7199406.6394217703</v>
          </cell>
        </row>
        <row r="1497">
          <cell r="A1497" t="str">
            <v>Mexico</v>
          </cell>
          <cell r="B1497">
            <v>484</v>
          </cell>
          <cell r="C1497">
            <v>201</v>
          </cell>
          <cell r="D1497">
            <v>13</v>
          </cell>
          <cell r="E1497" t="str">
            <v>Less: Financial intermediation services indirectly measured (FISIM) (only to be deducted if FISIM is not distributed to uses)</v>
          </cell>
          <cell r="F1497">
            <v>0</v>
          </cell>
          <cell r="G1497">
            <v>1973</v>
          </cell>
          <cell r="H1497">
            <v>100</v>
          </cell>
          <cell r="I1497">
            <v>8227893.3021963099</v>
          </cell>
        </row>
        <row r="1498">
          <cell r="A1498" t="str">
            <v>Mexico</v>
          </cell>
          <cell r="B1498">
            <v>484</v>
          </cell>
          <cell r="C1498">
            <v>201</v>
          </cell>
          <cell r="D1498">
            <v>13</v>
          </cell>
          <cell r="E1498" t="str">
            <v>Less: Financial intermediation services indirectly measured (FISIM) (only to be deducted if FISIM is not distributed to uses)</v>
          </cell>
          <cell r="F1498">
            <v>0</v>
          </cell>
          <cell r="G1498">
            <v>1974</v>
          </cell>
          <cell r="H1498">
            <v>100</v>
          </cell>
          <cell r="I1498">
            <v>9256379.9649708495</v>
          </cell>
        </row>
        <row r="1499">
          <cell r="A1499" t="str">
            <v>Mexico</v>
          </cell>
          <cell r="B1499">
            <v>484</v>
          </cell>
          <cell r="C1499">
            <v>201</v>
          </cell>
          <cell r="D1499">
            <v>13</v>
          </cell>
          <cell r="E1499" t="str">
            <v>Less: Financial intermediation services indirectly measured (FISIM) (only to be deducted if FISIM is not distributed to uses)</v>
          </cell>
          <cell r="F1499">
            <v>0</v>
          </cell>
          <cell r="G1499">
            <v>1975</v>
          </cell>
          <cell r="H1499">
            <v>100</v>
          </cell>
          <cell r="I1499">
            <v>12341839.953294501</v>
          </cell>
        </row>
        <row r="1500">
          <cell r="A1500" t="str">
            <v>Mexico</v>
          </cell>
          <cell r="B1500">
            <v>484</v>
          </cell>
          <cell r="C1500">
            <v>201</v>
          </cell>
          <cell r="D1500">
            <v>13</v>
          </cell>
          <cell r="E1500" t="str">
            <v>Less: Financial intermediation services indirectly measured (FISIM) (only to be deducted if FISIM is not distributed to uses)</v>
          </cell>
          <cell r="F1500">
            <v>0</v>
          </cell>
          <cell r="G1500">
            <v>1976</v>
          </cell>
          <cell r="H1500">
            <v>100</v>
          </cell>
          <cell r="I1500">
            <v>16455786.604392599</v>
          </cell>
        </row>
        <row r="1501">
          <cell r="A1501" t="str">
            <v>Mexico</v>
          </cell>
          <cell r="B1501">
            <v>484</v>
          </cell>
          <cell r="C1501">
            <v>201</v>
          </cell>
          <cell r="D1501">
            <v>13</v>
          </cell>
          <cell r="E1501" t="str">
            <v>Less: Financial intermediation services indirectly measured (FISIM) (only to be deducted if FISIM is not distributed to uses)</v>
          </cell>
          <cell r="F1501">
            <v>0</v>
          </cell>
          <cell r="G1501">
            <v>1977</v>
          </cell>
          <cell r="H1501">
            <v>100</v>
          </cell>
          <cell r="I1501">
            <v>21598219.918265302</v>
          </cell>
        </row>
        <row r="1502">
          <cell r="A1502" t="str">
            <v>Mexico</v>
          </cell>
          <cell r="B1502">
            <v>484</v>
          </cell>
          <cell r="C1502">
            <v>201</v>
          </cell>
          <cell r="D1502">
            <v>13</v>
          </cell>
          <cell r="E1502" t="str">
            <v>Less: Financial intermediation services indirectly measured (FISIM) (only to be deducted if FISIM is not distributed to uses)</v>
          </cell>
          <cell r="F1502">
            <v>0</v>
          </cell>
          <cell r="G1502">
            <v>1978</v>
          </cell>
          <cell r="H1502">
            <v>100</v>
          </cell>
          <cell r="I1502">
            <v>26740653.232138</v>
          </cell>
        </row>
        <row r="1503">
          <cell r="A1503" t="str">
            <v>Mexico</v>
          </cell>
          <cell r="B1503">
            <v>484</v>
          </cell>
          <cell r="C1503">
            <v>201</v>
          </cell>
          <cell r="D1503">
            <v>13</v>
          </cell>
          <cell r="E1503" t="str">
            <v>Less: Financial intermediation services indirectly measured (FISIM) (only to be deducted if FISIM is not distributed to uses)</v>
          </cell>
          <cell r="F1503">
            <v>0</v>
          </cell>
          <cell r="G1503">
            <v>1979</v>
          </cell>
          <cell r="H1503">
            <v>100</v>
          </cell>
          <cell r="I1503">
            <v>33940059.871559799</v>
          </cell>
        </row>
        <row r="1504">
          <cell r="A1504" t="str">
            <v>Mexico</v>
          </cell>
          <cell r="B1504">
            <v>484</v>
          </cell>
          <cell r="C1504">
            <v>201</v>
          </cell>
          <cell r="D1504">
            <v>13</v>
          </cell>
          <cell r="E1504" t="str">
            <v>Less: Financial intermediation services indirectly measured (FISIM) (only to be deducted if FISIM is not distributed to uses)</v>
          </cell>
          <cell r="F1504">
            <v>0</v>
          </cell>
          <cell r="G1504">
            <v>1980</v>
          </cell>
          <cell r="H1504">
            <v>100</v>
          </cell>
          <cell r="I1504">
            <v>49367359.813177802</v>
          </cell>
        </row>
        <row r="1505">
          <cell r="A1505" t="str">
            <v>Mexico</v>
          </cell>
          <cell r="B1505">
            <v>484</v>
          </cell>
          <cell r="C1505">
            <v>201</v>
          </cell>
          <cell r="D1505">
            <v>13</v>
          </cell>
          <cell r="E1505" t="str">
            <v>Less: Financial intermediation services indirectly measured (FISIM) (only to be deducted if FISIM is not distributed to uses)</v>
          </cell>
          <cell r="F1505">
            <v>0</v>
          </cell>
          <cell r="G1505">
            <v>1981</v>
          </cell>
          <cell r="H1505">
            <v>100</v>
          </cell>
          <cell r="I1505">
            <v>67520876.222904995</v>
          </cell>
        </row>
        <row r="1506">
          <cell r="A1506" t="str">
            <v>Mexico</v>
          </cell>
          <cell r="B1506">
            <v>484</v>
          </cell>
          <cell r="C1506">
            <v>201</v>
          </cell>
          <cell r="D1506">
            <v>13</v>
          </cell>
          <cell r="E1506" t="str">
            <v>Less: Financial intermediation services indirectly measured (FISIM) (only to be deducted if FISIM is not distributed to uses)</v>
          </cell>
          <cell r="F1506">
            <v>0</v>
          </cell>
          <cell r="G1506">
            <v>1982</v>
          </cell>
          <cell r="H1506">
            <v>100</v>
          </cell>
          <cell r="I1506">
            <v>88521701.702653199</v>
          </cell>
        </row>
        <row r="1507">
          <cell r="A1507" t="str">
            <v>Mexico</v>
          </cell>
          <cell r="B1507">
            <v>484</v>
          </cell>
          <cell r="C1507">
            <v>201</v>
          </cell>
          <cell r="D1507">
            <v>13</v>
          </cell>
          <cell r="E1507" t="str">
            <v>Less: Financial intermediation services indirectly measured (FISIM) (only to be deducted if FISIM is not distributed to uses)</v>
          </cell>
          <cell r="F1507">
            <v>0</v>
          </cell>
          <cell r="G1507">
            <v>1983</v>
          </cell>
          <cell r="H1507">
            <v>100</v>
          </cell>
          <cell r="I1507">
            <v>149538541.230167</v>
          </cell>
        </row>
        <row r="1508">
          <cell r="A1508" t="str">
            <v>Mexico</v>
          </cell>
          <cell r="B1508">
            <v>484</v>
          </cell>
          <cell r="C1508">
            <v>201</v>
          </cell>
          <cell r="D1508">
            <v>13</v>
          </cell>
          <cell r="E1508" t="str">
            <v>Less: Financial intermediation services indirectly measured (FISIM) (only to be deducted if FISIM is not distributed to uses)</v>
          </cell>
          <cell r="F1508">
            <v>0</v>
          </cell>
          <cell r="G1508">
            <v>1984</v>
          </cell>
          <cell r="H1508">
            <v>100</v>
          </cell>
          <cell r="I1508">
            <v>364172776.75853902</v>
          </cell>
        </row>
        <row r="1509">
          <cell r="A1509" t="str">
            <v>Mexico</v>
          </cell>
          <cell r="B1509">
            <v>484</v>
          </cell>
          <cell r="C1509">
            <v>201</v>
          </cell>
          <cell r="D1509">
            <v>13</v>
          </cell>
          <cell r="E1509" t="str">
            <v>Less: Financial intermediation services indirectly measured (FISIM) (only to be deducted if FISIM is not distributed to uses)</v>
          </cell>
          <cell r="F1509">
            <v>0</v>
          </cell>
          <cell r="G1509">
            <v>1985</v>
          </cell>
          <cell r="H1509">
            <v>100</v>
          </cell>
          <cell r="I1509">
            <v>567311219.64004695</v>
          </cell>
        </row>
        <row r="1510">
          <cell r="A1510" t="str">
            <v>Mexico</v>
          </cell>
          <cell r="B1510">
            <v>484</v>
          </cell>
          <cell r="C1510">
            <v>201</v>
          </cell>
          <cell r="D1510">
            <v>13</v>
          </cell>
          <cell r="E1510" t="str">
            <v>Less: Financial intermediation services indirectly measured (FISIM) (only to be deducted if FISIM is not distributed to uses)</v>
          </cell>
          <cell r="F1510">
            <v>0</v>
          </cell>
          <cell r="G1510">
            <v>1986</v>
          </cell>
          <cell r="H1510">
            <v>100</v>
          </cell>
          <cell r="I1510">
            <v>1051343515.73912</v>
          </cell>
        </row>
        <row r="1511">
          <cell r="A1511" t="str">
            <v>Mexico</v>
          </cell>
          <cell r="B1511">
            <v>484</v>
          </cell>
          <cell r="C1511">
            <v>201</v>
          </cell>
          <cell r="D1511">
            <v>13</v>
          </cell>
          <cell r="E1511" t="str">
            <v>Less: Financial intermediation services indirectly measured (FISIM) (only to be deducted if FISIM is not distributed to uses)</v>
          </cell>
          <cell r="F1511">
            <v>0</v>
          </cell>
          <cell r="G1511">
            <v>1987</v>
          </cell>
          <cell r="H1511">
            <v>100</v>
          </cell>
          <cell r="I1511">
            <v>2591623994.1905398</v>
          </cell>
        </row>
        <row r="1512">
          <cell r="A1512" t="str">
            <v>Mexico</v>
          </cell>
          <cell r="B1512">
            <v>484</v>
          </cell>
          <cell r="C1512">
            <v>201</v>
          </cell>
          <cell r="D1512">
            <v>13</v>
          </cell>
          <cell r="E1512" t="str">
            <v>Less: Financial intermediation services indirectly measured (FISIM) (only to be deducted if FISIM is not distributed to uses)</v>
          </cell>
          <cell r="F1512">
            <v>0</v>
          </cell>
          <cell r="G1512">
            <v>1988</v>
          </cell>
          <cell r="H1512">
            <v>100</v>
          </cell>
          <cell r="I1512">
            <v>5874515000</v>
          </cell>
        </row>
        <row r="1513">
          <cell r="A1513" t="str">
            <v>Mexico</v>
          </cell>
          <cell r="B1513">
            <v>484</v>
          </cell>
          <cell r="C1513">
            <v>201</v>
          </cell>
          <cell r="D1513">
            <v>13</v>
          </cell>
          <cell r="E1513" t="str">
            <v>Less: Financial intermediation services indirectly measured (FISIM) (only to be deducted if FISIM is not distributed to uses)</v>
          </cell>
          <cell r="F1513">
            <v>0</v>
          </cell>
          <cell r="G1513">
            <v>1989</v>
          </cell>
          <cell r="H1513">
            <v>100</v>
          </cell>
          <cell r="I1513">
            <v>3285072000</v>
          </cell>
        </row>
        <row r="1514">
          <cell r="A1514" t="str">
            <v>Mexico</v>
          </cell>
          <cell r="B1514">
            <v>484</v>
          </cell>
          <cell r="C1514">
            <v>201</v>
          </cell>
          <cell r="D1514">
            <v>13</v>
          </cell>
          <cell r="E1514" t="str">
            <v>Less: Financial intermediation services indirectly measured (FISIM) (only to be deducted if FISIM is not distributed to uses)</v>
          </cell>
          <cell r="F1514">
            <v>0</v>
          </cell>
          <cell r="G1514">
            <v>1990</v>
          </cell>
          <cell r="H1514">
            <v>100</v>
          </cell>
          <cell r="I1514">
            <v>7750334000</v>
          </cell>
        </row>
        <row r="1515">
          <cell r="A1515" t="str">
            <v>Mexico</v>
          </cell>
          <cell r="B1515">
            <v>484</v>
          </cell>
          <cell r="C1515">
            <v>201</v>
          </cell>
          <cell r="D1515">
            <v>13</v>
          </cell>
          <cell r="E1515" t="str">
            <v>Less: Financial intermediation services indirectly measured (FISIM) (only to be deducted if FISIM is not distributed to uses)</v>
          </cell>
          <cell r="F1515">
            <v>0</v>
          </cell>
          <cell r="G1515">
            <v>1991</v>
          </cell>
          <cell r="H1515">
            <v>100</v>
          </cell>
          <cell r="I1515">
            <v>11188116000</v>
          </cell>
        </row>
        <row r="1516">
          <cell r="A1516" t="str">
            <v>Mexico</v>
          </cell>
          <cell r="B1516">
            <v>484</v>
          </cell>
          <cell r="C1516">
            <v>201</v>
          </cell>
          <cell r="D1516">
            <v>13</v>
          </cell>
          <cell r="E1516" t="str">
            <v>Less: Financial intermediation services indirectly measured (FISIM) (only to be deducted if FISIM is not distributed to uses)</v>
          </cell>
          <cell r="F1516">
            <v>0</v>
          </cell>
          <cell r="G1516">
            <v>1992</v>
          </cell>
          <cell r="H1516">
            <v>100</v>
          </cell>
          <cell r="I1516">
            <v>23595664000</v>
          </cell>
        </row>
        <row r="1517">
          <cell r="A1517" t="str">
            <v>Mexico</v>
          </cell>
          <cell r="B1517">
            <v>484</v>
          </cell>
          <cell r="C1517">
            <v>201</v>
          </cell>
          <cell r="D1517">
            <v>13</v>
          </cell>
          <cell r="E1517" t="str">
            <v>Less: Financial intermediation services indirectly measured (FISIM) (only to be deducted if FISIM is not distributed to uses)</v>
          </cell>
          <cell r="F1517">
            <v>0</v>
          </cell>
          <cell r="G1517">
            <v>1993</v>
          </cell>
          <cell r="H1517">
            <v>100</v>
          </cell>
          <cell r="I1517">
            <v>33706698000</v>
          </cell>
        </row>
        <row r="1518">
          <cell r="A1518" t="str">
            <v>Mexico</v>
          </cell>
          <cell r="B1518">
            <v>484</v>
          </cell>
          <cell r="C1518">
            <v>201</v>
          </cell>
          <cell r="D1518">
            <v>13</v>
          </cell>
          <cell r="E1518" t="str">
            <v>Less: Financial intermediation services indirectly measured (FISIM) (only to be deducted if FISIM is not distributed to uses)</v>
          </cell>
          <cell r="F1518">
            <v>0</v>
          </cell>
          <cell r="G1518">
            <v>1994</v>
          </cell>
          <cell r="H1518">
            <v>100</v>
          </cell>
          <cell r="I1518">
            <v>42476577000</v>
          </cell>
        </row>
        <row r="1519">
          <cell r="A1519" t="str">
            <v>Mexico</v>
          </cell>
          <cell r="B1519">
            <v>484</v>
          </cell>
          <cell r="C1519">
            <v>201</v>
          </cell>
          <cell r="D1519">
            <v>13</v>
          </cell>
          <cell r="E1519" t="str">
            <v>Less: Financial intermediation services indirectly measured (FISIM) (only to be deducted if FISIM is not distributed to uses)</v>
          </cell>
          <cell r="F1519">
            <v>0</v>
          </cell>
          <cell r="G1519">
            <v>1995</v>
          </cell>
          <cell r="H1519">
            <v>100</v>
          </cell>
          <cell r="I1519">
            <v>90214221000</v>
          </cell>
        </row>
        <row r="1520">
          <cell r="A1520" t="str">
            <v>Mexico</v>
          </cell>
          <cell r="B1520">
            <v>484</v>
          </cell>
          <cell r="C1520">
            <v>201</v>
          </cell>
          <cell r="D1520">
            <v>13</v>
          </cell>
          <cell r="E1520" t="str">
            <v>Less: Financial intermediation services indirectly measured (FISIM) (only to be deducted if FISIM is not distributed to uses)</v>
          </cell>
          <cell r="F1520">
            <v>0</v>
          </cell>
          <cell r="G1520">
            <v>1996</v>
          </cell>
          <cell r="H1520">
            <v>100</v>
          </cell>
          <cell r="I1520">
            <v>56814411000</v>
          </cell>
        </row>
        <row r="1521">
          <cell r="A1521" t="str">
            <v>Mexico</v>
          </cell>
          <cell r="B1521">
            <v>484</v>
          </cell>
          <cell r="C1521">
            <v>201</v>
          </cell>
          <cell r="D1521">
            <v>13</v>
          </cell>
          <cell r="E1521" t="str">
            <v>Less: Financial intermediation services indirectly measured (FISIM) (only to be deducted if FISIM is not distributed to uses)</v>
          </cell>
          <cell r="F1521">
            <v>0</v>
          </cell>
          <cell r="G1521">
            <v>1997</v>
          </cell>
          <cell r="H1521">
            <v>100</v>
          </cell>
          <cell r="I1521">
            <v>42327911000</v>
          </cell>
        </row>
        <row r="1522">
          <cell r="A1522" t="str">
            <v>Mexico</v>
          </cell>
          <cell r="B1522">
            <v>484</v>
          </cell>
          <cell r="C1522">
            <v>201</v>
          </cell>
          <cell r="D1522">
            <v>13</v>
          </cell>
          <cell r="E1522" t="str">
            <v>Less: Financial intermediation services indirectly measured (FISIM) (only to be deducted if FISIM is not distributed to uses)</v>
          </cell>
          <cell r="F1522">
            <v>0</v>
          </cell>
          <cell r="G1522">
            <v>1998</v>
          </cell>
          <cell r="H1522">
            <v>100</v>
          </cell>
          <cell r="I1522">
            <v>35366706000</v>
          </cell>
        </row>
        <row r="1523">
          <cell r="A1523" t="str">
            <v>Mexico</v>
          </cell>
          <cell r="B1523">
            <v>484</v>
          </cell>
          <cell r="C1523">
            <v>201</v>
          </cell>
          <cell r="D1523">
            <v>13</v>
          </cell>
          <cell r="E1523" t="str">
            <v>Less: Financial intermediation services indirectly measured (FISIM) (only to be deducted if FISIM is not distributed to uses)</v>
          </cell>
          <cell r="F1523">
            <v>0</v>
          </cell>
          <cell r="G1523">
            <v>1999</v>
          </cell>
          <cell r="H1523">
            <v>100</v>
          </cell>
          <cell r="I1523">
            <v>57010474000</v>
          </cell>
        </row>
        <row r="1524">
          <cell r="A1524" t="str">
            <v>Mexico</v>
          </cell>
          <cell r="B1524">
            <v>484</v>
          </cell>
          <cell r="C1524">
            <v>201</v>
          </cell>
          <cell r="D1524">
            <v>13</v>
          </cell>
          <cell r="E1524" t="str">
            <v>Less: Financial intermediation services indirectly measured (FISIM) (only to be deducted if FISIM is not distributed to uses)</v>
          </cell>
          <cell r="F1524">
            <v>0</v>
          </cell>
          <cell r="G1524">
            <v>2000</v>
          </cell>
          <cell r="H1524">
            <v>100</v>
          </cell>
          <cell r="I1524">
            <v>61084485000</v>
          </cell>
        </row>
        <row r="1525">
          <cell r="A1525" t="str">
            <v>Mexico</v>
          </cell>
          <cell r="B1525">
            <v>484</v>
          </cell>
          <cell r="C1525">
            <v>201</v>
          </cell>
          <cell r="D1525">
            <v>13</v>
          </cell>
          <cell r="E1525" t="str">
            <v>Less: Financial intermediation services indirectly measured (FISIM) (only to be deducted if FISIM is not distributed to uses)</v>
          </cell>
          <cell r="F1525">
            <v>0</v>
          </cell>
          <cell r="G1525">
            <v>2001</v>
          </cell>
          <cell r="H1525">
            <v>100</v>
          </cell>
          <cell r="I1525">
            <v>90772193000</v>
          </cell>
        </row>
        <row r="1526">
          <cell r="A1526" t="str">
            <v>Mexico</v>
          </cell>
          <cell r="B1526">
            <v>484</v>
          </cell>
          <cell r="C1526">
            <v>201</v>
          </cell>
          <cell r="D1526">
            <v>13</v>
          </cell>
          <cell r="E1526" t="str">
            <v>Less: Financial intermediation services indirectly measured (FISIM) (only to be deducted if FISIM is not distributed to uses)</v>
          </cell>
          <cell r="F1526">
            <v>0</v>
          </cell>
          <cell r="G1526">
            <v>2002</v>
          </cell>
          <cell r="H1526">
            <v>100</v>
          </cell>
          <cell r="I1526">
            <v>84777735000</v>
          </cell>
        </row>
        <row r="1527">
          <cell r="A1527" t="str">
            <v>Mexico</v>
          </cell>
          <cell r="B1527">
            <v>484</v>
          </cell>
          <cell r="C1527">
            <v>203</v>
          </cell>
          <cell r="D1527">
            <v>3</v>
          </cell>
          <cell r="E1527" t="str">
            <v>Equals: VALUE ADDED, GROSS, at basic prices</v>
          </cell>
          <cell r="F1527">
            <v>12</v>
          </cell>
          <cell r="G1527">
            <v>1970</v>
          </cell>
          <cell r="H1527">
            <v>10</v>
          </cell>
          <cell r="I1527">
            <v>449667000</v>
          </cell>
        </row>
        <row r="1528">
          <cell r="A1528" t="str">
            <v>Mexico</v>
          </cell>
          <cell r="B1528">
            <v>484</v>
          </cell>
          <cell r="C1528">
            <v>203</v>
          </cell>
          <cell r="D1528">
            <v>3</v>
          </cell>
          <cell r="E1528" t="str">
            <v>Equals: VALUE ADDED, GROSS, at basic prices</v>
          </cell>
          <cell r="F1528">
            <v>12</v>
          </cell>
          <cell r="G1528">
            <v>1971</v>
          </cell>
          <cell r="H1528">
            <v>10</v>
          </cell>
          <cell r="I1528">
            <v>496486000</v>
          </cell>
        </row>
        <row r="1529">
          <cell r="A1529" t="str">
            <v>Mexico</v>
          </cell>
          <cell r="B1529">
            <v>484</v>
          </cell>
          <cell r="C1529">
            <v>203</v>
          </cell>
          <cell r="D1529">
            <v>3</v>
          </cell>
          <cell r="E1529" t="str">
            <v>Equals: VALUE ADDED, GROSS, at basic prices</v>
          </cell>
          <cell r="F1529">
            <v>12</v>
          </cell>
          <cell r="G1529">
            <v>1972</v>
          </cell>
          <cell r="H1529">
            <v>10</v>
          </cell>
          <cell r="I1529">
            <v>571884000</v>
          </cell>
        </row>
        <row r="1530">
          <cell r="A1530" t="str">
            <v>Mexico</v>
          </cell>
          <cell r="B1530">
            <v>484</v>
          </cell>
          <cell r="C1530">
            <v>203</v>
          </cell>
          <cell r="D1530">
            <v>3</v>
          </cell>
          <cell r="E1530" t="str">
            <v>Equals: VALUE ADDED, GROSS, at basic prices</v>
          </cell>
          <cell r="F1530">
            <v>12</v>
          </cell>
          <cell r="G1530">
            <v>1973</v>
          </cell>
          <cell r="H1530">
            <v>10</v>
          </cell>
          <cell r="I1530">
            <v>698764000</v>
          </cell>
        </row>
        <row r="1531">
          <cell r="A1531" t="str">
            <v>Mexico</v>
          </cell>
          <cell r="B1531">
            <v>484</v>
          </cell>
          <cell r="C1531">
            <v>203</v>
          </cell>
          <cell r="D1531">
            <v>3</v>
          </cell>
          <cell r="E1531" t="str">
            <v>Equals: VALUE ADDED, GROSS, at basic prices</v>
          </cell>
          <cell r="F1531">
            <v>12</v>
          </cell>
          <cell r="G1531">
            <v>1974</v>
          </cell>
          <cell r="H1531">
            <v>10</v>
          </cell>
          <cell r="I1531">
            <v>908719000</v>
          </cell>
        </row>
        <row r="1532">
          <cell r="A1532" t="str">
            <v>Mexico</v>
          </cell>
          <cell r="B1532">
            <v>484</v>
          </cell>
          <cell r="C1532">
            <v>203</v>
          </cell>
          <cell r="D1532">
            <v>3</v>
          </cell>
          <cell r="E1532" t="str">
            <v>Equals: VALUE ADDED, GROSS, at basic prices</v>
          </cell>
          <cell r="F1532">
            <v>12</v>
          </cell>
          <cell r="G1532">
            <v>1975</v>
          </cell>
          <cell r="H1532">
            <v>10</v>
          </cell>
          <cell r="I1532">
            <v>1112173000</v>
          </cell>
        </row>
        <row r="1533">
          <cell r="A1533" t="str">
            <v>Mexico</v>
          </cell>
          <cell r="B1533">
            <v>484</v>
          </cell>
          <cell r="C1533">
            <v>203</v>
          </cell>
          <cell r="D1533">
            <v>3</v>
          </cell>
          <cell r="E1533" t="str">
            <v>Equals: VALUE ADDED, GROSS, at basic prices</v>
          </cell>
          <cell r="F1533">
            <v>12</v>
          </cell>
          <cell r="G1533">
            <v>1976</v>
          </cell>
          <cell r="H1533">
            <v>10</v>
          </cell>
          <cell r="I1533">
            <v>1387119000</v>
          </cell>
        </row>
        <row r="1534">
          <cell r="A1534" t="str">
            <v>Mexico</v>
          </cell>
          <cell r="B1534">
            <v>484</v>
          </cell>
          <cell r="C1534">
            <v>203</v>
          </cell>
          <cell r="D1534">
            <v>3</v>
          </cell>
          <cell r="E1534" t="str">
            <v>Equals: VALUE ADDED, GROSS, at basic prices</v>
          </cell>
          <cell r="F1534">
            <v>12</v>
          </cell>
          <cell r="G1534">
            <v>1977</v>
          </cell>
          <cell r="H1534">
            <v>10</v>
          </cell>
          <cell r="I1534">
            <v>1869903000</v>
          </cell>
        </row>
        <row r="1535">
          <cell r="A1535" t="str">
            <v>Mexico</v>
          </cell>
          <cell r="B1535">
            <v>484</v>
          </cell>
          <cell r="C1535">
            <v>203</v>
          </cell>
          <cell r="D1535">
            <v>3</v>
          </cell>
          <cell r="E1535" t="str">
            <v>Equals: VALUE ADDED, GROSS, at basic prices</v>
          </cell>
          <cell r="F1535">
            <v>12</v>
          </cell>
          <cell r="G1535">
            <v>1978</v>
          </cell>
          <cell r="H1535">
            <v>10</v>
          </cell>
          <cell r="I1535">
            <v>2362904000</v>
          </cell>
        </row>
        <row r="1536">
          <cell r="A1536" t="str">
            <v>Mexico</v>
          </cell>
          <cell r="B1536">
            <v>484</v>
          </cell>
          <cell r="C1536">
            <v>203</v>
          </cell>
          <cell r="D1536">
            <v>3</v>
          </cell>
          <cell r="E1536" t="str">
            <v>Equals: VALUE ADDED, GROSS, at basic prices</v>
          </cell>
          <cell r="F1536">
            <v>12</v>
          </cell>
          <cell r="G1536">
            <v>1979</v>
          </cell>
          <cell r="H1536">
            <v>10</v>
          </cell>
          <cell r="I1536">
            <v>3100933000</v>
          </cell>
        </row>
        <row r="1537">
          <cell r="A1537" t="str">
            <v>Mexico</v>
          </cell>
          <cell r="B1537">
            <v>484</v>
          </cell>
          <cell r="C1537">
            <v>203</v>
          </cell>
          <cell r="D1537">
            <v>3</v>
          </cell>
          <cell r="E1537" t="str">
            <v>Equals: VALUE ADDED, GROSS, at basic prices</v>
          </cell>
          <cell r="F1537">
            <v>12</v>
          </cell>
          <cell r="G1537">
            <v>1980</v>
          </cell>
          <cell r="H1537">
            <v>10</v>
          </cell>
          <cell r="I1537">
            <v>4324280000</v>
          </cell>
        </row>
        <row r="1538">
          <cell r="A1538" t="str">
            <v>Mexico</v>
          </cell>
          <cell r="B1538">
            <v>484</v>
          </cell>
          <cell r="C1538">
            <v>203</v>
          </cell>
          <cell r="D1538">
            <v>3</v>
          </cell>
          <cell r="E1538" t="str">
            <v>Equals: VALUE ADDED, GROSS, at basic prices</v>
          </cell>
          <cell r="F1538">
            <v>12</v>
          </cell>
          <cell r="G1538">
            <v>1980</v>
          </cell>
          <cell r="H1538">
            <v>20</v>
          </cell>
          <cell r="I1538">
            <v>4518259999</v>
          </cell>
        </row>
        <row r="1539">
          <cell r="A1539" t="str">
            <v>Mexico</v>
          </cell>
          <cell r="B1539">
            <v>484</v>
          </cell>
          <cell r="C1539">
            <v>203</v>
          </cell>
          <cell r="D1539">
            <v>3</v>
          </cell>
          <cell r="E1539" t="str">
            <v>Equals: VALUE ADDED, GROSS, at basic prices</v>
          </cell>
          <cell r="F1539">
            <v>12</v>
          </cell>
          <cell r="G1539">
            <v>1981</v>
          </cell>
          <cell r="H1539">
            <v>20</v>
          </cell>
          <cell r="I1539">
            <v>6193532999</v>
          </cell>
        </row>
        <row r="1540">
          <cell r="A1540" t="str">
            <v>Mexico</v>
          </cell>
          <cell r="B1540">
            <v>484</v>
          </cell>
          <cell r="C1540">
            <v>203</v>
          </cell>
          <cell r="D1540">
            <v>3</v>
          </cell>
          <cell r="E1540" t="str">
            <v>Equals: VALUE ADDED, GROSS, at basic prices</v>
          </cell>
          <cell r="F1540">
            <v>12</v>
          </cell>
          <cell r="G1540">
            <v>1982</v>
          </cell>
          <cell r="H1540">
            <v>20</v>
          </cell>
          <cell r="I1540">
            <v>9884188999</v>
          </cell>
        </row>
        <row r="1541">
          <cell r="A1541" t="str">
            <v>Mexico</v>
          </cell>
          <cell r="B1541">
            <v>484</v>
          </cell>
          <cell r="C1541">
            <v>203</v>
          </cell>
          <cell r="D1541">
            <v>3</v>
          </cell>
          <cell r="E1541" t="str">
            <v>Equals: VALUE ADDED, GROSS, at basic prices</v>
          </cell>
          <cell r="F1541">
            <v>12</v>
          </cell>
          <cell r="G1541">
            <v>1983</v>
          </cell>
          <cell r="H1541">
            <v>20</v>
          </cell>
          <cell r="I1541">
            <v>18024670990</v>
          </cell>
        </row>
        <row r="1542">
          <cell r="A1542" t="str">
            <v>Mexico</v>
          </cell>
          <cell r="B1542">
            <v>484</v>
          </cell>
          <cell r="C1542">
            <v>203</v>
          </cell>
          <cell r="D1542">
            <v>3</v>
          </cell>
          <cell r="E1542" t="str">
            <v>Equals: VALUE ADDED, GROSS, at basic prices</v>
          </cell>
          <cell r="F1542">
            <v>12</v>
          </cell>
          <cell r="G1542">
            <v>1987</v>
          </cell>
          <cell r="H1542">
            <v>100</v>
          </cell>
          <cell r="I1542">
            <v>191954300000</v>
          </cell>
        </row>
        <row r="1543">
          <cell r="A1543" t="str">
            <v>Mexico</v>
          </cell>
          <cell r="B1543">
            <v>484</v>
          </cell>
          <cell r="C1543">
            <v>203</v>
          </cell>
          <cell r="D1543">
            <v>3</v>
          </cell>
          <cell r="E1543" t="str">
            <v>Equals: VALUE ADDED, GROSS, at basic prices</v>
          </cell>
          <cell r="F1543">
            <v>12</v>
          </cell>
          <cell r="G1543">
            <v>1988</v>
          </cell>
          <cell r="H1543">
            <v>100</v>
          </cell>
          <cell r="I1543">
            <v>388322203400</v>
          </cell>
        </row>
        <row r="1544">
          <cell r="A1544" t="str">
            <v>Mexico</v>
          </cell>
          <cell r="B1544">
            <v>484</v>
          </cell>
          <cell r="C1544">
            <v>203</v>
          </cell>
          <cell r="D1544">
            <v>3</v>
          </cell>
          <cell r="E1544" t="str">
            <v>Equals: VALUE ADDED, GROSS, at basic prices</v>
          </cell>
          <cell r="F1544">
            <v>12</v>
          </cell>
          <cell r="G1544">
            <v>1989</v>
          </cell>
          <cell r="H1544">
            <v>100</v>
          </cell>
          <cell r="I1544">
            <v>506580111400</v>
          </cell>
        </row>
        <row r="1545">
          <cell r="A1545" t="str">
            <v>Mexico</v>
          </cell>
          <cell r="B1545">
            <v>484</v>
          </cell>
          <cell r="C1545">
            <v>203</v>
          </cell>
          <cell r="D1545">
            <v>3</v>
          </cell>
          <cell r="E1545" t="str">
            <v>Equals: VALUE ADDED, GROSS, at basic prices</v>
          </cell>
          <cell r="F1545">
            <v>12</v>
          </cell>
          <cell r="G1545">
            <v>1990</v>
          </cell>
          <cell r="H1545">
            <v>100</v>
          </cell>
          <cell r="I1545">
            <v>683817347000</v>
          </cell>
        </row>
        <row r="1546">
          <cell r="A1546" t="str">
            <v>Mexico</v>
          </cell>
          <cell r="B1546">
            <v>484</v>
          </cell>
          <cell r="C1546">
            <v>203</v>
          </cell>
          <cell r="D1546">
            <v>3</v>
          </cell>
          <cell r="E1546" t="str">
            <v>Equals: VALUE ADDED, GROSS, at basic prices</v>
          </cell>
          <cell r="F1546">
            <v>12</v>
          </cell>
          <cell r="G1546">
            <v>1991</v>
          </cell>
          <cell r="H1546">
            <v>100</v>
          </cell>
          <cell r="I1546">
            <v>879407301500</v>
          </cell>
        </row>
        <row r="1547">
          <cell r="A1547" t="str">
            <v>Mexico</v>
          </cell>
          <cell r="B1547">
            <v>484</v>
          </cell>
          <cell r="C1547">
            <v>203</v>
          </cell>
          <cell r="D1547">
            <v>3</v>
          </cell>
          <cell r="E1547" t="str">
            <v>Equals: VALUE ADDED, GROSS, at basic prices</v>
          </cell>
          <cell r="F1547">
            <v>12</v>
          </cell>
          <cell r="G1547">
            <v>1992</v>
          </cell>
          <cell r="H1547">
            <v>100</v>
          </cell>
          <cell r="I1547">
            <v>1052600246000</v>
          </cell>
        </row>
        <row r="1548">
          <cell r="A1548" t="str">
            <v>Mexico</v>
          </cell>
          <cell r="B1548">
            <v>484</v>
          </cell>
          <cell r="C1548">
            <v>203</v>
          </cell>
          <cell r="D1548">
            <v>3</v>
          </cell>
          <cell r="E1548" t="str">
            <v>Equals: VALUE ADDED, GROSS, at basic prices</v>
          </cell>
          <cell r="F1548">
            <v>12</v>
          </cell>
          <cell r="G1548">
            <v>1993</v>
          </cell>
          <cell r="H1548">
            <v>100</v>
          </cell>
          <cell r="I1548">
            <v>1188838887000</v>
          </cell>
        </row>
        <row r="1549">
          <cell r="A1549" t="str">
            <v>Mexico</v>
          </cell>
          <cell r="B1549">
            <v>484</v>
          </cell>
          <cell r="C1549">
            <v>203</v>
          </cell>
          <cell r="D1549">
            <v>3</v>
          </cell>
          <cell r="E1549" t="str">
            <v>Equals: VALUE ADDED, GROSS, at basic prices</v>
          </cell>
          <cell r="F1549">
            <v>12</v>
          </cell>
          <cell r="G1549">
            <v>1994</v>
          </cell>
          <cell r="H1549">
            <v>100</v>
          </cell>
          <cell r="I1549">
            <v>1348778147000</v>
          </cell>
        </row>
        <row r="1550">
          <cell r="A1550" t="str">
            <v>Mexico</v>
          </cell>
          <cell r="B1550">
            <v>484</v>
          </cell>
          <cell r="C1550">
            <v>203</v>
          </cell>
          <cell r="D1550">
            <v>3</v>
          </cell>
          <cell r="E1550" t="str">
            <v>Equals: VALUE ADDED, GROSS, at basic prices</v>
          </cell>
          <cell r="F1550">
            <v>12</v>
          </cell>
          <cell r="G1550">
            <v>1995</v>
          </cell>
          <cell r="H1550">
            <v>100</v>
          </cell>
          <cell r="I1550">
            <v>1769049050000</v>
          </cell>
        </row>
        <row r="1551">
          <cell r="A1551" t="str">
            <v>Mexico</v>
          </cell>
          <cell r="B1551">
            <v>484</v>
          </cell>
          <cell r="C1551">
            <v>203</v>
          </cell>
          <cell r="D1551">
            <v>3</v>
          </cell>
          <cell r="E1551" t="str">
            <v>Equals: VALUE ADDED, GROSS, at basic prices</v>
          </cell>
          <cell r="F1551">
            <v>12</v>
          </cell>
          <cell r="G1551">
            <v>1996</v>
          </cell>
          <cell r="H1551">
            <v>100</v>
          </cell>
          <cell r="I1551">
            <v>2353488937000</v>
          </cell>
        </row>
        <row r="1552">
          <cell r="A1552" t="str">
            <v>Mexico</v>
          </cell>
          <cell r="B1552">
            <v>484</v>
          </cell>
          <cell r="C1552">
            <v>203</v>
          </cell>
          <cell r="D1552">
            <v>3</v>
          </cell>
          <cell r="E1552" t="str">
            <v>Equals: VALUE ADDED, GROSS, at basic prices</v>
          </cell>
          <cell r="F1552">
            <v>12</v>
          </cell>
          <cell r="G1552">
            <v>1997</v>
          </cell>
          <cell r="H1552">
            <v>100</v>
          </cell>
          <cell r="I1552">
            <v>2915600903000</v>
          </cell>
        </row>
        <row r="1553">
          <cell r="A1553" t="str">
            <v>Mexico</v>
          </cell>
          <cell r="B1553">
            <v>484</v>
          </cell>
          <cell r="C1553">
            <v>203</v>
          </cell>
          <cell r="D1553">
            <v>3</v>
          </cell>
          <cell r="E1553" t="str">
            <v>Equals: VALUE ADDED, GROSS, at basic prices</v>
          </cell>
          <cell r="F1553">
            <v>12</v>
          </cell>
          <cell r="G1553">
            <v>1998</v>
          </cell>
          <cell r="H1553">
            <v>100</v>
          </cell>
          <cell r="I1553">
            <v>3553148566000</v>
          </cell>
        </row>
        <row r="1554">
          <cell r="A1554" t="str">
            <v>Mexico</v>
          </cell>
          <cell r="B1554">
            <v>484</v>
          </cell>
          <cell r="C1554">
            <v>203</v>
          </cell>
          <cell r="D1554">
            <v>3</v>
          </cell>
          <cell r="E1554" t="str">
            <v>Equals: VALUE ADDED, GROSS, at basic prices</v>
          </cell>
          <cell r="F1554">
            <v>12</v>
          </cell>
          <cell r="G1554">
            <v>1999</v>
          </cell>
          <cell r="H1554">
            <v>100</v>
          </cell>
          <cell r="I1554">
            <v>4262714363000</v>
          </cell>
        </row>
        <row r="1555">
          <cell r="A1555" t="str">
            <v>Mexico</v>
          </cell>
          <cell r="B1555">
            <v>484</v>
          </cell>
          <cell r="C1555">
            <v>203</v>
          </cell>
          <cell r="D1555">
            <v>3</v>
          </cell>
          <cell r="E1555" t="str">
            <v>Equals: VALUE ADDED, GROSS, at basic prices</v>
          </cell>
          <cell r="F1555">
            <v>12</v>
          </cell>
          <cell r="G1555">
            <v>2000</v>
          </cell>
          <cell r="H1555">
            <v>100</v>
          </cell>
          <cell r="I1555">
            <v>5043651104000</v>
          </cell>
        </row>
        <row r="1556">
          <cell r="A1556" t="str">
            <v>Mexico</v>
          </cell>
          <cell r="B1556">
            <v>484</v>
          </cell>
          <cell r="C1556">
            <v>203</v>
          </cell>
          <cell r="D1556">
            <v>3</v>
          </cell>
          <cell r="E1556" t="str">
            <v>Equals: VALUE ADDED, GROSS, at basic prices</v>
          </cell>
          <cell r="F1556">
            <v>12</v>
          </cell>
          <cell r="G1556">
            <v>2001</v>
          </cell>
          <cell r="H1556">
            <v>100</v>
          </cell>
          <cell r="I1556">
            <v>5362083314000</v>
          </cell>
        </row>
        <row r="1557">
          <cell r="A1557" t="str">
            <v>Mexico</v>
          </cell>
          <cell r="B1557">
            <v>484</v>
          </cell>
          <cell r="C1557">
            <v>203</v>
          </cell>
          <cell r="D1557">
            <v>3</v>
          </cell>
          <cell r="E1557" t="str">
            <v>Equals: VALUE ADDED, GROSS, at basic prices</v>
          </cell>
          <cell r="F1557">
            <v>12</v>
          </cell>
          <cell r="G1557">
            <v>2002</v>
          </cell>
          <cell r="H1557">
            <v>100</v>
          </cell>
          <cell r="I1557">
            <v>5812719762000</v>
          </cell>
        </row>
        <row r="1558">
          <cell r="A1558" t="str">
            <v>Mexico</v>
          </cell>
          <cell r="B1558">
            <v>484</v>
          </cell>
          <cell r="C1558">
            <v>203</v>
          </cell>
          <cell r="D1558">
            <v>4</v>
          </cell>
          <cell r="E1558" t="str">
            <v>Compensation of employees</v>
          </cell>
          <cell r="F1558">
            <v>12</v>
          </cell>
          <cell r="G1558">
            <v>1980</v>
          </cell>
          <cell r="H1558">
            <v>20</v>
          </cell>
          <cell r="I1558">
            <v>1610927999</v>
          </cell>
        </row>
        <row r="1559">
          <cell r="A1559" t="str">
            <v>Mexico</v>
          </cell>
          <cell r="B1559">
            <v>484</v>
          </cell>
          <cell r="C1559">
            <v>203</v>
          </cell>
          <cell r="D1559">
            <v>4</v>
          </cell>
          <cell r="E1559" t="str">
            <v>Compensation of employees</v>
          </cell>
          <cell r="F1559">
            <v>12</v>
          </cell>
          <cell r="G1559">
            <v>1981</v>
          </cell>
          <cell r="H1559">
            <v>20</v>
          </cell>
          <cell r="I1559">
            <v>2295443999</v>
          </cell>
        </row>
        <row r="1560">
          <cell r="A1560" t="str">
            <v>Mexico</v>
          </cell>
          <cell r="B1560">
            <v>484</v>
          </cell>
          <cell r="C1560">
            <v>203</v>
          </cell>
          <cell r="D1560">
            <v>4</v>
          </cell>
          <cell r="E1560" t="str">
            <v>Compensation of employees</v>
          </cell>
          <cell r="F1560">
            <v>12</v>
          </cell>
          <cell r="G1560">
            <v>1982</v>
          </cell>
          <cell r="H1560">
            <v>20</v>
          </cell>
          <cell r="I1560">
            <v>3450162999</v>
          </cell>
        </row>
        <row r="1561">
          <cell r="A1561" t="str">
            <v>Mexico</v>
          </cell>
          <cell r="B1561">
            <v>484</v>
          </cell>
          <cell r="C1561">
            <v>203</v>
          </cell>
          <cell r="D1561">
            <v>4</v>
          </cell>
          <cell r="E1561" t="str">
            <v>Compensation of employees</v>
          </cell>
          <cell r="F1561">
            <v>12</v>
          </cell>
          <cell r="G1561">
            <v>1983</v>
          </cell>
          <cell r="H1561">
            <v>20</v>
          </cell>
          <cell r="I1561">
            <v>5247730999</v>
          </cell>
        </row>
        <row r="1562">
          <cell r="A1562" t="str">
            <v>Mexico</v>
          </cell>
          <cell r="B1562">
            <v>484</v>
          </cell>
          <cell r="C1562">
            <v>203</v>
          </cell>
          <cell r="D1562">
            <v>4</v>
          </cell>
          <cell r="E1562" t="str">
            <v>Compensation of employees</v>
          </cell>
          <cell r="F1562">
            <v>12</v>
          </cell>
          <cell r="G1562">
            <v>1988</v>
          </cell>
          <cell r="H1562">
            <v>100</v>
          </cell>
          <cell r="I1562">
            <v>123950766400</v>
          </cell>
        </row>
        <row r="1563">
          <cell r="A1563" t="str">
            <v>Mexico</v>
          </cell>
          <cell r="B1563">
            <v>484</v>
          </cell>
          <cell r="C1563">
            <v>203</v>
          </cell>
          <cell r="D1563">
            <v>4</v>
          </cell>
          <cell r="E1563" t="str">
            <v>Compensation of employees</v>
          </cell>
          <cell r="F1563">
            <v>12</v>
          </cell>
          <cell r="G1563">
            <v>1989</v>
          </cell>
          <cell r="H1563">
            <v>100</v>
          </cell>
          <cell r="I1563">
            <v>162130261400</v>
          </cell>
        </row>
        <row r="1564">
          <cell r="A1564" t="str">
            <v>Mexico</v>
          </cell>
          <cell r="B1564">
            <v>484</v>
          </cell>
          <cell r="C1564">
            <v>203</v>
          </cell>
          <cell r="D1564">
            <v>4</v>
          </cell>
          <cell r="E1564" t="str">
            <v>Compensation of employees</v>
          </cell>
          <cell r="F1564">
            <v>12</v>
          </cell>
          <cell r="G1564">
            <v>1990</v>
          </cell>
          <cell r="H1564">
            <v>100</v>
          </cell>
          <cell r="I1564">
            <v>218202842500</v>
          </cell>
        </row>
        <row r="1565">
          <cell r="A1565" t="str">
            <v>Mexico</v>
          </cell>
          <cell r="B1565">
            <v>484</v>
          </cell>
          <cell r="C1565">
            <v>203</v>
          </cell>
          <cell r="D1565">
            <v>4</v>
          </cell>
          <cell r="E1565" t="str">
            <v>Compensation of employees</v>
          </cell>
          <cell r="F1565">
            <v>12</v>
          </cell>
          <cell r="G1565">
            <v>1991</v>
          </cell>
          <cell r="H1565">
            <v>100</v>
          </cell>
          <cell r="I1565">
            <v>293063775200</v>
          </cell>
        </row>
        <row r="1566">
          <cell r="A1566" t="str">
            <v>Mexico</v>
          </cell>
          <cell r="B1566">
            <v>484</v>
          </cell>
          <cell r="C1566">
            <v>203</v>
          </cell>
          <cell r="D1566">
            <v>4</v>
          </cell>
          <cell r="E1566" t="str">
            <v>Compensation of employees</v>
          </cell>
          <cell r="F1566">
            <v>12</v>
          </cell>
          <cell r="G1566">
            <v>1992</v>
          </cell>
          <cell r="H1566">
            <v>100</v>
          </cell>
          <cell r="I1566">
            <v>370021252500</v>
          </cell>
        </row>
        <row r="1567">
          <cell r="A1567" t="str">
            <v>Mexico</v>
          </cell>
          <cell r="B1567">
            <v>484</v>
          </cell>
          <cell r="C1567">
            <v>203</v>
          </cell>
          <cell r="D1567">
            <v>4</v>
          </cell>
          <cell r="E1567" t="str">
            <v>Compensation of employees</v>
          </cell>
          <cell r="F1567">
            <v>12</v>
          </cell>
          <cell r="G1567">
            <v>1993</v>
          </cell>
          <cell r="H1567">
            <v>100</v>
          </cell>
          <cell r="I1567">
            <v>436482998000</v>
          </cell>
        </row>
        <row r="1568">
          <cell r="A1568" t="str">
            <v>Mexico</v>
          </cell>
          <cell r="B1568">
            <v>484</v>
          </cell>
          <cell r="C1568">
            <v>203</v>
          </cell>
          <cell r="D1568">
            <v>4</v>
          </cell>
          <cell r="E1568" t="str">
            <v>Compensation of employees</v>
          </cell>
          <cell r="F1568">
            <v>12</v>
          </cell>
          <cell r="G1568">
            <v>1994</v>
          </cell>
          <cell r="H1568">
            <v>100</v>
          </cell>
          <cell r="I1568">
            <v>501897398800</v>
          </cell>
        </row>
        <row r="1569">
          <cell r="A1569" t="str">
            <v>Mexico</v>
          </cell>
          <cell r="B1569">
            <v>484</v>
          </cell>
          <cell r="C1569">
            <v>203</v>
          </cell>
          <cell r="D1569">
            <v>4</v>
          </cell>
          <cell r="E1569" t="str">
            <v>Compensation of employees</v>
          </cell>
          <cell r="F1569">
            <v>12</v>
          </cell>
          <cell r="G1569">
            <v>1995</v>
          </cell>
          <cell r="H1569">
            <v>100</v>
          </cell>
          <cell r="I1569">
            <v>570935765700</v>
          </cell>
        </row>
        <row r="1570">
          <cell r="A1570" t="str">
            <v>Mexico</v>
          </cell>
          <cell r="B1570">
            <v>484</v>
          </cell>
          <cell r="C1570">
            <v>203</v>
          </cell>
          <cell r="D1570">
            <v>4</v>
          </cell>
          <cell r="E1570" t="str">
            <v>Compensation of employees</v>
          </cell>
          <cell r="F1570">
            <v>12</v>
          </cell>
          <cell r="G1570">
            <v>1996</v>
          </cell>
          <cell r="H1570">
            <v>100</v>
          </cell>
          <cell r="I1570">
            <v>728909391100</v>
          </cell>
        </row>
        <row r="1571">
          <cell r="A1571" t="str">
            <v>Mexico</v>
          </cell>
          <cell r="B1571">
            <v>484</v>
          </cell>
          <cell r="C1571">
            <v>203</v>
          </cell>
          <cell r="D1571">
            <v>4</v>
          </cell>
          <cell r="E1571" t="str">
            <v>Compensation of employees</v>
          </cell>
          <cell r="F1571">
            <v>12</v>
          </cell>
          <cell r="G1571">
            <v>1997</v>
          </cell>
          <cell r="H1571">
            <v>100</v>
          </cell>
          <cell r="I1571">
            <v>940472698800</v>
          </cell>
        </row>
        <row r="1572">
          <cell r="A1572" t="str">
            <v>Mexico</v>
          </cell>
          <cell r="B1572">
            <v>484</v>
          </cell>
          <cell r="C1572">
            <v>203</v>
          </cell>
          <cell r="D1572">
            <v>4</v>
          </cell>
          <cell r="E1572" t="str">
            <v>Compensation of employees</v>
          </cell>
          <cell r="F1572">
            <v>12</v>
          </cell>
          <cell r="G1572">
            <v>1998</v>
          </cell>
          <cell r="H1572">
            <v>100</v>
          </cell>
          <cell r="I1572">
            <v>1176936012000</v>
          </cell>
        </row>
        <row r="1573">
          <cell r="A1573" t="str">
            <v>Mexico</v>
          </cell>
          <cell r="B1573">
            <v>484</v>
          </cell>
          <cell r="C1573">
            <v>203</v>
          </cell>
          <cell r="D1573">
            <v>4</v>
          </cell>
          <cell r="E1573" t="str">
            <v>Compensation of employees</v>
          </cell>
          <cell r="F1573">
            <v>12</v>
          </cell>
          <cell r="G1573">
            <v>1999</v>
          </cell>
          <cell r="H1573">
            <v>100</v>
          </cell>
          <cell r="I1573">
            <v>1434758789000</v>
          </cell>
        </row>
        <row r="1574">
          <cell r="A1574" t="str">
            <v>Mexico</v>
          </cell>
          <cell r="B1574">
            <v>484</v>
          </cell>
          <cell r="C1574">
            <v>203</v>
          </cell>
          <cell r="D1574">
            <v>4</v>
          </cell>
          <cell r="E1574" t="str">
            <v>Compensation of employees</v>
          </cell>
          <cell r="F1574">
            <v>12</v>
          </cell>
          <cell r="G1574">
            <v>2000</v>
          </cell>
          <cell r="H1574">
            <v>100</v>
          </cell>
          <cell r="I1574">
            <v>1719559891000</v>
          </cell>
        </row>
        <row r="1575">
          <cell r="A1575" t="str">
            <v>Mexico</v>
          </cell>
          <cell r="B1575">
            <v>484</v>
          </cell>
          <cell r="C1575">
            <v>203</v>
          </cell>
          <cell r="D1575">
            <v>4</v>
          </cell>
          <cell r="E1575" t="str">
            <v>Compensation of employees</v>
          </cell>
          <cell r="F1575">
            <v>12</v>
          </cell>
          <cell r="G1575">
            <v>2001</v>
          </cell>
          <cell r="H1575">
            <v>100</v>
          </cell>
          <cell r="I1575">
            <v>1890992546000</v>
          </cell>
        </row>
        <row r="1576">
          <cell r="A1576" t="str">
            <v>Mexico</v>
          </cell>
          <cell r="B1576">
            <v>484</v>
          </cell>
          <cell r="C1576">
            <v>203</v>
          </cell>
          <cell r="D1576">
            <v>4</v>
          </cell>
          <cell r="E1576" t="str">
            <v>Compensation of employees</v>
          </cell>
          <cell r="F1576">
            <v>12</v>
          </cell>
          <cell r="G1576">
            <v>2002</v>
          </cell>
          <cell r="H1576">
            <v>100</v>
          </cell>
          <cell r="I1576">
            <v>2038915686000</v>
          </cell>
        </row>
        <row r="1577">
          <cell r="A1577" t="str">
            <v>Mexico</v>
          </cell>
          <cell r="B1577">
            <v>484</v>
          </cell>
          <cell r="C1577">
            <v>203</v>
          </cell>
          <cell r="D1577">
            <v>11</v>
          </cell>
          <cell r="E1577" t="str">
            <v>OPERATING SURPLUS, GROSS</v>
          </cell>
          <cell r="F1577">
            <v>12</v>
          </cell>
          <cell r="G1577">
            <v>1988</v>
          </cell>
          <cell r="H1577">
            <v>100</v>
          </cell>
          <cell r="I1577">
            <v>262842419000</v>
          </cell>
        </row>
        <row r="1578">
          <cell r="A1578" t="str">
            <v>Mexico</v>
          </cell>
          <cell r="B1578">
            <v>484</v>
          </cell>
          <cell r="C1578">
            <v>203</v>
          </cell>
          <cell r="D1578">
            <v>11</v>
          </cell>
          <cell r="E1578" t="str">
            <v>OPERATING SURPLUS, GROSS</v>
          </cell>
          <cell r="F1578">
            <v>12</v>
          </cell>
          <cell r="G1578">
            <v>1989</v>
          </cell>
          <cell r="H1578">
            <v>100</v>
          </cell>
          <cell r="I1578">
            <v>342416523000</v>
          </cell>
        </row>
        <row r="1579">
          <cell r="A1579" t="str">
            <v>Mexico</v>
          </cell>
          <cell r="B1579">
            <v>484</v>
          </cell>
          <cell r="C1579">
            <v>203</v>
          </cell>
          <cell r="D1579">
            <v>11</v>
          </cell>
          <cell r="E1579" t="str">
            <v>OPERATING SURPLUS, GROSS</v>
          </cell>
          <cell r="F1579">
            <v>12</v>
          </cell>
          <cell r="G1579">
            <v>1990</v>
          </cell>
          <cell r="H1579">
            <v>100</v>
          </cell>
          <cell r="I1579">
            <v>462248148000</v>
          </cell>
        </row>
        <row r="1580">
          <cell r="A1580" t="str">
            <v>Mexico</v>
          </cell>
          <cell r="B1580">
            <v>484</v>
          </cell>
          <cell r="C1580">
            <v>203</v>
          </cell>
          <cell r="D1580">
            <v>11</v>
          </cell>
          <cell r="E1580" t="str">
            <v>OPERATING SURPLUS, GROSS</v>
          </cell>
          <cell r="F1580">
            <v>12</v>
          </cell>
          <cell r="G1580">
            <v>1991</v>
          </cell>
          <cell r="H1580">
            <v>100</v>
          </cell>
          <cell r="I1580">
            <v>581115208000</v>
          </cell>
        </row>
        <row r="1581">
          <cell r="A1581" t="str">
            <v>Mexico</v>
          </cell>
          <cell r="B1581">
            <v>484</v>
          </cell>
          <cell r="C1581">
            <v>203</v>
          </cell>
          <cell r="D1581">
            <v>11</v>
          </cell>
          <cell r="E1581" t="str">
            <v>OPERATING SURPLUS, GROSS</v>
          </cell>
          <cell r="F1581">
            <v>12</v>
          </cell>
          <cell r="G1581">
            <v>1992</v>
          </cell>
          <cell r="H1581">
            <v>100</v>
          </cell>
          <cell r="I1581">
            <v>675439294000</v>
          </cell>
        </row>
        <row r="1582">
          <cell r="A1582" t="str">
            <v>Mexico</v>
          </cell>
          <cell r="B1582">
            <v>484</v>
          </cell>
          <cell r="C1582">
            <v>203</v>
          </cell>
          <cell r="D1582">
            <v>11</v>
          </cell>
          <cell r="E1582" t="str">
            <v>OPERATING SURPLUS, GROSS</v>
          </cell>
          <cell r="F1582">
            <v>12</v>
          </cell>
          <cell r="G1582">
            <v>1993</v>
          </cell>
          <cell r="H1582">
            <v>100</v>
          </cell>
          <cell r="I1582">
            <v>744373809000</v>
          </cell>
        </row>
        <row r="1583">
          <cell r="A1583" t="str">
            <v>Mexico</v>
          </cell>
          <cell r="B1583">
            <v>484</v>
          </cell>
          <cell r="C1583">
            <v>203</v>
          </cell>
          <cell r="D1583">
            <v>11</v>
          </cell>
          <cell r="E1583" t="str">
            <v>OPERATING SURPLUS, GROSS</v>
          </cell>
          <cell r="F1583">
            <v>12</v>
          </cell>
          <cell r="G1583">
            <v>1994</v>
          </cell>
          <cell r="H1583">
            <v>100</v>
          </cell>
          <cell r="I1583">
            <v>839578025000</v>
          </cell>
        </row>
        <row r="1584">
          <cell r="A1584" t="str">
            <v>Mexico</v>
          </cell>
          <cell r="B1584">
            <v>484</v>
          </cell>
          <cell r="C1584">
            <v>203</v>
          </cell>
          <cell r="D1584">
            <v>11</v>
          </cell>
          <cell r="E1584" t="str">
            <v>OPERATING SURPLUS, GROSS</v>
          </cell>
          <cell r="F1584">
            <v>12</v>
          </cell>
          <cell r="G1584">
            <v>1995</v>
          </cell>
          <cell r="H1584">
            <v>100</v>
          </cell>
          <cell r="I1584">
            <v>1190409822000</v>
          </cell>
        </row>
        <row r="1585">
          <cell r="A1585" t="str">
            <v>Mexico</v>
          </cell>
          <cell r="B1585">
            <v>484</v>
          </cell>
          <cell r="C1585">
            <v>203</v>
          </cell>
          <cell r="D1585">
            <v>11</v>
          </cell>
          <cell r="E1585" t="str">
            <v>OPERATING SURPLUS, GROSS</v>
          </cell>
          <cell r="F1585">
            <v>12</v>
          </cell>
          <cell r="G1585">
            <v>1996</v>
          </cell>
          <cell r="H1585">
            <v>100</v>
          </cell>
          <cell r="I1585">
            <v>1614889845000</v>
          </cell>
        </row>
        <row r="1586">
          <cell r="A1586" t="str">
            <v>Mexico</v>
          </cell>
          <cell r="B1586">
            <v>484</v>
          </cell>
          <cell r="C1586">
            <v>203</v>
          </cell>
          <cell r="D1586">
            <v>11</v>
          </cell>
          <cell r="E1586" t="str">
            <v>OPERATING SURPLUS, GROSS</v>
          </cell>
          <cell r="F1586">
            <v>12</v>
          </cell>
          <cell r="G1586">
            <v>1997</v>
          </cell>
          <cell r="H1586">
            <v>100</v>
          </cell>
          <cell r="I1586">
            <v>1962194451000</v>
          </cell>
        </row>
        <row r="1587">
          <cell r="A1587" t="str">
            <v>Mexico</v>
          </cell>
          <cell r="B1587">
            <v>484</v>
          </cell>
          <cell r="C1587">
            <v>203</v>
          </cell>
          <cell r="D1587">
            <v>11</v>
          </cell>
          <cell r="E1587" t="str">
            <v>OPERATING SURPLUS, GROSS</v>
          </cell>
          <cell r="F1587">
            <v>12</v>
          </cell>
          <cell r="G1587">
            <v>1998</v>
          </cell>
          <cell r="H1587">
            <v>100</v>
          </cell>
          <cell r="I1587">
            <v>2360672017000</v>
          </cell>
        </row>
        <row r="1588">
          <cell r="A1588" t="str">
            <v>Mexico</v>
          </cell>
          <cell r="B1588">
            <v>484</v>
          </cell>
          <cell r="C1588">
            <v>203</v>
          </cell>
          <cell r="D1588">
            <v>11</v>
          </cell>
          <cell r="E1588" t="str">
            <v>OPERATING SURPLUS, GROSS</v>
          </cell>
          <cell r="F1588">
            <v>12</v>
          </cell>
          <cell r="G1588">
            <v>1999</v>
          </cell>
          <cell r="H1588">
            <v>100</v>
          </cell>
          <cell r="I1588">
            <v>2807952133000</v>
          </cell>
        </row>
        <row r="1589">
          <cell r="A1589" t="str">
            <v>Mexico</v>
          </cell>
          <cell r="B1589">
            <v>484</v>
          </cell>
          <cell r="C1589">
            <v>203</v>
          </cell>
          <cell r="D1589">
            <v>11</v>
          </cell>
          <cell r="E1589" t="str">
            <v>OPERATING SURPLUS, GROSS</v>
          </cell>
          <cell r="F1589">
            <v>12</v>
          </cell>
          <cell r="G1589">
            <v>2000</v>
          </cell>
          <cell r="H1589">
            <v>100</v>
          </cell>
          <cell r="I1589">
            <v>3298614896000</v>
          </cell>
        </row>
        <row r="1590">
          <cell r="A1590" t="str">
            <v>Mexico</v>
          </cell>
          <cell r="B1590">
            <v>484</v>
          </cell>
          <cell r="C1590">
            <v>203</v>
          </cell>
          <cell r="D1590">
            <v>11</v>
          </cell>
          <cell r="E1590" t="str">
            <v>OPERATING SURPLUS, GROSS</v>
          </cell>
          <cell r="F1590">
            <v>12</v>
          </cell>
          <cell r="G1590">
            <v>2001</v>
          </cell>
          <cell r="H1590">
            <v>100</v>
          </cell>
          <cell r="I1590">
            <v>3440338719000</v>
          </cell>
        </row>
        <row r="1591">
          <cell r="A1591" t="str">
            <v>Mexico</v>
          </cell>
          <cell r="B1591">
            <v>484</v>
          </cell>
          <cell r="C1591">
            <v>203</v>
          </cell>
          <cell r="D1591">
            <v>11</v>
          </cell>
          <cell r="E1591" t="str">
            <v>OPERATING SURPLUS, GROSS</v>
          </cell>
          <cell r="F1591">
            <v>12</v>
          </cell>
          <cell r="G1591">
            <v>2002</v>
          </cell>
          <cell r="H1591">
            <v>100</v>
          </cell>
          <cell r="I1591">
            <v>3739278879000</v>
          </cell>
        </row>
        <row r="1592">
          <cell r="A1592" t="str">
            <v>Mexico</v>
          </cell>
          <cell r="B1592">
            <v>484</v>
          </cell>
          <cell r="C1592">
            <v>203</v>
          </cell>
          <cell r="D1592">
            <v>22</v>
          </cell>
          <cell r="E1592" t="str">
            <v>Taxes on production and imports, less Subsidies</v>
          </cell>
          <cell r="F1592">
            <v>12</v>
          </cell>
          <cell r="G1592">
            <v>1988</v>
          </cell>
          <cell r="H1592">
            <v>100</v>
          </cell>
          <cell r="I1592">
            <v>1529018127</v>
          </cell>
        </row>
        <row r="1593">
          <cell r="A1593" t="str">
            <v>Mexico</v>
          </cell>
          <cell r="B1593">
            <v>484</v>
          </cell>
          <cell r="C1593">
            <v>203</v>
          </cell>
          <cell r="D1593">
            <v>22</v>
          </cell>
          <cell r="E1593" t="str">
            <v>Taxes on production and imports, less Subsidies</v>
          </cell>
          <cell r="F1593">
            <v>12</v>
          </cell>
          <cell r="G1593">
            <v>1989</v>
          </cell>
          <cell r="H1593">
            <v>100</v>
          </cell>
          <cell r="I1593">
            <v>2033327271</v>
          </cell>
        </row>
        <row r="1594">
          <cell r="A1594" t="str">
            <v>Mexico</v>
          </cell>
          <cell r="B1594">
            <v>484</v>
          </cell>
          <cell r="C1594">
            <v>203</v>
          </cell>
          <cell r="D1594">
            <v>22</v>
          </cell>
          <cell r="E1594" t="str">
            <v>Taxes on production and imports, less Subsidies</v>
          </cell>
          <cell r="F1594">
            <v>12</v>
          </cell>
          <cell r="G1594">
            <v>1990</v>
          </cell>
          <cell r="H1594">
            <v>100</v>
          </cell>
          <cell r="I1594">
            <v>3366357010</v>
          </cell>
        </row>
        <row r="1595">
          <cell r="A1595" t="str">
            <v>Mexico</v>
          </cell>
          <cell r="B1595">
            <v>484</v>
          </cell>
          <cell r="C1595">
            <v>203</v>
          </cell>
          <cell r="D1595">
            <v>22</v>
          </cell>
          <cell r="E1595" t="str">
            <v>Taxes on production and imports, less Subsidies</v>
          </cell>
          <cell r="F1595">
            <v>12</v>
          </cell>
          <cell r="G1595">
            <v>1991</v>
          </cell>
          <cell r="H1595">
            <v>100</v>
          </cell>
          <cell r="I1595">
            <v>5228318690</v>
          </cell>
        </row>
        <row r="1596">
          <cell r="A1596" t="str">
            <v>Mexico</v>
          </cell>
          <cell r="B1596">
            <v>484</v>
          </cell>
          <cell r="C1596">
            <v>203</v>
          </cell>
          <cell r="D1596">
            <v>22</v>
          </cell>
          <cell r="E1596" t="str">
            <v>Taxes on production and imports, less Subsidies</v>
          </cell>
          <cell r="F1596">
            <v>12</v>
          </cell>
          <cell r="G1596">
            <v>1992</v>
          </cell>
          <cell r="H1596">
            <v>100</v>
          </cell>
          <cell r="I1596">
            <v>7139699703</v>
          </cell>
        </row>
        <row r="1597">
          <cell r="A1597" t="str">
            <v>Mexico</v>
          </cell>
          <cell r="B1597">
            <v>484</v>
          </cell>
          <cell r="C1597">
            <v>203</v>
          </cell>
          <cell r="D1597">
            <v>22</v>
          </cell>
          <cell r="E1597" t="str">
            <v>Taxes on production and imports, less Subsidies</v>
          </cell>
          <cell r="F1597">
            <v>12</v>
          </cell>
          <cell r="G1597">
            <v>1993</v>
          </cell>
          <cell r="H1597">
            <v>100</v>
          </cell>
          <cell r="I1597">
            <v>7982080000</v>
          </cell>
        </row>
        <row r="1598">
          <cell r="A1598" t="str">
            <v>Mexico</v>
          </cell>
          <cell r="B1598">
            <v>484</v>
          </cell>
          <cell r="C1598">
            <v>203</v>
          </cell>
          <cell r="D1598">
            <v>22</v>
          </cell>
          <cell r="E1598" t="str">
            <v>Taxes on production and imports, less Subsidies</v>
          </cell>
          <cell r="F1598">
            <v>12</v>
          </cell>
          <cell r="G1598">
            <v>1994</v>
          </cell>
          <cell r="H1598">
            <v>100</v>
          </cell>
          <cell r="I1598">
            <v>7302723500</v>
          </cell>
        </row>
        <row r="1599">
          <cell r="A1599" t="str">
            <v>Mexico</v>
          </cell>
          <cell r="B1599">
            <v>484</v>
          </cell>
          <cell r="C1599">
            <v>203</v>
          </cell>
          <cell r="D1599">
            <v>22</v>
          </cell>
          <cell r="E1599" t="str">
            <v>Taxes on production and imports, less Subsidies</v>
          </cell>
          <cell r="F1599">
            <v>12</v>
          </cell>
          <cell r="G1599">
            <v>1995</v>
          </cell>
          <cell r="H1599">
            <v>100</v>
          </cell>
          <cell r="I1599">
            <v>7703461909</v>
          </cell>
        </row>
        <row r="1600">
          <cell r="A1600" t="str">
            <v>Mexico</v>
          </cell>
          <cell r="B1600">
            <v>484</v>
          </cell>
          <cell r="C1600">
            <v>203</v>
          </cell>
          <cell r="D1600">
            <v>22</v>
          </cell>
          <cell r="E1600" t="str">
            <v>Taxes on production and imports, less Subsidies</v>
          </cell>
          <cell r="F1600">
            <v>12</v>
          </cell>
          <cell r="G1600">
            <v>1996</v>
          </cell>
          <cell r="H1600">
            <v>100</v>
          </cell>
          <cell r="I1600">
            <v>9689701000</v>
          </cell>
        </row>
        <row r="1601">
          <cell r="A1601" t="str">
            <v>Mexico</v>
          </cell>
          <cell r="B1601">
            <v>484</v>
          </cell>
          <cell r="C1601">
            <v>203</v>
          </cell>
          <cell r="D1601">
            <v>22</v>
          </cell>
          <cell r="E1601" t="str">
            <v>Taxes on production and imports, less Subsidies</v>
          </cell>
          <cell r="F1601">
            <v>12</v>
          </cell>
          <cell r="G1601">
            <v>1997</v>
          </cell>
          <cell r="H1601">
            <v>100</v>
          </cell>
          <cell r="I1601">
            <v>12933753000</v>
          </cell>
        </row>
        <row r="1602">
          <cell r="A1602" t="str">
            <v>Mexico</v>
          </cell>
          <cell r="B1602">
            <v>484</v>
          </cell>
          <cell r="C1602">
            <v>203</v>
          </cell>
          <cell r="D1602">
            <v>22</v>
          </cell>
          <cell r="E1602" t="str">
            <v>Taxes on production and imports, less Subsidies</v>
          </cell>
          <cell r="F1602">
            <v>12</v>
          </cell>
          <cell r="G1602">
            <v>1998</v>
          </cell>
          <cell r="H1602">
            <v>100</v>
          </cell>
          <cell r="I1602">
            <v>15540535690</v>
          </cell>
        </row>
        <row r="1603">
          <cell r="A1603" t="str">
            <v>Mexico</v>
          </cell>
          <cell r="B1603">
            <v>484</v>
          </cell>
          <cell r="C1603">
            <v>203</v>
          </cell>
          <cell r="D1603">
            <v>22</v>
          </cell>
          <cell r="E1603" t="str">
            <v>Taxes on production and imports, less Subsidies</v>
          </cell>
          <cell r="F1603">
            <v>12</v>
          </cell>
          <cell r="G1603">
            <v>1999</v>
          </cell>
          <cell r="H1603">
            <v>100</v>
          </cell>
          <cell r="I1603">
            <v>20003441000</v>
          </cell>
        </row>
        <row r="1604">
          <cell r="A1604" t="str">
            <v>Mexico</v>
          </cell>
          <cell r="B1604">
            <v>484</v>
          </cell>
          <cell r="C1604">
            <v>203</v>
          </cell>
          <cell r="D1604">
            <v>22</v>
          </cell>
          <cell r="E1604" t="str">
            <v>Taxes on production and imports, less Subsidies</v>
          </cell>
          <cell r="F1604">
            <v>12</v>
          </cell>
          <cell r="G1604">
            <v>2000</v>
          </cell>
          <cell r="H1604">
            <v>100</v>
          </cell>
          <cell r="I1604">
            <v>25476317000</v>
          </cell>
        </row>
        <row r="1605">
          <cell r="A1605" t="str">
            <v>Mexico</v>
          </cell>
          <cell r="B1605">
            <v>484</v>
          </cell>
          <cell r="C1605">
            <v>203</v>
          </cell>
          <cell r="D1605">
            <v>22</v>
          </cell>
          <cell r="E1605" t="str">
            <v>Taxes on production and imports, less Subsidies</v>
          </cell>
          <cell r="F1605">
            <v>12</v>
          </cell>
          <cell r="G1605">
            <v>2001</v>
          </cell>
          <cell r="H1605">
            <v>100</v>
          </cell>
          <cell r="I1605">
            <v>30752049000</v>
          </cell>
        </row>
        <row r="1606">
          <cell r="A1606" t="str">
            <v>Mexico</v>
          </cell>
          <cell r="B1606">
            <v>484</v>
          </cell>
          <cell r="C1606">
            <v>203</v>
          </cell>
          <cell r="D1606">
            <v>22</v>
          </cell>
          <cell r="E1606" t="str">
            <v>Taxes on production and imports, less Subsidies</v>
          </cell>
          <cell r="F1606">
            <v>12</v>
          </cell>
          <cell r="G1606">
            <v>2002</v>
          </cell>
          <cell r="H1606">
            <v>100</v>
          </cell>
          <cell r="I1606">
            <v>34525197000</v>
          </cell>
        </row>
        <row r="1607">
          <cell r="A1607" t="str">
            <v>Republic of Moldova</v>
          </cell>
          <cell r="B1607">
            <v>498</v>
          </cell>
          <cell r="C1607">
            <v>201</v>
          </cell>
          <cell r="D1607">
            <v>13</v>
          </cell>
          <cell r="E1607" t="str">
            <v>Less: Financial intermediation services indirectly measured (FISIM) (only to be deducted if FISIM is not distributed to uses)</v>
          </cell>
          <cell r="F1607">
            <v>0</v>
          </cell>
          <cell r="G1607">
            <v>1990</v>
          </cell>
          <cell r="H1607">
            <v>100</v>
          </cell>
          <cell r="I1607">
            <v>26000000</v>
          </cell>
        </row>
        <row r="1608">
          <cell r="A1608" t="str">
            <v>Republic of Moldova</v>
          </cell>
          <cell r="B1608">
            <v>498</v>
          </cell>
          <cell r="C1608">
            <v>201</v>
          </cell>
          <cell r="D1608">
            <v>13</v>
          </cell>
          <cell r="E1608" t="str">
            <v>Less: Financial intermediation services indirectly measured (FISIM) (only to be deducted if FISIM is not distributed to uses)</v>
          </cell>
          <cell r="F1608">
            <v>0</v>
          </cell>
          <cell r="G1608">
            <v>1991</v>
          </cell>
          <cell r="H1608">
            <v>100</v>
          </cell>
          <cell r="I1608">
            <v>670000000</v>
          </cell>
        </row>
        <row r="1609">
          <cell r="A1609" t="str">
            <v>Republic of Moldova</v>
          </cell>
          <cell r="B1609">
            <v>498</v>
          </cell>
          <cell r="C1609">
            <v>201</v>
          </cell>
          <cell r="D1609">
            <v>13</v>
          </cell>
          <cell r="E1609" t="str">
            <v>Less: Financial intermediation services indirectly measured (FISIM) (only to be deducted if FISIM is not distributed to uses)</v>
          </cell>
          <cell r="F1609">
            <v>0</v>
          </cell>
          <cell r="G1609">
            <v>1992</v>
          </cell>
          <cell r="H1609">
            <v>100</v>
          </cell>
          <cell r="I1609">
            <v>4721000000</v>
          </cell>
        </row>
        <row r="1610">
          <cell r="A1610" t="str">
            <v>Republic of Moldova</v>
          </cell>
          <cell r="B1610">
            <v>498</v>
          </cell>
          <cell r="C1610">
            <v>201</v>
          </cell>
          <cell r="D1610">
            <v>13</v>
          </cell>
          <cell r="E1610" t="str">
            <v>Less: Financial intermediation services indirectly measured (FISIM) (only to be deducted if FISIM is not distributed to uses)</v>
          </cell>
          <cell r="F1610">
            <v>0</v>
          </cell>
          <cell r="G1610">
            <v>1993</v>
          </cell>
          <cell r="H1610">
            <v>200</v>
          </cell>
          <cell r="I1610">
            <v>74800000</v>
          </cell>
        </row>
        <row r="1611">
          <cell r="A1611" t="str">
            <v>Republic of Moldova</v>
          </cell>
          <cell r="B1611">
            <v>498</v>
          </cell>
          <cell r="C1611">
            <v>201</v>
          </cell>
          <cell r="D1611">
            <v>13</v>
          </cell>
          <cell r="E1611" t="str">
            <v>Less: Financial intermediation services indirectly measured (FISIM) (only to be deducted if FISIM is not distributed to uses)</v>
          </cell>
          <cell r="F1611">
            <v>0</v>
          </cell>
          <cell r="G1611">
            <v>1994</v>
          </cell>
          <cell r="H1611">
            <v>200</v>
          </cell>
          <cell r="I1611">
            <v>182800000</v>
          </cell>
        </row>
        <row r="1612">
          <cell r="A1612" t="str">
            <v>Republic of Moldova</v>
          </cell>
          <cell r="B1612">
            <v>498</v>
          </cell>
          <cell r="C1612">
            <v>201</v>
          </cell>
          <cell r="D1612">
            <v>13</v>
          </cell>
          <cell r="E1612" t="str">
            <v>Less: Financial intermediation services indirectly measured (FISIM) (only to be deducted if FISIM is not distributed to uses)</v>
          </cell>
          <cell r="F1612">
            <v>0</v>
          </cell>
          <cell r="G1612">
            <v>1995</v>
          </cell>
          <cell r="H1612">
            <v>200</v>
          </cell>
          <cell r="I1612">
            <v>143600000</v>
          </cell>
        </row>
        <row r="1613">
          <cell r="A1613" t="str">
            <v>Republic of Moldova</v>
          </cell>
          <cell r="B1613">
            <v>498</v>
          </cell>
          <cell r="C1613">
            <v>201</v>
          </cell>
          <cell r="D1613">
            <v>13</v>
          </cell>
          <cell r="E1613" t="str">
            <v>Less: Financial intermediation services indirectly measured (FISIM) (only to be deducted if FISIM is not distributed to uses)</v>
          </cell>
          <cell r="F1613">
            <v>0</v>
          </cell>
          <cell r="G1613">
            <v>1996</v>
          </cell>
          <cell r="H1613">
            <v>200</v>
          </cell>
          <cell r="I1613">
            <v>369400000</v>
          </cell>
        </row>
        <row r="1614">
          <cell r="A1614" t="str">
            <v>Republic of Moldova</v>
          </cell>
          <cell r="B1614">
            <v>498</v>
          </cell>
          <cell r="C1614">
            <v>201</v>
          </cell>
          <cell r="D1614">
            <v>13</v>
          </cell>
          <cell r="E1614" t="str">
            <v>Less: Financial intermediation services indirectly measured (FISIM) (only to be deducted if FISIM is not distributed to uses)</v>
          </cell>
          <cell r="F1614">
            <v>0</v>
          </cell>
          <cell r="G1614">
            <v>1997</v>
          </cell>
          <cell r="H1614">
            <v>200</v>
          </cell>
          <cell r="I1614">
            <v>336000000</v>
          </cell>
        </row>
        <row r="1615">
          <cell r="A1615" t="str">
            <v>Republic of Moldova</v>
          </cell>
          <cell r="B1615">
            <v>498</v>
          </cell>
          <cell r="C1615">
            <v>201</v>
          </cell>
          <cell r="D1615">
            <v>13</v>
          </cell>
          <cell r="E1615" t="str">
            <v>Less: Financial intermediation services indirectly measured (FISIM) (only to be deducted if FISIM is not distributed to uses)</v>
          </cell>
          <cell r="F1615">
            <v>0</v>
          </cell>
          <cell r="G1615">
            <v>1998</v>
          </cell>
          <cell r="H1615">
            <v>200</v>
          </cell>
          <cell r="I1615">
            <v>435700000</v>
          </cell>
        </row>
        <row r="1616">
          <cell r="A1616" t="str">
            <v>Republic of Moldova</v>
          </cell>
          <cell r="B1616">
            <v>498</v>
          </cell>
          <cell r="C1616">
            <v>201</v>
          </cell>
          <cell r="D1616">
            <v>13</v>
          </cell>
          <cell r="E1616" t="str">
            <v>Less: Financial intermediation services indirectly measured (FISIM) (only to be deducted if FISIM is not distributed to uses)</v>
          </cell>
          <cell r="F1616">
            <v>0</v>
          </cell>
          <cell r="G1616">
            <v>1999</v>
          </cell>
          <cell r="H1616">
            <v>200</v>
          </cell>
          <cell r="I1616">
            <v>693100000</v>
          </cell>
        </row>
        <row r="1617">
          <cell r="A1617" t="str">
            <v>Republic of Moldova</v>
          </cell>
          <cell r="B1617">
            <v>498</v>
          </cell>
          <cell r="C1617">
            <v>201</v>
          </cell>
          <cell r="D1617">
            <v>13</v>
          </cell>
          <cell r="E1617" t="str">
            <v>Less: Financial intermediation services indirectly measured (FISIM) (only to be deducted if FISIM is not distributed to uses)</v>
          </cell>
          <cell r="F1617">
            <v>0</v>
          </cell>
          <cell r="G1617">
            <v>2000</v>
          </cell>
          <cell r="H1617">
            <v>200</v>
          </cell>
          <cell r="I1617">
            <v>379500000</v>
          </cell>
        </row>
        <row r="1618">
          <cell r="A1618" t="str">
            <v>Republic of Moldova</v>
          </cell>
          <cell r="B1618">
            <v>498</v>
          </cell>
          <cell r="C1618">
            <v>201</v>
          </cell>
          <cell r="D1618">
            <v>13</v>
          </cell>
          <cell r="E1618" t="str">
            <v>Less: Financial intermediation services indirectly measured (FISIM) (only to be deducted if FISIM is not distributed to uses)</v>
          </cell>
          <cell r="F1618">
            <v>0</v>
          </cell>
          <cell r="G1618">
            <v>2001</v>
          </cell>
          <cell r="H1618">
            <v>200</v>
          </cell>
          <cell r="I1618">
            <v>432900000</v>
          </cell>
        </row>
        <row r="1619">
          <cell r="A1619" t="str">
            <v>Republic of Moldova</v>
          </cell>
          <cell r="B1619">
            <v>498</v>
          </cell>
          <cell r="C1619">
            <v>201</v>
          </cell>
          <cell r="D1619">
            <v>13</v>
          </cell>
          <cell r="E1619" t="str">
            <v>Less: Financial intermediation services indirectly measured (FISIM) (only to be deducted if FISIM is not distributed to uses)</v>
          </cell>
          <cell r="F1619">
            <v>0</v>
          </cell>
          <cell r="G1619">
            <v>2002</v>
          </cell>
          <cell r="H1619">
            <v>200</v>
          </cell>
          <cell r="I1619">
            <v>462700000</v>
          </cell>
        </row>
        <row r="1620">
          <cell r="A1620" t="str">
            <v>Republic of Moldova</v>
          </cell>
          <cell r="B1620">
            <v>498</v>
          </cell>
          <cell r="C1620">
            <v>201</v>
          </cell>
          <cell r="D1620">
            <v>13</v>
          </cell>
          <cell r="E1620" t="str">
            <v>Less: Financial intermediation services indirectly measured (FISIM) (only to be deducted if FISIM is not distributed to uses)</v>
          </cell>
          <cell r="F1620">
            <v>0</v>
          </cell>
          <cell r="G1620">
            <v>2003</v>
          </cell>
          <cell r="H1620">
            <v>200</v>
          </cell>
          <cell r="I1620">
            <v>647000000</v>
          </cell>
        </row>
        <row r="1621">
          <cell r="A1621" t="str">
            <v>Republic of Moldova</v>
          </cell>
          <cell r="B1621">
            <v>498</v>
          </cell>
          <cell r="C1621">
            <v>201</v>
          </cell>
          <cell r="D1621">
            <v>13</v>
          </cell>
          <cell r="E1621" t="str">
            <v>Less: Financial intermediation services indirectly measured (FISIM) (only to be deducted if FISIM is not distributed to uses)</v>
          </cell>
          <cell r="F1621">
            <v>0</v>
          </cell>
          <cell r="G1621">
            <v>2004</v>
          </cell>
          <cell r="H1621">
            <v>200</v>
          </cell>
          <cell r="I1621">
            <v>718400000</v>
          </cell>
        </row>
        <row r="1622">
          <cell r="A1622" t="str">
            <v>Republic of Moldova</v>
          </cell>
          <cell r="B1622">
            <v>498</v>
          </cell>
          <cell r="C1622">
            <v>203</v>
          </cell>
          <cell r="D1622">
            <v>3</v>
          </cell>
          <cell r="E1622" t="str">
            <v>Equals: VALUE ADDED, GROSS, at basic prices</v>
          </cell>
          <cell r="F1622">
            <v>12</v>
          </cell>
          <cell r="G1622">
            <v>1989</v>
          </cell>
          <cell r="H1622">
            <v>100</v>
          </cell>
          <cell r="I1622">
            <v>10414000000</v>
          </cell>
        </row>
        <row r="1623">
          <cell r="A1623" t="str">
            <v>Republic of Moldova</v>
          </cell>
          <cell r="B1623">
            <v>498</v>
          </cell>
          <cell r="C1623">
            <v>203</v>
          </cell>
          <cell r="D1623">
            <v>3</v>
          </cell>
          <cell r="E1623" t="str">
            <v>Equals: VALUE ADDED, GROSS, at basic prices</v>
          </cell>
          <cell r="F1623">
            <v>12</v>
          </cell>
          <cell r="G1623">
            <v>1990</v>
          </cell>
          <cell r="H1623">
            <v>100</v>
          </cell>
          <cell r="I1623">
            <v>12146000000</v>
          </cell>
        </row>
        <row r="1624">
          <cell r="A1624" t="str">
            <v>Republic of Moldova</v>
          </cell>
          <cell r="B1624">
            <v>498</v>
          </cell>
          <cell r="C1624">
            <v>203</v>
          </cell>
          <cell r="D1624">
            <v>3</v>
          </cell>
          <cell r="E1624" t="str">
            <v>Equals: VALUE ADDED, GROSS, at basic prices</v>
          </cell>
          <cell r="F1624">
            <v>12</v>
          </cell>
          <cell r="G1624">
            <v>1991</v>
          </cell>
          <cell r="H1624">
            <v>100</v>
          </cell>
          <cell r="I1624">
            <v>22754000000</v>
          </cell>
        </row>
        <row r="1625">
          <cell r="A1625" t="str">
            <v>Republic of Moldova</v>
          </cell>
          <cell r="B1625">
            <v>498</v>
          </cell>
          <cell r="C1625">
            <v>203</v>
          </cell>
          <cell r="D1625">
            <v>3</v>
          </cell>
          <cell r="E1625" t="str">
            <v>Equals: VALUE ADDED, GROSS, at basic prices</v>
          </cell>
          <cell r="F1625">
            <v>12</v>
          </cell>
          <cell r="G1625">
            <v>1992</v>
          </cell>
          <cell r="H1625">
            <v>100</v>
          </cell>
          <cell r="I1625">
            <v>172930000000</v>
          </cell>
        </row>
        <row r="1626">
          <cell r="A1626" t="str">
            <v>Republic of Moldova</v>
          </cell>
          <cell r="B1626">
            <v>498</v>
          </cell>
          <cell r="C1626">
            <v>203</v>
          </cell>
          <cell r="D1626">
            <v>3</v>
          </cell>
          <cell r="E1626" t="str">
            <v>Equals: VALUE ADDED, GROSS, at basic prices</v>
          </cell>
          <cell r="F1626">
            <v>12</v>
          </cell>
          <cell r="G1626">
            <v>1993</v>
          </cell>
          <cell r="H1626">
            <v>200</v>
          </cell>
          <cell r="I1626">
            <v>1803498000</v>
          </cell>
        </row>
        <row r="1627">
          <cell r="A1627" t="str">
            <v>Republic of Moldova</v>
          </cell>
          <cell r="B1627">
            <v>498</v>
          </cell>
          <cell r="C1627">
            <v>203</v>
          </cell>
          <cell r="D1627">
            <v>3</v>
          </cell>
          <cell r="E1627" t="str">
            <v>Equals: VALUE ADDED, GROSS, at basic prices</v>
          </cell>
          <cell r="F1627">
            <v>12</v>
          </cell>
          <cell r="G1627">
            <v>1994</v>
          </cell>
          <cell r="H1627">
            <v>200</v>
          </cell>
          <cell r="I1627">
            <v>4425236000</v>
          </cell>
        </row>
        <row r="1628">
          <cell r="A1628" t="str">
            <v>Republic of Moldova</v>
          </cell>
          <cell r="B1628">
            <v>498</v>
          </cell>
          <cell r="C1628">
            <v>203</v>
          </cell>
          <cell r="D1628">
            <v>3</v>
          </cell>
          <cell r="E1628" t="str">
            <v>Equals: VALUE ADDED, GROSS, at basic prices</v>
          </cell>
          <cell r="F1628">
            <v>12</v>
          </cell>
          <cell r="G1628">
            <v>1995</v>
          </cell>
          <cell r="H1628">
            <v>200</v>
          </cell>
          <cell r="I1628">
            <v>5744092000</v>
          </cell>
        </row>
        <row r="1629">
          <cell r="A1629" t="str">
            <v>Republic of Moldova</v>
          </cell>
          <cell r="B1629">
            <v>498</v>
          </cell>
          <cell r="C1629">
            <v>203</v>
          </cell>
          <cell r="D1629">
            <v>3</v>
          </cell>
          <cell r="E1629" t="str">
            <v>Equals: VALUE ADDED, GROSS, at basic prices</v>
          </cell>
          <cell r="F1629">
            <v>12</v>
          </cell>
          <cell r="G1629">
            <v>1996</v>
          </cell>
          <cell r="H1629">
            <v>200</v>
          </cell>
          <cell r="I1629">
            <v>6825932000</v>
          </cell>
        </row>
        <row r="1630">
          <cell r="A1630" t="str">
            <v>Republic of Moldova</v>
          </cell>
          <cell r="B1630">
            <v>498</v>
          </cell>
          <cell r="C1630">
            <v>203</v>
          </cell>
          <cell r="D1630">
            <v>3</v>
          </cell>
          <cell r="E1630" t="str">
            <v>Equals: VALUE ADDED, GROSS, at basic prices</v>
          </cell>
          <cell r="F1630">
            <v>12</v>
          </cell>
          <cell r="G1630">
            <v>1997</v>
          </cell>
          <cell r="H1630">
            <v>200</v>
          </cell>
          <cell r="I1630">
            <v>7664740000</v>
          </cell>
        </row>
        <row r="1631">
          <cell r="A1631" t="str">
            <v>Republic of Moldova</v>
          </cell>
          <cell r="B1631">
            <v>498</v>
          </cell>
          <cell r="C1631">
            <v>203</v>
          </cell>
          <cell r="D1631">
            <v>3</v>
          </cell>
          <cell r="E1631" t="str">
            <v>Equals: VALUE ADDED, GROSS, at basic prices</v>
          </cell>
          <cell r="F1631">
            <v>12</v>
          </cell>
          <cell r="G1631">
            <v>1998</v>
          </cell>
          <cell r="H1631">
            <v>200</v>
          </cell>
          <cell r="I1631">
            <v>7718699000</v>
          </cell>
        </row>
        <row r="1632">
          <cell r="A1632" t="str">
            <v>Republic of Moldova</v>
          </cell>
          <cell r="B1632">
            <v>498</v>
          </cell>
          <cell r="C1632">
            <v>203</v>
          </cell>
          <cell r="D1632">
            <v>3</v>
          </cell>
          <cell r="E1632" t="str">
            <v>Equals: VALUE ADDED, GROSS, at basic prices</v>
          </cell>
          <cell r="F1632">
            <v>12</v>
          </cell>
          <cell r="G1632">
            <v>1999</v>
          </cell>
          <cell r="H1632">
            <v>200</v>
          </cell>
          <cell r="I1632">
            <v>10998577000</v>
          </cell>
        </row>
        <row r="1633">
          <cell r="A1633" t="str">
            <v>Republic of Moldova</v>
          </cell>
          <cell r="B1633">
            <v>498</v>
          </cell>
          <cell r="C1633">
            <v>203</v>
          </cell>
          <cell r="D1633">
            <v>3</v>
          </cell>
          <cell r="E1633" t="str">
            <v>Equals: VALUE ADDED, GROSS, at basic prices</v>
          </cell>
          <cell r="F1633">
            <v>12</v>
          </cell>
          <cell r="G1633">
            <v>2000</v>
          </cell>
          <cell r="H1633">
            <v>200</v>
          </cell>
          <cell r="I1633">
            <v>14022058000</v>
          </cell>
        </row>
        <row r="1634">
          <cell r="A1634" t="str">
            <v>Republic of Moldova</v>
          </cell>
          <cell r="B1634">
            <v>498</v>
          </cell>
          <cell r="C1634">
            <v>203</v>
          </cell>
          <cell r="D1634">
            <v>3</v>
          </cell>
          <cell r="E1634" t="str">
            <v>Equals: VALUE ADDED, GROSS, at basic prices</v>
          </cell>
          <cell r="F1634">
            <v>12</v>
          </cell>
          <cell r="G1634">
            <v>2001</v>
          </cell>
          <cell r="H1634">
            <v>200</v>
          </cell>
          <cell r="I1634">
            <v>16773048000</v>
          </cell>
        </row>
        <row r="1635">
          <cell r="A1635" t="str">
            <v>Republic of Moldova</v>
          </cell>
          <cell r="B1635">
            <v>498</v>
          </cell>
          <cell r="C1635">
            <v>203</v>
          </cell>
          <cell r="D1635">
            <v>3</v>
          </cell>
          <cell r="E1635" t="str">
            <v>Equals: VALUE ADDED, GROSS, at basic prices</v>
          </cell>
          <cell r="F1635">
            <v>12</v>
          </cell>
          <cell r="G1635">
            <v>2002</v>
          </cell>
          <cell r="H1635">
            <v>200</v>
          </cell>
          <cell r="I1635">
            <v>19689291000</v>
          </cell>
        </row>
        <row r="1636">
          <cell r="A1636" t="str">
            <v>Republic of Moldova</v>
          </cell>
          <cell r="B1636">
            <v>498</v>
          </cell>
          <cell r="C1636">
            <v>203</v>
          </cell>
          <cell r="D1636">
            <v>3</v>
          </cell>
          <cell r="E1636" t="str">
            <v>Equals: VALUE ADDED, GROSS, at basic prices</v>
          </cell>
          <cell r="F1636">
            <v>12</v>
          </cell>
          <cell r="G1636">
            <v>2003</v>
          </cell>
          <cell r="H1636">
            <v>200</v>
          </cell>
          <cell r="I1636">
            <v>18145147000</v>
          </cell>
        </row>
        <row r="1637">
          <cell r="A1637" t="str">
            <v>Republic of Moldova</v>
          </cell>
          <cell r="B1637">
            <v>498</v>
          </cell>
          <cell r="C1637">
            <v>203</v>
          </cell>
          <cell r="D1637">
            <v>4</v>
          </cell>
          <cell r="E1637" t="str">
            <v>Compensation of employees</v>
          </cell>
          <cell r="F1637">
            <v>12</v>
          </cell>
          <cell r="G1637">
            <v>1989</v>
          </cell>
          <cell r="H1637">
            <v>100</v>
          </cell>
          <cell r="I1637">
            <v>5196000000</v>
          </cell>
        </row>
        <row r="1638">
          <cell r="A1638" t="str">
            <v>Republic of Moldova</v>
          </cell>
          <cell r="B1638">
            <v>498</v>
          </cell>
          <cell r="C1638">
            <v>203</v>
          </cell>
          <cell r="D1638">
            <v>4</v>
          </cell>
          <cell r="E1638" t="str">
            <v>Compensation of employees</v>
          </cell>
          <cell r="F1638">
            <v>12</v>
          </cell>
          <cell r="G1638">
            <v>1990</v>
          </cell>
          <cell r="H1638">
            <v>100</v>
          </cell>
          <cell r="I1638">
            <v>6460000000</v>
          </cell>
        </row>
        <row r="1639">
          <cell r="A1639" t="str">
            <v>Republic of Moldova</v>
          </cell>
          <cell r="B1639">
            <v>498</v>
          </cell>
          <cell r="C1639">
            <v>203</v>
          </cell>
          <cell r="D1639">
            <v>4</v>
          </cell>
          <cell r="E1639" t="str">
            <v>Compensation of employees</v>
          </cell>
          <cell r="F1639">
            <v>12</v>
          </cell>
          <cell r="G1639">
            <v>1991</v>
          </cell>
          <cell r="H1639">
            <v>100</v>
          </cell>
          <cell r="I1639">
            <v>15141000000</v>
          </cell>
        </row>
        <row r="1640">
          <cell r="A1640" t="str">
            <v>Republic of Moldova</v>
          </cell>
          <cell r="B1640">
            <v>498</v>
          </cell>
          <cell r="C1640">
            <v>203</v>
          </cell>
          <cell r="D1640">
            <v>4</v>
          </cell>
          <cell r="E1640" t="str">
            <v>Compensation of employees</v>
          </cell>
          <cell r="F1640">
            <v>12</v>
          </cell>
          <cell r="G1640">
            <v>1992</v>
          </cell>
          <cell r="H1640">
            <v>100</v>
          </cell>
          <cell r="I1640">
            <v>102614000000</v>
          </cell>
        </row>
        <row r="1641">
          <cell r="A1641" t="str">
            <v>Republic of Moldova</v>
          </cell>
          <cell r="B1641">
            <v>498</v>
          </cell>
          <cell r="C1641">
            <v>203</v>
          </cell>
          <cell r="D1641">
            <v>4</v>
          </cell>
          <cell r="E1641" t="str">
            <v>Compensation of employees</v>
          </cell>
          <cell r="F1641">
            <v>12</v>
          </cell>
          <cell r="G1641">
            <v>1993</v>
          </cell>
          <cell r="H1641">
            <v>200</v>
          </cell>
          <cell r="I1641">
            <v>699693000</v>
          </cell>
        </row>
        <row r="1642">
          <cell r="A1642" t="str">
            <v>Republic of Moldova</v>
          </cell>
          <cell r="B1642">
            <v>498</v>
          </cell>
          <cell r="C1642">
            <v>203</v>
          </cell>
          <cell r="D1642">
            <v>4</v>
          </cell>
          <cell r="E1642" t="str">
            <v>Compensation of employees</v>
          </cell>
          <cell r="F1642">
            <v>12</v>
          </cell>
          <cell r="G1642">
            <v>1994</v>
          </cell>
          <cell r="H1642">
            <v>200</v>
          </cell>
          <cell r="I1642">
            <v>2244112000</v>
          </cell>
        </row>
        <row r="1643">
          <cell r="A1643" t="str">
            <v>Republic of Moldova</v>
          </cell>
          <cell r="B1643">
            <v>498</v>
          </cell>
          <cell r="C1643">
            <v>203</v>
          </cell>
          <cell r="D1643">
            <v>4</v>
          </cell>
          <cell r="E1643" t="str">
            <v>Compensation of employees</v>
          </cell>
          <cell r="F1643">
            <v>12</v>
          </cell>
          <cell r="G1643">
            <v>1995</v>
          </cell>
          <cell r="H1643">
            <v>200</v>
          </cell>
          <cell r="I1643">
            <v>2908917000</v>
          </cell>
        </row>
        <row r="1644">
          <cell r="A1644" t="str">
            <v>Republic of Moldova</v>
          </cell>
          <cell r="B1644">
            <v>498</v>
          </cell>
          <cell r="C1644">
            <v>203</v>
          </cell>
          <cell r="D1644">
            <v>4</v>
          </cell>
          <cell r="E1644" t="str">
            <v>Compensation of employees</v>
          </cell>
          <cell r="F1644">
            <v>12</v>
          </cell>
          <cell r="G1644">
            <v>1996</v>
          </cell>
          <cell r="H1644">
            <v>200</v>
          </cell>
          <cell r="I1644">
            <v>3407757000</v>
          </cell>
        </row>
        <row r="1645">
          <cell r="A1645" t="str">
            <v>Republic of Moldova</v>
          </cell>
          <cell r="B1645">
            <v>498</v>
          </cell>
          <cell r="C1645">
            <v>203</v>
          </cell>
          <cell r="D1645">
            <v>4</v>
          </cell>
          <cell r="E1645" t="str">
            <v>Compensation of employees</v>
          </cell>
          <cell r="F1645">
            <v>12</v>
          </cell>
          <cell r="G1645">
            <v>1997</v>
          </cell>
          <cell r="H1645">
            <v>200</v>
          </cell>
          <cell r="I1645">
            <v>3730485000</v>
          </cell>
        </row>
        <row r="1646">
          <cell r="A1646" t="str">
            <v>Republic of Moldova</v>
          </cell>
          <cell r="B1646">
            <v>498</v>
          </cell>
          <cell r="C1646">
            <v>203</v>
          </cell>
          <cell r="D1646">
            <v>4</v>
          </cell>
          <cell r="E1646" t="str">
            <v>Compensation of employees</v>
          </cell>
          <cell r="F1646">
            <v>12</v>
          </cell>
          <cell r="G1646">
            <v>1998</v>
          </cell>
          <cell r="H1646">
            <v>200</v>
          </cell>
          <cell r="I1646">
            <v>3792347000</v>
          </cell>
        </row>
        <row r="1647">
          <cell r="A1647" t="str">
            <v>Republic of Moldova</v>
          </cell>
          <cell r="B1647">
            <v>498</v>
          </cell>
          <cell r="C1647">
            <v>203</v>
          </cell>
          <cell r="D1647">
            <v>4</v>
          </cell>
          <cell r="E1647" t="str">
            <v>Compensation of employees</v>
          </cell>
          <cell r="F1647">
            <v>12</v>
          </cell>
          <cell r="G1647">
            <v>1999</v>
          </cell>
          <cell r="H1647">
            <v>200</v>
          </cell>
          <cell r="I1647">
            <v>3727443000</v>
          </cell>
        </row>
        <row r="1648">
          <cell r="A1648" t="str">
            <v>Republic of Moldova</v>
          </cell>
          <cell r="B1648">
            <v>498</v>
          </cell>
          <cell r="C1648">
            <v>203</v>
          </cell>
          <cell r="D1648">
            <v>4</v>
          </cell>
          <cell r="E1648" t="str">
            <v>Compensation of employees</v>
          </cell>
          <cell r="F1648">
            <v>12</v>
          </cell>
          <cell r="G1648">
            <v>2000</v>
          </cell>
          <cell r="H1648">
            <v>200</v>
          </cell>
          <cell r="I1648">
            <v>5103832000</v>
          </cell>
        </row>
        <row r="1649">
          <cell r="A1649" t="str">
            <v>Republic of Moldova</v>
          </cell>
          <cell r="B1649">
            <v>498</v>
          </cell>
          <cell r="C1649">
            <v>203</v>
          </cell>
          <cell r="D1649">
            <v>4</v>
          </cell>
          <cell r="E1649" t="str">
            <v>Compensation of employees</v>
          </cell>
          <cell r="F1649">
            <v>12</v>
          </cell>
          <cell r="G1649">
            <v>2001</v>
          </cell>
          <cell r="H1649">
            <v>200</v>
          </cell>
          <cell r="I1649">
            <v>6793195000</v>
          </cell>
        </row>
        <row r="1650">
          <cell r="A1650" t="str">
            <v>Republic of Moldova</v>
          </cell>
          <cell r="B1650">
            <v>498</v>
          </cell>
          <cell r="C1650">
            <v>203</v>
          </cell>
          <cell r="D1650">
            <v>4</v>
          </cell>
          <cell r="E1650" t="str">
            <v>Compensation of employees</v>
          </cell>
          <cell r="F1650">
            <v>12</v>
          </cell>
          <cell r="G1650">
            <v>2002</v>
          </cell>
          <cell r="H1650">
            <v>200</v>
          </cell>
          <cell r="I1650">
            <v>8540294000</v>
          </cell>
        </row>
        <row r="1651">
          <cell r="A1651" t="str">
            <v>Republic of Moldova</v>
          </cell>
          <cell r="B1651">
            <v>498</v>
          </cell>
          <cell r="C1651">
            <v>203</v>
          </cell>
          <cell r="D1651">
            <v>11</v>
          </cell>
          <cell r="E1651" t="str">
            <v>OPERATING SURPLUS, GROSS</v>
          </cell>
          <cell r="F1651">
            <v>12</v>
          </cell>
          <cell r="G1651">
            <v>1989</v>
          </cell>
          <cell r="H1651">
            <v>100</v>
          </cell>
          <cell r="I1651">
            <v>5075000000</v>
          </cell>
        </row>
        <row r="1652">
          <cell r="A1652" t="str">
            <v>Republic of Moldova</v>
          </cell>
          <cell r="B1652">
            <v>498</v>
          </cell>
          <cell r="C1652">
            <v>203</v>
          </cell>
          <cell r="D1652">
            <v>11</v>
          </cell>
          <cell r="E1652" t="str">
            <v>OPERATING SURPLUS, GROSS</v>
          </cell>
          <cell r="F1652">
            <v>12</v>
          </cell>
          <cell r="G1652">
            <v>1990</v>
          </cell>
          <cell r="H1652">
            <v>100</v>
          </cell>
          <cell r="I1652">
            <v>5505000000</v>
          </cell>
        </row>
        <row r="1653">
          <cell r="A1653" t="str">
            <v>Republic of Moldova</v>
          </cell>
          <cell r="B1653">
            <v>498</v>
          </cell>
          <cell r="C1653">
            <v>203</v>
          </cell>
          <cell r="D1653">
            <v>11</v>
          </cell>
          <cell r="E1653" t="str">
            <v>OPERATING SURPLUS, GROSS</v>
          </cell>
          <cell r="F1653">
            <v>12</v>
          </cell>
          <cell r="G1653">
            <v>1991</v>
          </cell>
          <cell r="H1653">
            <v>100</v>
          </cell>
          <cell r="I1653">
            <v>7367000000</v>
          </cell>
        </row>
        <row r="1654">
          <cell r="A1654" t="str">
            <v>Republic of Moldova</v>
          </cell>
          <cell r="B1654">
            <v>498</v>
          </cell>
          <cell r="C1654">
            <v>203</v>
          </cell>
          <cell r="D1654">
            <v>11</v>
          </cell>
          <cell r="E1654" t="str">
            <v>OPERATING SURPLUS, GROSS</v>
          </cell>
          <cell r="F1654">
            <v>12</v>
          </cell>
          <cell r="G1654">
            <v>1992</v>
          </cell>
          <cell r="H1654">
            <v>100</v>
          </cell>
          <cell r="I1654">
            <v>69839000000</v>
          </cell>
        </row>
        <row r="1655">
          <cell r="A1655" t="str">
            <v>Republic of Moldova</v>
          </cell>
          <cell r="B1655">
            <v>498</v>
          </cell>
          <cell r="C1655">
            <v>203</v>
          </cell>
          <cell r="D1655">
            <v>11</v>
          </cell>
          <cell r="E1655" t="str">
            <v>OPERATING SURPLUS, GROSS</v>
          </cell>
          <cell r="F1655">
            <v>12</v>
          </cell>
          <cell r="G1655">
            <v>1993</v>
          </cell>
          <cell r="H1655">
            <v>200</v>
          </cell>
          <cell r="I1655">
            <v>1075930000</v>
          </cell>
        </row>
        <row r="1656">
          <cell r="A1656" t="str">
            <v>Republic of Moldova</v>
          </cell>
          <cell r="B1656">
            <v>498</v>
          </cell>
          <cell r="C1656">
            <v>203</v>
          </cell>
          <cell r="D1656">
            <v>11</v>
          </cell>
          <cell r="E1656" t="str">
            <v>OPERATING SURPLUS, GROSS</v>
          </cell>
          <cell r="F1656">
            <v>12</v>
          </cell>
          <cell r="G1656">
            <v>1994</v>
          </cell>
          <cell r="H1656">
            <v>200</v>
          </cell>
          <cell r="I1656">
            <v>2101029000</v>
          </cell>
        </row>
        <row r="1657">
          <cell r="A1657" t="str">
            <v>Republic of Moldova</v>
          </cell>
          <cell r="B1657">
            <v>498</v>
          </cell>
          <cell r="C1657">
            <v>203</v>
          </cell>
          <cell r="D1657">
            <v>11</v>
          </cell>
          <cell r="E1657" t="str">
            <v>OPERATING SURPLUS, GROSS</v>
          </cell>
          <cell r="F1657">
            <v>12</v>
          </cell>
          <cell r="G1657">
            <v>1995</v>
          </cell>
          <cell r="H1657">
            <v>200</v>
          </cell>
          <cell r="I1657">
            <v>2631134000</v>
          </cell>
        </row>
        <row r="1658">
          <cell r="A1658" t="str">
            <v>Republic of Moldova</v>
          </cell>
          <cell r="B1658">
            <v>498</v>
          </cell>
          <cell r="C1658">
            <v>203</v>
          </cell>
          <cell r="D1658">
            <v>11</v>
          </cell>
          <cell r="E1658" t="str">
            <v>OPERATING SURPLUS, GROSS</v>
          </cell>
          <cell r="F1658">
            <v>12</v>
          </cell>
          <cell r="G1658">
            <v>1996</v>
          </cell>
          <cell r="H1658">
            <v>200</v>
          </cell>
          <cell r="I1658">
            <v>3217691000</v>
          </cell>
        </row>
        <row r="1659">
          <cell r="A1659" t="str">
            <v>Republic of Moldova</v>
          </cell>
          <cell r="B1659">
            <v>498</v>
          </cell>
          <cell r="C1659">
            <v>203</v>
          </cell>
          <cell r="D1659">
            <v>11</v>
          </cell>
          <cell r="E1659" t="str">
            <v>OPERATING SURPLUS, GROSS</v>
          </cell>
          <cell r="F1659">
            <v>12</v>
          </cell>
          <cell r="G1659">
            <v>1997</v>
          </cell>
          <cell r="H1659">
            <v>200</v>
          </cell>
          <cell r="I1659">
            <v>3704893000</v>
          </cell>
        </row>
        <row r="1660">
          <cell r="A1660" t="str">
            <v>Republic of Moldova</v>
          </cell>
          <cell r="B1660">
            <v>498</v>
          </cell>
          <cell r="C1660">
            <v>203</v>
          </cell>
          <cell r="D1660">
            <v>11</v>
          </cell>
          <cell r="E1660" t="str">
            <v>OPERATING SURPLUS, GROSS</v>
          </cell>
          <cell r="F1660">
            <v>12</v>
          </cell>
          <cell r="G1660">
            <v>1998</v>
          </cell>
          <cell r="H1660">
            <v>200</v>
          </cell>
          <cell r="I1660">
            <v>1797030000</v>
          </cell>
        </row>
        <row r="1661">
          <cell r="A1661" t="str">
            <v>Republic of Moldova</v>
          </cell>
          <cell r="B1661">
            <v>498</v>
          </cell>
          <cell r="C1661">
            <v>203</v>
          </cell>
          <cell r="D1661">
            <v>11</v>
          </cell>
          <cell r="E1661" t="str">
            <v>OPERATING SURPLUS, GROSS</v>
          </cell>
          <cell r="F1661">
            <v>12</v>
          </cell>
          <cell r="G1661">
            <v>1999</v>
          </cell>
          <cell r="H1661">
            <v>200</v>
          </cell>
          <cell r="I1661">
            <v>3584323000</v>
          </cell>
        </row>
        <row r="1662">
          <cell r="A1662" t="str">
            <v>Republic of Moldova</v>
          </cell>
          <cell r="B1662">
            <v>498</v>
          </cell>
          <cell r="C1662">
            <v>203</v>
          </cell>
          <cell r="D1662">
            <v>11</v>
          </cell>
          <cell r="E1662" t="str">
            <v>OPERATING SURPLUS, GROSS</v>
          </cell>
          <cell r="F1662">
            <v>12</v>
          </cell>
          <cell r="G1662">
            <v>2000</v>
          </cell>
          <cell r="H1662">
            <v>200</v>
          </cell>
          <cell r="I1662">
            <v>4525906000</v>
          </cell>
        </row>
        <row r="1663">
          <cell r="A1663" t="str">
            <v>Republic of Moldova</v>
          </cell>
          <cell r="B1663">
            <v>498</v>
          </cell>
          <cell r="C1663">
            <v>203</v>
          </cell>
          <cell r="D1663">
            <v>11</v>
          </cell>
          <cell r="E1663" t="str">
            <v>OPERATING SURPLUS, GROSS</v>
          </cell>
          <cell r="F1663">
            <v>12</v>
          </cell>
          <cell r="G1663">
            <v>2001</v>
          </cell>
          <cell r="H1663">
            <v>200</v>
          </cell>
          <cell r="I1663">
            <v>5243764000</v>
          </cell>
        </row>
        <row r="1664">
          <cell r="A1664" t="str">
            <v>Republic of Moldova</v>
          </cell>
          <cell r="B1664">
            <v>498</v>
          </cell>
          <cell r="C1664">
            <v>203</v>
          </cell>
          <cell r="D1664">
            <v>11</v>
          </cell>
          <cell r="E1664" t="str">
            <v>OPERATING SURPLUS, GROSS</v>
          </cell>
          <cell r="F1664">
            <v>12</v>
          </cell>
          <cell r="G1664">
            <v>2002</v>
          </cell>
          <cell r="H1664">
            <v>200</v>
          </cell>
          <cell r="I1664">
            <v>5016626000</v>
          </cell>
        </row>
        <row r="1665">
          <cell r="A1665" t="str">
            <v>Republic of Moldova</v>
          </cell>
          <cell r="B1665">
            <v>498</v>
          </cell>
          <cell r="C1665">
            <v>203</v>
          </cell>
          <cell r="D1665">
            <v>12</v>
          </cell>
          <cell r="E1665" t="str">
            <v>MIXED INCOME, GROSS</v>
          </cell>
          <cell r="F1665">
            <v>12</v>
          </cell>
          <cell r="G1665">
            <v>1998</v>
          </cell>
          <cell r="H1665">
            <v>200</v>
          </cell>
          <cell r="I1665">
            <v>1989620000</v>
          </cell>
        </row>
        <row r="1666">
          <cell r="A1666" t="str">
            <v>Republic of Moldova</v>
          </cell>
          <cell r="B1666">
            <v>498</v>
          </cell>
          <cell r="C1666">
            <v>203</v>
          </cell>
          <cell r="D1666">
            <v>12</v>
          </cell>
          <cell r="E1666" t="str">
            <v>MIXED INCOME, GROSS</v>
          </cell>
          <cell r="F1666">
            <v>12</v>
          </cell>
          <cell r="G1666">
            <v>1999</v>
          </cell>
          <cell r="H1666">
            <v>200</v>
          </cell>
          <cell r="I1666">
            <v>3421583000</v>
          </cell>
        </row>
        <row r="1667">
          <cell r="A1667" t="str">
            <v>Republic of Moldova</v>
          </cell>
          <cell r="B1667">
            <v>498</v>
          </cell>
          <cell r="C1667">
            <v>203</v>
          </cell>
          <cell r="D1667">
            <v>12</v>
          </cell>
          <cell r="E1667" t="str">
            <v>MIXED INCOME, GROSS</v>
          </cell>
          <cell r="F1667">
            <v>12</v>
          </cell>
          <cell r="G1667">
            <v>2000</v>
          </cell>
          <cell r="H1667">
            <v>200</v>
          </cell>
          <cell r="I1667">
            <v>4143661000</v>
          </cell>
        </row>
        <row r="1668">
          <cell r="A1668" t="str">
            <v>Republic of Moldova</v>
          </cell>
          <cell r="B1668">
            <v>498</v>
          </cell>
          <cell r="C1668">
            <v>203</v>
          </cell>
          <cell r="D1668">
            <v>12</v>
          </cell>
          <cell r="E1668" t="str">
            <v>MIXED INCOME, GROSS</v>
          </cell>
          <cell r="F1668">
            <v>12</v>
          </cell>
          <cell r="G1668">
            <v>2001</v>
          </cell>
          <cell r="H1668">
            <v>200</v>
          </cell>
          <cell r="I1668">
            <v>4446009000</v>
          </cell>
        </row>
        <row r="1669">
          <cell r="A1669" t="str">
            <v>Republic of Moldova</v>
          </cell>
          <cell r="B1669">
            <v>498</v>
          </cell>
          <cell r="C1669">
            <v>203</v>
          </cell>
          <cell r="D1669">
            <v>12</v>
          </cell>
          <cell r="E1669" t="str">
            <v>MIXED INCOME, GROSS</v>
          </cell>
          <cell r="F1669">
            <v>12</v>
          </cell>
          <cell r="G1669">
            <v>2002</v>
          </cell>
          <cell r="H1669">
            <v>200</v>
          </cell>
          <cell r="I1669">
            <v>5832424000</v>
          </cell>
        </row>
        <row r="1670">
          <cell r="A1670" t="str">
            <v>Republic of Moldova</v>
          </cell>
          <cell r="B1670">
            <v>498</v>
          </cell>
          <cell r="C1670">
            <v>203</v>
          </cell>
          <cell r="D1670">
            <v>22</v>
          </cell>
          <cell r="E1670" t="str">
            <v>Taxes on production and imports, less Subsidies</v>
          </cell>
          <cell r="F1670">
            <v>12</v>
          </cell>
          <cell r="G1670">
            <v>1989</v>
          </cell>
          <cell r="H1670">
            <v>100</v>
          </cell>
          <cell r="I1670">
            <v>143000000</v>
          </cell>
        </row>
        <row r="1671">
          <cell r="A1671" t="str">
            <v>Republic of Moldova</v>
          </cell>
          <cell r="B1671">
            <v>498</v>
          </cell>
          <cell r="C1671">
            <v>203</v>
          </cell>
          <cell r="D1671">
            <v>22</v>
          </cell>
          <cell r="E1671" t="str">
            <v>Taxes on production and imports, less Subsidies</v>
          </cell>
          <cell r="F1671">
            <v>12</v>
          </cell>
          <cell r="G1671">
            <v>1990</v>
          </cell>
          <cell r="H1671">
            <v>100</v>
          </cell>
          <cell r="I1671">
            <v>181000000</v>
          </cell>
        </row>
        <row r="1672">
          <cell r="A1672" t="str">
            <v>Republic of Moldova</v>
          </cell>
          <cell r="B1672">
            <v>498</v>
          </cell>
          <cell r="C1672">
            <v>203</v>
          </cell>
          <cell r="D1672">
            <v>22</v>
          </cell>
          <cell r="E1672" t="str">
            <v>Taxes on production and imports, less Subsidies</v>
          </cell>
          <cell r="F1672">
            <v>12</v>
          </cell>
          <cell r="G1672">
            <v>1991</v>
          </cell>
          <cell r="H1672">
            <v>100</v>
          </cell>
          <cell r="I1672">
            <v>246000000</v>
          </cell>
        </row>
        <row r="1673">
          <cell r="A1673" t="str">
            <v>Republic of Moldova</v>
          </cell>
          <cell r="B1673">
            <v>498</v>
          </cell>
          <cell r="C1673">
            <v>203</v>
          </cell>
          <cell r="D1673">
            <v>22</v>
          </cell>
          <cell r="E1673" t="str">
            <v>Taxes on production and imports, less Subsidies</v>
          </cell>
          <cell r="F1673">
            <v>12</v>
          </cell>
          <cell r="G1673">
            <v>1992</v>
          </cell>
          <cell r="H1673">
            <v>100</v>
          </cell>
          <cell r="I1673">
            <v>477000000</v>
          </cell>
        </row>
        <row r="1674">
          <cell r="A1674" t="str">
            <v>Republic of Moldova</v>
          </cell>
          <cell r="B1674">
            <v>498</v>
          </cell>
          <cell r="C1674">
            <v>203</v>
          </cell>
          <cell r="D1674">
            <v>22</v>
          </cell>
          <cell r="E1674" t="str">
            <v>Taxes on production and imports, less Subsidies</v>
          </cell>
          <cell r="F1674">
            <v>12</v>
          </cell>
          <cell r="G1674">
            <v>1993</v>
          </cell>
          <cell r="H1674">
            <v>200</v>
          </cell>
          <cell r="I1674">
            <v>27900000</v>
          </cell>
        </row>
        <row r="1675">
          <cell r="A1675" t="str">
            <v>Republic of Moldova</v>
          </cell>
          <cell r="B1675">
            <v>498</v>
          </cell>
          <cell r="C1675">
            <v>203</v>
          </cell>
          <cell r="D1675">
            <v>22</v>
          </cell>
          <cell r="E1675" t="str">
            <v>Taxes on production and imports, less Subsidies</v>
          </cell>
          <cell r="F1675">
            <v>12</v>
          </cell>
          <cell r="G1675">
            <v>1994</v>
          </cell>
          <cell r="H1675">
            <v>200</v>
          </cell>
          <cell r="I1675">
            <v>80100000</v>
          </cell>
        </row>
        <row r="1676">
          <cell r="A1676" t="str">
            <v>Republic of Moldova</v>
          </cell>
          <cell r="B1676">
            <v>498</v>
          </cell>
          <cell r="C1676">
            <v>203</v>
          </cell>
          <cell r="D1676">
            <v>22</v>
          </cell>
          <cell r="E1676" t="str">
            <v>Taxes on production and imports, less Subsidies</v>
          </cell>
          <cell r="F1676">
            <v>12</v>
          </cell>
          <cell r="G1676">
            <v>1995</v>
          </cell>
          <cell r="H1676">
            <v>200</v>
          </cell>
          <cell r="I1676">
            <v>204040000</v>
          </cell>
        </row>
        <row r="1677">
          <cell r="A1677" t="str">
            <v>Republic of Moldova</v>
          </cell>
          <cell r="B1677">
            <v>498</v>
          </cell>
          <cell r="C1677">
            <v>203</v>
          </cell>
          <cell r="D1677">
            <v>22</v>
          </cell>
          <cell r="E1677" t="str">
            <v>Taxes on production and imports, less Subsidies</v>
          </cell>
          <cell r="F1677">
            <v>12</v>
          </cell>
          <cell r="G1677">
            <v>1996</v>
          </cell>
          <cell r="H1677">
            <v>200</v>
          </cell>
          <cell r="I1677">
            <v>200500000</v>
          </cell>
        </row>
        <row r="1678">
          <cell r="A1678" t="str">
            <v>Republic of Moldova</v>
          </cell>
          <cell r="B1678">
            <v>498</v>
          </cell>
          <cell r="C1678">
            <v>203</v>
          </cell>
          <cell r="D1678">
            <v>22</v>
          </cell>
          <cell r="E1678" t="str">
            <v>Taxes on production and imports, less Subsidies</v>
          </cell>
          <cell r="F1678">
            <v>12</v>
          </cell>
          <cell r="G1678">
            <v>1997</v>
          </cell>
          <cell r="H1678">
            <v>200</v>
          </cell>
          <cell r="I1678">
            <v>229400000</v>
          </cell>
        </row>
        <row r="1679">
          <cell r="A1679" t="str">
            <v>Republic of Moldova</v>
          </cell>
          <cell r="B1679">
            <v>498</v>
          </cell>
          <cell r="C1679">
            <v>203</v>
          </cell>
          <cell r="D1679">
            <v>22</v>
          </cell>
          <cell r="E1679" t="str">
            <v>Taxes on production and imports, less Subsidies</v>
          </cell>
          <cell r="F1679">
            <v>12</v>
          </cell>
          <cell r="G1679">
            <v>1998</v>
          </cell>
          <cell r="H1679">
            <v>200</v>
          </cell>
          <cell r="I1679">
            <v>139700000</v>
          </cell>
        </row>
        <row r="1680">
          <cell r="A1680" t="str">
            <v>Republic of Moldova</v>
          </cell>
          <cell r="B1680">
            <v>498</v>
          </cell>
          <cell r="C1680">
            <v>203</v>
          </cell>
          <cell r="D1680">
            <v>22</v>
          </cell>
          <cell r="E1680" t="str">
            <v>Taxes on production and imports, less Subsidies</v>
          </cell>
          <cell r="F1680">
            <v>12</v>
          </cell>
          <cell r="G1680">
            <v>1999</v>
          </cell>
          <cell r="H1680">
            <v>200</v>
          </cell>
          <cell r="I1680">
            <v>265200000</v>
          </cell>
        </row>
        <row r="1681">
          <cell r="A1681" t="str">
            <v>Republic of Moldova</v>
          </cell>
          <cell r="B1681">
            <v>498</v>
          </cell>
          <cell r="C1681">
            <v>203</v>
          </cell>
          <cell r="D1681">
            <v>22</v>
          </cell>
          <cell r="E1681" t="str">
            <v>Taxes on production and imports, less Subsidies</v>
          </cell>
          <cell r="F1681">
            <v>12</v>
          </cell>
          <cell r="G1681">
            <v>2000</v>
          </cell>
          <cell r="H1681">
            <v>200</v>
          </cell>
          <cell r="I1681">
            <v>248700000</v>
          </cell>
        </row>
        <row r="1682">
          <cell r="A1682" t="str">
            <v>Republic of Moldova</v>
          </cell>
          <cell r="B1682">
            <v>498</v>
          </cell>
          <cell r="C1682">
            <v>203</v>
          </cell>
          <cell r="D1682">
            <v>22</v>
          </cell>
          <cell r="E1682" t="str">
            <v>Taxes on production and imports, less Subsidies</v>
          </cell>
          <cell r="F1682">
            <v>12</v>
          </cell>
          <cell r="G1682">
            <v>2001</v>
          </cell>
          <cell r="H1682">
            <v>200</v>
          </cell>
          <cell r="I1682">
            <v>290080000</v>
          </cell>
        </row>
        <row r="1683">
          <cell r="A1683" t="str">
            <v>Republic of Moldova</v>
          </cell>
          <cell r="B1683">
            <v>498</v>
          </cell>
          <cell r="C1683">
            <v>203</v>
          </cell>
          <cell r="D1683">
            <v>22</v>
          </cell>
          <cell r="E1683" t="str">
            <v>Taxes on production and imports, less Subsidies</v>
          </cell>
          <cell r="F1683">
            <v>12</v>
          </cell>
          <cell r="G1683">
            <v>2002</v>
          </cell>
          <cell r="H1683">
            <v>200</v>
          </cell>
          <cell r="I1683">
            <v>299947000</v>
          </cell>
        </row>
        <row r="1684">
          <cell r="A1684" t="str">
            <v>Mozambique</v>
          </cell>
          <cell r="B1684">
            <v>508</v>
          </cell>
          <cell r="C1684">
            <v>201</v>
          </cell>
          <cell r="D1684">
            <v>13</v>
          </cell>
          <cell r="E1684" t="str">
            <v>Less: Financial intermediation services indirectly measured (FISIM) (only to be deducted if FISIM is not distributed to uses)</v>
          </cell>
          <cell r="F1684">
            <v>0</v>
          </cell>
          <cell r="G1684">
            <v>1992</v>
          </cell>
          <cell r="H1684">
            <v>100</v>
          </cell>
          <cell r="I1684">
            <v>84676000000</v>
          </cell>
        </row>
        <row r="1685">
          <cell r="A1685" t="str">
            <v>Mozambique</v>
          </cell>
          <cell r="B1685">
            <v>508</v>
          </cell>
          <cell r="C1685">
            <v>201</v>
          </cell>
          <cell r="D1685">
            <v>13</v>
          </cell>
          <cell r="E1685" t="str">
            <v>Less: Financial intermediation services indirectly measured (FISIM) (only to be deducted if FISIM is not distributed to uses)</v>
          </cell>
          <cell r="F1685">
            <v>0</v>
          </cell>
          <cell r="G1685">
            <v>1993</v>
          </cell>
          <cell r="H1685">
            <v>100</v>
          </cell>
          <cell r="I1685">
            <v>136334000000</v>
          </cell>
        </row>
        <row r="1686">
          <cell r="A1686" t="str">
            <v>Mozambique</v>
          </cell>
          <cell r="B1686">
            <v>508</v>
          </cell>
          <cell r="C1686">
            <v>201</v>
          </cell>
          <cell r="D1686">
            <v>13</v>
          </cell>
          <cell r="E1686" t="str">
            <v>Less: Financial intermediation services indirectly measured (FISIM) (only to be deducted if FISIM is not distributed to uses)</v>
          </cell>
          <cell r="F1686">
            <v>0</v>
          </cell>
          <cell r="G1686">
            <v>1994</v>
          </cell>
          <cell r="H1686">
            <v>100</v>
          </cell>
          <cell r="I1686">
            <v>79298000000</v>
          </cell>
        </row>
        <row r="1687">
          <cell r="A1687" t="str">
            <v>Mozambique</v>
          </cell>
          <cell r="B1687">
            <v>508</v>
          </cell>
          <cell r="C1687">
            <v>201</v>
          </cell>
          <cell r="D1687">
            <v>13</v>
          </cell>
          <cell r="E1687" t="str">
            <v>Less: Financial intermediation services indirectly measured (FISIM) (only to be deducted if FISIM is not distributed to uses)</v>
          </cell>
          <cell r="F1687">
            <v>0</v>
          </cell>
          <cell r="G1687">
            <v>1995</v>
          </cell>
          <cell r="H1687">
            <v>100</v>
          </cell>
          <cell r="I1687">
            <v>504012000000</v>
          </cell>
        </row>
        <row r="1688">
          <cell r="A1688" t="str">
            <v>Mozambique</v>
          </cell>
          <cell r="B1688">
            <v>508</v>
          </cell>
          <cell r="C1688">
            <v>201</v>
          </cell>
          <cell r="D1688">
            <v>13</v>
          </cell>
          <cell r="E1688" t="str">
            <v>Less: Financial intermediation services indirectly measured (FISIM) (only to be deducted if FISIM is not distributed to uses)</v>
          </cell>
          <cell r="F1688">
            <v>0</v>
          </cell>
          <cell r="G1688">
            <v>1996</v>
          </cell>
          <cell r="H1688">
            <v>100</v>
          </cell>
          <cell r="I1688">
            <v>739538000000</v>
          </cell>
        </row>
        <row r="1689">
          <cell r="A1689" t="str">
            <v>Mozambique</v>
          </cell>
          <cell r="B1689">
            <v>508</v>
          </cell>
          <cell r="C1689">
            <v>201</v>
          </cell>
          <cell r="D1689">
            <v>13</v>
          </cell>
          <cell r="E1689" t="str">
            <v>Less: Financial intermediation services indirectly measured (FISIM) (only to be deducted if FISIM is not distributed to uses)</v>
          </cell>
          <cell r="F1689">
            <v>0</v>
          </cell>
          <cell r="G1689">
            <v>1997</v>
          </cell>
          <cell r="H1689">
            <v>100</v>
          </cell>
          <cell r="I1689">
            <v>1040089000000</v>
          </cell>
        </row>
        <row r="1690">
          <cell r="A1690" t="str">
            <v>Mozambique</v>
          </cell>
          <cell r="B1690">
            <v>508</v>
          </cell>
          <cell r="C1690">
            <v>201</v>
          </cell>
          <cell r="D1690">
            <v>13</v>
          </cell>
          <cell r="E1690" t="str">
            <v>Less: Financial intermediation services indirectly measured (FISIM) (only to be deducted if FISIM is not distributed to uses)</v>
          </cell>
          <cell r="F1690">
            <v>0</v>
          </cell>
          <cell r="G1690">
            <v>1998</v>
          </cell>
          <cell r="H1690">
            <v>100</v>
          </cell>
          <cell r="I1690">
            <v>856517000000</v>
          </cell>
        </row>
        <row r="1691">
          <cell r="A1691" t="str">
            <v>Mozambique</v>
          </cell>
          <cell r="B1691">
            <v>508</v>
          </cell>
          <cell r="C1691">
            <v>201</v>
          </cell>
          <cell r="D1691">
            <v>13</v>
          </cell>
          <cell r="E1691" t="str">
            <v>Less: Financial intermediation services indirectly measured (FISIM) (only to be deducted if FISIM is not distributed to uses)</v>
          </cell>
          <cell r="F1691">
            <v>0</v>
          </cell>
          <cell r="G1691">
            <v>1999</v>
          </cell>
          <cell r="H1691">
            <v>100</v>
          </cell>
          <cell r="I1691">
            <v>594223000000</v>
          </cell>
        </row>
        <row r="1692">
          <cell r="A1692" t="str">
            <v>Mozambique</v>
          </cell>
          <cell r="B1692">
            <v>508</v>
          </cell>
          <cell r="C1692">
            <v>201</v>
          </cell>
          <cell r="D1692">
            <v>13</v>
          </cell>
          <cell r="E1692" t="str">
            <v>Less: Financial intermediation services indirectly measured (FISIM) (only to be deducted if FISIM is not distributed to uses)</v>
          </cell>
          <cell r="F1692">
            <v>0</v>
          </cell>
          <cell r="G1692">
            <v>2000</v>
          </cell>
          <cell r="H1692">
            <v>100</v>
          </cell>
          <cell r="I1692">
            <v>965200000000</v>
          </cell>
        </row>
        <row r="1693">
          <cell r="A1693" t="str">
            <v>Mozambique</v>
          </cell>
          <cell r="B1693">
            <v>508</v>
          </cell>
          <cell r="C1693">
            <v>201</v>
          </cell>
          <cell r="D1693">
            <v>13</v>
          </cell>
          <cell r="E1693" t="str">
            <v>Less: Financial intermediation services indirectly measured (FISIM) (only to be deducted if FISIM is not distributed to uses)</v>
          </cell>
          <cell r="F1693">
            <v>0</v>
          </cell>
          <cell r="G1693">
            <v>2001</v>
          </cell>
          <cell r="H1693">
            <v>100</v>
          </cell>
          <cell r="I1693">
            <v>1878900000000</v>
          </cell>
        </row>
        <row r="1694">
          <cell r="A1694" t="str">
            <v>Mozambique</v>
          </cell>
          <cell r="B1694">
            <v>508</v>
          </cell>
          <cell r="C1694">
            <v>201</v>
          </cell>
          <cell r="D1694">
            <v>13</v>
          </cell>
          <cell r="E1694" t="str">
            <v>Less: Financial intermediation services indirectly measured (FISIM) (only to be deducted if FISIM is not distributed to uses)</v>
          </cell>
          <cell r="F1694">
            <v>0</v>
          </cell>
          <cell r="G1694">
            <v>2002</v>
          </cell>
          <cell r="H1694">
            <v>100</v>
          </cell>
          <cell r="I1694">
            <v>2375500000000</v>
          </cell>
        </row>
        <row r="1695">
          <cell r="A1695" t="str">
            <v>Mozambique</v>
          </cell>
          <cell r="B1695">
            <v>508</v>
          </cell>
          <cell r="C1695">
            <v>201</v>
          </cell>
          <cell r="D1695">
            <v>13</v>
          </cell>
          <cell r="E1695" t="str">
            <v>Less: Financial intermediation services indirectly measured (FISIM) (only to be deducted if FISIM is not distributed to uses)</v>
          </cell>
          <cell r="F1695">
            <v>0</v>
          </cell>
          <cell r="G1695">
            <v>2003</v>
          </cell>
          <cell r="H1695">
            <v>100</v>
          </cell>
          <cell r="I1695">
            <v>3081700000000</v>
          </cell>
        </row>
        <row r="1696">
          <cell r="A1696" t="str">
            <v>Mozambique</v>
          </cell>
          <cell r="B1696">
            <v>508</v>
          </cell>
          <cell r="C1696">
            <v>203</v>
          </cell>
          <cell r="D1696">
            <v>3</v>
          </cell>
          <cell r="E1696" t="str">
            <v>Equals: VALUE ADDED, GROSS, at basic prices</v>
          </cell>
          <cell r="F1696">
            <v>12</v>
          </cell>
          <cell r="G1696">
            <v>1996</v>
          </cell>
          <cell r="H1696">
            <v>100</v>
          </cell>
          <cell r="I1696">
            <v>32773214000000</v>
          </cell>
        </row>
        <row r="1697">
          <cell r="A1697" t="str">
            <v>Mozambique</v>
          </cell>
          <cell r="B1697">
            <v>508</v>
          </cell>
          <cell r="C1697">
            <v>203</v>
          </cell>
          <cell r="D1697">
            <v>3</v>
          </cell>
          <cell r="E1697" t="str">
            <v>Equals: VALUE ADDED, GROSS, at basic prices</v>
          </cell>
          <cell r="F1697">
            <v>12</v>
          </cell>
          <cell r="G1697">
            <v>1997</v>
          </cell>
          <cell r="H1697">
            <v>100</v>
          </cell>
          <cell r="I1697">
            <v>40047245000000</v>
          </cell>
        </row>
        <row r="1698">
          <cell r="A1698" t="str">
            <v>Mozambique</v>
          </cell>
          <cell r="B1698">
            <v>508</v>
          </cell>
          <cell r="C1698">
            <v>203</v>
          </cell>
          <cell r="D1698">
            <v>3</v>
          </cell>
          <cell r="E1698" t="str">
            <v>Equals: VALUE ADDED, GROSS, at basic prices</v>
          </cell>
          <cell r="F1698">
            <v>12</v>
          </cell>
          <cell r="G1698">
            <v>1998</v>
          </cell>
          <cell r="H1698">
            <v>100</v>
          </cell>
          <cell r="I1698">
            <v>46810929000000</v>
          </cell>
        </row>
        <row r="1699">
          <cell r="A1699" t="str">
            <v>Mozambique</v>
          </cell>
          <cell r="B1699">
            <v>508</v>
          </cell>
          <cell r="C1699">
            <v>203</v>
          </cell>
          <cell r="D1699">
            <v>3</v>
          </cell>
          <cell r="E1699" t="str">
            <v>Equals: VALUE ADDED, GROSS, at basic prices</v>
          </cell>
          <cell r="F1699">
            <v>12</v>
          </cell>
          <cell r="G1699">
            <v>1999</v>
          </cell>
          <cell r="H1699">
            <v>100</v>
          </cell>
          <cell r="I1699">
            <v>51498827000000</v>
          </cell>
        </row>
        <row r="1700">
          <cell r="A1700" t="str">
            <v>Mozambique</v>
          </cell>
          <cell r="B1700">
            <v>508</v>
          </cell>
          <cell r="C1700">
            <v>203</v>
          </cell>
          <cell r="D1700">
            <v>3</v>
          </cell>
          <cell r="E1700" t="str">
            <v>Equals: VALUE ADDED, GROSS, at basic prices</v>
          </cell>
          <cell r="F1700">
            <v>12</v>
          </cell>
          <cell r="G1700">
            <v>2000</v>
          </cell>
          <cell r="H1700">
            <v>100</v>
          </cell>
          <cell r="I1700">
            <v>56585088000000</v>
          </cell>
        </row>
        <row r="1701">
          <cell r="A1701" t="str">
            <v>Mozambique</v>
          </cell>
          <cell r="B1701">
            <v>508</v>
          </cell>
          <cell r="C1701">
            <v>203</v>
          </cell>
          <cell r="D1701">
            <v>3</v>
          </cell>
          <cell r="E1701" t="str">
            <v>Equals: VALUE ADDED, GROSS, at basic prices</v>
          </cell>
          <cell r="F1701">
            <v>12</v>
          </cell>
          <cell r="G1701">
            <v>2001</v>
          </cell>
          <cell r="H1701">
            <v>100</v>
          </cell>
          <cell r="I1701">
            <v>71011848000000</v>
          </cell>
        </row>
        <row r="1702">
          <cell r="A1702" t="str">
            <v>Mozambique</v>
          </cell>
          <cell r="B1702">
            <v>508</v>
          </cell>
          <cell r="C1702">
            <v>203</v>
          </cell>
          <cell r="D1702">
            <v>3</v>
          </cell>
          <cell r="E1702" t="str">
            <v>Equals: VALUE ADDED, GROSS, at basic prices</v>
          </cell>
          <cell r="F1702">
            <v>12</v>
          </cell>
          <cell r="G1702">
            <v>2002</v>
          </cell>
          <cell r="H1702">
            <v>100</v>
          </cell>
          <cell r="I1702">
            <v>82410040000000</v>
          </cell>
        </row>
        <row r="1703">
          <cell r="A1703" t="str">
            <v>Mozambique</v>
          </cell>
          <cell r="B1703">
            <v>508</v>
          </cell>
          <cell r="C1703">
            <v>203</v>
          </cell>
          <cell r="D1703">
            <v>4</v>
          </cell>
          <cell r="E1703" t="str">
            <v>Compensation of employees</v>
          </cell>
          <cell r="F1703">
            <v>12</v>
          </cell>
          <cell r="G1703">
            <v>1996</v>
          </cell>
          <cell r="H1703">
            <v>100</v>
          </cell>
          <cell r="I1703">
            <v>5555032000000</v>
          </cell>
        </row>
        <row r="1704">
          <cell r="A1704" t="str">
            <v>Mozambique</v>
          </cell>
          <cell r="B1704">
            <v>508</v>
          </cell>
          <cell r="C1704">
            <v>203</v>
          </cell>
          <cell r="D1704">
            <v>4</v>
          </cell>
          <cell r="E1704" t="str">
            <v>Compensation of employees</v>
          </cell>
          <cell r="F1704">
            <v>12</v>
          </cell>
          <cell r="G1704">
            <v>1997</v>
          </cell>
          <cell r="H1704">
            <v>100</v>
          </cell>
          <cell r="I1704">
            <v>7093531000000</v>
          </cell>
        </row>
        <row r="1705">
          <cell r="A1705" t="str">
            <v>Mozambique</v>
          </cell>
          <cell r="B1705">
            <v>508</v>
          </cell>
          <cell r="C1705">
            <v>203</v>
          </cell>
          <cell r="D1705">
            <v>4</v>
          </cell>
          <cell r="E1705" t="str">
            <v>Compensation of employees</v>
          </cell>
          <cell r="F1705">
            <v>12</v>
          </cell>
          <cell r="G1705">
            <v>1998</v>
          </cell>
          <cell r="H1705">
            <v>100</v>
          </cell>
          <cell r="I1705">
            <v>8654001000000</v>
          </cell>
        </row>
        <row r="1706">
          <cell r="A1706" t="str">
            <v>Mozambique</v>
          </cell>
          <cell r="B1706">
            <v>508</v>
          </cell>
          <cell r="C1706">
            <v>203</v>
          </cell>
          <cell r="D1706">
            <v>4</v>
          </cell>
          <cell r="E1706" t="str">
            <v>Compensation of employees</v>
          </cell>
          <cell r="F1706">
            <v>12</v>
          </cell>
          <cell r="G1706">
            <v>1999</v>
          </cell>
          <cell r="H1706">
            <v>100</v>
          </cell>
          <cell r="I1706">
            <v>11173368000000</v>
          </cell>
        </row>
        <row r="1707">
          <cell r="A1707" t="str">
            <v>Mozambique</v>
          </cell>
          <cell r="B1707">
            <v>508</v>
          </cell>
          <cell r="C1707">
            <v>203</v>
          </cell>
          <cell r="D1707">
            <v>4</v>
          </cell>
          <cell r="E1707" t="str">
            <v>Compensation of employees</v>
          </cell>
          <cell r="F1707">
            <v>12</v>
          </cell>
          <cell r="G1707">
            <v>2000</v>
          </cell>
          <cell r="H1707">
            <v>100</v>
          </cell>
          <cell r="I1707">
            <v>10252809000000</v>
          </cell>
        </row>
        <row r="1708">
          <cell r="A1708" t="str">
            <v>Mozambique</v>
          </cell>
          <cell r="B1708">
            <v>508</v>
          </cell>
          <cell r="C1708">
            <v>203</v>
          </cell>
          <cell r="D1708">
            <v>4</v>
          </cell>
          <cell r="E1708" t="str">
            <v>Compensation of employees</v>
          </cell>
          <cell r="F1708">
            <v>12</v>
          </cell>
          <cell r="G1708">
            <v>2001</v>
          </cell>
          <cell r="H1708">
            <v>100</v>
          </cell>
          <cell r="I1708">
            <v>20153158000000</v>
          </cell>
        </row>
        <row r="1709">
          <cell r="A1709" t="str">
            <v>Mozambique</v>
          </cell>
          <cell r="B1709">
            <v>508</v>
          </cell>
          <cell r="C1709">
            <v>203</v>
          </cell>
          <cell r="D1709">
            <v>11</v>
          </cell>
          <cell r="E1709" t="str">
            <v>OPERATING SURPLUS, GROSS</v>
          </cell>
          <cell r="F1709">
            <v>12</v>
          </cell>
          <cell r="G1709">
            <v>1996</v>
          </cell>
          <cell r="H1709">
            <v>100</v>
          </cell>
          <cell r="I1709">
            <v>7456135000000</v>
          </cell>
        </row>
        <row r="1710">
          <cell r="A1710" t="str">
            <v>Mozambique</v>
          </cell>
          <cell r="B1710">
            <v>508</v>
          </cell>
          <cell r="C1710">
            <v>203</v>
          </cell>
          <cell r="D1710">
            <v>11</v>
          </cell>
          <cell r="E1710" t="str">
            <v>OPERATING SURPLUS, GROSS</v>
          </cell>
          <cell r="F1710">
            <v>12</v>
          </cell>
          <cell r="G1710">
            <v>1997</v>
          </cell>
          <cell r="H1710">
            <v>100</v>
          </cell>
          <cell r="I1710">
            <v>8674577000000</v>
          </cell>
        </row>
        <row r="1711">
          <cell r="A1711" t="str">
            <v>Mozambique</v>
          </cell>
          <cell r="B1711">
            <v>508</v>
          </cell>
          <cell r="C1711">
            <v>203</v>
          </cell>
          <cell r="D1711">
            <v>11</v>
          </cell>
          <cell r="E1711" t="str">
            <v>OPERATING SURPLUS, GROSS</v>
          </cell>
          <cell r="F1711">
            <v>12</v>
          </cell>
          <cell r="G1711">
            <v>1998</v>
          </cell>
          <cell r="H1711">
            <v>100</v>
          </cell>
          <cell r="I1711">
            <v>11318921000000</v>
          </cell>
        </row>
        <row r="1712">
          <cell r="A1712" t="str">
            <v>Mozambique</v>
          </cell>
          <cell r="B1712">
            <v>508</v>
          </cell>
          <cell r="C1712">
            <v>203</v>
          </cell>
          <cell r="D1712">
            <v>11</v>
          </cell>
          <cell r="E1712" t="str">
            <v>OPERATING SURPLUS, GROSS</v>
          </cell>
          <cell r="F1712">
            <v>12</v>
          </cell>
          <cell r="G1712">
            <v>1999</v>
          </cell>
          <cell r="H1712">
            <v>100</v>
          </cell>
          <cell r="I1712">
            <v>12404127000000</v>
          </cell>
        </row>
        <row r="1713">
          <cell r="A1713" t="str">
            <v>Mozambique</v>
          </cell>
          <cell r="B1713">
            <v>508</v>
          </cell>
          <cell r="C1713">
            <v>203</v>
          </cell>
          <cell r="D1713">
            <v>11</v>
          </cell>
          <cell r="E1713" t="str">
            <v>OPERATING SURPLUS, GROSS</v>
          </cell>
          <cell r="F1713">
            <v>12</v>
          </cell>
          <cell r="G1713">
            <v>2000</v>
          </cell>
          <cell r="H1713">
            <v>100</v>
          </cell>
          <cell r="I1713">
            <v>16978818000000</v>
          </cell>
        </row>
        <row r="1714">
          <cell r="A1714" t="str">
            <v>Mozambique</v>
          </cell>
          <cell r="B1714">
            <v>508</v>
          </cell>
          <cell r="C1714">
            <v>203</v>
          </cell>
          <cell r="D1714">
            <v>11</v>
          </cell>
          <cell r="E1714" t="str">
            <v>OPERATING SURPLUS, GROSS</v>
          </cell>
          <cell r="F1714">
            <v>12</v>
          </cell>
          <cell r="G1714">
            <v>2001</v>
          </cell>
          <cell r="H1714">
            <v>100</v>
          </cell>
          <cell r="I1714">
            <v>19009343000000</v>
          </cell>
        </row>
        <row r="1715">
          <cell r="A1715" t="str">
            <v>Mozambique</v>
          </cell>
          <cell r="B1715">
            <v>508</v>
          </cell>
          <cell r="C1715">
            <v>203</v>
          </cell>
          <cell r="D1715">
            <v>12</v>
          </cell>
          <cell r="E1715" t="str">
            <v>MIXED INCOME, GROSS</v>
          </cell>
          <cell r="F1715">
            <v>12</v>
          </cell>
          <cell r="G1715">
            <v>1996</v>
          </cell>
          <cell r="H1715">
            <v>100</v>
          </cell>
          <cell r="I1715">
            <v>17811768000000</v>
          </cell>
        </row>
        <row r="1716">
          <cell r="A1716" t="str">
            <v>Mozambique</v>
          </cell>
          <cell r="B1716">
            <v>508</v>
          </cell>
          <cell r="C1716">
            <v>203</v>
          </cell>
          <cell r="D1716">
            <v>12</v>
          </cell>
          <cell r="E1716" t="str">
            <v>MIXED INCOME, GROSS</v>
          </cell>
          <cell r="F1716">
            <v>12</v>
          </cell>
          <cell r="G1716">
            <v>1997</v>
          </cell>
          <cell r="H1716">
            <v>100</v>
          </cell>
          <cell r="I1716">
            <v>21523174000000</v>
          </cell>
        </row>
        <row r="1717">
          <cell r="A1717" t="str">
            <v>Mozambique</v>
          </cell>
          <cell r="B1717">
            <v>508</v>
          </cell>
          <cell r="C1717">
            <v>203</v>
          </cell>
          <cell r="D1717">
            <v>12</v>
          </cell>
          <cell r="E1717" t="str">
            <v>MIXED INCOME, GROSS</v>
          </cell>
          <cell r="F1717">
            <v>12</v>
          </cell>
          <cell r="G1717">
            <v>1998</v>
          </cell>
          <cell r="H1717">
            <v>100</v>
          </cell>
          <cell r="I1717">
            <v>23664563000000</v>
          </cell>
        </row>
        <row r="1718">
          <cell r="A1718" t="str">
            <v>Mozambique</v>
          </cell>
          <cell r="B1718">
            <v>508</v>
          </cell>
          <cell r="C1718">
            <v>203</v>
          </cell>
          <cell r="D1718">
            <v>12</v>
          </cell>
          <cell r="E1718" t="str">
            <v>MIXED INCOME, GROSS</v>
          </cell>
          <cell r="F1718">
            <v>12</v>
          </cell>
          <cell r="G1718">
            <v>1999</v>
          </cell>
          <cell r="H1718">
            <v>100</v>
          </cell>
          <cell r="I1718">
            <v>25510117000000</v>
          </cell>
        </row>
        <row r="1719">
          <cell r="A1719" t="str">
            <v>Mozambique</v>
          </cell>
          <cell r="B1719">
            <v>508</v>
          </cell>
          <cell r="C1719">
            <v>203</v>
          </cell>
          <cell r="D1719">
            <v>12</v>
          </cell>
          <cell r="E1719" t="str">
            <v>MIXED INCOME, GROSS</v>
          </cell>
          <cell r="F1719">
            <v>12</v>
          </cell>
          <cell r="G1719">
            <v>2000</v>
          </cell>
          <cell r="H1719">
            <v>100</v>
          </cell>
          <cell r="I1719">
            <v>25375700000000</v>
          </cell>
        </row>
        <row r="1720">
          <cell r="A1720" t="str">
            <v>Mozambique</v>
          </cell>
          <cell r="B1720">
            <v>508</v>
          </cell>
          <cell r="C1720">
            <v>203</v>
          </cell>
          <cell r="D1720">
            <v>12</v>
          </cell>
          <cell r="E1720" t="str">
            <v>MIXED INCOME, GROSS</v>
          </cell>
          <cell r="F1720">
            <v>12</v>
          </cell>
          <cell r="G1720">
            <v>2001</v>
          </cell>
          <cell r="H1720">
            <v>100</v>
          </cell>
          <cell r="I1720">
            <v>32888166000000</v>
          </cell>
        </row>
        <row r="1721">
          <cell r="A1721" t="str">
            <v>Mozambique</v>
          </cell>
          <cell r="B1721">
            <v>508</v>
          </cell>
          <cell r="C1721">
            <v>203</v>
          </cell>
          <cell r="D1721">
            <v>22</v>
          </cell>
          <cell r="E1721" t="str">
            <v>Taxes on production and imports, less Subsidies</v>
          </cell>
          <cell r="F1721">
            <v>12</v>
          </cell>
          <cell r="G1721">
            <v>1996</v>
          </cell>
          <cell r="H1721">
            <v>100</v>
          </cell>
          <cell r="I1721">
            <v>1837916000000</v>
          </cell>
        </row>
        <row r="1722">
          <cell r="A1722" t="str">
            <v>Mozambique</v>
          </cell>
          <cell r="B1722">
            <v>508</v>
          </cell>
          <cell r="C1722">
            <v>203</v>
          </cell>
          <cell r="D1722">
            <v>22</v>
          </cell>
          <cell r="E1722" t="str">
            <v>Taxes on production and imports, less Subsidies</v>
          </cell>
          <cell r="F1722">
            <v>12</v>
          </cell>
          <cell r="G1722">
            <v>1997</v>
          </cell>
          <cell r="H1722">
            <v>100</v>
          </cell>
          <cell r="I1722">
            <v>2493733000000</v>
          </cell>
        </row>
        <row r="1723">
          <cell r="A1723" t="str">
            <v>Mozambique</v>
          </cell>
          <cell r="B1723">
            <v>508</v>
          </cell>
          <cell r="C1723">
            <v>203</v>
          </cell>
          <cell r="D1723">
            <v>22</v>
          </cell>
          <cell r="E1723" t="str">
            <v>Taxes on production and imports, less Subsidies</v>
          </cell>
          <cell r="F1723">
            <v>12</v>
          </cell>
          <cell r="G1723">
            <v>1998</v>
          </cell>
          <cell r="H1723">
            <v>100</v>
          </cell>
          <cell r="I1723">
            <v>2905840000000</v>
          </cell>
        </row>
        <row r="1724">
          <cell r="A1724" t="str">
            <v>Mozambique</v>
          </cell>
          <cell r="B1724">
            <v>508</v>
          </cell>
          <cell r="C1724">
            <v>203</v>
          </cell>
          <cell r="D1724">
            <v>22</v>
          </cell>
          <cell r="E1724" t="str">
            <v>Taxes on production and imports, less Subsidies</v>
          </cell>
          <cell r="F1724">
            <v>12</v>
          </cell>
          <cell r="G1724">
            <v>1999</v>
          </cell>
          <cell r="H1724">
            <v>100</v>
          </cell>
          <cell r="I1724">
            <v>2411215000000</v>
          </cell>
        </row>
        <row r="1725">
          <cell r="A1725" t="str">
            <v>Mozambique</v>
          </cell>
          <cell r="B1725">
            <v>508</v>
          </cell>
          <cell r="C1725">
            <v>203</v>
          </cell>
          <cell r="D1725">
            <v>22</v>
          </cell>
          <cell r="E1725" t="str">
            <v>Taxes on production and imports, less Subsidies</v>
          </cell>
          <cell r="F1725">
            <v>12</v>
          </cell>
          <cell r="G1725">
            <v>2000</v>
          </cell>
          <cell r="H1725">
            <v>100</v>
          </cell>
          <cell r="I1725">
            <v>976725000000</v>
          </cell>
        </row>
        <row r="1726">
          <cell r="A1726" t="str">
            <v>Mozambique</v>
          </cell>
          <cell r="B1726">
            <v>508</v>
          </cell>
          <cell r="C1726">
            <v>203</v>
          </cell>
          <cell r="D1726">
            <v>22</v>
          </cell>
          <cell r="E1726" t="str">
            <v>Taxes on production and imports, less Subsidies</v>
          </cell>
          <cell r="F1726">
            <v>12</v>
          </cell>
          <cell r="G1726">
            <v>2001</v>
          </cell>
          <cell r="H1726">
            <v>100</v>
          </cell>
          <cell r="I1726">
            <v>3169965000000</v>
          </cell>
        </row>
        <row r="1727">
          <cell r="A1727" t="str">
            <v>Netherlands Antilles</v>
          </cell>
          <cell r="B1727">
            <v>530</v>
          </cell>
          <cell r="C1727">
            <v>201</v>
          </cell>
          <cell r="D1727">
            <v>13</v>
          </cell>
          <cell r="E1727" t="str">
            <v>Less: Financial intermediation services indirectly measured (FISIM) (only to be deducted if FISIM is not distributed to uses)</v>
          </cell>
          <cell r="F1727">
            <v>0</v>
          </cell>
          <cell r="G1727">
            <v>1979</v>
          </cell>
          <cell r="H1727">
            <v>10</v>
          </cell>
          <cell r="I1727">
            <v>39700000</v>
          </cell>
        </row>
        <row r="1728">
          <cell r="A1728" t="str">
            <v>Netherlands Antilles</v>
          </cell>
          <cell r="B1728">
            <v>530</v>
          </cell>
          <cell r="C1728">
            <v>201</v>
          </cell>
          <cell r="D1728">
            <v>13</v>
          </cell>
          <cell r="E1728" t="str">
            <v>Less: Financial intermediation services indirectly measured (FISIM) (only to be deducted if FISIM is not distributed to uses)</v>
          </cell>
          <cell r="F1728">
            <v>0</v>
          </cell>
          <cell r="G1728">
            <v>1980</v>
          </cell>
          <cell r="H1728">
            <v>10</v>
          </cell>
          <cell r="I1728">
            <v>45600000</v>
          </cell>
        </row>
        <row r="1729">
          <cell r="A1729" t="str">
            <v>Netherlands Antilles</v>
          </cell>
          <cell r="B1729">
            <v>530</v>
          </cell>
          <cell r="C1729">
            <v>201</v>
          </cell>
          <cell r="D1729">
            <v>13</v>
          </cell>
          <cell r="E1729" t="str">
            <v>Less: Financial intermediation services indirectly measured (FISIM) (only to be deducted if FISIM is not distributed to uses)</v>
          </cell>
          <cell r="F1729">
            <v>0</v>
          </cell>
          <cell r="G1729">
            <v>1981</v>
          </cell>
          <cell r="H1729">
            <v>10</v>
          </cell>
          <cell r="I1729">
            <v>50900000</v>
          </cell>
        </row>
        <row r="1730">
          <cell r="A1730" t="str">
            <v>Netherlands Antilles</v>
          </cell>
          <cell r="B1730">
            <v>530</v>
          </cell>
          <cell r="C1730">
            <v>201</v>
          </cell>
          <cell r="D1730">
            <v>13</v>
          </cell>
          <cell r="E1730" t="str">
            <v>Less: Financial intermediation services indirectly measured (FISIM) (only to be deducted if FISIM is not distributed to uses)</v>
          </cell>
          <cell r="F1730">
            <v>0</v>
          </cell>
          <cell r="G1730">
            <v>1982</v>
          </cell>
          <cell r="H1730">
            <v>10</v>
          </cell>
          <cell r="I1730">
            <v>56600000</v>
          </cell>
        </row>
        <row r="1731">
          <cell r="A1731" t="str">
            <v>Netherlands Antilles</v>
          </cell>
          <cell r="B1731">
            <v>530</v>
          </cell>
          <cell r="C1731">
            <v>201</v>
          </cell>
          <cell r="D1731">
            <v>13</v>
          </cell>
          <cell r="E1731" t="str">
            <v>Less: Financial intermediation services indirectly measured (FISIM) (only to be deducted if FISIM is not distributed to uses)</v>
          </cell>
          <cell r="F1731">
            <v>0</v>
          </cell>
          <cell r="G1731">
            <v>1983</v>
          </cell>
          <cell r="H1731">
            <v>10</v>
          </cell>
          <cell r="I1731">
            <v>70500000</v>
          </cell>
        </row>
        <row r="1732">
          <cell r="A1732" t="str">
            <v>Netherlands Antilles</v>
          </cell>
          <cell r="B1732">
            <v>530</v>
          </cell>
          <cell r="C1732">
            <v>201</v>
          </cell>
          <cell r="D1732">
            <v>13</v>
          </cell>
          <cell r="E1732" t="str">
            <v>Less: Financial intermediation services indirectly measured (FISIM) (only to be deducted if FISIM is not distributed to uses)</v>
          </cell>
          <cell r="F1732">
            <v>0</v>
          </cell>
          <cell r="G1732">
            <v>1984</v>
          </cell>
          <cell r="H1732">
            <v>10</v>
          </cell>
          <cell r="I1732">
            <v>69300000</v>
          </cell>
        </row>
        <row r="1733">
          <cell r="A1733" t="str">
            <v>Netherlands Antilles</v>
          </cell>
          <cell r="B1733">
            <v>530</v>
          </cell>
          <cell r="C1733">
            <v>201</v>
          </cell>
          <cell r="D1733">
            <v>13</v>
          </cell>
          <cell r="E1733" t="str">
            <v>Less: Financial intermediation services indirectly measured (FISIM) (only to be deducted if FISIM is not distributed to uses)</v>
          </cell>
          <cell r="F1733">
            <v>0</v>
          </cell>
          <cell r="G1733">
            <v>1985</v>
          </cell>
          <cell r="H1733">
            <v>10</v>
          </cell>
          <cell r="I1733">
            <v>66400000</v>
          </cell>
        </row>
        <row r="1734">
          <cell r="A1734" t="str">
            <v>Netherlands Antilles</v>
          </cell>
          <cell r="B1734">
            <v>530</v>
          </cell>
          <cell r="C1734">
            <v>201</v>
          </cell>
          <cell r="D1734">
            <v>13</v>
          </cell>
          <cell r="E1734" t="str">
            <v>Less: Financial intermediation services indirectly measured (FISIM) (only to be deducted if FISIM is not distributed to uses)</v>
          </cell>
          <cell r="F1734">
            <v>0</v>
          </cell>
          <cell r="G1734">
            <v>1986</v>
          </cell>
          <cell r="H1734">
            <v>10</v>
          </cell>
          <cell r="I1734">
            <v>85400000</v>
          </cell>
        </row>
        <row r="1735">
          <cell r="A1735" t="str">
            <v>Netherlands Antilles</v>
          </cell>
          <cell r="B1735">
            <v>530</v>
          </cell>
          <cell r="C1735">
            <v>201</v>
          </cell>
          <cell r="D1735">
            <v>13</v>
          </cell>
          <cell r="E1735" t="str">
            <v>Less: Financial intermediation services indirectly measured (FISIM) (only to be deducted if FISIM is not distributed to uses)</v>
          </cell>
          <cell r="F1735">
            <v>0</v>
          </cell>
          <cell r="G1735">
            <v>1987</v>
          </cell>
          <cell r="H1735">
            <v>10</v>
          </cell>
          <cell r="I1735">
            <v>96900000</v>
          </cell>
        </row>
        <row r="1736">
          <cell r="A1736" t="str">
            <v>Netherlands Antilles</v>
          </cell>
          <cell r="B1736">
            <v>530</v>
          </cell>
          <cell r="C1736">
            <v>201</v>
          </cell>
          <cell r="D1736">
            <v>13</v>
          </cell>
          <cell r="E1736" t="str">
            <v>Less: Financial intermediation services indirectly measured (FISIM) (only to be deducted if FISIM is not distributed to uses)</v>
          </cell>
          <cell r="F1736">
            <v>0</v>
          </cell>
          <cell r="G1736">
            <v>1988</v>
          </cell>
          <cell r="H1736">
            <v>10</v>
          </cell>
          <cell r="I1736">
            <v>143900000</v>
          </cell>
        </row>
        <row r="1737">
          <cell r="A1737" t="str">
            <v>Netherlands Antilles</v>
          </cell>
          <cell r="B1737">
            <v>530</v>
          </cell>
          <cell r="C1737">
            <v>201</v>
          </cell>
          <cell r="D1737">
            <v>13</v>
          </cell>
          <cell r="E1737" t="str">
            <v>Less: Financial intermediation services indirectly measured (FISIM) (only to be deducted if FISIM is not distributed to uses)</v>
          </cell>
          <cell r="F1737">
            <v>0</v>
          </cell>
          <cell r="G1737">
            <v>1989</v>
          </cell>
          <cell r="H1737">
            <v>10</v>
          </cell>
          <cell r="I1737">
            <v>177200000</v>
          </cell>
        </row>
        <row r="1738">
          <cell r="A1738" t="str">
            <v>Netherlands Antilles</v>
          </cell>
          <cell r="B1738">
            <v>530</v>
          </cell>
          <cell r="C1738">
            <v>201</v>
          </cell>
          <cell r="D1738">
            <v>13</v>
          </cell>
          <cell r="E1738" t="str">
            <v>Less: Financial intermediation services indirectly measured (FISIM) (only to be deducted if FISIM is not distributed to uses)</v>
          </cell>
          <cell r="F1738">
            <v>0</v>
          </cell>
          <cell r="G1738">
            <v>1990</v>
          </cell>
          <cell r="H1738">
            <v>10</v>
          </cell>
          <cell r="I1738">
            <v>176000000</v>
          </cell>
        </row>
        <row r="1739">
          <cell r="A1739" t="str">
            <v>Netherlands Antilles</v>
          </cell>
          <cell r="B1739">
            <v>530</v>
          </cell>
          <cell r="C1739">
            <v>201</v>
          </cell>
          <cell r="D1739">
            <v>13</v>
          </cell>
          <cell r="E1739" t="str">
            <v>Less: Financial intermediation services indirectly measured (FISIM) (only to be deducted if FISIM is not distributed to uses)</v>
          </cell>
          <cell r="F1739">
            <v>0</v>
          </cell>
          <cell r="G1739">
            <v>1991</v>
          </cell>
          <cell r="H1739">
            <v>10</v>
          </cell>
          <cell r="I1739">
            <v>194700000</v>
          </cell>
        </row>
        <row r="1740">
          <cell r="A1740" t="str">
            <v>Netherlands Antilles</v>
          </cell>
          <cell r="B1740">
            <v>530</v>
          </cell>
          <cell r="C1740">
            <v>201</v>
          </cell>
          <cell r="D1740">
            <v>13</v>
          </cell>
          <cell r="E1740" t="str">
            <v>Less: Financial intermediation services indirectly measured (FISIM) (only to be deducted if FISIM is not distributed to uses)</v>
          </cell>
          <cell r="F1740">
            <v>0</v>
          </cell>
          <cell r="G1740">
            <v>1992</v>
          </cell>
          <cell r="H1740">
            <v>10</v>
          </cell>
          <cell r="I1740">
            <v>165000000</v>
          </cell>
        </row>
        <row r="1741">
          <cell r="A1741" t="str">
            <v>Netherlands Antilles</v>
          </cell>
          <cell r="B1741">
            <v>530</v>
          </cell>
          <cell r="C1741">
            <v>201</v>
          </cell>
          <cell r="D1741">
            <v>13</v>
          </cell>
          <cell r="E1741" t="str">
            <v>Less: Financial intermediation services indirectly measured (FISIM) (only to be deducted if FISIM is not distributed to uses)</v>
          </cell>
          <cell r="F1741">
            <v>0</v>
          </cell>
          <cell r="G1741">
            <v>1993</v>
          </cell>
          <cell r="H1741">
            <v>10</v>
          </cell>
          <cell r="I1741">
            <v>183000000</v>
          </cell>
        </row>
        <row r="1742">
          <cell r="A1742" t="str">
            <v>Netherlands Antilles</v>
          </cell>
          <cell r="B1742">
            <v>530</v>
          </cell>
          <cell r="C1742">
            <v>201</v>
          </cell>
          <cell r="D1742">
            <v>13</v>
          </cell>
          <cell r="E1742" t="str">
            <v>Less: Financial intermediation services indirectly measured (FISIM) (only to be deducted if FISIM is not distributed to uses)</v>
          </cell>
          <cell r="F1742">
            <v>0</v>
          </cell>
          <cell r="G1742">
            <v>1994</v>
          </cell>
          <cell r="H1742">
            <v>10</v>
          </cell>
          <cell r="I1742">
            <v>211000000</v>
          </cell>
        </row>
        <row r="1743">
          <cell r="A1743" t="str">
            <v>Netherlands Antilles</v>
          </cell>
          <cell r="B1743">
            <v>530</v>
          </cell>
          <cell r="C1743">
            <v>201</v>
          </cell>
          <cell r="D1743">
            <v>13</v>
          </cell>
          <cell r="E1743" t="str">
            <v>Less: Financial intermediation services indirectly measured (FISIM) (only to be deducted if FISIM is not distributed to uses)</v>
          </cell>
          <cell r="F1743">
            <v>0</v>
          </cell>
          <cell r="G1743">
            <v>1995</v>
          </cell>
          <cell r="H1743">
            <v>10</v>
          </cell>
          <cell r="I1743">
            <v>219000000</v>
          </cell>
        </row>
        <row r="1744">
          <cell r="A1744" t="str">
            <v>Netherlands Antilles</v>
          </cell>
          <cell r="B1744">
            <v>530</v>
          </cell>
          <cell r="C1744">
            <v>201</v>
          </cell>
          <cell r="D1744">
            <v>13</v>
          </cell>
          <cell r="E1744" t="str">
            <v>Less: Financial intermediation services indirectly measured (FISIM) (only to be deducted if FISIM is not distributed to uses)</v>
          </cell>
          <cell r="F1744">
            <v>0</v>
          </cell>
          <cell r="G1744">
            <v>1996</v>
          </cell>
          <cell r="H1744">
            <v>10</v>
          </cell>
          <cell r="I1744">
            <v>221000000</v>
          </cell>
        </row>
        <row r="1745">
          <cell r="A1745" t="str">
            <v>Netherlands Antilles</v>
          </cell>
          <cell r="B1745">
            <v>530</v>
          </cell>
          <cell r="C1745">
            <v>201</v>
          </cell>
          <cell r="D1745">
            <v>13</v>
          </cell>
          <cell r="E1745" t="str">
            <v>Less: Financial intermediation services indirectly measured (FISIM) (only to be deducted if FISIM is not distributed to uses)</v>
          </cell>
          <cell r="F1745">
            <v>0</v>
          </cell>
          <cell r="G1745">
            <v>1996</v>
          </cell>
          <cell r="H1745">
            <v>100</v>
          </cell>
          <cell r="I1745">
            <v>204900000</v>
          </cell>
        </row>
        <row r="1746">
          <cell r="A1746" t="str">
            <v>Netherlands Antilles</v>
          </cell>
          <cell r="B1746">
            <v>530</v>
          </cell>
          <cell r="C1746">
            <v>201</v>
          </cell>
          <cell r="D1746">
            <v>13</v>
          </cell>
          <cell r="E1746" t="str">
            <v>Less: Financial intermediation services indirectly measured (FISIM) (only to be deducted if FISIM is not distributed to uses)</v>
          </cell>
          <cell r="F1746">
            <v>0</v>
          </cell>
          <cell r="G1746">
            <v>1997</v>
          </cell>
          <cell r="H1746">
            <v>100</v>
          </cell>
          <cell r="I1746">
            <v>203900000</v>
          </cell>
        </row>
        <row r="1747">
          <cell r="A1747" t="str">
            <v>Netherlands Antilles</v>
          </cell>
          <cell r="B1747">
            <v>530</v>
          </cell>
          <cell r="C1747">
            <v>201</v>
          </cell>
          <cell r="D1747">
            <v>13</v>
          </cell>
          <cell r="E1747" t="str">
            <v>Less: Financial intermediation services indirectly measured (FISIM) (only to be deducted if FISIM is not distributed to uses)</v>
          </cell>
          <cell r="F1747">
            <v>0</v>
          </cell>
          <cell r="G1747">
            <v>1998</v>
          </cell>
          <cell r="H1747">
            <v>100</v>
          </cell>
          <cell r="I1747">
            <v>202600000</v>
          </cell>
        </row>
        <row r="1748">
          <cell r="A1748" t="str">
            <v>Netherlands Antilles</v>
          </cell>
          <cell r="B1748">
            <v>530</v>
          </cell>
          <cell r="C1748">
            <v>201</v>
          </cell>
          <cell r="D1748">
            <v>13</v>
          </cell>
          <cell r="E1748" t="str">
            <v>Less: Financial intermediation services indirectly measured (FISIM) (only to be deducted if FISIM is not distributed to uses)</v>
          </cell>
          <cell r="F1748">
            <v>0</v>
          </cell>
          <cell r="G1748">
            <v>1999</v>
          </cell>
          <cell r="H1748">
            <v>100</v>
          </cell>
          <cell r="I1748">
            <v>201400000</v>
          </cell>
        </row>
        <row r="1749">
          <cell r="A1749" t="str">
            <v>Netherlands Antilles</v>
          </cell>
          <cell r="B1749">
            <v>530</v>
          </cell>
          <cell r="C1749">
            <v>201</v>
          </cell>
          <cell r="D1749">
            <v>13</v>
          </cell>
          <cell r="E1749" t="str">
            <v>Less: Financial intermediation services indirectly measured (FISIM) (only to be deducted if FISIM is not distributed to uses)</v>
          </cell>
          <cell r="F1749">
            <v>0</v>
          </cell>
          <cell r="G1749">
            <v>2000</v>
          </cell>
          <cell r="H1749">
            <v>100</v>
          </cell>
          <cell r="I1749">
            <v>206300000</v>
          </cell>
        </row>
        <row r="1750">
          <cell r="A1750" t="str">
            <v>Netherlands Antilles</v>
          </cell>
          <cell r="B1750">
            <v>530</v>
          </cell>
          <cell r="C1750">
            <v>201</v>
          </cell>
          <cell r="D1750">
            <v>13</v>
          </cell>
          <cell r="E1750" t="str">
            <v>Less: Financial intermediation services indirectly measured (FISIM) (only to be deducted if FISIM is not distributed to uses)</v>
          </cell>
          <cell r="F1750">
            <v>0</v>
          </cell>
          <cell r="G1750">
            <v>2001</v>
          </cell>
          <cell r="H1750">
            <v>100</v>
          </cell>
          <cell r="I1750">
            <v>227100000</v>
          </cell>
        </row>
        <row r="1751">
          <cell r="A1751" t="str">
            <v>Netherlands Antilles</v>
          </cell>
          <cell r="B1751">
            <v>530</v>
          </cell>
          <cell r="C1751">
            <v>201</v>
          </cell>
          <cell r="D1751">
            <v>13</v>
          </cell>
          <cell r="E1751" t="str">
            <v>Less: Financial intermediation services indirectly measured (FISIM) (only to be deducted if FISIM is not distributed to uses)</v>
          </cell>
          <cell r="F1751">
            <v>0</v>
          </cell>
          <cell r="G1751">
            <v>2002</v>
          </cell>
          <cell r="H1751">
            <v>100</v>
          </cell>
          <cell r="I1751">
            <v>186100000</v>
          </cell>
        </row>
        <row r="1752">
          <cell r="A1752" t="str">
            <v>Netherlands Antilles</v>
          </cell>
          <cell r="B1752">
            <v>530</v>
          </cell>
          <cell r="C1752">
            <v>201</v>
          </cell>
          <cell r="D1752">
            <v>13</v>
          </cell>
          <cell r="E1752" t="str">
            <v>Less: Financial intermediation services indirectly measured (FISIM) (only to be deducted if FISIM is not distributed to uses)</v>
          </cell>
          <cell r="F1752">
            <v>0</v>
          </cell>
          <cell r="G1752">
            <v>2003</v>
          </cell>
          <cell r="H1752">
            <v>100</v>
          </cell>
          <cell r="I1752">
            <v>185700000</v>
          </cell>
        </row>
        <row r="1753">
          <cell r="A1753" t="str">
            <v>Netherlands Antilles</v>
          </cell>
          <cell r="B1753">
            <v>530</v>
          </cell>
          <cell r="C1753">
            <v>203</v>
          </cell>
          <cell r="D1753">
            <v>3</v>
          </cell>
          <cell r="E1753" t="str">
            <v>Equals: VALUE ADDED, GROSS, at basic prices</v>
          </cell>
          <cell r="F1753">
            <v>12</v>
          </cell>
          <cell r="G1753">
            <v>1990</v>
          </cell>
          <cell r="H1753">
            <v>10</v>
          </cell>
          <cell r="I1753">
            <v>3429100000</v>
          </cell>
        </row>
        <row r="1754">
          <cell r="A1754" t="str">
            <v>Netherlands Antilles</v>
          </cell>
          <cell r="B1754">
            <v>530</v>
          </cell>
          <cell r="C1754">
            <v>203</v>
          </cell>
          <cell r="D1754">
            <v>3</v>
          </cell>
          <cell r="E1754" t="str">
            <v>Equals: VALUE ADDED, GROSS, at basic prices</v>
          </cell>
          <cell r="F1754">
            <v>12</v>
          </cell>
          <cell r="G1754">
            <v>1991</v>
          </cell>
          <cell r="H1754">
            <v>10</v>
          </cell>
          <cell r="I1754">
            <v>3605700000</v>
          </cell>
        </row>
        <row r="1755">
          <cell r="A1755" t="str">
            <v>Netherlands Antilles</v>
          </cell>
          <cell r="B1755">
            <v>530</v>
          </cell>
          <cell r="C1755">
            <v>203</v>
          </cell>
          <cell r="D1755">
            <v>3</v>
          </cell>
          <cell r="E1755" t="str">
            <v>Equals: VALUE ADDED, GROSS, at basic prices</v>
          </cell>
          <cell r="F1755">
            <v>12</v>
          </cell>
          <cell r="G1755">
            <v>1992</v>
          </cell>
          <cell r="H1755">
            <v>10</v>
          </cell>
          <cell r="I1755">
            <v>3576000000</v>
          </cell>
        </row>
        <row r="1756">
          <cell r="A1756" t="str">
            <v>Netherlands Antilles</v>
          </cell>
          <cell r="B1756">
            <v>530</v>
          </cell>
          <cell r="C1756">
            <v>203</v>
          </cell>
          <cell r="D1756">
            <v>3</v>
          </cell>
          <cell r="E1756" t="str">
            <v>Equals: VALUE ADDED, GROSS, at basic prices</v>
          </cell>
          <cell r="F1756">
            <v>12</v>
          </cell>
          <cell r="G1756">
            <v>1993</v>
          </cell>
          <cell r="H1756">
            <v>10</v>
          </cell>
          <cell r="I1756">
            <v>3811000000</v>
          </cell>
        </row>
        <row r="1757">
          <cell r="A1757" t="str">
            <v>Netherlands Antilles</v>
          </cell>
          <cell r="B1757">
            <v>530</v>
          </cell>
          <cell r="C1757">
            <v>203</v>
          </cell>
          <cell r="D1757">
            <v>3</v>
          </cell>
          <cell r="E1757" t="str">
            <v>Equals: VALUE ADDED, GROSS, at basic prices</v>
          </cell>
          <cell r="F1757">
            <v>12</v>
          </cell>
          <cell r="G1757">
            <v>1994</v>
          </cell>
          <cell r="H1757">
            <v>10</v>
          </cell>
          <cell r="I1757">
            <v>4095000000</v>
          </cell>
        </row>
        <row r="1758">
          <cell r="A1758" t="str">
            <v>Netherlands Antilles</v>
          </cell>
          <cell r="B1758">
            <v>530</v>
          </cell>
          <cell r="C1758">
            <v>203</v>
          </cell>
          <cell r="D1758">
            <v>3</v>
          </cell>
          <cell r="E1758" t="str">
            <v>Equals: VALUE ADDED, GROSS, at basic prices</v>
          </cell>
          <cell r="F1758">
            <v>12</v>
          </cell>
          <cell r="G1758">
            <v>1995</v>
          </cell>
          <cell r="H1758">
            <v>10</v>
          </cell>
          <cell r="I1758">
            <v>4224000000</v>
          </cell>
        </row>
        <row r="1759">
          <cell r="A1759" t="str">
            <v>Netherlands Antilles</v>
          </cell>
          <cell r="B1759">
            <v>530</v>
          </cell>
          <cell r="C1759">
            <v>203</v>
          </cell>
          <cell r="D1759">
            <v>3</v>
          </cell>
          <cell r="E1759" t="str">
            <v>Equals: VALUE ADDED, GROSS, at basic prices</v>
          </cell>
          <cell r="F1759">
            <v>12</v>
          </cell>
          <cell r="G1759">
            <v>1996</v>
          </cell>
          <cell r="H1759">
            <v>10</v>
          </cell>
          <cell r="I1759">
            <v>4422000000</v>
          </cell>
        </row>
        <row r="1760">
          <cell r="A1760" t="str">
            <v>Netherlands Antilles</v>
          </cell>
          <cell r="B1760">
            <v>530</v>
          </cell>
          <cell r="C1760">
            <v>203</v>
          </cell>
          <cell r="D1760">
            <v>3</v>
          </cell>
          <cell r="E1760" t="str">
            <v>Equals: VALUE ADDED, GROSS, at basic prices</v>
          </cell>
          <cell r="F1760">
            <v>12</v>
          </cell>
          <cell r="G1760">
            <v>1996</v>
          </cell>
          <cell r="H1760">
            <v>100</v>
          </cell>
          <cell r="I1760">
            <v>4688800000</v>
          </cell>
        </row>
        <row r="1761">
          <cell r="A1761" t="str">
            <v>Netherlands Antilles</v>
          </cell>
          <cell r="B1761">
            <v>530</v>
          </cell>
          <cell r="C1761">
            <v>203</v>
          </cell>
          <cell r="D1761">
            <v>3</v>
          </cell>
          <cell r="E1761" t="str">
            <v>Equals: VALUE ADDED, GROSS, at basic prices</v>
          </cell>
          <cell r="F1761">
            <v>12</v>
          </cell>
          <cell r="G1761">
            <v>1997</v>
          </cell>
          <cell r="H1761">
            <v>100</v>
          </cell>
          <cell r="I1761">
            <v>4851100000</v>
          </cell>
        </row>
        <row r="1762">
          <cell r="A1762" t="str">
            <v>Netherlands Antilles</v>
          </cell>
          <cell r="B1762">
            <v>530</v>
          </cell>
          <cell r="C1762">
            <v>203</v>
          </cell>
          <cell r="D1762">
            <v>3</v>
          </cell>
          <cell r="E1762" t="str">
            <v>Equals: VALUE ADDED, GROSS, at basic prices</v>
          </cell>
          <cell r="F1762">
            <v>12</v>
          </cell>
          <cell r="G1762">
            <v>1998</v>
          </cell>
          <cell r="H1762">
            <v>100</v>
          </cell>
          <cell r="I1762">
            <v>4692600000</v>
          </cell>
        </row>
        <row r="1763">
          <cell r="A1763" t="str">
            <v>Netherlands Antilles</v>
          </cell>
          <cell r="B1763">
            <v>530</v>
          </cell>
          <cell r="C1763">
            <v>203</v>
          </cell>
          <cell r="D1763">
            <v>3</v>
          </cell>
          <cell r="E1763" t="str">
            <v>Equals: VALUE ADDED, GROSS, at basic prices</v>
          </cell>
          <cell r="F1763">
            <v>12</v>
          </cell>
          <cell r="G1763">
            <v>1999</v>
          </cell>
          <cell r="H1763">
            <v>100</v>
          </cell>
          <cell r="I1763">
            <v>4689400000</v>
          </cell>
        </row>
        <row r="1764">
          <cell r="A1764" t="str">
            <v>Netherlands Antilles</v>
          </cell>
          <cell r="B1764">
            <v>530</v>
          </cell>
          <cell r="C1764">
            <v>203</v>
          </cell>
          <cell r="D1764">
            <v>3</v>
          </cell>
          <cell r="E1764" t="str">
            <v>Equals: VALUE ADDED, GROSS, at basic prices</v>
          </cell>
          <cell r="F1764">
            <v>12</v>
          </cell>
          <cell r="G1764">
            <v>2000</v>
          </cell>
          <cell r="H1764">
            <v>100</v>
          </cell>
          <cell r="I1764">
            <v>4710700000</v>
          </cell>
        </row>
        <row r="1765">
          <cell r="A1765" t="str">
            <v>Netherlands Antilles</v>
          </cell>
          <cell r="B1765">
            <v>530</v>
          </cell>
          <cell r="C1765">
            <v>203</v>
          </cell>
          <cell r="D1765">
            <v>3</v>
          </cell>
          <cell r="E1765" t="str">
            <v>Equals: VALUE ADDED, GROSS, at basic prices</v>
          </cell>
          <cell r="F1765">
            <v>12</v>
          </cell>
          <cell r="G1765">
            <v>2001</v>
          </cell>
          <cell r="H1765">
            <v>100</v>
          </cell>
          <cell r="I1765">
            <v>4882900000</v>
          </cell>
        </row>
        <row r="1766">
          <cell r="A1766" t="str">
            <v>Netherlands Antilles</v>
          </cell>
          <cell r="B1766">
            <v>530</v>
          </cell>
          <cell r="C1766">
            <v>203</v>
          </cell>
          <cell r="D1766">
            <v>3</v>
          </cell>
          <cell r="E1766" t="str">
            <v>Equals: VALUE ADDED, GROSS, at basic prices</v>
          </cell>
          <cell r="F1766">
            <v>12</v>
          </cell>
          <cell r="G1766">
            <v>2002</v>
          </cell>
          <cell r="H1766">
            <v>100</v>
          </cell>
          <cell r="I1766">
            <v>4860300000</v>
          </cell>
        </row>
        <row r="1767">
          <cell r="A1767" t="str">
            <v>Netherlands Antilles</v>
          </cell>
          <cell r="B1767">
            <v>530</v>
          </cell>
          <cell r="C1767">
            <v>203</v>
          </cell>
          <cell r="D1767">
            <v>3</v>
          </cell>
          <cell r="E1767" t="str">
            <v>Equals: VALUE ADDED, GROSS, at basic prices</v>
          </cell>
          <cell r="F1767">
            <v>12</v>
          </cell>
          <cell r="G1767">
            <v>2003</v>
          </cell>
          <cell r="H1767">
            <v>100</v>
          </cell>
          <cell r="I1767">
            <v>5023100000</v>
          </cell>
        </row>
        <row r="1768">
          <cell r="A1768" t="str">
            <v>Netherlands Antilles</v>
          </cell>
          <cell r="B1768">
            <v>530</v>
          </cell>
          <cell r="C1768">
            <v>203</v>
          </cell>
          <cell r="D1768">
            <v>4</v>
          </cell>
          <cell r="E1768" t="str">
            <v>Compensation of employees</v>
          </cell>
          <cell r="F1768">
            <v>12</v>
          </cell>
          <cell r="G1768">
            <v>1992</v>
          </cell>
          <cell r="H1768">
            <v>10</v>
          </cell>
          <cell r="I1768">
            <v>2165000000</v>
          </cell>
        </row>
        <row r="1769">
          <cell r="A1769" t="str">
            <v>Netherlands Antilles</v>
          </cell>
          <cell r="B1769">
            <v>530</v>
          </cell>
          <cell r="C1769">
            <v>203</v>
          </cell>
          <cell r="D1769">
            <v>4</v>
          </cell>
          <cell r="E1769" t="str">
            <v>Compensation of employees</v>
          </cell>
          <cell r="F1769">
            <v>12</v>
          </cell>
          <cell r="G1769">
            <v>1993</v>
          </cell>
          <cell r="H1769">
            <v>10</v>
          </cell>
          <cell r="I1769">
            <v>2378000000</v>
          </cell>
        </row>
        <row r="1770">
          <cell r="A1770" t="str">
            <v>Netherlands Antilles</v>
          </cell>
          <cell r="B1770">
            <v>530</v>
          </cell>
          <cell r="C1770">
            <v>203</v>
          </cell>
          <cell r="D1770">
            <v>4</v>
          </cell>
          <cell r="E1770" t="str">
            <v>Compensation of employees</v>
          </cell>
          <cell r="F1770">
            <v>12</v>
          </cell>
          <cell r="G1770">
            <v>1994</v>
          </cell>
          <cell r="H1770">
            <v>10</v>
          </cell>
          <cell r="I1770">
            <v>2668000000</v>
          </cell>
        </row>
        <row r="1771">
          <cell r="A1771" t="str">
            <v>Netherlands Antilles</v>
          </cell>
          <cell r="B1771">
            <v>530</v>
          </cell>
          <cell r="C1771">
            <v>203</v>
          </cell>
          <cell r="D1771">
            <v>4</v>
          </cell>
          <cell r="E1771" t="str">
            <v>Compensation of employees</v>
          </cell>
          <cell r="F1771">
            <v>12</v>
          </cell>
          <cell r="G1771">
            <v>1995</v>
          </cell>
          <cell r="H1771">
            <v>10</v>
          </cell>
          <cell r="I1771">
            <v>2818000000</v>
          </cell>
        </row>
        <row r="1772">
          <cell r="A1772" t="str">
            <v>Netherlands Antilles</v>
          </cell>
          <cell r="B1772">
            <v>530</v>
          </cell>
          <cell r="C1772">
            <v>203</v>
          </cell>
          <cell r="D1772">
            <v>4</v>
          </cell>
          <cell r="E1772" t="str">
            <v>Compensation of employees</v>
          </cell>
          <cell r="F1772">
            <v>12</v>
          </cell>
          <cell r="G1772">
            <v>1996</v>
          </cell>
          <cell r="H1772">
            <v>10</v>
          </cell>
          <cell r="I1772">
            <v>2972000000</v>
          </cell>
        </row>
        <row r="1773">
          <cell r="A1773" t="str">
            <v>Netherlands Antilles</v>
          </cell>
          <cell r="B1773">
            <v>530</v>
          </cell>
          <cell r="C1773">
            <v>203</v>
          </cell>
          <cell r="D1773">
            <v>4</v>
          </cell>
          <cell r="E1773" t="str">
            <v>Compensation of employees</v>
          </cell>
          <cell r="F1773">
            <v>12</v>
          </cell>
          <cell r="G1773">
            <v>1996</v>
          </cell>
          <cell r="H1773">
            <v>100</v>
          </cell>
          <cell r="I1773">
            <v>3035800000</v>
          </cell>
        </row>
        <row r="1774">
          <cell r="A1774" t="str">
            <v>Netherlands Antilles</v>
          </cell>
          <cell r="B1774">
            <v>530</v>
          </cell>
          <cell r="C1774">
            <v>203</v>
          </cell>
          <cell r="D1774">
            <v>4</v>
          </cell>
          <cell r="E1774" t="str">
            <v>Compensation of employees</v>
          </cell>
          <cell r="F1774">
            <v>12</v>
          </cell>
          <cell r="G1774">
            <v>1997</v>
          </cell>
          <cell r="H1774">
            <v>100</v>
          </cell>
          <cell r="I1774">
            <v>3056100000</v>
          </cell>
        </row>
        <row r="1775">
          <cell r="A1775" t="str">
            <v>Netherlands Antilles</v>
          </cell>
          <cell r="B1775">
            <v>530</v>
          </cell>
          <cell r="C1775">
            <v>203</v>
          </cell>
          <cell r="D1775">
            <v>4</v>
          </cell>
          <cell r="E1775" t="str">
            <v>Compensation of employees</v>
          </cell>
          <cell r="F1775">
            <v>12</v>
          </cell>
          <cell r="G1775">
            <v>1998</v>
          </cell>
          <cell r="H1775">
            <v>100</v>
          </cell>
          <cell r="I1775">
            <v>2970400000</v>
          </cell>
        </row>
        <row r="1776">
          <cell r="A1776" t="str">
            <v>Netherlands Antilles</v>
          </cell>
          <cell r="B1776">
            <v>530</v>
          </cell>
          <cell r="C1776">
            <v>203</v>
          </cell>
          <cell r="D1776">
            <v>4</v>
          </cell>
          <cell r="E1776" t="str">
            <v>Compensation of employees</v>
          </cell>
          <cell r="F1776">
            <v>12</v>
          </cell>
          <cell r="G1776">
            <v>1999</v>
          </cell>
          <cell r="H1776">
            <v>100</v>
          </cell>
          <cell r="I1776">
            <v>3046000000</v>
          </cell>
        </row>
        <row r="1777">
          <cell r="A1777" t="str">
            <v>Netherlands Antilles</v>
          </cell>
          <cell r="B1777">
            <v>530</v>
          </cell>
          <cell r="C1777">
            <v>203</v>
          </cell>
          <cell r="D1777">
            <v>4</v>
          </cell>
          <cell r="E1777" t="str">
            <v>Compensation of employees</v>
          </cell>
          <cell r="F1777">
            <v>12</v>
          </cell>
          <cell r="G1777">
            <v>2000</v>
          </cell>
          <cell r="H1777">
            <v>100</v>
          </cell>
          <cell r="I1777">
            <v>3033500000</v>
          </cell>
        </row>
        <row r="1778">
          <cell r="A1778" t="str">
            <v>Netherlands Antilles</v>
          </cell>
          <cell r="B1778">
            <v>530</v>
          </cell>
          <cell r="C1778">
            <v>203</v>
          </cell>
          <cell r="D1778">
            <v>4</v>
          </cell>
          <cell r="E1778" t="str">
            <v>Compensation of employees</v>
          </cell>
          <cell r="F1778">
            <v>12</v>
          </cell>
          <cell r="G1778">
            <v>2001</v>
          </cell>
          <cell r="H1778">
            <v>100</v>
          </cell>
          <cell r="I1778">
            <v>3050400000</v>
          </cell>
        </row>
        <row r="1779">
          <cell r="A1779" t="str">
            <v>Netherlands Antilles</v>
          </cell>
          <cell r="B1779">
            <v>530</v>
          </cell>
          <cell r="C1779">
            <v>203</v>
          </cell>
          <cell r="D1779">
            <v>4</v>
          </cell>
          <cell r="E1779" t="str">
            <v>Compensation of employees</v>
          </cell>
          <cell r="F1779">
            <v>12</v>
          </cell>
          <cell r="G1779">
            <v>2002</v>
          </cell>
          <cell r="H1779">
            <v>100</v>
          </cell>
          <cell r="I1779">
            <v>3045400000</v>
          </cell>
        </row>
        <row r="1780">
          <cell r="A1780" t="str">
            <v>Netherlands Antilles</v>
          </cell>
          <cell r="B1780">
            <v>530</v>
          </cell>
          <cell r="C1780">
            <v>203</v>
          </cell>
          <cell r="D1780">
            <v>4</v>
          </cell>
          <cell r="E1780" t="str">
            <v>Compensation of employees</v>
          </cell>
          <cell r="F1780">
            <v>12</v>
          </cell>
          <cell r="G1780">
            <v>2003</v>
          </cell>
          <cell r="H1780">
            <v>100</v>
          </cell>
          <cell r="I1780">
            <v>3185200000</v>
          </cell>
        </row>
        <row r="1781">
          <cell r="A1781" t="str">
            <v>Netherlands Antilles</v>
          </cell>
          <cell r="B1781">
            <v>530</v>
          </cell>
          <cell r="C1781">
            <v>203</v>
          </cell>
          <cell r="D1781">
            <v>11</v>
          </cell>
          <cell r="E1781" t="str">
            <v>OPERATING SURPLUS, GROSS</v>
          </cell>
          <cell r="F1781">
            <v>12</v>
          </cell>
          <cell r="G1781">
            <v>1992</v>
          </cell>
          <cell r="H1781">
            <v>10</v>
          </cell>
          <cell r="I1781">
            <v>1177000000</v>
          </cell>
        </row>
        <row r="1782">
          <cell r="A1782" t="str">
            <v>Netherlands Antilles</v>
          </cell>
          <cell r="B1782">
            <v>530</v>
          </cell>
          <cell r="C1782">
            <v>203</v>
          </cell>
          <cell r="D1782">
            <v>11</v>
          </cell>
          <cell r="E1782" t="str">
            <v>OPERATING SURPLUS, GROSS</v>
          </cell>
          <cell r="F1782">
            <v>12</v>
          </cell>
          <cell r="G1782">
            <v>1993</v>
          </cell>
          <cell r="H1782">
            <v>10</v>
          </cell>
          <cell r="I1782">
            <v>1146000000</v>
          </cell>
        </row>
        <row r="1783">
          <cell r="A1783" t="str">
            <v>Netherlands Antilles</v>
          </cell>
          <cell r="B1783">
            <v>530</v>
          </cell>
          <cell r="C1783">
            <v>203</v>
          </cell>
          <cell r="D1783">
            <v>11</v>
          </cell>
          <cell r="E1783" t="str">
            <v>OPERATING SURPLUS, GROSS</v>
          </cell>
          <cell r="F1783">
            <v>12</v>
          </cell>
          <cell r="G1783">
            <v>1994</v>
          </cell>
          <cell r="H1783">
            <v>10</v>
          </cell>
          <cell r="I1783">
            <v>1118000000</v>
          </cell>
        </row>
        <row r="1784">
          <cell r="A1784" t="str">
            <v>Netherlands Antilles</v>
          </cell>
          <cell r="B1784">
            <v>530</v>
          </cell>
          <cell r="C1784">
            <v>203</v>
          </cell>
          <cell r="D1784">
            <v>11</v>
          </cell>
          <cell r="E1784" t="str">
            <v>OPERATING SURPLUS, GROSS</v>
          </cell>
          <cell r="F1784">
            <v>12</v>
          </cell>
          <cell r="G1784">
            <v>1995</v>
          </cell>
          <cell r="H1784">
            <v>10</v>
          </cell>
          <cell r="I1784">
            <v>1102000000</v>
          </cell>
        </row>
        <row r="1785">
          <cell r="A1785" t="str">
            <v>Netherlands Antilles</v>
          </cell>
          <cell r="B1785">
            <v>530</v>
          </cell>
          <cell r="C1785">
            <v>203</v>
          </cell>
          <cell r="D1785">
            <v>11</v>
          </cell>
          <cell r="E1785" t="str">
            <v>OPERATING SURPLUS, GROSS</v>
          </cell>
          <cell r="F1785">
            <v>12</v>
          </cell>
          <cell r="G1785">
            <v>1996</v>
          </cell>
          <cell r="H1785">
            <v>10</v>
          </cell>
          <cell r="I1785">
            <v>1103000000</v>
          </cell>
        </row>
        <row r="1786">
          <cell r="A1786" t="str">
            <v>Netherlands Antilles</v>
          </cell>
          <cell r="B1786">
            <v>530</v>
          </cell>
          <cell r="C1786">
            <v>203</v>
          </cell>
          <cell r="D1786">
            <v>11</v>
          </cell>
          <cell r="E1786" t="str">
            <v>OPERATING SURPLUS, GROSS</v>
          </cell>
          <cell r="F1786">
            <v>12</v>
          </cell>
          <cell r="G1786">
            <v>1996</v>
          </cell>
          <cell r="H1786">
            <v>100</v>
          </cell>
          <cell r="I1786">
            <v>1430600000</v>
          </cell>
        </row>
        <row r="1787">
          <cell r="A1787" t="str">
            <v>Netherlands Antilles</v>
          </cell>
          <cell r="B1787">
            <v>530</v>
          </cell>
          <cell r="C1787">
            <v>203</v>
          </cell>
          <cell r="D1787">
            <v>11</v>
          </cell>
          <cell r="E1787" t="str">
            <v>OPERATING SURPLUS, GROSS</v>
          </cell>
          <cell r="F1787">
            <v>12</v>
          </cell>
          <cell r="G1787">
            <v>1997</v>
          </cell>
          <cell r="H1787">
            <v>100</v>
          </cell>
          <cell r="I1787">
            <v>1571900000</v>
          </cell>
        </row>
        <row r="1788">
          <cell r="A1788" t="str">
            <v>Netherlands Antilles</v>
          </cell>
          <cell r="B1788">
            <v>530</v>
          </cell>
          <cell r="C1788">
            <v>203</v>
          </cell>
          <cell r="D1788">
            <v>11</v>
          </cell>
          <cell r="E1788" t="str">
            <v>OPERATING SURPLUS, GROSS</v>
          </cell>
          <cell r="F1788">
            <v>12</v>
          </cell>
          <cell r="G1788">
            <v>1998</v>
          </cell>
          <cell r="H1788">
            <v>100</v>
          </cell>
          <cell r="I1788">
            <v>1514600000</v>
          </cell>
        </row>
        <row r="1789">
          <cell r="A1789" t="str">
            <v>Netherlands Antilles</v>
          </cell>
          <cell r="B1789">
            <v>530</v>
          </cell>
          <cell r="C1789">
            <v>203</v>
          </cell>
          <cell r="D1789">
            <v>11</v>
          </cell>
          <cell r="E1789" t="str">
            <v>OPERATING SURPLUS, GROSS</v>
          </cell>
          <cell r="F1789">
            <v>12</v>
          </cell>
          <cell r="G1789">
            <v>1999</v>
          </cell>
          <cell r="H1789">
            <v>100</v>
          </cell>
          <cell r="I1789">
            <v>1425300000</v>
          </cell>
        </row>
        <row r="1790">
          <cell r="A1790" t="str">
            <v>Netherlands Antilles</v>
          </cell>
          <cell r="B1790">
            <v>530</v>
          </cell>
          <cell r="C1790">
            <v>203</v>
          </cell>
          <cell r="D1790">
            <v>11</v>
          </cell>
          <cell r="E1790" t="str">
            <v>OPERATING SURPLUS, GROSS</v>
          </cell>
          <cell r="F1790">
            <v>12</v>
          </cell>
          <cell r="G1790">
            <v>2000</v>
          </cell>
          <cell r="H1790">
            <v>100</v>
          </cell>
          <cell r="I1790">
            <v>1444400000</v>
          </cell>
        </row>
        <row r="1791">
          <cell r="A1791" t="str">
            <v>Netherlands Antilles</v>
          </cell>
          <cell r="B1791">
            <v>530</v>
          </cell>
          <cell r="C1791">
            <v>203</v>
          </cell>
          <cell r="D1791">
            <v>11</v>
          </cell>
          <cell r="E1791" t="str">
            <v>OPERATING SURPLUS, GROSS</v>
          </cell>
          <cell r="F1791">
            <v>12</v>
          </cell>
          <cell r="G1791">
            <v>2001</v>
          </cell>
          <cell r="H1791">
            <v>100</v>
          </cell>
          <cell r="I1791">
            <v>1571800000</v>
          </cell>
        </row>
        <row r="1792">
          <cell r="A1792" t="str">
            <v>Netherlands Antilles</v>
          </cell>
          <cell r="B1792">
            <v>530</v>
          </cell>
          <cell r="C1792">
            <v>203</v>
          </cell>
          <cell r="D1792">
            <v>11</v>
          </cell>
          <cell r="E1792" t="str">
            <v>OPERATING SURPLUS, GROSS</v>
          </cell>
          <cell r="F1792">
            <v>12</v>
          </cell>
          <cell r="G1792">
            <v>2002</v>
          </cell>
          <cell r="H1792">
            <v>100</v>
          </cell>
          <cell r="I1792">
            <v>1600500000</v>
          </cell>
        </row>
        <row r="1793">
          <cell r="A1793" t="str">
            <v>Netherlands Antilles</v>
          </cell>
          <cell r="B1793">
            <v>530</v>
          </cell>
          <cell r="C1793">
            <v>203</v>
          </cell>
          <cell r="D1793">
            <v>11</v>
          </cell>
          <cell r="E1793" t="str">
            <v>OPERATING SURPLUS, GROSS</v>
          </cell>
          <cell r="F1793">
            <v>12</v>
          </cell>
          <cell r="G1793">
            <v>2003</v>
          </cell>
          <cell r="H1793">
            <v>100</v>
          </cell>
          <cell r="I1793">
            <v>1627700000</v>
          </cell>
        </row>
        <row r="1794">
          <cell r="A1794" t="str">
            <v>Netherlands Antilles</v>
          </cell>
          <cell r="B1794">
            <v>530</v>
          </cell>
          <cell r="C1794">
            <v>203</v>
          </cell>
          <cell r="D1794">
            <v>22</v>
          </cell>
          <cell r="E1794" t="str">
            <v>Taxes on production and imports, less Subsidies</v>
          </cell>
          <cell r="F1794">
            <v>12</v>
          </cell>
          <cell r="G1794">
            <v>1992</v>
          </cell>
          <cell r="H1794">
            <v>10</v>
          </cell>
          <cell r="I1794">
            <v>234000000</v>
          </cell>
        </row>
        <row r="1795">
          <cell r="A1795" t="str">
            <v>Netherlands Antilles</v>
          </cell>
          <cell r="B1795">
            <v>530</v>
          </cell>
          <cell r="C1795">
            <v>203</v>
          </cell>
          <cell r="D1795">
            <v>22</v>
          </cell>
          <cell r="E1795" t="str">
            <v>Taxes on production and imports, less Subsidies</v>
          </cell>
          <cell r="F1795">
            <v>12</v>
          </cell>
          <cell r="G1795">
            <v>1993</v>
          </cell>
          <cell r="H1795">
            <v>10</v>
          </cell>
          <cell r="I1795">
            <v>286000000</v>
          </cell>
        </row>
        <row r="1796">
          <cell r="A1796" t="str">
            <v>Netherlands Antilles</v>
          </cell>
          <cell r="B1796">
            <v>530</v>
          </cell>
          <cell r="C1796">
            <v>203</v>
          </cell>
          <cell r="D1796">
            <v>22</v>
          </cell>
          <cell r="E1796" t="str">
            <v>Taxes on production and imports, less Subsidies</v>
          </cell>
          <cell r="F1796">
            <v>12</v>
          </cell>
          <cell r="G1796">
            <v>1994</v>
          </cell>
          <cell r="H1796">
            <v>10</v>
          </cell>
          <cell r="I1796">
            <v>309000000</v>
          </cell>
        </row>
        <row r="1797">
          <cell r="A1797" t="str">
            <v>Netherlands Antilles</v>
          </cell>
          <cell r="B1797">
            <v>530</v>
          </cell>
          <cell r="C1797">
            <v>203</v>
          </cell>
          <cell r="D1797">
            <v>22</v>
          </cell>
          <cell r="E1797" t="str">
            <v>Taxes on production and imports, less Subsidies</v>
          </cell>
          <cell r="F1797">
            <v>12</v>
          </cell>
          <cell r="G1797">
            <v>1995</v>
          </cell>
          <cell r="H1797">
            <v>10</v>
          </cell>
          <cell r="I1797">
            <v>304000000</v>
          </cell>
        </row>
        <row r="1798">
          <cell r="A1798" t="str">
            <v>Netherlands Antilles</v>
          </cell>
          <cell r="B1798">
            <v>530</v>
          </cell>
          <cell r="C1798">
            <v>203</v>
          </cell>
          <cell r="D1798">
            <v>22</v>
          </cell>
          <cell r="E1798" t="str">
            <v>Taxes on production and imports, less Subsidies</v>
          </cell>
          <cell r="F1798">
            <v>12</v>
          </cell>
          <cell r="G1798">
            <v>1996</v>
          </cell>
          <cell r="H1798">
            <v>10</v>
          </cell>
          <cell r="I1798">
            <v>347000000</v>
          </cell>
        </row>
        <row r="1799">
          <cell r="A1799" t="str">
            <v>Netherlands Antilles</v>
          </cell>
          <cell r="B1799">
            <v>530</v>
          </cell>
          <cell r="C1799">
            <v>203</v>
          </cell>
          <cell r="D1799">
            <v>22</v>
          </cell>
          <cell r="E1799" t="str">
            <v>Taxes on production and imports, less Subsidies</v>
          </cell>
          <cell r="F1799">
            <v>12</v>
          </cell>
          <cell r="G1799">
            <v>1996</v>
          </cell>
          <cell r="H1799">
            <v>100</v>
          </cell>
          <cell r="I1799">
            <v>17500000</v>
          </cell>
        </row>
        <row r="1800">
          <cell r="A1800" t="str">
            <v>Netherlands Antilles</v>
          </cell>
          <cell r="B1800">
            <v>530</v>
          </cell>
          <cell r="C1800">
            <v>203</v>
          </cell>
          <cell r="D1800">
            <v>22</v>
          </cell>
          <cell r="E1800" t="str">
            <v>Taxes on production and imports, less Subsidies</v>
          </cell>
          <cell r="F1800">
            <v>12</v>
          </cell>
          <cell r="G1800">
            <v>1997</v>
          </cell>
          <cell r="H1800">
            <v>100</v>
          </cell>
          <cell r="I1800">
            <v>19200000</v>
          </cell>
        </row>
        <row r="1801">
          <cell r="A1801" t="str">
            <v>Netherlands Antilles</v>
          </cell>
          <cell r="B1801">
            <v>530</v>
          </cell>
          <cell r="C1801">
            <v>203</v>
          </cell>
          <cell r="D1801">
            <v>22</v>
          </cell>
          <cell r="E1801" t="str">
            <v>Taxes on production and imports, less Subsidies</v>
          </cell>
          <cell r="F1801">
            <v>12</v>
          </cell>
          <cell r="G1801">
            <v>1998</v>
          </cell>
          <cell r="H1801">
            <v>100</v>
          </cell>
          <cell r="I1801">
            <v>5100000</v>
          </cell>
        </row>
        <row r="1802">
          <cell r="A1802" t="str">
            <v>Netherlands Antilles</v>
          </cell>
          <cell r="B1802">
            <v>530</v>
          </cell>
          <cell r="C1802">
            <v>203</v>
          </cell>
          <cell r="D1802">
            <v>22</v>
          </cell>
          <cell r="E1802" t="str">
            <v>Taxes on production and imports, less Subsidies</v>
          </cell>
          <cell r="F1802">
            <v>12</v>
          </cell>
          <cell r="G1802">
            <v>1999</v>
          </cell>
          <cell r="H1802">
            <v>100</v>
          </cell>
          <cell r="I1802">
            <v>16800000</v>
          </cell>
        </row>
        <row r="1803">
          <cell r="A1803" t="str">
            <v>Netherlands Antilles</v>
          </cell>
          <cell r="B1803">
            <v>530</v>
          </cell>
          <cell r="C1803">
            <v>203</v>
          </cell>
          <cell r="D1803">
            <v>22</v>
          </cell>
          <cell r="E1803" t="str">
            <v>Taxes on production and imports, less Subsidies</v>
          </cell>
          <cell r="F1803">
            <v>12</v>
          </cell>
          <cell r="G1803">
            <v>2000</v>
          </cell>
          <cell r="H1803">
            <v>100</v>
          </cell>
          <cell r="I1803">
            <v>26300000</v>
          </cell>
        </row>
        <row r="1804">
          <cell r="A1804" t="str">
            <v>Netherlands Antilles</v>
          </cell>
          <cell r="B1804">
            <v>530</v>
          </cell>
          <cell r="C1804">
            <v>203</v>
          </cell>
          <cell r="D1804">
            <v>22</v>
          </cell>
          <cell r="E1804" t="str">
            <v>Taxes on production and imports, less Subsidies</v>
          </cell>
          <cell r="F1804">
            <v>12</v>
          </cell>
          <cell r="G1804">
            <v>2001</v>
          </cell>
          <cell r="H1804">
            <v>100</v>
          </cell>
          <cell r="I1804">
            <v>33700000</v>
          </cell>
        </row>
        <row r="1805">
          <cell r="A1805" t="str">
            <v>Netherlands Antilles</v>
          </cell>
          <cell r="B1805">
            <v>530</v>
          </cell>
          <cell r="C1805">
            <v>203</v>
          </cell>
          <cell r="D1805">
            <v>22</v>
          </cell>
          <cell r="E1805" t="str">
            <v>Taxes on production and imports, less Subsidies</v>
          </cell>
          <cell r="F1805">
            <v>12</v>
          </cell>
          <cell r="G1805">
            <v>2002</v>
          </cell>
          <cell r="H1805">
            <v>100</v>
          </cell>
          <cell r="I1805">
            <v>28300000</v>
          </cell>
        </row>
        <row r="1806">
          <cell r="A1806" t="str">
            <v>Netherlands Antilles</v>
          </cell>
          <cell r="B1806">
            <v>530</v>
          </cell>
          <cell r="C1806">
            <v>203</v>
          </cell>
          <cell r="D1806">
            <v>22</v>
          </cell>
          <cell r="E1806" t="str">
            <v>Taxes on production and imports, less Subsidies</v>
          </cell>
          <cell r="F1806">
            <v>12</v>
          </cell>
          <cell r="G1806">
            <v>2003</v>
          </cell>
          <cell r="H1806">
            <v>100</v>
          </cell>
          <cell r="I1806">
            <v>25500000</v>
          </cell>
        </row>
        <row r="1807">
          <cell r="A1807" t="str">
            <v>Vanuatu</v>
          </cell>
          <cell r="B1807">
            <v>548</v>
          </cell>
          <cell r="C1807">
            <v>201</v>
          </cell>
          <cell r="D1807">
            <v>13</v>
          </cell>
          <cell r="E1807" t="str">
            <v>Less: Financial intermediation services indirectly measured (FISIM) (only to be deducted if FISIM is not distributed to uses)</v>
          </cell>
          <cell r="F1807">
            <v>0</v>
          </cell>
          <cell r="G1807">
            <v>1983</v>
          </cell>
          <cell r="H1807">
            <v>10</v>
          </cell>
          <cell r="I1807">
            <v>465000000</v>
          </cell>
        </row>
        <row r="1808">
          <cell r="A1808" t="str">
            <v>Vanuatu</v>
          </cell>
          <cell r="B1808">
            <v>548</v>
          </cell>
          <cell r="C1808">
            <v>201</v>
          </cell>
          <cell r="D1808">
            <v>13</v>
          </cell>
          <cell r="E1808" t="str">
            <v>Less: Financial intermediation services indirectly measured (FISIM) (only to be deducted if FISIM is not distributed to uses)</v>
          </cell>
          <cell r="F1808">
            <v>0</v>
          </cell>
          <cell r="G1808">
            <v>1984</v>
          </cell>
          <cell r="H1808">
            <v>10</v>
          </cell>
          <cell r="I1808">
            <v>425000000</v>
          </cell>
        </row>
        <row r="1809">
          <cell r="A1809" t="str">
            <v>Vanuatu</v>
          </cell>
          <cell r="B1809">
            <v>548</v>
          </cell>
          <cell r="C1809">
            <v>201</v>
          </cell>
          <cell r="D1809">
            <v>13</v>
          </cell>
          <cell r="E1809" t="str">
            <v>Less: Financial intermediation services indirectly measured (FISIM) (only to be deducted if FISIM is not distributed to uses)</v>
          </cell>
          <cell r="F1809">
            <v>0</v>
          </cell>
          <cell r="G1809">
            <v>1985</v>
          </cell>
          <cell r="H1809">
            <v>10</v>
          </cell>
          <cell r="I1809">
            <v>583000000</v>
          </cell>
        </row>
        <row r="1810">
          <cell r="A1810" t="str">
            <v>Vanuatu</v>
          </cell>
          <cell r="B1810">
            <v>548</v>
          </cell>
          <cell r="C1810">
            <v>201</v>
          </cell>
          <cell r="D1810">
            <v>13</v>
          </cell>
          <cell r="E1810" t="str">
            <v>Less: Financial intermediation services indirectly measured (FISIM) (only to be deducted if FISIM is not distributed to uses)</v>
          </cell>
          <cell r="F1810">
            <v>0</v>
          </cell>
          <cell r="G1810">
            <v>1986</v>
          </cell>
          <cell r="H1810">
            <v>10</v>
          </cell>
          <cell r="I1810">
            <v>727000000</v>
          </cell>
        </row>
        <row r="1811">
          <cell r="A1811" t="str">
            <v>Vanuatu</v>
          </cell>
          <cell r="B1811">
            <v>548</v>
          </cell>
          <cell r="C1811">
            <v>201</v>
          </cell>
          <cell r="D1811">
            <v>13</v>
          </cell>
          <cell r="E1811" t="str">
            <v>Less: Financial intermediation services indirectly measured (FISIM) (only to be deducted if FISIM is not distributed to uses)</v>
          </cell>
          <cell r="F1811">
            <v>0</v>
          </cell>
          <cell r="G1811">
            <v>1987</v>
          </cell>
          <cell r="H1811">
            <v>10</v>
          </cell>
          <cell r="I1811">
            <v>201000000</v>
          </cell>
        </row>
        <row r="1812">
          <cell r="A1812" t="str">
            <v>Vanuatu</v>
          </cell>
          <cell r="B1812">
            <v>548</v>
          </cell>
          <cell r="C1812">
            <v>201</v>
          </cell>
          <cell r="D1812">
            <v>13</v>
          </cell>
          <cell r="E1812" t="str">
            <v>Less: Financial intermediation services indirectly measured (FISIM) (only to be deducted if FISIM is not distributed to uses)</v>
          </cell>
          <cell r="F1812">
            <v>0</v>
          </cell>
          <cell r="G1812">
            <v>1988</v>
          </cell>
          <cell r="H1812">
            <v>10</v>
          </cell>
          <cell r="I1812">
            <v>466000000</v>
          </cell>
        </row>
        <row r="1813">
          <cell r="A1813" t="str">
            <v>Vanuatu</v>
          </cell>
          <cell r="B1813">
            <v>548</v>
          </cell>
          <cell r="C1813">
            <v>201</v>
          </cell>
          <cell r="D1813">
            <v>13</v>
          </cell>
          <cell r="E1813" t="str">
            <v>Less: Financial intermediation services indirectly measured (FISIM) (only to be deducted if FISIM is not distributed to uses)</v>
          </cell>
          <cell r="F1813">
            <v>0</v>
          </cell>
          <cell r="G1813">
            <v>1994</v>
          </cell>
          <cell r="H1813">
            <v>20</v>
          </cell>
          <cell r="I1813">
            <v>1286000000</v>
          </cell>
        </row>
        <row r="1814">
          <cell r="A1814" t="str">
            <v>Vanuatu</v>
          </cell>
          <cell r="B1814">
            <v>548</v>
          </cell>
          <cell r="C1814">
            <v>201</v>
          </cell>
          <cell r="D1814">
            <v>13</v>
          </cell>
          <cell r="E1814" t="str">
            <v>Less: Financial intermediation services indirectly measured (FISIM) (only to be deducted if FISIM is not distributed to uses)</v>
          </cell>
          <cell r="F1814">
            <v>0</v>
          </cell>
          <cell r="G1814">
            <v>1995</v>
          </cell>
          <cell r="H1814">
            <v>20</v>
          </cell>
          <cell r="I1814">
            <v>1406000000</v>
          </cell>
        </row>
        <row r="1815">
          <cell r="A1815" t="str">
            <v>Vanuatu</v>
          </cell>
          <cell r="B1815">
            <v>548</v>
          </cell>
          <cell r="C1815">
            <v>201</v>
          </cell>
          <cell r="D1815">
            <v>13</v>
          </cell>
          <cell r="E1815" t="str">
            <v>Less: Financial intermediation services indirectly measured (FISIM) (only to be deducted if FISIM is not distributed to uses)</v>
          </cell>
          <cell r="F1815">
            <v>0</v>
          </cell>
          <cell r="G1815">
            <v>1996</v>
          </cell>
          <cell r="H1815">
            <v>20</v>
          </cell>
          <cell r="I1815">
            <v>1454000000</v>
          </cell>
        </row>
        <row r="1816">
          <cell r="A1816" t="str">
            <v>Vanuatu</v>
          </cell>
          <cell r="B1816">
            <v>548</v>
          </cell>
          <cell r="C1816">
            <v>201</v>
          </cell>
          <cell r="D1816">
            <v>13</v>
          </cell>
          <cell r="E1816" t="str">
            <v>Less: Financial intermediation services indirectly measured (FISIM) (only to be deducted if FISIM is not distributed to uses)</v>
          </cell>
          <cell r="F1816">
            <v>0</v>
          </cell>
          <cell r="G1816">
            <v>1997</v>
          </cell>
          <cell r="H1816">
            <v>20</v>
          </cell>
          <cell r="I1816">
            <v>1365000000</v>
          </cell>
        </row>
        <row r="1817">
          <cell r="A1817" t="str">
            <v>Vanuatu</v>
          </cell>
          <cell r="B1817">
            <v>548</v>
          </cell>
          <cell r="C1817">
            <v>201</v>
          </cell>
          <cell r="D1817">
            <v>13</v>
          </cell>
          <cell r="E1817" t="str">
            <v>Less: Financial intermediation services indirectly measured (FISIM) (only to be deducted if FISIM is not distributed to uses)</v>
          </cell>
          <cell r="F1817">
            <v>0</v>
          </cell>
          <cell r="G1817">
            <v>1998</v>
          </cell>
          <cell r="H1817">
            <v>20</v>
          </cell>
          <cell r="I1817">
            <v>1600000000</v>
          </cell>
        </row>
        <row r="1818">
          <cell r="A1818" t="str">
            <v>Vanuatu</v>
          </cell>
          <cell r="B1818">
            <v>548</v>
          </cell>
          <cell r="C1818">
            <v>201</v>
          </cell>
          <cell r="D1818">
            <v>13</v>
          </cell>
          <cell r="E1818" t="str">
            <v>Less: Financial intermediation services indirectly measured (FISIM) (only to be deducted if FISIM is not distributed to uses)</v>
          </cell>
          <cell r="F1818">
            <v>0</v>
          </cell>
          <cell r="G1818">
            <v>1999</v>
          </cell>
          <cell r="H1818">
            <v>20</v>
          </cell>
          <cell r="I1818">
            <v>1616000000</v>
          </cell>
        </row>
        <row r="1819">
          <cell r="A1819" t="str">
            <v>Vanuatu</v>
          </cell>
          <cell r="B1819">
            <v>548</v>
          </cell>
          <cell r="C1819">
            <v>201</v>
          </cell>
          <cell r="D1819">
            <v>13</v>
          </cell>
          <cell r="E1819" t="str">
            <v>Less: Financial intermediation services indirectly measured (FISIM) (only to be deducted if FISIM is not distributed to uses)</v>
          </cell>
          <cell r="F1819">
            <v>0</v>
          </cell>
          <cell r="G1819">
            <v>2000</v>
          </cell>
          <cell r="H1819">
            <v>20</v>
          </cell>
          <cell r="I1819">
            <v>1622000000</v>
          </cell>
        </row>
        <row r="1820">
          <cell r="A1820" t="str">
            <v>Vanuatu</v>
          </cell>
          <cell r="B1820">
            <v>548</v>
          </cell>
          <cell r="C1820">
            <v>201</v>
          </cell>
          <cell r="D1820">
            <v>13</v>
          </cell>
          <cell r="E1820" t="str">
            <v>Less: Financial intermediation services indirectly measured (FISIM) (only to be deducted if FISIM is not distributed to uses)</v>
          </cell>
          <cell r="F1820">
            <v>0</v>
          </cell>
          <cell r="G1820">
            <v>2001</v>
          </cell>
          <cell r="H1820">
            <v>20</v>
          </cell>
          <cell r="I1820">
            <v>1671000000</v>
          </cell>
        </row>
        <row r="1821">
          <cell r="A1821" t="str">
            <v>Niger</v>
          </cell>
          <cell r="B1821">
            <v>562</v>
          </cell>
          <cell r="C1821">
            <v>201</v>
          </cell>
          <cell r="D1821">
            <v>13</v>
          </cell>
          <cell r="E1821" t="str">
            <v>Less: Financial intermediation services indirectly measured (FISIM) (only to be deducted if FISIM is not distributed to uses)</v>
          </cell>
          <cell r="F1821">
            <v>0</v>
          </cell>
          <cell r="G1821">
            <v>1975</v>
          </cell>
          <cell r="H1821">
            <v>10</v>
          </cell>
          <cell r="I1821">
            <v>2336000000</v>
          </cell>
        </row>
        <row r="1822">
          <cell r="A1822" t="str">
            <v>Niger</v>
          </cell>
          <cell r="B1822">
            <v>562</v>
          </cell>
          <cell r="C1822">
            <v>201</v>
          </cell>
          <cell r="D1822">
            <v>13</v>
          </cell>
          <cell r="E1822" t="str">
            <v>Less: Financial intermediation services indirectly measured (FISIM) (only to be deducted if FISIM is not distributed to uses)</v>
          </cell>
          <cell r="F1822">
            <v>0</v>
          </cell>
          <cell r="G1822">
            <v>1976</v>
          </cell>
          <cell r="H1822">
            <v>10</v>
          </cell>
          <cell r="I1822">
            <v>2995000000</v>
          </cell>
        </row>
        <row r="1823">
          <cell r="A1823" t="str">
            <v>Niger</v>
          </cell>
          <cell r="B1823">
            <v>562</v>
          </cell>
          <cell r="C1823">
            <v>201</v>
          </cell>
          <cell r="D1823">
            <v>13</v>
          </cell>
          <cell r="E1823" t="str">
            <v>Less: Financial intermediation services indirectly measured (FISIM) (only to be deducted if FISIM is not distributed to uses)</v>
          </cell>
          <cell r="F1823">
            <v>0</v>
          </cell>
          <cell r="G1823">
            <v>1977</v>
          </cell>
          <cell r="H1823">
            <v>10</v>
          </cell>
          <cell r="I1823">
            <v>3834000000</v>
          </cell>
        </row>
        <row r="1824">
          <cell r="A1824" t="str">
            <v>Niger</v>
          </cell>
          <cell r="B1824">
            <v>562</v>
          </cell>
          <cell r="C1824">
            <v>201</v>
          </cell>
          <cell r="D1824">
            <v>13</v>
          </cell>
          <cell r="E1824" t="str">
            <v>Less: Financial intermediation services indirectly measured (FISIM) (only to be deducted if FISIM is not distributed to uses)</v>
          </cell>
          <cell r="F1824">
            <v>0</v>
          </cell>
          <cell r="G1824">
            <v>1978</v>
          </cell>
          <cell r="H1824">
            <v>10</v>
          </cell>
          <cell r="I1824">
            <v>3004000000</v>
          </cell>
        </row>
        <row r="1825">
          <cell r="A1825" t="str">
            <v>Niger</v>
          </cell>
          <cell r="B1825">
            <v>562</v>
          </cell>
          <cell r="C1825">
            <v>201</v>
          </cell>
          <cell r="D1825">
            <v>13</v>
          </cell>
          <cell r="E1825" t="str">
            <v>Less: Financial intermediation services indirectly measured (FISIM) (only to be deducted if FISIM is not distributed to uses)</v>
          </cell>
          <cell r="F1825">
            <v>0</v>
          </cell>
          <cell r="G1825">
            <v>1979</v>
          </cell>
          <cell r="H1825">
            <v>10</v>
          </cell>
          <cell r="I1825">
            <v>4757000000</v>
          </cell>
        </row>
        <row r="1826">
          <cell r="A1826" t="str">
            <v>Niger</v>
          </cell>
          <cell r="B1826">
            <v>562</v>
          </cell>
          <cell r="C1826">
            <v>201</v>
          </cell>
          <cell r="D1826">
            <v>13</v>
          </cell>
          <cell r="E1826" t="str">
            <v>Less: Financial intermediation services indirectly measured (FISIM) (only to be deducted if FISIM is not distributed to uses)</v>
          </cell>
          <cell r="F1826">
            <v>0</v>
          </cell>
          <cell r="G1826">
            <v>1980</v>
          </cell>
          <cell r="H1826">
            <v>10</v>
          </cell>
          <cell r="I1826">
            <v>6302000000</v>
          </cell>
        </row>
        <row r="1827">
          <cell r="A1827" t="str">
            <v>Niger</v>
          </cell>
          <cell r="B1827">
            <v>562</v>
          </cell>
          <cell r="C1827">
            <v>201</v>
          </cell>
          <cell r="D1827">
            <v>13</v>
          </cell>
          <cell r="E1827" t="str">
            <v>Less: Financial intermediation services indirectly measured (FISIM) (only to be deducted if FISIM is not distributed to uses)</v>
          </cell>
          <cell r="F1827">
            <v>0</v>
          </cell>
          <cell r="G1827">
            <v>1981</v>
          </cell>
          <cell r="H1827">
            <v>10</v>
          </cell>
          <cell r="I1827">
            <v>8828000000</v>
          </cell>
        </row>
        <row r="1828">
          <cell r="A1828" t="str">
            <v>Niger</v>
          </cell>
          <cell r="B1828">
            <v>562</v>
          </cell>
          <cell r="C1828">
            <v>201</v>
          </cell>
          <cell r="D1828">
            <v>13</v>
          </cell>
          <cell r="E1828" t="str">
            <v>Less: Financial intermediation services indirectly measured (FISIM) (only to be deducted if FISIM is not distributed to uses)</v>
          </cell>
          <cell r="F1828">
            <v>0</v>
          </cell>
          <cell r="G1828">
            <v>1982</v>
          </cell>
          <cell r="H1828">
            <v>10</v>
          </cell>
          <cell r="I1828">
            <v>9576000000</v>
          </cell>
        </row>
        <row r="1829">
          <cell r="A1829" t="str">
            <v>Niger</v>
          </cell>
          <cell r="B1829">
            <v>562</v>
          </cell>
          <cell r="C1829">
            <v>201</v>
          </cell>
          <cell r="D1829">
            <v>13</v>
          </cell>
          <cell r="E1829" t="str">
            <v>Less: Financial intermediation services indirectly measured (FISIM) (only to be deducted if FISIM is not distributed to uses)</v>
          </cell>
          <cell r="F1829">
            <v>0</v>
          </cell>
          <cell r="G1829">
            <v>1983</v>
          </cell>
          <cell r="H1829">
            <v>10</v>
          </cell>
          <cell r="I1829">
            <v>8673000000</v>
          </cell>
        </row>
        <row r="1830">
          <cell r="A1830" t="str">
            <v>Niger</v>
          </cell>
          <cell r="B1830">
            <v>562</v>
          </cell>
          <cell r="C1830">
            <v>201</v>
          </cell>
          <cell r="D1830">
            <v>13</v>
          </cell>
          <cell r="E1830" t="str">
            <v>Less: Financial intermediation services indirectly measured (FISIM) (only to be deducted if FISIM is not distributed to uses)</v>
          </cell>
          <cell r="F1830">
            <v>0</v>
          </cell>
          <cell r="G1830">
            <v>1984</v>
          </cell>
          <cell r="H1830">
            <v>10</v>
          </cell>
          <cell r="I1830">
            <v>6654000000</v>
          </cell>
        </row>
        <row r="1831">
          <cell r="A1831" t="str">
            <v>Niger</v>
          </cell>
          <cell r="B1831">
            <v>562</v>
          </cell>
          <cell r="C1831">
            <v>201</v>
          </cell>
          <cell r="D1831">
            <v>13</v>
          </cell>
          <cell r="E1831" t="str">
            <v>Less: Financial intermediation services indirectly measured (FISIM) (only to be deducted if FISIM is not distributed to uses)</v>
          </cell>
          <cell r="F1831">
            <v>0</v>
          </cell>
          <cell r="G1831">
            <v>1985</v>
          </cell>
          <cell r="H1831">
            <v>10</v>
          </cell>
          <cell r="I1831">
            <v>5530000000</v>
          </cell>
        </row>
        <row r="1832">
          <cell r="A1832" t="str">
            <v>Niger</v>
          </cell>
          <cell r="B1832">
            <v>562</v>
          </cell>
          <cell r="C1832">
            <v>201</v>
          </cell>
          <cell r="D1832">
            <v>13</v>
          </cell>
          <cell r="E1832" t="str">
            <v>Less: Financial intermediation services indirectly measured (FISIM) (only to be deducted if FISIM is not distributed to uses)</v>
          </cell>
          <cell r="F1832">
            <v>0</v>
          </cell>
          <cell r="G1832">
            <v>1986</v>
          </cell>
          <cell r="H1832">
            <v>10</v>
          </cell>
          <cell r="I1832">
            <v>3771000000</v>
          </cell>
        </row>
        <row r="1833">
          <cell r="A1833" t="str">
            <v>Niger</v>
          </cell>
          <cell r="B1833">
            <v>562</v>
          </cell>
          <cell r="C1833">
            <v>201</v>
          </cell>
          <cell r="D1833">
            <v>13</v>
          </cell>
          <cell r="E1833" t="str">
            <v>Less: Financial intermediation services indirectly measured (FISIM) (only to be deducted if FISIM is not distributed to uses)</v>
          </cell>
          <cell r="F1833">
            <v>0</v>
          </cell>
          <cell r="G1833">
            <v>1987</v>
          </cell>
          <cell r="H1833">
            <v>10</v>
          </cell>
          <cell r="I1833">
            <v>3436000000</v>
          </cell>
        </row>
        <row r="1834">
          <cell r="A1834" t="str">
            <v>Niger</v>
          </cell>
          <cell r="B1834">
            <v>562</v>
          </cell>
          <cell r="C1834">
            <v>201</v>
          </cell>
          <cell r="D1834">
            <v>13</v>
          </cell>
          <cell r="E1834" t="str">
            <v>Less: Financial intermediation services indirectly measured (FISIM) (only to be deducted if FISIM is not distributed to uses)</v>
          </cell>
          <cell r="F1834">
            <v>0</v>
          </cell>
          <cell r="G1834">
            <v>1995</v>
          </cell>
          <cell r="H1834">
            <v>10</v>
          </cell>
          <cell r="I1834">
            <v>5317000000</v>
          </cell>
        </row>
        <row r="1835">
          <cell r="A1835" t="str">
            <v>Niger</v>
          </cell>
          <cell r="B1835">
            <v>562</v>
          </cell>
          <cell r="C1835">
            <v>201</v>
          </cell>
          <cell r="D1835">
            <v>13</v>
          </cell>
          <cell r="E1835" t="str">
            <v>Less: Financial intermediation services indirectly measured (FISIM) (only to be deducted if FISIM is not distributed to uses)</v>
          </cell>
          <cell r="F1835">
            <v>0</v>
          </cell>
          <cell r="G1835">
            <v>1996</v>
          </cell>
          <cell r="H1835">
            <v>10</v>
          </cell>
          <cell r="I1835">
            <v>4465000000</v>
          </cell>
        </row>
        <row r="1836">
          <cell r="A1836" t="str">
            <v>Niger</v>
          </cell>
          <cell r="B1836">
            <v>562</v>
          </cell>
          <cell r="C1836">
            <v>201</v>
          </cell>
          <cell r="D1836">
            <v>13</v>
          </cell>
          <cell r="E1836" t="str">
            <v>Less: Financial intermediation services indirectly measured (FISIM) (only to be deducted if FISIM is not distributed to uses)</v>
          </cell>
          <cell r="F1836">
            <v>0</v>
          </cell>
          <cell r="G1836">
            <v>1997</v>
          </cell>
          <cell r="H1836">
            <v>10</v>
          </cell>
          <cell r="I1836">
            <v>4779000000</v>
          </cell>
        </row>
        <row r="1837">
          <cell r="A1837" t="str">
            <v>Niger</v>
          </cell>
          <cell r="B1837">
            <v>562</v>
          </cell>
          <cell r="C1837">
            <v>201</v>
          </cell>
          <cell r="D1837">
            <v>13</v>
          </cell>
          <cell r="E1837" t="str">
            <v>Less: Financial intermediation services indirectly measured (FISIM) (only to be deducted if FISIM is not distributed to uses)</v>
          </cell>
          <cell r="F1837">
            <v>0</v>
          </cell>
          <cell r="G1837">
            <v>1998</v>
          </cell>
          <cell r="H1837">
            <v>10</v>
          </cell>
          <cell r="I1837">
            <v>5735000000</v>
          </cell>
        </row>
        <row r="1838">
          <cell r="A1838" t="str">
            <v>Niger</v>
          </cell>
          <cell r="B1838">
            <v>562</v>
          </cell>
          <cell r="C1838">
            <v>201</v>
          </cell>
          <cell r="D1838">
            <v>13</v>
          </cell>
          <cell r="E1838" t="str">
            <v>Less: Financial intermediation services indirectly measured (FISIM) (only to be deducted if FISIM is not distributed to uses)</v>
          </cell>
          <cell r="F1838">
            <v>0</v>
          </cell>
          <cell r="G1838">
            <v>1999</v>
          </cell>
          <cell r="H1838">
            <v>10</v>
          </cell>
          <cell r="I1838">
            <v>6312000000</v>
          </cell>
        </row>
        <row r="1839">
          <cell r="A1839" t="str">
            <v>Niger</v>
          </cell>
          <cell r="B1839">
            <v>562</v>
          </cell>
          <cell r="C1839">
            <v>201</v>
          </cell>
          <cell r="D1839">
            <v>13</v>
          </cell>
          <cell r="E1839" t="str">
            <v>Less: Financial intermediation services indirectly measured (FISIM) (only to be deducted if FISIM is not distributed to uses)</v>
          </cell>
          <cell r="F1839">
            <v>0</v>
          </cell>
          <cell r="G1839">
            <v>2000</v>
          </cell>
          <cell r="H1839">
            <v>10</v>
          </cell>
          <cell r="I1839">
            <v>6501000000</v>
          </cell>
        </row>
        <row r="1840">
          <cell r="A1840" t="str">
            <v>Niger</v>
          </cell>
          <cell r="B1840">
            <v>562</v>
          </cell>
          <cell r="C1840">
            <v>201</v>
          </cell>
          <cell r="D1840">
            <v>13</v>
          </cell>
          <cell r="E1840" t="str">
            <v>Less: Financial intermediation services indirectly measured (FISIM) (only to be deducted if FISIM is not distributed to uses)</v>
          </cell>
          <cell r="F1840">
            <v>0</v>
          </cell>
          <cell r="G1840">
            <v>2001</v>
          </cell>
          <cell r="H1840">
            <v>10</v>
          </cell>
          <cell r="I1840">
            <v>7884000000</v>
          </cell>
        </row>
        <row r="1841">
          <cell r="A1841" t="str">
            <v>Niger</v>
          </cell>
          <cell r="B1841">
            <v>562</v>
          </cell>
          <cell r="C1841">
            <v>201</v>
          </cell>
          <cell r="D1841">
            <v>13</v>
          </cell>
          <cell r="E1841" t="str">
            <v>Less: Financial intermediation services indirectly measured (FISIM) (only to be deducted if FISIM is not distributed to uses)</v>
          </cell>
          <cell r="F1841">
            <v>0</v>
          </cell>
          <cell r="G1841">
            <v>2002</v>
          </cell>
          <cell r="H1841">
            <v>10</v>
          </cell>
          <cell r="I1841">
            <v>8097000000</v>
          </cell>
        </row>
        <row r="1842">
          <cell r="A1842" t="str">
            <v>Niger</v>
          </cell>
          <cell r="B1842">
            <v>562</v>
          </cell>
          <cell r="C1842">
            <v>201</v>
          </cell>
          <cell r="D1842">
            <v>13</v>
          </cell>
          <cell r="E1842" t="str">
            <v>Less: Financial intermediation services indirectly measured (FISIM) (only to be deducted if FISIM is not distributed to uses)</v>
          </cell>
          <cell r="F1842">
            <v>0</v>
          </cell>
          <cell r="G1842">
            <v>2003</v>
          </cell>
          <cell r="H1842">
            <v>10</v>
          </cell>
          <cell r="I1842">
            <v>8218000000</v>
          </cell>
        </row>
        <row r="1843">
          <cell r="A1843" t="str">
            <v>Niger</v>
          </cell>
          <cell r="B1843">
            <v>562</v>
          </cell>
          <cell r="C1843">
            <v>203</v>
          </cell>
          <cell r="D1843">
            <v>3</v>
          </cell>
          <cell r="E1843" t="str">
            <v>Equals: VALUE ADDED, GROSS, at basic prices</v>
          </cell>
          <cell r="F1843">
            <v>12</v>
          </cell>
          <cell r="G1843">
            <v>1975</v>
          </cell>
          <cell r="H1843">
            <v>10</v>
          </cell>
          <cell r="I1843">
            <v>175779000000</v>
          </cell>
        </row>
        <row r="1844">
          <cell r="A1844" t="str">
            <v>Niger</v>
          </cell>
          <cell r="B1844">
            <v>562</v>
          </cell>
          <cell r="C1844">
            <v>203</v>
          </cell>
          <cell r="D1844">
            <v>3</v>
          </cell>
          <cell r="E1844" t="str">
            <v>Equals: VALUE ADDED, GROSS, at basic prices</v>
          </cell>
          <cell r="F1844">
            <v>12</v>
          </cell>
          <cell r="G1844">
            <v>1976</v>
          </cell>
          <cell r="H1844">
            <v>10</v>
          </cell>
          <cell r="I1844">
            <v>231286000000</v>
          </cell>
        </row>
        <row r="1845">
          <cell r="A1845" t="str">
            <v>Niger</v>
          </cell>
          <cell r="B1845">
            <v>562</v>
          </cell>
          <cell r="C1845">
            <v>203</v>
          </cell>
          <cell r="D1845">
            <v>3</v>
          </cell>
          <cell r="E1845" t="str">
            <v>Equals: VALUE ADDED, GROSS, at basic prices</v>
          </cell>
          <cell r="F1845">
            <v>12</v>
          </cell>
          <cell r="G1845">
            <v>1977</v>
          </cell>
          <cell r="H1845">
            <v>10</v>
          </cell>
          <cell r="I1845">
            <v>280916000000</v>
          </cell>
        </row>
        <row r="1846">
          <cell r="A1846" t="str">
            <v>Niger</v>
          </cell>
          <cell r="B1846">
            <v>562</v>
          </cell>
          <cell r="C1846">
            <v>203</v>
          </cell>
          <cell r="D1846">
            <v>4</v>
          </cell>
          <cell r="E1846" t="str">
            <v>Compensation of employees</v>
          </cell>
          <cell r="F1846">
            <v>12</v>
          </cell>
          <cell r="G1846">
            <v>1975</v>
          </cell>
          <cell r="H1846">
            <v>10</v>
          </cell>
          <cell r="I1846">
            <v>37827000000</v>
          </cell>
        </row>
        <row r="1847">
          <cell r="A1847" t="str">
            <v>Niger</v>
          </cell>
          <cell r="B1847">
            <v>562</v>
          </cell>
          <cell r="C1847">
            <v>203</v>
          </cell>
          <cell r="D1847">
            <v>4</v>
          </cell>
          <cell r="E1847" t="str">
            <v>Compensation of employees</v>
          </cell>
          <cell r="F1847">
            <v>12</v>
          </cell>
          <cell r="G1847">
            <v>1976</v>
          </cell>
          <cell r="H1847">
            <v>10</v>
          </cell>
          <cell r="I1847">
            <v>46298000000</v>
          </cell>
        </row>
        <row r="1848">
          <cell r="A1848" t="str">
            <v>Niger</v>
          </cell>
          <cell r="B1848">
            <v>562</v>
          </cell>
          <cell r="C1848">
            <v>203</v>
          </cell>
          <cell r="D1848">
            <v>4</v>
          </cell>
          <cell r="E1848" t="str">
            <v>Compensation of employees</v>
          </cell>
          <cell r="F1848">
            <v>12</v>
          </cell>
          <cell r="G1848">
            <v>1977</v>
          </cell>
          <cell r="H1848">
            <v>10</v>
          </cell>
          <cell r="I1848">
            <v>54267000000</v>
          </cell>
        </row>
        <row r="1849">
          <cell r="A1849" t="str">
            <v>Niger</v>
          </cell>
          <cell r="B1849">
            <v>562</v>
          </cell>
          <cell r="C1849">
            <v>203</v>
          </cell>
          <cell r="D1849">
            <v>11</v>
          </cell>
          <cell r="E1849" t="str">
            <v>OPERATING SURPLUS, GROSS</v>
          </cell>
          <cell r="F1849">
            <v>12</v>
          </cell>
          <cell r="G1849">
            <v>1975</v>
          </cell>
          <cell r="H1849">
            <v>10</v>
          </cell>
          <cell r="I1849">
            <v>133028000000</v>
          </cell>
        </row>
        <row r="1850">
          <cell r="A1850" t="str">
            <v>Niger</v>
          </cell>
          <cell r="B1850">
            <v>562</v>
          </cell>
          <cell r="C1850">
            <v>203</v>
          </cell>
          <cell r="D1850">
            <v>11</v>
          </cell>
          <cell r="E1850" t="str">
            <v>OPERATING SURPLUS, GROSS</v>
          </cell>
          <cell r="F1850">
            <v>12</v>
          </cell>
          <cell r="G1850">
            <v>1976</v>
          </cell>
          <cell r="H1850">
            <v>10</v>
          </cell>
          <cell r="I1850">
            <v>178728000000</v>
          </cell>
        </row>
        <row r="1851">
          <cell r="A1851" t="str">
            <v>Niger</v>
          </cell>
          <cell r="B1851">
            <v>562</v>
          </cell>
          <cell r="C1851">
            <v>203</v>
          </cell>
          <cell r="D1851">
            <v>11</v>
          </cell>
          <cell r="E1851" t="str">
            <v>OPERATING SURPLUS, GROSS</v>
          </cell>
          <cell r="F1851">
            <v>12</v>
          </cell>
          <cell r="G1851">
            <v>1977</v>
          </cell>
          <cell r="H1851">
            <v>10</v>
          </cell>
          <cell r="I1851">
            <v>218639000000</v>
          </cell>
        </row>
        <row r="1852">
          <cell r="A1852" t="str">
            <v>Poland</v>
          </cell>
          <cell r="B1852">
            <v>616</v>
          </cell>
          <cell r="C1852">
            <v>203</v>
          </cell>
          <cell r="D1852">
            <v>3</v>
          </cell>
          <cell r="E1852" t="str">
            <v>Equals: VALUE ADDED, GROSS, at basic prices</v>
          </cell>
          <cell r="F1852">
            <v>12</v>
          </cell>
          <cell r="G1852">
            <v>1991</v>
          </cell>
          <cell r="H1852">
            <v>100</v>
          </cell>
          <cell r="I1852">
            <v>78198900000</v>
          </cell>
        </row>
        <row r="1853">
          <cell r="A1853" t="str">
            <v>Poland</v>
          </cell>
          <cell r="B1853">
            <v>616</v>
          </cell>
          <cell r="C1853">
            <v>203</v>
          </cell>
          <cell r="D1853">
            <v>3</v>
          </cell>
          <cell r="E1853" t="str">
            <v>Equals: VALUE ADDED, GROSS, at basic prices</v>
          </cell>
          <cell r="F1853">
            <v>12</v>
          </cell>
          <cell r="G1853">
            <v>1992</v>
          </cell>
          <cell r="H1853">
            <v>100</v>
          </cell>
          <cell r="I1853">
            <v>110260600000</v>
          </cell>
        </row>
        <row r="1854">
          <cell r="A1854" t="str">
            <v>Poland</v>
          </cell>
          <cell r="B1854">
            <v>616</v>
          </cell>
          <cell r="C1854">
            <v>203</v>
          </cell>
          <cell r="D1854">
            <v>3</v>
          </cell>
          <cell r="E1854" t="str">
            <v>Equals: VALUE ADDED, GROSS, at basic prices</v>
          </cell>
          <cell r="F1854">
            <v>12</v>
          </cell>
          <cell r="G1854">
            <v>1993</v>
          </cell>
          <cell r="H1854">
            <v>100</v>
          </cell>
          <cell r="I1854">
            <v>143616600000</v>
          </cell>
        </row>
        <row r="1855">
          <cell r="A1855" t="str">
            <v>Poland</v>
          </cell>
          <cell r="B1855">
            <v>616</v>
          </cell>
          <cell r="C1855">
            <v>203</v>
          </cell>
          <cell r="D1855">
            <v>3</v>
          </cell>
          <cell r="E1855" t="str">
            <v>Equals: VALUE ADDED, GROSS, at basic prices</v>
          </cell>
          <cell r="F1855">
            <v>12</v>
          </cell>
          <cell r="G1855">
            <v>1994</v>
          </cell>
          <cell r="H1855">
            <v>100</v>
          </cell>
          <cell r="I1855">
            <v>194406800000</v>
          </cell>
        </row>
        <row r="1856">
          <cell r="A1856" t="str">
            <v>Poland</v>
          </cell>
          <cell r="B1856">
            <v>616</v>
          </cell>
          <cell r="C1856">
            <v>203</v>
          </cell>
          <cell r="D1856">
            <v>3</v>
          </cell>
          <cell r="E1856" t="str">
            <v>Equals: VALUE ADDED, GROSS, at basic prices</v>
          </cell>
          <cell r="F1856">
            <v>12</v>
          </cell>
          <cell r="G1856">
            <v>1995</v>
          </cell>
          <cell r="H1856">
            <v>100</v>
          </cell>
          <cell r="I1856">
            <v>268289100000</v>
          </cell>
        </row>
        <row r="1857">
          <cell r="A1857" t="str">
            <v>Poland</v>
          </cell>
          <cell r="B1857">
            <v>616</v>
          </cell>
          <cell r="C1857">
            <v>203</v>
          </cell>
          <cell r="D1857">
            <v>3</v>
          </cell>
          <cell r="E1857" t="str">
            <v>Equals: VALUE ADDED, GROSS, at basic prices</v>
          </cell>
          <cell r="F1857">
            <v>12</v>
          </cell>
          <cell r="G1857">
            <v>1995</v>
          </cell>
          <cell r="H1857">
            <v>200</v>
          </cell>
          <cell r="I1857">
            <v>286851300000</v>
          </cell>
        </row>
        <row r="1858">
          <cell r="A1858" t="str">
            <v>Poland</v>
          </cell>
          <cell r="B1858">
            <v>616</v>
          </cell>
          <cell r="C1858">
            <v>203</v>
          </cell>
          <cell r="D1858">
            <v>3</v>
          </cell>
          <cell r="E1858" t="str">
            <v>Equals: VALUE ADDED, GROSS, at basic prices</v>
          </cell>
          <cell r="F1858">
            <v>12</v>
          </cell>
          <cell r="G1858">
            <v>1996</v>
          </cell>
          <cell r="H1858">
            <v>200</v>
          </cell>
          <cell r="I1858">
            <v>359655100000</v>
          </cell>
        </row>
        <row r="1859">
          <cell r="A1859" t="str">
            <v>Poland</v>
          </cell>
          <cell r="B1859">
            <v>616</v>
          </cell>
          <cell r="C1859">
            <v>203</v>
          </cell>
          <cell r="D1859">
            <v>3</v>
          </cell>
          <cell r="E1859" t="str">
            <v>Equals: VALUE ADDED, GROSS, at basic prices</v>
          </cell>
          <cell r="F1859">
            <v>12</v>
          </cell>
          <cell r="G1859">
            <v>1997</v>
          </cell>
          <cell r="H1859">
            <v>200</v>
          </cell>
          <cell r="I1859">
            <v>439247500000</v>
          </cell>
        </row>
        <row r="1860">
          <cell r="A1860" t="str">
            <v>Poland</v>
          </cell>
          <cell r="B1860">
            <v>616</v>
          </cell>
          <cell r="C1860">
            <v>203</v>
          </cell>
          <cell r="D1860">
            <v>3</v>
          </cell>
          <cell r="E1860" t="str">
            <v>Equals: VALUE ADDED, GROSS, at basic prices</v>
          </cell>
          <cell r="F1860">
            <v>12</v>
          </cell>
          <cell r="G1860">
            <v>1998</v>
          </cell>
          <cell r="H1860">
            <v>200</v>
          </cell>
          <cell r="I1860">
            <v>515182400000</v>
          </cell>
        </row>
        <row r="1861">
          <cell r="A1861" t="str">
            <v>Poland</v>
          </cell>
          <cell r="B1861">
            <v>616</v>
          </cell>
          <cell r="C1861">
            <v>203</v>
          </cell>
          <cell r="D1861">
            <v>3</v>
          </cell>
          <cell r="E1861" t="str">
            <v>Equals: VALUE ADDED, GROSS, at basic prices</v>
          </cell>
          <cell r="F1861">
            <v>12</v>
          </cell>
          <cell r="G1861">
            <v>1999</v>
          </cell>
          <cell r="H1861">
            <v>200</v>
          </cell>
          <cell r="I1861">
            <v>565926800000</v>
          </cell>
        </row>
        <row r="1862">
          <cell r="A1862" t="str">
            <v>Poland</v>
          </cell>
          <cell r="B1862">
            <v>616</v>
          </cell>
          <cell r="C1862">
            <v>203</v>
          </cell>
          <cell r="D1862">
            <v>3</v>
          </cell>
          <cell r="E1862" t="str">
            <v>Equals: VALUE ADDED, GROSS, at basic prices</v>
          </cell>
          <cell r="F1862">
            <v>12</v>
          </cell>
          <cell r="G1862">
            <v>2000</v>
          </cell>
          <cell r="H1862">
            <v>200</v>
          </cell>
          <cell r="I1862">
            <v>633091700000</v>
          </cell>
        </row>
        <row r="1863">
          <cell r="A1863" t="str">
            <v>Poland</v>
          </cell>
          <cell r="B1863">
            <v>616</v>
          </cell>
          <cell r="C1863">
            <v>203</v>
          </cell>
          <cell r="D1863">
            <v>3</v>
          </cell>
          <cell r="E1863" t="str">
            <v>Equals: VALUE ADDED, GROSS, at basic prices</v>
          </cell>
          <cell r="F1863">
            <v>12</v>
          </cell>
          <cell r="G1863">
            <v>2001</v>
          </cell>
          <cell r="H1863">
            <v>200</v>
          </cell>
          <cell r="I1863">
            <v>667194300000</v>
          </cell>
        </row>
        <row r="1864">
          <cell r="A1864" t="str">
            <v>Poland</v>
          </cell>
          <cell r="B1864">
            <v>616</v>
          </cell>
          <cell r="C1864">
            <v>203</v>
          </cell>
          <cell r="D1864">
            <v>3</v>
          </cell>
          <cell r="E1864" t="str">
            <v>Equals: VALUE ADDED, GROSS, at basic prices</v>
          </cell>
          <cell r="F1864">
            <v>12</v>
          </cell>
          <cell r="G1864">
            <v>2002</v>
          </cell>
          <cell r="H1864">
            <v>200</v>
          </cell>
          <cell r="I1864">
            <v>682860700000</v>
          </cell>
        </row>
        <row r="1865">
          <cell r="A1865" t="str">
            <v>Poland</v>
          </cell>
          <cell r="B1865">
            <v>616</v>
          </cell>
          <cell r="C1865">
            <v>203</v>
          </cell>
          <cell r="D1865">
            <v>3</v>
          </cell>
          <cell r="E1865" t="str">
            <v>Equals: VALUE ADDED, GROSS, at basic prices</v>
          </cell>
          <cell r="F1865">
            <v>12</v>
          </cell>
          <cell r="G1865">
            <v>2003</v>
          </cell>
          <cell r="H1865">
            <v>200</v>
          </cell>
          <cell r="I1865">
            <v>711727800000</v>
          </cell>
        </row>
        <row r="1866">
          <cell r="A1866" t="str">
            <v>Poland</v>
          </cell>
          <cell r="B1866">
            <v>616</v>
          </cell>
          <cell r="C1866">
            <v>203</v>
          </cell>
          <cell r="D1866">
            <v>4</v>
          </cell>
          <cell r="E1866" t="str">
            <v>Compensation of employees</v>
          </cell>
          <cell r="F1866">
            <v>12</v>
          </cell>
          <cell r="G1866">
            <v>1991</v>
          </cell>
          <cell r="H1866">
            <v>100</v>
          </cell>
          <cell r="I1866">
            <v>33889500000</v>
          </cell>
        </row>
        <row r="1867">
          <cell r="A1867" t="str">
            <v>Poland</v>
          </cell>
          <cell r="B1867">
            <v>616</v>
          </cell>
          <cell r="C1867">
            <v>203</v>
          </cell>
          <cell r="D1867">
            <v>4</v>
          </cell>
          <cell r="E1867" t="str">
            <v>Compensation of employees</v>
          </cell>
          <cell r="F1867">
            <v>12</v>
          </cell>
          <cell r="G1867">
            <v>1992</v>
          </cell>
          <cell r="H1867">
            <v>100</v>
          </cell>
          <cell r="I1867">
            <v>54078500000</v>
          </cell>
        </row>
        <row r="1868">
          <cell r="A1868" t="str">
            <v>Poland</v>
          </cell>
          <cell r="B1868">
            <v>616</v>
          </cell>
          <cell r="C1868">
            <v>203</v>
          </cell>
          <cell r="D1868">
            <v>4</v>
          </cell>
          <cell r="E1868" t="str">
            <v>Compensation of employees</v>
          </cell>
          <cell r="F1868">
            <v>12</v>
          </cell>
          <cell r="G1868">
            <v>1993</v>
          </cell>
          <cell r="H1868">
            <v>100</v>
          </cell>
          <cell r="I1868">
            <v>68810600000</v>
          </cell>
        </row>
        <row r="1869">
          <cell r="A1869" t="str">
            <v>Poland</v>
          </cell>
          <cell r="B1869">
            <v>616</v>
          </cell>
          <cell r="C1869">
            <v>203</v>
          </cell>
          <cell r="D1869">
            <v>4</v>
          </cell>
          <cell r="E1869" t="str">
            <v>Compensation of employees</v>
          </cell>
          <cell r="F1869">
            <v>12</v>
          </cell>
          <cell r="G1869">
            <v>1994</v>
          </cell>
          <cell r="H1869">
            <v>100</v>
          </cell>
          <cell r="I1869">
            <v>96021500000</v>
          </cell>
        </row>
        <row r="1870">
          <cell r="A1870" t="str">
            <v>Poland</v>
          </cell>
          <cell r="B1870">
            <v>616</v>
          </cell>
          <cell r="C1870">
            <v>203</v>
          </cell>
          <cell r="D1870">
            <v>4</v>
          </cell>
          <cell r="E1870" t="str">
            <v>Compensation of employees</v>
          </cell>
          <cell r="F1870">
            <v>12</v>
          </cell>
          <cell r="G1870">
            <v>1995</v>
          </cell>
          <cell r="H1870">
            <v>100</v>
          </cell>
          <cell r="I1870">
            <v>132227200000</v>
          </cell>
        </row>
        <row r="1871">
          <cell r="A1871" t="str">
            <v>Poland</v>
          </cell>
          <cell r="B1871">
            <v>616</v>
          </cell>
          <cell r="C1871">
            <v>203</v>
          </cell>
          <cell r="D1871">
            <v>4</v>
          </cell>
          <cell r="E1871" t="str">
            <v>Compensation of employees</v>
          </cell>
          <cell r="F1871">
            <v>12</v>
          </cell>
          <cell r="G1871">
            <v>1995</v>
          </cell>
          <cell r="H1871">
            <v>200</v>
          </cell>
          <cell r="I1871">
            <v>133023600000</v>
          </cell>
        </row>
        <row r="1872">
          <cell r="A1872" t="str">
            <v>Poland</v>
          </cell>
          <cell r="B1872">
            <v>616</v>
          </cell>
          <cell r="C1872">
            <v>203</v>
          </cell>
          <cell r="D1872">
            <v>4</v>
          </cell>
          <cell r="E1872" t="str">
            <v>Compensation of employees</v>
          </cell>
          <cell r="F1872">
            <v>12</v>
          </cell>
          <cell r="G1872">
            <v>1996</v>
          </cell>
          <cell r="H1872">
            <v>200</v>
          </cell>
          <cell r="I1872">
            <v>173258900000</v>
          </cell>
        </row>
        <row r="1873">
          <cell r="A1873" t="str">
            <v>Poland</v>
          </cell>
          <cell r="B1873">
            <v>616</v>
          </cell>
          <cell r="C1873">
            <v>203</v>
          </cell>
          <cell r="D1873">
            <v>4</v>
          </cell>
          <cell r="E1873" t="str">
            <v>Compensation of employees</v>
          </cell>
          <cell r="F1873">
            <v>12</v>
          </cell>
          <cell r="G1873">
            <v>1997</v>
          </cell>
          <cell r="H1873">
            <v>200</v>
          </cell>
          <cell r="I1873">
            <v>215701200000</v>
          </cell>
        </row>
        <row r="1874">
          <cell r="A1874" t="str">
            <v>Poland</v>
          </cell>
          <cell r="B1874">
            <v>616</v>
          </cell>
          <cell r="C1874">
            <v>203</v>
          </cell>
          <cell r="D1874">
            <v>4</v>
          </cell>
          <cell r="E1874" t="str">
            <v>Compensation of employees</v>
          </cell>
          <cell r="F1874">
            <v>12</v>
          </cell>
          <cell r="G1874">
            <v>1998</v>
          </cell>
          <cell r="H1874">
            <v>200</v>
          </cell>
          <cell r="I1874">
            <v>252999500000</v>
          </cell>
        </row>
        <row r="1875">
          <cell r="A1875" t="str">
            <v>Poland</v>
          </cell>
          <cell r="B1875">
            <v>616</v>
          </cell>
          <cell r="C1875">
            <v>203</v>
          </cell>
          <cell r="D1875">
            <v>4</v>
          </cell>
          <cell r="E1875" t="str">
            <v>Compensation of employees</v>
          </cell>
          <cell r="F1875">
            <v>12</v>
          </cell>
          <cell r="G1875">
            <v>1999</v>
          </cell>
          <cell r="H1875">
            <v>200</v>
          </cell>
          <cell r="I1875">
            <v>279783000000</v>
          </cell>
        </row>
        <row r="1876">
          <cell r="A1876" t="str">
            <v>Poland</v>
          </cell>
          <cell r="B1876">
            <v>616</v>
          </cell>
          <cell r="C1876">
            <v>203</v>
          </cell>
          <cell r="D1876">
            <v>4</v>
          </cell>
          <cell r="E1876" t="str">
            <v>Compensation of employees</v>
          </cell>
          <cell r="F1876">
            <v>12</v>
          </cell>
          <cell r="G1876">
            <v>2000</v>
          </cell>
          <cell r="H1876">
            <v>200</v>
          </cell>
          <cell r="I1876">
            <v>303889000000</v>
          </cell>
        </row>
        <row r="1877">
          <cell r="A1877" t="str">
            <v>Poland</v>
          </cell>
          <cell r="B1877">
            <v>616</v>
          </cell>
          <cell r="C1877">
            <v>203</v>
          </cell>
          <cell r="D1877">
            <v>4</v>
          </cell>
          <cell r="E1877" t="str">
            <v>Compensation of employees</v>
          </cell>
          <cell r="F1877">
            <v>12</v>
          </cell>
          <cell r="G1877">
            <v>2001</v>
          </cell>
          <cell r="H1877">
            <v>200</v>
          </cell>
          <cell r="I1877">
            <v>333240200000</v>
          </cell>
        </row>
        <row r="1878">
          <cell r="A1878" t="str">
            <v>Poland</v>
          </cell>
          <cell r="B1878">
            <v>616</v>
          </cell>
          <cell r="C1878">
            <v>203</v>
          </cell>
          <cell r="D1878">
            <v>4</v>
          </cell>
          <cell r="E1878" t="str">
            <v>Compensation of employees</v>
          </cell>
          <cell r="F1878">
            <v>12</v>
          </cell>
          <cell r="G1878">
            <v>2002</v>
          </cell>
          <cell r="H1878">
            <v>200</v>
          </cell>
          <cell r="I1878">
            <v>329063000000</v>
          </cell>
        </row>
        <row r="1879">
          <cell r="A1879" t="str">
            <v>Poland</v>
          </cell>
          <cell r="B1879">
            <v>616</v>
          </cell>
          <cell r="C1879">
            <v>203</v>
          </cell>
          <cell r="D1879">
            <v>11</v>
          </cell>
          <cell r="E1879" t="str">
            <v>OPERATING SURPLUS, GROSS</v>
          </cell>
          <cell r="F1879">
            <v>12</v>
          </cell>
          <cell r="G1879">
            <v>1991</v>
          </cell>
          <cell r="H1879">
            <v>100</v>
          </cell>
          <cell r="I1879">
            <v>35949000000</v>
          </cell>
        </row>
        <row r="1880">
          <cell r="A1880" t="str">
            <v>Poland</v>
          </cell>
          <cell r="B1880">
            <v>616</v>
          </cell>
          <cell r="C1880">
            <v>203</v>
          </cell>
          <cell r="D1880">
            <v>11</v>
          </cell>
          <cell r="E1880" t="str">
            <v>OPERATING SURPLUS, GROSS</v>
          </cell>
          <cell r="F1880">
            <v>12</v>
          </cell>
          <cell r="G1880">
            <v>1992</v>
          </cell>
          <cell r="H1880">
            <v>100</v>
          </cell>
          <cell r="I1880">
            <v>47559900000</v>
          </cell>
        </row>
        <row r="1881">
          <cell r="A1881" t="str">
            <v>Poland</v>
          </cell>
          <cell r="B1881">
            <v>616</v>
          </cell>
          <cell r="C1881">
            <v>203</v>
          </cell>
          <cell r="D1881">
            <v>11</v>
          </cell>
          <cell r="E1881" t="str">
            <v>OPERATING SURPLUS, GROSS</v>
          </cell>
          <cell r="F1881">
            <v>12</v>
          </cell>
          <cell r="G1881">
            <v>1993</v>
          </cell>
          <cell r="H1881">
            <v>100</v>
          </cell>
          <cell r="I1881">
            <v>65167300000</v>
          </cell>
        </row>
        <row r="1882">
          <cell r="A1882" t="str">
            <v>Poland</v>
          </cell>
          <cell r="B1882">
            <v>616</v>
          </cell>
          <cell r="C1882">
            <v>203</v>
          </cell>
          <cell r="D1882">
            <v>11</v>
          </cell>
          <cell r="E1882" t="str">
            <v>OPERATING SURPLUS, GROSS</v>
          </cell>
          <cell r="F1882">
            <v>12</v>
          </cell>
          <cell r="G1882">
            <v>1994</v>
          </cell>
          <cell r="H1882">
            <v>100</v>
          </cell>
          <cell r="I1882">
            <v>96697300000</v>
          </cell>
        </row>
        <row r="1883">
          <cell r="A1883" t="str">
            <v>Poland</v>
          </cell>
          <cell r="B1883">
            <v>616</v>
          </cell>
          <cell r="C1883">
            <v>203</v>
          </cell>
          <cell r="D1883">
            <v>11</v>
          </cell>
          <cell r="E1883" t="str">
            <v>OPERATING SURPLUS, GROSS</v>
          </cell>
          <cell r="F1883">
            <v>12</v>
          </cell>
          <cell r="G1883">
            <v>1995</v>
          </cell>
          <cell r="H1883">
            <v>100</v>
          </cell>
          <cell r="I1883">
            <v>131644900000</v>
          </cell>
        </row>
        <row r="1884">
          <cell r="A1884" t="str">
            <v>Poland</v>
          </cell>
          <cell r="B1884">
            <v>616</v>
          </cell>
          <cell r="C1884">
            <v>203</v>
          </cell>
          <cell r="D1884">
            <v>11</v>
          </cell>
          <cell r="E1884" t="str">
            <v>OPERATING SURPLUS, GROSS</v>
          </cell>
          <cell r="F1884">
            <v>12</v>
          </cell>
          <cell r="G1884">
            <v>1995</v>
          </cell>
          <cell r="H1884">
            <v>200</v>
          </cell>
          <cell r="I1884">
            <v>149440100000</v>
          </cell>
        </row>
        <row r="1885">
          <cell r="A1885" t="str">
            <v>Poland</v>
          </cell>
          <cell r="B1885">
            <v>616</v>
          </cell>
          <cell r="C1885">
            <v>203</v>
          </cell>
          <cell r="D1885">
            <v>11</v>
          </cell>
          <cell r="E1885" t="str">
            <v>OPERATING SURPLUS, GROSS</v>
          </cell>
          <cell r="F1885">
            <v>12</v>
          </cell>
          <cell r="G1885">
            <v>1996</v>
          </cell>
          <cell r="H1885">
            <v>200</v>
          </cell>
          <cell r="I1885">
            <v>180021300000</v>
          </cell>
        </row>
        <row r="1886">
          <cell r="A1886" t="str">
            <v>Poland</v>
          </cell>
          <cell r="B1886">
            <v>616</v>
          </cell>
          <cell r="C1886">
            <v>203</v>
          </cell>
          <cell r="D1886">
            <v>11</v>
          </cell>
          <cell r="E1886" t="str">
            <v>OPERATING SURPLUS, GROSS</v>
          </cell>
          <cell r="F1886">
            <v>12</v>
          </cell>
          <cell r="G1886">
            <v>1997</v>
          </cell>
          <cell r="H1886">
            <v>200</v>
          </cell>
          <cell r="I1886">
            <v>216111600000</v>
          </cell>
        </row>
        <row r="1887">
          <cell r="A1887" t="str">
            <v>Poland</v>
          </cell>
          <cell r="B1887">
            <v>616</v>
          </cell>
          <cell r="C1887">
            <v>203</v>
          </cell>
          <cell r="D1887">
            <v>11</v>
          </cell>
          <cell r="E1887" t="str">
            <v>OPERATING SURPLUS, GROSS</v>
          </cell>
          <cell r="F1887">
            <v>12</v>
          </cell>
          <cell r="G1887">
            <v>1998</v>
          </cell>
          <cell r="H1887">
            <v>200</v>
          </cell>
          <cell r="I1887">
            <v>254565200000</v>
          </cell>
        </row>
        <row r="1888">
          <cell r="A1888" t="str">
            <v>Poland</v>
          </cell>
          <cell r="B1888">
            <v>616</v>
          </cell>
          <cell r="C1888">
            <v>203</v>
          </cell>
          <cell r="D1888">
            <v>11</v>
          </cell>
          <cell r="E1888" t="str">
            <v>OPERATING SURPLUS, GROSS</v>
          </cell>
          <cell r="F1888">
            <v>12</v>
          </cell>
          <cell r="G1888">
            <v>1999</v>
          </cell>
          <cell r="H1888">
            <v>200</v>
          </cell>
          <cell r="I1888">
            <v>276918400000</v>
          </cell>
        </row>
        <row r="1889">
          <cell r="A1889" t="str">
            <v>Poland</v>
          </cell>
          <cell r="B1889">
            <v>616</v>
          </cell>
          <cell r="C1889">
            <v>203</v>
          </cell>
          <cell r="D1889">
            <v>11</v>
          </cell>
          <cell r="E1889" t="str">
            <v>OPERATING SURPLUS, GROSS</v>
          </cell>
          <cell r="F1889">
            <v>12</v>
          </cell>
          <cell r="G1889">
            <v>2000</v>
          </cell>
          <cell r="H1889">
            <v>200</v>
          </cell>
          <cell r="I1889">
            <v>318177800000</v>
          </cell>
        </row>
        <row r="1890">
          <cell r="A1890" t="str">
            <v>Poland</v>
          </cell>
          <cell r="B1890">
            <v>616</v>
          </cell>
          <cell r="C1890">
            <v>203</v>
          </cell>
          <cell r="D1890">
            <v>11</v>
          </cell>
          <cell r="E1890" t="str">
            <v>OPERATING SURPLUS, GROSS</v>
          </cell>
          <cell r="F1890">
            <v>12</v>
          </cell>
          <cell r="G1890">
            <v>2001</v>
          </cell>
          <cell r="H1890">
            <v>200</v>
          </cell>
          <cell r="I1890">
            <v>322891500000</v>
          </cell>
        </row>
        <row r="1891">
          <cell r="A1891" t="str">
            <v>Poland</v>
          </cell>
          <cell r="B1891">
            <v>616</v>
          </cell>
          <cell r="C1891">
            <v>203</v>
          </cell>
          <cell r="D1891">
            <v>11</v>
          </cell>
          <cell r="E1891" t="str">
            <v>OPERATING SURPLUS, GROSS</v>
          </cell>
          <cell r="F1891">
            <v>12</v>
          </cell>
          <cell r="G1891">
            <v>2002</v>
          </cell>
          <cell r="H1891">
            <v>200</v>
          </cell>
          <cell r="I1891">
            <v>340946600000</v>
          </cell>
        </row>
        <row r="1892">
          <cell r="A1892" t="str">
            <v>Poland</v>
          </cell>
          <cell r="B1892">
            <v>616</v>
          </cell>
          <cell r="C1892">
            <v>203</v>
          </cell>
          <cell r="D1892">
            <v>22</v>
          </cell>
          <cell r="E1892" t="str">
            <v>Taxes on production and imports, less Subsidies</v>
          </cell>
          <cell r="F1892">
            <v>12</v>
          </cell>
          <cell r="G1892">
            <v>1991</v>
          </cell>
          <cell r="H1892">
            <v>100</v>
          </cell>
          <cell r="I1892">
            <v>8360400000</v>
          </cell>
        </row>
        <row r="1893">
          <cell r="A1893" t="str">
            <v>Poland</v>
          </cell>
          <cell r="B1893">
            <v>616</v>
          </cell>
          <cell r="C1893">
            <v>203</v>
          </cell>
          <cell r="D1893">
            <v>22</v>
          </cell>
          <cell r="E1893" t="str">
            <v>Taxes on production and imports, less Subsidies</v>
          </cell>
          <cell r="F1893">
            <v>12</v>
          </cell>
          <cell r="G1893">
            <v>1992</v>
          </cell>
          <cell r="H1893">
            <v>100</v>
          </cell>
          <cell r="I1893">
            <v>8622200000</v>
          </cell>
        </row>
        <row r="1894">
          <cell r="A1894" t="str">
            <v>Poland</v>
          </cell>
          <cell r="B1894">
            <v>616</v>
          </cell>
          <cell r="C1894">
            <v>203</v>
          </cell>
          <cell r="D1894">
            <v>22</v>
          </cell>
          <cell r="E1894" t="str">
            <v>Taxes on production and imports, less Subsidies</v>
          </cell>
          <cell r="F1894">
            <v>12</v>
          </cell>
          <cell r="G1894">
            <v>1993</v>
          </cell>
          <cell r="H1894">
            <v>100</v>
          </cell>
          <cell r="I1894">
            <v>9638700000</v>
          </cell>
        </row>
        <row r="1895">
          <cell r="A1895" t="str">
            <v>Poland</v>
          </cell>
          <cell r="B1895">
            <v>616</v>
          </cell>
          <cell r="C1895">
            <v>203</v>
          </cell>
          <cell r="D1895">
            <v>22</v>
          </cell>
          <cell r="E1895" t="str">
            <v>Taxes on production and imports, less Subsidies</v>
          </cell>
          <cell r="F1895">
            <v>12</v>
          </cell>
          <cell r="G1895">
            <v>1994</v>
          </cell>
          <cell r="H1895">
            <v>100</v>
          </cell>
          <cell r="I1895">
            <v>1688000000</v>
          </cell>
        </row>
        <row r="1896">
          <cell r="A1896" t="str">
            <v>Poland</v>
          </cell>
          <cell r="B1896">
            <v>616</v>
          </cell>
          <cell r="C1896">
            <v>203</v>
          </cell>
          <cell r="D1896">
            <v>22</v>
          </cell>
          <cell r="E1896" t="str">
            <v>Taxes on production and imports, less Subsidies</v>
          </cell>
          <cell r="F1896">
            <v>12</v>
          </cell>
          <cell r="G1896">
            <v>1995</v>
          </cell>
          <cell r="H1896">
            <v>100</v>
          </cell>
          <cell r="I1896">
            <v>4417000000</v>
          </cell>
        </row>
        <row r="1897">
          <cell r="A1897" t="str">
            <v>Poland</v>
          </cell>
          <cell r="B1897">
            <v>616</v>
          </cell>
          <cell r="C1897">
            <v>203</v>
          </cell>
          <cell r="D1897">
            <v>22</v>
          </cell>
          <cell r="E1897" t="str">
            <v>Taxes on production and imports, less Subsidies</v>
          </cell>
          <cell r="F1897">
            <v>12</v>
          </cell>
          <cell r="G1897">
            <v>1995</v>
          </cell>
          <cell r="H1897">
            <v>200</v>
          </cell>
          <cell r="I1897">
            <v>4387600000</v>
          </cell>
        </row>
        <row r="1898">
          <cell r="A1898" t="str">
            <v>Poland</v>
          </cell>
          <cell r="B1898">
            <v>616</v>
          </cell>
          <cell r="C1898">
            <v>203</v>
          </cell>
          <cell r="D1898">
            <v>22</v>
          </cell>
          <cell r="E1898" t="str">
            <v>Taxes on production and imports, less Subsidies</v>
          </cell>
          <cell r="F1898">
            <v>12</v>
          </cell>
          <cell r="G1898">
            <v>1996</v>
          </cell>
          <cell r="H1898">
            <v>200</v>
          </cell>
          <cell r="I1898">
            <v>6374900000</v>
          </cell>
        </row>
        <row r="1899">
          <cell r="A1899" t="str">
            <v>Poland</v>
          </cell>
          <cell r="B1899">
            <v>616</v>
          </cell>
          <cell r="C1899">
            <v>203</v>
          </cell>
          <cell r="D1899">
            <v>22</v>
          </cell>
          <cell r="E1899" t="str">
            <v>Taxes on production and imports, less Subsidies</v>
          </cell>
          <cell r="F1899">
            <v>12</v>
          </cell>
          <cell r="G1899">
            <v>1997</v>
          </cell>
          <cell r="H1899">
            <v>200</v>
          </cell>
          <cell r="I1899">
            <v>7434700000</v>
          </cell>
        </row>
        <row r="1900">
          <cell r="A1900" t="str">
            <v>Poland</v>
          </cell>
          <cell r="B1900">
            <v>616</v>
          </cell>
          <cell r="C1900">
            <v>203</v>
          </cell>
          <cell r="D1900">
            <v>22</v>
          </cell>
          <cell r="E1900" t="str">
            <v>Taxes on production and imports, less Subsidies</v>
          </cell>
          <cell r="F1900">
            <v>12</v>
          </cell>
          <cell r="G1900">
            <v>1998</v>
          </cell>
          <cell r="H1900">
            <v>200</v>
          </cell>
          <cell r="I1900">
            <v>7617700000</v>
          </cell>
        </row>
        <row r="1901">
          <cell r="A1901" t="str">
            <v>Poland</v>
          </cell>
          <cell r="B1901">
            <v>616</v>
          </cell>
          <cell r="C1901">
            <v>203</v>
          </cell>
          <cell r="D1901">
            <v>22</v>
          </cell>
          <cell r="E1901" t="str">
            <v>Taxes on production and imports, less Subsidies</v>
          </cell>
          <cell r="F1901">
            <v>12</v>
          </cell>
          <cell r="G1901">
            <v>1999</v>
          </cell>
          <cell r="H1901">
            <v>200</v>
          </cell>
          <cell r="I1901">
            <v>9225400000</v>
          </cell>
        </row>
        <row r="1902">
          <cell r="A1902" t="str">
            <v>Poland</v>
          </cell>
          <cell r="B1902">
            <v>616</v>
          </cell>
          <cell r="C1902">
            <v>203</v>
          </cell>
          <cell r="D1902">
            <v>22</v>
          </cell>
          <cell r="E1902" t="str">
            <v>Taxes on production and imports, less Subsidies</v>
          </cell>
          <cell r="F1902">
            <v>12</v>
          </cell>
          <cell r="G1902">
            <v>2000</v>
          </cell>
          <cell r="H1902">
            <v>200</v>
          </cell>
          <cell r="I1902">
            <v>11024900000</v>
          </cell>
        </row>
        <row r="1903">
          <cell r="A1903" t="str">
            <v>Poland</v>
          </cell>
          <cell r="B1903">
            <v>616</v>
          </cell>
          <cell r="C1903">
            <v>203</v>
          </cell>
          <cell r="D1903">
            <v>22</v>
          </cell>
          <cell r="E1903" t="str">
            <v>Taxes on production and imports, less Subsidies</v>
          </cell>
          <cell r="F1903">
            <v>12</v>
          </cell>
          <cell r="G1903">
            <v>2001</v>
          </cell>
          <cell r="H1903">
            <v>200</v>
          </cell>
          <cell r="I1903">
            <v>11062600000</v>
          </cell>
        </row>
        <row r="1904">
          <cell r="A1904" t="str">
            <v>Poland</v>
          </cell>
          <cell r="B1904">
            <v>616</v>
          </cell>
          <cell r="C1904">
            <v>203</v>
          </cell>
          <cell r="D1904">
            <v>22</v>
          </cell>
          <cell r="E1904" t="str">
            <v>Taxes on production and imports, less Subsidies</v>
          </cell>
          <cell r="F1904">
            <v>12</v>
          </cell>
          <cell r="G1904">
            <v>2002</v>
          </cell>
          <cell r="H1904">
            <v>200</v>
          </cell>
          <cell r="I1904">
            <v>12851100000</v>
          </cell>
        </row>
        <row r="1905">
          <cell r="A1905" t="str">
            <v>Reunion</v>
          </cell>
          <cell r="B1905">
            <v>638</v>
          </cell>
          <cell r="C1905">
            <v>201</v>
          </cell>
          <cell r="D1905">
            <v>13</v>
          </cell>
          <cell r="E1905" t="str">
            <v>Less: Financial intermediation services indirectly measured (FISIM) (only to be deducted if FISIM is not distributed to uses)</v>
          </cell>
          <cell r="F1905">
            <v>0</v>
          </cell>
          <cell r="G1905">
            <v>1970</v>
          </cell>
          <cell r="H1905">
            <v>20</v>
          </cell>
          <cell r="I1905">
            <v>74000000</v>
          </cell>
        </row>
        <row r="1906">
          <cell r="A1906" t="str">
            <v>Reunion</v>
          </cell>
          <cell r="B1906">
            <v>638</v>
          </cell>
          <cell r="C1906">
            <v>201</v>
          </cell>
          <cell r="D1906">
            <v>13</v>
          </cell>
          <cell r="E1906" t="str">
            <v>Less: Financial intermediation services indirectly measured (FISIM) (only to be deducted if FISIM is not distributed to uses)</v>
          </cell>
          <cell r="F1906">
            <v>0</v>
          </cell>
          <cell r="G1906">
            <v>1971</v>
          </cell>
          <cell r="H1906">
            <v>20</v>
          </cell>
          <cell r="I1906">
            <v>83000000</v>
          </cell>
        </row>
        <row r="1907">
          <cell r="A1907" t="str">
            <v>Reunion</v>
          </cell>
          <cell r="B1907">
            <v>638</v>
          </cell>
          <cell r="C1907">
            <v>201</v>
          </cell>
          <cell r="D1907">
            <v>13</v>
          </cell>
          <cell r="E1907" t="str">
            <v>Less: Financial intermediation services indirectly measured (FISIM) (only to be deducted if FISIM is not distributed to uses)</v>
          </cell>
          <cell r="F1907">
            <v>0</v>
          </cell>
          <cell r="G1907">
            <v>1972</v>
          </cell>
          <cell r="H1907">
            <v>20</v>
          </cell>
          <cell r="I1907">
            <v>70000000</v>
          </cell>
        </row>
        <row r="1908">
          <cell r="A1908" t="str">
            <v>Reunion</v>
          </cell>
          <cell r="B1908">
            <v>638</v>
          </cell>
          <cell r="C1908">
            <v>201</v>
          </cell>
          <cell r="D1908">
            <v>13</v>
          </cell>
          <cell r="E1908" t="str">
            <v>Less: Financial intermediation services indirectly measured (FISIM) (only to be deducted if FISIM is not distributed to uses)</v>
          </cell>
          <cell r="F1908">
            <v>0</v>
          </cell>
          <cell r="G1908">
            <v>1973</v>
          </cell>
          <cell r="H1908">
            <v>20</v>
          </cell>
          <cell r="I1908">
            <v>83000000</v>
          </cell>
        </row>
        <row r="1909">
          <cell r="A1909" t="str">
            <v>Reunion</v>
          </cell>
          <cell r="B1909">
            <v>638</v>
          </cell>
          <cell r="C1909">
            <v>201</v>
          </cell>
          <cell r="D1909">
            <v>13</v>
          </cell>
          <cell r="E1909" t="str">
            <v>Less: Financial intermediation services indirectly measured (FISIM) (only to be deducted if FISIM is not distributed to uses)</v>
          </cell>
          <cell r="F1909">
            <v>0</v>
          </cell>
          <cell r="G1909">
            <v>1974</v>
          </cell>
          <cell r="H1909">
            <v>20</v>
          </cell>
          <cell r="I1909">
            <v>101000000</v>
          </cell>
        </row>
        <row r="1910">
          <cell r="A1910" t="str">
            <v>Reunion</v>
          </cell>
          <cell r="B1910">
            <v>638</v>
          </cell>
          <cell r="C1910">
            <v>201</v>
          </cell>
          <cell r="D1910">
            <v>13</v>
          </cell>
          <cell r="E1910" t="str">
            <v>Less: Financial intermediation services indirectly measured (FISIM) (only to be deducted if FISIM is not distributed to uses)</v>
          </cell>
          <cell r="F1910">
            <v>0</v>
          </cell>
          <cell r="G1910">
            <v>1975</v>
          </cell>
          <cell r="H1910">
            <v>20</v>
          </cell>
          <cell r="I1910">
            <v>114000000</v>
          </cell>
        </row>
        <row r="1911">
          <cell r="A1911" t="str">
            <v>Reunion</v>
          </cell>
          <cell r="B1911">
            <v>638</v>
          </cell>
          <cell r="C1911">
            <v>201</v>
          </cell>
          <cell r="D1911">
            <v>13</v>
          </cell>
          <cell r="E1911" t="str">
            <v>Less: Financial intermediation services indirectly measured (FISIM) (only to be deducted if FISIM is not distributed to uses)</v>
          </cell>
          <cell r="F1911">
            <v>0</v>
          </cell>
          <cell r="G1911">
            <v>1976</v>
          </cell>
          <cell r="H1911">
            <v>20</v>
          </cell>
          <cell r="I1911">
            <v>160000000</v>
          </cell>
        </row>
        <row r="1912">
          <cell r="A1912" t="str">
            <v>Reunion</v>
          </cell>
          <cell r="B1912">
            <v>638</v>
          </cell>
          <cell r="C1912">
            <v>201</v>
          </cell>
          <cell r="D1912">
            <v>13</v>
          </cell>
          <cell r="E1912" t="str">
            <v>Less: Financial intermediation services indirectly measured (FISIM) (only to be deducted if FISIM is not distributed to uses)</v>
          </cell>
          <cell r="F1912">
            <v>0</v>
          </cell>
          <cell r="G1912">
            <v>1977</v>
          </cell>
          <cell r="H1912">
            <v>20</v>
          </cell>
          <cell r="I1912">
            <v>194000000</v>
          </cell>
        </row>
        <row r="1913">
          <cell r="A1913" t="str">
            <v>Reunion</v>
          </cell>
          <cell r="B1913">
            <v>638</v>
          </cell>
          <cell r="C1913">
            <v>201</v>
          </cell>
          <cell r="D1913">
            <v>13</v>
          </cell>
          <cell r="E1913" t="str">
            <v>Less: Financial intermediation services indirectly measured (FISIM) (only to be deducted if FISIM is not distributed to uses)</v>
          </cell>
          <cell r="F1913">
            <v>0</v>
          </cell>
          <cell r="G1913">
            <v>1978</v>
          </cell>
          <cell r="H1913">
            <v>20</v>
          </cell>
          <cell r="I1913">
            <v>234000000</v>
          </cell>
        </row>
        <row r="1914">
          <cell r="A1914" t="str">
            <v>Reunion</v>
          </cell>
          <cell r="B1914">
            <v>638</v>
          </cell>
          <cell r="C1914">
            <v>201</v>
          </cell>
          <cell r="D1914">
            <v>13</v>
          </cell>
          <cell r="E1914" t="str">
            <v>Less: Financial intermediation services indirectly measured (FISIM) (only to be deducted if FISIM is not distributed to uses)</v>
          </cell>
          <cell r="F1914">
            <v>0</v>
          </cell>
          <cell r="G1914">
            <v>1979</v>
          </cell>
          <cell r="H1914">
            <v>20</v>
          </cell>
          <cell r="I1914">
            <v>271000000</v>
          </cell>
        </row>
        <row r="1915">
          <cell r="A1915" t="str">
            <v>Reunion</v>
          </cell>
          <cell r="B1915">
            <v>638</v>
          </cell>
          <cell r="C1915">
            <v>201</v>
          </cell>
          <cell r="D1915">
            <v>13</v>
          </cell>
          <cell r="E1915" t="str">
            <v>Less: Financial intermediation services indirectly measured (FISIM) (only to be deducted if FISIM is not distributed to uses)</v>
          </cell>
          <cell r="F1915">
            <v>0</v>
          </cell>
          <cell r="G1915">
            <v>1980</v>
          </cell>
          <cell r="H1915">
            <v>20</v>
          </cell>
          <cell r="I1915">
            <v>383000000</v>
          </cell>
        </row>
        <row r="1916">
          <cell r="A1916" t="str">
            <v>Reunion</v>
          </cell>
          <cell r="B1916">
            <v>638</v>
          </cell>
          <cell r="C1916">
            <v>201</v>
          </cell>
          <cell r="D1916">
            <v>13</v>
          </cell>
          <cell r="E1916" t="str">
            <v>Less: Financial intermediation services indirectly measured (FISIM) (only to be deducted if FISIM is not distributed to uses)</v>
          </cell>
          <cell r="F1916">
            <v>0</v>
          </cell>
          <cell r="G1916">
            <v>1981</v>
          </cell>
          <cell r="H1916">
            <v>20</v>
          </cell>
          <cell r="I1916">
            <v>520000000</v>
          </cell>
        </row>
        <row r="1917">
          <cell r="A1917" t="str">
            <v>Reunion</v>
          </cell>
          <cell r="B1917">
            <v>638</v>
          </cell>
          <cell r="C1917">
            <v>201</v>
          </cell>
          <cell r="D1917">
            <v>13</v>
          </cell>
          <cell r="E1917" t="str">
            <v>Less: Financial intermediation services indirectly measured (FISIM) (only to be deducted if FISIM is not distributed to uses)</v>
          </cell>
          <cell r="F1917">
            <v>0</v>
          </cell>
          <cell r="G1917">
            <v>1982</v>
          </cell>
          <cell r="H1917">
            <v>20</v>
          </cell>
          <cell r="I1917">
            <v>539000000</v>
          </cell>
        </row>
        <row r="1918">
          <cell r="A1918" t="str">
            <v>Reunion</v>
          </cell>
          <cell r="B1918">
            <v>638</v>
          </cell>
          <cell r="C1918">
            <v>201</v>
          </cell>
          <cell r="D1918">
            <v>13</v>
          </cell>
          <cell r="E1918" t="str">
            <v>Less: Financial intermediation services indirectly measured (FISIM) (only to be deducted if FISIM is not distributed to uses)</v>
          </cell>
          <cell r="F1918">
            <v>0</v>
          </cell>
          <cell r="G1918">
            <v>1983</v>
          </cell>
          <cell r="H1918">
            <v>20</v>
          </cell>
          <cell r="I1918">
            <v>582000000</v>
          </cell>
        </row>
        <row r="1919">
          <cell r="A1919" t="str">
            <v>Reunion</v>
          </cell>
          <cell r="B1919">
            <v>638</v>
          </cell>
          <cell r="C1919">
            <v>201</v>
          </cell>
          <cell r="D1919">
            <v>13</v>
          </cell>
          <cell r="E1919" t="str">
            <v>Less: Financial intermediation services indirectly measured (FISIM) (only to be deducted if FISIM is not distributed to uses)</v>
          </cell>
          <cell r="F1919">
            <v>0</v>
          </cell>
          <cell r="G1919">
            <v>1984</v>
          </cell>
          <cell r="H1919">
            <v>20</v>
          </cell>
          <cell r="I1919">
            <v>722000000</v>
          </cell>
        </row>
        <row r="1920">
          <cell r="A1920" t="str">
            <v>Reunion</v>
          </cell>
          <cell r="B1920">
            <v>638</v>
          </cell>
          <cell r="C1920">
            <v>201</v>
          </cell>
          <cell r="D1920">
            <v>13</v>
          </cell>
          <cell r="E1920" t="str">
            <v>Less: Financial intermediation services indirectly measured (FISIM) (only to be deducted if FISIM is not distributed to uses)</v>
          </cell>
          <cell r="F1920">
            <v>0</v>
          </cell>
          <cell r="G1920">
            <v>1985</v>
          </cell>
          <cell r="H1920">
            <v>20</v>
          </cell>
          <cell r="I1920">
            <v>808000000</v>
          </cell>
        </row>
        <row r="1921">
          <cell r="A1921" t="str">
            <v>Reunion</v>
          </cell>
          <cell r="B1921">
            <v>638</v>
          </cell>
          <cell r="C1921">
            <v>201</v>
          </cell>
          <cell r="D1921">
            <v>13</v>
          </cell>
          <cell r="E1921" t="str">
            <v>Less: Financial intermediation services indirectly measured (FISIM) (only to be deducted if FISIM is not distributed to uses)</v>
          </cell>
          <cell r="F1921">
            <v>0</v>
          </cell>
          <cell r="G1921">
            <v>1986</v>
          </cell>
          <cell r="H1921">
            <v>20</v>
          </cell>
          <cell r="I1921">
            <v>902000000</v>
          </cell>
        </row>
        <row r="1922">
          <cell r="A1922" t="str">
            <v>Reunion</v>
          </cell>
          <cell r="B1922">
            <v>638</v>
          </cell>
          <cell r="C1922">
            <v>201</v>
          </cell>
          <cell r="D1922">
            <v>13</v>
          </cell>
          <cell r="E1922" t="str">
            <v>Less: Financial intermediation services indirectly measured (FISIM) (only to be deducted if FISIM is not distributed to uses)</v>
          </cell>
          <cell r="F1922">
            <v>0</v>
          </cell>
          <cell r="G1922">
            <v>1987</v>
          </cell>
          <cell r="H1922">
            <v>20</v>
          </cell>
          <cell r="I1922">
            <v>953000000</v>
          </cell>
        </row>
        <row r="1923">
          <cell r="A1923" t="str">
            <v>Reunion</v>
          </cell>
          <cell r="B1923">
            <v>638</v>
          </cell>
          <cell r="C1923">
            <v>201</v>
          </cell>
          <cell r="D1923">
            <v>13</v>
          </cell>
          <cell r="E1923" t="str">
            <v>Less: Financial intermediation services indirectly measured (FISIM) (only to be deducted if FISIM is not distributed to uses)</v>
          </cell>
          <cell r="F1923">
            <v>0</v>
          </cell>
          <cell r="G1923">
            <v>1988</v>
          </cell>
          <cell r="H1923">
            <v>20</v>
          </cell>
          <cell r="I1923">
            <v>1106000000</v>
          </cell>
        </row>
        <row r="1924">
          <cell r="A1924" t="str">
            <v>Reunion</v>
          </cell>
          <cell r="B1924">
            <v>638</v>
          </cell>
          <cell r="C1924">
            <v>201</v>
          </cell>
          <cell r="D1924">
            <v>13</v>
          </cell>
          <cell r="E1924" t="str">
            <v>Less: Financial intermediation services indirectly measured (FISIM) (only to be deducted if FISIM is not distributed to uses)</v>
          </cell>
          <cell r="F1924">
            <v>0</v>
          </cell>
          <cell r="G1924">
            <v>1989</v>
          </cell>
          <cell r="H1924">
            <v>20</v>
          </cell>
          <cell r="I1924">
            <v>1192000000</v>
          </cell>
        </row>
        <row r="1925">
          <cell r="A1925" t="str">
            <v>Reunion</v>
          </cell>
          <cell r="B1925">
            <v>638</v>
          </cell>
          <cell r="C1925">
            <v>201</v>
          </cell>
          <cell r="D1925">
            <v>13</v>
          </cell>
          <cell r="E1925" t="str">
            <v>Less: Financial intermediation services indirectly measured (FISIM) (only to be deducted if FISIM is not distributed to uses)</v>
          </cell>
          <cell r="F1925">
            <v>0</v>
          </cell>
          <cell r="G1925">
            <v>1990</v>
          </cell>
          <cell r="H1925">
            <v>20</v>
          </cell>
          <cell r="I1925">
            <v>1119000000</v>
          </cell>
        </row>
        <row r="1926">
          <cell r="A1926" t="str">
            <v>Reunion</v>
          </cell>
          <cell r="B1926">
            <v>638</v>
          </cell>
          <cell r="C1926">
            <v>201</v>
          </cell>
          <cell r="D1926">
            <v>13</v>
          </cell>
          <cell r="E1926" t="str">
            <v>Less: Financial intermediation services indirectly measured (FISIM) (only to be deducted if FISIM is not distributed to uses)</v>
          </cell>
          <cell r="F1926">
            <v>0</v>
          </cell>
          <cell r="G1926">
            <v>1991</v>
          </cell>
          <cell r="H1926">
            <v>20</v>
          </cell>
          <cell r="I1926">
            <v>1217000000</v>
          </cell>
        </row>
        <row r="1927">
          <cell r="A1927" t="str">
            <v>Reunion</v>
          </cell>
          <cell r="B1927">
            <v>638</v>
          </cell>
          <cell r="C1927">
            <v>201</v>
          </cell>
          <cell r="D1927">
            <v>13</v>
          </cell>
          <cell r="E1927" t="str">
            <v>Less: Financial intermediation services indirectly measured (FISIM) (only to be deducted if FISIM is not distributed to uses)</v>
          </cell>
          <cell r="F1927">
            <v>0</v>
          </cell>
          <cell r="G1927">
            <v>1992</v>
          </cell>
          <cell r="H1927">
            <v>20</v>
          </cell>
          <cell r="I1927">
            <v>1318000000</v>
          </cell>
        </row>
        <row r="1928">
          <cell r="A1928" t="str">
            <v>Rwanda</v>
          </cell>
          <cell r="B1928">
            <v>646</v>
          </cell>
          <cell r="C1928">
            <v>201</v>
          </cell>
          <cell r="D1928">
            <v>13</v>
          </cell>
          <cell r="E1928" t="str">
            <v>Less: Financial intermediation services indirectly measured (FISIM) (only to be deducted if FISIM is not distributed to uses)</v>
          </cell>
          <cell r="F1928">
            <v>0</v>
          </cell>
          <cell r="G1928">
            <v>1990</v>
          </cell>
          <cell r="H1928">
            <v>20</v>
          </cell>
          <cell r="I1928">
            <v>2630000000</v>
          </cell>
        </row>
        <row r="1929">
          <cell r="A1929" t="str">
            <v>Rwanda</v>
          </cell>
          <cell r="B1929">
            <v>646</v>
          </cell>
          <cell r="C1929">
            <v>201</v>
          </cell>
          <cell r="D1929">
            <v>13</v>
          </cell>
          <cell r="E1929" t="str">
            <v>Less: Financial intermediation services indirectly measured (FISIM) (only to be deducted if FISIM is not distributed to uses)</v>
          </cell>
          <cell r="F1929">
            <v>0</v>
          </cell>
          <cell r="G1929">
            <v>1991</v>
          </cell>
          <cell r="H1929">
            <v>20</v>
          </cell>
          <cell r="I1929">
            <v>3384000000</v>
          </cell>
        </row>
        <row r="1930">
          <cell r="A1930" t="str">
            <v>Rwanda</v>
          </cell>
          <cell r="B1930">
            <v>646</v>
          </cell>
          <cell r="C1930">
            <v>201</v>
          </cell>
          <cell r="D1930">
            <v>13</v>
          </cell>
          <cell r="E1930" t="str">
            <v>Less: Financial intermediation services indirectly measured (FISIM) (only to be deducted if FISIM is not distributed to uses)</v>
          </cell>
          <cell r="F1930">
            <v>0</v>
          </cell>
          <cell r="G1930">
            <v>1992</v>
          </cell>
          <cell r="H1930">
            <v>20</v>
          </cell>
          <cell r="I1930">
            <v>3643000000</v>
          </cell>
        </row>
        <row r="1931">
          <cell r="A1931" t="str">
            <v>Rwanda</v>
          </cell>
          <cell r="B1931">
            <v>646</v>
          </cell>
          <cell r="C1931">
            <v>201</v>
          </cell>
          <cell r="D1931">
            <v>13</v>
          </cell>
          <cell r="E1931" t="str">
            <v>Less: Financial intermediation services indirectly measured (FISIM) (only to be deducted if FISIM is not distributed to uses)</v>
          </cell>
          <cell r="F1931">
            <v>0</v>
          </cell>
          <cell r="G1931">
            <v>1993</v>
          </cell>
          <cell r="H1931">
            <v>20</v>
          </cell>
          <cell r="I1931">
            <v>2964000000</v>
          </cell>
        </row>
        <row r="1932">
          <cell r="A1932" t="str">
            <v>Rwanda</v>
          </cell>
          <cell r="B1932">
            <v>646</v>
          </cell>
          <cell r="C1932">
            <v>201</v>
          </cell>
          <cell r="D1932">
            <v>13</v>
          </cell>
          <cell r="E1932" t="str">
            <v>Less: Financial intermediation services indirectly measured (FISIM) (only to be deducted if FISIM is not distributed to uses)</v>
          </cell>
          <cell r="F1932">
            <v>0</v>
          </cell>
          <cell r="G1932">
            <v>1994</v>
          </cell>
          <cell r="H1932">
            <v>20</v>
          </cell>
          <cell r="I1932">
            <v>735000000</v>
          </cell>
        </row>
        <row r="1933">
          <cell r="A1933" t="str">
            <v>Rwanda</v>
          </cell>
          <cell r="B1933">
            <v>646</v>
          </cell>
          <cell r="C1933">
            <v>201</v>
          </cell>
          <cell r="D1933">
            <v>13</v>
          </cell>
          <cell r="E1933" t="str">
            <v>Less: Financial intermediation services indirectly measured (FISIM) (only to be deducted if FISIM is not distributed to uses)</v>
          </cell>
          <cell r="F1933">
            <v>0</v>
          </cell>
          <cell r="G1933">
            <v>1995</v>
          </cell>
          <cell r="H1933">
            <v>20</v>
          </cell>
          <cell r="I1933">
            <v>9578000000</v>
          </cell>
        </row>
        <row r="1934">
          <cell r="A1934" t="str">
            <v>Rwanda</v>
          </cell>
          <cell r="B1934">
            <v>646</v>
          </cell>
          <cell r="C1934">
            <v>201</v>
          </cell>
          <cell r="D1934">
            <v>13</v>
          </cell>
          <cell r="E1934" t="str">
            <v>Less: Financial intermediation services indirectly measured (FISIM) (only to be deducted if FISIM is not distributed to uses)</v>
          </cell>
          <cell r="F1934">
            <v>0</v>
          </cell>
          <cell r="G1934">
            <v>1996</v>
          </cell>
          <cell r="H1934">
            <v>20</v>
          </cell>
          <cell r="I1934">
            <v>8599000000</v>
          </cell>
        </row>
        <row r="1935">
          <cell r="A1935" t="str">
            <v>Rwanda</v>
          </cell>
          <cell r="B1935">
            <v>646</v>
          </cell>
          <cell r="C1935">
            <v>201</v>
          </cell>
          <cell r="D1935">
            <v>13</v>
          </cell>
          <cell r="E1935" t="str">
            <v>Less: Financial intermediation services indirectly measured (FISIM) (only to be deducted if FISIM is not distributed to uses)</v>
          </cell>
          <cell r="F1935">
            <v>0</v>
          </cell>
          <cell r="G1935">
            <v>1997</v>
          </cell>
          <cell r="H1935">
            <v>20</v>
          </cell>
          <cell r="I1935">
            <v>8304000000</v>
          </cell>
        </row>
        <row r="1936">
          <cell r="A1936" t="str">
            <v>Rwanda</v>
          </cell>
          <cell r="B1936">
            <v>646</v>
          </cell>
          <cell r="C1936">
            <v>201</v>
          </cell>
          <cell r="D1936">
            <v>13</v>
          </cell>
          <cell r="E1936" t="str">
            <v>Less: Financial intermediation services indirectly measured (FISIM) (only to be deducted if FISIM is not distributed to uses)</v>
          </cell>
          <cell r="F1936">
            <v>0</v>
          </cell>
          <cell r="G1936">
            <v>1998</v>
          </cell>
          <cell r="H1936">
            <v>20</v>
          </cell>
          <cell r="I1936">
            <v>8949000000</v>
          </cell>
        </row>
        <row r="1937">
          <cell r="A1937" t="str">
            <v>Rwanda</v>
          </cell>
          <cell r="B1937">
            <v>646</v>
          </cell>
          <cell r="C1937">
            <v>201</v>
          </cell>
          <cell r="D1937">
            <v>13</v>
          </cell>
          <cell r="E1937" t="str">
            <v>Less: Financial intermediation services indirectly measured (FISIM) (only to be deducted if FISIM is not distributed to uses)</v>
          </cell>
          <cell r="F1937">
            <v>0</v>
          </cell>
          <cell r="G1937">
            <v>1999</v>
          </cell>
          <cell r="H1937">
            <v>20</v>
          </cell>
          <cell r="I1937">
            <v>10462000000</v>
          </cell>
        </row>
        <row r="1938">
          <cell r="A1938" t="str">
            <v>Rwanda</v>
          </cell>
          <cell r="B1938">
            <v>646</v>
          </cell>
          <cell r="C1938">
            <v>201</v>
          </cell>
          <cell r="D1938">
            <v>13</v>
          </cell>
          <cell r="E1938" t="str">
            <v>Less: Financial intermediation services indirectly measured (FISIM) (only to be deducted if FISIM is not distributed to uses)</v>
          </cell>
          <cell r="F1938">
            <v>0</v>
          </cell>
          <cell r="G1938">
            <v>2000</v>
          </cell>
          <cell r="H1938">
            <v>20</v>
          </cell>
          <cell r="I1938">
            <v>10986000000</v>
          </cell>
        </row>
        <row r="1939">
          <cell r="A1939" t="str">
            <v>Rwanda</v>
          </cell>
          <cell r="B1939">
            <v>646</v>
          </cell>
          <cell r="C1939">
            <v>201</v>
          </cell>
          <cell r="D1939">
            <v>13</v>
          </cell>
          <cell r="E1939" t="str">
            <v>Less: Financial intermediation services indirectly measured (FISIM) (only to be deducted if FISIM is not distributed to uses)</v>
          </cell>
          <cell r="F1939">
            <v>0</v>
          </cell>
          <cell r="G1939">
            <v>2001</v>
          </cell>
          <cell r="H1939">
            <v>20</v>
          </cell>
          <cell r="I1939">
            <v>12424000000</v>
          </cell>
        </row>
        <row r="1940">
          <cell r="A1940" t="str">
            <v>Rwanda</v>
          </cell>
          <cell r="B1940">
            <v>646</v>
          </cell>
          <cell r="C1940">
            <v>201</v>
          </cell>
          <cell r="D1940">
            <v>13</v>
          </cell>
          <cell r="E1940" t="str">
            <v>Less: Financial intermediation services indirectly measured (FISIM) (only to be deducted if FISIM is not distributed to uses)</v>
          </cell>
          <cell r="F1940">
            <v>0</v>
          </cell>
          <cell r="G1940">
            <v>2002</v>
          </cell>
          <cell r="H1940">
            <v>20</v>
          </cell>
          <cell r="I1940">
            <v>14039000000</v>
          </cell>
        </row>
        <row r="1941">
          <cell r="A1941" t="str">
            <v>Rwanda</v>
          </cell>
          <cell r="B1941">
            <v>646</v>
          </cell>
          <cell r="C1941">
            <v>203</v>
          </cell>
          <cell r="D1941">
            <v>3</v>
          </cell>
          <cell r="E1941" t="str">
            <v>Equals: VALUE ADDED, GROSS, at basic prices</v>
          </cell>
          <cell r="F1941">
            <v>12</v>
          </cell>
          <cell r="G1941">
            <v>1975</v>
          </cell>
          <cell r="H1941">
            <v>10</v>
          </cell>
          <cell r="I1941">
            <v>51160000000</v>
          </cell>
        </row>
        <row r="1942">
          <cell r="A1942" t="str">
            <v>Rwanda</v>
          </cell>
          <cell r="B1942">
            <v>646</v>
          </cell>
          <cell r="C1942">
            <v>203</v>
          </cell>
          <cell r="D1942">
            <v>3</v>
          </cell>
          <cell r="E1942" t="str">
            <v>Equals: VALUE ADDED, GROSS, at basic prices</v>
          </cell>
          <cell r="F1942">
            <v>12</v>
          </cell>
          <cell r="G1942">
            <v>1976</v>
          </cell>
          <cell r="H1942">
            <v>10</v>
          </cell>
          <cell r="I1942">
            <v>59990000000</v>
          </cell>
        </row>
        <row r="1943">
          <cell r="A1943" t="str">
            <v>Rwanda</v>
          </cell>
          <cell r="B1943">
            <v>646</v>
          </cell>
          <cell r="C1943">
            <v>203</v>
          </cell>
          <cell r="D1943">
            <v>3</v>
          </cell>
          <cell r="E1943" t="str">
            <v>Equals: VALUE ADDED, GROSS, at basic prices</v>
          </cell>
          <cell r="F1943">
            <v>12</v>
          </cell>
          <cell r="G1943">
            <v>1977</v>
          </cell>
          <cell r="H1943">
            <v>10</v>
          </cell>
          <cell r="I1943">
            <v>69490000000</v>
          </cell>
        </row>
        <row r="1944">
          <cell r="A1944" t="str">
            <v>Rwanda</v>
          </cell>
          <cell r="B1944">
            <v>646</v>
          </cell>
          <cell r="C1944">
            <v>203</v>
          </cell>
          <cell r="D1944">
            <v>3</v>
          </cell>
          <cell r="E1944" t="str">
            <v>Equals: VALUE ADDED, GROSS, at basic prices</v>
          </cell>
          <cell r="F1944">
            <v>12</v>
          </cell>
          <cell r="G1944">
            <v>1978</v>
          </cell>
          <cell r="H1944">
            <v>10</v>
          </cell>
          <cell r="I1944">
            <v>78230000000</v>
          </cell>
        </row>
        <row r="1945">
          <cell r="A1945" t="str">
            <v>Rwanda</v>
          </cell>
          <cell r="B1945">
            <v>646</v>
          </cell>
          <cell r="C1945">
            <v>203</v>
          </cell>
          <cell r="D1945">
            <v>3</v>
          </cell>
          <cell r="E1945" t="str">
            <v>Equals: VALUE ADDED, GROSS, at basic prices</v>
          </cell>
          <cell r="F1945">
            <v>12</v>
          </cell>
          <cell r="G1945">
            <v>1979</v>
          </cell>
          <cell r="H1945">
            <v>10</v>
          </cell>
          <cell r="I1945">
            <v>93200000000</v>
          </cell>
        </row>
        <row r="1946">
          <cell r="A1946" t="str">
            <v>Rwanda</v>
          </cell>
          <cell r="B1946">
            <v>646</v>
          </cell>
          <cell r="C1946">
            <v>203</v>
          </cell>
          <cell r="D1946">
            <v>3</v>
          </cell>
          <cell r="E1946" t="str">
            <v>Equals: VALUE ADDED, GROSS, at basic prices</v>
          </cell>
          <cell r="F1946">
            <v>12</v>
          </cell>
          <cell r="G1946">
            <v>1980</v>
          </cell>
          <cell r="H1946">
            <v>10</v>
          </cell>
          <cell r="I1946">
            <v>104240000000</v>
          </cell>
        </row>
        <row r="1947">
          <cell r="A1947" t="str">
            <v>Rwanda</v>
          </cell>
          <cell r="B1947">
            <v>646</v>
          </cell>
          <cell r="C1947">
            <v>203</v>
          </cell>
          <cell r="D1947">
            <v>3</v>
          </cell>
          <cell r="E1947" t="str">
            <v>Equals: VALUE ADDED, GROSS, at basic prices</v>
          </cell>
          <cell r="F1947">
            <v>12</v>
          </cell>
          <cell r="G1947">
            <v>1981</v>
          </cell>
          <cell r="H1947">
            <v>10</v>
          </cell>
          <cell r="I1947">
            <v>119160000000</v>
          </cell>
        </row>
        <row r="1948">
          <cell r="A1948" t="str">
            <v>Rwanda</v>
          </cell>
          <cell r="B1948">
            <v>646</v>
          </cell>
          <cell r="C1948">
            <v>203</v>
          </cell>
          <cell r="D1948">
            <v>3</v>
          </cell>
          <cell r="E1948" t="str">
            <v>Equals: VALUE ADDED, GROSS, at basic prices</v>
          </cell>
          <cell r="F1948">
            <v>12</v>
          </cell>
          <cell r="G1948">
            <v>1982</v>
          </cell>
          <cell r="H1948">
            <v>10</v>
          </cell>
          <cell r="I1948">
            <v>128550000000</v>
          </cell>
        </row>
        <row r="1949">
          <cell r="A1949" t="str">
            <v>Rwanda</v>
          </cell>
          <cell r="B1949">
            <v>646</v>
          </cell>
          <cell r="C1949">
            <v>203</v>
          </cell>
          <cell r="D1949">
            <v>3</v>
          </cell>
          <cell r="E1949" t="str">
            <v>Equals: VALUE ADDED, GROSS, at basic prices</v>
          </cell>
          <cell r="F1949">
            <v>12</v>
          </cell>
          <cell r="G1949">
            <v>1983</v>
          </cell>
          <cell r="H1949">
            <v>10</v>
          </cell>
          <cell r="I1949">
            <v>138870000000</v>
          </cell>
        </row>
        <row r="1950">
          <cell r="A1950" t="str">
            <v>Rwanda</v>
          </cell>
          <cell r="B1950">
            <v>646</v>
          </cell>
          <cell r="C1950">
            <v>203</v>
          </cell>
          <cell r="D1950">
            <v>3</v>
          </cell>
          <cell r="E1950" t="str">
            <v>Equals: VALUE ADDED, GROSS, at basic prices</v>
          </cell>
          <cell r="F1950">
            <v>12</v>
          </cell>
          <cell r="G1950">
            <v>1984</v>
          </cell>
          <cell r="H1950">
            <v>10</v>
          </cell>
          <cell r="I1950">
            <v>154290000000</v>
          </cell>
        </row>
        <row r="1951">
          <cell r="A1951" t="str">
            <v>Rwanda</v>
          </cell>
          <cell r="B1951">
            <v>646</v>
          </cell>
          <cell r="C1951">
            <v>203</v>
          </cell>
          <cell r="D1951">
            <v>3</v>
          </cell>
          <cell r="E1951" t="str">
            <v>Equals: VALUE ADDED, GROSS, at basic prices</v>
          </cell>
          <cell r="F1951">
            <v>12</v>
          </cell>
          <cell r="G1951">
            <v>1985</v>
          </cell>
          <cell r="H1951">
            <v>10</v>
          </cell>
          <cell r="I1951">
            <v>168230000000</v>
          </cell>
        </row>
        <row r="1952">
          <cell r="A1952" t="str">
            <v>Rwanda</v>
          </cell>
          <cell r="B1952">
            <v>646</v>
          </cell>
          <cell r="C1952">
            <v>203</v>
          </cell>
          <cell r="D1952">
            <v>3</v>
          </cell>
          <cell r="E1952" t="str">
            <v>Equals: VALUE ADDED, GROSS, at basic prices</v>
          </cell>
          <cell r="F1952">
            <v>12</v>
          </cell>
          <cell r="G1952">
            <v>1986</v>
          </cell>
          <cell r="H1952">
            <v>10</v>
          </cell>
          <cell r="I1952">
            <v>163260000000</v>
          </cell>
        </row>
        <row r="1953">
          <cell r="A1953" t="str">
            <v>Rwanda</v>
          </cell>
          <cell r="B1953">
            <v>646</v>
          </cell>
          <cell r="C1953">
            <v>203</v>
          </cell>
          <cell r="D1953">
            <v>3</v>
          </cell>
          <cell r="E1953" t="str">
            <v>Equals: VALUE ADDED, GROSS, at basic prices</v>
          </cell>
          <cell r="F1953">
            <v>12</v>
          </cell>
          <cell r="G1953">
            <v>1987</v>
          </cell>
          <cell r="H1953">
            <v>10</v>
          </cell>
          <cell r="I1953">
            <v>165550000000</v>
          </cell>
        </row>
        <row r="1954">
          <cell r="A1954" t="str">
            <v>Rwanda</v>
          </cell>
          <cell r="B1954">
            <v>646</v>
          </cell>
          <cell r="C1954">
            <v>203</v>
          </cell>
          <cell r="D1954">
            <v>3</v>
          </cell>
          <cell r="E1954" t="str">
            <v>Equals: VALUE ADDED, GROSS, at basic prices</v>
          </cell>
          <cell r="F1954">
            <v>12</v>
          </cell>
          <cell r="G1954">
            <v>1988</v>
          </cell>
          <cell r="H1954">
            <v>10</v>
          </cell>
          <cell r="I1954">
            <v>171700000000</v>
          </cell>
        </row>
        <row r="1955">
          <cell r="A1955" t="str">
            <v>Rwanda</v>
          </cell>
          <cell r="B1955">
            <v>646</v>
          </cell>
          <cell r="C1955">
            <v>203</v>
          </cell>
          <cell r="D1955">
            <v>3</v>
          </cell>
          <cell r="E1955" t="str">
            <v>Equals: VALUE ADDED, GROSS, at basic prices</v>
          </cell>
          <cell r="F1955">
            <v>12</v>
          </cell>
          <cell r="G1955">
            <v>1989</v>
          </cell>
          <cell r="H1955">
            <v>10</v>
          </cell>
          <cell r="I1955">
            <v>184380000000</v>
          </cell>
        </row>
        <row r="1956">
          <cell r="A1956" t="str">
            <v>Rwanda</v>
          </cell>
          <cell r="B1956">
            <v>646</v>
          </cell>
          <cell r="C1956">
            <v>203</v>
          </cell>
          <cell r="D1956">
            <v>4</v>
          </cell>
          <cell r="E1956" t="str">
            <v>Compensation of employees</v>
          </cell>
          <cell r="F1956">
            <v>12</v>
          </cell>
          <cell r="G1956">
            <v>1975</v>
          </cell>
          <cell r="H1956">
            <v>10</v>
          </cell>
          <cell r="I1956">
            <v>9030000000</v>
          </cell>
        </row>
        <row r="1957">
          <cell r="A1957" t="str">
            <v>Rwanda</v>
          </cell>
          <cell r="B1957">
            <v>646</v>
          </cell>
          <cell r="C1957">
            <v>203</v>
          </cell>
          <cell r="D1957">
            <v>4</v>
          </cell>
          <cell r="E1957" t="str">
            <v>Compensation of employees</v>
          </cell>
          <cell r="F1957">
            <v>12</v>
          </cell>
          <cell r="G1957">
            <v>1976</v>
          </cell>
          <cell r="H1957">
            <v>10</v>
          </cell>
          <cell r="I1957">
            <v>10310000000</v>
          </cell>
        </row>
        <row r="1958">
          <cell r="A1958" t="str">
            <v>Rwanda</v>
          </cell>
          <cell r="B1958">
            <v>646</v>
          </cell>
          <cell r="C1958">
            <v>203</v>
          </cell>
          <cell r="D1958">
            <v>4</v>
          </cell>
          <cell r="E1958" t="str">
            <v>Compensation of employees</v>
          </cell>
          <cell r="F1958">
            <v>12</v>
          </cell>
          <cell r="G1958">
            <v>1977</v>
          </cell>
          <cell r="H1958">
            <v>10</v>
          </cell>
          <cell r="I1958">
            <v>11890000000</v>
          </cell>
        </row>
        <row r="1959">
          <cell r="A1959" t="str">
            <v>Rwanda</v>
          </cell>
          <cell r="B1959">
            <v>646</v>
          </cell>
          <cell r="C1959">
            <v>203</v>
          </cell>
          <cell r="D1959">
            <v>4</v>
          </cell>
          <cell r="E1959" t="str">
            <v>Compensation of employees</v>
          </cell>
          <cell r="F1959">
            <v>12</v>
          </cell>
          <cell r="G1959">
            <v>1978</v>
          </cell>
          <cell r="H1959">
            <v>10</v>
          </cell>
          <cell r="I1959">
            <v>12550000000</v>
          </cell>
        </row>
        <row r="1960">
          <cell r="A1960" t="str">
            <v>Rwanda</v>
          </cell>
          <cell r="B1960">
            <v>646</v>
          </cell>
          <cell r="C1960">
            <v>203</v>
          </cell>
          <cell r="D1960">
            <v>4</v>
          </cell>
          <cell r="E1960" t="str">
            <v>Compensation of employees</v>
          </cell>
          <cell r="F1960">
            <v>12</v>
          </cell>
          <cell r="G1960">
            <v>1979</v>
          </cell>
          <cell r="H1960">
            <v>10</v>
          </cell>
          <cell r="I1960">
            <v>14460000000</v>
          </cell>
        </row>
        <row r="1961">
          <cell r="A1961" t="str">
            <v>Rwanda</v>
          </cell>
          <cell r="B1961">
            <v>646</v>
          </cell>
          <cell r="C1961">
            <v>203</v>
          </cell>
          <cell r="D1961">
            <v>4</v>
          </cell>
          <cell r="E1961" t="str">
            <v>Compensation of employees</v>
          </cell>
          <cell r="F1961">
            <v>12</v>
          </cell>
          <cell r="G1961">
            <v>1980</v>
          </cell>
          <cell r="H1961">
            <v>10</v>
          </cell>
          <cell r="I1961">
            <v>17820000000</v>
          </cell>
        </row>
        <row r="1962">
          <cell r="A1962" t="str">
            <v>Rwanda</v>
          </cell>
          <cell r="B1962">
            <v>646</v>
          </cell>
          <cell r="C1962">
            <v>203</v>
          </cell>
          <cell r="D1962">
            <v>4</v>
          </cell>
          <cell r="E1962" t="str">
            <v>Compensation of employees</v>
          </cell>
          <cell r="F1962">
            <v>12</v>
          </cell>
          <cell r="G1962">
            <v>1981</v>
          </cell>
          <cell r="H1962">
            <v>10</v>
          </cell>
          <cell r="I1962">
            <v>26860000000</v>
          </cell>
        </row>
        <row r="1963">
          <cell r="A1963" t="str">
            <v>Rwanda</v>
          </cell>
          <cell r="B1963">
            <v>646</v>
          </cell>
          <cell r="C1963">
            <v>203</v>
          </cell>
          <cell r="D1963">
            <v>4</v>
          </cell>
          <cell r="E1963" t="str">
            <v>Compensation of employees</v>
          </cell>
          <cell r="F1963">
            <v>12</v>
          </cell>
          <cell r="G1963">
            <v>1982</v>
          </cell>
          <cell r="H1963">
            <v>10</v>
          </cell>
          <cell r="I1963">
            <v>28240000000</v>
          </cell>
        </row>
        <row r="1964">
          <cell r="A1964" t="str">
            <v>Rwanda</v>
          </cell>
          <cell r="B1964">
            <v>646</v>
          </cell>
          <cell r="C1964">
            <v>203</v>
          </cell>
          <cell r="D1964">
            <v>4</v>
          </cell>
          <cell r="E1964" t="str">
            <v>Compensation of employees</v>
          </cell>
          <cell r="F1964">
            <v>12</v>
          </cell>
          <cell r="G1964">
            <v>1983</v>
          </cell>
          <cell r="H1964">
            <v>10</v>
          </cell>
          <cell r="I1964">
            <v>30420000000</v>
          </cell>
        </row>
        <row r="1965">
          <cell r="A1965" t="str">
            <v>Rwanda</v>
          </cell>
          <cell r="B1965">
            <v>646</v>
          </cell>
          <cell r="C1965">
            <v>203</v>
          </cell>
          <cell r="D1965">
            <v>4</v>
          </cell>
          <cell r="E1965" t="str">
            <v>Compensation of employees</v>
          </cell>
          <cell r="F1965">
            <v>12</v>
          </cell>
          <cell r="G1965">
            <v>1984</v>
          </cell>
          <cell r="H1965">
            <v>10</v>
          </cell>
          <cell r="I1965">
            <v>30580000000</v>
          </cell>
        </row>
        <row r="1966">
          <cell r="A1966" t="str">
            <v>Rwanda</v>
          </cell>
          <cell r="B1966">
            <v>646</v>
          </cell>
          <cell r="C1966">
            <v>203</v>
          </cell>
          <cell r="D1966">
            <v>4</v>
          </cell>
          <cell r="E1966" t="str">
            <v>Compensation of employees</v>
          </cell>
          <cell r="F1966">
            <v>12</v>
          </cell>
          <cell r="G1966">
            <v>1985</v>
          </cell>
          <cell r="H1966">
            <v>10</v>
          </cell>
          <cell r="I1966">
            <v>41350000000</v>
          </cell>
        </row>
        <row r="1967">
          <cell r="A1967" t="str">
            <v>Rwanda</v>
          </cell>
          <cell r="B1967">
            <v>646</v>
          </cell>
          <cell r="C1967">
            <v>203</v>
          </cell>
          <cell r="D1967">
            <v>4</v>
          </cell>
          <cell r="E1967" t="str">
            <v>Compensation of employees</v>
          </cell>
          <cell r="F1967">
            <v>12</v>
          </cell>
          <cell r="G1967">
            <v>1986</v>
          </cell>
          <cell r="H1967">
            <v>10</v>
          </cell>
          <cell r="I1967">
            <v>41910000000</v>
          </cell>
        </row>
        <row r="1968">
          <cell r="A1968" t="str">
            <v>Rwanda</v>
          </cell>
          <cell r="B1968">
            <v>646</v>
          </cell>
          <cell r="C1968">
            <v>203</v>
          </cell>
          <cell r="D1968">
            <v>4</v>
          </cell>
          <cell r="E1968" t="str">
            <v>Compensation of employees</v>
          </cell>
          <cell r="F1968">
            <v>12</v>
          </cell>
          <cell r="G1968">
            <v>1987</v>
          </cell>
          <cell r="H1968">
            <v>10</v>
          </cell>
          <cell r="I1968">
            <v>52450000000</v>
          </cell>
        </row>
        <row r="1969">
          <cell r="A1969" t="str">
            <v>Rwanda</v>
          </cell>
          <cell r="B1969">
            <v>646</v>
          </cell>
          <cell r="C1969">
            <v>203</v>
          </cell>
          <cell r="D1969">
            <v>4</v>
          </cell>
          <cell r="E1969" t="str">
            <v>Compensation of employees</v>
          </cell>
          <cell r="F1969">
            <v>12</v>
          </cell>
          <cell r="G1969">
            <v>1988</v>
          </cell>
          <cell r="H1969">
            <v>10</v>
          </cell>
          <cell r="I1969">
            <v>45080000000</v>
          </cell>
        </row>
        <row r="1970">
          <cell r="A1970" t="str">
            <v>Rwanda</v>
          </cell>
          <cell r="B1970">
            <v>646</v>
          </cell>
          <cell r="C1970">
            <v>203</v>
          </cell>
          <cell r="D1970">
            <v>4</v>
          </cell>
          <cell r="E1970" t="str">
            <v>Compensation of employees</v>
          </cell>
          <cell r="F1970">
            <v>12</v>
          </cell>
          <cell r="G1970">
            <v>1989</v>
          </cell>
          <cell r="H1970">
            <v>10</v>
          </cell>
          <cell r="I1970">
            <v>46980000000</v>
          </cell>
        </row>
        <row r="1971">
          <cell r="A1971" t="str">
            <v>Rwanda</v>
          </cell>
          <cell r="B1971">
            <v>646</v>
          </cell>
          <cell r="C1971">
            <v>203</v>
          </cell>
          <cell r="D1971">
            <v>11</v>
          </cell>
          <cell r="E1971" t="str">
            <v>OPERATING SURPLUS, GROSS</v>
          </cell>
          <cell r="F1971">
            <v>12</v>
          </cell>
          <cell r="G1971">
            <v>1975</v>
          </cell>
          <cell r="H1971">
            <v>10</v>
          </cell>
          <cell r="I1971">
            <v>40490000000</v>
          </cell>
        </row>
        <row r="1972">
          <cell r="A1972" t="str">
            <v>Rwanda</v>
          </cell>
          <cell r="B1972">
            <v>646</v>
          </cell>
          <cell r="C1972">
            <v>203</v>
          </cell>
          <cell r="D1972">
            <v>11</v>
          </cell>
          <cell r="E1972" t="str">
            <v>OPERATING SURPLUS, GROSS</v>
          </cell>
          <cell r="F1972">
            <v>12</v>
          </cell>
          <cell r="G1972">
            <v>1976</v>
          </cell>
          <cell r="H1972">
            <v>10</v>
          </cell>
          <cell r="I1972">
            <v>45950000000</v>
          </cell>
        </row>
        <row r="1973">
          <cell r="A1973" t="str">
            <v>Rwanda</v>
          </cell>
          <cell r="B1973">
            <v>646</v>
          </cell>
          <cell r="C1973">
            <v>203</v>
          </cell>
          <cell r="D1973">
            <v>11</v>
          </cell>
          <cell r="E1973" t="str">
            <v>OPERATING SURPLUS, GROSS</v>
          </cell>
          <cell r="F1973">
            <v>12</v>
          </cell>
          <cell r="G1973">
            <v>1977</v>
          </cell>
          <cell r="H1973">
            <v>10</v>
          </cell>
          <cell r="I1973">
            <v>53310000000</v>
          </cell>
        </row>
        <row r="1974">
          <cell r="A1974" t="str">
            <v>Rwanda</v>
          </cell>
          <cell r="B1974">
            <v>646</v>
          </cell>
          <cell r="C1974">
            <v>203</v>
          </cell>
          <cell r="D1974">
            <v>11</v>
          </cell>
          <cell r="E1974" t="str">
            <v>OPERATING SURPLUS, GROSS</v>
          </cell>
          <cell r="F1974">
            <v>12</v>
          </cell>
          <cell r="G1974">
            <v>1978</v>
          </cell>
          <cell r="H1974">
            <v>10</v>
          </cell>
          <cell r="I1974">
            <v>62570000000</v>
          </cell>
        </row>
        <row r="1975">
          <cell r="A1975" t="str">
            <v>Rwanda</v>
          </cell>
          <cell r="B1975">
            <v>646</v>
          </cell>
          <cell r="C1975">
            <v>203</v>
          </cell>
          <cell r="D1975">
            <v>11</v>
          </cell>
          <cell r="E1975" t="str">
            <v>OPERATING SURPLUS, GROSS</v>
          </cell>
          <cell r="F1975">
            <v>12</v>
          </cell>
          <cell r="G1975">
            <v>1979</v>
          </cell>
          <cell r="H1975">
            <v>10</v>
          </cell>
          <cell r="I1975">
            <v>73460000000</v>
          </cell>
        </row>
        <row r="1976">
          <cell r="A1976" t="str">
            <v>Rwanda</v>
          </cell>
          <cell r="B1976">
            <v>646</v>
          </cell>
          <cell r="C1976">
            <v>203</v>
          </cell>
          <cell r="D1976">
            <v>11</v>
          </cell>
          <cell r="E1976" t="str">
            <v>OPERATING SURPLUS, GROSS</v>
          </cell>
          <cell r="F1976">
            <v>12</v>
          </cell>
          <cell r="G1976">
            <v>1980</v>
          </cell>
          <cell r="H1976">
            <v>10</v>
          </cell>
          <cell r="I1976">
            <v>81930000000</v>
          </cell>
        </row>
        <row r="1977">
          <cell r="A1977" t="str">
            <v>Rwanda</v>
          </cell>
          <cell r="B1977">
            <v>646</v>
          </cell>
          <cell r="C1977">
            <v>203</v>
          </cell>
          <cell r="D1977">
            <v>11</v>
          </cell>
          <cell r="E1977" t="str">
            <v>OPERATING SURPLUS, GROSS</v>
          </cell>
          <cell r="F1977">
            <v>12</v>
          </cell>
          <cell r="G1977">
            <v>1981</v>
          </cell>
          <cell r="H1977">
            <v>10</v>
          </cell>
          <cell r="I1977">
            <v>87970000000</v>
          </cell>
        </row>
        <row r="1978">
          <cell r="A1978" t="str">
            <v>Rwanda</v>
          </cell>
          <cell r="B1978">
            <v>646</v>
          </cell>
          <cell r="C1978">
            <v>203</v>
          </cell>
          <cell r="D1978">
            <v>11</v>
          </cell>
          <cell r="E1978" t="str">
            <v>OPERATING SURPLUS, GROSS</v>
          </cell>
          <cell r="F1978">
            <v>12</v>
          </cell>
          <cell r="G1978">
            <v>1982</v>
          </cell>
          <cell r="H1978">
            <v>10</v>
          </cell>
          <cell r="I1978">
            <v>94960000000</v>
          </cell>
        </row>
        <row r="1979">
          <cell r="A1979" t="str">
            <v>Rwanda</v>
          </cell>
          <cell r="B1979">
            <v>646</v>
          </cell>
          <cell r="C1979">
            <v>203</v>
          </cell>
          <cell r="D1979">
            <v>11</v>
          </cell>
          <cell r="E1979" t="str">
            <v>OPERATING SURPLUS, GROSS</v>
          </cell>
          <cell r="F1979">
            <v>12</v>
          </cell>
          <cell r="G1979">
            <v>1983</v>
          </cell>
          <cell r="H1979">
            <v>10</v>
          </cell>
          <cell r="I1979">
            <v>102680000000</v>
          </cell>
        </row>
        <row r="1980">
          <cell r="A1980" t="str">
            <v>Rwanda</v>
          </cell>
          <cell r="B1980">
            <v>646</v>
          </cell>
          <cell r="C1980">
            <v>203</v>
          </cell>
          <cell r="D1980">
            <v>11</v>
          </cell>
          <cell r="E1980" t="str">
            <v>OPERATING SURPLUS, GROSS</v>
          </cell>
          <cell r="F1980">
            <v>12</v>
          </cell>
          <cell r="G1980">
            <v>1984</v>
          </cell>
          <cell r="H1980">
            <v>10</v>
          </cell>
          <cell r="I1980">
            <v>116660000000</v>
          </cell>
        </row>
        <row r="1981">
          <cell r="A1981" t="str">
            <v>Rwanda</v>
          </cell>
          <cell r="B1981">
            <v>646</v>
          </cell>
          <cell r="C1981">
            <v>203</v>
          </cell>
          <cell r="D1981">
            <v>11</v>
          </cell>
          <cell r="E1981" t="str">
            <v>OPERATING SURPLUS, GROSS</v>
          </cell>
          <cell r="F1981">
            <v>12</v>
          </cell>
          <cell r="G1981">
            <v>1985</v>
          </cell>
          <cell r="H1981">
            <v>10</v>
          </cell>
          <cell r="I1981">
            <v>118470000000</v>
          </cell>
        </row>
        <row r="1982">
          <cell r="A1982" t="str">
            <v>Rwanda</v>
          </cell>
          <cell r="B1982">
            <v>646</v>
          </cell>
          <cell r="C1982">
            <v>203</v>
          </cell>
          <cell r="D1982">
            <v>11</v>
          </cell>
          <cell r="E1982" t="str">
            <v>OPERATING SURPLUS, GROSS</v>
          </cell>
          <cell r="F1982">
            <v>12</v>
          </cell>
          <cell r="G1982">
            <v>1986</v>
          </cell>
          <cell r="H1982">
            <v>10</v>
          </cell>
          <cell r="I1982">
            <v>109860000000</v>
          </cell>
        </row>
        <row r="1983">
          <cell r="A1983" t="str">
            <v>Rwanda</v>
          </cell>
          <cell r="B1983">
            <v>646</v>
          </cell>
          <cell r="C1983">
            <v>203</v>
          </cell>
          <cell r="D1983">
            <v>11</v>
          </cell>
          <cell r="E1983" t="str">
            <v>OPERATING SURPLUS, GROSS</v>
          </cell>
          <cell r="F1983">
            <v>12</v>
          </cell>
          <cell r="G1983">
            <v>1987</v>
          </cell>
          <cell r="H1983">
            <v>10</v>
          </cell>
          <cell r="I1983">
            <v>134260000000</v>
          </cell>
        </row>
        <row r="1984">
          <cell r="A1984" t="str">
            <v>Rwanda</v>
          </cell>
          <cell r="B1984">
            <v>646</v>
          </cell>
          <cell r="C1984">
            <v>203</v>
          </cell>
          <cell r="D1984">
            <v>11</v>
          </cell>
          <cell r="E1984" t="str">
            <v>OPERATING SURPLUS, GROSS</v>
          </cell>
          <cell r="F1984">
            <v>12</v>
          </cell>
          <cell r="G1984">
            <v>1988</v>
          </cell>
          <cell r="H1984">
            <v>10</v>
          </cell>
          <cell r="I1984">
            <v>117650000000</v>
          </cell>
        </row>
        <row r="1985">
          <cell r="A1985" t="str">
            <v>Rwanda</v>
          </cell>
          <cell r="B1985">
            <v>646</v>
          </cell>
          <cell r="C1985">
            <v>203</v>
          </cell>
          <cell r="D1985">
            <v>11</v>
          </cell>
          <cell r="E1985" t="str">
            <v>OPERATING SURPLUS, GROSS</v>
          </cell>
          <cell r="F1985">
            <v>12</v>
          </cell>
          <cell r="G1985">
            <v>1989</v>
          </cell>
          <cell r="H1985">
            <v>10</v>
          </cell>
          <cell r="I1985">
            <v>130780000000</v>
          </cell>
        </row>
        <row r="1986">
          <cell r="A1986" t="str">
            <v>Saint Lucia</v>
          </cell>
          <cell r="B1986">
            <v>662</v>
          </cell>
          <cell r="C1986">
            <v>201</v>
          </cell>
          <cell r="D1986">
            <v>13</v>
          </cell>
          <cell r="E1986" t="str">
            <v>Less: Financial intermediation services indirectly measured (FISIM) (only to be deducted if FISIM is not distributed to uses)</v>
          </cell>
          <cell r="F1986">
            <v>0</v>
          </cell>
          <cell r="G1986">
            <v>1977</v>
          </cell>
          <cell r="H1986">
            <v>10</v>
          </cell>
          <cell r="I1986">
            <v>7200000</v>
          </cell>
        </row>
        <row r="1987">
          <cell r="A1987" t="str">
            <v>Saint Lucia</v>
          </cell>
          <cell r="B1987">
            <v>662</v>
          </cell>
          <cell r="C1987">
            <v>201</v>
          </cell>
          <cell r="D1987">
            <v>13</v>
          </cell>
          <cell r="E1987" t="str">
            <v>Less: Financial intermediation services indirectly measured (FISIM) (only to be deducted if FISIM is not distributed to uses)</v>
          </cell>
          <cell r="F1987">
            <v>0</v>
          </cell>
          <cell r="G1987">
            <v>1977</v>
          </cell>
          <cell r="H1987">
            <v>20</v>
          </cell>
          <cell r="I1987">
            <v>7200000</v>
          </cell>
        </row>
        <row r="1988">
          <cell r="A1988" t="str">
            <v>Saint Lucia</v>
          </cell>
          <cell r="B1988">
            <v>662</v>
          </cell>
          <cell r="C1988">
            <v>201</v>
          </cell>
          <cell r="D1988">
            <v>13</v>
          </cell>
          <cell r="E1988" t="str">
            <v>Less: Financial intermediation services indirectly measured (FISIM) (only to be deducted if FISIM is not distributed to uses)</v>
          </cell>
          <cell r="F1988">
            <v>0</v>
          </cell>
          <cell r="G1988">
            <v>1978</v>
          </cell>
          <cell r="H1988">
            <v>20</v>
          </cell>
          <cell r="I1988">
            <v>9100000</v>
          </cell>
        </row>
        <row r="1989">
          <cell r="A1989" t="str">
            <v>Saint Lucia</v>
          </cell>
          <cell r="B1989">
            <v>662</v>
          </cell>
          <cell r="C1989">
            <v>201</v>
          </cell>
          <cell r="D1989">
            <v>13</v>
          </cell>
          <cell r="E1989" t="str">
            <v>Less: Financial intermediation services indirectly measured (FISIM) (only to be deducted if FISIM is not distributed to uses)</v>
          </cell>
          <cell r="F1989">
            <v>0</v>
          </cell>
          <cell r="G1989">
            <v>1979</v>
          </cell>
          <cell r="H1989">
            <v>20</v>
          </cell>
          <cell r="I1989">
            <v>10800000</v>
          </cell>
        </row>
        <row r="1990">
          <cell r="A1990" t="str">
            <v>Saint Lucia</v>
          </cell>
          <cell r="B1990">
            <v>662</v>
          </cell>
          <cell r="C1990">
            <v>201</v>
          </cell>
          <cell r="D1990">
            <v>13</v>
          </cell>
          <cell r="E1990" t="str">
            <v>Less: Financial intermediation services indirectly measured (FISIM) (only to be deducted if FISIM is not distributed to uses)</v>
          </cell>
          <cell r="F1990">
            <v>0</v>
          </cell>
          <cell r="G1990">
            <v>1980</v>
          </cell>
          <cell r="H1990">
            <v>20</v>
          </cell>
          <cell r="I1990">
            <v>12000000</v>
          </cell>
        </row>
        <row r="1991">
          <cell r="A1991" t="str">
            <v>Saint Lucia</v>
          </cell>
          <cell r="B1991">
            <v>662</v>
          </cell>
          <cell r="C1991">
            <v>201</v>
          </cell>
          <cell r="D1991">
            <v>13</v>
          </cell>
          <cell r="E1991" t="str">
            <v>Less: Financial intermediation services indirectly measured (FISIM) (only to be deducted if FISIM is not distributed to uses)</v>
          </cell>
          <cell r="F1991">
            <v>0</v>
          </cell>
          <cell r="G1991">
            <v>1981</v>
          </cell>
          <cell r="H1991">
            <v>20</v>
          </cell>
          <cell r="I1991">
            <v>17900000</v>
          </cell>
        </row>
        <row r="1992">
          <cell r="A1992" t="str">
            <v>Saint Lucia</v>
          </cell>
          <cell r="B1992">
            <v>662</v>
          </cell>
          <cell r="C1992">
            <v>201</v>
          </cell>
          <cell r="D1992">
            <v>13</v>
          </cell>
          <cell r="E1992" t="str">
            <v>Less: Financial intermediation services indirectly measured (FISIM) (only to be deducted if FISIM is not distributed to uses)</v>
          </cell>
          <cell r="F1992">
            <v>0</v>
          </cell>
          <cell r="G1992">
            <v>1982</v>
          </cell>
          <cell r="H1992">
            <v>20</v>
          </cell>
          <cell r="I1992">
            <v>20600000</v>
          </cell>
        </row>
        <row r="1993">
          <cell r="A1993" t="str">
            <v>Saint Lucia</v>
          </cell>
          <cell r="B1993">
            <v>662</v>
          </cell>
          <cell r="C1993">
            <v>201</v>
          </cell>
          <cell r="D1993">
            <v>13</v>
          </cell>
          <cell r="E1993" t="str">
            <v>Less: Financial intermediation services indirectly measured (FISIM) (only to be deducted if FISIM is not distributed to uses)</v>
          </cell>
          <cell r="F1993">
            <v>0</v>
          </cell>
          <cell r="G1993">
            <v>1983</v>
          </cell>
          <cell r="H1993">
            <v>20</v>
          </cell>
          <cell r="I1993">
            <v>21000000</v>
          </cell>
        </row>
        <row r="1994">
          <cell r="A1994" t="str">
            <v>Saint Lucia</v>
          </cell>
          <cell r="B1994">
            <v>662</v>
          </cell>
          <cell r="C1994">
            <v>201</v>
          </cell>
          <cell r="D1994">
            <v>13</v>
          </cell>
          <cell r="E1994" t="str">
            <v>Less: Financial intermediation services indirectly measured (FISIM) (only to be deducted if FISIM is not distributed to uses)</v>
          </cell>
          <cell r="F1994">
            <v>0</v>
          </cell>
          <cell r="G1994">
            <v>1984</v>
          </cell>
          <cell r="H1994">
            <v>20</v>
          </cell>
          <cell r="I1994">
            <v>21800000</v>
          </cell>
        </row>
        <row r="1995">
          <cell r="A1995" t="str">
            <v>Saint Lucia</v>
          </cell>
          <cell r="B1995">
            <v>662</v>
          </cell>
          <cell r="C1995">
            <v>201</v>
          </cell>
          <cell r="D1995">
            <v>13</v>
          </cell>
          <cell r="E1995" t="str">
            <v>Less: Financial intermediation services indirectly measured (FISIM) (only to be deducted if FISIM is not distributed to uses)</v>
          </cell>
          <cell r="F1995">
            <v>0</v>
          </cell>
          <cell r="G1995">
            <v>1985</v>
          </cell>
          <cell r="H1995">
            <v>20</v>
          </cell>
          <cell r="I1995">
            <v>22400000</v>
          </cell>
        </row>
        <row r="1996">
          <cell r="A1996" t="str">
            <v>Saint Lucia</v>
          </cell>
          <cell r="B1996">
            <v>662</v>
          </cell>
          <cell r="C1996">
            <v>201</v>
          </cell>
          <cell r="D1996">
            <v>13</v>
          </cell>
          <cell r="E1996" t="str">
            <v>Less: Financial intermediation services indirectly measured (FISIM) (only to be deducted if FISIM is not distributed to uses)</v>
          </cell>
          <cell r="F1996">
            <v>0</v>
          </cell>
          <cell r="G1996">
            <v>1986</v>
          </cell>
          <cell r="H1996">
            <v>20</v>
          </cell>
          <cell r="I1996">
            <v>23000000</v>
          </cell>
        </row>
        <row r="1997">
          <cell r="A1997" t="str">
            <v>Saint Lucia</v>
          </cell>
          <cell r="B1997">
            <v>662</v>
          </cell>
          <cell r="C1997">
            <v>201</v>
          </cell>
          <cell r="D1997">
            <v>13</v>
          </cell>
          <cell r="E1997" t="str">
            <v>Less: Financial intermediation services indirectly measured (FISIM) (only to be deducted if FISIM is not distributed to uses)</v>
          </cell>
          <cell r="F1997">
            <v>0</v>
          </cell>
          <cell r="G1997">
            <v>1987</v>
          </cell>
          <cell r="H1997">
            <v>20</v>
          </cell>
          <cell r="I1997">
            <v>23100000</v>
          </cell>
        </row>
        <row r="1998">
          <cell r="A1998" t="str">
            <v>Saint Lucia</v>
          </cell>
          <cell r="B1998">
            <v>662</v>
          </cell>
          <cell r="C1998">
            <v>201</v>
          </cell>
          <cell r="D1998">
            <v>13</v>
          </cell>
          <cell r="E1998" t="str">
            <v>Less: Financial intermediation services indirectly measured (FISIM) (only to be deducted if FISIM is not distributed to uses)</v>
          </cell>
          <cell r="F1998">
            <v>0</v>
          </cell>
          <cell r="G1998">
            <v>1990</v>
          </cell>
          <cell r="H1998">
            <v>20</v>
          </cell>
          <cell r="I1998">
            <v>61160000</v>
          </cell>
        </row>
        <row r="1999">
          <cell r="A1999" t="str">
            <v>Saint Lucia</v>
          </cell>
          <cell r="B1999">
            <v>662</v>
          </cell>
          <cell r="C1999">
            <v>201</v>
          </cell>
          <cell r="D1999">
            <v>13</v>
          </cell>
          <cell r="E1999" t="str">
            <v>Less: Financial intermediation services indirectly measured (FISIM) (only to be deducted if FISIM is not distributed to uses)</v>
          </cell>
          <cell r="F1999">
            <v>0</v>
          </cell>
          <cell r="G1999">
            <v>1991</v>
          </cell>
          <cell r="H1999">
            <v>20</v>
          </cell>
          <cell r="I1999">
            <v>58970000</v>
          </cell>
        </row>
        <row r="2000">
          <cell r="A2000" t="str">
            <v>Saint Lucia</v>
          </cell>
          <cell r="B2000">
            <v>662</v>
          </cell>
          <cell r="C2000">
            <v>201</v>
          </cell>
          <cell r="D2000">
            <v>13</v>
          </cell>
          <cell r="E2000" t="str">
            <v>Less: Financial intermediation services indirectly measured (FISIM) (only to be deducted if FISIM is not distributed to uses)</v>
          </cell>
          <cell r="F2000">
            <v>0</v>
          </cell>
          <cell r="G2000">
            <v>1992</v>
          </cell>
          <cell r="H2000">
            <v>20</v>
          </cell>
          <cell r="I2000">
            <v>67140000</v>
          </cell>
        </row>
        <row r="2001">
          <cell r="A2001" t="str">
            <v>Saint Lucia</v>
          </cell>
          <cell r="B2001">
            <v>662</v>
          </cell>
          <cell r="C2001">
            <v>201</v>
          </cell>
          <cell r="D2001">
            <v>13</v>
          </cell>
          <cell r="E2001" t="str">
            <v>Less: Financial intermediation services indirectly measured (FISIM) (only to be deducted if FISIM is not distributed to uses)</v>
          </cell>
          <cell r="F2001">
            <v>0</v>
          </cell>
          <cell r="G2001">
            <v>1993</v>
          </cell>
          <cell r="H2001">
            <v>20</v>
          </cell>
          <cell r="I2001">
            <v>87110000</v>
          </cell>
        </row>
        <row r="2002">
          <cell r="A2002" t="str">
            <v>Saint Lucia</v>
          </cell>
          <cell r="B2002">
            <v>662</v>
          </cell>
          <cell r="C2002">
            <v>201</v>
          </cell>
          <cell r="D2002">
            <v>13</v>
          </cell>
          <cell r="E2002" t="str">
            <v>Less: Financial intermediation services indirectly measured (FISIM) (only to be deducted if FISIM is not distributed to uses)</v>
          </cell>
          <cell r="F2002">
            <v>0</v>
          </cell>
          <cell r="G2002">
            <v>1994</v>
          </cell>
          <cell r="H2002">
            <v>20</v>
          </cell>
          <cell r="I2002">
            <v>100000000</v>
          </cell>
        </row>
        <row r="2003">
          <cell r="A2003" t="str">
            <v>Saint Lucia</v>
          </cell>
          <cell r="B2003">
            <v>662</v>
          </cell>
          <cell r="C2003">
            <v>201</v>
          </cell>
          <cell r="D2003">
            <v>13</v>
          </cell>
          <cell r="E2003" t="str">
            <v>Less: Financial intermediation services indirectly measured (FISIM) (only to be deducted if FISIM is not distributed to uses)</v>
          </cell>
          <cell r="F2003">
            <v>0</v>
          </cell>
          <cell r="G2003">
            <v>1995</v>
          </cell>
          <cell r="H2003">
            <v>20</v>
          </cell>
          <cell r="I2003">
            <v>100000000</v>
          </cell>
        </row>
        <row r="2004">
          <cell r="A2004" t="str">
            <v>Saint Lucia</v>
          </cell>
          <cell r="B2004">
            <v>662</v>
          </cell>
          <cell r="C2004">
            <v>201</v>
          </cell>
          <cell r="D2004">
            <v>13</v>
          </cell>
          <cell r="E2004" t="str">
            <v>Less: Financial intermediation services indirectly measured (FISIM) (only to be deducted if FISIM is not distributed to uses)</v>
          </cell>
          <cell r="F2004">
            <v>0</v>
          </cell>
          <cell r="G2004">
            <v>1996</v>
          </cell>
          <cell r="H2004">
            <v>20</v>
          </cell>
          <cell r="I2004">
            <v>111000000</v>
          </cell>
        </row>
        <row r="2005">
          <cell r="A2005" t="str">
            <v>Saint Lucia</v>
          </cell>
          <cell r="B2005">
            <v>662</v>
          </cell>
          <cell r="C2005">
            <v>201</v>
          </cell>
          <cell r="D2005">
            <v>13</v>
          </cell>
          <cell r="E2005" t="str">
            <v>Less: Financial intermediation services indirectly measured (FISIM) (only to be deducted if FISIM is not distributed to uses)</v>
          </cell>
          <cell r="F2005">
            <v>0</v>
          </cell>
          <cell r="G2005">
            <v>1997</v>
          </cell>
          <cell r="H2005">
            <v>20</v>
          </cell>
          <cell r="I2005">
            <v>116000000</v>
          </cell>
        </row>
        <row r="2006">
          <cell r="A2006" t="str">
            <v>Saint Lucia</v>
          </cell>
          <cell r="B2006">
            <v>662</v>
          </cell>
          <cell r="C2006">
            <v>201</v>
          </cell>
          <cell r="D2006">
            <v>13</v>
          </cell>
          <cell r="E2006" t="str">
            <v>Less: Financial intermediation services indirectly measured (FISIM) (only to be deducted if FISIM is not distributed to uses)</v>
          </cell>
          <cell r="F2006">
            <v>0</v>
          </cell>
          <cell r="G2006">
            <v>1998</v>
          </cell>
          <cell r="H2006">
            <v>20</v>
          </cell>
          <cell r="I2006">
            <v>114000000</v>
          </cell>
        </row>
        <row r="2007">
          <cell r="A2007" t="str">
            <v>Saint Lucia</v>
          </cell>
          <cell r="B2007">
            <v>662</v>
          </cell>
          <cell r="C2007">
            <v>201</v>
          </cell>
          <cell r="D2007">
            <v>13</v>
          </cell>
          <cell r="E2007" t="str">
            <v>Less: Financial intermediation services indirectly measured (FISIM) (only to be deducted if FISIM is not distributed to uses)</v>
          </cell>
          <cell r="F2007">
            <v>0</v>
          </cell>
          <cell r="G2007">
            <v>1999</v>
          </cell>
          <cell r="H2007">
            <v>20</v>
          </cell>
          <cell r="I2007">
            <v>118000000</v>
          </cell>
        </row>
        <row r="2008">
          <cell r="A2008" t="str">
            <v>Saint Lucia</v>
          </cell>
          <cell r="B2008">
            <v>662</v>
          </cell>
          <cell r="C2008">
            <v>201</v>
          </cell>
          <cell r="D2008">
            <v>13</v>
          </cell>
          <cell r="E2008" t="str">
            <v>Less: Financial intermediation services indirectly measured (FISIM) (only to be deducted if FISIM is not distributed to uses)</v>
          </cell>
          <cell r="F2008">
            <v>0</v>
          </cell>
          <cell r="G2008">
            <v>2000</v>
          </cell>
          <cell r="H2008">
            <v>20</v>
          </cell>
          <cell r="I2008">
            <v>122000000</v>
          </cell>
        </row>
        <row r="2009">
          <cell r="A2009" t="str">
            <v>Saint Lucia</v>
          </cell>
          <cell r="B2009">
            <v>662</v>
          </cell>
          <cell r="C2009">
            <v>201</v>
          </cell>
          <cell r="D2009">
            <v>13</v>
          </cell>
          <cell r="E2009" t="str">
            <v>Less: Financial intermediation services indirectly measured (FISIM) (only to be deducted if FISIM is not distributed to uses)</v>
          </cell>
          <cell r="F2009">
            <v>0</v>
          </cell>
          <cell r="G2009">
            <v>2001</v>
          </cell>
          <cell r="H2009">
            <v>20</v>
          </cell>
          <cell r="I2009">
            <v>124000000</v>
          </cell>
        </row>
        <row r="2010">
          <cell r="A2010" t="str">
            <v>Saint Lucia</v>
          </cell>
          <cell r="B2010">
            <v>662</v>
          </cell>
          <cell r="C2010">
            <v>201</v>
          </cell>
          <cell r="D2010">
            <v>13</v>
          </cell>
          <cell r="E2010" t="str">
            <v>Less: Financial intermediation services indirectly measured (FISIM) (only to be deducted if FISIM is not distributed to uses)</v>
          </cell>
          <cell r="F2010">
            <v>0</v>
          </cell>
          <cell r="G2010">
            <v>2002</v>
          </cell>
          <cell r="H2010">
            <v>20</v>
          </cell>
          <cell r="I2010">
            <v>127000000</v>
          </cell>
        </row>
        <row r="2011">
          <cell r="A2011" t="str">
            <v>Saint Lucia</v>
          </cell>
          <cell r="B2011">
            <v>662</v>
          </cell>
          <cell r="C2011">
            <v>201</v>
          </cell>
          <cell r="D2011">
            <v>13</v>
          </cell>
          <cell r="E2011" t="str">
            <v>Less: Financial intermediation services indirectly measured (FISIM) (only to be deducted if FISIM is not distributed to uses)</v>
          </cell>
          <cell r="F2011">
            <v>0</v>
          </cell>
          <cell r="G2011">
            <v>2003</v>
          </cell>
          <cell r="H2011">
            <v>20</v>
          </cell>
          <cell r="I2011">
            <v>135000000</v>
          </cell>
        </row>
        <row r="2012">
          <cell r="A2012" t="str">
            <v>Sao Tome and Principe</v>
          </cell>
          <cell r="B2012">
            <v>678</v>
          </cell>
          <cell r="C2012">
            <v>201</v>
          </cell>
          <cell r="D2012">
            <v>13</v>
          </cell>
          <cell r="E2012" t="str">
            <v>Less: Financial intermediation services indirectly measured (FISIM) (only to be deducted if FISIM is not distributed to uses)</v>
          </cell>
          <cell r="F2012">
            <v>0</v>
          </cell>
          <cell r="G2012">
            <v>1974</v>
          </cell>
          <cell r="H2012">
            <v>10</v>
          </cell>
          <cell r="I2012">
            <v>6100000</v>
          </cell>
        </row>
        <row r="2013">
          <cell r="A2013" t="str">
            <v>Sao Tome and Principe</v>
          </cell>
          <cell r="B2013">
            <v>678</v>
          </cell>
          <cell r="C2013">
            <v>203</v>
          </cell>
          <cell r="D2013">
            <v>4</v>
          </cell>
          <cell r="E2013" t="str">
            <v>Compensation of employees</v>
          </cell>
          <cell r="F2013">
            <v>12</v>
          </cell>
          <cell r="G2013">
            <v>1974</v>
          </cell>
          <cell r="H2013">
            <v>10</v>
          </cell>
          <cell r="I2013">
            <v>332300000</v>
          </cell>
        </row>
        <row r="2014">
          <cell r="A2014" t="str">
            <v>Sao Tome and Principe</v>
          </cell>
          <cell r="B2014">
            <v>678</v>
          </cell>
          <cell r="C2014">
            <v>203</v>
          </cell>
          <cell r="D2014">
            <v>11</v>
          </cell>
          <cell r="E2014" t="str">
            <v>OPERATING SURPLUS, GROSS</v>
          </cell>
          <cell r="F2014">
            <v>12</v>
          </cell>
          <cell r="G2014">
            <v>1974</v>
          </cell>
          <cell r="H2014">
            <v>10</v>
          </cell>
          <cell r="I2014">
            <v>326300000</v>
          </cell>
        </row>
        <row r="2015">
          <cell r="A2015" t="str">
            <v>Seychelles</v>
          </cell>
          <cell r="B2015">
            <v>690</v>
          </cell>
          <cell r="C2015">
            <v>201</v>
          </cell>
          <cell r="D2015">
            <v>13</v>
          </cell>
          <cell r="E2015" t="str">
            <v>Less: Financial intermediation services indirectly measured (FISIM) (only to be deducted if FISIM is not distributed to uses)</v>
          </cell>
          <cell r="F2015">
            <v>0</v>
          </cell>
          <cell r="G2015">
            <v>1976</v>
          </cell>
          <cell r="H2015">
            <v>20</v>
          </cell>
          <cell r="I2015">
            <v>5900000</v>
          </cell>
        </row>
        <row r="2016">
          <cell r="A2016" t="str">
            <v>Seychelles</v>
          </cell>
          <cell r="B2016">
            <v>690</v>
          </cell>
          <cell r="C2016">
            <v>201</v>
          </cell>
          <cell r="D2016">
            <v>13</v>
          </cell>
          <cell r="E2016" t="str">
            <v>Less: Financial intermediation services indirectly measured (FISIM) (only to be deducted if FISIM is not distributed to uses)</v>
          </cell>
          <cell r="F2016">
            <v>0</v>
          </cell>
          <cell r="G2016">
            <v>1977</v>
          </cell>
          <cell r="H2016">
            <v>20</v>
          </cell>
          <cell r="I2016">
            <v>8300000</v>
          </cell>
        </row>
        <row r="2017">
          <cell r="A2017" t="str">
            <v>Seychelles</v>
          </cell>
          <cell r="B2017">
            <v>690</v>
          </cell>
          <cell r="C2017">
            <v>201</v>
          </cell>
          <cell r="D2017">
            <v>13</v>
          </cell>
          <cell r="E2017" t="str">
            <v>Less: Financial intermediation services indirectly measured (FISIM) (only to be deducted if FISIM is not distributed to uses)</v>
          </cell>
          <cell r="F2017">
            <v>0</v>
          </cell>
          <cell r="G2017">
            <v>1978</v>
          </cell>
          <cell r="H2017">
            <v>20</v>
          </cell>
          <cell r="I2017">
            <v>11600000</v>
          </cell>
        </row>
        <row r="2018">
          <cell r="A2018" t="str">
            <v>Seychelles</v>
          </cell>
          <cell r="B2018">
            <v>690</v>
          </cell>
          <cell r="C2018">
            <v>201</v>
          </cell>
          <cell r="D2018">
            <v>13</v>
          </cell>
          <cell r="E2018" t="str">
            <v>Less: Financial intermediation services indirectly measured (FISIM) (only to be deducted if FISIM is not distributed to uses)</v>
          </cell>
          <cell r="F2018">
            <v>0</v>
          </cell>
          <cell r="G2018">
            <v>1979</v>
          </cell>
          <cell r="H2018">
            <v>20</v>
          </cell>
          <cell r="I2018">
            <v>20000000</v>
          </cell>
        </row>
        <row r="2019">
          <cell r="A2019" t="str">
            <v>Seychelles</v>
          </cell>
          <cell r="B2019">
            <v>690</v>
          </cell>
          <cell r="C2019">
            <v>201</v>
          </cell>
          <cell r="D2019">
            <v>13</v>
          </cell>
          <cell r="E2019" t="str">
            <v>Less: Financial intermediation services indirectly measured (FISIM) (only to be deducted if FISIM is not distributed to uses)</v>
          </cell>
          <cell r="F2019">
            <v>0</v>
          </cell>
          <cell r="G2019">
            <v>1980</v>
          </cell>
          <cell r="H2019">
            <v>20</v>
          </cell>
          <cell r="I2019">
            <v>29800000</v>
          </cell>
        </row>
        <row r="2020">
          <cell r="A2020" t="str">
            <v>Seychelles</v>
          </cell>
          <cell r="B2020">
            <v>690</v>
          </cell>
          <cell r="C2020">
            <v>201</v>
          </cell>
          <cell r="D2020">
            <v>13</v>
          </cell>
          <cell r="E2020" t="str">
            <v>Less: Financial intermediation services indirectly measured (FISIM) (only to be deducted if FISIM is not distributed to uses)</v>
          </cell>
          <cell r="F2020">
            <v>0</v>
          </cell>
          <cell r="G2020">
            <v>1981</v>
          </cell>
          <cell r="H2020">
            <v>20</v>
          </cell>
          <cell r="I2020">
            <v>34100000</v>
          </cell>
        </row>
        <row r="2021">
          <cell r="A2021" t="str">
            <v>Seychelles</v>
          </cell>
          <cell r="B2021">
            <v>690</v>
          </cell>
          <cell r="C2021">
            <v>201</v>
          </cell>
          <cell r="D2021">
            <v>13</v>
          </cell>
          <cell r="E2021" t="str">
            <v>Less: Financial intermediation services indirectly measured (FISIM) (only to be deducted if FISIM is not distributed to uses)</v>
          </cell>
          <cell r="F2021">
            <v>0</v>
          </cell>
          <cell r="G2021">
            <v>1982</v>
          </cell>
          <cell r="H2021">
            <v>20</v>
          </cell>
          <cell r="I2021">
            <v>29600000</v>
          </cell>
        </row>
        <row r="2022">
          <cell r="A2022" t="str">
            <v>Seychelles</v>
          </cell>
          <cell r="B2022">
            <v>690</v>
          </cell>
          <cell r="C2022">
            <v>201</v>
          </cell>
          <cell r="D2022">
            <v>13</v>
          </cell>
          <cell r="E2022" t="str">
            <v>Less: Financial intermediation services indirectly measured (FISIM) (only to be deducted if FISIM is not distributed to uses)</v>
          </cell>
          <cell r="F2022">
            <v>0</v>
          </cell>
          <cell r="G2022">
            <v>1983</v>
          </cell>
          <cell r="H2022">
            <v>20</v>
          </cell>
          <cell r="I2022">
            <v>25800000</v>
          </cell>
        </row>
        <row r="2023">
          <cell r="A2023" t="str">
            <v>Seychelles</v>
          </cell>
          <cell r="B2023">
            <v>690</v>
          </cell>
          <cell r="C2023">
            <v>201</v>
          </cell>
          <cell r="D2023">
            <v>13</v>
          </cell>
          <cell r="E2023" t="str">
            <v>Less: Financial intermediation services indirectly measured (FISIM) (only to be deducted if FISIM is not distributed to uses)</v>
          </cell>
          <cell r="F2023">
            <v>0</v>
          </cell>
          <cell r="G2023">
            <v>1984</v>
          </cell>
          <cell r="H2023">
            <v>20</v>
          </cell>
          <cell r="I2023">
            <v>26000000</v>
          </cell>
        </row>
        <row r="2024">
          <cell r="A2024" t="str">
            <v>Seychelles</v>
          </cell>
          <cell r="B2024">
            <v>690</v>
          </cell>
          <cell r="C2024">
            <v>201</v>
          </cell>
          <cell r="D2024">
            <v>13</v>
          </cell>
          <cell r="E2024" t="str">
            <v>Less: Financial intermediation services indirectly measured (FISIM) (only to be deducted if FISIM is not distributed to uses)</v>
          </cell>
          <cell r="F2024">
            <v>0</v>
          </cell>
          <cell r="G2024">
            <v>1985</v>
          </cell>
          <cell r="H2024">
            <v>20</v>
          </cell>
          <cell r="I2024">
            <v>31900000</v>
          </cell>
        </row>
        <row r="2025">
          <cell r="A2025" t="str">
            <v>Seychelles</v>
          </cell>
          <cell r="B2025">
            <v>690</v>
          </cell>
          <cell r="C2025">
            <v>201</v>
          </cell>
          <cell r="D2025">
            <v>13</v>
          </cell>
          <cell r="E2025" t="str">
            <v>Less: Financial intermediation services indirectly measured (FISIM) (only to be deducted if FISIM is not distributed to uses)</v>
          </cell>
          <cell r="F2025">
            <v>0</v>
          </cell>
          <cell r="G2025">
            <v>1986</v>
          </cell>
          <cell r="H2025">
            <v>20</v>
          </cell>
          <cell r="I2025">
            <v>37700000</v>
          </cell>
        </row>
        <row r="2026">
          <cell r="A2026" t="str">
            <v>Seychelles</v>
          </cell>
          <cell r="B2026">
            <v>690</v>
          </cell>
          <cell r="C2026">
            <v>201</v>
          </cell>
          <cell r="D2026">
            <v>13</v>
          </cell>
          <cell r="E2026" t="str">
            <v>Less: Financial intermediation services indirectly measured (FISIM) (only to be deducted if FISIM is not distributed to uses)</v>
          </cell>
          <cell r="F2026">
            <v>0</v>
          </cell>
          <cell r="G2026">
            <v>1987</v>
          </cell>
          <cell r="H2026">
            <v>20</v>
          </cell>
          <cell r="I2026">
            <v>43600000</v>
          </cell>
        </row>
        <row r="2027">
          <cell r="A2027" t="str">
            <v>Seychelles</v>
          </cell>
          <cell r="B2027">
            <v>690</v>
          </cell>
          <cell r="C2027">
            <v>201</v>
          </cell>
          <cell r="D2027">
            <v>13</v>
          </cell>
          <cell r="E2027" t="str">
            <v>Less: Financial intermediation services indirectly measured (FISIM) (only to be deducted if FISIM is not distributed to uses)</v>
          </cell>
          <cell r="F2027">
            <v>0</v>
          </cell>
          <cell r="G2027">
            <v>1988</v>
          </cell>
          <cell r="H2027">
            <v>20</v>
          </cell>
          <cell r="I2027">
            <v>51300000</v>
          </cell>
        </row>
        <row r="2028">
          <cell r="A2028" t="str">
            <v>Seychelles</v>
          </cell>
          <cell r="B2028">
            <v>690</v>
          </cell>
          <cell r="C2028">
            <v>201</v>
          </cell>
          <cell r="D2028">
            <v>13</v>
          </cell>
          <cell r="E2028" t="str">
            <v>Less: Financial intermediation services indirectly measured (FISIM) (only to be deducted if FISIM is not distributed to uses)</v>
          </cell>
          <cell r="F2028">
            <v>0</v>
          </cell>
          <cell r="G2028">
            <v>1989</v>
          </cell>
          <cell r="H2028">
            <v>20</v>
          </cell>
          <cell r="I2028">
            <v>51900000</v>
          </cell>
        </row>
        <row r="2029">
          <cell r="A2029" t="str">
            <v>Seychelles</v>
          </cell>
          <cell r="B2029">
            <v>690</v>
          </cell>
          <cell r="C2029">
            <v>201</v>
          </cell>
          <cell r="D2029">
            <v>13</v>
          </cell>
          <cell r="E2029" t="str">
            <v>Less: Financial intermediation services indirectly measured (FISIM) (only to be deducted if FISIM is not distributed to uses)</v>
          </cell>
          <cell r="F2029">
            <v>0</v>
          </cell>
          <cell r="G2029">
            <v>1990</v>
          </cell>
          <cell r="H2029">
            <v>20</v>
          </cell>
          <cell r="I2029">
            <v>68500000</v>
          </cell>
        </row>
        <row r="2030">
          <cell r="A2030" t="str">
            <v>Seychelles</v>
          </cell>
          <cell r="B2030">
            <v>690</v>
          </cell>
          <cell r="C2030">
            <v>201</v>
          </cell>
          <cell r="D2030">
            <v>13</v>
          </cell>
          <cell r="E2030" t="str">
            <v>Less: Financial intermediation services indirectly measured (FISIM) (only to be deducted if FISIM is not distributed to uses)</v>
          </cell>
          <cell r="F2030">
            <v>0</v>
          </cell>
          <cell r="G2030">
            <v>1991</v>
          </cell>
          <cell r="H2030">
            <v>20</v>
          </cell>
          <cell r="I2030">
            <v>67400000</v>
          </cell>
        </row>
        <row r="2031">
          <cell r="A2031" t="str">
            <v>Seychelles</v>
          </cell>
          <cell r="B2031">
            <v>690</v>
          </cell>
          <cell r="C2031">
            <v>201</v>
          </cell>
          <cell r="D2031">
            <v>13</v>
          </cell>
          <cell r="E2031" t="str">
            <v>Less: Financial intermediation services indirectly measured (FISIM) (only to be deducted if FISIM is not distributed to uses)</v>
          </cell>
          <cell r="F2031">
            <v>0</v>
          </cell>
          <cell r="G2031">
            <v>1992</v>
          </cell>
          <cell r="H2031">
            <v>20</v>
          </cell>
          <cell r="I2031">
            <v>82700000</v>
          </cell>
        </row>
        <row r="2032">
          <cell r="A2032" t="str">
            <v>Seychelles</v>
          </cell>
          <cell r="B2032">
            <v>690</v>
          </cell>
          <cell r="C2032">
            <v>201</v>
          </cell>
          <cell r="D2032">
            <v>13</v>
          </cell>
          <cell r="E2032" t="str">
            <v>Less: Financial intermediation services indirectly measured (FISIM) (only to be deducted if FISIM is not distributed to uses)</v>
          </cell>
          <cell r="F2032">
            <v>0</v>
          </cell>
          <cell r="G2032">
            <v>1993</v>
          </cell>
          <cell r="H2032">
            <v>20</v>
          </cell>
          <cell r="I2032">
            <v>98100000</v>
          </cell>
        </row>
        <row r="2033">
          <cell r="A2033" t="str">
            <v>Seychelles</v>
          </cell>
          <cell r="B2033">
            <v>690</v>
          </cell>
          <cell r="C2033">
            <v>201</v>
          </cell>
          <cell r="D2033">
            <v>13</v>
          </cell>
          <cell r="E2033" t="str">
            <v>Less: Financial intermediation services indirectly measured (FISIM) (only to be deducted if FISIM is not distributed to uses)</v>
          </cell>
          <cell r="F2033">
            <v>0</v>
          </cell>
          <cell r="G2033">
            <v>1994</v>
          </cell>
          <cell r="H2033">
            <v>20</v>
          </cell>
          <cell r="I2033">
            <v>89900000</v>
          </cell>
        </row>
        <row r="2034">
          <cell r="A2034" t="str">
            <v>Seychelles</v>
          </cell>
          <cell r="B2034">
            <v>690</v>
          </cell>
          <cell r="C2034">
            <v>201</v>
          </cell>
          <cell r="D2034">
            <v>13</v>
          </cell>
          <cell r="E2034" t="str">
            <v>Less: Financial intermediation services indirectly measured (FISIM) (only to be deducted if FISIM is not distributed to uses)</v>
          </cell>
          <cell r="F2034">
            <v>0</v>
          </cell>
          <cell r="G2034">
            <v>1995</v>
          </cell>
          <cell r="H2034">
            <v>20</v>
          </cell>
          <cell r="I2034">
            <v>131400000</v>
          </cell>
        </row>
        <row r="2035">
          <cell r="A2035" t="str">
            <v>Seychelles</v>
          </cell>
          <cell r="B2035">
            <v>690</v>
          </cell>
          <cell r="C2035">
            <v>201</v>
          </cell>
          <cell r="D2035">
            <v>13</v>
          </cell>
          <cell r="E2035" t="str">
            <v>Less: Financial intermediation services indirectly measured (FISIM) (only to be deducted if FISIM is not distributed to uses)</v>
          </cell>
          <cell r="F2035">
            <v>0</v>
          </cell>
          <cell r="G2035">
            <v>1996</v>
          </cell>
          <cell r="H2035">
            <v>20</v>
          </cell>
          <cell r="I2035">
            <v>144900000</v>
          </cell>
        </row>
        <row r="2036">
          <cell r="A2036" t="str">
            <v>Seychelles</v>
          </cell>
          <cell r="B2036">
            <v>690</v>
          </cell>
          <cell r="C2036">
            <v>201</v>
          </cell>
          <cell r="D2036">
            <v>13</v>
          </cell>
          <cell r="E2036" t="str">
            <v>Less: Financial intermediation services indirectly measured (FISIM) (only to be deducted if FISIM is not distributed to uses)</v>
          </cell>
          <cell r="F2036">
            <v>0</v>
          </cell>
          <cell r="G2036">
            <v>1997</v>
          </cell>
          <cell r="H2036">
            <v>20</v>
          </cell>
          <cell r="I2036">
            <v>136600000</v>
          </cell>
        </row>
        <row r="2037">
          <cell r="A2037" t="str">
            <v>Seychelles</v>
          </cell>
          <cell r="B2037">
            <v>690</v>
          </cell>
          <cell r="C2037">
            <v>201</v>
          </cell>
          <cell r="D2037">
            <v>13</v>
          </cell>
          <cell r="E2037" t="str">
            <v>Less: Financial intermediation services indirectly measured (FISIM) (only to be deducted if FISIM is not distributed to uses)</v>
          </cell>
          <cell r="F2037">
            <v>0</v>
          </cell>
          <cell r="G2037">
            <v>1998</v>
          </cell>
          <cell r="H2037">
            <v>20</v>
          </cell>
          <cell r="I2037">
            <v>160200000</v>
          </cell>
        </row>
        <row r="2038">
          <cell r="A2038" t="str">
            <v>Seychelles</v>
          </cell>
          <cell r="B2038">
            <v>690</v>
          </cell>
          <cell r="C2038">
            <v>201</v>
          </cell>
          <cell r="D2038">
            <v>13</v>
          </cell>
          <cell r="E2038" t="str">
            <v>Less: Financial intermediation services indirectly measured (FISIM) (only to be deducted if FISIM is not distributed to uses)</v>
          </cell>
          <cell r="F2038">
            <v>0</v>
          </cell>
          <cell r="G2038">
            <v>1999</v>
          </cell>
          <cell r="H2038">
            <v>20</v>
          </cell>
          <cell r="I2038">
            <v>167700000</v>
          </cell>
        </row>
        <row r="2039">
          <cell r="A2039" t="str">
            <v>Seychelles</v>
          </cell>
          <cell r="B2039">
            <v>690</v>
          </cell>
          <cell r="C2039">
            <v>201</v>
          </cell>
          <cell r="D2039">
            <v>13</v>
          </cell>
          <cell r="E2039" t="str">
            <v>Less: Financial intermediation services indirectly measured (FISIM) (only to be deducted if FISIM is not distributed to uses)</v>
          </cell>
          <cell r="F2039">
            <v>0</v>
          </cell>
          <cell r="G2039">
            <v>2000</v>
          </cell>
          <cell r="H2039">
            <v>20</v>
          </cell>
          <cell r="I2039">
            <v>165200000</v>
          </cell>
        </row>
        <row r="2040">
          <cell r="A2040" t="str">
            <v>Seychelles</v>
          </cell>
          <cell r="B2040">
            <v>690</v>
          </cell>
          <cell r="C2040">
            <v>201</v>
          </cell>
          <cell r="D2040">
            <v>13</v>
          </cell>
          <cell r="E2040" t="str">
            <v>Less: Financial intermediation services indirectly measured (FISIM) (only to be deducted if FISIM is not distributed to uses)</v>
          </cell>
          <cell r="F2040">
            <v>0</v>
          </cell>
          <cell r="G2040">
            <v>2001</v>
          </cell>
          <cell r="H2040">
            <v>20</v>
          </cell>
          <cell r="I2040">
            <v>175600000</v>
          </cell>
        </row>
        <row r="2041">
          <cell r="A2041" t="str">
            <v>Seychelles</v>
          </cell>
          <cell r="B2041">
            <v>690</v>
          </cell>
          <cell r="C2041">
            <v>203</v>
          </cell>
          <cell r="D2041">
            <v>3</v>
          </cell>
          <cell r="E2041" t="str">
            <v>Equals: VALUE ADDED, GROSS, at basic prices</v>
          </cell>
          <cell r="F2041">
            <v>12</v>
          </cell>
          <cell r="G2041">
            <v>1976</v>
          </cell>
          <cell r="H2041">
            <v>20</v>
          </cell>
          <cell r="I2041">
            <v>340300000</v>
          </cell>
        </row>
        <row r="2042">
          <cell r="A2042" t="str">
            <v>Seychelles</v>
          </cell>
          <cell r="B2042">
            <v>690</v>
          </cell>
          <cell r="C2042">
            <v>203</v>
          </cell>
          <cell r="D2042">
            <v>3</v>
          </cell>
          <cell r="E2042" t="str">
            <v>Equals: VALUE ADDED, GROSS, at basic prices</v>
          </cell>
          <cell r="F2042">
            <v>12</v>
          </cell>
          <cell r="G2042">
            <v>1977</v>
          </cell>
          <cell r="H2042">
            <v>20</v>
          </cell>
          <cell r="I2042">
            <v>455900000</v>
          </cell>
        </row>
        <row r="2043">
          <cell r="A2043" t="str">
            <v>Seychelles</v>
          </cell>
          <cell r="B2043">
            <v>690</v>
          </cell>
          <cell r="C2043">
            <v>203</v>
          </cell>
          <cell r="D2043">
            <v>3</v>
          </cell>
          <cell r="E2043" t="str">
            <v>Equals: VALUE ADDED, GROSS, at basic prices</v>
          </cell>
          <cell r="F2043">
            <v>12</v>
          </cell>
          <cell r="G2043">
            <v>1978</v>
          </cell>
          <cell r="H2043">
            <v>20</v>
          </cell>
          <cell r="I2043">
            <v>546800000</v>
          </cell>
        </row>
        <row r="2044">
          <cell r="A2044" t="str">
            <v>Seychelles</v>
          </cell>
          <cell r="B2044">
            <v>690</v>
          </cell>
          <cell r="C2044">
            <v>203</v>
          </cell>
          <cell r="D2044">
            <v>3</v>
          </cell>
          <cell r="E2044" t="str">
            <v>Equals: VALUE ADDED, GROSS, at basic prices</v>
          </cell>
          <cell r="F2044">
            <v>12</v>
          </cell>
          <cell r="G2044">
            <v>1979</v>
          </cell>
          <cell r="H2044">
            <v>20</v>
          </cell>
          <cell r="I2044">
            <v>739500000</v>
          </cell>
        </row>
        <row r="2045">
          <cell r="A2045" t="str">
            <v>Seychelles</v>
          </cell>
          <cell r="B2045">
            <v>690</v>
          </cell>
          <cell r="C2045">
            <v>203</v>
          </cell>
          <cell r="D2045">
            <v>3</v>
          </cell>
          <cell r="E2045" t="str">
            <v>Equals: VALUE ADDED, GROSS, at basic prices</v>
          </cell>
          <cell r="F2045">
            <v>12</v>
          </cell>
          <cell r="G2045">
            <v>1980</v>
          </cell>
          <cell r="H2045">
            <v>20</v>
          </cell>
          <cell r="I2045">
            <v>866700000</v>
          </cell>
        </row>
        <row r="2046">
          <cell r="A2046" t="str">
            <v>Seychelles</v>
          </cell>
          <cell r="B2046">
            <v>690</v>
          </cell>
          <cell r="C2046">
            <v>203</v>
          </cell>
          <cell r="D2046">
            <v>3</v>
          </cell>
          <cell r="E2046" t="str">
            <v>Equals: VALUE ADDED, GROSS, at basic prices</v>
          </cell>
          <cell r="F2046">
            <v>12</v>
          </cell>
          <cell r="G2046">
            <v>1981</v>
          </cell>
          <cell r="H2046">
            <v>20</v>
          </cell>
          <cell r="I2046">
            <v>885100000</v>
          </cell>
        </row>
        <row r="2047">
          <cell r="A2047" t="str">
            <v>Seychelles</v>
          </cell>
          <cell r="B2047">
            <v>690</v>
          </cell>
          <cell r="C2047">
            <v>203</v>
          </cell>
          <cell r="D2047">
            <v>3</v>
          </cell>
          <cell r="E2047" t="str">
            <v>Equals: VALUE ADDED, GROSS, at basic prices</v>
          </cell>
          <cell r="F2047">
            <v>12</v>
          </cell>
          <cell r="G2047">
            <v>1982</v>
          </cell>
          <cell r="H2047">
            <v>20</v>
          </cell>
          <cell r="I2047">
            <v>866500000</v>
          </cell>
        </row>
        <row r="2048">
          <cell r="A2048" t="str">
            <v>Seychelles</v>
          </cell>
          <cell r="B2048">
            <v>690</v>
          </cell>
          <cell r="C2048">
            <v>203</v>
          </cell>
          <cell r="D2048">
            <v>3</v>
          </cell>
          <cell r="E2048" t="str">
            <v>Equals: VALUE ADDED, GROSS, at basic prices</v>
          </cell>
          <cell r="F2048">
            <v>12</v>
          </cell>
          <cell r="G2048">
            <v>1983</v>
          </cell>
          <cell r="H2048">
            <v>20</v>
          </cell>
          <cell r="I2048">
            <v>886600000</v>
          </cell>
        </row>
        <row r="2049">
          <cell r="A2049" t="str">
            <v>Seychelles</v>
          </cell>
          <cell r="B2049">
            <v>690</v>
          </cell>
          <cell r="C2049">
            <v>203</v>
          </cell>
          <cell r="D2049">
            <v>3</v>
          </cell>
          <cell r="E2049" t="str">
            <v>Equals: VALUE ADDED, GROSS, at basic prices</v>
          </cell>
          <cell r="F2049">
            <v>12</v>
          </cell>
          <cell r="G2049">
            <v>1984</v>
          </cell>
          <cell r="H2049">
            <v>20</v>
          </cell>
          <cell r="I2049">
            <v>965500000</v>
          </cell>
        </row>
        <row r="2050">
          <cell r="A2050" t="str">
            <v>Seychelles</v>
          </cell>
          <cell r="B2050">
            <v>690</v>
          </cell>
          <cell r="C2050">
            <v>203</v>
          </cell>
          <cell r="D2050">
            <v>3</v>
          </cell>
          <cell r="E2050" t="str">
            <v>Equals: VALUE ADDED, GROSS, at basic prices</v>
          </cell>
          <cell r="F2050">
            <v>12</v>
          </cell>
          <cell r="G2050">
            <v>1985</v>
          </cell>
          <cell r="H2050">
            <v>20</v>
          </cell>
          <cell r="I2050">
            <v>1102400000</v>
          </cell>
        </row>
        <row r="2051">
          <cell r="A2051" t="str">
            <v>Seychelles</v>
          </cell>
          <cell r="B2051">
            <v>690</v>
          </cell>
          <cell r="C2051">
            <v>203</v>
          </cell>
          <cell r="D2051">
            <v>3</v>
          </cell>
          <cell r="E2051" t="str">
            <v>Equals: VALUE ADDED, GROSS, at basic prices</v>
          </cell>
          <cell r="F2051">
            <v>12</v>
          </cell>
          <cell r="G2051">
            <v>1986</v>
          </cell>
          <cell r="H2051">
            <v>20</v>
          </cell>
          <cell r="I2051">
            <v>1130000000</v>
          </cell>
        </row>
        <row r="2052">
          <cell r="A2052" t="str">
            <v>Seychelles</v>
          </cell>
          <cell r="B2052">
            <v>690</v>
          </cell>
          <cell r="C2052">
            <v>203</v>
          </cell>
          <cell r="D2052">
            <v>3</v>
          </cell>
          <cell r="E2052" t="str">
            <v>Equals: VALUE ADDED, GROSS, at basic prices</v>
          </cell>
          <cell r="F2052">
            <v>12</v>
          </cell>
          <cell r="G2052">
            <v>1987</v>
          </cell>
          <cell r="H2052">
            <v>20</v>
          </cell>
          <cell r="I2052">
            <v>1212800000</v>
          </cell>
        </row>
        <row r="2053">
          <cell r="A2053" t="str">
            <v>Seychelles</v>
          </cell>
          <cell r="B2053">
            <v>690</v>
          </cell>
          <cell r="C2053">
            <v>203</v>
          </cell>
          <cell r="D2053">
            <v>3</v>
          </cell>
          <cell r="E2053" t="str">
            <v>Equals: VALUE ADDED, GROSS, at basic prices</v>
          </cell>
          <cell r="F2053">
            <v>12</v>
          </cell>
          <cell r="G2053">
            <v>1988</v>
          </cell>
          <cell r="H2053">
            <v>20</v>
          </cell>
          <cell r="I2053">
            <v>1283500000</v>
          </cell>
        </row>
        <row r="2054">
          <cell r="A2054" t="str">
            <v>Seychelles</v>
          </cell>
          <cell r="B2054">
            <v>690</v>
          </cell>
          <cell r="C2054">
            <v>203</v>
          </cell>
          <cell r="D2054">
            <v>3</v>
          </cell>
          <cell r="E2054" t="str">
            <v>Equals: VALUE ADDED, GROSS, at basic prices</v>
          </cell>
          <cell r="F2054">
            <v>12</v>
          </cell>
          <cell r="G2054">
            <v>1989</v>
          </cell>
          <cell r="H2054">
            <v>20</v>
          </cell>
          <cell r="I2054">
            <v>1442400000</v>
          </cell>
        </row>
        <row r="2055">
          <cell r="A2055" t="str">
            <v>Seychelles</v>
          </cell>
          <cell r="B2055">
            <v>690</v>
          </cell>
          <cell r="C2055">
            <v>203</v>
          </cell>
          <cell r="D2055">
            <v>3</v>
          </cell>
          <cell r="E2055" t="str">
            <v>Equals: VALUE ADDED, GROSS, at basic prices</v>
          </cell>
          <cell r="F2055">
            <v>12</v>
          </cell>
          <cell r="G2055">
            <v>1990</v>
          </cell>
          <cell r="H2055">
            <v>20</v>
          </cell>
          <cell r="I2055">
            <v>1673400000</v>
          </cell>
        </row>
        <row r="2056">
          <cell r="A2056" t="str">
            <v>Seychelles</v>
          </cell>
          <cell r="B2056">
            <v>690</v>
          </cell>
          <cell r="C2056">
            <v>203</v>
          </cell>
          <cell r="D2056">
            <v>3</v>
          </cell>
          <cell r="E2056" t="str">
            <v>Equals: VALUE ADDED, GROSS, at basic prices</v>
          </cell>
          <cell r="F2056">
            <v>12</v>
          </cell>
          <cell r="G2056">
            <v>1991</v>
          </cell>
          <cell r="H2056">
            <v>20</v>
          </cell>
          <cell r="I2056">
            <v>1741900000</v>
          </cell>
        </row>
        <row r="2057">
          <cell r="A2057" t="str">
            <v>Seychelles</v>
          </cell>
          <cell r="B2057">
            <v>690</v>
          </cell>
          <cell r="C2057">
            <v>203</v>
          </cell>
          <cell r="D2057">
            <v>3</v>
          </cell>
          <cell r="E2057" t="str">
            <v>Equals: VALUE ADDED, GROSS, at basic prices</v>
          </cell>
          <cell r="F2057">
            <v>12</v>
          </cell>
          <cell r="G2057">
            <v>1992</v>
          </cell>
          <cell r="H2057">
            <v>20</v>
          </cell>
          <cell r="I2057">
            <v>1914000000</v>
          </cell>
        </row>
        <row r="2058">
          <cell r="A2058" t="str">
            <v>Seychelles</v>
          </cell>
          <cell r="B2058">
            <v>690</v>
          </cell>
          <cell r="C2058">
            <v>203</v>
          </cell>
          <cell r="D2058">
            <v>3</v>
          </cell>
          <cell r="E2058" t="str">
            <v>Equals: VALUE ADDED, GROSS, at basic prices</v>
          </cell>
          <cell r="F2058">
            <v>12</v>
          </cell>
          <cell r="G2058">
            <v>1993</v>
          </cell>
          <cell r="H2058">
            <v>20</v>
          </cell>
          <cell r="I2058">
            <v>2054000000</v>
          </cell>
        </row>
        <row r="2059">
          <cell r="A2059" t="str">
            <v>Seychelles</v>
          </cell>
          <cell r="B2059">
            <v>690</v>
          </cell>
          <cell r="C2059">
            <v>203</v>
          </cell>
          <cell r="D2059">
            <v>3</v>
          </cell>
          <cell r="E2059" t="str">
            <v>Equals: VALUE ADDED, GROSS, at basic prices</v>
          </cell>
          <cell r="F2059">
            <v>12</v>
          </cell>
          <cell r="G2059">
            <v>1994</v>
          </cell>
          <cell r="H2059">
            <v>20</v>
          </cell>
          <cell r="I2059">
            <v>2461000000</v>
          </cell>
        </row>
        <row r="2060">
          <cell r="A2060" t="str">
            <v>Seychelles</v>
          </cell>
          <cell r="B2060">
            <v>690</v>
          </cell>
          <cell r="C2060">
            <v>203</v>
          </cell>
          <cell r="D2060">
            <v>3</v>
          </cell>
          <cell r="E2060" t="str">
            <v>Equals: VALUE ADDED, GROSS, at basic prices</v>
          </cell>
          <cell r="F2060">
            <v>12</v>
          </cell>
          <cell r="G2060">
            <v>1995</v>
          </cell>
          <cell r="H2060">
            <v>20</v>
          </cell>
          <cell r="I2060">
            <v>2420000000</v>
          </cell>
        </row>
        <row r="2061">
          <cell r="A2061" t="str">
            <v>Seychelles</v>
          </cell>
          <cell r="B2061">
            <v>690</v>
          </cell>
          <cell r="C2061">
            <v>203</v>
          </cell>
          <cell r="D2061">
            <v>3</v>
          </cell>
          <cell r="E2061" t="str">
            <v>Equals: VALUE ADDED, GROSS, at basic prices</v>
          </cell>
          <cell r="F2061">
            <v>12</v>
          </cell>
          <cell r="G2061">
            <v>1996</v>
          </cell>
          <cell r="H2061">
            <v>20</v>
          </cell>
          <cell r="I2061">
            <v>2499000000</v>
          </cell>
        </row>
        <row r="2062">
          <cell r="A2062" t="str">
            <v>Seychelles</v>
          </cell>
          <cell r="B2062">
            <v>690</v>
          </cell>
          <cell r="C2062">
            <v>203</v>
          </cell>
          <cell r="D2062">
            <v>4</v>
          </cell>
          <cell r="E2062" t="str">
            <v>Compensation of employees</v>
          </cell>
          <cell r="F2062">
            <v>12</v>
          </cell>
          <cell r="G2062">
            <v>1976</v>
          </cell>
          <cell r="H2062">
            <v>20</v>
          </cell>
          <cell r="I2062">
            <v>126300000</v>
          </cell>
        </row>
        <row r="2063">
          <cell r="A2063" t="str">
            <v>Seychelles</v>
          </cell>
          <cell r="B2063">
            <v>690</v>
          </cell>
          <cell r="C2063">
            <v>203</v>
          </cell>
          <cell r="D2063">
            <v>4</v>
          </cell>
          <cell r="E2063" t="str">
            <v>Compensation of employees</v>
          </cell>
          <cell r="F2063">
            <v>12</v>
          </cell>
          <cell r="G2063">
            <v>1977</v>
          </cell>
          <cell r="H2063">
            <v>20</v>
          </cell>
          <cell r="I2063">
            <v>175500000</v>
          </cell>
        </row>
        <row r="2064">
          <cell r="A2064" t="str">
            <v>Seychelles</v>
          </cell>
          <cell r="B2064">
            <v>690</v>
          </cell>
          <cell r="C2064">
            <v>203</v>
          </cell>
          <cell r="D2064">
            <v>4</v>
          </cell>
          <cell r="E2064" t="str">
            <v>Compensation of employees</v>
          </cell>
          <cell r="F2064">
            <v>12</v>
          </cell>
          <cell r="G2064">
            <v>1978</v>
          </cell>
          <cell r="H2064">
            <v>20</v>
          </cell>
          <cell r="I2064">
            <v>212900000</v>
          </cell>
        </row>
        <row r="2065">
          <cell r="A2065" t="str">
            <v>Seychelles</v>
          </cell>
          <cell r="B2065">
            <v>690</v>
          </cell>
          <cell r="C2065">
            <v>203</v>
          </cell>
          <cell r="D2065">
            <v>4</v>
          </cell>
          <cell r="E2065" t="str">
            <v>Compensation of employees</v>
          </cell>
          <cell r="F2065">
            <v>12</v>
          </cell>
          <cell r="G2065">
            <v>1979</v>
          </cell>
          <cell r="H2065">
            <v>20</v>
          </cell>
          <cell r="I2065">
            <v>289800000</v>
          </cell>
        </row>
        <row r="2066">
          <cell r="A2066" t="str">
            <v>Seychelles</v>
          </cell>
          <cell r="B2066">
            <v>690</v>
          </cell>
          <cell r="C2066">
            <v>203</v>
          </cell>
          <cell r="D2066">
            <v>4</v>
          </cell>
          <cell r="E2066" t="str">
            <v>Compensation of employees</v>
          </cell>
          <cell r="F2066">
            <v>12</v>
          </cell>
          <cell r="G2066">
            <v>1980</v>
          </cell>
          <cell r="H2066">
            <v>20</v>
          </cell>
          <cell r="I2066">
            <v>356900000</v>
          </cell>
        </row>
        <row r="2067">
          <cell r="A2067" t="str">
            <v>Seychelles</v>
          </cell>
          <cell r="B2067">
            <v>690</v>
          </cell>
          <cell r="C2067">
            <v>203</v>
          </cell>
          <cell r="D2067">
            <v>4</v>
          </cell>
          <cell r="E2067" t="str">
            <v>Compensation of employees</v>
          </cell>
          <cell r="F2067">
            <v>12</v>
          </cell>
          <cell r="G2067">
            <v>1981</v>
          </cell>
          <cell r="H2067">
            <v>20</v>
          </cell>
          <cell r="I2067">
            <v>399600000</v>
          </cell>
        </row>
        <row r="2068">
          <cell r="A2068" t="str">
            <v>Seychelles</v>
          </cell>
          <cell r="B2068">
            <v>690</v>
          </cell>
          <cell r="C2068">
            <v>203</v>
          </cell>
          <cell r="D2068">
            <v>4</v>
          </cell>
          <cell r="E2068" t="str">
            <v>Compensation of employees</v>
          </cell>
          <cell r="F2068">
            <v>12</v>
          </cell>
          <cell r="G2068">
            <v>1982</v>
          </cell>
          <cell r="H2068">
            <v>20</v>
          </cell>
          <cell r="I2068">
            <v>409000000</v>
          </cell>
        </row>
        <row r="2069">
          <cell r="A2069" t="str">
            <v>Seychelles</v>
          </cell>
          <cell r="B2069">
            <v>690</v>
          </cell>
          <cell r="C2069">
            <v>203</v>
          </cell>
          <cell r="D2069">
            <v>4</v>
          </cell>
          <cell r="E2069" t="str">
            <v>Compensation of employees</v>
          </cell>
          <cell r="F2069">
            <v>12</v>
          </cell>
          <cell r="G2069">
            <v>1983</v>
          </cell>
          <cell r="H2069">
            <v>20</v>
          </cell>
          <cell r="I2069">
            <v>401900000</v>
          </cell>
        </row>
        <row r="2070">
          <cell r="A2070" t="str">
            <v>Seychelles</v>
          </cell>
          <cell r="B2070">
            <v>690</v>
          </cell>
          <cell r="C2070">
            <v>203</v>
          </cell>
          <cell r="D2070">
            <v>4</v>
          </cell>
          <cell r="E2070" t="str">
            <v>Compensation of employees</v>
          </cell>
          <cell r="F2070">
            <v>12</v>
          </cell>
          <cell r="G2070">
            <v>1984</v>
          </cell>
          <cell r="H2070">
            <v>20</v>
          </cell>
          <cell r="I2070">
            <v>419500000</v>
          </cell>
        </row>
        <row r="2071">
          <cell r="A2071" t="str">
            <v>Seychelles</v>
          </cell>
          <cell r="B2071">
            <v>690</v>
          </cell>
          <cell r="C2071">
            <v>203</v>
          </cell>
          <cell r="D2071">
            <v>4</v>
          </cell>
          <cell r="E2071" t="str">
            <v>Compensation of employees</v>
          </cell>
          <cell r="F2071">
            <v>12</v>
          </cell>
          <cell r="G2071">
            <v>1985</v>
          </cell>
          <cell r="H2071">
            <v>20</v>
          </cell>
          <cell r="I2071">
            <v>447400000</v>
          </cell>
        </row>
        <row r="2072">
          <cell r="A2072" t="str">
            <v>Seychelles</v>
          </cell>
          <cell r="B2072">
            <v>690</v>
          </cell>
          <cell r="C2072">
            <v>203</v>
          </cell>
          <cell r="D2072">
            <v>4</v>
          </cell>
          <cell r="E2072" t="str">
            <v>Compensation of employees</v>
          </cell>
          <cell r="F2072">
            <v>12</v>
          </cell>
          <cell r="G2072">
            <v>1986</v>
          </cell>
          <cell r="H2072">
            <v>20</v>
          </cell>
          <cell r="I2072">
            <v>461300000</v>
          </cell>
        </row>
        <row r="2073">
          <cell r="A2073" t="str">
            <v>Seychelles</v>
          </cell>
          <cell r="B2073">
            <v>690</v>
          </cell>
          <cell r="C2073">
            <v>203</v>
          </cell>
          <cell r="D2073">
            <v>4</v>
          </cell>
          <cell r="E2073" t="str">
            <v>Compensation of employees</v>
          </cell>
          <cell r="F2073">
            <v>12</v>
          </cell>
          <cell r="G2073">
            <v>1987</v>
          </cell>
          <cell r="H2073">
            <v>20</v>
          </cell>
          <cell r="I2073">
            <v>531600000</v>
          </cell>
        </row>
        <row r="2074">
          <cell r="A2074" t="str">
            <v>Seychelles</v>
          </cell>
          <cell r="B2074">
            <v>690</v>
          </cell>
          <cell r="C2074">
            <v>203</v>
          </cell>
          <cell r="D2074">
            <v>4</v>
          </cell>
          <cell r="E2074" t="str">
            <v>Compensation of employees</v>
          </cell>
          <cell r="F2074">
            <v>12</v>
          </cell>
          <cell r="G2074">
            <v>1988</v>
          </cell>
          <cell r="H2074">
            <v>20</v>
          </cell>
          <cell r="I2074">
            <v>547000000</v>
          </cell>
        </row>
        <row r="2075">
          <cell r="A2075" t="str">
            <v>Seychelles</v>
          </cell>
          <cell r="B2075">
            <v>690</v>
          </cell>
          <cell r="C2075">
            <v>203</v>
          </cell>
          <cell r="D2075">
            <v>4</v>
          </cell>
          <cell r="E2075" t="str">
            <v>Compensation of employees</v>
          </cell>
          <cell r="F2075">
            <v>12</v>
          </cell>
          <cell r="G2075">
            <v>1989</v>
          </cell>
          <cell r="H2075">
            <v>20</v>
          </cell>
          <cell r="I2075">
            <v>614100000</v>
          </cell>
        </row>
        <row r="2076">
          <cell r="A2076" t="str">
            <v>Seychelles</v>
          </cell>
          <cell r="B2076">
            <v>690</v>
          </cell>
          <cell r="C2076">
            <v>203</v>
          </cell>
          <cell r="D2076">
            <v>4</v>
          </cell>
          <cell r="E2076" t="str">
            <v>Compensation of employees</v>
          </cell>
          <cell r="F2076">
            <v>12</v>
          </cell>
          <cell r="G2076">
            <v>1990</v>
          </cell>
          <cell r="H2076">
            <v>20</v>
          </cell>
          <cell r="I2076">
            <v>703300000</v>
          </cell>
        </row>
        <row r="2077">
          <cell r="A2077" t="str">
            <v>Seychelles</v>
          </cell>
          <cell r="B2077">
            <v>690</v>
          </cell>
          <cell r="C2077">
            <v>203</v>
          </cell>
          <cell r="D2077">
            <v>4</v>
          </cell>
          <cell r="E2077" t="str">
            <v>Compensation of employees</v>
          </cell>
          <cell r="F2077">
            <v>12</v>
          </cell>
          <cell r="G2077">
            <v>1991</v>
          </cell>
          <cell r="H2077">
            <v>20</v>
          </cell>
          <cell r="I2077">
            <v>742700000</v>
          </cell>
        </row>
        <row r="2078">
          <cell r="A2078" t="str">
            <v>Seychelles</v>
          </cell>
          <cell r="B2078">
            <v>690</v>
          </cell>
          <cell r="C2078">
            <v>203</v>
          </cell>
          <cell r="D2078">
            <v>4</v>
          </cell>
          <cell r="E2078" t="str">
            <v>Compensation of employees</v>
          </cell>
          <cell r="F2078">
            <v>12</v>
          </cell>
          <cell r="G2078">
            <v>1992</v>
          </cell>
          <cell r="H2078">
            <v>20</v>
          </cell>
          <cell r="I2078">
            <v>845900000</v>
          </cell>
        </row>
        <row r="2079">
          <cell r="A2079" t="str">
            <v>Seychelles</v>
          </cell>
          <cell r="B2079">
            <v>690</v>
          </cell>
          <cell r="C2079">
            <v>203</v>
          </cell>
          <cell r="D2079">
            <v>4</v>
          </cell>
          <cell r="E2079" t="str">
            <v>Compensation of employees</v>
          </cell>
          <cell r="F2079">
            <v>12</v>
          </cell>
          <cell r="G2079">
            <v>1993</v>
          </cell>
          <cell r="H2079">
            <v>20</v>
          </cell>
          <cell r="I2079">
            <v>909900000</v>
          </cell>
        </row>
        <row r="2080">
          <cell r="A2080" t="str">
            <v>Seychelles</v>
          </cell>
          <cell r="B2080">
            <v>690</v>
          </cell>
          <cell r="C2080">
            <v>203</v>
          </cell>
          <cell r="D2080">
            <v>4</v>
          </cell>
          <cell r="E2080" t="str">
            <v>Compensation of employees</v>
          </cell>
          <cell r="F2080">
            <v>12</v>
          </cell>
          <cell r="G2080">
            <v>1994</v>
          </cell>
          <cell r="H2080">
            <v>20</v>
          </cell>
          <cell r="I2080">
            <v>921700000</v>
          </cell>
        </row>
        <row r="2081">
          <cell r="A2081" t="str">
            <v>Seychelles</v>
          </cell>
          <cell r="B2081">
            <v>690</v>
          </cell>
          <cell r="C2081">
            <v>203</v>
          </cell>
          <cell r="D2081">
            <v>4</v>
          </cell>
          <cell r="E2081" t="str">
            <v>Compensation of employees</v>
          </cell>
          <cell r="F2081">
            <v>12</v>
          </cell>
          <cell r="G2081">
            <v>1995</v>
          </cell>
          <cell r="H2081">
            <v>20</v>
          </cell>
          <cell r="I2081">
            <v>942800000</v>
          </cell>
        </row>
        <row r="2082">
          <cell r="A2082" t="str">
            <v>Seychelles</v>
          </cell>
          <cell r="B2082">
            <v>690</v>
          </cell>
          <cell r="C2082">
            <v>203</v>
          </cell>
          <cell r="D2082">
            <v>4</v>
          </cell>
          <cell r="E2082" t="str">
            <v>Compensation of employees</v>
          </cell>
          <cell r="F2082">
            <v>12</v>
          </cell>
          <cell r="G2082">
            <v>1996</v>
          </cell>
          <cell r="H2082">
            <v>20</v>
          </cell>
          <cell r="I2082">
            <v>991700000</v>
          </cell>
        </row>
        <row r="2083">
          <cell r="A2083" t="str">
            <v>Seychelles</v>
          </cell>
          <cell r="B2083">
            <v>690</v>
          </cell>
          <cell r="C2083">
            <v>203</v>
          </cell>
          <cell r="D2083">
            <v>11</v>
          </cell>
          <cell r="E2083" t="str">
            <v>OPERATING SURPLUS, GROSS</v>
          </cell>
          <cell r="F2083">
            <v>12</v>
          </cell>
          <cell r="G2083">
            <v>1976</v>
          </cell>
          <cell r="H2083">
            <v>20</v>
          </cell>
          <cell r="I2083">
            <v>208200000</v>
          </cell>
        </row>
        <row r="2084">
          <cell r="A2084" t="str">
            <v>Seychelles</v>
          </cell>
          <cell r="B2084">
            <v>690</v>
          </cell>
          <cell r="C2084">
            <v>203</v>
          </cell>
          <cell r="D2084">
            <v>11</v>
          </cell>
          <cell r="E2084" t="str">
            <v>OPERATING SURPLUS, GROSS</v>
          </cell>
          <cell r="F2084">
            <v>12</v>
          </cell>
          <cell r="G2084">
            <v>1977</v>
          </cell>
          <cell r="H2084">
            <v>20</v>
          </cell>
          <cell r="I2084">
            <v>268900000</v>
          </cell>
        </row>
        <row r="2085">
          <cell r="A2085" t="str">
            <v>Seychelles</v>
          </cell>
          <cell r="B2085">
            <v>690</v>
          </cell>
          <cell r="C2085">
            <v>203</v>
          </cell>
          <cell r="D2085">
            <v>11</v>
          </cell>
          <cell r="E2085" t="str">
            <v>OPERATING SURPLUS, GROSS</v>
          </cell>
          <cell r="F2085">
            <v>12</v>
          </cell>
          <cell r="G2085">
            <v>1978</v>
          </cell>
          <cell r="H2085">
            <v>20</v>
          </cell>
          <cell r="I2085">
            <v>314700000</v>
          </cell>
        </row>
        <row r="2086">
          <cell r="A2086" t="str">
            <v>Seychelles</v>
          </cell>
          <cell r="B2086">
            <v>690</v>
          </cell>
          <cell r="C2086">
            <v>203</v>
          </cell>
          <cell r="D2086">
            <v>11</v>
          </cell>
          <cell r="E2086" t="str">
            <v>OPERATING SURPLUS, GROSS</v>
          </cell>
          <cell r="F2086">
            <v>12</v>
          </cell>
          <cell r="G2086">
            <v>1979</v>
          </cell>
          <cell r="H2086">
            <v>20</v>
          </cell>
          <cell r="I2086">
            <v>421000000</v>
          </cell>
        </row>
        <row r="2087">
          <cell r="A2087" t="str">
            <v>Seychelles</v>
          </cell>
          <cell r="B2087">
            <v>690</v>
          </cell>
          <cell r="C2087">
            <v>203</v>
          </cell>
          <cell r="D2087">
            <v>11</v>
          </cell>
          <cell r="E2087" t="str">
            <v>OPERATING SURPLUS, GROSS</v>
          </cell>
          <cell r="F2087">
            <v>12</v>
          </cell>
          <cell r="G2087">
            <v>1980</v>
          </cell>
          <cell r="H2087">
            <v>20</v>
          </cell>
          <cell r="I2087">
            <v>461900000</v>
          </cell>
        </row>
        <row r="2088">
          <cell r="A2088" t="str">
            <v>Seychelles</v>
          </cell>
          <cell r="B2088">
            <v>690</v>
          </cell>
          <cell r="C2088">
            <v>203</v>
          </cell>
          <cell r="D2088">
            <v>11</v>
          </cell>
          <cell r="E2088" t="str">
            <v>OPERATING SURPLUS, GROSS</v>
          </cell>
          <cell r="F2088">
            <v>12</v>
          </cell>
          <cell r="G2088">
            <v>1981</v>
          </cell>
          <cell r="H2088">
            <v>20</v>
          </cell>
          <cell r="I2088">
            <v>430300000</v>
          </cell>
        </row>
        <row r="2089">
          <cell r="A2089" t="str">
            <v>Seychelles</v>
          </cell>
          <cell r="B2089">
            <v>690</v>
          </cell>
          <cell r="C2089">
            <v>203</v>
          </cell>
          <cell r="D2089">
            <v>11</v>
          </cell>
          <cell r="E2089" t="str">
            <v>OPERATING SURPLUS, GROSS</v>
          </cell>
          <cell r="F2089">
            <v>12</v>
          </cell>
          <cell r="G2089">
            <v>1982</v>
          </cell>
          <cell r="H2089">
            <v>20</v>
          </cell>
          <cell r="I2089">
            <v>402600000</v>
          </cell>
        </row>
        <row r="2090">
          <cell r="A2090" t="str">
            <v>Seychelles</v>
          </cell>
          <cell r="B2090">
            <v>690</v>
          </cell>
          <cell r="C2090">
            <v>203</v>
          </cell>
          <cell r="D2090">
            <v>11</v>
          </cell>
          <cell r="E2090" t="str">
            <v>OPERATING SURPLUS, GROSS</v>
          </cell>
          <cell r="F2090">
            <v>12</v>
          </cell>
          <cell r="G2090">
            <v>1983</v>
          </cell>
          <cell r="H2090">
            <v>20</v>
          </cell>
          <cell r="I2090">
            <v>426800000</v>
          </cell>
        </row>
        <row r="2091">
          <cell r="A2091" t="str">
            <v>Seychelles</v>
          </cell>
          <cell r="B2091">
            <v>690</v>
          </cell>
          <cell r="C2091">
            <v>203</v>
          </cell>
          <cell r="D2091">
            <v>11</v>
          </cell>
          <cell r="E2091" t="str">
            <v>OPERATING SURPLUS, GROSS</v>
          </cell>
          <cell r="F2091">
            <v>12</v>
          </cell>
          <cell r="G2091">
            <v>1984</v>
          </cell>
          <cell r="H2091">
            <v>20</v>
          </cell>
          <cell r="I2091">
            <v>484000000</v>
          </cell>
        </row>
        <row r="2092">
          <cell r="A2092" t="str">
            <v>Seychelles</v>
          </cell>
          <cell r="B2092">
            <v>690</v>
          </cell>
          <cell r="C2092">
            <v>203</v>
          </cell>
          <cell r="D2092">
            <v>11</v>
          </cell>
          <cell r="E2092" t="str">
            <v>OPERATING SURPLUS, GROSS</v>
          </cell>
          <cell r="F2092">
            <v>12</v>
          </cell>
          <cell r="G2092">
            <v>1985</v>
          </cell>
          <cell r="H2092">
            <v>20</v>
          </cell>
          <cell r="I2092">
            <v>584800000</v>
          </cell>
        </row>
        <row r="2093">
          <cell r="A2093" t="str">
            <v>Seychelles</v>
          </cell>
          <cell r="B2093">
            <v>690</v>
          </cell>
          <cell r="C2093">
            <v>203</v>
          </cell>
          <cell r="D2093">
            <v>11</v>
          </cell>
          <cell r="E2093" t="str">
            <v>OPERATING SURPLUS, GROSS</v>
          </cell>
          <cell r="F2093">
            <v>12</v>
          </cell>
          <cell r="G2093">
            <v>1986</v>
          </cell>
          <cell r="H2093">
            <v>20</v>
          </cell>
          <cell r="I2093">
            <v>653900000</v>
          </cell>
        </row>
        <row r="2094">
          <cell r="A2094" t="str">
            <v>Seychelles</v>
          </cell>
          <cell r="B2094">
            <v>690</v>
          </cell>
          <cell r="C2094">
            <v>203</v>
          </cell>
          <cell r="D2094">
            <v>11</v>
          </cell>
          <cell r="E2094" t="str">
            <v>OPERATING SURPLUS, GROSS</v>
          </cell>
          <cell r="F2094">
            <v>12</v>
          </cell>
          <cell r="G2094">
            <v>1987</v>
          </cell>
          <cell r="H2094">
            <v>20</v>
          </cell>
          <cell r="I2094">
            <v>655600000</v>
          </cell>
        </row>
        <row r="2095">
          <cell r="A2095" t="str">
            <v>Seychelles</v>
          </cell>
          <cell r="B2095">
            <v>690</v>
          </cell>
          <cell r="C2095">
            <v>203</v>
          </cell>
          <cell r="D2095">
            <v>11</v>
          </cell>
          <cell r="E2095" t="str">
            <v>OPERATING SURPLUS, GROSS</v>
          </cell>
          <cell r="F2095">
            <v>12</v>
          </cell>
          <cell r="G2095">
            <v>1988</v>
          </cell>
          <cell r="H2095">
            <v>20</v>
          </cell>
          <cell r="I2095">
            <v>681600000</v>
          </cell>
        </row>
        <row r="2096">
          <cell r="A2096" t="str">
            <v>Seychelles</v>
          </cell>
          <cell r="B2096">
            <v>690</v>
          </cell>
          <cell r="C2096">
            <v>203</v>
          </cell>
          <cell r="D2096">
            <v>11</v>
          </cell>
          <cell r="E2096" t="str">
            <v>OPERATING SURPLUS, GROSS</v>
          </cell>
          <cell r="F2096">
            <v>12</v>
          </cell>
          <cell r="G2096">
            <v>1989</v>
          </cell>
          <cell r="H2096">
            <v>20</v>
          </cell>
          <cell r="I2096">
            <v>623100000</v>
          </cell>
        </row>
        <row r="2097">
          <cell r="A2097" t="str">
            <v>Seychelles</v>
          </cell>
          <cell r="B2097">
            <v>690</v>
          </cell>
          <cell r="C2097">
            <v>203</v>
          </cell>
          <cell r="D2097">
            <v>11</v>
          </cell>
          <cell r="E2097" t="str">
            <v>OPERATING SURPLUS, GROSS</v>
          </cell>
          <cell r="F2097">
            <v>12</v>
          </cell>
          <cell r="G2097">
            <v>1990</v>
          </cell>
          <cell r="H2097">
            <v>20</v>
          </cell>
          <cell r="I2097">
            <v>633300000</v>
          </cell>
        </row>
        <row r="2098">
          <cell r="A2098" t="str">
            <v>Seychelles</v>
          </cell>
          <cell r="B2098">
            <v>690</v>
          </cell>
          <cell r="C2098">
            <v>203</v>
          </cell>
          <cell r="D2098">
            <v>11</v>
          </cell>
          <cell r="E2098" t="str">
            <v>OPERATING SURPLUS, GROSS</v>
          </cell>
          <cell r="F2098">
            <v>12</v>
          </cell>
          <cell r="G2098">
            <v>1991</v>
          </cell>
          <cell r="H2098">
            <v>20</v>
          </cell>
          <cell r="I2098">
            <v>581500000</v>
          </cell>
        </row>
        <row r="2099">
          <cell r="A2099" t="str">
            <v>Seychelles</v>
          </cell>
          <cell r="B2099">
            <v>690</v>
          </cell>
          <cell r="C2099">
            <v>203</v>
          </cell>
          <cell r="D2099">
            <v>11</v>
          </cell>
          <cell r="E2099" t="str">
            <v>OPERATING SURPLUS, GROSS</v>
          </cell>
          <cell r="F2099">
            <v>12</v>
          </cell>
          <cell r="G2099">
            <v>1992</v>
          </cell>
          <cell r="H2099">
            <v>20</v>
          </cell>
          <cell r="I2099">
            <v>656700000</v>
          </cell>
        </row>
        <row r="2100">
          <cell r="A2100" t="str">
            <v>Seychelles</v>
          </cell>
          <cell r="B2100">
            <v>690</v>
          </cell>
          <cell r="C2100">
            <v>203</v>
          </cell>
          <cell r="D2100">
            <v>11</v>
          </cell>
          <cell r="E2100" t="str">
            <v>OPERATING SURPLUS, GROSS</v>
          </cell>
          <cell r="F2100">
            <v>12</v>
          </cell>
          <cell r="G2100">
            <v>1993</v>
          </cell>
          <cell r="H2100">
            <v>20</v>
          </cell>
          <cell r="I2100">
            <v>709700000</v>
          </cell>
        </row>
        <row r="2101">
          <cell r="A2101" t="str">
            <v>Seychelles</v>
          </cell>
          <cell r="B2101">
            <v>690</v>
          </cell>
          <cell r="C2101">
            <v>203</v>
          </cell>
          <cell r="D2101">
            <v>11</v>
          </cell>
          <cell r="E2101" t="str">
            <v>OPERATING SURPLUS, GROSS</v>
          </cell>
          <cell r="F2101">
            <v>12</v>
          </cell>
          <cell r="G2101">
            <v>1994</v>
          </cell>
          <cell r="H2101">
            <v>20</v>
          </cell>
          <cell r="I2101">
            <v>747900000</v>
          </cell>
        </row>
        <row r="2102">
          <cell r="A2102" t="str">
            <v>Seychelles</v>
          </cell>
          <cell r="B2102">
            <v>690</v>
          </cell>
          <cell r="C2102">
            <v>203</v>
          </cell>
          <cell r="D2102">
            <v>11</v>
          </cell>
          <cell r="E2102" t="str">
            <v>OPERATING SURPLUS, GROSS</v>
          </cell>
          <cell r="F2102">
            <v>12</v>
          </cell>
          <cell r="G2102">
            <v>1995</v>
          </cell>
          <cell r="H2102">
            <v>20</v>
          </cell>
          <cell r="I2102">
            <v>882200000</v>
          </cell>
        </row>
        <row r="2103">
          <cell r="A2103" t="str">
            <v>Seychelles</v>
          </cell>
          <cell r="B2103">
            <v>690</v>
          </cell>
          <cell r="C2103">
            <v>203</v>
          </cell>
          <cell r="D2103">
            <v>11</v>
          </cell>
          <cell r="E2103" t="str">
            <v>OPERATING SURPLUS, GROSS</v>
          </cell>
          <cell r="F2103">
            <v>12</v>
          </cell>
          <cell r="G2103">
            <v>1996</v>
          </cell>
          <cell r="H2103">
            <v>20</v>
          </cell>
          <cell r="I2103">
            <v>874700000</v>
          </cell>
        </row>
        <row r="2104">
          <cell r="A2104" t="str">
            <v>Slovakia</v>
          </cell>
          <cell r="B2104">
            <v>703</v>
          </cell>
          <cell r="C2104">
            <v>201</v>
          </cell>
          <cell r="D2104">
            <v>13</v>
          </cell>
          <cell r="E2104" t="str">
            <v>Less: Financial intermediation services indirectly measured (FISIM) (only to be deducted if FISIM is not distributed to uses)</v>
          </cell>
          <cell r="F2104">
            <v>0</v>
          </cell>
          <cell r="G2104">
            <v>1993</v>
          </cell>
          <cell r="H2104">
            <v>200</v>
          </cell>
          <cell r="I2104">
            <v>14900000000</v>
          </cell>
        </row>
        <row r="2105">
          <cell r="A2105" t="str">
            <v>Slovakia</v>
          </cell>
          <cell r="B2105">
            <v>703</v>
          </cell>
          <cell r="C2105">
            <v>201</v>
          </cell>
          <cell r="D2105">
            <v>13</v>
          </cell>
          <cell r="E2105" t="str">
            <v>Less: Financial intermediation services indirectly measured (FISIM) (only to be deducted if FISIM is not distributed to uses)</v>
          </cell>
          <cell r="F2105">
            <v>0</v>
          </cell>
          <cell r="G2105">
            <v>1994</v>
          </cell>
          <cell r="H2105">
            <v>200</v>
          </cell>
          <cell r="I2105">
            <v>16581000000</v>
          </cell>
        </row>
        <row r="2106">
          <cell r="A2106" t="str">
            <v>Slovakia</v>
          </cell>
          <cell r="B2106">
            <v>703</v>
          </cell>
          <cell r="C2106">
            <v>201</v>
          </cell>
          <cell r="D2106">
            <v>13</v>
          </cell>
          <cell r="E2106" t="str">
            <v>Less: Financial intermediation services indirectly measured (FISIM) (only to be deducted if FISIM is not distributed to uses)</v>
          </cell>
          <cell r="F2106">
            <v>0</v>
          </cell>
          <cell r="G2106">
            <v>1995</v>
          </cell>
          <cell r="H2106">
            <v>200</v>
          </cell>
          <cell r="I2106">
            <v>15903000000</v>
          </cell>
        </row>
        <row r="2107">
          <cell r="A2107" t="str">
            <v>Slovakia</v>
          </cell>
          <cell r="B2107">
            <v>703</v>
          </cell>
          <cell r="C2107">
            <v>201</v>
          </cell>
          <cell r="D2107">
            <v>13</v>
          </cell>
          <cell r="E2107" t="str">
            <v>Less: Financial intermediation services indirectly measured (FISIM) (only to be deducted if FISIM is not distributed to uses)</v>
          </cell>
          <cell r="F2107">
            <v>0</v>
          </cell>
          <cell r="G2107">
            <v>1996</v>
          </cell>
          <cell r="H2107">
            <v>200</v>
          </cell>
          <cell r="I2107">
            <v>15528000000</v>
          </cell>
        </row>
        <row r="2108">
          <cell r="A2108" t="str">
            <v>Slovakia</v>
          </cell>
          <cell r="B2108">
            <v>703</v>
          </cell>
          <cell r="C2108">
            <v>201</v>
          </cell>
          <cell r="D2108">
            <v>13</v>
          </cell>
          <cell r="E2108" t="str">
            <v>Less: Financial intermediation services indirectly measured (FISIM) (only to be deducted if FISIM is not distributed to uses)</v>
          </cell>
          <cell r="F2108">
            <v>0</v>
          </cell>
          <cell r="G2108">
            <v>1997</v>
          </cell>
          <cell r="H2108">
            <v>200</v>
          </cell>
          <cell r="I2108">
            <v>16052000000</v>
          </cell>
        </row>
        <row r="2109">
          <cell r="A2109" t="str">
            <v>Slovakia</v>
          </cell>
          <cell r="B2109">
            <v>703</v>
          </cell>
          <cell r="C2109">
            <v>201</v>
          </cell>
          <cell r="D2109">
            <v>13</v>
          </cell>
          <cell r="E2109" t="str">
            <v>Less: Financial intermediation services indirectly measured (FISIM) (only to be deducted if FISIM is not distributed to uses)</v>
          </cell>
          <cell r="F2109">
            <v>0</v>
          </cell>
          <cell r="G2109">
            <v>1998</v>
          </cell>
          <cell r="H2109">
            <v>200</v>
          </cell>
          <cell r="I2109">
            <v>9725000000</v>
          </cell>
        </row>
        <row r="2110">
          <cell r="A2110" t="str">
            <v>Slovakia</v>
          </cell>
          <cell r="B2110">
            <v>703</v>
          </cell>
          <cell r="C2110">
            <v>201</v>
          </cell>
          <cell r="D2110">
            <v>13</v>
          </cell>
          <cell r="E2110" t="str">
            <v>Less: Financial intermediation services indirectly measured (FISIM) (only to be deducted if FISIM is not distributed to uses)</v>
          </cell>
          <cell r="F2110">
            <v>0</v>
          </cell>
          <cell r="G2110">
            <v>1999</v>
          </cell>
          <cell r="H2110">
            <v>200</v>
          </cell>
          <cell r="I2110">
            <v>6214000000</v>
          </cell>
        </row>
        <row r="2111">
          <cell r="A2111" t="str">
            <v>Slovakia</v>
          </cell>
          <cell r="B2111">
            <v>703</v>
          </cell>
          <cell r="C2111">
            <v>201</v>
          </cell>
          <cell r="D2111">
            <v>13</v>
          </cell>
          <cell r="E2111" t="str">
            <v>Less: Financial intermediation services indirectly measured (FISIM) (only to be deducted if FISIM is not distributed to uses)</v>
          </cell>
          <cell r="F2111">
            <v>0</v>
          </cell>
          <cell r="G2111">
            <v>2000</v>
          </cell>
          <cell r="H2111">
            <v>200</v>
          </cell>
          <cell r="I2111">
            <v>10130000000</v>
          </cell>
        </row>
        <row r="2112">
          <cell r="A2112" t="str">
            <v>Slovakia</v>
          </cell>
          <cell r="B2112">
            <v>703</v>
          </cell>
          <cell r="C2112">
            <v>201</v>
          </cell>
          <cell r="D2112">
            <v>13</v>
          </cell>
          <cell r="E2112" t="str">
            <v>Less: Financial intermediation services indirectly measured (FISIM) (only to be deducted if FISIM is not distributed to uses)</v>
          </cell>
          <cell r="F2112">
            <v>0</v>
          </cell>
          <cell r="G2112">
            <v>2001</v>
          </cell>
          <cell r="H2112">
            <v>200</v>
          </cell>
          <cell r="I2112">
            <v>13680000000</v>
          </cell>
        </row>
        <row r="2113">
          <cell r="A2113" t="str">
            <v>Slovakia</v>
          </cell>
          <cell r="B2113">
            <v>703</v>
          </cell>
          <cell r="C2113">
            <v>201</v>
          </cell>
          <cell r="D2113">
            <v>13</v>
          </cell>
          <cell r="E2113" t="str">
            <v>Less: Financial intermediation services indirectly measured (FISIM) (only to be deducted if FISIM is not distributed to uses)</v>
          </cell>
          <cell r="F2113">
            <v>0</v>
          </cell>
          <cell r="G2113">
            <v>2002</v>
          </cell>
          <cell r="H2113">
            <v>200</v>
          </cell>
          <cell r="I2113">
            <v>17545000000</v>
          </cell>
        </row>
        <row r="2114">
          <cell r="A2114" t="str">
            <v>Slovakia</v>
          </cell>
          <cell r="B2114">
            <v>703</v>
          </cell>
          <cell r="C2114">
            <v>201</v>
          </cell>
          <cell r="D2114">
            <v>13</v>
          </cell>
          <cell r="E2114" t="str">
            <v>Less: Financial intermediation services indirectly measured (FISIM) (only to be deducted if FISIM is not distributed to uses)</v>
          </cell>
          <cell r="F2114">
            <v>0</v>
          </cell>
          <cell r="G2114">
            <v>2003</v>
          </cell>
          <cell r="H2114">
            <v>200</v>
          </cell>
          <cell r="I2114">
            <v>22616000000</v>
          </cell>
        </row>
        <row r="2115">
          <cell r="A2115" t="str">
            <v>Slovakia</v>
          </cell>
          <cell r="B2115">
            <v>703</v>
          </cell>
          <cell r="C2115">
            <v>203</v>
          </cell>
          <cell r="D2115">
            <v>3</v>
          </cell>
          <cell r="E2115" t="str">
            <v>Equals: VALUE ADDED, GROSS, at basic prices</v>
          </cell>
          <cell r="F2115">
            <v>12</v>
          </cell>
          <cell r="G2115">
            <v>1993</v>
          </cell>
          <cell r="H2115">
            <v>200</v>
          </cell>
          <cell r="I2115">
            <v>389889000000</v>
          </cell>
        </row>
        <row r="2116">
          <cell r="A2116" t="str">
            <v>Slovakia</v>
          </cell>
          <cell r="B2116">
            <v>703</v>
          </cell>
          <cell r="C2116">
            <v>203</v>
          </cell>
          <cell r="D2116">
            <v>3</v>
          </cell>
          <cell r="E2116" t="str">
            <v>Equals: VALUE ADDED, GROSS, at basic prices</v>
          </cell>
          <cell r="F2116">
            <v>12</v>
          </cell>
          <cell r="G2116">
            <v>1994</v>
          </cell>
          <cell r="H2116">
            <v>200</v>
          </cell>
          <cell r="I2116">
            <v>453526000000</v>
          </cell>
        </row>
        <row r="2117">
          <cell r="A2117" t="str">
            <v>Slovakia</v>
          </cell>
          <cell r="B2117">
            <v>703</v>
          </cell>
          <cell r="C2117">
            <v>203</v>
          </cell>
          <cell r="D2117">
            <v>3</v>
          </cell>
          <cell r="E2117" t="str">
            <v>Equals: VALUE ADDED, GROSS, at basic prices</v>
          </cell>
          <cell r="F2117">
            <v>12</v>
          </cell>
          <cell r="G2117">
            <v>1995</v>
          </cell>
          <cell r="H2117">
            <v>200</v>
          </cell>
          <cell r="I2117">
            <v>527861000000</v>
          </cell>
        </row>
        <row r="2118">
          <cell r="A2118" t="str">
            <v>Slovakia</v>
          </cell>
          <cell r="B2118">
            <v>703</v>
          </cell>
          <cell r="C2118">
            <v>203</v>
          </cell>
          <cell r="D2118">
            <v>3</v>
          </cell>
          <cell r="E2118" t="str">
            <v>Equals: VALUE ADDED, GROSS, at basic prices</v>
          </cell>
          <cell r="F2118">
            <v>12</v>
          </cell>
          <cell r="G2118">
            <v>1996</v>
          </cell>
          <cell r="H2118">
            <v>200</v>
          </cell>
          <cell r="I2118">
            <v>581869000000</v>
          </cell>
        </row>
        <row r="2119">
          <cell r="A2119" t="str">
            <v>Slovakia</v>
          </cell>
          <cell r="B2119">
            <v>703</v>
          </cell>
          <cell r="C2119">
            <v>203</v>
          </cell>
          <cell r="D2119">
            <v>3</v>
          </cell>
          <cell r="E2119" t="str">
            <v>Equals: VALUE ADDED, GROSS, at basic prices</v>
          </cell>
          <cell r="F2119">
            <v>12</v>
          </cell>
          <cell r="G2119">
            <v>1997</v>
          </cell>
          <cell r="H2119">
            <v>200</v>
          </cell>
          <cell r="I2119">
            <v>656658000000</v>
          </cell>
        </row>
        <row r="2120">
          <cell r="A2120" t="str">
            <v>Slovakia</v>
          </cell>
          <cell r="B2120">
            <v>703</v>
          </cell>
          <cell r="C2120">
            <v>203</v>
          </cell>
          <cell r="D2120">
            <v>3</v>
          </cell>
          <cell r="E2120" t="str">
            <v>Equals: VALUE ADDED, GROSS, at basic prices</v>
          </cell>
          <cell r="F2120">
            <v>12</v>
          </cell>
          <cell r="G2120">
            <v>1998</v>
          </cell>
          <cell r="H2120">
            <v>200</v>
          </cell>
          <cell r="I2120">
            <v>706385000000</v>
          </cell>
        </row>
        <row r="2121">
          <cell r="A2121" t="str">
            <v>Slovakia</v>
          </cell>
          <cell r="B2121">
            <v>703</v>
          </cell>
          <cell r="C2121">
            <v>203</v>
          </cell>
          <cell r="D2121">
            <v>3</v>
          </cell>
          <cell r="E2121" t="str">
            <v>Equals: VALUE ADDED, GROSS, at basic prices</v>
          </cell>
          <cell r="F2121">
            <v>12</v>
          </cell>
          <cell r="G2121">
            <v>1999</v>
          </cell>
          <cell r="H2121">
            <v>200</v>
          </cell>
          <cell r="I2121">
            <v>759818000000</v>
          </cell>
        </row>
        <row r="2122">
          <cell r="A2122" t="str">
            <v>Slovakia</v>
          </cell>
          <cell r="B2122">
            <v>703</v>
          </cell>
          <cell r="C2122">
            <v>203</v>
          </cell>
          <cell r="D2122">
            <v>3</v>
          </cell>
          <cell r="E2122" t="str">
            <v>Equals: VALUE ADDED, GROSS, at basic prices</v>
          </cell>
          <cell r="F2122">
            <v>12</v>
          </cell>
          <cell r="G2122">
            <v>2000</v>
          </cell>
          <cell r="H2122">
            <v>200</v>
          </cell>
          <cell r="I2122">
            <v>838277000000</v>
          </cell>
        </row>
        <row r="2123">
          <cell r="A2123" t="str">
            <v>Slovakia</v>
          </cell>
          <cell r="B2123">
            <v>703</v>
          </cell>
          <cell r="C2123">
            <v>203</v>
          </cell>
          <cell r="D2123">
            <v>3</v>
          </cell>
          <cell r="E2123" t="str">
            <v>Equals: VALUE ADDED, GROSS, at basic prices</v>
          </cell>
          <cell r="F2123">
            <v>12</v>
          </cell>
          <cell r="G2123">
            <v>2001</v>
          </cell>
          <cell r="H2123">
            <v>200</v>
          </cell>
          <cell r="I2123">
            <v>923105000000</v>
          </cell>
        </row>
        <row r="2124">
          <cell r="A2124" t="str">
            <v>Slovakia</v>
          </cell>
          <cell r="B2124">
            <v>703</v>
          </cell>
          <cell r="C2124">
            <v>203</v>
          </cell>
          <cell r="D2124">
            <v>3</v>
          </cell>
          <cell r="E2124" t="str">
            <v>Equals: VALUE ADDED, GROSS, at basic prices</v>
          </cell>
          <cell r="F2124">
            <v>12</v>
          </cell>
          <cell r="G2124">
            <v>2002</v>
          </cell>
          <cell r="H2124">
            <v>200</v>
          </cell>
          <cell r="I2124">
            <v>1007085000000</v>
          </cell>
        </row>
        <row r="2125">
          <cell r="A2125" t="str">
            <v>Slovakia</v>
          </cell>
          <cell r="B2125">
            <v>703</v>
          </cell>
          <cell r="C2125">
            <v>203</v>
          </cell>
          <cell r="D2125">
            <v>3</v>
          </cell>
          <cell r="E2125" t="str">
            <v>Equals: VALUE ADDED, GROSS, at basic prices</v>
          </cell>
          <cell r="F2125">
            <v>12</v>
          </cell>
          <cell r="G2125">
            <v>2003</v>
          </cell>
          <cell r="H2125">
            <v>200</v>
          </cell>
          <cell r="I2125">
            <v>1109782000000</v>
          </cell>
        </row>
        <row r="2126">
          <cell r="A2126" t="str">
            <v>Slovakia</v>
          </cell>
          <cell r="B2126">
            <v>703</v>
          </cell>
          <cell r="C2126">
            <v>203</v>
          </cell>
          <cell r="D2126">
            <v>4</v>
          </cell>
          <cell r="E2126" t="str">
            <v>Compensation of employees</v>
          </cell>
          <cell r="F2126">
            <v>12</v>
          </cell>
          <cell r="G2126">
            <v>1993</v>
          </cell>
          <cell r="H2126">
            <v>200</v>
          </cell>
          <cell r="I2126">
            <v>175850000000</v>
          </cell>
        </row>
        <row r="2127">
          <cell r="A2127" t="str">
            <v>Slovakia</v>
          </cell>
          <cell r="B2127">
            <v>703</v>
          </cell>
          <cell r="C2127">
            <v>203</v>
          </cell>
          <cell r="D2127">
            <v>4</v>
          </cell>
          <cell r="E2127" t="str">
            <v>Compensation of employees</v>
          </cell>
          <cell r="F2127">
            <v>12</v>
          </cell>
          <cell r="G2127">
            <v>1994</v>
          </cell>
          <cell r="H2127">
            <v>200</v>
          </cell>
          <cell r="I2127">
            <v>204020000000</v>
          </cell>
        </row>
        <row r="2128">
          <cell r="A2128" t="str">
            <v>Slovakia</v>
          </cell>
          <cell r="B2128">
            <v>703</v>
          </cell>
          <cell r="C2128">
            <v>203</v>
          </cell>
          <cell r="D2128">
            <v>4</v>
          </cell>
          <cell r="E2128" t="str">
            <v>Compensation of employees</v>
          </cell>
          <cell r="F2128">
            <v>12</v>
          </cell>
          <cell r="G2128">
            <v>1995</v>
          </cell>
          <cell r="H2128">
            <v>200</v>
          </cell>
          <cell r="I2128">
            <v>245767000000</v>
          </cell>
        </row>
        <row r="2129">
          <cell r="A2129" t="str">
            <v>Slovakia</v>
          </cell>
          <cell r="B2129">
            <v>703</v>
          </cell>
          <cell r="C2129">
            <v>203</v>
          </cell>
          <cell r="D2129">
            <v>4</v>
          </cell>
          <cell r="E2129" t="str">
            <v>Compensation of employees</v>
          </cell>
          <cell r="F2129">
            <v>12</v>
          </cell>
          <cell r="G2129">
            <v>1996</v>
          </cell>
          <cell r="H2129">
            <v>200</v>
          </cell>
          <cell r="I2129">
            <v>269711000000</v>
          </cell>
        </row>
        <row r="2130">
          <cell r="A2130" t="str">
            <v>Slovakia</v>
          </cell>
          <cell r="B2130">
            <v>703</v>
          </cell>
          <cell r="C2130">
            <v>203</v>
          </cell>
          <cell r="D2130">
            <v>4</v>
          </cell>
          <cell r="E2130" t="str">
            <v>Compensation of employees</v>
          </cell>
          <cell r="F2130">
            <v>12</v>
          </cell>
          <cell r="G2130">
            <v>1997</v>
          </cell>
          <cell r="H2130">
            <v>200</v>
          </cell>
          <cell r="I2130">
            <v>307573000000</v>
          </cell>
        </row>
        <row r="2131">
          <cell r="A2131" t="str">
            <v>Slovakia</v>
          </cell>
          <cell r="B2131">
            <v>703</v>
          </cell>
          <cell r="C2131">
            <v>203</v>
          </cell>
          <cell r="D2131">
            <v>4</v>
          </cell>
          <cell r="E2131" t="str">
            <v>Compensation of employees</v>
          </cell>
          <cell r="F2131">
            <v>12</v>
          </cell>
          <cell r="G2131">
            <v>1998</v>
          </cell>
          <cell r="H2131">
            <v>200</v>
          </cell>
          <cell r="I2131">
            <v>341232000000</v>
          </cell>
        </row>
        <row r="2132">
          <cell r="A2132" t="str">
            <v>Slovakia</v>
          </cell>
          <cell r="B2132">
            <v>703</v>
          </cell>
          <cell r="C2132">
            <v>203</v>
          </cell>
          <cell r="D2132">
            <v>4</v>
          </cell>
          <cell r="E2132" t="str">
            <v>Compensation of employees</v>
          </cell>
          <cell r="F2132">
            <v>12</v>
          </cell>
          <cell r="G2132">
            <v>1999</v>
          </cell>
          <cell r="H2132">
            <v>200</v>
          </cell>
          <cell r="I2132">
            <v>353524000000</v>
          </cell>
        </row>
        <row r="2133">
          <cell r="A2133" t="str">
            <v>Slovakia</v>
          </cell>
          <cell r="B2133">
            <v>703</v>
          </cell>
          <cell r="C2133">
            <v>203</v>
          </cell>
          <cell r="D2133">
            <v>4</v>
          </cell>
          <cell r="E2133" t="str">
            <v>Compensation of employees</v>
          </cell>
          <cell r="F2133">
            <v>12</v>
          </cell>
          <cell r="G2133">
            <v>2000</v>
          </cell>
          <cell r="H2133">
            <v>200</v>
          </cell>
          <cell r="I2133">
            <v>390040000000</v>
          </cell>
        </row>
        <row r="2134">
          <cell r="A2134" t="str">
            <v>Slovakia</v>
          </cell>
          <cell r="B2134">
            <v>703</v>
          </cell>
          <cell r="C2134">
            <v>203</v>
          </cell>
          <cell r="D2134">
            <v>4</v>
          </cell>
          <cell r="E2134" t="str">
            <v>Compensation of employees</v>
          </cell>
          <cell r="F2134">
            <v>12</v>
          </cell>
          <cell r="G2134">
            <v>2001</v>
          </cell>
          <cell r="H2134">
            <v>200</v>
          </cell>
          <cell r="I2134">
            <v>415117000000</v>
          </cell>
        </row>
        <row r="2135">
          <cell r="A2135" t="str">
            <v>Slovakia</v>
          </cell>
          <cell r="B2135">
            <v>703</v>
          </cell>
          <cell r="C2135">
            <v>203</v>
          </cell>
          <cell r="D2135">
            <v>4</v>
          </cell>
          <cell r="E2135" t="str">
            <v>Compensation of employees</v>
          </cell>
          <cell r="F2135">
            <v>12</v>
          </cell>
          <cell r="G2135">
            <v>2002</v>
          </cell>
          <cell r="H2135">
            <v>200</v>
          </cell>
          <cell r="I2135">
            <v>450614000000</v>
          </cell>
        </row>
        <row r="2136">
          <cell r="A2136" t="str">
            <v>Slovakia</v>
          </cell>
          <cell r="B2136">
            <v>703</v>
          </cell>
          <cell r="C2136">
            <v>203</v>
          </cell>
          <cell r="D2136">
            <v>4</v>
          </cell>
          <cell r="E2136" t="str">
            <v>Compensation of employees</v>
          </cell>
          <cell r="F2136">
            <v>12</v>
          </cell>
          <cell r="G2136">
            <v>2003</v>
          </cell>
          <cell r="H2136">
            <v>200</v>
          </cell>
          <cell r="I2136">
            <v>493983000000</v>
          </cell>
        </row>
        <row r="2137">
          <cell r="A2137" t="str">
            <v>Slovakia</v>
          </cell>
          <cell r="B2137">
            <v>703</v>
          </cell>
          <cell r="C2137">
            <v>203</v>
          </cell>
          <cell r="D2137">
            <v>11</v>
          </cell>
          <cell r="E2137" t="str">
            <v>OPERATING SURPLUS, GROSS</v>
          </cell>
          <cell r="F2137">
            <v>12</v>
          </cell>
          <cell r="G2137">
            <v>1993</v>
          </cell>
          <cell r="H2137">
            <v>200</v>
          </cell>
          <cell r="I2137">
            <v>213848000000</v>
          </cell>
        </row>
        <row r="2138">
          <cell r="A2138" t="str">
            <v>Slovakia</v>
          </cell>
          <cell r="B2138">
            <v>703</v>
          </cell>
          <cell r="C2138">
            <v>203</v>
          </cell>
          <cell r="D2138">
            <v>11</v>
          </cell>
          <cell r="E2138" t="str">
            <v>OPERATING SURPLUS, GROSS</v>
          </cell>
          <cell r="F2138">
            <v>12</v>
          </cell>
          <cell r="G2138">
            <v>1994</v>
          </cell>
          <cell r="H2138">
            <v>200</v>
          </cell>
          <cell r="I2138">
            <v>247788000000</v>
          </cell>
        </row>
        <row r="2139">
          <cell r="A2139" t="str">
            <v>Slovakia</v>
          </cell>
          <cell r="B2139">
            <v>703</v>
          </cell>
          <cell r="C2139">
            <v>203</v>
          </cell>
          <cell r="D2139">
            <v>11</v>
          </cell>
          <cell r="E2139" t="str">
            <v>OPERATING SURPLUS, GROSS</v>
          </cell>
          <cell r="F2139">
            <v>12</v>
          </cell>
          <cell r="G2139">
            <v>1995</v>
          </cell>
          <cell r="H2139">
            <v>200</v>
          </cell>
          <cell r="I2139">
            <v>284069000000</v>
          </cell>
        </row>
        <row r="2140">
          <cell r="A2140" t="str">
            <v>Slovakia</v>
          </cell>
          <cell r="B2140">
            <v>703</v>
          </cell>
          <cell r="C2140">
            <v>203</v>
          </cell>
          <cell r="D2140">
            <v>11</v>
          </cell>
          <cell r="E2140" t="str">
            <v>OPERATING SURPLUS, GROSS</v>
          </cell>
          <cell r="F2140">
            <v>12</v>
          </cell>
          <cell r="G2140">
            <v>1996</v>
          </cell>
          <cell r="H2140">
            <v>200</v>
          </cell>
          <cell r="I2140">
            <v>310878000000</v>
          </cell>
        </row>
        <row r="2141">
          <cell r="A2141" t="str">
            <v>Slovakia</v>
          </cell>
          <cell r="B2141">
            <v>703</v>
          </cell>
          <cell r="C2141">
            <v>203</v>
          </cell>
          <cell r="D2141">
            <v>11</v>
          </cell>
          <cell r="E2141" t="str">
            <v>OPERATING SURPLUS, GROSS</v>
          </cell>
          <cell r="F2141">
            <v>12</v>
          </cell>
          <cell r="G2141">
            <v>1997</v>
          </cell>
          <cell r="H2141">
            <v>200</v>
          </cell>
          <cell r="I2141">
            <v>350124000000</v>
          </cell>
        </row>
        <row r="2142">
          <cell r="A2142" t="str">
            <v>Slovakia</v>
          </cell>
          <cell r="B2142">
            <v>703</v>
          </cell>
          <cell r="C2142">
            <v>203</v>
          </cell>
          <cell r="D2142">
            <v>11</v>
          </cell>
          <cell r="E2142" t="str">
            <v>OPERATING SURPLUS, GROSS</v>
          </cell>
          <cell r="F2142">
            <v>12</v>
          </cell>
          <cell r="G2142">
            <v>1998</v>
          </cell>
          <cell r="H2142">
            <v>200</v>
          </cell>
          <cell r="I2142">
            <v>367999000000</v>
          </cell>
        </row>
        <row r="2143">
          <cell r="A2143" t="str">
            <v>Slovakia</v>
          </cell>
          <cell r="B2143">
            <v>703</v>
          </cell>
          <cell r="C2143">
            <v>203</v>
          </cell>
          <cell r="D2143">
            <v>11</v>
          </cell>
          <cell r="E2143" t="str">
            <v>OPERATING SURPLUS, GROSS</v>
          </cell>
          <cell r="F2143">
            <v>12</v>
          </cell>
          <cell r="G2143">
            <v>1999</v>
          </cell>
          <cell r="H2143">
            <v>200</v>
          </cell>
          <cell r="I2143">
            <v>409709000000</v>
          </cell>
        </row>
        <row r="2144">
          <cell r="A2144" t="str">
            <v>Slovakia</v>
          </cell>
          <cell r="B2144">
            <v>703</v>
          </cell>
          <cell r="C2144">
            <v>203</v>
          </cell>
          <cell r="D2144">
            <v>11</v>
          </cell>
          <cell r="E2144" t="str">
            <v>OPERATING SURPLUS, GROSS</v>
          </cell>
          <cell r="F2144">
            <v>12</v>
          </cell>
          <cell r="G2144">
            <v>2000</v>
          </cell>
          <cell r="H2144">
            <v>200</v>
          </cell>
          <cell r="I2144">
            <v>456422000000</v>
          </cell>
        </row>
        <row r="2145">
          <cell r="A2145" t="str">
            <v>Slovakia</v>
          </cell>
          <cell r="B2145">
            <v>703</v>
          </cell>
          <cell r="C2145">
            <v>203</v>
          </cell>
          <cell r="D2145">
            <v>11</v>
          </cell>
          <cell r="E2145" t="str">
            <v>OPERATING SURPLUS, GROSS</v>
          </cell>
          <cell r="F2145">
            <v>12</v>
          </cell>
          <cell r="G2145">
            <v>2001</v>
          </cell>
          <cell r="H2145">
            <v>200</v>
          </cell>
          <cell r="I2145">
            <v>511440000000</v>
          </cell>
        </row>
        <row r="2146">
          <cell r="A2146" t="str">
            <v>Slovakia</v>
          </cell>
          <cell r="B2146">
            <v>703</v>
          </cell>
          <cell r="C2146">
            <v>203</v>
          </cell>
          <cell r="D2146">
            <v>11</v>
          </cell>
          <cell r="E2146" t="str">
            <v>OPERATING SURPLUS, GROSS</v>
          </cell>
          <cell r="F2146">
            <v>12</v>
          </cell>
          <cell r="G2146">
            <v>2002</v>
          </cell>
          <cell r="H2146">
            <v>200</v>
          </cell>
          <cell r="I2146">
            <v>551155000000</v>
          </cell>
        </row>
        <row r="2147">
          <cell r="A2147" t="str">
            <v>Slovakia</v>
          </cell>
          <cell r="B2147">
            <v>703</v>
          </cell>
          <cell r="C2147">
            <v>203</v>
          </cell>
          <cell r="D2147">
            <v>11</v>
          </cell>
          <cell r="E2147" t="str">
            <v>OPERATING SURPLUS, GROSS</v>
          </cell>
          <cell r="F2147">
            <v>12</v>
          </cell>
          <cell r="G2147">
            <v>2003</v>
          </cell>
          <cell r="H2147">
            <v>200</v>
          </cell>
          <cell r="I2147">
            <v>603280000000</v>
          </cell>
        </row>
        <row r="2148">
          <cell r="A2148" t="str">
            <v>Slovakia</v>
          </cell>
          <cell r="B2148">
            <v>703</v>
          </cell>
          <cell r="C2148">
            <v>203</v>
          </cell>
          <cell r="D2148">
            <v>22</v>
          </cell>
          <cell r="E2148" t="str">
            <v>Taxes on production and imports, less Subsidies</v>
          </cell>
          <cell r="F2148">
            <v>12</v>
          </cell>
          <cell r="G2148">
            <v>1993</v>
          </cell>
          <cell r="H2148">
            <v>200</v>
          </cell>
          <cell r="I2148">
            <v>191000000</v>
          </cell>
        </row>
        <row r="2149">
          <cell r="A2149" t="str">
            <v>Slovakia</v>
          </cell>
          <cell r="B2149">
            <v>703</v>
          </cell>
          <cell r="C2149">
            <v>203</v>
          </cell>
          <cell r="D2149">
            <v>22</v>
          </cell>
          <cell r="E2149" t="str">
            <v>Taxes on production and imports, less Subsidies</v>
          </cell>
          <cell r="F2149">
            <v>12</v>
          </cell>
          <cell r="G2149">
            <v>1994</v>
          </cell>
          <cell r="H2149">
            <v>200</v>
          </cell>
          <cell r="I2149">
            <v>1719000000</v>
          </cell>
        </row>
        <row r="2150">
          <cell r="A2150" t="str">
            <v>Slovakia</v>
          </cell>
          <cell r="B2150">
            <v>703</v>
          </cell>
          <cell r="C2150">
            <v>203</v>
          </cell>
          <cell r="D2150">
            <v>22</v>
          </cell>
          <cell r="E2150" t="str">
            <v>Taxes on production and imports, less Subsidies</v>
          </cell>
          <cell r="F2150">
            <v>12</v>
          </cell>
          <cell r="G2150">
            <v>1995</v>
          </cell>
          <cell r="H2150">
            <v>200</v>
          </cell>
          <cell r="I2150">
            <v>-1975000000</v>
          </cell>
        </row>
        <row r="2151">
          <cell r="A2151" t="str">
            <v>Slovakia</v>
          </cell>
          <cell r="B2151">
            <v>703</v>
          </cell>
          <cell r="C2151">
            <v>203</v>
          </cell>
          <cell r="D2151">
            <v>22</v>
          </cell>
          <cell r="E2151" t="str">
            <v>Taxes on production and imports, less Subsidies</v>
          </cell>
          <cell r="F2151">
            <v>12</v>
          </cell>
          <cell r="G2151">
            <v>1996</v>
          </cell>
          <cell r="H2151">
            <v>200</v>
          </cell>
          <cell r="I2151">
            <v>1280000000</v>
          </cell>
        </row>
        <row r="2152">
          <cell r="A2152" t="str">
            <v>Slovakia</v>
          </cell>
          <cell r="B2152">
            <v>703</v>
          </cell>
          <cell r="C2152">
            <v>203</v>
          </cell>
          <cell r="D2152">
            <v>22</v>
          </cell>
          <cell r="E2152" t="str">
            <v>Taxes on production and imports, less Subsidies</v>
          </cell>
          <cell r="F2152">
            <v>12</v>
          </cell>
          <cell r="G2152">
            <v>1997</v>
          </cell>
          <cell r="H2152">
            <v>200</v>
          </cell>
          <cell r="I2152">
            <v>-1039000000</v>
          </cell>
        </row>
        <row r="2153">
          <cell r="A2153" t="str">
            <v>Slovakia</v>
          </cell>
          <cell r="B2153">
            <v>703</v>
          </cell>
          <cell r="C2153">
            <v>203</v>
          </cell>
          <cell r="D2153">
            <v>22</v>
          </cell>
          <cell r="E2153" t="str">
            <v>Taxes on production and imports, less Subsidies</v>
          </cell>
          <cell r="F2153">
            <v>12</v>
          </cell>
          <cell r="G2153">
            <v>1998</v>
          </cell>
          <cell r="H2153">
            <v>200</v>
          </cell>
          <cell r="I2153">
            <v>-2846000000</v>
          </cell>
        </row>
        <row r="2154">
          <cell r="A2154" t="str">
            <v>Slovakia</v>
          </cell>
          <cell r="B2154">
            <v>703</v>
          </cell>
          <cell r="C2154">
            <v>203</v>
          </cell>
          <cell r="D2154">
            <v>22</v>
          </cell>
          <cell r="E2154" t="str">
            <v>Taxes on production and imports, less Subsidies</v>
          </cell>
          <cell r="F2154">
            <v>12</v>
          </cell>
          <cell r="G2154">
            <v>1999</v>
          </cell>
          <cell r="H2154">
            <v>200</v>
          </cell>
          <cell r="I2154">
            <v>-3415000000</v>
          </cell>
        </row>
        <row r="2155">
          <cell r="A2155" t="str">
            <v>Slovakia</v>
          </cell>
          <cell r="B2155">
            <v>703</v>
          </cell>
          <cell r="C2155">
            <v>203</v>
          </cell>
          <cell r="D2155">
            <v>22</v>
          </cell>
          <cell r="E2155" t="str">
            <v>Taxes on production and imports, less Subsidies</v>
          </cell>
          <cell r="F2155">
            <v>12</v>
          </cell>
          <cell r="G2155">
            <v>2000</v>
          </cell>
          <cell r="H2155">
            <v>200</v>
          </cell>
          <cell r="I2155">
            <v>-8185000000</v>
          </cell>
        </row>
        <row r="2156">
          <cell r="A2156" t="str">
            <v>Slovakia</v>
          </cell>
          <cell r="B2156">
            <v>703</v>
          </cell>
          <cell r="C2156">
            <v>203</v>
          </cell>
          <cell r="D2156">
            <v>22</v>
          </cell>
          <cell r="E2156" t="str">
            <v>Taxes on production and imports, less Subsidies</v>
          </cell>
          <cell r="F2156">
            <v>12</v>
          </cell>
          <cell r="G2156">
            <v>2001</v>
          </cell>
          <cell r="H2156">
            <v>200</v>
          </cell>
          <cell r="I2156">
            <v>-3452000000</v>
          </cell>
        </row>
        <row r="2157">
          <cell r="A2157" t="str">
            <v>Slovakia</v>
          </cell>
          <cell r="B2157">
            <v>703</v>
          </cell>
          <cell r="C2157">
            <v>203</v>
          </cell>
          <cell r="D2157">
            <v>22</v>
          </cell>
          <cell r="E2157" t="str">
            <v>Taxes on production and imports, less Subsidies</v>
          </cell>
          <cell r="F2157">
            <v>12</v>
          </cell>
          <cell r="G2157">
            <v>2002</v>
          </cell>
          <cell r="H2157">
            <v>200</v>
          </cell>
          <cell r="I2157">
            <v>5316000000</v>
          </cell>
        </row>
        <row r="2158">
          <cell r="A2158" t="str">
            <v>Slovakia</v>
          </cell>
          <cell r="B2158">
            <v>703</v>
          </cell>
          <cell r="C2158">
            <v>203</v>
          </cell>
          <cell r="D2158">
            <v>22</v>
          </cell>
          <cell r="E2158" t="str">
            <v>Taxes on production and imports, less Subsidies</v>
          </cell>
          <cell r="F2158">
            <v>12</v>
          </cell>
          <cell r="G2158">
            <v>2003</v>
          </cell>
          <cell r="H2158">
            <v>200</v>
          </cell>
          <cell r="I2158">
            <v>12519000000</v>
          </cell>
        </row>
        <row r="2159">
          <cell r="A2159" t="str">
            <v>Somalia</v>
          </cell>
          <cell r="B2159">
            <v>706</v>
          </cell>
          <cell r="C2159">
            <v>201</v>
          </cell>
          <cell r="D2159">
            <v>13</v>
          </cell>
          <cell r="E2159" t="str">
            <v>Less: Financial intermediation services indirectly measured (FISIM) (only to be deducted if FISIM is not distributed to uses)</v>
          </cell>
          <cell r="F2159">
            <v>0</v>
          </cell>
          <cell r="G2159">
            <v>1977</v>
          </cell>
          <cell r="H2159">
            <v>20</v>
          </cell>
          <cell r="I2159">
            <v>113000000</v>
          </cell>
        </row>
        <row r="2160">
          <cell r="A2160" t="str">
            <v>Somalia</v>
          </cell>
          <cell r="B2160">
            <v>706</v>
          </cell>
          <cell r="C2160">
            <v>201</v>
          </cell>
          <cell r="D2160">
            <v>13</v>
          </cell>
          <cell r="E2160" t="str">
            <v>Less: Financial intermediation services indirectly measured (FISIM) (only to be deducted if FISIM is not distributed to uses)</v>
          </cell>
          <cell r="F2160">
            <v>0</v>
          </cell>
          <cell r="G2160">
            <v>1978</v>
          </cell>
          <cell r="H2160">
            <v>20</v>
          </cell>
          <cell r="I2160">
            <v>151000000</v>
          </cell>
        </row>
        <row r="2161">
          <cell r="A2161" t="str">
            <v>Somalia</v>
          </cell>
          <cell r="B2161">
            <v>706</v>
          </cell>
          <cell r="C2161">
            <v>201</v>
          </cell>
          <cell r="D2161">
            <v>13</v>
          </cell>
          <cell r="E2161" t="str">
            <v>Less: Financial intermediation services indirectly measured (FISIM) (only to be deducted if FISIM is not distributed to uses)</v>
          </cell>
          <cell r="F2161">
            <v>0</v>
          </cell>
          <cell r="G2161">
            <v>1979</v>
          </cell>
          <cell r="H2161">
            <v>20</v>
          </cell>
          <cell r="I2161">
            <v>202000000</v>
          </cell>
        </row>
        <row r="2162">
          <cell r="A2162" t="str">
            <v>Somalia</v>
          </cell>
          <cell r="B2162">
            <v>706</v>
          </cell>
          <cell r="C2162">
            <v>201</v>
          </cell>
          <cell r="D2162">
            <v>13</v>
          </cell>
          <cell r="E2162" t="str">
            <v>Less: Financial intermediation services indirectly measured (FISIM) (only to be deducted if FISIM is not distributed to uses)</v>
          </cell>
          <cell r="F2162">
            <v>0</v>
          </cell>
          <cell r="G2162">
            <v>1980</v>
          </cell>
          <cell r="H2162">
            <v>20</v>
          </cell>
          <cell r="I2162">
            <v>239000000</v>
          </cell>
        </row>
        <row r="2163">
          <cell r="A2163" t="str">
            <v>Somalia</v>
          </cell>
          <cell r="B2163">
            <v>706</v>
          </cell>
          <cell r="C2163">
            <v>201</v>
          </cell>
          <cell r="D2163">
            <v>13</v>
          </cell>
          <cell r="E2163" t="str">
            <v>Less: Financial intermediation services indirectly measured (FISIM) (only to be deducted if FISIM is not distributed to uses)</v>
          </cell>
          <cell r="F2163">
            <v>0</v>
          </cell>
          <cell r="G2163">
            <v>1981</v>
          </cell>
          <cell r="H2163">
            <v>20</v>
          </cell>
          <cell r="I2163">
            <v>238000000</v>
          </cell>
        </row>
        <row r="2164">
          <cell r="A2164" t="str">
            <v>Somalia</v>
          </cell>
          <cell r="B2164">
            <v>706</v>
          </cell>
          <cell r="C2164">
            <v>201</v>
          </cell>
          <cell r="D2164">
            <v>13</v>
          </cell>
          <cell r="E2164" t="str">
            <v>Less: Financial intermediation services indirectly measured (FISIM) (only to be deducted if FISIM is not distributed to uses)</v>
          </cell>
          <cell r="F2164">
            <v>0</v>
          </cell>
          <cell r="G2164">
            <v>1982</v>
          </cell>
          <cell r="H2164">
            <v>20</v>
          </cell>
          <cell r="I2164">
            <v>339000000</v>
          </cell>
        </row>
        <row r="2165">
          <cell r="A2165" t="str">
            <v>Somalia</v>
          </cell>
          <cell r="B2165">
            <v>706</v>
          </cell>
          <cell r="C2165">
            <v>201</v>
          </cell>
          <cell r="D2165">
            <v>13</v>
          </cell>
          <cell r="E2165" t="str">
            <v>Less: Financial intermediation services indirectly measured (FISIM) (only to be deducted if FISIM is not distributed to uses)</v>
          </cell>
          <cell r="F2165">
            <v>0</v>
          </cell>
          <cell r="G2165">
            <v>1983</v>
          </cell>
          <cell r="H2165">
            <v>20</v>
          </cell>
          <cell r="I2165">
            <v>584000000</v>
          </cell>
        </row>
        <row r="2166">
          <cell r="A2166" t="str">
            <v>Somalia</v>
          </cell>
          <cell r="B2166">
            <v>706</v>
          </cell>
          <cell r="C2166">
            <v>201</v>
          </cell>
          <cell r="D2166">
            <v>13</v>
          </cell>
          <cell r="E2166" t="str">
            <v>Less: Financial intermediation services indirectly measured (FISIM) (only to be deducted if FISIM is not distributed to uses)</v>
          </cell>
          <cell r="F2166">
            <v>0</v>
          </cell>
          <cell r="G2166">
            <v>1984</v>
          </cell>
          <cell r="H2166">
            <v>20</v>
          </cell>
          <cell r="I2166">
            <v>440000000</v>
          </cell>
        </row>
        <row r="2167">
          <cell r="A2167" t="str">
            <v>Somalia</v>
          </cell>
          <cell r="B2167">
            <v>706</v>
          </cell>
          <cell r="C2167">
            <v>201</v>
          </cell>
          <cell r="D2167">
            <v>13</v>
          </cell>
          <cell r="E2167" t="str">
            <v>Less: Financial intermediation services indirectly measured (FISIM) (only to be deducted if FISIM is not distributed to uses)</v>
          </cell>
          <cell r="F2167">
            <v>0</v>
          </cell>
          <cell r="G2167">
            <v>1985</v>
          </cell>
          <cell r="H2167">
            <v>20</v>
          </cell>
          <cell r="I2167">
            <v>859000000</v>
          </cell>
        </row>
        <row r="2168">
          <cell r="A2168" t="str">
            <v>Somalia</v>
          </cell>
          <cell r="B2168">
            <v>706</v>
          </cell>
          <cell r="C2168">
            <v>201</v>
          </cell>
          <cell r="D2168">
            <v>13</v>
          </cell>
          <cell r="E2168" t="str">
            <v>Less: Financial intermediation services indirectly measured (FISIM) (only to be deducted if FISIM is not distributed to uses)</v>
          </cell>
          <cell r="F2168">
            <v>0</v>
          </cell>
          <cell r="G2168">
            <v>1986</v>
          </cell>
          <cell r="H2168">
            <v>20</v>
          </cell>
          <cell r="I2168">
            <v>1000000000</v>
          </cell>
        </row>
        <row r="2169">
          <cell r="A2169" t="str">
            <v>Somalia</v>
          </cell>
          <cell r="B2169">
            <v>706</v>
          </cell>
          <cell r="C2169">
            <v>201</v>
          </cell>
          <cell r="D2169">
            <v>13</v>
          </cell>
          <cell r="E2169" t="str">
            <v>Less: Financial intermediation services indirectly measured (FISIM) (only to be deducted if FISIM is not distributed to uses)</v>
          </cell>
          <cell r="F2169">
            <v>0</v>
          </cell>
          <cell r="G2169">
            <v>1987</v>
          </cell>
          <cell r="H2169">
            <v>20</v>
          </cell>
          <cell r="I2169">
            <v>1300000000</v>
          </cell>
        </row>
        <row r="2170">
          <cell r="A2170" t="str">
            <v>Democratic Yemen [former]</v>
          </cell>
          <cell r="B2170">
            <v>720</v>
          </cell>
          <cell r="C2170">
            <v>201</v>
          </cell>
          <cell r="D2170">
            <v>13</v>
          </cell>
          <cell r="E2170" t="str">
            <v>Less: Financial intermediation services indirectly measured (FISIM) (only to be deducted if FISIM is not distributed to uses)</v>
          </cell>
          <cell r="F2170">
            <v>0</v>
          </cell>
          <cell r="G2170">
            <v>1970</v>
          </cell>
          <cell r="H2170">
            <v>20</v>
          </cell>
          <cell r="I2170">
            <v>0</v>
          </cell>
        </row>
        <row r="2171">
          <cell r="A2171" t="str">
            <v>Democratic Yemen [former]</v>
          </cell>
          <cell r="B2171">
            <v>720</v>
          </cell>
          <cell r="C2171">
            <v>201</v>
          </cell>
          <cell r="D2171">
            <v>13</v>
          </cell>
          <cell r="E2171" t="str">
            <v>Less: Financial intermediation services indirectly measured (FISIM) (only to be deducted if FISIM is not distributed to uses)</v>
          </cell>
          <cell r="F2171">
            <v>0</v>
          </cell>
          <cell r="G2171">
            <v>1971</v>
          </cell>
          <cell r="H2171">
            <v>20</v>
          </cell>
          <cell r="I2171">
            <v>0</v>
          </cell>
        </row>
        <row r="2172">
          <cell r="A2172" t="str">
            <v>Democratic Yemen [former]</v>
          </cell>
          <cell r="B2172">
            <v>720</v>
          </cell>
          <cell r="C2172">
            <v>201</v>
          </cell>
          <cell r="D2172">
            <v>13</v>
          </cell>
          <cell r="E2172" t="str">
            <v>Less: Financial intermediation services indirectly measured (FISIM) (only to be deducted if FISIM is not distributed to uses)</v>
          </cell>
          <cell r="F2172">
            <v>0</v>
          </cell>
          <cell r="G2172">
            <v>1972</v>
          </cell>
          <cell r="H2172">
            <v>20</v>
          </cell>
          <cell r="I2172">
            <v>0</v>
          </cell>
        </row>
        <row r="2173">
          <cell r="A2173" t="str">
            <v>Democratic Yemen [former]</v>
          </cell>
          <cell r="B2173">
            <v>720</v>
          </cell>
          <cell r="C2173">
            <v>201</v>
          </cell>
          <cell r="D2173">
            <v>13</v>
          </cell>
          <cell r="E2173" t="str">
            <v>Less: Financial intermediation services indirectly measured (FISIM) (only to be deducted if FISIM is not distributed to uses)</v>
          </cell>
          <cell r="F2173">
            <v>0</v>
          </cell>
          <cell r="G2173">
            <v>1973</v>
          </cell>
          <cell r="H2173">
            <v>20</v>
          </cell>
          <cell r="I2173">
            <v>1600000</v>
          </cell>
        </row>
        <row r="2174">
          <cell r="A2174" t="str">
            <v>Democratic Yemen [former]</v>
          </cell>
          <cell r="B2174">
            <v>720</v>
          </cell>
          <cell r="C2174">
            <v>201</v>
          </cell>
          <cell r="D2174">
            <v>13</v>
          </cell>
          <cell r="E2174" t="str">
            <v>Less: Financial intermediation services indirectly measured (FISIM) (only to be deducted if FISIM is not distributed to uses)</v>
          </cell>
          <cell r="F2174">
            <v>0</v>
          </cell>
          <cell r="G2174">
            <v>1974</v>
          </cell>
          <cell r="H2174">
            <v>20</v>
          </cell>
          <cell r="I2174">
            <v>3300000</v>
          </cell>
        </row>
        <row r="2175">
          <cell r="A2175" t="str">
            <v>Democratic Yemen [former]</v>
          </cell>
          <cell r="B2175">
            <v>720</v>
          </cell>
          <cell r="C2175">
            <v>201</v>
          </cell>
          <cell r="D2175">
            <v>13</v>
          </cell>
          <cell r="E2175" t="str">
            <v>Less: Financial intermediation services indirectly measured (FISIM) (only to be deducted if FISIM is not distributed to uses)</v>
          </cell>
          <cell r="F2175">
            <v>0</v>
          </cell>
          <cell r="G2175">
            <v>1975</v>
          </cell>
          <cell r="H2175">
            <v>20</v>
          </cell>
          <cell r="I2175">
            <v>4400000</v>
          </cell>
        </row>
        <row r="2176">
          <cell r="A2176" t="str">
            <v>Democratic Yemen [former]</v>
          </cell>
          <cell r="B2176">
            <v>720</v>
          </cell>
          <cell r="C2176">
            <v>201</v>
          </cell>
          <cell r="D2176">
            <v>13</v>
          </cell>
          <cell r="E2176" t="str">
            <v>Less: Financial intermediation services indirectly measured (FISIM) (only to be deducted if FISIM is not distributed to uses)</v>
          </cell>
          <cell r="F2176">
            <v>0</v>
          </cell>
          <cell r="G2176">
            <v>1976</v>
          </cell>
          <cell r="H2176">
            <v>20</v>
          </cell>
          <cell r="I2176">
            <v>4500000</v>
          </cell>
        </row>
        <row r="2177">
          <cell r="A2177" t="str">
            <v>Democratic Yemen [former]</v>
          </cell>
          <cell r="B2177">
            <v>720</v>
          </cell>
          <cell r="C2177">
            <v>201</v>
          </cell>
          <cell r="D2177">
            <v>13</v>
          </cell>
          <cell r="E2177" t="str">
            <v>Less: Financial intermediation services indirectly measured (FISIM) (only to be deducted if FISIM is not distributed to uses)</v>
          </cell>
          <cell r="F2177">
            <v>0</v>
          </cell>
          <cell r="G2177">
            <v>1977</v>
          </cell>
          <cell r="H2177">
            <v>20</v>
          </cell>
          <cell r="I2177">
            <v>6200000</v>
          </cell>
        </row>
        <row r="2178">
          <cell r="A2178" t="str">
            <v>Democratic Yemen [former]</v>
          </cell>
          <cell r="B2178">
            <v>720</v>
          </cell>
          <cell r="C2178">
            <v>201</v>
          </cell>
          <cell r="D2178">
            <v>13</v>
          </cell>
          <cell r="E2178" t="str">
            <v>Less: Financial intermediation services indirectly measured (FISIM) (only to be deducted if FISIM is not distributed to uses)</v>
          </cell>
          <cell r="F2178">
            <v>0</v>
          </cell>
          <cell r="G2178">
            <v>1978</v>
          </cell>
          <cell r="H2178">
            <v>20</v>
          </cell>
          <cell r="I2178">
            <v>6500000</v>
          </cell>
        </row>
        <row r="2179">
          <cell r="A2179" t="str">
            <v>Democratic Yemen [former]</v>
          </cell>
          <cell r="B2179">
            <v>720</v>
          </cell>
          <cell r="C2179">
            <v>201</v>
          </cell>
          <cell r="D2179">
            <v>13</v>
          </cell>
          <cell r="E2179" t="str">
            <v>Less: Financial intermediation services indirectly measured (FISIM) (only to be deducted if FISIM is not distributed to uses)</v>
          </cell>
          <cell r="F2179">
            <v>0</v>
          </cell>
          <cell r="G2179">
            <v>1979</v>
          </cell>
          <cell r="H2179">
            <v>20</v>
          </cell>
          <cell r="I2179">
            <v>10600000</v>
          </cell>
        </row>
        <row r="2180">
          <cell r="A2180" t="str">
            <v>Suriname</v>
          </cell>
          <cell r="B2180">
            <v>740</v>
          </cell>
          <cell r="C2180">
            <v>201</v>
          </cell>
          <cell r="D2180">
            <v>13</v>
          </cell>
          <cell r="E2180" t="str">
            <v>Less: Financial intermediation services indirectly measured (FISIM) (only to be deducted if FISIM is not distributed to uses)</v>
          </cell>
          <cell r="F2180">
            <v>0</v>
          </cell>
          <cell r="G2180">
            <v>1975</v>
          </cell>
          <cell r="H2180">
            <v>20</v>
          </cell>
          <cell r="I2180">
            <v>27000000</v>
          </cell>
        </row>
        <row r="2181">
          <cell r="A2181" t="str">
            <v>Suriname</v>
          </cell>
          <cell r="B2181">
            <v>740</v>
          </cell>
          <cell r="C2181">
            <v>201</v>
          </cell>
          <cell r="D2181">
            <v>13</v>
          </cell>
          <cell r="E2181" t="str">
            <v>Less: Financial intermediation services indirectly measured (FISIM) (only to be deducted if FISIM is not distributed to uses)</v>
          </cell>
          <cell r="F2181">
            <v>0</v>
          </cell>
          <cell r="G2181">
            <v>1976</v>
          </cell>
          <cell r="H2181">
            <v>20</v>
          </cell>
          <cell r="I2181">
            <v>24800000</v>
          </cell>
        </row>
        <row r="2182">
          <cell r="A2182" t="str">
            <v>Suriname</v>
          </cell>
          <cell r="B2182">
            <v>740</v>
          </cell>
          <cell r="C2182">
            <v>201</v>
          </cell>
          <cell r="D2182">
            <v>13</v>
          </cell>
          <cell r="E2182" t="str">
            <v>Less: Financial intermediation services indirectly measured (FISIM) (only to be deducted if FISIM is not distributed to uses)</v>
          </cell>
          <cell r="F2182">
            <v>0</v>
          </cell>
          <cell r="G2182">
            <v>1977</v>
          </cell>
          <cell r="H2182">
            <v>20</v>
          </cell>
          <cell r="I2182">
            <v>28400000</v>
          </cell>
        </row>
        <row r="2183">
          <cell r="A2183" t="str">
            <v>Suriname</v>
          </cell>
          <cell r="B2183">
            <v>740</v>
          </cell>
          <cell r="C2183">
            <v>201</v>
          </cell>
          <cell r="D2183">
            <v>13</v>
          </cell>
          <cell r="E2183" t="str">
            <v>Less: Financial intermediation services indirectly measured (FISIM) (only to be deducted if FISIM is not distributed to uses)</v>
          </cell>
          <cell r="F2183">
            <v>0</v>
          </cell>
          <cell r="G2183">
            <v>1978</v>
          </cell>
          <cell r="H2183">
            <v>20</v>
          </cell>
          <cell r="I2183">
            <v>41200000</v>
          </cell>
        </row>
        <row r="2184">
          <cell r="A2184" t="str">
            <v>Suriname</v>
          </cell>
          <cell r="B2184">
            <v>740</v>
          </cell>
          <cell r="C2184">
            <v>201</v>
          </cell>
          <cell r="D2184">
            <v>13</v>
          </cell>
          <cell r="E2184" t="str">
            <v>Less: Financial intermediation services indirectly measured (FISIM) (only to be deducted if FISIM is not distributed to uses)</v>
          </cell>
          <cell r="F2184">
            <v>0</v>
          </cell>
          <cell r="G2184">
            <v>1979</v>
          </cell>
          <cell r="H2184">
            <v>20</v>
          </cell>
          <cell r="I2184">
            <v>56000000</v>
          </cell>
        </row>
        <row r="2185">
          <cell r="A2185" t="str">
            <v>Suriname</v>
          </cell>
          <cell r="B2185">
            <v>740</v>
          </cell>
          <cell r="C2185">
            <v>201</v>
          </cell>
          <cell r="D2185">
            <v>13</v>
          </cell>
          <cell r="E2185" t="str">
            <v>Less: Financial intermediation services indirectly measured (FISIM) (only to be deducted if FISIM is not distributed to uses)</v>
          </cell>
          <cell r="F2185">
            <v>0</v>
          </cell>
          <cell r="G2185">
            <v>1980</v>
          </cell>
          <cell r="H2185">
            <v>20</v>
          </cell>
          <cell r="I2185">
            <v>71300000</v>
          </cell>
        </row>
        <row r="2186">
          <cell r="A2186" t="str">
            <v>Suriname</v>
          </cell>
          <cell r="B2186">
            <v>740</v>
          </cell>
          <cell r="C2186">
            <v>201</v>
          </cell>
          <cell r="D2186">
            <v>13</v>
          </cell>
          <cell r="E2186" t="str">
            <v>Less: Financial intermediation services indirectly measured (FISIM) (only to be deducted if FISIM is not distributed to uses)</v>
          </cell>
          <cell r="F2186">
            <v>0</v>
          </cell>
          <cell r="G2186">
            <v>1981</v>
          </cell>
          <cell r="H2186">
            <v>20</v>
          </cell>
          <cell r="I2186">
            <v>93900000</v>
          </cell>
        </row>
        <row r="2187">
          <cell r="A2187" t="str">
            <v>Suriname</v>
          </cell>
          <cell r="B2187">
            <v>740</v>
          </cell>
          <cell r="C2187">
            <v>201</v>
          </cell>
          <cell r="D2187">
            <v>13</v>
          </cell>
          <cell r="E2187" t="str">
            <v>Less: Financial intermediation services indirectly measured (FISIM) (only to be deducted if FISIM is not distributed to uses)</v>
          </cell>
          <cell r="F2187">
            <v>0</v>
          </cell>
          <cell r="G2187">
            <v>1982</v>
          </cell>
          <cell r="H2187">
            <v>20</v>
          </cell>
          <cell r="I2187">
            <v>92500000</v>
          </cell>
        </row>
        <row r="2188">
          <cell r="A2188" t="str">
            <v>Suriname</v>
          </cell>
          <cell r="B2188">
            <v>740</v>
          </cell>
          <cell r="C2188">
            <v>201</v>
          </cell>
          <cell r="D2188">
            <v>13</v>
          </cell>
          <cell r="E2188" t="str">
            <v>Less: Financial intermediation services indirectly measured (FISIM) (only to be deducted if FISIM is not distributed to uses)</v>
          </cell>
          <cell r="F2188">
            <v>0</v>
          </cell>
          <cell r="G2188">
            <v>1983</v>
          </cell>
          <cell r="H2188">
            <v>20</v>
          </cell>
          <cell r="I2188">
            <v>75300000</v>
          </cell>
        </row>
        <row r="2189">
          <cell r="A2189" t="str">
            <v>Suriname</v>
          </cell>
          <cell r="B2189">
            <v>740</v>
          </cell>
          <cell r="C2189">
            <v>201</v>
          </cell>
          <cell r="D2189">
            <v>13</v>
          </cell>
          <cell r="E2189" t="str">
            <v>Less: Financial intermediation services indirectly measured (FISIM) (only to be deducted if FISIM is not distributed to uses)</v>
          </cell>
          <cell r="F2189">
            <v>0</v>
          </cell>
          <cell r="G2189">
            <v>1984</v>
          </cell>
          <cell r="H2189">
            <v>20</v>
          </cell>
          <cell r="I2189">
            <v>74700000</v>
          </cell>
        </row>
        <row r="2190">
          <cell r="A2190" t="str">
            <v>Suriname</v>
          </cell>
          <cell r="B2190">
            <v>740</v>
          </cell>
          <cell r="C2190">
            <v>201</v>
          </cell>
          <cell r="D2190">
            <v>13</v>
          </cell>
          <cell r="E2190" t="str">
            <v>Less: Financial intermediation services indirectly measured (FISIM) (only to be deducted if FISIM is not distributed to uses)</v>
          </cell>
          <cell r="F2190">
            <v>0</v>
          </cell>
          <cell r="G2190">
            <v>1985</v>
          </cell>
          <cell r="H2190">
            <v>20</v>
          </cell>
          <cell r="I2190">
            <v>89268000</v>
          </cell>
        </row>
        <row r="2191">
          <cell r="A2191" t="str">
            <v>Suriname</v>
          </cell>
          <cell r="B2191">
            <v>740</v>
          </cell>
          <cell r="C2191">
            <v>201</v>
          </cell>
          <cell r="D2191">
            <v>13</v>
          </cell>
          <cell r="E2191" t="str">
            <v>Less: Financial intermediation services indirectly measured (FISIM) (only to be deducted if FISIM is not distributed to uses)</v>
          </cell>
          <cell r="F2191">
            <v>0</v>
          </cell>
          <cell r="G2191">
            <v>1986</v>
          </cell>
          <cell r="H2191">
            <v>20</v>
          </cell>
          <cell r="I2191">
            <v>112469999.90000001</v>
          </cell>
        </row>
        <row r="2192">
          <cell r="A2192" t="str">
            <v>Suriname</v>
          </cell>
          <cell r="B2192">
            <v>740</v>
          </cell>
          <cell r="C2192">
            <v>201</v>
          </cell>
          <cell r="D2192">
            <v>13</v>
          </cell>
          <cell r="E2192" t="str">
            <v>Less: Financial intermediation services indirectly measured (FISIM) (only to be deducted if FISIM is not distributed to uses)</v>
          </cell>
          <cell r="F2192">
            <v>0</v>
          </cell>
          <cell r="G2192">
            <v>1987</v>
          </cell>
          <cell r="H2192">
            <v>20</v>
          </cell>
          <cell r="I2192">
            <v>134289999.90000001</v>
          </cell>
        </row>
        <row r="2193">
          <cell r="A2193" t="str">
            <v>Suriname</v>
          </cell>
          <cell r="B2193">
            <v>740</v>
          </cell>
          <cell r="C2193">
            <v>201</v>
          </cell>
          <cell r="D2193">
            <v>13</v>
          </cell>
          <cell r="E2193" t="str">
            <v>Less: Financial intermediation services indirectly measured (FISIM) (only to be deducted if FISIM is not distributed to uses)</v>
          </cell>
          <cell r="F2193">
            <v>0</v>
          </cell>
          <cell r="G2193">
            <v>1988</v>
          </cell>
          <cell r="H2193">
            <v>20</v>
          </cell>
          <cell r="I2193">
            <v>178780000</v>
          </cell>
        </row>
        <row r="2194">
          <cell r="A2194" t="str">
            <v>Suriname</v>
          </cell>
          <cell r="B2194">
            <v>740</v>
          </cell>
          <cell r="C2194">
            <v>201</v>
          </cell>
          <cell r="D2194">
            <v>13</v>
          </cell>
          <cell r="E2194" t="str">
            <v>Less: Financial intermediation services indirectly measured (FISIM) (only to be deducted if FISIM is not distributed to uses)</v>
          </cell>
          <cell r="F2194">
            <v>0</v>
          </cell>
          <cell r="G2194">
            <v>1989</v>
          </cell>
          <cell r="H2194">
            <v>20</v>
          </cell>
          <cell r="I2194">
            <v>209000000</v>
          </cell>
        </row>
        <row r="2195">
          <cell r="A2195" t="str">
            <v>Suriname</v>
          </cell>
          <cell r="B2195">
            <v>740</v>
          </cell>
          <cell r="C2195">
            <v>201</v>
          </cell>
          <cell r="D2195">
            <v>13</v>
          </cell>
          <cell r="E2195" t="str">
            <v>Less: Financial intermediation services indirectly measured (FISIM) (only to be deducted if FISIM is not distributed to uses)</v>
          </cell>
          <cell r="F2195">
            <v>0</v>
          </cell>
          <cell r="G2195">
            <v>1990</v>
          </cell>
          <cell r="H2195">
            <v>20</v>
          </cell>
          <cell r="I2195">
            <v>216000000</v>
          </cell>
        </row>
        <row r="2196">
          <cell r="A2196" t="str">
            <v>Suriname</v>
          </cell>
          <cell r="B2196">
            <v>740</v>
          </cell>
          <cell r="C2196">
            <v>201</v>
          </cell>
          <cell r="D2196">
            <v>13</v>
          </cell>
          <cell r="E2196" t="str">
            <v>Less: Financial intermediation services indirectly measured (FISIM) (only to be deducted if FISIM is not distributed to uses)</v>
          </cell>
          <cell r="F2196">
            <v>0</v>
          </cell>
          <cell r="G2196">
            <v>1991</v>
          </cell>
          <cell r="H2196">
            <v>20</v>
          </cell>
          <cell r="I2196">
            <v>259000000</v>
          </cell>
        </row>
        <row r="2197">
          <cell r="A2197" t="str">
            <v>Suriname</v>
          </cell>
          <cell r="B2197">
            <v>740</v>
          </cell>
          <cell r="C2197">
            <v>201</v>
          </cell>
          <cell r="D2197">
            <v>13</v>
          </cell>
          <cell r="E2197" t="str">
            <v>Less: Financial intermediation services indirectly measured (FISIM) (only to be deducted if FISIM is not distributed to uses)</v>
          </cell>
          <cell r="F2197">
            <v>0</v>
          </cell>
          <cell r="G2197">
            <v>1992</v>
          </cell>
          <cell r="H2197">
            <v>20</v>
          </cell>
          <cell r="I2197">
            <v>330000000</v>
          </cell>
        </row>
        <row r="2198">
          <cell r="A2198" t="str">
            <v>Suriname</v>
          </cell>
          <cell r="B2198">
            <v>740</v>
          </cell>
          <cell r="C2198">
            <v>201</v>
          </cell>
          <cell r="D2198">
            <v>13</v>
          </cell>
          <cell r="E2198" t="str">
            <v>Less: Financial intermediation services indirectly measured (FISIM) (only to be deducted if FISIM is not distributed to uses)</v>
          </cell>
          <cell r="F2198">
            <v>0</v>
          </cell>
          <cell r="G2198">
            <v>1993</v>
          </cell>
          <cell r="H2198">
            <v>20</v>
          </cell>
          <cell r="I2198">
            <v>538000000</v>
          </cell>
        </row>
        <row r="2199">
          <cell r="A2199" t="str">
            <v>Suriname</v>
          </cell>
          <cell r="B2199">
            <v>740</v>
          </cell>
          <cell r="C2199">
            <v>201</v>
          </cell>
          <cell r="D2199">
            <v>13</v>
          </cell>
          <cell r="E2199" t="str">
            <v>Less: Financial intermediation services indirectly measured (FISIM) (only to be deducted if FISIM is not distributed to uses)</v>
          </cell>
          <cell r="F2199">
            <v>0</v>
          </cell>
          <cell r="G2199">
            <v>1994</v>
          </cell>
          <cell r="H2199">
            <v>20</v>
          </cell>
          <cell r="I2199">
            <v>1093000000</v>
          </cell>
        </row>
        <row r="2200">
          <cell r="A2200" t="str">
            <v>Suriname</v>
          </cell>
          <cell r="B2200">
            <v>740</v>
          </cell>
          <cell r="C2200">
            <v>201</v>
          </cell>
          <cell r="D2200">
            <v>13</v>
          </cell>
          <cell r="E2200" t="str">
            <v>Less: Financial intermediation services indirectly measured (FISIM) (only to be deducted if FISIM is not distributed to uses)</v>
          </cell>
          <cell r="F2200">
            <v>0</v>
          </cell>
          <cell r="G2200">
            <v>1995</v>
          </cell>
          <cell r="H2200">
            <v>20</v>
          </cell>
          <cell r="I2200">
            <v>4900000000</v>
          </cell>
        </row>
        <row r="2201">
          <cell r="A2201" t="str">
            <v>Suriname</v>
          </cell>
          <cell r="B2201">
            <v>740</v>
          </cell>
          <cell r="C2201">
            <v>201</v>
          </cell>
          <cell r="D2201">
            <v>13</v>
          </cell>
          <cell r="E2201" t="str">
            <v>Less: Financial intermediation services indirectly measured (FISIM) (only to be deducted if FISIM is not distributed to uses)</v>
          </cell>
          <cell r="F2201">
            <v>0</v>
          </cell>
          <cell r="G2201">
            <v>1996</v>
          </cell>
          <cell r="H2201">
            <v>20</v>
          </cell>
          <cell r="I2201">
            <v>11553000000</v>
          </cell>
        </row>
        <row r="2202">
          <cell r="A2202" t="str">
            <v>Suriname</v>
          </cell>
          <cell r="B2202">
            <v>740</v>
          </cell>
          <cell r="C2202">
            <v>201</v>
          </cell>
          <cell r="D2202">
            <v>13</v>
          </cell>
          <cell r="E2202" t="str">
            <v>Less: Financial intermediation services indirectly measured (FISIM) (only to be deducted if FISIM is not distributed to uses)</v>
          </cell>
          <cell r="F2202">
            <v>0</v>
          </cell>
          <cell r="G2202">
            <v>1997</v>
          </cell>
          <cell r="H2202">
            <v>20</v>
          </cell>
          <cell r="I2202">
            <v>15890000000</v>
          </cell>
        </row>
        <row r="2203">
          <cell r="A2203" t="str">
            <v>Suriname</v>
          </cell>
          <cell r="B2203">
            <v>740</v>
          </cell>
          <cell r="C2203">
            <v>201</v>
          </cell>
          <cell r="D2203">
            <v>13</v>
          </cell>
          <cell r="E2203" t="str">
            <v>Less: Financial intermediation services indirectly measured (FISIM) (only to be deducted if FISIM is not distributed to uses)</v>
          </cell>
          <cell r="F2203">
            <v>0</v>
          </cell>
          <cell r="G2203">
            <v>1998</v>
          </cell>
          <cell r="H2203">
            <v>20</v>
          </cell>
          <cell r="I2203">
            <v>16288000000</v>
          </cell>
        </row>
        <row r="2204">
          <cell r="A2204" t="str">
            <v>Suriname</v>
          </cell>
          <cell r="B2204">
            <v>740</v>
          </cell>
          <cell r="C2204">
            <v>201</v>
          </cell>
          <cell r="D2204">
            <v>13</v>
          </cell>
          <cell r="E2204" t="str">
            <v>Less: Financial intermediation services indirectly measured (FISIM) (only to be deducted if FISIM is not distributed to uses)</v>
          </cell>
          <cell r="F2204">
            <v>0</v>
          </cell>
          <cell r="G2204">
            <v>1999</v>
          </cell>
          <cell r="H2204">
            <v>20</v>
          </cell>
          <cell r="I2204">
            <v>31539000000</v>
          </cell>
        </row>
        <row r="2205">
          <cell r="A2205" t="str">
            <v>Suriname</v>
          </cell>
          <cell r="B2205">
            <v>740</v>
          </cell>
          <cell r="C2205">
            <v>201</v>
          </cell>
          <cell r="D2205">
            <v>13</v>
          </cell>
          <cell r="E2205" t="str">
            <v>Less: Financial intermediation services indirectly measured (FISIM) (only to be deducted if FISIM is not distributed to uses)</v>
          </cell>
          <cell r="F2205">
            <v>0</v>
          </cell>
          <cell r="G2205">
            <v>2000</v>
          </cell>
          <cell r="H2205">
            <v>20</v>
          </cell>
          <cell r="I2205">
            <v>36034000000</v>
          </cell>
        </row>
        <row r="2206">
          <cell r="A2206" t="str">
            <v>Suriname</v>
          </cell>
          <cell r="B2206">
            <v>740</v>
          </cell>
          <cell r="C2206">
            <v>201</v>
          </cell>
          <cell r="D2206">
            <v>13</v>
          </cell>
          <cell r="E2206" t="str">
            <v>Less: Financial intermediation services indirectly measured (FISIM) (only to be deducted if FISIM is not distributed to uses)</v>
          </cell>
          <cell r="F2206">
            <v>0</v>
          </cell>
          <cell r="G2206">
            <v>2001</v>
          </cell>
          <cell r="H2206">
            <v>20</v>
          </cell>
          <cell r="I2206">
            <v>57763000000</v>
          </cell>
        </row>
        <row r="2207">
          <cell r="A2207" t="str">
            <v>Suriname</v>
          </cell>
          <cell r="B2207">
            <v>740</v>
          </cell>
          <cell r="C2207">
            <v>201</v>
          </cell>
          <cell r="D2207">
            <v>13</v>
          </cell>
          <cell r="E2207" t="str">
            <v>Less: Financial intermediation services indirectly measured (FISIM) (only to be deducted if FISIM is not distributed to uses)</v>
          </cell>
          <cell r="F2207">
            <v>0</v>
          </cell>
          <cell r="G2207">
            <v>2002</v>
          </cell>
          <cell r="H2207">
            <v>20</v>
          </cell>
          <cell r="I2207">
            <v>68189000000</v>
          </cell>
        </row>
        <row r="2208">
          <cell r="A2208" t="str">
            <v>Suriname</v>
          </cell>
          <cell r="B2208">
            <v>740</v>
          </cell>
          <cell r="C2208">
            <v>203</v>
          </cell>
          <cell r="D2208">
            <v>3</v>
          </cell>
          <cell r="E2208" t="str">
            <v>Equals: VALUE ADDED, GROSS, at basic prices</v>
          </cell>
          <cell r="F2208">
            <v>12</v>
          </cell>
          <cell r="G2208">
            <v>1989</v>
          </cell>
          <cell r="H2208">
            <v>20</v>
          </cell>
          <cell r="I2208">
            <v>2490000000</v>
          </cell>
        </row>
        <row r="2209">
          <cell r="A2209" t="str">
            <v>Suriname</v>
          </cell>
          <cell r="B2209">
            <v>740</v>
          </cell>
          <cell r="C2209">
            <v>203</v>
          </cell>
          <cell r="D2209">
            <v>3</v>
          </cell>
          <cell r="E2209" t="str">
            <v>Equals: VALUE ADDED, GROSS, at basic prices</v>
          </cell>
          <cell r="F2209">
            <v>12</v>
          </cell>
          <cell r="G2209">
            <v>1990</v>
          </cell>
          <cell r="H2209">
            <v>20</v>
          </cell>
          <cell r="I2209">
            <v>2880000000</v>
          </cell>
        </row>
        <row r="2210">
          <cell r="A2210" t="str">
            <v>Suriname</v>
          </cell>
          <cell r="B2210">
            <v>740</v>
          </cell>
          <cell r="C2210">
            <v>203</v>
          </cell>
          <cell r="D2210">
            <v>4</v>
          </cell>
          <cell r="E2210" t="str">
            <v>Compensation of employees</v>
          </cell>
          <cell r="F2210">
            <v>12</v>
          </cell>
          <cell r="G2210">
            <v>1989</v>
          </cell>
          <cell r="H2210">
            <v>20</v>
          </cell>
          <cell r="I2210">
            <v>1320000000</v>
          </cell>
        </row>
        <row r="2211">
          <cell r="A2211" t="str">
            <v>Suriname</v>
          </cell>
          <cell r="B2211">
            <v>740</v>
          </cell>
          <cell r="C2211">
            <v>203</v>
          </cell>
          <cell r="D2211">
            <v>4</v>
          </cell>
          <cell r="E2211" t="str">
            <v>Compensation of employees</v>
          </cell>
          <cell r="F2211">
            <v>12</v>
          </cell>
          <cell r="G2211">
            <v>1990</v>
          </cell>
          <cell r="H2211">
            <v>20</v>
          </cell>
          <cell r="I2211">
            <v>1440000000</v>
          </cell>
        </row>
        <row r="2212">
          <cell r="A2212" t="str">
            <v>Switzerland</v>
          </cell>
          <cell r="B2212">
            <v>756</v>
          </cell>
          <cell r="C2212">
            <v>201</v>
          </cell>
          <cell r="D2212">
            <v>13</v>
          </cell>
          <cell r="E2212" t="str">
            <v>Less: Financial intermediation services indirectly measured (FISIM) (only to be deducted if FISIM is not distributed to uses)</v>
          </cell>
          <cell r="F2212">
            <v>0</v>
          </cell>
          <cell r="G2212">
            <v>1985</v>
          </cell>
          <cell r="H2212">
            <v>30</v>
          </cell>
          <cell r="I2212">
            <v>10400000000</v>
          </cell>
        </row>
        <row r="2213">
          <cell r="A2213" t="str">
            <v>Switzerland</v>
          </cell>
          <cell r="B2213">
            <v>756</v>
          </cell>
          <cell r="C2213">
            <v>201</v>
          </cell>
          <cell r="D2213">
            <v>13</v>
          </cell>
          <cell r="E2213" t="str">
            <v>Less: Financial intermediation services indirectly measured (FISIM) (only to be deducted if FISIM is not distributed to uses)</v>
          </cell>
          <cell r="F2213">
            <v>0</v>
          </cell>
          <cell r="G2213">
            <v>1990</v>
          </cell>
          <cell r="H2213">
            <v>30</v>
          </cell>
          <cell r="I2213">
            <v>14566000000</v>
          </cell>
        </row>
        <row r="2214">
          <cell r="A2214" t="str">
            <v>Switzerland</v>
          </cell>
          <cell r="B2214">
            <v>756</v>
          </cell>
          <cell r="C2214">
            <v>201</v>
          </cell>
          <cell r="D2214">
            <v>13</v>
          </cell>
          <cell r="E2214" t="str">
            <v>Less: Financial intermediation services indirectly measured (FISIM) (only to be deducted if FISIM is not distributed to uses)</v>
          </cell>
          <cell r="F2214">
            <v>0</v>
          </cell>
          <cell r="G2214">
            <v>1991</v>
          </cell>
          <cell r="H2214">
            <v>30</v>
          </cell>
          <cell r="I2214">
            <v>17335000000</v>
          </cell>
        </row>
        <row r="2215">
          <cell r="A2215" t="str">
            <v>Switzerland</v>
          </cell>
          <cell r="B2215">
            <v>756</v>
          </cell>
          <cell r="C2215">
            <v>201</v>
          </cell>
          <cell r="D2215">
            <v>13</v>
          </cell>
          <cell r="E2215" t="str">
            <v>Less: Financial intermediation services indirectly measured (FISIM) (only to be deducted if FISIM is not distributed to uses)</v>
          </cell>
          <cell r="F2215">
            <v>0</v>
          </cell>
          <cell r="G2215">
            <v>1997</v>
          </cell>
          <cell r="H2215">
            <v>30</v>
          </cell>
          <cell r="I2215">
            <v>14856000000</v>
          </cell>
        </row>
        <row r="2216">
          <cell r="A2216" t="str">
            <v>Switzerland</v>
          </cell>
          <cell r="B2216">
            <v>756</v>
          </cell>
          <cell r="C2216">
            <v>201</v>
          </cell>
          <cell r="D2216">
            <v>13</v>
          </cell>
          <cell r="E2216" t="str">
            <v>Less: Financial intermediation services indirectly measured (FISIM) (only to be deducted if FISIM is not distributed to uses)</v>
          </cell>
          <cell r="F2216">
            <v>0</v>
          </cell>
          <cell r="G2216">
            <v>1998</v>
          </cell>
          <cell r="H2216">
            <v>30</v>
          </cell>
          <cell r="I2216">
            <v>15374000000</v>
          </cell>
        </row>
        <row r="2217">
          <cell r="A2217" t="str">
            <v>Switzerland</v>
          </cell>
          <cell r="B2217">
            <v>756</v>
          </cell>
          <cell r="C2217">
            <v>201</v>
          </cell>
          <cell r="D2217">
            <v>13</v>
          </cell>
          <cell r="E2217" t="str">
            <v>Less: Financial intermediation services indirectly measured (FISIM) (only to be deducted if FISIM is not distributed to uses)</v>
          </cell>
          <cell r="F2217">
            <v>0</v>
          </cell>
          <cell r="G2217">
            <v>1999</v>
          </cell>
          <cell r="H2217">
            <v>30</v>
          </cell>
          <cell r="I2217">
            <v>14639000000</v>
          </cell>
        </row>
        <row r="2218">
          <cell r="A2218" t="str">
            <v>Switzerland</v>
          </cell>
          <cell r="B2218">
            <v>756</v>
          </cell>
          <cell r="C2218">
            <v>201</v>
          </cell>
          <cell r="D2218">
            <v>13</v>
          </cell>
          <cell r="E2218" t="str">
            <v>Less: Financial intermediation services indirectly measured (FISIM) (only to be deducted if FISIM is not distributed to uses)</v>
          </cell>
          <cell r="F2218">
            <v>0</v>
          </cell>
          <cell r="G2218">
            <v>2000</v>
          </cell>
          <cell r="H2218">
            <v>30</v>
          </cell>
          <cell r="I2218">
            <v>16769000000</v>
          </cell>
        </row>
        <row r="2219">
          <cell r="A2219" t="str">
            <v>Thailand</v>
          </cell>
          <cell r="B2219">
            <v>764</v>
          </cell>
          <cell r="C2219">
            <v>203</v>
          </cell>
          <cell r="D2219">
            <v>3</v>
          </cell>
          <cell r="E2219" t="str">
            <v>Equals: VALUE ADDED, GROSS, at basic prices</v>
          </cell>
          <cell r="F2219">
            <v>12</v>
          </cell>
          <cell r="G2219">
            <v>1980</v>
          </cell>
          <cell r="H2219">
            <v>20</v>
          </cell>
          <cell r="I2219">
            <v>662482000000</v>
          </cell>
        </row>
        <row r="2220">
          <cell r="A2220" t="str">
            <v>Thailand</v>
          </cell>
          <cell r="B2220">
            <v>764</v>
          </cell>
          <cell r="C2220">
            <v>203</v>
          </cell>
          <cell r="D2220">
            <v>3</v>
          </cell>
          <cell r="E2220" t="str">
            <v>Equals: VALUE ADDED, GROSS, at basic prices</v>
          </cell>
          <cell r="F2220">
            <v>12</v>
          </cell>
          <cell r="G2220">
            <v>1981</v>
          </cell>
          <cell r="H2220">
            <v>20</v>
          </cell>
          <cell r="I2220">
            <v>760356000000</v>
          </cell>
        </row>
        <row r="2221">
          <cell r="A2221" t="str">
            <v>Thailand</v>
          </cell>
          <cell r="B2221">
            <v>764</v>
          </cell>
          <cell r="C2221">
            <v>203</v>
          </cell>
          <cell r="D2221">
            <v>3</v>
          </cell>
          <cell r="E2221" t="str">
            <v>Equals: VALUE ADDED, GROSS, at basic prices</v>
          </cell>
          <cell r="F2221">
            <v>12</v>
          </cell>
          <cell r="G2221">
            <v>1982</v>
          </cell>
          <cell r="H2221">
            <v>20</v>
          </cell>
          <cell r="I2221">
            <v>841569000000</v>
          </cell>
        </row>
        <row r="2222">
          <cell r="A2222" t="str">
            <v>Thailand</v>
          </cell>
          <cell r="B2222">
            <v>764</v>
          </cell>
          <cell r="C2222">
            <v>203</v>
          </cell>
          <cell r="D2222">
            <v>3</v>
          </cell>
          <cell r="E2222" t="str">
            <v>Equals: VALUE ADDED, GROSS, at basic prices</v>
          </cell>
          <cell r="F2222">
            <v>12</v>
          </cell>
          <cell r="G2222">
            <v>1983</v>
          </cell>
          <cell r="H2222">
            <v>20</v>
          </cell>
          <cell r="I2222">
            <v>920989000000</v>
          </cell>
        </row>
        <row r="2223">
          <cell r="A2223" t="str">
            <v>Thailand</v>
          </cell>
          <cell r="B2223">
            <v>764</v>
          </cell>
          <cell r="C2223">
            <v>203</v>
          </cell>
          <cell r="D2223">
            <v>3</v>
          </cell>
          <cell r="E2223" t="str">
            <v>Equals: VALUE ADDED, GROSS, at basic prices</v>
          </cell>
          <cell r="F2223">
            <v>12</v>
          </cell>
          <cell r="G2223">
            <v>1984</v>
          </cell>
          <cell r="H2223">
            <v>20</v>
          </cell>
          <cell r="I2223">
            <v>988070000000</v>
          </cell>
        </row>
        <row r="2224">
          <cell r="A2224" t="str">
            <v>Thailand</v>
          </cell>
          <cell r="B2224">
            <v>764</v>
          </cell>
          <cell r="C2224">
            <v>203</v>
          </cell>
          <cell r="D2224">
            <v>3</v>
          </cell>
          <cell r="E2224" t="str">
            <v>Equals: VALUE ADDED, GROSS, at basic prices</v>
          </cell>
          <cell r="F2224">
            <v>12</v>
          </cell>
          <cell r="G2224">
            <v>1985</v>
          </cell>
          <cell r="H2224">
            <v>20</v>
          </cell>
          <cell r="I2224">
            <v>1056496000000</v>
          </cell>
        </row>
        <row r="2225">
          <cell r="A2225" t="str">
            <v>Thailand</v>
          </cell>
          <cell r="B2225">
            <v>764</v>
          </cell>
          <cell r="C2225">
            <v>203</v>
          </cell>
          <cell r="D2225">
            <v>3</v>
          </cell>
          <cell r="E2225" t="str">
            <v>Equals: VALUE ADDED, GROSS, at basic prices</v>
          </cell>
          <cell r="F2225">
            <v>12</v>
          </cell>
          <cell r="G2225">
            <v>1986</v>
          </cell>
          <cell r="H2225">
            <v>20</v>
          </cell>
          <cell r="I2225">
            <v>1133397000000</v>
          </cell>
        </row>
        <row r="2226">
          <cell r="A2226" t="str">
            <v>Thailand</v>
          </cell>
          <cell r="B2226">
            <v>764</v>
          </cell>
          <cell r="C2226">
            <v>203</v>
          </cell>
          <cell r="D2226">
            <v>3</v>
          </cell>
          <cell r="E2226" t="str">
            <v>Equals: VALUE ADDED, GROSS, at basic prices</v>
          </cell>
          <cell r="F2226">
            <v>12</v>
          </cell>
          <cell r="G2226">
            <v>1987</v>
          </cell>
          <cell r="H2226">
            <v>20</v>
          </cell>
          <cell r="I2226">
            <v>1299913000000</v>
          </cell>
        </row>
        <row r="2227">
          <cell r="A2227" t="str">
            <v>Thailand</v>
          </cell>
          <cell r="B2227">
            <v>764</v>
          </cell>
          <cell r="C2227">
            <v>203</v>
          </cell>
          <cell r="D2227">
            <v>3</v>
          </cell>
          <cell r="E2227" t="str">
            <v>Equals: VALUE ADDED, GROSS, at basic prices</v>
          </cell>
          <cell r="F2227">
            <v>12</v>
          </cell>
          <cell r="G2227">
            <v>1988</v>
          </cell>
          <cell r="H2227">
            <v>20</v>
          </cell>
          <cell r="I2227">
            <v>1559804000000</v>
          </cell>
        </row>
        <row r="2228">
          <cell r="A2228" t="str">
            <v>Thailand</v>
          </cell>
          <cell r="B2228">
            <v>764</v>
          </cell>
          <cell r="C2228">
            <v>203</v>
          </cell>
          <cell r="D2228">
            <v>3</v>
          </cell>
          <cell r="E2228" t="str">
            <v>Equals: VALUE ADDED, GROSS, at basic prices</v>
          </cell>
          <cell r="F2228">
            <v>12</v>
          </cell>
          <cell r="G2228">
            <v>1989</v>
          </cell>
          <cell r="H2228">
            <v>20</v>
          </cell>
          <cell r="I2228">
            <v>1856992000000</v>
          </cell>
        </row>
        <row r="2229">
          <cell r="A2229" t="str">
            <v>Thailand</v>
          </cell>
          <cell r="B2229">
            <v>764</v>
          </cell>
          <cell r="C2229">
            <v>203</v>
          </cell>
          <cell r="D2229">
            <v>3</v>
          </cell>
          <cell r="E2229" t="str">
            <v>Equals: VALUE ADDED, GROSS, at basic prices</v>
          </cell>
          <cell r="F2229">
            <v>12</v>
          </cell>
          <cell r="G2229">
            <v>1990</v>
          </cell>
          <cell r="H2229">
            <v>20</v>
          </cell>
          <cell r="I2229">
            <v>2183545000000</v>
          </cell>
        </row>
        <row r="2230">
          <cell r="A2230" t="str">
            <v>Thailand</v>
          </cell>
          <cell r="B2230">
            <v>764</v>
          </cell>
          <cell r="C2230">
            <v>203</v>
          </cell>
          <cell r="D2230">
            <v>3</v>
          </cell>
          <cell r="E2230" t="str">
            <v>Equals: VALUE ADDED, GROSS, at basic prices</v>
          </cell>
          <cell r="F2230">
            <v>12</v>
          </cell>
          <cell r="G2230">
            <v>1991</v>
          </cell>
          <cell r="H2230">
            <v>20</v>
          </cell>
          <cell r="I2230">
            <v>2506635000000</v>
          </cell>
        </row>
        <row r="2231">
          <cell r="A2231" t="str">
            <v>Thailand</v>
          </cell>
          <cell r="B2231">
            <v>764</v>
          </cell>
          <cell r="C2231">
            <v>203</v>
          </cell>
          <cell r="D2231">
            <v>3</v>
          </cell>
          <cell r="E2231" t="str">
            <v>Equals: VALUE ADDED, GROSS, at basic prices</v>
          </cell>
          <cell r="F2231">
            <v>12</v>
          </cell>
          <cell r="G2231">
            <v>1992</v>
          </cell>
          <cell r="H2231">
            <v>20</v>
          </cell>
          <cell r="I2231">
            <v>2491349000000</v>
          </cell>
        </row>
        <row r="2232">
          <cell r="A2232" t="str">
            <v>Thailand</v>
          </cell>
          <cell r="B2232">
            <v>764</v>
          </cell>
          <cell r="C2232">
            <v>203</v>
          </cell>
          <cell r="D2232">
            <v>3</v>
          </cell>
          <cell r="E2232" t="str">
            <v>Equals: VALUE ADDED, GROSS, at basic prices</v>
          </cell>
          <cell r="F2232">
            <v>12</v>
          </cell>
          <cell r="G2232">
            <v>1993</v>
          </cell>
          <cell r="H2232">
            <v>20</v>
          </cell>
          <cell r="I2232">
            <v>2784561000000</v>
          </cell>
        </row>
        <row r="2233">
          <cell r="A2233" t="str">
            <v>Thailand</v>
          </cell>
          <cell r="B2233">
            <v>764</v>
          </cell>
          <cell r="C2233">
            <v>203</v>
          </cell>
          <cell r="D2233">
            <v>3</v>
          </cell>
          <cell r="E2233" t="str">
            <v>Equals: VALUE ADDED, GROSS, at basic prices</v>
          </cell>
          <cell r="F2233">
            <v>12</v>
          </cell>
          <cell r="G2233">
            <v>1994</v>
          </cell>
          <cell r="H2233">
            <v>20</v>
          </cell>
          <cell r="I2233">
            <v>3192298000000</v>
          </cell>
        </row>
        <row r="2234">
          <cell r="A2234" t="str">
            <v>Thailand</v>
          </cell>
          <cell r="B2234">
            <v>764</v>
          </cell>
          <cell r="C2234">
            <v>203</v>
          </cell>
          <cell r="D2234">
            <v>3</v>
          </cell>
          <cell r="E2234" t="str">
            <v>Equals: VALUE ADDED, GROSS, at basic prices</v>
          </cell>
          <cell r="F2234">
            <v>12</v>
          </cell>
          <cell r="G2234">
            <v>1995</v>
          </cell>
          <cell r="H2234">
            <v>20</v>
          </cell>
          <cell r="I2234">
            <v>3687391000000</v>
          </cell>
        </row>
        <row r="2235">
          <cell r="A2235" t="str">
            <v>Thailand</v>
          </cell>
          <cell r="B2235">
            <v>764</v>
          </cell>
          <cell r="C2235">
            <v>203</v>
          </cell>
          <cell r="D2235">
            <v>3</v>
          </cell>
          <cell r="E2235" t="str">
            <v>Equals: VALUE ADDED, GROSS, at basic prices</v>
          </cell>
          <cell r="F2235">
            <v>12</v>
          </cell>
          <cell r="G2235">
            <v>1996</v>
          </cell>
          <cell r="H2235">
            <v>20</v>
          </cell>
          <cell r="I2235">
            <v>4049865000000</v>
          </cell>
        </row>
        <row r="2236">
          <cell r="A2236" t="str">
            <v>Thailand</v>
          </cell>
          <cell r="B2236">
            <v>764</v>
          </cell>
          <cell r="C2236">
            <v>203</v>
          </cell>
          <cell r="D2236">
            <v>3</v>
          </cell>
          <cell r="E2236" t="str">
            <v>Equals: VALUE ADDED, GROSS, at basic prices</v>
          </cell>
          <cell r="F2236">
            <v>12</v>
          </cell>
          <cell r="G2236">
            <v>1997</v>
          </cell>
          <cell r="H2236">
            <v>20</v>
          </cell>
          <cell r="I2236">
            <v>4191912000000</v>
          </cell>
        </row>
        <row r="2237">
          <cell r="A2237" t="str">
            <v>Thailand</v>
          </cell>
          <cell r="B2237">
            <v>764</v>
          </cell>
          <cell r="C2237">
            <v>203</v>
          </cell>
          <cell r="D2237">
            <v>3</v>
          </cell>
          <cell r="E2237" t="str">
            <v>Equals: VALUE ADDED, GROSS, at basic prices</v>
          </cell>
          <cell r="F2237">
            <v>12</v>
          </cell>
          <cell r="G2237">
            <v>1998</v>
          </cell>
          <cell r="H2237">
            <v>20</v>
          </cell>
          <cell r="I2237">
            <v>4150240000000</v>
          </cell>
        </row>
        <row r="2238">
          <cell r="A2238" t="str">
            <v>Thailand</v>
          </cell>
          <cell r="B2238">
            <v>764</v>
          </cell>
          <cell r="C2238">
            <v>203</v>
          </cell>
          <cell r="D2238">
            <v>3</v>
          </cell>
          <cell r="E2238" t="str">
            <v>Equals: VALUE ADDED, GROSS, at basic prices</v>
          </cell>
          <cell r="F2238">
            <v>12</v>
          </cell>
          <cell r="G2238">
            <v>1999</v>
          </cell>
          <cell r="H2238">
            <v>20</v>
          </cell>
          <cell r="I2238">
            <v>4165138000000</v>
          </cell>
        </row>
        <row r="2239">
          <cell r="A2239" t="str">
            <v>Thailand</v>
          </cell>
          <cell r="B2239">
            <v>764</v>
          </cell>
          <cell r="C2239">
            <v>203</v>
          </cell>
          <cell r="D2239">
            <v>3</v>
          </cell>
          <cell r="E2239" t="str">
            <v>Equals: VALUE ADDED, GROSS, at basic prices</v>
          </cell>
          <cell r="F2239">
            <v>12</v>
          </cell>
          <cell r="G2239">
            <v>2000</v>
          </cell>
          <cell r="H2239">
            <v>20</v>
          </cell>
          <cell r="I2239">
            <v>4440650000000</v>
          </cell>
        </row>
        <row r="2240">
          <cell r="A2240" t="str">
            <v>Thailand</v>
          </cell>
          <cell r="B2240">
            <v>764</v>
          </cell>
          <cell r="C2240">
            <v>203</v>
          </cell>
          <cell r="D2240">
            <v>3</v>
          </cell>
          <cell r="E2240" t="str">
            <v>Equals: VALUE ADDED, GROSS, at basic prices</v>
          </cell>
          <cell r="F2240">
            <v>12</v>
          </cell>
          <cell r="G2240">
            <v>2001</v>
          </cell>
          <cell r="H2240">
            <v>20</v>
          </cell>
          <cell r="I2240">
            <v>4620997000000</v>
          </cell>
        </row>
        <row r="2241">
          <cell r="A2241" t="str">
            <v>Thailand</v>
          </cell>
          <cell r="B2241">
            <v>764</v>
          </cell>
          <cell r="C2241">
            <v>203</v>
          </cell>
          <cell r="D2241">
            <v>3</v>
          </cell>
          <cell r="E2241" t="str">
            <v>Equals: VALUE ADDED, GROSS, at basic prices</v>
          </cell>
          <cell r="F2241">
            <v>12</v>
          </cell>
          <cell r="G2241">
            <v>2002</v>
          </cell>
          <cell r="H2241">
            <v>20</v>
          </cell>
          <cell r="I2241">
            <v>4865776000000</v>
          </cell>
        </row>
        <row r="2242">
          <cell r="A2242" t="str">
            <v>Thailand</v>
          </cell>
          <cell r="B2242">
            <v>764</v>
          </cell>
          <cell r="C2242">
            <v>203</v>
          </cell>
          <cell r="D2242">
            <v>4</v>
          </cell>
          <cell r="E2242" t="str">
            <v>Compensation of employees</v>
          </cell>
          <cell r="F2242">
            <v>12</v>
          </cell>
          <cell r="G2242">
            <v>1980</v>
          </cell>
          <cell r="H2242">
            <v>20</v>
          </cell>
          <cell r="I2242">
            <v>164594000000</v>
          </cell>
        </row>
        <row r="2243">
          <cell r="A2243" t="str">
            <v>Thailand</v>
          </cell>
          <cell r="B2243">
            <v>764</v>
          </cell>
          <cell r="C2243">
            <v>203</v>
          </cell>
          <cell r="D2243">
            <v>4</v>
          </cell>
          <cell r="E2243" t="str">
            <v>Compensation of employees</v>
          </cell>
          <cell r="F2243">
            <v>12</v>
          </cell>
          <cell r="G2243">
            <v>1981</v>
          </cell>
          <cell r="H2243">
            <v>20</v>
          </cell>
          <cell r="I2243">
            <v>188611000000</v>
          </cell>
        </row>
        <row r="2244">
          <cell r="A2244" t="str">
            <v>Thailand</v>
          </cell>
          <cell r="B2244">
            <v>764</v>
          </cell>
          <cell r="C2244">
            <v>203</v>
          </cell>
          <cell r="D2244">
            <v>4</v>
          </cell>
          <cell r="E2244" t="str">
            <v>Compensation of employees</v>
          </cell>
          <cell r="F2244">
            <v>12</v>
          </cell>
          <cell r="G2244">
            <v>1982</v>
          </cell>
          <cell r="H2244">
            <v>20</v>
          </cell>
          <cell r="I2244">
            <v>221684000000</v>
          </cell>
        </row>
        <row r="2245">
          <cell r="A2245" t="str">
            <v>Thailand</v>
          </cell>
          <cell r="B2245">
            <v>764</v>
          </cell>
          <cell r="C2245">
            <v>203</v>
          </cell>
          <cell r="D2245">
            <v>4</v>
          </cell>
          <cell r="E2245" t="str">
            <v>Compensation of employees</v>
          </cell>
          <cell r="F2245">
            <v>12</v>
          </cell>
          <cell r="G2245">
            <v>1983</v>
          </cell>
          <cell r="H2245">
            <v>20</v>
          </cell>
          <cell r="I2245">
            <v>243261000000</v>
          </cell>
        </row>
        <row r="2246">
          <cell r="A2246" t="str">
            <v>Thailand</v>
          </cell>
          <cell r="B2246">
            <v>764</v>
          </cell>
          <cell r="C2246">
            <v>203</v>
          </cell>
          <cell r="D2246">
            <v>4</v>
          </cell>
          <cell r="E2246" t="str">
            <v>Compensation of employees</v>
          </cell>
          <cell r="F2246">
            <v>12</v>
          </cell>
          <cell r="G2246">
            <v>1984</v>
          </cell>
          <cell r="H2246">
            <v>20</v>
          </cell>
          <cell r="I2246">
            <v>257542000000</v>
          </cell>
        </row>
        <row r="2247">
          <cell r="A2247" t="str">
            <v>Thailand</v>
          </cell>
          <cell r="B2247">
            <v>764</v>
          </cell>
          <cell r="C2247">
            <v>203</v>
          </cell>
          <cell r="D2247">
            <v>4</v>
          </cell>
          <cell r="E2247" t="str">
            <v>Compensation of employees</v>
          </cell>
          <cell r="F2247">
            <v>12</v>
          </cell>
          <cell r="G2247">
            <v>1985</v>
          </cell>
          <cell r="H2247">
            <v>20</v>
          </cell>
          <cell r="I2247">
            <v>273066000000</v>
          </cell>
        </row>
        <row r="2248">
          <cell r="A2248" t="str">
            <v>Thailand</v>
          </cell>
          <cell r="B2248">
            <v>764</v>
          </cell>
          <cell r="C2248">
            <v>203</v>
          </cell>
          <cell r="D2248">
            <v>4</v>
          </cell>
          <cell r="E2248" t="str">
            <v>Compensation of employees</v>
          </cell>
          <cell r="F2248">
            <v>12</v>
          </cell>
          <cell r="G2248">
            <v>1986</v>
          </cell>
          <cell r="H2248">
            <v>20</v>
          </cell>
          <cell r="I2248">
            <v>290715000000</v>
          </cell>
        </row>
        <row r="2249">
          <cell r="A2249" t="str">
            <v>Thailand</v>
          </cell>
          <cell r="B2249">
            <v>764</v>
          </cell>
          <cell r="C2249">
            <v>203</v>
          </cell>
          <cell r="D2249">
            <v>4</v>
          </cell>
          <cell r="E2249" t="str">
            <v>Compensation of employees</v>
          </cell>
          <cell r="F2249">
            <v>12</v>
          </cell>
          <cell r="G2249">
            <v>1987</v>
          </cell>
          <cell r="H2249">
            <v>20</v>
          </cell>
          <cell r="I2249">
            <v>324025000000</v>
          </cell>
        </row>
        <row r="2250">
          <cell r="A2250" t="str">
            <v>Thailand</v>
          </cell>
          <cell r="B2250">
            <v>764</v>
          </cell>
          <cell r="C2250">
            <v>203</v>
          </cell>
          <cell r="D2250">
            <v>4</v>
          </cell>
          <cell r="E2250" t="str">
            <v>Compensation of employees</v>
          </cell>
          <cell r="F2250">
            <v>12</v>
          </cell>
          <cell r="G2250">
            <v>1988</v>
          </cell>
          <cell r="H2250">
            <v>20</v>
          </cell>
          <cell r="I2250">
            <v>372245000000</v>
          </cell>
        </row>
        <row r="2251">
          <cell r="A2251" t="str">
            <v>Thailand</v>
          </cell>
          <cell r="B2251">
            <v>764</v>
          </cell>
          <cell r="C2251">
            <v>203</v>
          </cell>
          <cell r="D2251">
            <v>4</v>
          </cell>
          <cell r="E2251" t="str">
            <v>Compensation of employees</v>
          </cell>
          <cell r="F2251">
            <v>12</v>
          </cell>
          <cell r="G2251">
            <v>1989</v>
          </cell>
          <cell r="H2251">
            <v>20</v>
          </cell>
          <cell r="I2251">
            <v>436070000000</v>
          </cell>
        </row>
        <row r="2252">
          <cell r="A2252" t="str">
            <v>Thailand</v>
          </cell>
          <cell r="B2252">
            <v>764</v>
          </cell>
          <cell r="C2252">
            <v>203</v>
          </cell>
          <cell r="D2252">
            <v>4</v>
          </cell>
          <cell r="E2252" t="str">
            <v>Compensation of employees</v>
          </cell>
          <cell r="F2252">
            <v>12</v>
          </cell>
          <cell r="G2252">
            <v>1990</v>
          </cell>
          <cell r="H2252">
            <v>20</v>
          </cell>
          <cell r="I2252">
            <v>522819000000</v>
          </cell>
        </row>
        <row r="2253">
          <cell r="A2253" t="str">
            <v>Thailand</v>
          </cell>
          <cell r="B2253">
            <v>764</v>
          </cell>
          <cell r="C2253">
            <v>203</v>
          </cell>
          <cell r="D2253">
            <v>4</v>
          </cell>
          <cell r="E2253" t="str">
            <v>Compensation of employees</v>
          </cell>
          <cell r="F2253">
            <v>12</v>
          </cell>
          <cell r="G2253">
            <v>1991</v>
          </cell>
          <cell r="H2253">
            <v>20</v>
          </cell>
          <cell r="I2253">
            <v>608956000000</v>
          </cell>
        </row>
        <row r="2254">
          <cell r="A2254" t="str">
            <v>Thailand</v>
          </cell>
          <cell r="B2254">
            <v>764</v>
          </cell>
          <cell r="C2254">
            <v>203</v>
          </cell>
          <cell r="D2254">
            <v>4</v>
          </cell>
          <cell r="E2254" t="str">
            <v>Compensation of employees</v>
          </cell>
          <cell r="F2254">
            <v>12</v>
          </cell>
          <cell r="G2254">
            <v>1992</v>
          </cell>
          <cell r="H2254">
            <v>20</v>
          </cell>
          <cell r="I2254">
            <v>734961000000</v>
          </cell>
        </row>
        <row r="2255">
          <cell r="A2255" t="str">
            <v>Thailand</v>
          </cell>
          <cell r="B2255">
            <v>764</v>
          </cell>
          <cell r="C2255">
            <v>203</v>
          </cell>
          <cell r="D2255">
            <v>4</v>
          </cell>
          <cell r="E2255" t="str">
            <v>Compensation of employees</v>
          </cell>
          <cell r="F2255">
            <v>12</v>
          </cell>
          <cell r="G2255">
            <v>1993</v>
          </cell>
          <cell r="H2255">
            <v>20</v>
          </cell>
          <cell r="I2255">
            <v>866657000000</v>
          </cell>
        </row>
        <row r="2256">
          <cell r="A2256" t="str">
            <v>Thailand</v>
          </cell>
          <cell r="B2256">
            <v>764</v>
          </cell>
          <cell r="C2256">
            <v>203</v>
          </cell>
          <cell r="D2256">
            <v>4</v>
          </cell>
          <cell r="E2256" t="str">
            <v>Compensation of employees</v>
          </cell>
          <cell r="F2256">
            <v>12</v>
          </cell>
          <cell r="G2256">
            <v>1994</v>
          </cell>
          <cell r="H2256">
            <v>20</v>
          </cell>
          <cell r="I2256">
            <v>992840000000</v>
          </cell>
        </row>
        <row r="2257">
          <cell r="A2257" t="str">
            <v>Thailand</v>
          </cell>
          <cell r="B2257">
            <v>764</v>
          </cell>
          <cell r="C2257">
            <v>203</v>
          </cell>
          <cell r="D2257">
            <v>4</v>
          </cell>
          <cell r="E2257" t="str">
            <v>Compensation of employees</v>
          </cell>
          <cell r="F2257">
            <v>12</v>
          </cell>
          <cell r="G2257">
            <v>1995</v>
          </cell>
          <cell r="H2257">
            <v>20</v>
          </cell>
          <cell r="I2257">
            <v>1189853000000</v>
          </cell>
        </row>
        <row r="2258">
          <cell r="A2258" t="str">
            <v>Thailand</v>
          </cell>
          <cell r="B2258">
            <v>764</v>
          </cell>
          <cell r="C2258">
            <v>203</v>
          </cell>
          <cell r="D2258">
            <v>4</v>
          </cell>
          <cell r="E2258" t="str">
            <v>Compensation of employees</v>
          </cell>
          <cell r="F2258">
            <v>12</v>
          </cell>
          <cell r="G2258">
            <v>1996</v>
          </cell>
          <cell r="H2258">
            <v>20</v>
          </cell>
          <cell r="I2258">
            <v>1323501000000</v>
          </cell>
        </row>
        <row r="2259">
          <cell r="A2259" t="str">
            <v>Thailand</v>
          </cell>
          <cell r="B2259">
            <v>764</v>
          </cell>
          <cell r="C2259">
            <v>203</v>
          </cell>
          <cell r="D2259">
            <v>4</v>
          </cell>
          <cell r="E2259" t="str">
            <v>Compensation of employees</v>
          </cell>
          <cell r="F2259">
            <v>12</v>
          </cell>
          <cell r="G2259">
            <v>1997</v>
          </cell>
          <cell r="H2259">
            <v>20</v>
          </cell>
          <cell r="I2259">
            <v>1399559000000</v>
          </cell>
        </row>
        <row r="2260">
          <cell r="A2260" t="str">
            <v>Thailand</v>
          </cell>
          <cell r="B2260">
            <v>764</v>
          </cell>
          <cell r="C2260">
            <v>203</v>
          </cell>
          <cell r="D2260">
            <v>4</v>
          </cell>
          <cell r="E2260" t="str">
            <v>Compensation of employees</v>
          </cell>
          <cell r="F2260">
            <v>12</v>
          </cell>
          <cell r="G2260">
            <v>1998</v>
          </cell>
          <cell r="H2260">
            <v>20</v>
          </cell>
          <cell r="I2260">
            <v>1394828000000</v>
          </cell>
        </row>
        <row r="2261">
          <cell r="A2261" t="str">
            <v>Thailand</v>
          </cell>
          <cell r="B2261">
            <v>764</v>
          </cell>
          <cell r="C2261">
            <v>203</v>
          </cell>
          <cell r="D2261">
            <v>4</v>
          </cell>
          <cell r="E2261" t="str">
            <v>Compensation of employees</v>
          </cell>
          <cell r="F2261">
            <v>12</v>
          </cell>
          <cell r="G2261">
            <v>1999</v>
          </cell>
          <cell r="H2261">
            <v>20</v>
          </cell>
          <cell r="I2261">
            <v>1413886000000</v>
          </cell>
        </row>
        <row r="2262">
          <cell r="A2262" t="str">
            <v>Thailand</v>
          </cell>
          <cell r="B2262">
            <v>764</v>
          </cell>
          <cell r="C2262">
            <v>203</v>
          </cell>
          <cell r="D2262">
            <v>4</v>
          </cell>
          <cell r="E2262" t="str">
            <v>Compensation of employees</v>
          </cell>
          <cell r="F2262">
            <v>12</v>
          </cell>
          <cell r="G2262">
            <v>2000</v>
          </cell>
          <cell r="H2262">
            <v>20</v>
          </cell>
          <cell r="I2262">
            <v>1495303000000</v>
          </cell>
        </row>
        <row r="2263">
          <cell r="A2263" t="str">
            <v>Thailand</v>
          </cell>
          <cell r="B2263">
            <v>764</v>
          </cell>
          <cell r="C2263">
            <v>203</v>
          </cell>
          <cell r="D2263">
            <v>4</v>
          </cell>
          <cell r="E2263" t="str">
            <v>Compensation of employees</v>
          </cell>
          <cell r="F2263">
            <v>12</v>
          </cell>
          <cell r="G2263">
            <v>2001</v>
          </cell>
          <cell r="H2263">
            <v>20</v>
          </cell>
          <cell r="I2263">
            <v>1572374000000</v>
          </cell>
        </row>
        <row r="2264">
          <cell r="A2264" t="str">
            <v>Thailand</v>
          </cell>
          <cell r="B2264">
            <v>764</v>
          </cell>
          <cell r="C2264">
            <v>203</v>
          </cell>
          <cell r="D2264">
            <v>4</v>
          </cell>
          <cell r="E2264" t="str">
            <v>Compensation of employees</v>
          </cell>
          <cell r="F2264">
            <v>12</v>
          </cell>
          <cell r="G2264">
            <v>2002</v>
          </cell>
          <cell r="H2264">
            <v>20</v>
          </cell>
          <cell r="I2264">
            <v>1655083000000</v>
          </cell>
        </row>
        <row r="2265">
          <cell r="A2265" t="str">
            <v>Thailand</v>
          </cell>
          <cell r="B2265">
            <v>764</v>
          </cell>
          <cell r="C2265">
            <v>203</v>
          </cell>
          <cell r="D2265">
            <v>11</v>
          </cell>
          <cell r="E2265" t="str">
            <v>OPERATING SURPLUS, GROSS</v>
          </cell>
          <cell r="F2265">
            <v>12</v>
          </cell>
          <cell r="G2265">
            <v>1970</v>
          </cell>
          <cell r="H2265">
            <v>20</v>
          </cell>
          <cell r="I2265">
            <v>119631000000</v>
          </cell>
        </row>
        <row r="2266">
          <cell r="A2266" t="str">
            <v>Thailand</v>
          </cell>
          <cell r="B2266">
            <v>764</v>
          </cell>
          <cell r="C2266">
            <v>203</v>
          </cell>
          <cell r="D2266">
            <v>11</v>
          </cell>
          <cell r="E2266" t="str">
            <v>OPERATING SURPLUS, GROSS</v>
          </cell>
          <cell r="F2266">
            <v>12</v>
          </cell>
          <cell r="G2266">
            <v>1971</v>
          </cell>
          <cell r="H2266">
            <v>20</v>
          </cell>
          <cell r="I2266">
            <v>122652000000</v>
          </cell>
        </row>
        <row r="2267">
          <cell r="A2267" t="str">
            <v>Thailand</v>
          </cell>
          <cell r="B2267">
            <v>764</v>
          </cell>
          <cell r="C2267">
            <v>203</v>
          </cell>
          <cell r="D2267">
            <v>11</v>
          </cell>
          <cell r="E2267" t="str">
            <v>OPERATING SURPLUS, GROSS</v>
          </cell>
          <cell r="F2267">
            <v>12</v>
          </cell>
          <cell r="G2267">
            <v>1972</v>
          </cell>
          <cell r="H2267">
            <v>20</v>
          </cell>
          <cell r="I2267">
            <v>135355000000</v>
          </cell>
        </row>
        <row r="2268">
          <cell r="A2268" t="str">
            <v>Thailand</v>
          </cell>
          <cell r="B2268">
            <v>764</v>
          </cell>
          <cell r="C2268">
            <v>203</v>
          </cell>
          <cell r="D2268">
            <v>11</v>
          </cell>
          <cell r="E2268" t="str">
            <v>OPERATING SURPLUS, GROSS</v>
          </cell>
          <cell r="F2268">
            <v>12</v>
          </cell>
          <cell r="G2268">
            <v>1973</v>
          </cell>
          <cell r="H2268">
            <v>20</v>
          </cell>
          <cell r="I2268">
            <v>179382000000</v>
          </cell>
        </row>
        <row r="2269">
          <cell r="A2269" t="str">
            <v>Thailand</v>
          </cell>
          <cell r="B2269">
            <v>764</v>
          </cell>
          <cell r="C2269">
            <v>203</v>
          </cell>
          <cell r="D2269">
            <v>11</v>
          </cell>
          <cell r="E2269" t="str">
            <v>OPERATING SURPLUS, GROSS</v>
          </cell>
          <cell r="F2269">
            <v>12</v>
          </cell>
          <cell r="G2269">
            <v>1974</v>
          </cell>
          <cell r="H2269">
            <v>20</v>
          </cell>
          <cell r="I2269">
            <v>226568000000</v>
          </cell>
        </row>
        <row r="2270">
          <cell r="A2270" t="str">
            <v>Thailand</v>
          </cell>
          <cell r="B2270">
            <v>764</v>
          </cell>
          <cell r="C2270">
            <v>203</v>
          </cell>
          <cell r="D2270">
            <v>11</v>
          </cell>
          <cell r="E2270" t="str">
            <v>OPERATING SURPLUS, GROSS</v>
          </cell>
          <cell r="F2270">
            <v>12</v>
          </cell>
          <cell r="G2270">
            <v>1975</v>
          </cell>
          <cell r="H2270">
            <v>20</v>
          </cell>
          <cell r="I2270">
            <v>240777000000</v>
          </cell>
        </row>
        <row r="2271">
          <cell r="A2271" t="str">
            <v>Thailand</v>
          </cell>
          <cell r="B2271">
            <v>764</v>
          </cell>
          <cell r="C2271">
            <v>203</v>
          </cell>
          <cell r="D2271">
            <v>11</v>
          </cell>
          <cell r="E2271" t="str">
            <v>OPERATING SURPLUS, GROSS</v>
          </cell>
          <cell r="F2271">
            <v>12</v>
          </cell>
          <cell r="G2271">
            <v>1976</v>
          </cell>
          <cell r="H2271">
            <v>20</v>
          </cell>
          <cell r="I2271">
            <v>272657000000</v>
          </cell>
        </row>
        <row r="2272">
          <cell r="A2272" t="str">
            <v>Thailand</v>
          </cell>
          <cell r="B2272">
            <v>764</v>
          </cell>
          <cell r="C2272">
            <v>203</v>
          </cell>
          <cell r="D2272">
            <v>11</v>
          </cell>
          <cell r="E2272" t="str">
            <v>OPERATING SURPLUS, GROSS</v>
          </cell>
          <cell r="F2272">
            <v>12</v>
          </cell>
          <cell r="G2272">
            <v>1977</v>
          </cell>
          <cell r="H2272">
            <v>20</v>
          </cell>
          <cell r="I2272">
            <v>317628000000</v>
          </cell>
        </row>
        <row r="2273">
          <cell r="A2273" t="str">
            <v>Thailand</v>
          </cell>
          <cell r="B2273">
            <v>764</v>
          </cell>
          <cell r="C2273">
            <v>203</v>
          </cell>
          <cell r="D2273">
            <v>11</v>
          </cell>
          <cell r="E2273" t="str">
            <v>OPERATING SURPLUS, GROSS</v>
          </cell>
          <cell r="F2273">
            <v>12</v>
          </cell>
          <cell r="G2273">
            <v>1978</v>
          </cell>
          <cell r="H2273">
            <v>20</v>
          </cell>
          <cell r="I2273">
            <v>382348000000</v>
          </cell>
        </row>
        <row r="2274">
          <cell r="A2274" t="str">
            <v>Thailand</v>
          </cell>
          <cell r="B2274">
            <v>764</v>
          </cell>
          <cell r="C2274">
            <v>203</v>
          </cell>
          <cell r="D2274">
            <v>11</v>
          </cell>
          <cell r="E2274" t="str">
            <v>OPERATING SURPLUS, GROSS</v>
          </cell>
          <cell r="F2274">
            <v>12</v>
          </cell>
          <cell r="G2274">
            <v>1979</v>
          </cell>
          <cell r="H2274">
            <v>20</v>
          </cell>
          <cell r="I2274">
            <v>430420000000</v>
          </cell>
        </row>
        <row r="2275">
          <cell r="A2275" t="str">
            <v>Thailand</v>
          </cell>
          <cell r="B2275">
            <v>764</v>
          </cell>
          <cell r="C2275">
            <v>203</v>
          </cell>
          <cell r="D2275">
            <v>11</v>
          </cell>
          <cell r="E2275" t="str">
            <v>OPERATING SURPLUS, GROSS</v>
          </cell>
          <cell r="F2275">
            <v>12</v>
          </cell>
          <cell r="G2275">
            <v>1980</v>
          </cell>
          <cell r="H2275">
            <v>20</v>
          </cell>
          <cell r="I2275">
            <v>497888000000</v>
          </cell>
        </row>
        <row r="2276">
          <cell r="A2276" t="str">
            <v>Thailand</v>
          </cell>
          <cell r="B2276">
            <v>764</v>
          </cell>
          <cell r="C2276">
            <v>203</v>
          </cell>
          <cell r="D2276">
            <v>11</v>
          </cell>
          <cell r="E2276" t="str">
            <v>OPERATING SURPLUS, GROSS</v>
          </cell>
          <cell r="F2276">
            <v>12</v>
          </cell>
          <cell r="G2276">
            <v>1981</v>
          </cell>
          <cell r="H2276">
            <v>20</v>
          </cell>
          <cell r="I2276">
            <v>571745000000</v>
          </cell>
        </row>
        <row r="2277">
          <cell r="A2277" t="str">
            <v>Thailand</v>
          </cell>
          <cell r="B2277">
            <v>764</v>
          </cell>
          <cell r="C2277">
            <v>203</v>
          </cell>
          <cell r="D2277">
            <v>11</v>
          </cell>
          <cell r="E2277" t="str">
            <v>OPERATING SURPLUS, GROSS</v>
          </cell>
          <cell r="F2277">
            <v>12</v>
          </cell>
          <cell r="G2277">
            <v>1982</v>
          </cell>
          <cell r="H2277">
            <v>20</v>
          </cell>
          <cell r="I2277">
            <v>619885000000</v>
          </cell>
        </row>
        <row r="2278">
          <cell r="A2278" t="str">
            <v>Thailand</v>
          </cell>
          <cell r="B2278">
            <v>764</v>
          </cell>
          <cell r="C2278">
            <v>203</v>
          </cell>
          <cell r="D2278">
            <v>11</v>
          </cell>
          <cell r="E2278" t="str">
            <v>OPERATING SURPLUS, GROSS</v>
          </cell>
          <cell r="F2278">
            <v>12</v>
          </cell>
          <cell r="G2278">
            <v>1983</v>
          </cell>
          <cell r="H2278">
            <v>20</v>
          </cell>
          <cell r="I2278">
            <v>677728000000</v>
          </cell>
        </row>
        <row r="2279">
          <cell r="A2279" t="str">
            <v>Thailand</v>
          </cell>
          <cell r="B2279">
            <v>764</v>
          </cell>
          <cell r="C2279">
            <v>203</v>
          </cell>
          <cell r="D2279">
            <v>11</v>
          </cell>
          <cell r="E2279" t="str">
            <v>OPERATING SURPLUS, GROSS</v>
          </cell>
          <cell r="F2279">
            <v>12</v>
          </cell>
          <cell r="G2279">
            <v>1984</v>
          </cell>
          <cell r="H2279">
            <v>20</v>
          </cell>
          <cell r="I2279">
            <v>730528000000</v>
          </cell>
        </row>
        <row r="2280">
          <cell r="A2280" t="str">
            <v>Thailand</v>
          </cell>
          <cell r="B2280">
            <v>764</v>
          </cell>
          <cell r="C2280">
            <v>203</v>
          </cell>
          <cell r="D2280">
            <v>11</v>
          </cell>
          <cell r="E2280" t="str">
            <v>OPERATING SURPLUS, GROSS</v>
          </cell>
          <cell r="F2280">
            <v>12</v>
          </cell>
          <cell r="G2280">
            <v>1985</v>
          </cell>
          <cell r="H2280">
            <v>20</v>
          </cell>
          <cell r="I2280">
            <v>783430000000</v>
          </cell>
        </row>
        <row r="2281">
          <cell r="A2281" t="str">
            <v>Thailand</v>
          </cell>
          <cell r="B2281">
            <v>764</v>
          </cell>
          <cell r="C2281">
            <v>203</v>
          </cell>
          <cell r="D2281">
            <v>11</v>
          </cell>
          <cell r="E2281" t="str">
            <v>OPERATING SURPLUS, GROSS</v>
          </cell>
          <cell r="F2281">
            <v>12</v>
          </cell>
          <cell r="G2281">
            <v>1986</v>
          </cell>
          <cell r="H2281">
            <v>20</v>
          </cell>
          <cell r="I2281">
            <v>842682000000</v>
          </cell>
        </row>
        <row r="2282">
          <cell r="A2282" t="str">
            <v>Thailand</v>
          </cell>
          <cell r="B2282">
            <v>764</v>
          </cell>
          <cell r="C2282">
            <v>203</v>
          </cell>
          <cell r="D2282">
            <v>11</v>
          </cell>
          <cell r="E2282" t="str">
            <v>OPERATING SURPLUS, GROSS</v>
          </cell>
          <cell r="F2282">
            <v>12</v>
          </cell>
          <cell r="G2282">
            <v>1987</v>
          </cell>
          <cell r="H2282">
            <v>20</v>
          </cell>
          <cell r="I2282">
            <v>975888000000</v>
          </cell>
        </row>
        <row r="2283">
          <cell r="A2283" t="str">
            <v>Thailand</v>
          </cell>
          <cell r="B2283">
            <v>764</v>
          </cell>
          <cell r="C2283">
            <v>203</v>
          </cell>
          <cell r="D2283">
            <v>11</v>
          </cell>
          <cell r="E2283" t="str">
            <v>OPERATING SURPLUS, GROSS</v>
          </cell>
          <cell r="F2283">
            <v>12</v>
          </cell>
          <cell r="G2283">
            <v>1988</v>
          </cell>
          <cell r="H2283">
            <v>20</v>
          </cell>
          <cell r="I2283">
            <v>1187559000000</v>
          </cell>
        </row>
        <row r="2284">
          <cell r="A2284" t="str">
            <v>Thailand</v>
          </cell>
          <cell r="B2284">
            <v>764</v>
          </cell>
          <cell r="C2284">
            <v>203</v>
          </cell>
          <cell r="D2284">
            <v>11</v>
          </cell>
          <cell r="E2284" t="str">
            <v>OPERATING SURPLUS, GROSS</v>
          </cell>
          <cell r="F2284">
            <v>12</v>
          </cell>
          <cell r="G2284">
            <v>1989</v>
          </cell>
          <cell r="H2284">
            <v>20</v>
          </cell>
          <cell r="I2284">
            <v>1420922000000</v>
          </cell>
        </row>
        <row r="2285">
          <cell r="A2285" t="str">
            <v>Thailand</v>
          </cell>
          <cell r="B2285">
            <v>764</v>
          </cell>
          <cell r="C2285">
            <v>203</v>
          </cell>
          <cell r="D2285">
            <v>11</v>
          </cell>
          <cell r="E2285" t="str">
            <v>OPERATING SURPLUS, GROSS</v>
          </cell>
          <cell r="F2285">
            <v>12</v>
          </cell>
          <cell r="G2285">
            <v>1990</v>
          </cell>
          <cell r="H2285">
            <v>20</v>
          </cell>
          <cell r="I2285">
            <v>1660726000000</v>
          </cell>
        </row>
        <row r="2286">
          <cell r="A2286" t="str">
            <v>Thailand</v>
          </cell>
          <cell r="B2286">
            <v>764</v>
          </cell>
          <cell r="C2286">
            <v>203</v>
          </cell>
          <cell r="D2286">
            <v>11</v>
          </cell>
          <cell r="E2286" t="str">
            <v>OPERATING SURPLUS, GROSS</v>
          </cell>
          <cell r="F2286">
            <v>12</v>
          </cell>
          <cell r="G2286">
            <v>1991</v>
          </cell>
          <cell r="H2286">
            <v>20</v>
          </cell>
          <cell r="I2286">
            <v>1897679000000</v>
          </cell>
        </row>
        <row r="2287">
          <cell r="A2287" t="str">
            <v>Thailand</v>
          </cell>
          <cell r="B2287">
            <v>764</v>
          </cell>
          <cell r="C2287">
            <v>203</v>
          </cell>
          <cell r="D2287">
            <v>11</v>
          </cell>
          <cell r="E2287" t="str">
            <v>OPERATING SURPLUS, GROSS</v>
          </cell>
          <cell r="F2287">
            <v>12</v>
          </cell>
          <cell r="G2287">
            <v>1992</v>
          </cell>
          <cell r="H2287">
            <v>20</v>
          </cell>
          <cell r="I2287">
            <v>1756388000000</v>
          </cell>
        </row>
        <row r="2288">
          <cell r="A2288" t="str">
            <v>Thailand</v>
          </cell>
          <cell r="B2288">
            <v>764</v>
          </cell>
          <cell r="C2288">
            <v>203</v>
          </cell>
          <cell r="D2288">
            <v>11</v>
          </cell>
          <cell r="E2288" t="str">
            <v>OPERATING SURPLUS, GROSS</v>
          </cell>
          <cell r="F2288">
            <v>12</v>
          </cell>
          <cell r="G2288">
            <v>1993</v>
          </cell>
          <cell r="H2288">
            <v>20</v>
          </cell>
          <cell r="I2288">
            <v>1917904000000</v>
          </cell>
        </row>
        <row r="2289">
          <cell r="A2289" t="str">
            <v>Thailand</v>
          </cell>
          <cell r="B2289">
            <v>764</v>
          </cell>
          <cell r="C2289">
            <v>203</v>
          </cell>
          <cell r="D2289">
            <v>11</v>
          </cell>
          <cell r="E2289" t="str">
            <v>OPERATING SURPLUS, GROSS</v>
          </cell>
          <cell r="F2289">
            <v>12</v>
          </cell>
          <cell r="G2289">
            <v>1994</v>
          </cell>
          <cell r="H2289">
            <v>20</v>
          </cell>
          <cell r="I2289">
            <v>2199458000000</v>
          </cell>
        </row>
        <row r="2290">
          <cell r="A2290" t="str">
            <v>Thailand</v>
          </cell>
          <cell r="B2290">
            <v>764</v>
          </cell>
          <cell r="C2290">
            <v>203</v>
          </cell>
          <cell r="D2290">
            <v>11</v>
          </cell>
          <cell r="E2290" t="str">
            <v>OPERATING SURPLUS, GROSS</v>
          </cell>
          <cell r="F2290">
            <v>12</v>
          </cell>
          <cell r="G2290">
            <v>1995</v>
          </cell>
          <cell r="H2290">
            <v>20</v>
          </cell>
          <cell r="I2290">
            <v>2497538000000</v>
          </cell>
        </row>
        <row r="2291">
          <cell r="A2291" t="str">
            <v>Thailand</v>
          </cell>
          <cell r="B2291">
            <v>764</v>
          </cell>
          <cell r="C2291">
            <v>203</v>
          </cell>
          <cell r="D2291">
            <v>11</v>
          </cell>
          <cell r="E2291" t="str">
            <v>OPERATING SURPLUS, GROSS</v>
          </cell>
          <cell r="F2291">
            <v>12</v>
          </cell>
          <cell r="G2291">
            <v>1996</v>
          </cell>
          <cell r="H2291">
            <v>20</v>
          </cell>
          <cell r="I2291">
            <v>2726364000000</v>
          </cell>
        </row>
        <row r="2292">
          <cell r="A2292" t="str">
            <v>Thailand</v>
          </cell>
          <cell r="B2292">
            <v>764</v>
          </cell>
          <cell r="C2292">
            <v>203</v>
          </cell>
          <cell r="D2292">
            <v>11</v>
          </cell>
          <cell r="E2292" t="str">
            <v>OPERATING SURPLUS, GROSS</v>
          </cell>
          <cell r="F2292">
            <v>12</v>
          </cell>
          <cell r="G2292">
            <v>1997</v>
          </cell>
          <cell r="H2292">
            <v>20</v>
          </cell>
          <cell r="I2292">
            <v>2792353000000</v>
          </cell>
        </row>
        <row r="2293">
          <cell r="A2293" t="str">
            <v>Thailand</v>
          </cell>
          <cell r="B2293">
            <v>764</v>
          </cell>
          <cell r="C2293">
            <v>203</v>
          </cell>
          <cell r="D2293">
            <v>11</v>
          </cell>
          <cell r="E2293" t="str">
            <v>OPERATING SURPLUS, GROSS</v>
          </cell>
          <cell r="F2293">
            <v>12</v>
          </cell>
          <cell r="G2293">
            <v>1998</v>
          </cell>
          <cell r="H2293">
            <v>20</v>
          </cell>
          <cell r="I2293">
            <v>2755412000000</v>
          </cell>
        </row>
        <row r="2294">
          <cell r="A2294" t="str">
            <v>Thailand</v>
          </cell>
          <cell r="B2294">
            <v>764</v>
          </cell>
          <cell r="C2294">
            <v>203</v>
          </cell>
          <cell r="D2294">
            <v>11</v>
          </cell>
          <cell r="E2294" t="str">
            <v>OPERATING SURPLUS, GROSS</v>
          </cell>
          <cell r="F2294">
            <v>12</v>
          </cell>
          <cell r="G2294">
            <v>1999</v>
          </cell>
          <cell r="H2294">
            <v>20</v>
          </cell>
          <cell r="I2294">
            <v>2751252000000</v>
          </cell>
        </row>
        <row r="2295">
          <cell r="A2295" t="str">
            <v>Thailand</v>
          </cell>
          <cell r="B2295">
            <v>764</v>
          </cell>
          <cell r="C2295">
            <v>203</v>
          </cell>
          <cell r="D2295">
            <v>11</v>
          </cell>
          <cell r="E2295" t="str">
            <v>OPERATING SURPLUS, GROSS</v>
          </cell>
          <cell r="F2295">
            <v>12</v>
          </cell>
          <cell r="G2295">
            <v>2000</v>
          </cell>
          <cell r="H2295">
            <v>20</v>
          </cell>
          <cell r="I2295">
            <v>2945347000000</v>
          </cell>
        </row>
        <row r="2296">
          <cell r="A2296" t="str">
            <v>Thailand</v>
          </cell>
          <cell r="B2296">
            <v>764</v>
          </cell>
          <cell r="C2296">
            <v>203</v>
          </cell>
          <cell r="D2296">
            <v>11</v>
          </cell>
          <cell r="E2296" t="str">
            <v>OPERATING SURPLUS, GROSS</v>
          </cell>
          <cell r="F2296">
            <v>12</v>
          </cell>
          <cell r="G2296">
            <v>2001</v>
          </cell>
          <cell r="H2296">
            <v>20</v>
          </cell>
          <cell r="I2296">
            <v>3048623000000</v>
          </cell>
        </row>
        <row r="2297">
          <cell r="A2297" t="str">
            <v>Thailand</v>
          </cell>
          <cell r="B2297">
            <v>764</v>
          </cell>
          <cell r="C2297">
            <v>203</v>
          </cell>
          <cell r="D2297">
            <v>11</v>
          </cell>
          <cell r="E2297" t="str">
            <v>OPERATING SURPLUS, GROSS</v>
          </cell>
          <cell r="F2297">
            <v>12</v>
          </cell>
          <cell r="G2297">
            <v>2002</v>
          </cell>
          <cell r="H2297">
            <v>20</v>
          </cell>
          <cell r="I2297">
            <v>3210693000000</v>
          </cell>
        </row>
        <row r="2298">
          <cell r="A2298" t="str">
            <v>Trinidad and Tobago</v>
          </cell>
          <cell r="B2298">
            <v>780</v>
          </cell>
          <cell r="C2298">
            <v>201</v>
          </cell>
          <cell r="D2298">
            <v>13</v>
          </cell>
          <cell r="E2298" t="str">
            <v>Less: Financial intermediation services indirectly measured (FISIM) (only to be deducted if FISIM is not distributed to uses)</v>
          </cell>
          <cell r="F2298">
            <v>0</v>
          </cell>
          <cell r="G2298">
            <v>1966</v>
          </cell>
          <cell r="H2298">
            <v>10</v>
          </cell>
          <cell r="I2298">
            <v>19000000</v>
          </cell>
        </row>
        <row r="2299">
          <cell r="A2299" t="str">
            <v>Trinidad and Tobago</v>
          </cell>
          <cell r="B2299">
            <v>780</v>
          </cell>
          <cell r="C2299">
            <v>201</v>
          </cell>
          <cell r="D2299">
            <v>13</v>
          </cell>
          <cell r="E2299" t="str">
            <v>Less: Financial intermediation services indirectly measured (FISIM) (only to be deducted if FISIM is not distributed to uses)</v>
          </cell>
          <cell r="F2299">
            <v>0</v>
          </cell>
          <cell r="G2299">
            <v>1967</v>
          </cell>
          <cell r="H2299">
            <v>10</v>
          </cell>
          <cell r="I2299">
            <v>18000000</v>
          </cell>
        </row>
        <row r="2300">
          <cell r="A2300" t="str">
            <v>Trinidad and Tobago</v>
          </cell>
          <cell r="B2300">
            <v>780</v>
          </cell>
          <cell r="C2300">
            <v>201</v>
          </cell>
          <cell r="D2300">
            <v>13</v>
          </cell>
          <cell r="E2300" t="str">
            <v>Less: Financial intermediation services indirectly measured (FISIM) (only to be deducted if FISIM is not distributed to uses)</v>
          </cell>
          <cell r="F2300">
            <v>0</v>
          </cell>
          <cell r="G2300">
            <v>1968</v>
          </cell>
          <cell r="H2300">
            <v>10</v>
          </cell>
          <cell r="I2300">
            <v>28000000</v>
          </cell>
        </row>
        <row r="2301">
          <cell r="A2301" t="str">
            <v>Trinidad and Tobago</v>
          </cell>
          <cell r="B2301">
            <v>780</v>
          </cell>
          <cell r="C2301">
            <v>201</v>
          </cell>
          <cell r="D2301">
            <v>13</v>
          </cell>
          <cell r="E2301" t="str">
            <v>Less: Financial intermediation services indirectly measured (FISIM) (only to be deducted if FISIM is not distributed to uses)</v>
          </cell>
          <cell r="F2301">
            <v>0</v>
          </cell>
          <cell r="G2301">
            <v>1969</v>
          </cell>
          <cell r="H2301">
            <v>10</v>
          </cell>
          <cell r="I2301">
            <v>38000000</v>
          </cell>
        </row>
        <row r="2302">
          <cell r="A2302" t="str">
            <v>Trinidad and Tobago</v>
          </cell>
          <cell r="B2302">
            <v>780</v>
          </cell>
          <cell r="C2302">
            <v>201</v>
          </cell>
          <cell r="D2302">
            <v>13</v>
          </cell>
          <cell r="E2302" t="str">
            <v>Less: Financial intermediation services indirectly measured (FISIM) (only to be deducted if FISIM is not distributed to uses)</v>
          </cell>
          <cell r="F2302">
            <v>0</v>
          </cell>
          <cell r="G2302">
            <v>1970</v>
          </cell>
          <cell r="H2302">
            <v>10</v>
          </cell>
          <cell r="I2302">
            <v>32000000</v>
          </cell>
        </row>
        <row r="2303">
          <cell r="A2303" t="str">
            <v>Trinidad and Tobago</v>
          </cell>
          <cell r="B2303">
            <v>780</v>
          </cell>
          <cell r="C2303">
            <v>201</v>
          </cell>
          <cell r="D2303">
            <v>13</v>
          </cell>
          <cell r="E2303" t="str">
            <v>Less: Financial intermediation services indirectly measured (FISIM) (only to be deducted if FISIM is not distributed to uses)</v>
          </cell>
          <cell r="F2303">
            <v>0</v>
          </cell>
          <cell r="G2303">
            <v>1971</v>
          </cell>
          <cell r="H2303">
            <v>10</v>
          </cell>
          <cell r="I2303">
            <v>41000000</v>
          </cell>
        </row>
        <row r="2304">
          <cell r="A2304" t="str">
            <v>Trinidad and Tobago</v>
          </cell>
          <cell r="B2304">
            <v>780</v>
          </cell>
          <cell r="C2304">
            <v>201</v>
          </cell>
          <cell r="D2304">
            <v>13</v>
          </cell>
          <cell r="E2304" t="str">
            <v>Less: Financial intermediation services indirectly measured (FISIM) (only to be deducted if FISIM is not distributed to uses)</v>
          </cell>
          <cell r="F2304">
            <v>0</v>
          </cell>
          <cell r="G2304">
            <v>1972</v>
          </cell>
          <cell r="H2304">
            <v>10</v>
          </cell>
          <cell r="I2304">
            <v>39000000</v>
          </cell>
        </row>
        <row r="2305">
          <cell r="A2305" t="str">
            <v>Trinidad and Tobago</v>
          </cell>
          <cell r="B2305">
            <v>780</v>
          </cell>
          <cell r="C2305">
            <v>201</v>
          </cell>
          <cell r="D2305">
            <v>13</v>
          </cell>
          <cell r="E2305" t="str">
            <v>Less: Financial intermediation services indirectly measured (FISIM) (only to be deducted if FISIM is not distributed to uses)</v>
          </cell>
          <cell r="F2305">
            <v>0</v>
          </cell>
          <cell r="G2305">
            <v>1973</v>
          </cell>
          <cell r="H2305">
            <v>10</v>
          </cell>
          <cell r="I2305">
            <v>56000000</v>
          </cell>
        </row>
        <row r="2306">
          <cell r="A2306" t="str">
            <v>Trinidad and Tobago</v>
          </cell>
          <cell r="B2306">
            <v>780</v>
          </cell>
          <cell r="C2306">
            <v>201</v>
          </cell>
          <cell r="D2306">
            <v>13</v>
          </cell>
          <cell r="E2306" t="str">
            <v>Less: Financial intermediation services indirectly measured (FISIM) (only to be deducted if FISIM is not distributed to uses)</v>
          </cell>
          <cell r="F2306">
            <v>0</v>
          </cell>
          <cell r="G2306">
            <v>1974</v>
          </cell>
          <cell r="H2306">
            <v>10</v>
          </cell>
          <cell r="I2306">
            <v>91000000</v>
          </cell>
        </row>
        <row r="2307">
          <cell r="A2307" t="str">
            <v>Trinidad and Tobago</v>
          </cell>
          <cell r="B2307">
            <v>780</v>
          </cell>
          <cell r="C2307">
            <v>201</v>
          </cell>
          <cell r="D2307">
            <v>13</v>
          </cell>
          <cell r="E2307" t="str">
            <v>Less: Financial intermediation services indirectly measured (FISIM) (only to be deducted if FISIM is not distributed to uses)</v>
          </cell>
          <cell r="F2307">
            <v>0</v>
          </cell>
          <cell r="G2307">
            <v>1975</v>
          </cell>
          <cell r="H2307">
            <v>10</v>
          </cell>
          <cell r="I2307">
            <v>164000000</v>
          </cell>
        </row>
        <row r="2308">
          <cell r="A2308" t="str">
            <v>Trinidad and Tobago</v>
          </cell>
          <cell r="B2308">
            <v>780</v>
          </cell>
          <cell r="C2308">
            <v>201</v>
          </cell>
          <cell r="D2308">
            <v>13</v>
          </cell>
          <cell r="E2308" t="str">
            <v>Less: Financial intermediation services indirectly measured (FISIM) (only to be deducted if FISIM is not distributed to uses)</v>
          </cell>
          <cell r="F2308">
            <v>0</v>
          </cell>
          <cell r="G2308">
            <v>1976</v>
          </cell>
          <cell r="H2308">
            <v>10</v>
          </cell>
          <cell r="I2308">
            <v>227000000</v>
          </cell>
        </row>
        <row r="2309">
          <cell r="A2309" t="str">
            <v>Trinidad and Tobago</v>
          </cell>
          <cell r="B2309">
            <v>780</v>
          </cell>
          <cell r="C2309">
            <v>201</v>
          </cell>
          <cell r="D2309">
            <v>13</v>
          </cell>
          <cell r="E2309" t="str">
            <v>Less: Financial intermediation services indirectly measured (FISIM) (only to be deducted if FISIM is not distributed to uses)</v>
          </cell>
          <cell r="F2309">
            <v>0</v>
          </cell>
          <cell r="G2309">
            <v>1977</v>
          </cell>
          <cell r="H2309">
            <v>10</v>
          </cell>
          <cell r="I2309">
            <v>293000000</v>
          </cell>
        </row>
        <row r="2310">
          <cell r="A2310" t="str">
            <v>Trinidad and Tobago</v>
          </cell>
          <cell r="B2310">
            <v>780</v>
          </cell>
          <cell r="C2310">
            <v>201</v>
          </cell>
          <cell r="D2310">
            <v>13</v>
          </cell>
          <cell r="E2310" t="str">
            <v>Less: Financial intermediation services indirectly measured (FISIM) (only to be deducted if FISIM is not distributed to uses)</v>
          </cell>
          <cell r="F2310">
            <v>0</v>
          </cell>
          <cell r="G2310">
            <v>1978</v>
          </cell>
          <cell r="H2310">
            <v>10</v>
          </cell>
          <cell r="I2310">
            <v>375000000</v>
          </cell>
        </row>
        <row r="2311">
          <cell r="A2311" t="str">
            <v>Trinidad and Tobago</v>
          </cell>
          <cell r="B2311">
            <v>780</v>
          </cell>
          <cell r="C2311">
            <v>201</v>
          </cell>
          <cell r="D2311">
            <v>13</v>
          </cell>
          <cell r="E2311" t="str">
            <v>Less: Financial intermediation services indirectly measured (FISIM) (only to be deducted if FISIM is not distributed to uses)</v>
          </cell>
          <cell r="F2311">
            <v>0</v>
          </cell>
          <cell r="G2311">
            <v>1979</v>
          </cell>
          <cell r="H2311">
            <v>10</v>
          </cell>
          <cell r="I2311">
            <v>577000000</v>
          </cell>
        </row>
        <row r="2312">
          <cell r="A2312" t="str">
            <v>Trinidad and Tobago</v>
          </cell>
          <cell r="B2312">
            <v>780</v>
          </cell>
          <cell r="C2312">
            <v>201</v>
          </cell>
          <cell r="D2312">
            <v>13</v>
          </cell>
          <cell r="E2312" t="str">
            <v>Less: Financial intermediation services indirectly measured (FISIM) (only to be deducted if FISIM is not distributed to uses)</v>
          </cell>
          <cell r="F2312">
            <v>0</v>
          </cell>
          <cell r="G2312">
            <v>1980</v>
          </cell>
          <cell r="H2312">
            <v>10</v>
          </cell>
          <cell r="I2312">
            <v>758000000</v>
          </cell>
        </row>
        <row r="2313">
          <cell r="A2313" t="str">
            <v>Trinidad and Tobago</v>
          </cell>
          <cell r="B2313">
            <v>780</v>
          </cell>
          <cell r="C2313">
            <v>201</v>
          </cell>
          <cell r="D2313">
            <v>13</v>
          </cell>
          <cell r="E2313" t="str">
            <v>Less: Financial intermediation services indirectly measured (FISIM) (only to be deducted if FISIM is not distributed to uses)</v>
          </cell>
          <cell r="F2313">
            <v>0</v>
          </cell>
          <cell r="G2313">
            <v>1981</v>
          </cell>
          <cell r="H2313">
            <v>10</v>
          </cell>
          <cell r="I2313">
            <v>730000000</v>
          </cell>
        </row>
        <row r="2314">
          <cell r="A2314" t="str">
            <v>Trinidad and Tobago</v>
          </cell>
          <cell r="B2314">
            <v>780</v>
          </cell>
          <cell r="C2314">
            <v>201</v>
          </cell>
          <cell r="D2314">
            <v>13</v>
          </cell>
          <cell r="E2314" t="str">
            <v>Less: Financial intermediation services indirectly measured (FISIM) (only to be deducted if FISIM is not distributed to uses)</v>
          </cell>
          <cell r="F2314">
            <v>0</v>
          </cell>
          <cell r="G2314">
            <v>1982</v>
          </cell>
          <cell r="H2314">
            <v>10</v>
          </cell>
          <cell r="I2314">
            <v>779000000</v>
          </cell>
        </row>
        <row r="2315">
          <cell r="A2315" t="str">
            <v>Trinidad and Tobago</v>
          </cell>
          <cell r="B2315">
            <v>780</v>
          </cell>
          <cell r="C2315">
            <v>201</v>
          </cell>
          <cell r="D2315">
            <v>13</v>
          </cell>
          <cell r="E2315" t="str">
            <v>Less: Financial intermediation services indirectly measured (FISIM) (only to be deducted if FISIM is not distributed to uses)</v>
          </cell>
          <cell r="F2315">
            <v>0</v>
          </cell>
          <cell r="G2315">
            <v>1983</v>
          </cell>
          <cell r="H2315">
            <v>10</v>
          </cell>
          <cell r="I2315">
            <v>747000000</v>
          </cell>
        </row>
        <row r="2316">
          <cell r="A2316" t="str">
            <v>Trinidad and Tobago</v>
          </cell>
          <cell r="B2316">
            <v>780</v>
          </cell>
          <cell r="C2316">
            <v>201</v>
          </cell>
          <cell r="D2316">
            <v>13</v>
          </cell>
          <cell r="E2316" t="str">
            <v>Less: Financial intermediation services indirectly measured (FISIM) (only to be deducted if FISIM is not distributed to uses)</v>
          </cell>
          <cell r="F2316">
            <v>0</v>
          </cell>
          <cell r="G2316">
            <v>1984</v>
          </cell>
          <cell r="H2316">
            <v>10</v>
          </cell>
          <cell r="I2316">
            <v>778000000</v>
          </cell>
        </row>
        <row r="2317">
          <cell r="A2317" t="str">
            <v>Trinidad and Tobago</v>
          </cell>
          <cell r="B2317">
            <v>780</v>
          </cell>
          <cell r="C2317">
            <v>201</v>
          </cell>
          <cell r="D2317">
            <v>13</v>
          </cell>
          <cell r="E2317" t="str">
            <v>Less: Financial intermediation services indirectly measured (FISIM) (only to be deducted if FISIM is not distributed to uses)</v>
          </cell>
          <cell r="F2317">
            <v>0</v>
          </cell>
          <cell r="G2317">
            <v>1985</v>
          </cell>
          <cell r="H2317">
            <v>10</v>
          </cell>
          <cell r="I2317">
            <v>810000000</v>
          </cell>
        </row>
        <row r="2318">
          <cell r="A2318" t="str">
            <v>Trinidad and Tobago</v>
          </cell>
          <cell r="B2318">
            <v>780</v>
          </cell>
          <cell r="C2318">
            <v>201</v>
          </cell>
          <cell r="D2318">
            <v>13</v>
          </cell>
          <cell r="E2318" t="str">
            <v>Less: Financial intermediation services indirectly measured (FISIM) (only to be deducted if FISIM is not distributed to uses)</v>
          </cell>
          <cell r="F2318">
            <v>0</v>
          </cell>
          <cell r="G2318">
            <v>1986</v>
          </cell>
          <cell r="H2318">
            <v>10</v>
          </cell>
          <cell r="I2318">
            <v>766000000</v>
          </cell>
        </row>
        <row r="2319">
          <cell r="A2319" t="str">
            <v>Trinidad and Tobago</v>
          </cell>
          <cell r="B2319">
            <v>780</v>
          </cell>
          <cell r="C2319">
            <v>201</v>
          </cell>
          <cell r="D2319">
            <v>13</v>
          </cell>
          <cell r="E2319" t="str">
            <v>Less: Financial intermediation services indirectly measured (FISIM) (only to be deducted if FISIM is not distributed to uses)</v>
          </cell>
          <cell r="F2319">
            <v>0</v>
          </cell>
          <cell r="G2319">
            <v>1987</v>
          </cell>
          <cell r="H2319">
            <v>10</v>
          </cell>
          <cell r="I2319">
            <v>687000000</v>
          </cell>
        </row>
        <row r="2320">
          <cell r="A2320" t="str">
            <v>Trinidad and Tobago</v>
          </cell>
          <cell r="B2320">
            <v>780</v>
          </cell>
          <cell r="C2320">
            <v>201</v>
          </cell>
          <cell r="D2320">
            <v>13</v>
          </cell>
          <cell r="E2320" t="str">
            <v>Less: Financial intermediation services indirectly measured (FISIM) (only to be deducted if FISIM is not distributed to uses)</v>
          </cell>
          <cell r="F2320">
            <v>0</v>
          </cell>
          <cell r="G2320">
            <v>1988</v>
          </cell>
          <cell r="H2320">
            <v>10</v>
          </cell>
          <cell r="I2320">
            <v>652000000</v>
          </cell>
        </row>
        <row r="2321">
          <cell r="A2321" t="str">
            <v>Trinidad and Tobago</v>
          </cell>
          <cell r="B2321">
            <v>780</v>
          </cell>
          <cell r="C2321">
            <v>201</v>
          </cell>
          <cell r="D2321">
            <v>13</v>
          </cell>
          <cell r="E2321" t="str">
            <v>Less: Financial intermediation services indirectly measured (FISIM) (only to be deducted if FISIM is not distributed to uses)</v>
          </cell>
          <cell r="F2321">
            <v>0</v>
          </cell>
          <cell r="G2321">
            <v>1989</v>
          </cell>
          <cell r="H2321">
            <v>10</v>
          </cell>
          <cell r="I2321">
            <v>680000000</v>
          </cell>
        </row>
        <row r="2322">
          <cell r="A2322" t="str">
            <v>Trinidad and Tobago</v>
          </cell>
          <cell r="B2322">
            <v>780</v>
          </cell>
          <cell r="C2322">
            <v>201</v>
          </cell>
          <cell r="D2322">
            <v>13</v>
          </cell>
          <cell r="E2322" t="str">
            <v>Less: Financial intermediation services indirectly measured (FISIM) (only to be deducted if FISIM is not distributed to uses)</v>
          </cell>
          <cell r="F2322">
            <v>0</v>
          </cell>
          <cell r="G2322">
            <v>1990</v>
          </cell>
          <cell r="H2322">
            <v>10</v>
          </cell>
          <cell r="I2322">
            <v>564000000</v>
          </cell>
        </row>
        <row r="2323">
          <cell r="A2323" t="str">
            <v>Trinidad and Tobago</v>
          </cell>
          <cell r="B2323">
            <v>780</v>
          </cell>
          <cell r="C2323">
            <v>201</v>
          </cell>
          <cell r="D2323">
            <v>13</v>
          </cell>
          <cell r="E2323" t="str">
            <v>Less: Financial intermediation services indirectly measured (FISIM) (only to be deducted if FISIM is not distributed to uses)</v>
          </cell>
          <cell r="F2323">
            <v>0</v>
          </cell>
          <cell r="G2323">
            <v>1991</v>
          </cell>
          <cell r="H2323">
            <v>10</v>
          </cell>
          <cell r="I2323">
            <v>668000000</v>
          </cell>
        </row>
        <row r="2324">
          <cell r="A2324" t="str">
            <v>Trinidad and Tobago</v>
          </cell>
          <cell r="B2324">
            <v>780</v>
          </cell>
          <cell r="C2324">
            <v>201</v>
          </cell>
          <cell r="D2324">
            <v>13</v>
          </cell>
          <cell r="E2324" t="str">
            <v>Less: Financial intermediation services indirectly measured (FISIM) (only to be deducted if FISIM is not distributed to uses)</v>
          </cell>
          <cell r="F2324">
            <v>0</v>
          </cell>
          <cell r="G2324">
            <v>1992</v>
          </cell>
          <cell r="H2324">
            <v>10</v>
          </cell>
          <cell r="I2324">
            <v>1049000000</v>
          </cell>
        </row>
        <row r="2325">
          <cell r="A2325" t="str">
            <v>Trinidad and Tobago</v>
          </cell>
          <cell r="B2325">
            <v>780</v>
          </cell>
          <cell r="C2325">
            <v>201</v>
          </cell>
          <cell r="D2325">
            <v>13</v>
          </cell>
          <cell r="E2325" t="str">
            <v>Less: Financial intermediation services indirectly measured (FISIM) (only to be deducted if FISIM is not distributed to uses)</v>
          </cell>
          <cell r="F2325">
            <v>0</v>
          </cell>
          <cell r="G2325">
            <v>1992</v>
          </cell>
          <cell r="H2325">
            <v>100</v>
          </cell>
          <cell r="I2325">
            <v>1049000000</v>
          </cell>
        </row>
        <row r="2326">
          <cell r="A2326" t="str">
            <v>Trinidad and Tobago</v>
          </cell>
          <cell r="B2326">
            <v>780</v>
          </cell>
          <cell r="C2326">
            <v>201</v>
          </cell>
          <cell r="D2326">
            <v>13</v>
          </cell>
          <cell r="E2326" t="str">
            <v>Less: Financial intermediation services indirectly measured (FISIM) (only to be deducted if FISIM is not distributed to uses)</v>
          </cell>
          <cell r="F2326">
            <v>0</v>
          </cell>
          <cell r="G2326">
            <v>1993</v>
          </cell>
          <cell r="H2326">
            <v>100</v>
          </cell>
          <cell r="I2326">
            <v>1005000000</v>
          </cell>
        </row>
        <row r="2327">
          <cell r="A2327" t="str">
            <v>Trinidad and Tobago</v>
          </cell>
          <cell r="B2327">
            <v>780</v>
          </cell>
          <cell r="C2327">
            <v>201</v>
          </cell>
          <cell r="D2327">
            <v>13</v>
          </cell>
          <cell r="E2327" t="str">
            <v>Less: Financial intermediation services indirectly measured (FISIM) (only to be deducted if FISIM is not distributed to uses)</v>
          </cell>
          <cell r="F2327">
            <v>0</v>
          </cell>
          <cell r="G2327">
            <v>1994</v>
          </cell>
          <cell r="H2327">
            <v>100</v>
          </cell>
          <cell r="I2327">
            <v>928000000</v>
          </cell>
        </row>
        <row r="2328">
          <cell r="A2328" t="str">
            <v>Trinidad and Tobago</v>
          </cell>
          <cell r="B2328">
            <v>780</v>
          </cell>
          <cell r="C2328">
            <v>201</v>
          </cell>
          <cell r="D2328">
            <v>13</v>
          </cell>
          <cell r="E2328" t="str">
            <v>Less: Financial intermediation services indirectly measured (FISIM) (only to be deducted if FISIM is not distributed to uses)</v>
          </cell>
          <cell r="F2328">
            <v>0</v>
          </cell>
          <cell r="G2328">
            <v>1995</v>
          </cell>
          <cell r="H2328">
            <v>100</v>
          </cell>
          <cell r="I2328">
            <v>821000000</v>
          </cell>
        </row>
        <row r="2329">
          <cell r="A2329" t="str">
            <v>Trinidad and Tobago</v>
          </cell>
          <cell r="B2329">
            <v>780</v>
          </cell>
          <cell r="C2329">
            <v>201</v>
          </cell>
          <cell r="D2329">
            <v>13</v>
          </cell>
          <cell r="E2329" t="str">
            <v>Less: Financial intermediation services indirectly measured (FISIM) (only to be deducted if FISIM is not distributed to uses)</v>
          </cell>
          <cell r="F2329">
            <v>0</v>
          </cell>
          <cell r="G2329">
            <v>1996</v>
          </cell>
          <cell r="H2329">
            <v>100</v>
          </cell>
          <cell r="I2329">
            <v>892000000</v>
          </cell>
        </row>
        <row r="2330">
          <cell r="A2330" t="str">
            <v>Trinidad and Tobago</v>
          </cell>
          <cell r="B2330">
            <v>780</v>
          </cell>
          <cell r="C2330">
            <v>201</v>
          </cell>
          <cell r="D2330">
            <v>13</v>
          </cell>
          <cell r="E2330" t="str">
            <v>Less: Financial intermediation services indirectly measured (FISIM) (only to be deducted if FISIM is not distributed to uses)</v>
          </cell>
          <cell r="F2330">
            <v>0</v>
          </cell>
          <cell r="G2330">
            <v>1997</v>
          </cell>
          <cell r="H2330">
            <v>100</v>
          </cell>
          <cell r="I2330">
            <v>1374000000</v>
          </cell>
        </row>
        <row r="2331">
          <cell r="A2331" t="str">
            <v>Trinidad and Tobago</v>
          </cell>
          <cell r="B2331">
            <v>780</v>
          </cell>
          <cell r="C2331">
            <v>201</v>
          </cell>
          <cell r="D2331">
            <v>13</v>
          </cell>
          <cell r="E2331" t="str">
            <v>Less: Financial intermediation services indirectly measured (FISIM) (only to be deducted if FISIM is not distributed to uses)</v>
          </cell>
          <cell r="F2331">
            <v>0</v>
          </cell>
          <cell r="G2331">
            <v>1998</v>
          </cell>
          <cell r="H2331">
            <v>100</v>
          </cell>
          <cell r="I2331">
            <v>1411000000</v>
          </cell>
        </row>
        <row r="2332">
          <cell r="A2332" t="str">
            <v>Trinidad and Tobago</v>
          </cell>
          <cell r="B2332">
            <v>780</v>
          </cell>
          <cell r="C2332">
            <v>201</v>
          </cell>
          <cell r="D2332">
            <v>13</v>
          </cell>
          <cell r="E2332" t="str">
            <v>Less: Financial intermediation services indirectly measured (FISIM) (only to be deducted if FISIM is not distributed to uses)</v>
          </cell>
          <cell r="F2332">
            <v>0</v>
          </cell>
          <cell r="G2332">
            <v>1999</v>
          </cell>
          <cell r="H2332">
            <v>100</v>
          </cell>
          <cell r="I2332">
            <v>1677000000</v>
          </cell>
        </row>
        <row r="2333">
          <cell r="A2333" t="str">
            <v>Trinidad and Tobago</v>
          </cell>
          <cell r="B2333">
            <v>780</v>
          </cell>
          <cell r="C2333">
            <v>201</v>
          </cell>
          <cell r="D2333">
            <v>13</v>
          </cell>
          <cell r="E2333" t="str">
            <v>Less: Financial intermediation services indirectly measured (FISIM) (only to be deducted if FISIM is not distributed to uses)</v>
          </cell>
          <cell r="F2333">
            <v>0</v>
          </cell>
          <cell r="G2333">
            <v>2000</v>
          </cell>
          <cell r="H2333">
            <v>100</v>
          </cell>
          <cell r="I2333">
            <v>2216000000</v>
          </cell>
        </row>
        <row r="2334">
          <cell r="A2334" t="str">
            <v>Trinidad and Tobago</v>
          </cell>
          <cell r="B2334">
            <v>780</v>
          </cell>
          <cell r="C2334">
            <v>201</v>
          </cell>
          <cell r="D2334">
            <v>13</v>
          </cell>
          <cell r="E2334" t="str">
            <v>Less: Financial intermediation services indirectly measured (FISIM) (only to be deducted if FISIM is not distributed to uses)</v>
          </cell>
          <cell r="F2334">
            <v>0</v>
          </cell>
          <cell r="G2334">
            <v>2001</v>
          </cell>
          <cell r="H2334">
            <v>100</v>
          </cell>
          <cell r="I2334">
            <v>2116000000</v>
          </cell>
        </row>
        <row r="2335">
          <cell r="A2335" t="str">
            <v>Trinidad and Tobago</v>
          </cell>
          <cell r="B2335">
            <v>780</v>
          </cell>
          <cell r="C2335">
            <v>201</v>
          </cell>
          <cell r="D2335">
            <v>13</v>
          </cell>
          <cell r="E2335" t="str">
            <v>Less: Financial intermediation services indirectly measured (FISIM) (only to be deducted if FISIM is not distributed to uses)</v>
          </cell>
          <cell r="F2335">
            <v>0</v>
          </cell>
          <cell r="G2335">
            <v>2002</v>
          </cell>
          <cell r="H2335">
            <v>100</v>
          </cell>
          <cell r="I2335">
            <v>2228000000</v>
          </cell>
        </row>
        <row r="2336">
          <cell r="A2336" t="str">
            <v>Trinidad and Tobago</v>
          </cell>
          <cell r="B2336">
            <v>780</v>
          </cell>
          <cell r="C2336">
            <v>201</v>
          </cell>
          <cell r="D2336">
            <v>13</v>
          </cell>
          <cell r="E2336" t="str">
            <v>Less: Financial intermediation services indirectly measured (FISIM) (only to be deducted if FISIM is not distributed to uses)</v>
          </cell>
          <cell r="F2336">
            <v>0</v>
          </cell>
          <cell r="G2336">
            <v>2003</v>
          </cell>
          <cell r="H2336">
            <v>100</v>
          </cell>
          <cell r="I2336">
            <v>2541000000</v>
          </cell>
        </row>
        <row r="2337">
          <cell r="A2337" t="str">
            <v>Trinidad and Tobago</v>
          </cell>
          <cell r="B2337">
            <v>780</v>
          </cell>
          <cell r="C2337">
            <v>201</v>
          </cell>
          <cell r="D2337">
            <v>13</v>
          </cell>
          <cell r="E2337" t="str">
            <v>Less: Financial intermediation services indirectly measured (FISIM) (only to be deducted if FISIM is not distributed to uses)</v>
          </cell>
          <cell r="F2337">
            <v>0</v>
          </cell>
          <cell r="G2337">
            <v>2004</v>
          </cell>
          <cell r="H2337">
            <v>100</v>
          </cell>
          <cell r="I2337">
            <v>2617000000</v>
          </cell>
        </row>
        <row r="2338">
          <cell r="A2338" t="str">
            <v>Trinidad and Tobago</v>
          </cell>
          <cell r="B2338">
            <v>780</v>
          </cell>
          <cell r="C2338">
            <v>203</v>
          </cell>
          <cell r="D2338">
            <v>3</v>
          </cell>
          <cell r="E2338" t="str">
            <v>Equals: VALUE ADDED, GROSS, at basic prices</v>
          </cell>
          <cell r="F2338">
            <v>12</v>
          </cell>
          <cell r="G2338">
            <v>1970</v>
          </cell>
          <cell r="H2338">
            <v>10</v>
          </cell>
          <cell r="I2338">
            <v>1676000000</v>
          </cell>
        </row>
        <row r="2339">
          <cell r="A2339" t="str">
            <v>Trinidad and Tobago</v>
          </cell>
          <cell r="B2339">
            <v>780</v>
          </cell>
          <cell r="C2339">
            <v>203</v>
          </cell>
          <cell r="D2339">
            <v>3</v>
          </cell>
          <cell r="E2339" t="str">
            <v>Equals: VALUE ADDED, GROSS, at basic prices</v>
          </cell>
          <cell r="F2339">
            <v>12</v>
          </cell>
          <cell r="G2339">
            <v>1971</v>
          </cell>
          <cell r="H2339">
            <v>10</v>
          </cell>
          <cell r="I2339">
            <v>1813000000</v>
          </cell>
        </row>
        <row r="2340">
          <cell r="A2340" t="str">
            <v>Trinidad and Tobago</v>
          </cell>
          <cell r="B2340">
            <v>780</v>
          </cell>
          <cell r="C2340">
            <v>203</v>
          </cell>
          <cell r="D2340">
            <v>3</v>
          </cell>
          <cell r="E2340" t="str">
            <v>Equals: VALUE ADDED, GROSS, at basic prices</v>
          </cell>
          <cell r="F2340">
            <v>12</v>
          </cell>
          <cell r="G2340">
            <v>1972</v>
          </cell>
          <cell r="H2340">
            <v>10</v>
          </cell>
          <cell r="I2340">
            <v>2120000000</v>
          </cell>
        </row>
        <row r="2341">
          <cell r="A2341" t="str">
            <v>Trinidad and Tobago</v>
          </cell>
          <cell r="B2341">
            <v>780</v>
          </cell>
          <cell r="C2341">
            <v>203</v>
          </cell>
          <cell r="D2341">
            <v>3</v>
          </cell>
          <cell r="E2341" t="str">
            <v>Equals: VALUE ADDED, GROSS, at basic prices</v>
          </cell>
          <cell r="F2341">
            <v>12</v>
          </cell>
          <cell r="G2341">
            <v>1973</v>
          </cell>
          <cell r="H2341">
            <v>10</v>
          </cell>
          <cell r="I2341">
            <v>2620000000</v>
          </cell>
        </row>
        <row r="2342">
          <cell r="A2342" t="str">
            <v>Trinidad and Tobago</v>
          </cell>
          <cell r="B2342">
            <v>780</v>
          </cell>
          <cell r="C2342">
            <v>203</v>
          </cell>
          <cell r="D2342">
            <v>3</v>
          </cell>
          <cell r="E2342" t="str">
            <v>Equals: VALUE ADDED, GROSS, at basic prices</v>
          </cell>
          <cell r="F2342">
            <v>12</v>
          </cell>
          <cell r="G2342">
            <v>1974</v>
          </cell>
          <cell r="H2342">
            <v>10</v>
          </cell>
          <cell r="I2342">
            <v>4283000000</v>
          </cell>
        </row>
        <row r="2343">
          <cell r="A2343" t="str">
            <v>Trinidad and Tobago</v>
          </cell>
          <cell r="B2343">
            <v>780</v>
          </cell>
          <cell r="C2343">
            <v>203</v>
          </cell>
          <cell r="D2343">
            <v>3</v>
          </cell>
          <cell r="E2343" t="str">
            <v>Equals: VALUE ADDED, GROSS, at basic prices</v>
          </cell>
          <cell r="F2343">
            <v>12</v>
          </cell>
          <cell r="G2343">
            <v>1975</v>
          </cell>
          <cell r="H2343">
            <v>10</v>
          </cell>
          <cell r="I2343">
            <v>5464000000</v>
          </cell>
        </row>
        <row r="2344">
          <cell r="A2344" t="str">
            <v>Trinidad and Tobago</v>
          </cell>
          <cell r="B2344">
            <v>780</v>
          </cell>
          <cell r="C2344">
            <v>203</v>
          </cell>
          <cell r="D2344">
            <v>3</v>
          </cell>
          <cell r="E2344" t="str">
            <v>Equals: VALUE ADDED, GROSS, at basic prices</v>
          </cell>
          <cell r="F2344">
            <v>12</v>
          </cell>
          <cell r="G2344">
            <v>1976</v>
          </cell>
          <cell r="H2344">
            <v>10</v>
          </cell>
          <cell r="I2344">
            <v>6317000000</v>
          </cell>
        </row>
        <row r="2345">
          <cell r="A2345" t="str">
            <v>Trinidad and Tobago</v>
          </cell>
          <cell r="B2345">
            <v>780</v>
          </cell>
          <cell r="C2345">
            <v>203</v>
          </cell>
          <cell r="D2345">
            <v>3</v>
          </cell>
          <cell r="E2345" t="str">
            <v>Equals: VALUE ADDED, GROSS, at basic prices</v>
          </cell>
          <cell r="F2345">
            <v>12</v>
          </cell>
          <cell r="G2345">
            <v>1977</v>
          </cell>
          <cell r="H2345">
            <v>10</v>
          </cell>
          <cell r="I2345">
            <v>7827000000</v>
          </cell>
        </row>
        <row r="2346">
          <cell r="A2346" t="str">
            <v>Trinidad and Tobago</v>
          </cell>
          <cell r="B2346">
            <v>780</v>
          </cell>
          <cell r="C2346">
            <v>203</v>
          </cell>
          <cell r="D2346">
            <v>3</v>
          </cell>
          <cell r="E2346" t="str">
            <v>Equals: VALUE ADDED, GROSS, at basic prices</v>
          </cell>
          <cell r="F2346">
            <v>12</v>
          </cell>
          <cell r="G2346">
            <v>1978</v>
          </cell>
          <cell r="H2346">
            <v>10</v>
          </cell>
          <cell r="I2346">
            <v>8924000000</v>
          </cell>
        </row>
        <row r="2347">
          <cell r="A2347" t="str">
            <v>Trinidad and Tobago</v>
          </cell>
          <cell r="B2347">
            <v>780</v>
          </cell>
          <cell r="C2347">
            <v>203</v>
          </cell>
          <cell r="D2347">
            <v>3</v>
          </cell>
          <cell r="E2347" t="str">
            <v>Equals: VALUE ADDED, GROSS, at basic prices</v>
          </cell>
          <cell r="F2347">
            <v>12</v>
          </cell>
          <cell r="G2347">
            <v>1979</v>
          </cell>
          <cell r="H2347">
            <v>10</v>
          </cell>
          <cell r="I2347">
            <v>11621000000</v>
          </cell>
        </row>
        <row r="2348">
          <cell r="A2348" t="str">
            <v>Trinidad and Tobago</v>
          </cell>
          <cell r="B2348">
            <v>780</v>
          </cell>
          <cell r="C2348">
            <v>203</v>
          </cell>
          <cell r="D2348">
            <v>3</v>
          </cell>
          <cell r="E2348" t="str">
            <v>Equals: VALUE ADDED, GROSS, at basic prices</v>
          </cell>
          <cell r="F2348">
            <v>12</v>
          </cell>
          <cell r="G2348">
            <v>1980</v>
          </cell>
          <cell r="H2348">
            <v>10</v>
          </cell>
          <cell r="I2348">
            <v>15725000000</v>
          </cell>
        </row>
        <row r="2349">
          <cell r="A2349" t="str">
            <v>Trinidad and Tobago</v>
          </cell>
          <cell r="B2349">
            <v>780</v>
          </cell>
          <cell r="C2349">
            <v>203</v>
          </cell>
          <cell r="D2349">
            <v>3</v>
          </cell>
          <cell r="E2349" t="str">
            <v>Equals: VALUE ADDED, GROSS, at basic prices</v>
          </cell>
          <cell r="F2349">
            <v>12</v>
          </cell>
          <cell r="G2349">
            <v>1981</v>
          </cell>
          <cell r="H2349">
            <v>10</v>
          </cell>
          <cell r="I2349">
            <v>17511000000</v>
          </cell>
        </row>
        <row r="2350">
          <cell r="A2350" t="str">
            <v>Trinidad and Tobago</v>
          </cell>
          <cell r="B2350">
            <v>780</v>
          </cell>
          <cell r="C2350">
            <v>203</v>
          </cell>
          <cell r="D2350">
            <v>3</v>
          </cell>
          <cell r="E2350" t="str">
            <v>Equals: VALUE ADDED, GROSS, at basic prices</v>
          </cell>
          <cell r="F2350">
            <v>12</v>
          </cell>
          <cell r="G2350">
            <v>1982</v>
          </cell>
          <cell r="H2350">
            <v>10</v>
          </cell>
          <cell r="I2350">
            <v>20315000000</v>
          </cell>
        </row>
        <row r="2351">
          <cell r="A2351" t="str">
            <v>Trinidad and Tobago</v>
          </cell>
          <cell r="B2351">
            <v>780</v>
          </cell>
          <cell r="C2351">
            <v>203</v>
          </cell>
          <cell r="D2351">
            <v>3</v>
          </cell>
          <cell r="E2351" t="str">
            <v>Equals: VALUE ADDED, GROSS, at basic prices</v>
          </cell>
          <cell r="F2351">
            <v>12</v>
          </cell>
          <cell r="G2351">
            <v>1983</v>
          </cell>
          <cell r="H2351">
            <v>10</v>
          </cell>
          <cell r="I2351">
            <v>19380000000</v>
          </cell>
        </row>
        <row r="2352">
          <cell r="A2352" t="str">
            <v>Trinidad and Tobago</v>
          </cell>
          <cell r="B2352">
            <v>780</v>
          </cell>
          <cell r="C2352">
            <v>203</v>
          </cell>
          <cell r="D2352">
            <v>3</v>
          </cell>
          <cell r="E2352" t="str">
            <v>Equals: VALUE ADDED, GROSS, at basic prices</v>
          </cell>
          <cell r="F2352">
            <v>12</v>
          </cell>
          <cell r="G2352">
            <v>1984</v>
          </cell>
          <cell r="H2352">
            <v>10</v>
          </cell>
          <cell r="I2352">
            <v>19396000000</v>
          </cell>
        </row>
        <row r="2353">
          <cell r="A2353" t="str">
            <v>Trinidad and Tobago</v>
          </cell>
          <cell r="B2353">
            <v>780</v>
          </cell>
          <cell r="C2353">
            <v>203</v>
          </cell>
          <cell r="D2353">
            <v>3</v>
          </cell>
          <cell r="E2353" t="str">
            <v>Equals: VALUE ADDED, GROSS, at basic prices</v>
          </cell>
          <cell r="F2353">
            <v>12</v>
          </cell>
          <cell r="G2353">
            <v>1985</v>
          </cell>
          <cell r="H2353">
            <v>10</v>
          </cell>
          <cell r="I2353">
            <v>18881000000</v>
          </cell>
        </row>
        <row r="2354">
          <cell r="A2354" t="str">
            <v>Trinidad and Tobago</v>
          </cell>
          <cell r="B2354">
            <v>780</v>
          </cell>
          <cell r="C2354">
            <v>203</v>
          </cell>
          <cell r="D2354">
            <v>3</v>
          </cell>
          <cell r="E2354" t="str">
            <v>Equals: VALUE ADDED, GROSS, at basic prices</v>
          </cell>
          <cell r="F2354">
            <v>12</v>
          </cell>
          <cell r="G2354">
            <v>1986</v>
          </cell>
          <cell r="H2354">
            <v>10</v>
          </cell>
          <cell r="I2354">
            <v>18027000000</v>
          </cell>
        </row>
        <row r="2355">
          <cell r="A2355" t="str">
            <v>Trinidad and Tobago</v>
          </cell>
          <cell r="B2355">
            <v>780</v>
          </cell>
          <cell r="C2355">
            <v>203</v>
          </cell>
          <cell r="D2355">
            <v>3</v>
          </cell>
          <cell r="E2355" t="str">
            <v>Equals: VALUE ADDED, GROSS, at basic prices</v>
          </cell>
          <cell r="F2355">
            <v>12</v>
          </cell>
          <cell r="G2355">
            <v>1987</v>
          </cell>
          <cell r="H2355">
            <v>10</v>
          </cell>
          <cell r="I2355">
            <v>17960000000</v>
          </cell>
        </row>
        <row r="2356">
          <cell r="A2356" t="str">
            <v>Trinidad and Tobago</v>
          </cell>
          <cell r="B2356">
            <v>780</v>
          </cell>
          <cell r="C2356">
            <v>203</v>
          </cell>
          <cell r="D2356">
            <v>3</v>
          </cell>
          <cell r="E2356" t="str">
            <v>Equals: VALUE ADDED, GROSS, at basic prices</v>
          </cell>
          <cell r="F2356">
            <v>12</v>
          </cell>
          <cell r="G2356">
            <v>1988</v>
          </cell>
          <cell r="H2356">
            <v>10</v>
          </cell>
          <cell r="I2356">
            <v>17937000000</v>
          </cell>
        </row>
        <row r="2357">
          <cell r="A2357" t="str">
            <v>Trinidad and Tobago</v>
          </cell>
          <cell r="B2357">
            <v>780</v>
          </cell>
          <cell r="C2357">
            <v>203</v>
          </cell>
          <cell r="D2357">
            <v>3</v>
          </cell>
          <cell r="E2357" t="str">
            <v>Equals: VALUE ADDED, GROSS, at basic prices</v>
          </cell>
          <cell r="F2357">
            <v>12</v>
          </cell>
          <cell r="G2357">
            <v>1989</v>
          </cell>
          <cell r="H2357">
            <v>10</v>
          </cell>
          <cell r="I2357">
            <v>19053000000</v>
          </cell>
        </row>
        <row r="2358">
          <cell r="A2358" t="str">
            <v>Trinidad and Tobago</v>
          </cell>
          <cell r="B2358">
            <v>780</v>
          </cell>
          <cell r="C2358">
            <v>203</v>
          </cell>
          <cell r="D2358">
            <v>3</v>
          </cell>
          <cell r="E2358" t="str">
            <v>Equals: VALUE ADDED, GROSS, at basic prices</v>
          </cell>
          <cell r="F2358">
            <v>12</v>
          </cell>
          <cell r="G2358">
            <v>1990</v>
          </cell>
          <cell r="H2358">
            <v>10</v>
          </cell>
          <cell r="I2358">
            <v>21176000000</v>
          </cell>
        </row>
        <row r="2359">
          <cell r="A2359" t="str">
            <v>Trinidad and Tobago</v>
          </cell>
          <cell r="B2359">
            <v>780</v>
          </cell>
          <cell r="C2359">
            <v>203</v>
          </cell>
          <cell r="D2359">
            <v>3</v>
          </cell>
          <cell r="E2359" t="str">
            <v>Equals: VALUE ADDED, GROSS, at basic prices</v>
          </cell>
          <cell r="F2359">
            <v>12</v>
          </cell>
          <cell r="G2359">
            <v>1991</v>
          </cell>
          <cell r="H2359">
            <v>10</v>
          </cell>
          <cell r="I2359">
            <v>22173000000</v>
          </cell>
        </row>
        <row r="2360">
          <cell r="A2360" t="str">
            <v>Trinidad and Tobago</v>
          </cell>
          <cell r="B2360">
            <v>780</v>
          </cell>
          <cell r="C2360">
            <v>203</v>
          </cell>
          <cell r="D2360">
            <v>3</v>
          </cell>
          <cell r="E2360" t="str">
            <v>Equals: VALUE ADDED, GROSS, at basic prices</v>
          </cell>
          <cell r="F2360">
            <v>12</v>
          </cell>
          <cell r="G2360">
            <v>1992</v>
          </cell>
          <cell r="H2360">
            <v>10</v>
          </cell>
          <cell r="I2360">
            <v>23198000000</v>
          </cell>
        </row>
        <row r="2361">
          <cell r="A2361" t="str">
            <v>Trinidad and Tobago</v>
          </cell>
          <cell r="B2361">
            <v>780</v>
          </cell>
          <cell r="C2361">
            <v>203</v>
          </cell>
          <cell r="D2361">
            <v>3</v>
          </cell>
          <cell r="E2361" t="str">
            <v>Equals: VALUE ADDED, GROSS, at basic prices</v>
          </cell>
          <cell r="F2361">
            <v>12</v>
          </cell>
          <cell r="G2361">
            <v>1992</v>
          </cell>
          <cell r="H2361">
            <v>100</v>
          </cell>
          <cell r="I2361">
            <v>23198000000</v>
          </cell>
        </row>
        <row r="2362">
          <cell r="A2362" t="str">
            <v>Trinidad and Tobago</v>
          </cell>
          <cell r="B2362">
            <v>780</v>
          </cell>
          <cell r="C2362">
            <v>203</v>
          </cell>
          <cell r="D2362">
            <v>3</v>
          </cell>
          <cell r="E2362" t="str">
            <v>Equals: VALUE ADDED, GROSS, at basic prices</v>
          </cell>
          <cell r="F2362">
            <v>12</v>
          </cell>
          <cell r="G2362">
            <v>1993</v>
          </cell>
          <cell r="H2362">
            <v>100</v>
          </cell>
          <cell r="I2362">
            <v>24332000000</v>
          </cell>
        </row>
        <row r="2363">
          <cell r="A2363" t="str">
            <v>Trinidad and Tobago</v>
          </cell>
          <cell r="B2363">
            <v>780</v>
          </cell>
          <cell r="C2363">
            <v>203</v>
          </cell>
          <cell r="D2363">
            <v>3</v>
          </cell>
          <cell r="E2363" t="str">
            <v>Equals: VALUE ADDED, GROSS, at basic prices</v>
          </cell>
          <cell r="F2363">
            <v>12</v>
          </cell>
          <cell r="G2363">
            <v>1994</v>
          </cell>
          <cell r="H2363">
            <v>100</v>
          </cell>
          <cell r="I2363">
            <v>28981000000</v>
          </cell>
        </row>
        <row r="2364">
          <cell r="A2364" t="str">
            <v>Trinidad and Tobago</v>
          </cell>
          <cell r="B2364">
            <v>780</v>
          </cell>
          <cell r="C2364">
            <v>203</v>
          </cell>
          <cell r="D2364">
            <v>3</v>
          </cell>
          <cell r="E2364" t="str">
            <v>Equals: VALUE ADDED, GROSS, at basic prices</v>
          </cell>
          <cell r="F2364">
            <v>12</v>
          </cell>
          <cell r="G2364">
            <v>1995</v>
          </cell>
          <cell r="H2364">
            <v>100</v>
          </cell>
          <cell r="I2364">
            <v>30860000000</v>
          </cell>
        </row>
        <row r="2365">
          <cell r="A2365" t="str">
            <v>Trinidad and Tobago</v>
          </cell>
          <cell r="B2365">
            <v>780</v>
          </cell>
          <cell r="C2365">
            <v>203</v>
          </cell>
          <cell r="D2365">
            <v>3</v>
          </cell>
          <cell r="E2365" t="str">
            <v>Equals: VALUE ADDED, GROSS, at basic prices</v>
          </cell>
          <cell r="F2365">
            <v>12</v>
          </cell>
          <cell r="G2365">
            <v>1996</v>
          </cell>
          <cell r="H2365">
            <v>100</v>
          </cell>
          <cell r="I2365">
            <v>33957000000</v>
          </cell>
        </row>
        <row r="2366">
          <cell r="A2366" t="str">
            <v>Trinidad and Tobago</v>
          </cell>
          <cell r="B2366">
            <v>780</v>
          </cell>
          <cell r="C2366">
            <v>203</v>
          </cell>
          <cell r="D2366">
            <v>3</v>
          </cell>
          <cell r="E2366" t="str">
            <v>Equals: VALUE ADDED, GROSS, at basic prices</v>
          </cell>
          <cell r="F2366">
            <v>12</v>
          </cell>
          <cell r="G2366">
            <v>1997</v>
          </cell>
          <cell r="H2366">
            <v>100</v>
          </cell>
          <cell r="I2366">
            <v>34781000000</v>
          </cell>
        </row>
        <row r="2367">
          <cell r="A2367" t="str">
            <v>Trinidad and Tobago</v>
          </cell>
          <cell r="B2367">
            <v>780</v>
          </cell>
          <cell r="C2367">
            <v>203</v>
          </cell>
          <cell r="D2367">
            <v>3</v>
          </cell>
          <cell r="E2367" t="str">
            <v>Equals: VALUE ADDED, GROSS, at basic prices</v>
          </cell>
          <cell r="F2367">
            <v>12</v>
          </cell>
          <cell r="G2367">
            <v>1998</v>
          </cell>
          <cell r="H2367">
            <v>100</v>
          </cell>
          <cell r="I2367">
            <v>36564000000</v>
          </cell>
        </row>
        <row r="2368">
          <cell r="A2368" t="str">
            <v>Trinidad and Tobago</v>
          </cell>
          <cell r="B2368">
            <v>780</v>
          </cell>
          <cell r="C2368">
            <v>203</v>
          </cell>
          <cell r="D2368">
            <v>3</v>
          </cell>
          <cell r="E2368" t="str">
            <v>Equals: VALUE ADDED, GROSS, at basic prices</v>
          </cell>
          <cell r="F2368">
            <v>12</v>
          </cell>
          <cell r="G2368">
            <v>1999</v>
          </cell>
          <cell r="H2368">
            <v>100</v>
          </cell>
          <cell r="I2368">
            <v>41455000000</v>
          </cell>
        </row>
        <row r="2369">
          <cell r="A2369" t="str">
            <v>Trinidad and Tobago</v>
          </cell>
          <cell r="B2369">
            <v>780</v>
          </cell>
          <cell r="C2369">
            <v>203</v>
          </cell>
          <cell r="D2369">
            <v>3</v>
          </cell>
          <cell r="E2369" t="str">
            <v>Equals: VALUE ADDED, GROSS, at basic prices</v>
          </cell>
          <cell r="F2369">
            <v>12</v>
          </cell>
          <cell r="G2369">
            <v>2000</v>
          </cell>
          <cell r="H2369">
            <v>100</v>
          </cell>
          <cell r="I2369">
            <v>50302000000</v>
          </cell>
        </row>
        <row r="2370">
          <cell r="A2370" t="str">
            <v>Trinidad and Tobago</v>
          </cell>
          <cell r="B2370">
            <v>780</v>
          </cell>
          <cell r="C2370">
            <v>203</v>
          </cell>
          <cell r="D2370">
            <v>3</v>
          </cell>
          <cell r="E2370" t="str">
            <v>Equals: VALUE ADDED, GROSS, at basic prices</v>
          </cell>
          <cell r="F2370">
            <v>12</v>
          </cell>
          <cell r="G2370">
            <v>2001</v>
          </cell>
          <cell r="H2370">
            <v>100</v>
          </cell>
          <cell r="I2370">
            <v>55157000000</v>
          </cell>
        </row>
        <row r="2371">
          <cell r="A2371" t="str">
            <v>Trinidad and Tobago</v>
          </cell>
          <cell r="B2371">
            <v>780</v>
          </cell>
          <cell r="C2371">
            <v>203</v>
          </cell>
          <cell r="D2371">
            <v>4</v>
          </cell>
          <cell r="E2371" t="str">
            <v>Compensation of employees</v>
          </cell>
          <cell r="F2371">
            <v>12</v>
          </cell>
          <cell r="G2371">
            <v>1970</v>
          </cell>
          <cell r="H2371">
            <v>10</v>
          </cell>
          <cell r="I2371">
            <v>847000000</v>
          </cell>
        </row>
        <row r="2372">
          <cell r="A2372" t="str">
            <v>Trinidad and Tobago</v>
          </cell>
          <cell r="B2372">
            <v>780</v>
          </cell>
          <cell r="C2372">
            <v>203</v>
          </cell>
          <cell r="D2372">
            <v>4</v>
          </cell>
          <cell r="E2372" t="str">
            <v>Compensation of employees</v>
          </cell>
          <cell r="F2372">
            <v>12</v>
          </cell>
          <cell r="G2372">
            <v>1971</v>
          </cell>
          <cell r="H2372">
            <v>10</v>
          </cell>
          <cell r="I2372">
            <v>978000000</v>
          </cell>
        </row>
        <row r="2373">
          <cell r="A2373" t="str">
            <v>Trinidad and Tobago</v>
          </cell>
          <cell r="B2373">
            <v>780</v>
          </cell>
          <cell r="C2373">
            <v>203</v>
          </cell>
          <cell r="D2373">
            <v>4</v>
          </cell>
          <cell r="E2373" t="str">
            <v>Compensation of employees</v>
          </cell>
          <cell r="F2373">
            <v>12</v>
          </cell>
          <cell r="G2373">
            <v>1972</v>
          </cell>
          <cell r="H2373">
            <v>10</v>
          </cell>
          <cell r="I2373">
            <v>1138000000</v>
          </cell>
        </row>
        <row r="2374">
          <cell r="A2374" t="str">
            <v>Trinidad and Tobago</v>
          </cell>
          <cell r="B2374">
            <v>780</v>
          </cell>
          <cell r="C2374">
            <v>203</v>
          </cell>
          <cell r="D2374">
            <v>4</v>
          </cell>
          <cell r="E2374" t="str">
            <v>Compensation of employees</v>
          </cell>
          <cell r="F2374">
            <v>12</v>
          </cell>
          <cell r="G2374">
            <v>1973</v>
          </cell>
          <cell r="H2374">
            <v>10</v>
          </cell>
          <cell r="I2374">
            <v>1302000000</v>
          </cell>
        </row>
        <row r="2375">
          <cell r="A2375" t="str">
            <v>Trinidad and Tobago</v>
          </cell>
          <cell r="B2375">
            <v>780</v>
          </cell>
          <cell r="C2375">
            <v>203</v>
          </cell>
          <cell r="D2375">
            <v>4</v>
          </cell>
          <cell r="E2375" t="str">
            <v>Compensation of employees</v>
          </cell>
          <cell r="F2375">
            <v>12</v>
          </cell>
          <cell r="G2375">
            <v>1974</v>
          </cell>
          <cell r="H2375">
            <v>10</v>
          </cell>
          <cell r="I2375">
            <v>1556000000</v>
          </cell>
        </row>
        <row r="2376">
          <cell r="A2376" t="str">
            <v>Trinidad and Tobago</v>
          </cell>
          <cell r="B2376">
            <v>780</v>
          </cell>
          <cell r="C2376">
            <v>203</v>
          </cell>
          <cell r="D2376">
            <v>4</v>
          </cell>
          <cell r="E2376" t="str">
            <v>Compensation of employees</v>
          </cell>
          <cell r="F2376">
            <v>12</v>
          </cell>
          <cell r="G2376">
            <v>1975</v>
          </cell>
          <cell r="H2376">
            <v>10</v>
          </cell>
          <cell r="I2376">
            <v>1963000000</v>
          </cell>
        </row>
        <row r="2377">
          <cell r="A2377" t="str">
            <v>Trinidad and Tobago</v>
          </cell>
          <cell r="B2377">
            <v>780</v>
          </cell>
          <cell r="C2377">
            <v>203</v>
          </cell>
          <cell r="D2377">
            <v>4</v>
          </cell>
          <cell r="E2377" t="str">
            <v>Compensation of employees</v>
          </cell>
          <cell r="F2377">
            <v>12</v>
          </cell>
          <cell r="G2377">
            <v>1976</v>
          </cell>
          <cell r="H2377">
            <v>10</v>
          </cell>
          <cell r="I2377">
            <v>2464000000</v>
          </cell>
        </row>
        <row r="2378">
          <cell r="A2378" t="str">
            <v>Trinidad and Tobago</v>
          </cell>
          <cell r="B2378">
            <v>780</v>
          </cell>
          <cell r="C2378">
            <v>203</v>
          </cell>
          <cell r="D2378">
            <v>4</v>
          </cell>
          <cell r="E2378" t="str">
            <v>Compensation of employees</v>
          </cell>
          <cell r="F2378">
            <v>12</v>
          </cell>
          <cell r="G2378">
            <v>1977</v>
          </cell>
          <cell r="H2378">
            <v>10</v>
          </cell>
          <cell r="I2378">
            <v>3067000000</v>
          </cell>
        </row>
        <row r="2379">
          <cell r="A2379" t="str">
            <v>Trinidad and Tobago</v>
          </cell>
          <cell r="B2379">
            <v>780</v>
          </cell>
          <cell r="C2379">
            <v>203</v>
          </cell>
          <cell r="D2379">
            <v>4</v>
          </cell>
          <cell r="E2379" t="str">
            <v>Compensation of employees</v>
          </cell>
          <cell r="F2379">
            <v>12</v>
          </cell>
          <cell r="G2379">
            <v>1978</v>
          </cell>
          <cell r="H2379">
            <v>10</v>
          </cell>
          <cell r="I2379">
            <v>3866000000</v>
          </cell>
        </row>
        <row r="2380">
          <cell r="A2380" t="str">
            <v>Trinidad and Tobago</v>
          </cell>
          <cell r="B2380">
            <v>780</v>
          </cell>
          <cell r="C2380">
            <v>203</v>
          </cell>
          <cell r="D2380">
            <v>4</v>
          </cell>
          <cell r="E2380" t="str">
            <v>Compensation of employees</v>
          </cell>
          <cell r="F2380">
            <v>12</v>
          </cell>
          <cell r="G2380">
            <v>1979</v>
          </cell>
          <cell r="H2380">
            <v>10</v>
          </cell>
          <cell r="I2380">
            <v>4952000000</v>
          </cell>
        </row>
        <row r="2381">
          <cell r="A2381" t="str">
            <v>Trinidad and Tobago</v>
          </cell>
          <cell r="B2381">
            <v>780</v>
          </cell>
          <cell r="C2381">
            <v>203</v>
          </cell>
          <cell r="D2381">
            <v>4</v>
          </cell>
          <cell r="E2381" t="str">
            <v>Compensation of employees</v>
          </cell>
          <cell r="F2381">
            <v>12</v>
          </cell>
          <cell r="G2381">
            <v>1980</v>
          </cell>
          <cell r="H2381">
            <v>10</v>
          </cell>
          <cell r="I2381">
            <v>6110000000</v>
          </cell>
        </row>
        <row r="2382">
          <cell r="A2382" t="str">
            <v>Trinidad and Tobago</v>
          </cell>
          <cell r="B2382">
            <v>780</v>
          </cell>
          <cell r="C2382">
            <v>203</v>
          </cell>
          <cell r="D2382">
            <v>4</v>
          </cell>
          <cell r="E2382" t="str">
            <v>Compensation of employees</v>
          </cell>
          <cell r="F2382">
            <v>12</v>
          </cell>
          <cell r="G2382">
            <v>1981</v>
          </cell>
          <cell r="H2382">
            <v>10</v>
          </cell>
          <cell r="I2382">
            <v>7833000000</v>
          </cell>
        </row>
        <row r="2383">
          <cell r="A2383" t="str">
            <v>Trinidad and Tobago</v>
          </cell>
          <cell r="B2383">
            <v>780</v>
          </cell>
          <cell r="C2383">
            <v>203</v>
          </cell>
          <cell r="D2383">
            <v>4</v>
          </cell>
          <cell r="E2383" t="str">
            <v>Compensation of employees</v>
          </cell>
          <cell r="F2383">
            <v>12</v>
          </cell>
          <cell r="G2383">
            <v>1982</v>
          </cell>
          <cell r="H2383">
            <v>10</v>
          </cell>
          <cell r="I2383">
            <v>10818000000</v>
          </cell>
        </row>
        <row r="2384">
          <cell r="A2384" t="str">
            <v>Trinidad and Tobago</v>
          </cell>
          <cell r="B2384">
            <v>780</v>
          </cell>
          <cell r="C2384">
            <v>203</v>
          </cell>
          <cell r="D2384">
            <v>4</v>
          </cell>
          <cell r="E2384" t="str">
            <v>Compensation of employees</v>
          </cell>
          <cell r="F2384">
            <v>12</v>
          </cell>
          <cell r="G2384">
            <v>1983</v>
          </cell>
          <cell r="H2384">
            <v>10</v>
          </cell>
          <cell r="I2384">
            <v>10617000000</v>
          </cell>
        </row>
        <row r="2385">
          <cell r="A2385" t="str">
            <v>Trinidad and Tobago</v>
          </cell>
          <cell r="B2385">
            <v>780</v>
          </cell>
          <cell r="C2385">
            <v>203</v>
          </cell>
          <cell r="D2385">
            <v>4</v>
          </cell>
          <cell r="E2385" t="str">
            <v>Compensation of employees</v>
          </cell>
          <cell r="F2385">
            <v>12</v>
          </cell>
          <cell r="G2385">
            <v>1984</v>
          </cell>
          <cell r="H2385">
            <v>10</v>
          </cell>
          <cell r="I2385">
            <v>10861000000</v>
          </cell>
        </row>
        <row r="2386">
          <cell r="A2386" t="str">
            <v>Trinidad and Tobago</v>
          </cell>
          <cell r="B2386">
            <v>780</v>
          </cell>
          <cell r="C2386">
            <v>203</v>
          </cell>
          <cell r="D2386">
            <v>4</v>
          </cell>
          <cell r="E2386" t="str">
            <v>Compensation of employees</v>
          </cell>
          <cell r="F2386">
            <v>12</v>
          </cell>
          <cell r="G2386">
            <v>1985</v>
          </cell>
          <cell r="H2386">
            <v>10</v>
          </cell>
          <cell r="I2386">
            <v>10810000000</v>
          </cell>
        </row>
        <row r="2387">
          <cell r="A2387" t="str">
            <v>Trinidad and Tobago</v>
          </cell>
          <cell r="B2387">
            <v>780</v>
          </cell>
          <cell r="C2387">
            <v>203</v>
          </cell>
          <cell r="D2387">
            <v>4</v>
          </cell>
          <cell r="E2387" t="str">
            <v>Compensation of employees</v>
          </cell>
          <cell r="F2387">
            <v>12</v>
          </cell>
          <cell r="G2387">
            <v>1986</v>
          </cell>
          <cell r="H2387">
            <v>10</v>
          </cell>
          <cell r="I2387">
            <v>10841000000</v>
          </cell>
        </row>
        <row r="2388">
          <cell r="A2388" t="str">
            <v>Trinidad and Tobago</v>
          </cell>
          <cell r="B2388">
            <v>780</v>
          </cell>
          <cell r="C2388">
            <v>203</v>
          </cell>
          <cell r="D2388">
            <v>4</v>
          </cell>
          <cell r="E2388" t="str">
            <v>Compensation of employees</v>
          </cell>
          <cell r="F2388">
            <v>12</v>
          </cell>
          <cell r="G2388">
            <v>1987</v>
          </cell>
          <cell r="H2388">
            <v>10</v>
          </cell>
          <cell r="I2388">
            <v>10363000000</v>
          </cell>
        </row>
        <row r="2389">
          <cell r="A2389" t="str">
            <v>Trinidad and Tobago</v>
          </cell>
          <cell r="B2389">
            <v>780</v>
          </cell>
          <cell r="C2389">
            <v>203</v>
          </cell>
          <cell r="D2389">
            <v>4</v>
          </cell>
          <cell r="E2389" t="str">
            <v>Compensation of employees</v>
          </cell>
          <cell r="F2389">
            <v>12</v>
          </cell>
          <cell r="G2389">
            <v>1988</v>
          </cell>
          <cell r="H2389">
            <v>10</v>
          </cell>
          <cell r="I2389">
            <v>10097000000</v>
          </cell>
        </row>
        <row r="2390">
          <cell r="A2390" t="str">
            <v>Trinidad and Tobago</v>
          </cell>
          <cell r="B2390">
            <v>780</v>
          </cell>
          <cell r="C2390">
            <v>203</v>
          </cell>
          <cell r="D2390">
            <v>4</v>
          </cell>
          <cell r="E2390" t="str">
            <v>Compensation of employees</v>
          </cell>
          <cell r="F2390">
            <v>12</v>
          </cell>
          <cell r="G2390">
            <v>1989</v>
          </cell>
          <cell r="H2390">
            <v>10</v>
          </cell>
          <cell r="I2390">
            <v>9817000000</v>
          </cell>
        </row>
        <row r="2391">
          <cell r="A2391" t="str">
            <v>Trinidad and Tobago</v>
          </cell>
          <cell r="B2391">
            <v>780</v>
          </cell>
          <cell r="C2391">
            <v>203</v>
          </cell>
          <cell r="D2391">
            <v>4</v>
          </cell>
          <cell r="E2391" t="str">
            <v>Compensation of employees</v>
          </cell>
          <cell r="F2391">
            <v>12</v>
          </cell>
          <cell r="G2391">
            <v>1990</v>
          </cell>
          <cell r="H2391">
            <v>10</v>
          </cell>
          <cell r="I2391">
            <v>10768000000</v>
          </cell>
        </row>
        <row r="2392">
          <cell r="A2392" t="str">
            <v>Trinidad and Tobago</v>
          </cell>
          <cell r="B2392">
            <v>780</v>
          </cell>
          <cell r="C2392">
            <v>203</v>
          </cell>
          <cell r="D2392">
            <v>4</v>
          </cell>
          <cell r="E2392" t="str">
            <v>Compensation of employees</v>
          </cell>
          <cell r="F2392">
            <v>12</v>
          </cell>
          <cell r="G2392">
            <v>1991</v>
          </cell>
          <cell r="H2392">
            <v>10</v>
          </cell>
          <cell r="I2392">
            <v>11536000000</v>
          </cell>
        </row>
        <row r="2393">
          <cell r="A2393" t="str">
            <v>Trinidad and Tobago</v>
          </cell>
          <cell r="B2393">
            <v>780</v>
          </cell>
          <cell r="C2393">
            <v>203</v>
          </cell>
          <cell r="D2393">
            <v>4</v>
          </cell>
          <cell r="E2393" t="str">
            <v>Compensation of employees</v>
          </cell>
          <cell r="F2393">
            <v>12</v>
          </cell>
          <cell r="G2393">
            <v>1992</v>
          </cell>
          <cell r="H2393">
            <v>10</v>
          </cell>
          <cell r="I2393">
            <v>12012000000</v>
          </cell>
        </row>
        <row r="2394">
          <cell r="A2394" t="str">
            <v>Trinidad and Tobago</v>
          </cell>
          <cell r="B2394">
            <v>780</v>
          </cell>
          <cell r="C2394">
            <v>203</v>
          </cell>
          <cell r="D2394">
            <v>4</v>
          </cell>
          <cell r="E2394" t="str">
            <v>Compensation of employees</v>
          </cell>
          <cell r="F2394">
            <v>12</v>
          </cell>
          <cell r="G2394">
            <v>1992</v>
          </cell>
          <cell r="H2394">
            <v>100</v>
          </cell>
          <cell r="I2394">
            <v>12020000000</v>
          </cell>
        </row>
        <row r="2395">
          <cell r="A2395" t="str">
            <v>Trinidad and Tobago</v>
          </cell>
          <cell r="B2395">
            <v>780</v>
          </cell>
          <cell r="C2395">
            <v>203</v>
          </cell>
          <cell r="D2395">
            <v>4</v>
          </cell>
          <cell r="E2395" t="str">
            <v>Compensation of employees</v>
          </cell>
          <cell r="F2395">
            <v>12</v>
          </cell>
          <cell r="G2395">
            <v>1993</v>
          </cell>
          <cell r="H2395">
            <v>100</v>
          </cell>
          <cell r="I2395">
            <v>12622000000</v>
          </cell>
        </row>
        <row r="2396">
          <cell r="A2396" t="str">
            <v>Trinidad and Tobago</v>
          </cell>
          <cell r="B2396">
            <v>780</v>
          </cell>
          <cell r="C2396">
            <v>203</v>
          </cell>
          <cell r="D2396">
            <v>4</v>
          </cell>
          <cell r="E2396" t="str">
            <v>Compensation of employees</v>
          </cell>
          <cell r="F2396">
            <v>12</v>
          </cell>
          <cell r="G2396">
            <v>1994</v>
          </cell>
          <cell r="H2396">
            <v>100</v>
          </cell>
          <cell r="I2396">
            <v>13146000000</v>
          </cell>
        </row>
        <row r="2397">
          <cell r="A2397" t="str">
            <v>Trinidad and Tobago</v>
          </cell>
          <cell r="B2397">
            <v>780</v>
          </cell>
          <cell r="C2397">
            <v>203</v>
          </cell>
          <cell r="D2397">
            <v>4</v>
          </cell>
          <cell r="E2397" t="str">
            <v>Compensation of employees</v>
          </cell>
          <cell r="F2397">
            <v>12</v>
          </cell>
          <cell r="G2397">
            <v>1995</v>
          </cell>
          <cell r="H2397">
            <v>100</v>
          </cell>
          <cell r="I2397">
            <v>14017000000</v>
          </cell>
        </row>
        <row r="2398">
          <cell r="A2398" t="str">
            <v>Trinidad and Tobago</v>
          </cell>
          <cell r="B2398">
            <v>780</v>
          </cell>
          <cell r="C2398">
            <v>203</v>
          </cell>
          <cell r="D2398">
            <v>4</v>
          </cell>
          <cell r="E2398" t="str">
            <v>Compensation of employees</v>
          </cell>
          <cell r="F2398">
            <v>12</v>
          </cell>
          <cell r="G2398">
            <v>1996</v>
          </cell>
          <cell r="H2398">
            <v>100</v>
          </cell>
          <cell r="I2398">
            <v>15367000000</v>
          </cell>
        </row>
        <row r="2399">
          <cell r="A2399" t="str">
            <v>Trinidad and Tobago</v>
          </cell>
          <cell r="B2399">
            <v>780</v>
          </cell>
          <cell r="C2399">
            <v>203</v>
          </cell>
          <cell r="D2399">
            <v>4</v>
          </cell>
          <cell r="E2399" t="str">
            <v>Compensation of employees</v>
          </cell>
          <cell r="F2399">
            <v>12</v>
          </cell>
          <cell r="G2399">
            <v>1997</v>
          </cell>
          <cell r="H2399">
            <v>100</v>
          </cell>
          <cell r="I2399">
            <v>15319000000</v>
          </cell>
        </row>
        <row r="2400">
          <cell r="A2400" t="str">
            <v>Trinidad and Tobago</v>
          </cell>
          <cell r="B2400">
            <v>780</v>
          </cell>
          <cell r="C2400">
            <v>203</v>
          </cell>
          <cell r="D2400">
            <v>4</v>
          </cell>
          <cell r="E2400" t="str">
            <v>Compensation of employees</v>
          </cell>
          <cell r="F2400">
            <v>12</v>
          </cell>
          <cell r="G2400">
            <v>1998</v>
          </cell>
          <cell r="H2400">
            <v>100</v>
          </cell>
          <cell r="I2400">
            <v>16480000000</v>
          </cell>
        </row>
        <row r="2401">
          <cell r="A2401" t="str">
            <v>Trinidad and Tobago</v>
          </cell>
          <cell r="B2401">
            <v>780</v>
          </cell>
          <cell r="C2401">
            <v>203</v>
          </cell>
          <cell r="D2401">
            <v>4</v>
          </cell>
          <cell r="E2401" t="str">
            <v>Compensation of employees</v>
          </cell>
          <cell r="F2401">
            <v>12</v>
          </cell>
          <cell r="G2401">
            <v>1999</v>
          </cell>
          <cell r="H2401">
            <v>100</v>
          </cell>
          <cell r="I2401">
            <v>18780000000</v>
          </cell>
        </row>
        <row r="2402">
          <cell r="A2402" t="str">
            <v>Trinidad and Tobago</v>
          </cell>
          <cell r="B2402">
            <v>780</v>
          </cell>
          <cell r="C2402">
            <v>203</v>
          </cell>
          <cell r="D2402">
            <v>4</v>
          </cell>
          <cell r="E2402" t="str">
            <v>Compensation of employees</v>
          </cell>
          <cell r="F2402">
            <v>12</v>
          </cell>
          <cell r="G2402">
            <v>2000</v>
          </cell>
          <cell r="H2402">
            <v>100</v>
          </cell>
          <cell r="I2402">
            <v>19177000000</v>
          </cell>
        </row>
        <row r="2403">
          <cell r="A2403" t="str">
            <v>Trinidad and Tobago</v>
          </cell>
          <cell r="B2403">
            <v>780</v>
          </cell>
          <cell r="C2403">
            <v>203</v>
          </cell>
          <cell r="D2403">
            <v>4</v>
          </cell>
          <cell r="E2403" t="str">
            <v>Compensation of employees</v>
          </cell>
          <cell r="F2403">
            <v>12</v>
          </cell>
          <cell r="G2403">
            <v>2001</v>
          </cell>
          <cell r="H2403">
            <v>100</v>
          </cell>
          <cell r="I2403">
            <v>20896000000</v>
          </cell>
        </row>
        <row r="2404">
          <cell r="A2404" t="str">
            <v>Trinidad and Tobago</v>
          </cell>
          <cell r="B2404">
            <v>780</v>
          </cell>
          <cell r="C2404">
            <v>203</v>
          </cell>
          <cell r="D2404">
            <v>11</v>
          </cell>
          <cell r="E2404" t="str">
            <v>OPERATING SURPLUS, GROSS</v>
          </cell>
          <cell r="F2404">
            <v>12</v>
          </cell>
          <cell r="G2404">
            <v>1970</v>
          </cell>
          <cell r="H2404">
            <v>10</v>
          </cell>
          <cell r="I2404">
            <v>736000000</v>
          </cell>
        </row>
        <row r="2405">
          <cell r="A2405" t="str">
            <v>Trinidad and Tobago</v>
          </cell>
          <cell r="B2405">
            <v>780</v>
          </cell>
          <cell r="C2405">
            <v>203</v>
          </cell>
          <cell r="D2405">
            <v>11</v>
          </cell>
          <cell r="E2405" t="str">
            <v>OPERATING SURPLUS, GROSS</v>
          </cell>
          <cell r="F2405">
            <v>12</v>
          </cell>
          <cell r="G2405">
            <v>1971</v>
          </cell>
          <cell r="H2405">
            <v>10</v>
          </cell>
          <cell r="I2405">
            <v>728000000</v>
          </cell>
        </row>
        <row r="2406">
          <cell r="A2406" t="str">
            <v>Trinidad and Tobago</v>
          </cell>
          <cell r="B2406">
            <v>780</v>
          </cell>
          <cell r="C2406">
            <v>203</v>
          </cell>
          <cell r="D2406">
            <v>11</v>
          </cell>
          <cell r="E2406" t="str">
            <v>OPERATING SURPLUS, GROSS</v>
          </cell>
          <cell r="F2406">
            <v>12</v>
          </cell>
          <cell r="G2406">
            <v>1972</v>
          </cell>
          <cell r="H2406">
            <v>10</v>
          </cell>
          <cell r="I2406">
            <v>856000000</v>
          </cell>
        </row>
        <row r="2407">
          <cell r="A2407" t="str">
            <v>Trinidad and Tobago</v>
          </cell>
          <cell r="B2407">
            <v>780</v>
          </cell>
          <cell r="C2407">
            <v>203</v>
          </cell>
          <cell r="D2407">
            <v>11</v>
          </cell>
          <cell r="E2407" t="str">
            <v>OPERATING SURPLUS, GROSS</v>
          </cell>
          <cell r="F2407">
            <v>12</v>
          </cell>
          <cell r="G2407">
            <v>1973</v>
          </cell>
          <cell r="H2407">
            <v>10</v>
          </cell>
          <cell r="I2407">
            <v>1187000000</v>
          </cell>
        </row>
        <row r="2408">
          <cell r="A2408" t="str">
            <v>Trinidad and Tobago</v>
          </cell>
          <cell r="B2408">
            <v>780</v>
          </cell>
          <cell r="C2408">
            <v>203</v>
          </cell>
          <cell r="D2408">
            <v>11</v>
          </cell>
          <cell r="E2408" t="str">
            <v>OPERATING SURPLUS, GROSS</v>
          </cell>
          <cell r="F2408">
            <v>12</v>
          </cell>
          <cell r="G2408">
            <v>1974</v>
          </cell>
          <cell r="H2408">
            <v>10</v>
          </cell>
          <cell r="I2408">
            <v>2652000000</v>
          </cell>
        </row>
        <row r="2409">
          <cell r="A2409" t="str">
            <v>Trinidad and Tobago</v>
          </cell>
          <cell r="B2409">
            <v>780</v>
          </cell>
          <cell r="C2409">
            <v>203</v>
          </cell>
          <cell r="D2409">
            <v>11</v>
          </cell>
          <cell r="E2409" t="str">
            <v>OPERATING SURPLUS, GROSS</v>
          </cell>
          <cell r="F2409">
            <v>12</v>
          </cell>
          <cell r="G2409">
            <v>1975</v>
          </cell>
          <cell r="H2409">
            <v>10</v>
          </cell>
          <cell r="I2409">
            <v>3412000000</v>
          </cell>
        </row>
        <row r="2410">
          <cell r="A2410" t="str">
            <v>Trinidad and Tobago</v>
          </cell>
          <cell r="B2410">
            <v>780</v>
          </cell>
          <cell r="C2410">
            <v>203</v>
          </cell>
          <cell r="D2410">
            <v>11</v>
          </cell>
          <cell r="E2410" t="str">
            <v>OPERATING SURPLUS, GROSS</v>
          </cell>
          <cell r="F2410">
            <v>12</v>
          </cell>
          <cell r="G2410">
            <v>1976</v>
          </cell>
          <cell r="H2410">
            <v>10</v>
          </cell>
          <cell r="I2410">
            <v>3793000000</v>
          </cell>
        </row>
        <row r="2411">
          <cell r="A2411" t="str">
            <v>Trinidad and Tobago</v>
          </cell>
          <cell r="B2411">
            <v>780</v>
          </cell>
          <cell r="C2411">
            <v>203</v>
          </cell>
          <cell r="D2411">
            <v>11</v>
          </cell>
          <cell r="E2411" t="str">
            <v>OPERATING SURPLUS, GROSS</v>
          </cell>
          <cell r="F2411">
            <v>12</v>
          </cell>
          <cell r="G2411">
            <v>1977</v>
          </cell>
          <cell r="H2411">
            <v>10</v>
          </cell>
          <cell r="I2411">
            <v>4648000000</v>
          </cell>
        </row>
        <row r="2412">
          <cell r="A2412" t="str">
            <v>Trinidad and Tobago</v>
          </cell>
          <cell r="B2412">
            <v>780</v>
          </cell>
          <cell r="C2412">
            <v>203</v>
          </cell>
          <cell r="D2412">
            <v>11</v>
          </cell>
          <cell r="E2412" t="str">
            <v>OPERATING SURPLUS, GROSS</v>
          </cell>
          <cell r="F2412">
            <v>12</v>
          </cell>
          <cell r="G2412">
            <v>1978</v>
          </cell>
          <cell r="H2412">
            <v>10</v>
          </cell>
          <cell r="I2412">
            <v>5013000000</v>
          </cell>
        </row>
        <row r="2413">
          <cell r="A2413" t="str">
            <v>Trinidad and Tobago</v>
          </cell>
          <cell r="B2413">
            <v>780</v>
          </cell>
          <cell r="C2413">
            <v>203</v>
          </cell>
          <cell r="D2413">
            <v>11</v>
          </cell>
          <cell r="E2413" t="str">
            <v>OPERATING SURPLUS, GROSS</v>
          </cell>
          <cell r="F2413">
            <v>12</v>
          </cell>
          <cell r="G2413">
            <v>1979</v>
          </cell>
          <cell r="H2413">
            <v>10</v>
          </cell>
          <cell r="I2413">
            <v>6903000000</v>
          </cell>
        </row>
        <row r="2414">
          <cell r="A2414" t="str">
            <v>Trinidad and Tobago</v>
          </cell>
          <cell r="B2414">
            <v>780</v>
          </cell>
          <cell r="C2414">
            <v>203</v>
          </cell>
          <cell r="D2414">
            <v>11</v>
          </cell>
          <cell r="E2414" t="str">
            <v>OPERATING SURPLUS, GROSS</v>
          </cell>
          <cell r="F2414">
            <v>12</v>
          </cell>
          <cell r="G2414">
            <v>1980</v>
          </cell>
          <cell r="H2414">
            <v>10</v>
          </cell>
          <cell r="I2414">
            <v>10204000000</v>
          </cell>
        </row>
        <row r="2415">
          <cell r="A2415" t="str">
            <v>Trinidad and Tobago</v>
          </cell>
          <cell r="B2415">
            <v>780</v>
          </cell>
          <cell r="C2415">
            <v>203</v>
          </cell>
          <cell r="D2415">
            <v>11</v>
          </cell>
          <cell r="E2415" t="str">
            <v>OPERATING SURPLUS, GROSS</v>
          </cell>
          <cell r="F2415">
            <v>12</v>
          </cell>
          <cell r="G2415">
            <v>1981</v>
          </cell>
          <cell r="H2415">
            <v>10</v>
          </cell>
          <cell r="I2415">
            <v>10216000000</v>
          </cell>
        </row>
        <row r="2416">
          <cell r="A2416" t="str">
            <v>Trinidad and Tobago</v>
          </cell>
          <cell r="B2416">
            <v>780</v>
          </cell>
          <cell r="C2416">
            <v>203</v>
          </cell>
          <cell r="D2416">
            <v>11</v>
          </cell>
          <cell r="E2416" t="str">
            <v>OPERATING SURPLUS, GROSS</v>
          </cell>
          <cell r="F2416">
            <v>12</v>
          </cell>
          <cell r="G2416">
            <v>1982</v>
          </cell>
          <cell r="H2416">
            <v>10</v>
          </cell>
          <cell r="I2416">
            <v>10347000000</v>
          </cell>
        </row>
        <row r="2417">
          <cell r="A2417" t="str">
            <v>Trinidad and Tobago</v>
          </cell>
          <cell r="B2417">
            <v>780</v>
          </cell>
          <cell r="C2417">
            <v>203</v>
          </cell>
          <cell r="D2417">
            <v>11</v>
          </cell>
          <cell r="E2417" t="str">
            <v>OPERATING SURPLUS, GROSS</v>
          </cell>
          <cell r="F2417">
            <v>12</v>
          </cell>
          <cell r="G2417">
            <v>1983</v>
          </cell>
          <cell r="H2417">
            <v>10</v>
          </cell>
          <cell r="I2417">
            <v>9428000000</v>
          </cell>
        </row>
        <row r="2418">
          <cell r="A2418" t="str">
            <v>Trinidad and Tobago</v>
          </cell>
          <cell r="B2418">
            <v>780</v>
          </cell>
          <cell r="C2418">
            <v>203</v>
          </cell>
          <cell r="D2418">
            <v>11</v>
          </cell>
          <cell r="E2418" t="str">
            <v>OPERATING SURPLUS, GROSS</v>
          </cell>
          <cell r="F2418">
            <v>12</v>
          </cell>
          <cell r="G2418">
            <v>1984</v>
          </cell>
          <cell r="H2418">
            <v>10</v>
          </cell>
          <cell r="I2418">
            <v>8570000000</v>
          </cell>
        </row>
        <row r="2419">
          <cell r="A2419" t="str">
            <v>Trinidad and Tobago</v>
          </cell>
          <cell r="B2419">
            <v>780</v>
          </cell>
          <cell r="C2419">
            <v>203</v>
          </cell>
          <cell r="D2419">
            <v>11</v>
          </cell>
          <cell r="E2419" t="str">
            <v>OPERATING SURPLUS, GROSS</v>
          </cell>
          <cell r="F2419">
            <v>12</v>
          </cell>
          <cell r="G2419">
            <v>1985</v>
          </cell>
          <cell r="H2419">
            <v>10</v>
          </cell>
          <cell r="I2419">
            <v>7989000000</v>
          </cell>
        </row>
        <row r="2420">
          <cell r="A2420" t="str">
            <v>Trinidad and Tobago</v>
          </cell>
          <cell r="B2420">
            <v>780</v>
          </cell>
          <cell r="C2420">
            <v>203</v>
          </cell>
          <cell r="D2420">
            <v>11</v>
          </cell>
          <cell r="E2420" t="str">
            <v>OPERATING SURPLUS, GROSS</v>
          </cell>
          <cell r="F2420">
            <v>12</v>
          </cell>
          <cell r="G2420">
            <v>1986</v>
          </cell>
          <cell r="H2420">
            <v>10</v>
          </cell>
          <cell r="I2420">
            <v>6782000000</v>
          </cell>
        </row>
        <row r="2421">
          <cell r="A2421" t="str">
            <v>Trinidad and Tobago</v>
          </cell>
          <cell r="B2421">
            <v>780</v>
          </cell>
          <cell r="C2421">
            <v>203</v>
          </cell>
          <cell r="D2421">
            <v>11</v>
          </cell>
          <cell r="E2421" t="str">
            <v>OPERATING SURPLUS, GROSS</v>
          </cell>
          <cell r="F2421">
            <v>12</v>
          </cell>
          <cell r="G2421">
            <v>1987</v>
          </cell>
          <cell r="H2421">
            <v>10</v>
          </cell>
          <cell r="I2421">
            <v>7189000000</v>
          </cell>
        </row>
        <row r="2422">
          <cell r="A2422" t="str">
            <v>Trinidad and Tobago</v>
          </cell>
          <cell r="B2422">
            <v>780</v>
          </cell>
          <cell r="C2422">
            <v>203</v>
          </cell>
          <cell r="D2422">
            <v>11</v>
          </cell>
          <cell r="E2422" t="str">
            <v>OPERATING SURPLUS, GROSS</v>
          </cell>
          <cell r="F2422">
            <v>12</v>
          </cell>
          <cell r="G2422">
            <v>1988</v>
          </cell>
          <cell r="H2422">
            <v>10</v>
          </cell>
          <cell r="I2422">
            <v>7190000000</v>
          </cell>
        </row>
        <row r="2423">
          <cell r="A2423" t="str">
            <v>Trinidad and Tobago</v>
          </cell>
          <cell r="B2423">
            <v>780</v>
          </cell>
          <cell r="C2423">
            <v>203</v>
          </cell>
          <cell r="D2423">
            <v>11</v>
          </cell>
          <cell r="E2423" t="str">
            <v>OPERATING SURPLUS, GROSS</v>
          </cell>
          <cell r="F2423">
            <v>12</v>
          </cell>
          <cell r="G2423">
            <v>1989</v>
          </cell>
          <cell r="H2423">
            <v>10</v>
          </cell>
          <cell r="I2423">
            <v>8398000000</v>
          </cell>
        </row>
        <row r="2424">
          <cell r="A2424" t="str">
            <v>Trinidad and Tobago</v>
          </cell>
          <cell r="B2424">
            <v>780</v>
          </cell>
          <cell r="C2424">
            <v>203</v>
          </cell>
          <cell r="D2424">
            <v>11</v>
          </cell>
          <cell r="E2424" t="str">
            <v>OPERATING SURPLUS, GROSS</v>
          </cell>
          <cell r="F2424">
            <v>12</v>
          </cell>
          <cell r="G2424">
            <v>1990</v>
          </cell>
          <cell r="H2424">
            <v>10</v>
          </cell>
          <cell r="I2424">
            <v>9878000000</v>
          </cell>
        </row>
        <row r="2425">
          <cell r="A2425" t="str">
            <v>Trinidad and Tobago</v>
          </cell>
          <cell r="B2425">
            <v>780</v>
          </cell>
          <cell r="C2425">
            <v>203</v>
          </cell>
          <cell r="D2425">
            <v>11</v>
          </cell>
          <cell r="E2425" t="str">
            <v>OPERATING SURPLUS, GROSS</v>
          </cell>
          <cell r="F2425">
            <v>12</v>
          </cell>
          <cell r="G2425">
            <v>1991</v>
          </cell>
          <cell r="H2425">
            <v>10</v>
          </cell>
          <cell r="I2425">
            <v>10080000000</v>
          </cell>
        </row>
        <row r="2426">
          <cell r="A2426" t="str">
            <v>Trinidad and Tobago</v>
          </cell>
          <cell r="B2426">
            <v>780</v>
          </cell>
          <cell r="C2426">
            <v>203</v>
          </cell>
          <cell r="D2426">
            <v>11</v>
          </cell>
          <cell r="E2426" t="str">
            <v>OPERATING SURPLUS, GROSS</v>
          </cell>
          <cell r="F2426">
            <v>12</v>
          </cell>
          <cell r="G2426">
            <v>1992</v>
          </cell>
          <cell r="H2426">
            <v>10</v>
          </cell>
          <cell r="I2426">
            <v>10326000000</v>
          </cell>
        </row>
        <row r="2427">
          <cell r="A2427" t="str">
            <v>Trinidad and Tobago</v>
          </cell>
          <cell r="B2427">
            <v>780</v>
          </cell>
          <cell r="C2427">
            <v>203</v>
          </cell>
          <cell r="D2427">
            <v>11</v>
          </cell>
          <cell r="E2427" t="str">
            <v>OPERATING SURPLUS, GROSS</v>
          </cell>
          <cell r="F2427">
            <v>12</v>
          </cell>
          <cell r="G2427">
            <v>1992</v>
          </cell>
          <cell r="H2427">
            <v>100</v>
          </cell>
          <cell r="I2427">
            <v>10326000000</v>
          </cell>
        </row>
        <row r="2428">
          <cell r="A2428" t="str">
            <v>Trinidad and Tobago</v>
          </cell>
          <cell r="B2428">
            <v>780</v>
          </cell>
          <cell r="C2428">
            <v>203</v>
          </cell>
          <cell r="D2428">
            <v>11</v>
          </cell>
          <cell r="E2428" t="str">
            <v>OPERATING SURPLUS, GROSS</v>
          </cell>
          <cell r="F2428">
            <v>12</v>
          </cell>
          <cell r="G2428">
            <v>1993</v>
          </cell>
          <cell r="H2428">
            <v>100</v>
          </cell>
          <cell r="I2428">
            <v>10893000000</v>
          </cell>
        </row>
        <row r="2429">
          <cell r="A2429" t="str">
            <v>Trinidad and Tobago</v>
          </cell>
          <cell r="B2429">
            <v>780</v>
          </cell>
          <cell r="C2429">
            <v>203</v>
          </cell>
          <cell r="D2429">
            <v>11</v>
          </cell>
          <cell r="E2429" t="str">
            <v>OPERATING SURPLUS, GROSS</v>
          </cell>
          <cell r="F2429">
            <v>12</v>
          </cell>
          <cell r="G2429">
            <v>1994</v>
          </cell>
          <cell r="H2429">
            <v>100</v>
          </cell>
          <cell r="I2429">
            <v>13899000000</v>
          </cell>
        </row>
        <row r="2430">
          <cell r="A2430" t="str">
            <v>Trinidad and Tobago</v>
          </cell>
          <cell r="B2430">
            <v>780</v>
          </cell>
          <cell r="C2430">
            <v>203</v>
          </cell>
          <cell r="D2430">
            <v>11</v>
          </cell>
          <cell r="E2430" t="str">
            <v>OPERATING SURPLUS, GROSS</v>
          </cell>
          <cell r="F2430">
            <v>12</v>
          </cell>
          <cell r="G2430">
            <v>1995</v>
          </cell>
          <cell r="H2430">
            <v>100</v>
          </cell>
          <cell r="I2430">
            <v>12659000000</v>
          </cell>
        </row>
        <row r="2431">
          <cell r="A2431" t="str">
            <v>Trinidad and Tobago</v>
          </cell>
          <cell r="B2431">
            <v>780</v>
          </cell>
          <cell r="C2431">
            <v>203</v>
          </cell>
          <cell r="D2431">
            <v>11</v>
          </cell>
          <cell r="E2431" t="str">
            <v>OPERATING SURPLUS, GROSS</v>
          </cell>
          <cell r="F2431">
            <v>12</v>
          </cell>
          <cell r="G2431">
            <v>1996</v>
          </cell>
          <cell r="H2431">
            <v>100</v>
          </cell>
          <cell r="I2431">
            <v>13415000000</v>
          </cell>
        </row>
        <row r="2432">
          <cell r="A2432" t="str">
            <v>Trinidad and Tobago</v>
          </cell>
          <cell r="B2432">
            <v>780</v>
          </cell>
          <cell r="C2432">
            <v>203</v>
          </cell>
          <cell r="D2432">
            <v>11</v>
          </cell>
          <cell r="E2432" t="str">
            <v>OPERATING SURPLUS, GROSS</v>
          </cell>
          <cell r="F2432">
            <v>12</v>
          </cell>
          <cell r="G2432">
            <v>1997</v>
          </cell>
          <cell r="H2432">
            <v>100</v>
          </cell>
          <cell r="I2432">
            <v>13954000000</v>
          </cell>
        </row>
        <row r="2433">
          <cell r="A2433" t="str">
            <v>Trinidad and Tobago</v>
          </cell>
          <cell r="B2433">
            <v>780</v>
          </cell>
          <cell r="C2433">
            <v>203</v>
          </cell>
          <cell r="D2433">
            <v>11</v>
          </cell>
          <cell r="E2433" t="str">
            <v>OPERATING SURPLUS, GROSS</v>
          </cell>
          <cell r="F2433">
            <v>12</v>
          </cell>
          <cell r="G2433">
            <v>1998</v>
          </cell>
          <cell r="H2433">
            <v>100</v>
          </cell>
          <cell r="I2433">
            <v>13620000000</v>
          </cell>
        </row>
        <row r="2434">
          <cell r="A2434" t="str">
            <v>Trinidad and Tobago</v>
          </cell>
          <cell r="B2434">
            <v>780</v>
          </cell>
          <cell r="C2434">
            <v>203</v>
          </cell>
          <cell r="D2434">
            <v>11</v>
          </cell>
          <cell r="E2434" t="str">
            <v>OPERATING SURPLUS, GROSS</v>
          </cell>
          <cell r="F2434">
            <v>12</v>
          </cell>
          <cell r="G2434">
            <v>1999</v>
          </cell>
          <cell r="H2434">
            <v>100</v>
          </cell>
          <cell r="I2434">
            <v>16054000000</v>
          </cell>
        </row>
        <row r="2435">
          <cell r="A2435" t="str">
            <v>Trinidad and Tobago</v>
          </cell>
          <cell r="B2435">
            <v>780</v>
          </cell>
          <cell r="C2435">
            <v>203</v>
          </cell>
          <cell r="D2435">
            <v>11</v>
          </cell>
          <cell r="E2435" t="str">
            <v>OPERATING SURPLUS, GROSS</v>
          </cell>
          <cell r="F2435">
            <v>12</v>
          </cell>
          <cell r="G2435">
            <v>2000</v>
          </cell>
          <cell r="H2435">
            <v>100</v>
          </cell>
          <cell r="I2435">
            <v>23919000000</v>
          </cell>
        </row>
        <row r="2436">
          <cell r="A2436" t="str">
            <v>Trinidad and Tobago</v>
          </cell>
          <cell r="B2436">
            <v>780</v>
          </cell>
          <cell r="C2436">
            <v>203</v>
          </cell>
          <cell r="D2436">
            <v>11</v>
          </cell>
          <cell r="E2436" t="str">
            <v>OPERATING SURPLUS, GROSS</v>
          </cell>
          <cell r="F2436">
            <v>12</v>
          </cell>
          <cell r="G2436">
            <v>2001</v>
          </cell>
          <cell r="H2436">
            <v>100</v>
          </cell>
          <cell r="I2436">
            <v>26221000000</v>
          </cell>
        </row>
        <row r="2437">
          <cell r="A2437" t="str">
            <v>Trinidad and Tobago</v>
          </cell>
          <cell r="B2437">
            <v>780</v>
          </cell>
          <cell r="C2437">
            <v>203</v>
          </cell>
          <cell r="D2437">
            <v>22</v>
          </cell>
          <cell r="E2437" t="str">
            <v>Taxes on production and imports, less Subsidies</v>
          </cell>
          <cell r="F2437">
            <v>12</v>
          </cell>
          <cell r="G2437">
            <v>1970</v>
          </cell>
          <cell r="H2437">
            <v>10</v>
          </cell>
          <cell r="I2437">
            <v>93000000</v>
          </cell>
        </row>
        <row r="2438">
          <cell r="A2438" t="str">
            <v>Trinidad and Tobago</v>
          </cell>
          <cell r="B2438">
            <v>780</v>
          </cell>
          <cell r="C2438">
            <v>203</v>
          </cell>
          <cell r="D2438">
            <v>22</v>
          </cell>
          <cell r="E2438" t="str">
            <v>Taxes on production and imports, less Subsidies</v>
          </cell>
          <cell r="F2438">
            <v>12</v>
          </cell>
          <cell r="G2438">
            <v>1971</v>
          </cell>
          <cell r="H2438">
            <v>10</v>
          </cell>
          <cell r="I2438">
            <v>105000000</v>
          </cell>
        </row>
        <row r="2439">
          <cell r="A2439" t="str">
            <v>Trinidad and Tobago</v>
          </cell>
          <cell r="B2439">
            <v>780</v>
          </cell>
          <cell r="C2439">
            <v>203</v>
          </cell>
          <cell r="D2439">
            <v>22</v>
          </cell>
          <cell r="E2439" t="str">
            <v>Taxes on production and imports, less Subsidies</v>
          </cell>
          <cell r="F2439">
            <v>12</v>
          </cell>
          <cell r="G2439">
            <v>1972</v>
          </cell>
          <cell r="H2439">
            <v>10</v>
          </cell>
          <cell r="I2439">
            <v>127000000</v>
          </cell>
        </row>
        <row r="2440">
          <cell r="A2440" t="str">
            <v>Trinidad and Tobago</v>
          </cell>
          <cell r="B2440">
            <v>780</v>
          </cell>
          <cell r="C2440">
            <v>203</v>
          </cell>
          <cell r="D2440">
            <v>22</v>
          </cell>
          <cell r="E2440" t="str">
            <v>Taxes on production and imports, less Subsidies</v>
          </cell>
          <cell r="F2440">
            <v>12</v>
          </cell>
          <cell r="G2440">
            <v>1973</v>
          </cell>
          <cell r="H2440">
            <v>10</v>
          </cell>
          <cell r="I2440">
            <v>133000000</v>
          </cell>
        </row>
        <row r="2441">
          <cell r="A2441" t="str">
            <v>Trinidad and Tobago</v>
          </cell>
          <cell r="B2441">
            <v>780</v>
          </cell>
          <cell r="C2441">
            <v>203</v>
          </cell>
          <cell r="D2441">
            <v>22</v>
          </cell>
          <cell r="E2441" t="str">
            <v>Taxes on production and imports, less Subsidies</v>
          </cell>
          <cell r="F2441">
            <v>12</v>
          </cell>
          <cell r="G2441">
            <v>1974</v>
          </cell>
          <cell r="H2441">
            <v>10</v>
          </cell>
          <cell r="I2441">
            <v>76000000</v>
          </cell>
        </row>
        <row r="2442">
          <cell r="A2442" t="str">
            <v>Trinidad and Tobago</v>
          </cell>
          <cell r="B2442">
            <v>780</v>
          </cell>
          <cell r="C2442">
            <v>203</v>
          </cell>
          <cell r="D2442">
            <v>22</v>
          </cell>
          <cell r="E2442" t="str">
            <v>Taxes on production and imports, less Subsidies</v>
          </cell>
          <cell r="F2442">
            <v>12</v>
          </cell>
          <cell r="G2442">
            <v>1975</v>
          </cell>
          <cell r="H2442">
            <v>10</v>
          </cell>
          <cell r="I2442">
            <v>91000000</v>
          </cell>
        </row>
        <row r="2443">
          <cell r="A2443" t="str">
            <v>Trinidad and Tobago</v>
          </cell>
          <cell r="B2443">
            <v>780</v>
          </cell>
          <cell r="C2443">
            <v>203</v>
          </cell>
          <cell r="D2443">
            <v>22</v>
          </cell>
          <cell r="E2443" t="str">
            <v>Taxes on production and imports, less Subsidies</v>
          </cell>
          <cell r="F2443">
            <v>12</v>
          </cell>
          <cell r="G2443">
            <v>1976</v>
          </cell>
          <cell r="H2443">
            <v>10</v>
          </cell>
          <cell r="I2443">
            <v>61000000</v>
          </cell>
        </row>
        <row r="2444">
          <cell r="A2444" t="str">
            <v>Trinidad and Tobago</v>
          </cell>
          <cell r="B2444">
            <v>780</v>
          </cell>
          <cell r="C2444">
            <v>203</v>
          </cell>
          <cell r="D2444">
            <v>22</v>
          </cell>
          <cell r="E2444" t="str">
            <v>Taxes on production and imports, less Subsidies</v>
          </cell>
          <cell r="F2444">
            <v>12</v>
          </cell>
          <cell r="G2444">
            <v>1977</v>
          </cell>
          <cell r="H2444">
            <v>10</v>
          </cell>
          <cell r="I2444">
            <v>114000000</v>
          </cell>
        </row>
        <row r="2445">
          <cell r="A2445" t="str">
            <v>Trinidad and Tobago</v>
          </cell>
          <cell r="B2445">
            <v>780</v>
          </cell>
          <cell r="C2445">
            <v>203</v>
          </cell>
          <cell r="D2445">
            <v>22</v>
          </cell>
          <cell r="E2445" t="str">
            <v>Taxes on production and imports, less Subsidies</v>
          </cell>
          <cell r="F2445">
            <v>12</v>
          </cell>
          <cell r="G2445">
            <v>1978</v>
          </cell>
          <cell r="H2445">
            <v>10</v>
          </cell>
          <cell r="I2445">
            <v>50000000</v>
          </cell>
        </row>
        <row r="2446">
          <cell r="A2446" t="str">
            <v>Trinidad and Tobago</v>
          </cell>
          <cell r="B2446">
            <v>780</v>
          </cell>
          <cell r="C2446">
            <v>203</v>
          </cell>
          <cell r="D2446">
            <v>22</v>
          </cell>
          <cell r="E2446" t="str">
            <v>Taxes on production and imports, less Subsidies</v>
          </cell>
          <cell r="F2446">
            <v>12</v>
          </cell>
          <cell r="G2446">
            <v>1979</v>
          </cell>
          <cell r="H2446">
            <v>10</v>
          </cell>
          <cell r="I2446">
            <v>-230000000</v>
          </cell>
        </row>
        <row r="2447">
          <cell r="A2447" t="str">
            <v>Trinidad and Tobago</v>
          </cell>
          <cell r="B2447">
            <v>780</v>
          </cell>
          <cell r="C2447">
            <v>203</v>
          </cell>
          <cell r="D2447">
            <v>22</v>
          </cell>
          <cell r="E2447" t="str">
            <v>Taxes on production and imports, less Subsidies</v>
          </cell>
          <cell r="F2447">
            <v>12</v>
          </cell>
          <cell r="G2447">
            <v>1980</v>
          </cell>
          <cell r="H2447">
            <v>10</v>
          </cell>
          <cell r="I2447">
            <v>-589000000</v>
          </cell>
        </row>
        <row r="2448">
          <cell r="A2448" t="str">
            <v>Trinidad and Tobago</v>
          </cell>
          <cell r="B2448">
            <v>780</v>
          </cell>
          <cell r="C2448">
            <v>203</v>
          </cell>
          <cell r="D2448">
            <v>22</v>
          </cell>
          <cell r="E2448" t="str">
            <v>Taxes on production and imports, less Subsidies</v>
          </cell>
          <cell r="F2448">
            <v>12</v>
          </cell>
          <cell r="G2448">
            <v>1981</v>
          </cell>
          <cell r="H2448">
            <v>10</v>
          </cell>
          <cell r="I2448">
            <v>-537000000</v>
          </cell>
        </row>
        <row r="2449">
          <cell r="A2449" t="str">
            <v>Trinidad and Tobago</v>
          </cell>
          <cell r="B2449">
            <v>780</v>
          </cell>
          <cell r="C2449">
            <v>203</v>
          </cell>
          <cell r="D2449">
            <v>22</v>
          </cell>
          <cell r="E2449" t="str">
            <v>Taxes on production and imports, less Subsidies</v>
          </cell>
          <cell r="F2449">
            <v>12</v>
          </cell>
          <cell r="G2449">
            <v>1982</v>
          </cell>
          <cell r="H2449">
            <v>10</v>
          </cell>
          <cell r="I2449">
            <v>-848000000</v>
          </cell>
        </row>
        <row r="2450">
          <cell r="A2450" t="str">
            <v>Trinidad and Tobago</v>
          </cell>
          <cell r="B2450">
            <v>780</v>
          </cell>
          <cell r="C2450">
            <v>203</v>
          </cell>
          <cell r="D2450">
            <v>22</v>
          </cell>
          <cell r="E2450" t="str">
            <v>Taxes on production and imports, less Subsidies</v>
          </cell>
          <cell r="F2450">
            <v>12</v>
          </cell>
          <cell r="G2450">
            <v>1983</v>
          </cell>
          <cell r="H2450">
            <v>10</v>
          </cell>
          <cell r="I2450">
            <v>-665000000</v>
          </cell>
        </row>
        <row r="2451">
          <cell r="A2451" t="str">
            <v>Trinidad and Tobago</v>
          </cell>
          <cell r="B2451">
            <v>780</v>
          </cell>
          <cell r="C2451">
            <v>203</v>
          </cell>
          <cell r="D2451">
            <v>22</v>
          </cell>
          <cell r="E2451" t="str">
            <v>Taxes on production and imports, less Subsidies</v>
          </cell>
          <cell r="F2451">
            <v>12</v>
          </cell>
          <cell r="G2451">
            <v>1984</v>
          </cell>
          <cell r="H2451">
            <v>10</v>
          </cell>
          <cell r="I2451">
            <v>-37000000</v>
          </cell>
        </row>
        <row r="2452">
          <cell r="A2452" t="str">
            <v>Trinidad and Tobago</v>
          </cell>
          <cell r="B2452">
            <v>780</v>
          </cell>
          <cell r="C2452">
            <v>203</v>
          </cell>
          <cell r="D2452">
            <v>22</v>
          </cell>
          <cell r="E2452" t="str">
            <v>Taxes on production and imports, less Subsidies</v>
          </cell>
          <cell r="F2452">
            <v>12</v>
          </cell>
          <cell r="G2452">
            <v>1985</v>
          </cell>
          <cell r="H2452">
            <v>10</v>
          </cell>
          <cell r="I2452">
            <v>82000000</v>
          </cell>
        </row>
        <row r="2453">
          <cell r="A2453" t="str">
            <v>Trinidad and Tobago</v>
          </cell>
          <cell r="B2453">
            <v>780</v>
          </cell>
          <cell r="C2453">
            <v>203</v>
          </cell>
          <cell r="D2453">
            <v>22</v>
          </cell>
          <cell r="E2453" t="str">
            <v>Taxes on production and imports, less Subsidies</v>
          </cell>
          <cell r="F2453">
            <v>12</v>
          </cell>
          <cell r="G2453">
            <v>1986</v>
          </cell>
          <cell r="H2453">
            <v>10</v>
          </cell>
          <cell r="I2453">
            <v>403000000</v>
          </cell>
        </row>
        <row r="2454">
          <cell r="A2454" t="str">
            <v>Trinidad and Tobago</v>
          </cell>
          <cell r="B2454">
            <v>780</v>
          </cell>
          <cell r="C2454">
            <v>203</v>
          </cell>
          <cell r="D2454">
            <v>22</v>
          </cell>
          <cell r="E2454" t="str">
            <v>Taxes on production and imports, less Subsidies</v>
          </cell>
          <cell r="F2454">
            <v>12</v>
          </cell>
          <cell r="G2454">
            <v>1987</v>
          </cell>
          <cell r="H2454">
            <v>10</v>
          </cell>
          <cell r="I2454">
            <v>406000000</v>
          </cell>
        </row>
        <row r="2455">
          <cell r="A2455" t="str">
            <v>Trinidad and Tobago</v>
          </cell>
          <cell r="B2455">
            <v>780</v>
          </cell>
          <cell r="C2455">
            <v>203</v>
          </cell>
          <cell r="D2455">
            <v>22</v>
          </cell>
          <cell r="E2455" t="str">
            <v>Taxes on production and imports, less Subsidies</v>
          </cell>
          <cell r="F2455">
            <v>12</v>
          </cell>
          <cell r="G2455">
            <v>1988</v>
          </cell>
          <cell r="H2455">
            <v>10</v>
          </cell>
          <cell r="I2455">
            <v>650000000</v>
          </cell>
        </row>
        <row r="2456">
          <cell r="A2456" t="str">
            <v>Trinidad and Tobago</v>
          </cell>
          <cell r="B2456">
            <v>780</v>
          </cell>
          <cell r="C2456">
            <v>203</v>
          </cell>
          <cell r="D2456">
            <v>22</v>
          </cell>
          <cell r="E2456" t="str">
            <v>Taxes on production and imports, less Subsidies</v>
          </cell>
          <cell r="F2456">
            <v>12</v>
          </cell>
          <cell r="G2456">
            <v>1989</v>
          </cell>
          <cell r="H2456">
            <v>10</v>
          </cell>
          <cell r="I2456">
            <v>837000000</v>
          </cell>
        </row>
        <row r="2457">
          <cell r="A2457" t="str">
            <v>Trinidad and Tobago</v>
          </cell>
          <cell r="B2457">
            <v>780</v>
          </cell>
          <cell r="C2457">
            <v>203</v>
          </cell>
          <cell r="D2457">
            <v>22</v>
          </cell>
          <cell r="E2457" t="str">
            <v>Taxes on production and imports, less Subsidies</v>
          </cell>
          <cell r="F2457">
            <v>12</v>
          </cell>
          <cell r="G2457">
            <v>1990</v>
          </cell>
          <cell r="H2457">
            <v>10</v>
          </cell>
          <cell r="I2457">
            <v>531000000</v>
          </cell>
        </row>
        <row r="2458">
          <cell r="A2458" t="str">
            <v>Trinidad and Tobago</v>
          </cell>
          <cell r="B2458">
            <v>780</v>
          </cell>
          <cell r="C2458">
            <v>203</v>
          </cell>
          <cell r="D2458">
            <v>22</v>
          </cell>
          <cell r="E2458" t="str">
            <v>Taxes on production and imports, less Subsidies</v>
          </cell>
          <cell r="F2458">
            <v>12</v>
          </cell>
          <cell r="G2458">
            <v>1991</v>
          </cell>
          <cell r="H2458">
            <v>10</v>
          </cell>
          <cell r="I2458">
            <v>558000000</v>
          </cell>
        </row>
        <row r="2459">
          <cell r="A2459" t="str">
            <v>Trinidad and Tobago</v>
          </cell>
          <cell r="B2459">
            <v>780</v>
          </cell>
          <cell r="C2459">
            <v>203</v>
          </cell>
          <cell r="D2459">
            <v>22</v>
          </cell>
          <cell r="E2459" t="str">
            <v>Taxes on production and imports, less Subsidies</v>
          </cell>
          <cell r="F2459">
            <v>12</v>
          </cell>
          <cell r="G2459">
            <v>1992</v>
          </cell>
          <cell r="H2459">
            <v>10</v>
          </cell>
          <cell r="I2459">
            <v>862000000</v>
          </cell>
        </row>
        <row r="2460">
          <cell r="A2460" t="str">
            <v>Trinidad and Tobago</v>
          </cell>
          <cell r="B2460">
            <v>780</v>
          </cell>
          <cell r="C2460">
            <v>203</v>
          </cell>
          <cell r="D2460">
            <v>22</v>
          </cell>
          <cell r="E2460" t="str">
            <v>Taxes on production and imports, less Subsidies</v>
          </cell>
          <cell r="F2460">
            <v>12</v>
          </cell>
          <cell r="G2460">
            <v>1992</v>
          </cell>
          <cell r="H2460">
            <v>100</v>
          </cell>
          <cell r="I2460">
            <v>862000000</v>
          </cell>
        </row>
        <row r="2461">
          <cell r="A2461" t="str">
            <v>Trinidad and Tobago</v>
          </cell>
          <cell r="B2461">
            <v>780</v>
          </cell>
          <cell r="C2461">
            <v>203</v>
          </cell>
          <cell r="D2461">
            <v>22</v>
          </cell>
          <cell r="E2461" t="str">
            <v>Taxes on production and imports, less Subsidies</v>
          </cell>
          <cell r="F2461">
            <v>12</v>
          </cell>
          <cell r="G2461">
            <v>1993</v>
          </cell>
          <cell r="H2461">
            <v>100</v>
          </cell>
          <cell r="I2461">
            <v>1292000000</v>
          </cell>
        </row>
        <row r="2462">
          <cell r="A2462" t="str">
            <v>Trinidad and Tobago</v>
          </cell>
          <cell r="B2462">
            <v>780</v>
          </cell>
          <cell r="C2462">
            <v>203</v>
          </cell>
          <cell r="D2462">
            <v>22</v>
          </cell>
          <cell r="E2462" t="str">
            <v>Taxes on production and imports, less Subsidies</v>
          </cell>
          <cell r="F2462">
            <v>12</v>
          </cell>
          <cell r="G2462">
            <v>1994</v>
          </cell>
          <cell r="H2462">
            <v>100</v>
          </cell>
          <cell r="I2462">
            <v>1212000000</v>
          </cell>
        </row>
        <row r="2463">
          <cell r="A2463" t="str">
            <v>Trinidad and Tobago</v>
          </cell>
          <cell r="B2463">
            <v>780</v>
          </cell>
          <cell r="C2463">
            <v>203</v>
          </cell>
          <cell r="D2463">
            <v>22</v>
          </cell>
          <cell r="E2463" t="str">
            <v>Taxes on production and imports, less Subsidies</v>
          </cell>
          <cell r="F2463">
            <v>12</v>
          </cell>
          <cell r="G2463">
            <v>1995</v>
          </cell>
          <cell r="H2463">
            <v>100</v>
          </cell>
          <cell r="I2463">
            <v>837000000</v>
          </cell>
        </row>
        <row r="2464">
          <cell r="A2464" t="str">
            <v>Trinidad and Tobago</v>
          </cell>
          <cell r="B2464">
            <v>780</v>
          </cell>
          <cell r="C2464">
            <v>203</v>
          </cell>
          <cell r="D2464">
            <v>22</v>
          </cell>
          <cell r="E2464" t="str">
            <v>Taxes on production and imports, less Subsidies</v>
          </cell>
          <cell r="F2464">
            <v>12</v>
          </cell>
          <cell r="G2464">
            <v>1996</v>
          </cell>
          <cell r="H2464">
            <v>100</v>
          </cell>
          <cell r="I2464">
            <v>630000000</v>
          </cell>
        </row>
        <row r="2465">
          <cell r="A2465" t="str">
            <v>Trinidad and Tobago</v>
          </cell>
          <cell r="B2465">
            <v>780</v>
          </cell>
          <cell r="C2465">
            <v>203</v>
          </cell>
          <cell r="D2465">
            <v>22</v>
          </cell>
          <cell r="E2465" t="str">
            <v>Taxes on production and imports, less Subsidies</v>
          </cell>
          <cell r="F2465">
            <v>12</v>
          </cell>
          <cell r="G2465">
            <v>1997</v>
          </cell>
          <cell r="H2465">
            <v>100</v>
          </cell>
          <cell r="I2465">
            <v>1090000000</v>
          </cell>
        </row>
        <row r="2466">
          <cell r="A2466" t="str">
            <v>Trinidad and Tobago</v>
          </cell>
          <cell r="B2466">
            <v>780</v>
          </cell>
          <cell r="C2466">
            <v>203</v>
          </cell>
          <cell r="D2466">
            <v>22</v>
          </cell>
          <cell r="E2466" t="str">
            <v>Taxes on production and imports, less Subsidies</v>
          </cell>
          <cell r="F2466">
            <v>12</v>
          </cell>
          <cell r="G2466">
            <v>1998</v>
          </cell>
          <cell r="H2466">
            <v>100</v>
          </cell>
          <cell r="I2466">
            <v>1501000000</v>
          </cell>
        </row>
        <row r="2467">
          <cell r="A2467" t="str">
            <v>Trinidad and Tobago</v>
          </cell>
          <cell r="B2467">
            <v>780</v>
          </cell>
          <cell r="C2467">
            <v>203</v>
          </cell>
          <cell r="D2467">
            <v>22</v>
          </cell>
          <cell r="E2467" t="str">
            <v>Taxes on production and imports, less Subsidies</v>
          </cell>
          <cell r="F2467">
            <v>12</v>
          </cell>
          <cell r="G2467">
            <v>1999</v>
          </cell>
          <cell r="H2467">
            <v>100</v>
          </cell>
          <cell r="I2467">
            <v>932000000</v>
          </cell>
        </row>
        <row r="2468">
          <cell r="A2468" t="str">
            <v>Trinidad and Tobago</v>
          </cell>
          <cell r="B2468">
            <v>780</v>
          </cell>
          <cell r="C2468">
            <v>203</v>
          </cell>
          <cell r="D2468">
            <v>22</v>
          </cell>
          <cell r="E2468" t="str">
            <v>Taxes on production and imports, less Subsidies</v>
          </cell>
          <cell r="F2468">
            <v>12</v>
          </cell>
          <cell r="G2468">
            <v>2000</v>
          </cell>
          <cell r="H2468">
            <v>100</v>
          </cell>
          <cell r="I2468">
            <v>555000000</v>
          </cell>
        </row>
        <row r="2469">
          <cell r="A2469" t="str">
            <v>Trinidad and Tobago</v>
          </cell>
          <cell r="B2469">
            <v>780</v>
          </cell>
          <cell r="C2469">
            <v>203</v>
          </cell>
          <cell r="D2469">
            <v>22</v>
          </cell>
          <cell r="E2469" t="str">
            <v>Taxes on production and imports, less Subsidies</v>
          </cell>
          <cell r="F2469">
            <v>12</v>
          </cell>
          <cell r="G2469">
            <v>2001</v>
          </cell>
          <cell r="H2469">
            <v>100</v>
          </cell>
          <cell r="I2469">
            <v>1543000000</v>
          </cell>
        </row>
        <row r="2470">
          <cell r="A2470" t="str">
            <v>Turkey</v>
          </cell>
          <cell r="B2470">
            <v>792</v>
          </cell>
          <cell r="C2470">
            <v>201</v>
          </cell>
          <cell r="D2470">
            <v>13</v>
          </cell>
          <cell r="E2470" t="str">
            <v>Less: Financial intermediation services indirectly measured (FISIM) (only to be deducted if FISIM is not distributed to uses)</v>
          </cell>
          <cell r="F2470">
            <v>0</v>
          </cell>
          <cell r="G2470">
            <v>1950</v>
          </cell>
          <cell r="H2470">
            <v>20</v>
          </cell>
          <cell r="I2470">
            <v>67000000</v>
          </cell>
        </row>
        <row r="2471">
          <cell r="A2471" t="str">
            <v>Turkey</v>
          </cell>
          <cell r="B2471">
            <v>792</v>
          </cell>
          <cell r="C2471">
            <v>201</v>
          </cell>
          <cell r="D2471">
            <v>13</v>
          </cell>
          <cell r="E2471" t="str">
            <v>Less: Financial intermediation services indirectly measured (FISIM) (only to be deducted if FISIM is not distributed to uses)</v>
          </cell>
          <cell r="F2471">
            <v>0</v>
          </cell>
          <cell r="G2471">
            <v>1951</v>
          </cell>
          <cell r="H2471">
            <v>20</v>
          </cell>
          <cell r="I2471">
            <v>91000000</v>
          </cell>
        </row>
        <row r="2472">
          <cell r="A2472" t="str">
            <v>Turkey</v>
          </cell>
          <cell r="B2472">
            <v>792</v>
          </cell>
          <cell r="C2472">
            <v>201</v>
          </cell>
          <cell r="D2472">
            <v>13</v>
          </cell>
          <cell r="E2472" t="str">
            <v>Less: Financial intermediation services indirectly measured (FISIM) (only to be deducted if FISIM is not distributed to uses)</v>
          </cell>
          <cell r="F2472">
            <v>0</v>
          </cell>
          <cell r="G2472">
            <v>1952</v>
          </cell>
          <cell r="H2472">
            <v>20</v>
          </cell>
          <cell r="I2472">
            <v>121000000</v>
          </cell>
        </row>
        <row r="2473">
          <cell r="A2473" t="str">
            <v>Turkey</v>
          </cell>
          <cell r="B2473">
            <v>792</v>
          </cell>
          <cell r="C2473">
            <v>201</v>
          </cell>
          <cell r="D2473">
            <v>13</v>
          </cell>
          <cell r="E2473" t="str">
            <v>Less: Financial intermediation services indirectly measured (FISIM) (only to be deducted if FISIM is not distributed to uses)</v>
          </cell>
          <cell r="F2473">
            <v>0</v>
          </cell>
          <cell r="G2473">
            <v>1953</v>
          </cell>
          <cell r="H2473">
            <v>20</v>
          </cell>
          <cell r="I2473">
            <v>159000000</v>
          </cell>
        </row>
        <row r="2474">
          <cell r="A2474" t="str">
            <v>Turkey</v>
          </cell>
          <cell r="B2474">
            <v>792</v>
          </cell>
          <cell r="C2474">
            <v>201</v>
          </cell>
          <cell r="D2474">
            <v>13</v>
          </cell>
          <cell r="E2474" t="str">
            <v>Less: Financial intermediation services indirectly measured (FISIM) (only to be deducted if FISIM is not distributed to uses)</v>
          </cell>
          <cell r="F2474">
            <v>0</v>
          </cell>
          <cell r="G2474">
            <v>1954</v>
          </cell>
          <cell r="H2474">
            <v>20</v>
          </cell>
          <cell r="I2474">
            <v>229000000</v>
          </cell>
        </row>
        <row r="2475">
          <cell r="A2475" t="str">
            <v>Turkey</v>
          </cell>
          <cell r="B2475">
            <v>792</v>
          </cell>
          <cell r="C2475">
            <v>201</v>
          </cell>
          <cell r="D2475">
            <v>13</v>
          </cell>
          <cell r="E2475" t="str">
            <v>Less: Financial intermediation services indirectly measured (FISIM) (only to be deducted if FISIM is not distributed to uses)</v>
          </cell>
          <cell r="F2475">
            <v>0</v>
          </cell>
          <cell r="G2475">
            <v>1955</v>
          </cell>
          <cell r="H2475">
            <v>20</v>
          </cell>
          <cell r="I2475">
            <v>272000000</v>
          </cell>
        </row>
        <row r="2476">
          <cell r="A2476" t="str">
            <v>Turkey</v>
          </cell>
          <cell r="B2476">
            <v>792</v>
          </cell>
          <cell r="C2476">
            <v>201</v>
          </cell>
          <cell r="D2476">
            <v>13</v>
          </cell>
          <cell r="E2476" t="str">
            <v>Less: Financial intermediation services indirectly measured (FISIM) (only to be deducted if FISIM is not distributed to uses)</v>
          </cell>
          <cell r="F2476">
            <v>0</v>
          </cell>
          <cell r="G2476">
            <v>1956</v>
          </cell>
          <cell r="H2476">
            <v>20</v>
          </cell>
          <cell r="I2476">
            <v>313000000</v>
          </cell>
        </row>
        <row r="2477">
          <cell r="A2477" t="str">
            <v>Turkey</v>
          </cell>
          <cell r="B2477">
            <v>792</v>
          </cell>
          <cell r="C2477">
            <v>201</v>
          </cell>
          <cell r="D2477">
            <v>13</v>
          </cell>
          <cell r="E2477" t="str">
            <v>Less: Financial intermediation services indirectly measured (FISIM) (only to be deducted if FISIM is not distributed to uses)</v>
          </cell>
          <cell r="F2477">
            <v>0</v>
          </cell>
          <cell r="G2477">
            <v>1957</v>
          </cell>
          <cell r="H2477">
            <v>20</v>
          </cell>
          <cell r="I2477">
            <v>393000000</v>
          </cell>
        </row>
        <row r="2478">
          <cell r="A2478" t="str">
            <v>Turkey</v>
          </cell>
          <cell r="B2478">
            <v>792</v>
          </cell>
          <cell r="C2478">
            <v>201</v>
          </cell>
          <cell r="D2478">
            <v>13</v>
          </cell>
          <cell r="E2478" t="str">
            <v>Less: Financial intermediation services indirectly measured (FISIM) (only to be deducted if FISIM is not distributed to uses)</v>
          </cell>
          <cell r="F2478">
            <v>0</v>
          </cell>
          <cell r="G2478">
            <v>1958</v>
          </cell>
          <cell r="H2478">
            <v>20</v>
          </cell>
          <cell r="I2478">
            <v>503000000</v>
          </cell>
        </row>
        <row r="2479">
          <cell r="A2479" t="str">
            <v>Turkey</v>
          </cell>
          <cell r="B2479">
            <v>792</v>
          </cell>
          <cell r="C2479">
            <v>201</v>
          </cell>
          <cell r="D2479">
            <v>13</v>
          </cell>
          <cell r="E2479" t="str">
            <v>Less: Financial intermediation services indirectly measured (FISIM) (only to be deducted if FISIM is not distributed to uses)</v>
          </cell>
          <cell r="F2479">
            <v>0</v>
          </cell>
          <cell r="G2479">
            <v>1959</v>
          </cell>
          <cell r="H2479">
            <v>20</v>
          </cell>
          <cell r="I2479">
            <v>612000000</v>
          </cell>
        </row>
        <row r="2480">
          <cell r="A2480" t="str">
            <v>Turkey</v>
          </cell>
          <cell r="B2480">
            <v>792</v>
          </cell>
          <cell r="C2480">
            <v>201</v>
          </cell>
          <cell r="D2480">
            <v>13</v>
          </cell>
          <cell r="E2480" t="str">
            <v>Less: Financial intermediation services indirectly measured (FISIM) (only to be deducted if FISIM is not distributed to uses)</v>
          </cell>
          <cell r="F2480">
            <v>0</v>
          </cell>
          <cell r="G2480">
            <v>1960</v>
          </cell>
          <cell r="H2480">
            <v>20</v>
          </cell>
          <cell r="I2480">
            <v>604000000</v>
          </cell>
        </row>
        <row r="2481">
          <cell r="A2481" t="str">
            <v>Turkey</v>
          </cell>
          <cell r="B2481">
            <v>792</v>
          </cell>
          <cell r="C2481">
            <v>201</v>
          </cell>
          <cell r="D2481">
            <v>13</v>
          </cell>
          <cell r="E2481" t="str">
            <v>Less: Financial intermediation services indirectly measured (FISIM) (only to be deducted if FISIM is not distributed to uses)</v>
          </cell>
          <cell r="F2481">
            <v>0</v>
          </cell>
          <cell r="G2481">
            <v>1961</v>
          </cell>
          <cell r="H2481">
            <v>20</v>
          </cell>
          <cell r="I2481">
            <v>605000000</v>
          </cell>
        </row>
        <row r="2482">
          <cell r="A2482" t="str">
            <v>Turkey</v>
          </cell>
          <cell r="B2482">
            <v>792</v>
          </cell>
          <cell r="C2482">
            <v>201</v>
          </cell>
          <cell r="D2482">
            <v>13</v>
          </cell>
          <cell r="E2482" t="str">
            <v>Less: Financial intermediation services indirectly measured (FISIM) (only to be deducted if FISIM is not distributed to uses)</v>
          </cell>
          <cell r="F2482">
            <v>0</v>
          </cell>
          <cell r="G2482">
            <v>1962</v>
          </cell>
          <cell r="H2482">
            <v>20</v>
          </cell>
          <cell r="I2482">
            <v>638000000</v>
          </cell>
        </row>
        <row r="2483">
          <cell r="A2483" t="str">
            <v>Turkey</v>
          </cell>
          <cell r="B2483">
            <v>792</v>
          </cell>
          <cell r="C2483">
            <v>201</v>
          </cell>
          <cell r="D2483">
            <v>13</v>
          </cell>
          <cell r="E2483" t="str">
            <v>Less: Financial intermediation services indirectly measured (FISIM) (only to be deducted if FISIM is not distributed to uses)</v>
          </cell>
          <cell r="F2483">
            <v>0</v>
          </cell>
          <cell r="G2483">
            <v>1963</v>
          </cell>
          <cell r="H2483">
            <v>20</v>
          </cell>
          <cell r="I2483">
            <v>856000000</v>
          </cell>
        </row>
        <row r="2484">
          <cell r="A2484" t="str">
            <v>Turkey</v>
          </cell>
          <cell r="B2484">
            <v>792</v>
          </cell>
          <cell r="C2484">
            <v>201</v>
          </cell>
          <cell r="D2484">
            <v>13</v>
          </cell>
          <cell r="E2484" t="str">
            <v>Less: Financial intermediation services indirectly measured (FISIM) (only to be deducted if FISIM is not distributed to uses)</v>
          </cell>
          <cell r="F2484">
            <v>0</v>
          </cell>
          <cell r="G2484">
            <v>1964</v>
          </cell>
          <cell r="H2484">
            <v>20</v>
          </cell>
          <cell r="I2484">
            <v>816000000</v>
          </cell>
        </row>
        <row r="2485">
          <cell r="A2485" t="str">
            <v>Turkey</v>
          </cell>
          <cell r="B2485">
            <v>792</v>
          </cell>
          <cell r="C2485">
            <v>201</v>
          </cell>
          <cell r="D2485">
            <v>13</v>
          </cell>
          <cell r="E2485" t="str">
            <v>Less: Financial intermediation services indirectly measured (FISIM) (only to be deducted if FISIM is not distributed to uses)</v>
          </cell>
          <cell r="F2485">
            <v>0</v>
          </cell>
          <cell r="G2485">
            <v>1965</v>
          </cell>
          <cell r="H2485">
            <v>20</v>
          </cell>
          <cell r="I2485">
            <v>968000000</v>
          </cell>
        </row>
        <row r="2486">
          <cell r="A2486" t="str">
            <v>Turkey</v>
          </cell>
          <cell r="B2486">
            <v>792</v>
          </cell>
          <cell r="C2486">
            <v>201</v>
          </cell>
          <cell r="D2486">
            <v>13</v>
          </cell>
          <cell r="E2486" t="str">
            <v>Less: Financial intermediation services indirectly measured (FISIM) (only to be deducted if FISIM is not distributed to uses)</v>
          </cell>
          <cell r="F2486">
            <v>0</v>
          </cell>
          <cell r="G2486">
            <v>1966</v>
          </cell>
          <cell r="H2486">
            <v>20</v>
          </cell>
          <cell r="I2486">
            <v>1211000000</v>
          </cell>
        </row>
        <row r="2487">
          <cell r="A2487" t="str">
            <v>Turkey</v>
          </cell>
          <cell r="B2487">
            <v>792</v>
          </cell>
          <cell r="C2487">
            <v>201</v>
          </cell>
          <cell r="D2487">
            <v>13</v>
          </cell>
          <cell r="E2487" t="str">
            <v>Less: Financial intermediation services indirectly measured (FISIM) (only to be deducted if FISIM is not distributed to uses)</v>
          </cell>
          <cell r="F2487">
            <v>0</v>
          </cell>
          <cell r="G2487">
            <v>1967</v>
          </cell>
          <cell r="H2487">
            <v>20</v>
          </cell>
          <cell r="I2487">
            <v>1583000000</v>
          </cell>
        </row>
        <row r="2488">
          <cell r="A2488" t="str">
            <v>Turkey</v>
          </cell>
          <cell r="B2488">
            <v>792</v>
          </cell>
          <cell r="C2488">
            <v>201</v>
          </cell>
          <cell r="D2488">
            <v>13</v>
          </cell>
          <cell r="E2488" t="str">
            <v>Less: Financial intermediation services indirectly measured (FISIM) (only to be deducted if FISIM is not distributed to uses)</v>
          </cell>
          <cell r="F2488">
            <v>0</v>
          </cell>
          <cell r="G2488">
            <v>1968</v>
          </cell>
          <cell r="H2488">
            <v>20</v>
          </cell>
          <cell r="I2488">
            <v>1767000000</v>
          </cell>
        </row>
        <row r="2489">
          <cell r="A2489" t="str">
            <v>Turkey</v>
          </cell>
          <cell r="B2489">
            <v>792</v>
          </cell>
          <cell r="C2489">
            <v>201</v>
          </cell>
          <cell r="D2489">
            <v>13</v>
          </cell>
          <cell r="E2489" t="str">
            <v>Less: Financial intermediation services indirectly measured (FISIM) (only to be deducted if FISIM is not distributed to uses)</v>
          </cell>
          <cell r="F2489">
            <v>0</v>
          </cell>
          <cell r="G2489">
            <v>1969</v>
          </cell>
          <cell r="H2489">
            <v>30</v>
          </cell>
          <cell r="I2489">
            <v>2000000000</v>
          </cell>
        </row>
        <row r="2490">
          <cell r="A2490" t="str">
            <v>Turkey</v>
          </cell>
          <cell r="B2490">
            <v>792</v>
          </cell>
          <cell r="C2490">
            <v>201</v>
          </cell>
          <cell r="D2490">
            <v>13</v>
          </cell>
          <cell r="E2490" t="str">
            <v>Less: Financial intermediation services indirectly measured (FISIM) (only to be deducted if FISIM is not distributed to uses)</v>
          </cell>
          <cell r="F2490">
            <v>0</v>
          </cell>
          <cell r="G2490">
            <v>1970</v>
          </cell>
          <cell r="H2490">
            <v>30</v>
          </cell>
          <cell r="I2490">
            <v>2352000000</v>
          </cell>
        </row>
        <row r="2491">
          <cell r="A2491" t="str">
            <v>Turkey</v>
          </cell>
          <cell r="B2491">
            <v>792</v>
          </cell>
          <cell r="C2491">
            <v>201</v>
          </cell>
          <cell r="D2491">
            <v>13</v>
          </cell>
          <cell r="E2491" t="str">
            <v>Less: Financial intermediation services indirectly measured (FISIM) (only to be deducted if FISIM is not distributed to uses)</v>
          </cell>
          <cell r="F2491">
            <v>0</v>
          </cell>
          <cell r="G2491">
            <v>1971</v>
          </cell>
          <cell r="H2491">
            <v>30</v>
          </cell>
          <cell r="I2491">
            <v>2932000000</v>
          </cell>
        </row>
        <row r="2492">
          <cell r="A2492" t="str">
            <v>Turkey</v>
          </cell>
          <cell r="B2492">
            <v>792</v>
          </cell>
          <cell r="C2492">
            <v>201</v>
          </cell>
          <cell r="D2492">
            <v>13</v>
          </cell>
          <cell r="E2492" t="str">
            <v>Less: Financial intermediation services indirectly measured (FISIM) (only to be deducted if FISIM is not distributed to uses)</v>
          </cell>
          <cell r="F2492">
            <v>0</v>
          </cell>
          <cell r="G2492">
            <v>1972</v>
          </cell>
          <cell r="H2492">
            <v>30</v>
          </cell>
          <cell r="I2492">
            <v>3324000000</v>
          </cell>
        </row>
        <row r="2493">
          <cell r="A2493" t="str">
            <v>Turkey</v>
          </cell>
          <cell r="B2493">
            <v>792</v>
          </cell>
          <cell r="C2493">
            <v>201</v>
          </cell>
          <cell r="D2493">
            <v>13</v>
          </cell>
          <cell r="E2493" t="str">
            <v>Less: Financial intermediation services indirectly measured (FISIM) (only to be deducted if FISIM is not distributed to uses)</v>
          </cell>
          <cell r="F2493">
            <v>0</v>
          </cell>
          <cell r="G2493">
            <v>1973</v>
          </cell>
          <cell r="H2493">
            <v>30</v>
          </cell>
          <cell r="I2493">
            <v>4719000000</v>
          </cell>
        </row>
        <row r="2494">
          <cell r="A2494" t="str">
            <v>Turkey</v>
          </cell>
          <cell r="B2494">
            <v>792</v>
          </cell>
          <cell r="C2494">
            <v>201</v>
          </cell>
          <cell r="D2494">
            <v>13</v>
          </cell>
          <cell r="E2494" t="str">
            <v>Less: Financial intermediation services indirectly measured (FISIM) (only to be deducted if FISIM is not distributed to uses)</v>
          </cell>
          <cell r="F2494">
            <v>0</v>
          </cell>
          <cell r="G2494">
            <v>1974</v>
          </cell>
          <cell r="H2494">
            <v>30</v>
          </cell>
          <cell r="I2494">
            <v>6485000000</v>
          </cell>
        </row>
        <row r="2495">
          <cell r="A2495" t="str">
            <v>Turkey</v>
          </cell>
          <cell r="B2495">
            <v>792</v>
          </cell>
          <cell r="C2495">
            <v>201</v>
          </cell>
          <cell r="D2495">
            <v>13</v>
          </cell>
          <cell r="E2495" t="str">
            <v>Less: Financial intermediation services indirectly measured (FISIM) (only to be deducted if FISIM is not distributed to uses)</v>
          </cell>
          <cell r="F2495">
            <v>0</v>
          </cell>
          <cell r="G2495">
            <v>1975</v>
          </cell>
          <cell r="H2495">
            <v>30</v>
          </cell>
          <cell r="I2495">
            <v>9907000000</v>
          </cell>
        </row>
        <row r="2496">
          <cell r="A2496" t="str">
            <v>Turkey</v>
          </cell>
          <cell r="B2496">
            <v>792</v>
          </cell>
          <cell r="C2496">
            <v>201</v>
          </cell>
          <cell r="D2496">
            <v>13</v>
          </cell>
          <cell r="E2496" t="str">
            <v>Less: Financial intermediation services indirectly measured (FISIM) (only to be deducted if FISIM is not distributed to uses)</v>
          </cell>
          <cell r="F2496">
            <v>0</v>
          </cell>
          <cell r="G2496">
            <v>1976</v>
          </cell>
          <cell r="H2496">
            <v>30</v>
          </cell>
          <cell r="I2496">
            <v>10050000000</v>
          </cell>
        </row>
        <row r="2497">
          <cell r="A2497" t="str">
            <v>Turkey</v>
          </cell>
          <cell r="B2497">
            <v>792</v>
          </cell>
          <cell r="C2497">
            <v>201</v>
          </cell>
          <cell r="D2497">
            <v>13</v>
          </cell>
          <cell r="E2497" t="str">
            <v>Less: Financial intermediation services indirectly measured (FISIM) (only to be deducted if FISIM is not distributed to uses)</v>
          </cell>
          <cell r="F2497">
            <v>0</v>
          </cell>
          <cell r="G2497">
            <v>1977</v>
          </cell>
          <cell r="H2497">
            <v>30</v>
          </cell>
          <cell r="I2497">
            <v>21557000000</v>
          </cell>
        </row>
        <row r="2498">
          <cell r="A2498" t="str">
            <v>Turkey</v>
          </cell>
          <cell r="B2498">
            <v>792</v>
          </cell>
          <cell r="C2498">
            <v>201</v>
          </cell>
          <cell r="D2498">
            <v>13</v>
          </cell>
          <cell r="E2498" t="str">
            <v>Less: Financial intermediation services indirectly measured (FISIM) (only to be deducted if FISIM is not distributed to uses)</v>
          </cell>
          <cell r="F2498">
            <v>0</v>
          </cell>
          <cell r="G2498">
            <v>1978</v>
          </cell>
          <cell r="H2498">
            <v>30</v>
          </cell>
          <cell r="I2498">
            <v>27696000000</v>
          </cell>
        </row>
        <row r="2499">
          <cell r="A2499" t="str">
            <v>Turkey</v>
          </cell>
          <cell r="B2499">
            <v>792</v>
          </cell>
          <cell r="C2499">
            <v>201</v>
          </cell>
          <cell r="D2499">
            <v>13</v>
          </cell>
          <cell r="E2499" t="str">
            <v>Less: Financial intermediation services indirectly measured (FISIM) (only to be deducted if FISIM is not distributed to uses)</v>
          </cell>
          <cell r="F2499">
            <v>0</v>
          </cell>
          <cell r="G2499">
            <v>1979</v>
          </cell>
          <cell r="H2499">
            <v>30</v>
          </cell>
          <cell r="I2499">
            <v>35074000000</v>
          </cell>
        </row>
        <row r="2500">
          <cell r="A2500" t="str">
            <v>Turkey</v>
          </cell>
          <cell r="B2500">
            <v>792</v>
          </cell>
          <cell r="C2500">
            <v>201</v>
          </cell>
          <cell r="D2500">
            <v>13</v>
          </cell>
          <cell r="E2500" t="str">
            <v>Less: Financial intermediation services indirectly measured (FISIM) (only to be deducted if FISIM is not distributed to uses)</v>
          </cell>
          <cell r="F2500">
            <v>0</v>
          </cell>
          <cell r="G2500">
            <v>1980</v>
          </cell>
          <cell r="H2500">
            <v>30</v>
          </cell>
          <cell r="I2500">
            <v>83653000000</v>
          </cell>
        </row>
        <row r="2501">
          <cell r="A2501" t="str">
            <v>Turkey</v>
          </cell>
          <cell r="B2501">
            <v>792</v>
          </cell>
          <cell r="C2501">
            <v>201</v>
          </cell>
          <cell r="D2501">
            <v>13</v>
          </cell>
          <cell r="E2501" t="str">
            <v>Less: Financial intermediation services indirectly measured (FISIM) (only to be deducted if FISIM is not distributed to uses)</v>
          </cell>
          <cell r="F2501">
            <v>0</v>
          </cell>
          <cell r="G2501">
            <v>1981</v>
          </cell>
          <cell r="H2501">
            <v>30</v>
          </cell>
          <cell r="I2501">
            <v>127454000000</v>
          </cell>
        </row>
        <row r="2502">
          <cell r="A2502" t="str">
            <v>Turkey</v>
          </cell>
          <cell r="B2502">
            <v>792</v>
          </cell>
          <cell r="C2502">
            <v>201</v>
          </cell>
          <cell r="D2502">
            <v>13</v>
          </cell>
          <cell r="E2502" t="str">
            <v>Less: Financial intermediation services indirectly measured (FISIM) (only to be deducted if FISIM is not distributed to uses)</v>
          </cell>
          <cell r="F2502">
            <v>0</v>
          </cell>
          <cell r="G2502">
            <v>1982</v>
          </cell>
          <cell r="H2502">
            <v>30</v>
          </cell>
          <cell r="I2502">
            <v>105387000000</v>
          </cell>
        </row>
        <row r="2503">
          <cell r="A2503" t="str">
            <v>Turkey</v>
          </cell>
          <cell r="B2503">
            <v>792</v>
          </cell>
          <cell r="C2503">
            <v>201</v>
          </cell>
          <cell r="D2503">
            <v>13</v>
          </cell>
          <cell r="E2503" t="str">
            <v>Less: Financial intermediation services indirectly measured (FISIM) (only to be deducted if FISIM is not distributed to uses)</v>
          </cell>
          <cell r="F2503">
            <v>0</v>
          </cell>
          <cell r="G2503">
            <v>1983</v>
          </cell>
          <cell r="H2503">
            <v>30</v>
          </cell>
          <cell r="I2503">
            <v>153925000000</v>
          </cell>
        </row>
        <row r="2504">
          <cell r="A2504" t="str">
            <v>Turkey</v>
          </cell>
          <cell r="B2504">
            <v>792</v>
          </cell>
          <cell r="C2504">
            <v>201</v>
          </cell>
          <cell r="D2504">
            <v>13</v>
          </cell>
          <cell r="E2504" t="str">
            <v>Less: Financial intermediation services indirectly measured (FISIM) (only to be deducted if FISIM is not distributed to uses)</v>
          </cell>
          <cell r="F2504">
            <v>0</v>
          </cell>
          <cell r="G2504">
            <v>1984</v>
          </cell>
          <cell r="H2504">
            <v>30</v>
          </cell>
          <cell r="I2504">
            <v>29096000000</v>
          </cell>
        </row>
        <row r="2505">
          <cell r="A2505" t="str">
            <v>Turkey</v>
          </cell>
          <cell r="B2505">
            <v>792</v>
          </cell>
          <cell r="C2505">
            <v>201</v>
          </cell>
          <cell r="D2505">
            <v>13</v>
          </cell>
          <cell r="E2505" t="str">
            <v>Less: Financial intermediation services indirectly measured (FISIM) (only to be deducted if FISIM is not distributed to uses)</v>
          </cell>
          <cell r="F2505">
            <v>0</v>
          </cell>
          <cell r="G2505">
            <v>1985</v>
          </cell>
          <cell r="H2505">
            <v>30</v>
          </cell>
          <cell r="I2505">
            <v>-326622000000</v>
          </cell>
        </row>
        <row r="2506">
          <cell r="A2506" t="str">
            <v>Turkey</v>
          </cell>
          <cell r="B2506">
            <v>792</v>
          </cell>
          <cell r="C2506">
            <v>201</v>
          </cell>
          <cell r="D2506">
            <v>13</v>
          </cell>
          <cell r="E2506" t="str">
            <v>Less: Financial intermediation services indirectly measured (FISIM) (only to be deducted if FISIM is not distributed to uses)</v>
          </cell>
          <cell r="F2506">
            <v>0</v>
          </cell>
          <cell r="G2506">
            <v>1986</v>
          </cell>
          <cell r="H2506">
            <v>30</v>
          </cell>
          <cell r="I2506">
            <v>728811000000</v>
          </cell>
        </row>
        <row r="2507">
          <cell r="A2507" t="str">
            <v>Turkey</v>
          </cell>
          <cell r="B2507">
            <v>792</v>
          </cell>
          <cell r="C2507">
            <v>201</v>
          </cell>
          <cell r="D2507">
            <v>13</v>
          </cell>
          <cell r="E2507" t="str">
            <v>Less: Financial intermediation services indirectly measured (FISIM) (only to be deducted if FISIM is not distributed to uses)</v>
          </cell>
          <cell r="F2507">
            <v>0</v>
          </cell>
          <cell r="G2507">
            <v>1987</v>
          </cell>
          <cell r="H2507">
            <v>30</v>
          </cell>
          <cell r="I2507">
            <v>1996833500000</v>
          </cell>
        </row>
        <row r="2508">
          <cell r="A2508" t="str">
            <v>Turkey</v>
          </cell>
          <cell r="B2508">
            <v>792</v>
          </cell>
          <cell r="C2508">
            <v>201</v>
          </cell>
          <cell r="D2508">
            <v>13</v>
          </cell>
          <cell r="E2508" t="str">
            <v>Less: Financial intermediation services indirectly measured (FISIM) (only to be deducted if FISIM is not distributed to uses)</v>
          </cell>
          <cell r="F2508">
            <v>0</v>
          </cell>
          <cell r="G2508">
            <v>1988</v>
          </cell>
          <cell r="H2508">
            <v>30</v>
          </cell>
          <cell r="I2508">
            <v>3348660000000</v>
          </cell>
        </row>
        <row r="2509">
          <cell r="A2509" t="str">
            <v>Turkey</v>
          </cell>
          <cell r="B2509">
            <v>792</v>
          </cell>
          <cell r="C2509">
            <v>201</v>
          </cell>
          <cell r="D2509">
            <v>13</v>
          </cell>
          <cell r="E2509" t="str">
            <v>Less: Financial intermediation services indirectly measured (FISIM) (only to be deducted if FISIM is not distributed to uses)</v>
          </cell>
          <cell r="F2509">
            <v>0</v>
          </cell>
          <cell r="G2509">
            <v>1989</v>
          </cell>
          <cell r="H2509">
            <v>30</v>
          </cell>
          <cell r="I2509">
            <v>2561645800000</v>
          </cell>
        </row>
        <row r="2510">
          <cell r="A2510" t="str">
            <v>Turkey</v>
          </cell>
          <cell r="B2510">
            <v>792</v>
          </cell>
          <cell r="C2510">
            <v>201</v>
          </cell>
          <cell r="D2510">
            <v>13</v>
          </cell>
          <cell r="E2510" t="str">
            <v>Less: Financial intermediation services indirectly measured (FISIM) (only to be deducted if FISIM is not distributed to uses)</v>
          </cell>
          <cell r="F2510">
            <v>0</v>
          </cell>
          <cell r="G2510">
            <v>1990</v>
          </cell>
          <cell r="H2510">
            <v>30</v>
          </cell>
          <cell r="I2510">
            <v>9838059400000</v>
          </cell>
        </row>
        <row r="2511">
          <cell r="A2511" t="str">
            <v>Turkey</v>
          </cell>
          <cell r="B2511">
            <v>792</v>
          </cell>
          <cell r="C2511">
            <v>201</v>
          </cell>
          <cell r="D2511">
            <v>13</v>
          </cell>
          <cell r="E2511" t="str">
            <v>Less: Financial intermediation services indirectly measured (FISIM) (only to be deducted if FISIM is not distributed to uses)</v>
          </cell>
          <cell r="F2511">
            <v>0</v>
          </cell>
          <cell r="G2511">
            <v>1991</v>
          </cell>
          <cell r="H2511">
            <v>30</v>
          </cell>
          <cell r="I2511">
            <v>23281981700000</v>
          </cell>
        </row>
        <row r="2512">
          <cell r="A2512" t="str">
            <v>Turkey</v>
          </cell>
          <cell r="B2512">
            <v>792</v>
          </cell>
          <cell r="C2512">
            <v>201</v>
          </cell>
          <cell r="D2512">
            <v>13</v>
          </cell>
          <cell r="E2512" t="str">
            <v>Less: Financial intermediation services indirectly measured (FISIM) (only to be deducted if FISIM is not distributed to uses)</v>
          </cell>
          <cell r="F2512">
            <v>0</v>
          </cell>
          <cell r="G2512">
            <v>1992</v>
          </cell>
          <cell r="H2512">
            <v>30</v>
          </cell>
          <cell r="I2512">
            <v>41188229900000</v>
          </cell>
        </row>
        <row r="2513">
          <cell r="A2513" t="str">
            <v>Turkey</v>
          </cell>
          <cell r="B2513">
            <v>792</v>
          </cell>
          <cell r="C2513">
            <v>201</v>
          </cell>
          <cell r="D2513">
            <v>13</v>
          </cell>
          <cell r="E2513" t="str">
            <v>Less: Financial intermediation services indirectly measured (FISIM) (only to be deducted if FISIM is not distributed to uses)</v>
          </cell>
          <cell r="F2513">
            <v>0</v>
          </cell>
          <cell r="G2513">
            <v>1993</v>
          </cell>
          <cell r="H2513">
            <v>30</v>
          </cell>
          <cell r="I2513">
            <v>75654147000000</v>
          </cell>
        </row>
        <row r="2514">
          <cell r="A2514" t="str">
            <v>Turkey</v>
          </cell>
          <cell r="B2514">
            <v>792</v>
          </cell>
          <cell r="C2514">
            <v>201</v>
          </cell>
          <cell r="D2514">
            <v>13</v>
          </cell>
          <cell r="E2514" t="str">
            <v>Less: Financial intermediation services indirectly measured (FISIM) (only to be deducted if FISIM is not distributed to uses)</v>
          </cell>
          <cell r="F2514">
            <v>0</v>
          </cell>
          <cell r="G2514">
            <v>1994</v>
          </cell>
          <cell r="H2514">
            <v>30</v>
          </cell>
          <cell r="I2514">
            <v>163471155000000</v>
          </cell>
        </row>
        <row r="2515">
          <cell r="A2515" t="str">
            <v>Turkey</v>
          </cell>
          <cell r="B2515">
            <v>792</v>
          </cell>
          <cell r="C2515">
            <v>201</v>
          </cell>
          <cell r="D2515">
            <v>13</v>
          </cell>
          <cell r="E2515" t="str">
            <v>Less: Financial intermediation services indirectly measured (FISIM) (only to be deducted if FISIM is not distributed to uses)</v>
          </cell>
          <cell r="F2515">
            <v>0</v>
          </cell>
          <cell r="G2515">
            <v>1995</v>
          </cell>
          <cell r="H2515">
            <v>30</v>
          </cell>
          <cell r="I2515">
            <v>270343562000000</v>
          </cell>
        </row>
        <row r="2516">
          <cell r="A2516" t="str">
            <v>Turkey</v>
          </cell>
          <cell r="B2516">
            <v>792</v>
          </cell>
          <cell r="C2516">
            <v>201</v>
          </cell>
          <cell r="D2516">
            <v>13</v>
          </cell>
          <cell r="E2516" t="str">
            <v>Less: Financial intermediation services indirectly measured (FISIM) (only to be deducted if FISIM is not distributed to uses)</v>
          </cell>
          <cell r="F2516">
            <v>0</v>
          </cell>
          <cell r="G2516">
            <v>1996</v>
          </cell>
          <cell r="H2516">
            <v>30</v>
          </cell>
          <cell r="I2516">
            <v>709234737000000</v>
          </cell>
        </row>
        <row r="2517">
          <cell r="A2517" t="str">
            <v>Turkey</v>
          </cell>
          <cell r="B2517">
            <v>792</v>
          </cell>
          <cell r="C2517">
            <v>201</v>
          </cell>
          <cell r="D2517">
            <v>13</v>
          </cell>
          <cell r="E2517" t="str">
            <v>Less: Financial intermediation services indirectly measured (FISIM) (only to be deducted if FISIM is not distributed to uses)</v>
          </cell>
          <cell r="F2517">
            <v>0</v>
          </cell>
          <cell r="G2517">
            <v>1997</v>
          </cell>
          <cell r="H2517">
            <v>30</v>
          </cell>
          <cell r="I2517">
            <v>1371710000000000</v>
          </cell>
        </row>
        <row r="2518">
          <cell r="A2518" t="str">
            <v>Turkey</v>
          </cell>
          <cell r="B2518">
            <v>792</v>
          </cell>
          <cell r="C2518">
            <v>201</v>
          </cell>
          <cell r="D2518">
            <v>13</v>
          </cell>
          <cell r="E2518" t="str">
            <v>Less: Financial intermediation services indirectly measured (FISIM) (only to be deducted if FISIM is not distributed to uses)</v>
          </cell>
          <cell r="F2518">
            <v>0</v>
          </cell>
          <cell r="G2518">
            <v>1998</v>
          </cell>
          <cell r="H2518">
            <v>30</v>
          </cell>
          <cell r="I2518">
            <v>3049158000000000</v>
          </cell>
        </row>
        <row r="2519">
          <cell r="A2519" t="str">
            <v>Turkey</v>
          </cell>
          <cell r="B2519">
            <v>792</v>
          </cell>
          <cell r="C2519">
            <v>201</v>
          </cell>
          <cell r="D2519">
            <v>13</v>
          </cell>
          <cell r="E2519" t="str">
            <v>Less: Financial intermediation services indirectly measured (FISIM) (only to be deducted if FISIM is not distributed to uses)</v>
          </cell>
          <cell r="F2519">
            <v>0</v>
          </cell>
          <cell r="G2519">
            <v>1999</v>
          </cell>
          <cell r="H2519">
            <v>30</v>
          </cell>
          <cell r="I2519">
            <v>4284141000000000</v>
          </cell>
        </row>
        <row r="2520">
          <cell r="A2520" t="str">
            <v>Turkey</v>
          </cell>
          <cell r="B2520">
            <v>792</v>
          </cell>
          <cell r="C2520">
            <v>201</v>
          </cell>
          <cell r="D2520">
            <v>13</v>
          </cell>
          <cell r="E2520" t="str">
            <v>Less: Financial intermediation services indirectly measured (FISIM) (only to be deducted if FISIM is not distributed to uses)</v>
          </cell>
          <cell r="F2520">
            <v>0</v>
          </cell>
          <cell r="G2520">
            <v>2000</v>
          </cell>
          <cell r="H2520">
            <v>30</v>
          </cell>
          <cell r="I2520">
            <v>4097693493000000</v>
          </cell>
        </row>
        <row r="2521">
          <cell r="A2521" t="str">
            <v>Turkey</v>
          </cell>
          <cell r="B2521">
            <v>792</v>
          </cell>
          <cell r="C2521">
            <v>201</v>
          </cell>
          <cell r="D2521">
            <v>13</v>
          </cell>
          <cell r="E2521" t="str">
            <v>Less: Financial intermediation services indirectly measured (FISIM) (only to be deducted if FISIM is not distributed to uses)</v>
          </cell>
          <cell r="F2521">
            <v>0</v>
          </cell>
          <cell r="G2521">
            <v>2001</v>
          </cell>
          <cell r="H2521">
            <v>30</v>
          </cell>
          <cell r="I2521">
            <v>1.1534430655E+16</v>
          </cell>
        </row>
        <row r="2522">
          <cell r="A2522" t="str">
            <v>Turkey</v>
          </cell>
          <cell r="B2522">
            <v>792</v>
          </cell>
          <cell r="C2522">
            <v>201</v>
          </cell>
          <cell r="D2522">
            <v>13</v>
          </cell>
          <cell r="E2522" t="str">
            <v>Less: Financial intermediation services indirectly measured (FISIM) (only to be deducted if FISIM is not distributed to uses)</v>
          </cell>
          <cell r="F2522">
            <v>0</v>
          </cell>
          <cell r="G2522">
            <v>2002</v>
          </cell>
          <cell r="H2522">
            <v>30</v>
          </cell>
          <cell r="I2522">
            <v>8095559041000000</v>
          </cell>
        </row>
        <row r="2523">
          <cell r="A2523" t="str">
            <v>Turkey</v>
          </cell>
          <cell r="B2523">
            <v>792</v>
          </cell>
          <cell r="C2523">
            <v>201</v>
          </cell>
          <cell r="D2523">
            <v>13</v>
          </cell>
          <cell r="E2523" t="str">
            <v>Less: Financial intermediation services indirectly measured (FISIM) (only to be deducted if FISIM is not distributed to uses)</v>
          </cell>
          <cell r="F2523">
            <v>0</v>
          </cell>
          <cell r="G2523">
            <v>2003</v>
          </cell>
          <cell r="H2523">
            <v>30</v>
          </cell>
          <cell r="I2523">
            <v>7911747039000000</v>
          </cell>
        </row>
        <row r="2524">
          <cell r="A2524" t="str">
            <v>Turkey</v>
          </cell>
          <cell r="B2524">
            <v>792</v>
          </cell>
          <cell r="C2524">
            <v>203</v>
          </cell>
          <cell r="D2524">
            <v>3</v>
          </cell>
          <cell r="E2524" t="str">
            <v>Equals: VALUE ADDED, GROSS, at basic prices</v>
          </cell>
          <cell r="F2524">
            <v>12</v>
          </cell>
          <cell r="G2524">
            <v>1970</v>
          </cell>
          <cell r="H2524">
            <v>30</v>
          </cell>
          <cell r="I2524">
            <v>202610000000</v>
          </cell>
        </row>
        <row r="2525">
          <cell r="A2525" t="str">
            <v>Turkey</v>
          </cell>
          <cell r="B2525">
            <v>792</v>
          </cell>
          <cell r="C2525">
            <v>203</v>
          </cell>
          <cell r="D2525">
            <v>3</v>
          </cell>
          <cell r="E2525" t="str">
            <v>Equals: VALUE ADDED, GROSS, at basic prices</v>
          </cell>
          <cell r="F2525">
            <v>12</v>
          </cell>
          <cell r="G2525">
            <v>1971</v>
          </cell>
          <cell r="H2525">
            <v>30</v>
          </cell>
          <cell r="I2525">
            <v>251020000000</v>
          </cell>
        </row>
        <row r="2526">
          <cell r="A2526" t="str">
            <v>Turkey</v>
          </cell>
          <cell r="B2526">
            <v>792</v>
          </cell>
          <cell r="C2526">
            <v>203</v>
          </cell>
          <cell r="D2526">
            <v>3</v>
          </cell>
          <cell r="E2526" t="str">
            <v>Equals: VALUE ADDED, GROSS, at basic prices</v>
          </cell>
          <cell r="F2526">
            <v>12</v>
          </cell>
          <cell r="G2526">
            <v>1972</v>
          </cell>
          <cell r="H2526">
            <v>30</v>
          </cell>
          <cell r="I2526">
            <v>299311000000</v>
          </cell>
        </row>
        <row r="2527">
          <cell r="A2527" t="str">
            <v>Turkey</v>
          </cell>
          <cell r="B2527">
            <v>792</v>
          </cell>
          <cell r="C2527">
            <v>203</v>
          </cell>
          <cell r="D2527">
            <v>3</v>
          </cell>
          <cell r="E2527" t="str">
            <v>Equals: VALUE ADDED, GROSS, at basic prices</v>
          </cell>
          <cell r="F2527">
            <v>12</v>
          </cell>
          <cell r="G2527">
            <v>1973</v>
          </cell>
          <cell r="H2527">
            <v>30</v>
          </cell>
          <cell r="I2527">
            <v>377185000000</v>
          </cell>
        </row>
        <row r="2528">
          <cell r="A2528" t="str">
            <v>Turkey</v>
          </cell>
          <cell r="B2528">
            <v>792</v>
          </cell>
          <cell r="C2528">
            <v>203</v>
          </cell>
          <cell r="D2528">
            <v>3</v>
          </cell>
          <cell r="E2528" t="str">
            <v>Equals: VALUE ADDED, GROSS, at basic prices</v>
          </cell>
          <cell r="F2528">
            <v>12</v>
          </cell>
          <cell r="G2528">
            <v>1974</v>
          </cell>
          <cell r="H2528">
            <v>30</v>
          </cell>
          <cell r="I2528">
            <v>511999000000</v>
          </cell>
        </row>
        <row r="2529">
          <cell r="A2529" t="str">
            <v>Turkey</v>
          </cell>
          <cell r="B2529">
            <v>792</v>
          </cell>
          <cell r="C2529">
            <v>203</v>
          </cell>
          <cell r="D2529">
            <v>3</v>
          </cell>
          <cell r="E2529" t="str">
            <v>Equals: VALUE ADDED, GROSS, at basic prices</v>
          </cell>
          <cell r="F2529">
            <v>12</v>
          </cell>
          <cell r="G2529">
            <v>1975</v>
          </cell>
          <cell r="H2529">
            <v>30</v>
          </cell>
          <cell r="I2529">
            <v>664128000000</v>
          </cell>
        </row>
        <row r="2530">
          <cell r="A2530" t="str">
            <v>Turkey</v>
          </cell>
          <cell r="B2530">
            <v>792</v>
          </cell>
          <cell r="C2530">
            <v>203</v>
          </cell>
          <cell r="D2530">
            <v>3</v>
          </cell>
          <cell r="E2530" t="str">
            <v>Equals: VALUE ADDED, GROSS, at basic prices</v>
          </cell>
          <cell r="F2530">
            <v>12</v>
          </cell>
          <cell r="G2530">
            <v>1976</v>
          </cell>
          <cell r="H2530">
            <v>30</v>
          </cell>
          <cell r="I2530">
            <v>840487000000</v>
          </cell>
        </row>
        <row r="2531">
          <cell r="A2531" t="str">
            <v>Turkey</v>
          </cell>
          <cell r="B2531">
            <v>792</v>
          </cell>
          <cell r="C2531">
            <v>203</v>
          </cell>
          <cell r="D2531">
            <v>3</v>
          </cell>
          <cell r="E2531" t="str">
            <v>Equals: VALUE ADDED, GROSS, at basic prices</v>
          </cell>
          <cell r="F2531">
            <v>12</v>
          </cell>
          <cell r="G2531">
            <v>1977</v>
          </cell>
          <cell r="H2531">
            <v>30</v>
          </cell>
          <cell r="I2531">
            <v>1086694000000</v>
          </cell>
        </row>
        <row r="2532">
          <cell r="A2532" t="str">
            <v>Turkey</v>
          </cell>
          <cell r="B2532">
            <v>792</v>
          </cell>
          <cell r="C2532">
            <v>203</v>
          </cell>
          <cell r="D2532">
            <v>3</v>
          </cell>
          <cell r="E2532" t="str">
            <v>Equals: VALUE ADDED, GROSS, at basic prices</v>
          </cell>
          <cell r="F2532">
            <v>12</v>
          </cell>
          <cell r="G2532">
            <v>1978</v>
          </cell>
          <cell r="H2532">
            <v>30</v>
          </cell>
          <cell r="I2532">
            <v>1618602000000</v>
          </cell>
        </row>
        <row r="2533">
          <cell r="A2533" t="str">
            <v>Turkey</v>
          </cell>
          <cell r="B2533">
            <v>792</v>
          </cell>
          <cell r="C2533">
            <v>203</v>
          </cell>
          <cell r="D2533">
            <v>3</v>
          </cell>
          <cell r="E2533" t="str">
            <v>Equals: VALUE ADDED, GROSS, at basic prices</v>
          </cell>
          <cell r="F2533">
            <v>12</v>
          </cell>
          <cell r="G2533">
            <v>1979</v>
          </cell>
          <cell r="H2533">
            <v>30</v>
          </cell>
          <cell r="I2533">
            <v>2820729000000</v>
          </cell>
        </row>
        <row r="2534">
          <cell r="A2534" t="str">
            <v>Turkey</v>
          </cell>
          <cell r="B2534">
            <v>792</v>
          </cell>
          <cell r="C2534">
            <v>203</v>
          </cell>
          <cell r="D2534">
            <v>3</v>
          </cell>
          <cell r="E2534" t="str">
            <v>Equals: VALUE ADDED, GROSS, at basic prices</v>
          </cell>
          <cell r="F2534">
            <v>12</v>
          </cell>
          <cell r="G2534">
            <v>1980</v>
          </cell>
          <cell r="H2534">
            <v>30</v>
          </cell>
          <cell r="I2534">
            <v>5243640000000</v>
          </cell>
        </row>
        <row r="2535">
          <cell r="A2535" t="str">
            <v>Turkey</v>
          </cell>
          <cell r="B2535">
            <v>792</v>
          </cell>
          <cell r="C2535">
            <v>203</v>
          </cell>
          <cell r="D2535">
            <v>3</v>
          </cell>
          <cell r="E2535" t="str">
            <v>Equals: VALUE ADDED, GROSS, at basic prices</v>
          </cell>
          <cell r="F2535">
            <v>12</v>
          </cell>
          <cell r="G2535">
            <v>1981</v>
          </cell>
          <cell r="H2535">
            <v>30</v>
          </cell>
          <cell r="I2535">
            <v>7914330000000</v>
          </cell>
        </row>
        <row r="2536">
          <cell r="A2536" t="str">
            <v>Turkey</v>
          </cell>
          <cell r="B2536">
            <v>792</v>
          </cell>
          <cell r="C2536">
            <v>203</v>
          </cell>
          <cell r="D2536">
            <v>3</v>
          </cell>
          <cell r="E2536" t="str">
            <v>Equals: VALUE ADDED, GROSS, at basic prices</v>
          </cell>
          <cell r="F2536">
            <v>12</v>
          </cell>
          <cell r="G2536">
            <v>1982</v>
          </cell>
          <cell r="H2536">
            <v>30</v>
          </cell>
          <cell r="I2536">
            <v>10444240000000</v>
          </cell>
        </row>
        <row r="2537">
          <cell r="A2537" t="str">
            <v>Turkey</v>
          </cell>
          <cell r="B2537">
            <v>792</v>
          </cell>
          <cell r="C2537">
            <v>203</v>
          </cell>
          <cell r="D2537">
            <v>3</v>
          </cell>
          <cell r="E2537" t="str">
            <v>Equals: VALUE ADDED, GROSS, at basic prices</v>
          </cell>
          <cell r="F2537">
            <v>12</v>
          </cell>
          <cell r="G2537">
            <v>1983</v>
          </cell>
          <cell r="H2537">
            <v>30</v>
          </cell>
          <cell r="I2537">
            <v>13770330000000</v>
          </cell>
        </row>
        <row r="2538">
          <cell r="A2538" t="str">
            <v>Turkey</v>
          </cell>
          <cell r="B2538">
            <v>792</v>
          </cell>
          <cell r="C2538">
            <v>203</v>
          </cell>
          <cell r="D2538">
            <v>3</v>
          </cell>
          <cell r="E2538" t="str">
            <v>Equals: VALUE ADDED, GROSS, at basic prices</v>
          </cell>
          <cell r="F2538">
            <v>12</v>
          </cell>
          <cell r="G2538">
            <v>1984</v>
          </cell>
          <cell r="H2538">
            <v>30</v>
          </cell>
          <cell r="I2538">
            <v>21530390000000</v>
          </cell>
        </row>
        <row r="2539">
          <cell r="A2539" t="str">
            <v>Turkey</v>
          </cell>
          <cell r="B2539">
            <v>792</v>
          </cell>
          <cell r="C2539">
            <v>203</v>
          </cell>
          <cell r="D2539">
            <v>3</v>
          </cell>
          <cell r="E2539" t="str">
            <v>Equals: VALUE ADDED, GROSS, at basic prices</v>
          </cell>
          <cell r="F2539">
            <v>12</v>
          </cell>
          <cell r="G2539">
            <v>1985</v>
          </cell>
          <cell r="H2539">
            <v>30</v>
          </cell>
          <cell r="I2539">
            <v>33784490000000</v>
          </cell>
        </row>
        <row r="2540">
          <cell r="A2540" t="str">
            <v>Turkey</v>
          </cell>
          <cell r="B2540">
            <v>792</v>
          </cell>
          <cell r="C2540">
            <v>203</v>
          </cell>
          <cell r="D2540">
            <v>3</v>
          </cell>
          <cell r="E2540" t="str">
            <v>Equals: VALUE ADDED, GROSS, at basic prices</v>
          </cell>
          <cell r="F2540">
            <v>12</v>
          </cell>
          <cell r="G2540">
            <v>1986</v>
          </cell>
          <cell r="H2540">
            <v>30</v>
          </cell>
          <cell r="I2540">
            <v>50304580000000</v>
          </cell>
        </row>
        <row r="2541">
          <cell r="A2541" t="str">
            <v>Turkey</v>
          </cell>
          <cell r="B2541">
            <v>792</v>
          </cell>
          <cell r="C2541">
            <v>203</v>
          </cell>
          <cell r="D2541">
            <v>3</v>
          </cell>
          <cell r="E2541" t="str">
            <v>Equals: VALUE ADDED, GROSS, at basic prices</v>
          </cell>
          <cell r="F2541">
            <v>12</v>
          </cell>
          <cell r="G2541">
            <v>1987</v>
          </cell>
          <cell r="H2541">
            <v>30</v>
          </cell>
          <cell r="I2541">
            <v>74067120000000</v>
          </cell>
        </row>
        <row r="2542">
          <cell r="A2542" t="str">
            <v>Turkey</v>
          </cell>
          <cell r="B2542">
            <v>792</v>
          </cell>
          <cell r="C2542">
            <v>203</v>
          </cell>
          <cell r="D2542">
            <v>3</v>
          </cell>
          <cell r="E2542" t="str">
            <v>Equals: VALUE ADDED, GROSS, at basic prices</v>
          </cell>
          <cell r="F2542">
            <v>12</v>
          </cell>
          <cell r="G2542">
            <v>1988</v>
          </cell>
          <cell r="H2542">
            <v>30</v>
          </cell>
          <cell r="I2542">
            <v>128327610000000</v>
          </cell>
        </row>
        <row r="2543">
          <cell r="A2543" t="str">
            <v>Turkey</v>
          </cell>
          <cell r="B2543">
            <v>792</v>
          </cell>
          <cell r="C2543">
            <v>203</v>
          </cell>
          <cell r="D2543">
            <v>3</v>
          </cell>
          <cell r="E2543" t="str">
            <v>Equals: VALUE ADDED, GROSS, at basic prices</v>
          </cell>
          <cell r="F2543">
            <v>12</v>
          </cell>
          <cell r="G2543">
            <v>1989</v>
          </cell>
          <cell r="H2543">
            <v>30</v>
          </cell>
          <cell r="I2543">
            <v>223031660000000</v>
          </cell>
        </row>
        <row r="2544">
          <cell r="A2544" t="str">
            <v>Tuvalu</v>
          </cell>
          <cell r="B2544">
            <v>798</v>
          </cell>
          <cell r="C2544">
            <v>201</v>
          </cell>
          <cell r="D2544">
            <v>13</v>
          </cell>
          <cell r="E2544" t="str">
            <v>Less: Financial intermediation services indirectly measured (FISIM) (only to be deducted if FISIM is not distributed to uses)</v>
          </cell>
          <cell r="F2544">
            <v>0</v>
          </cell>
          <cell r="G2544">
            <v>1996</v>
          </cell>
          <cell r="H2544">
            <v>10</v>
          </cell>
          <cell r="I2544">
            <v>555000</v>
          </cell>
        </row>
        <row r="2545">
          <cell r="A2545" t="str">
            <v>Tuvalu</v>
          </cell>
          <cell r="B2545">
            <v>798</v>
          </cell>
          <cell r="C2545">
            <v>201</v>
          </cell>
          <cell r="D2545">
            <v>13</v>
          </cell>
          <cell r="E2545" t="str">
            <v>Less: Financial intermediation services indirectly measured (FISIM) (only to be deducted if FISIM is not distributed to uses)</v>
          </cell>
          <cell r="F2545">
            <v>0</v>
          </cell>
          <cell r="G2545">
            <v>1997</v>
          </cell>
          <cell r="H2545">
            <v>10</v>
          </cell>
          <cell r="I2545">
            <v>512000</v>
          </cell>
        </row>
        <row r="2546">
          <cell r="A2546" t="str">
            <v>Tuvalu</v>
          </cell>
          <cell r="B2546">
            <v>798</v>
          </cell>
          <cell r="C2546">
            <v>201</v>
          </cell>
          <cell r="D2546">
            <v>13</v>
          </cell>
          <cell r="E2546" t="str">
            <v>Less: Financial intermediation services indirectly measured (FISIM) (only to be deducted if FISIM is not distributed to uses)</v>
          </cell>
          <cell r="F2546">
            <v>0</v>
          </cell>
          <cell r="G2546">
            <v>1998</v>
          </cell>
          <cell r="H2546">
            <v>10</v>
          </cell>
          <cell r="I2546">
            <v>501000</v>
          </cell>
        </row>
        <row r="2547">
          <cell r="A2547" t="str">
            <v>Tuvalu</v>
          </cell>
          <cell r="B2547">
            <v>798</v>
          </cell>
          <cell r="C2547">
            <v>201</v>
          </cell>
          <cell r="D2547">
            <v>13</v>
          </cell>
          <cell r="E2547" t="str">
            <v>Less: Financial intermediation services indirectly measured (FISIM) (only to be deducted if FISIM is not distributed to uses)</v>
          </cell>
          <cell r="F2547">
            <v>0</v>
          </cell>
          <cell r="G2547">
            <v>1999</v>
          </cell>
          <cell r="H2547">
            <v>10</v>
          </cell>
          <cell r="I2547">
            <v>605000</v>
          </cell>
        </row>
        <row r="2548">
          <cell r="A2548" t="str">
            <v>Tuvalu</v>
          </cell>
          <cell r="B2548">
            <v>798</v>
          </cell>
          <cell r="C2548">
            <v>201</v>
          </cell>
          <cell r="D2548">
            <v>13</v>
          </cell>
          <cell r="E2548" t="str">
            <v>Less: Financial intermediation services indirectly measured (FISIM) (only to be deducted if FISIM is not distributed to uses)</v>
          </cell>
          <cell r="F2548">
            <v>0</v>
          </cell>
          <cell r="G2548">
            <v>2000</v>
          </cell>
          <cell r="H2548">
            <v>10</v>
          </cell>
          <cell r="I2548">
            <v>991000</v>
          </cell>
        </row>
        <row r="2549">
          <cell r="A2549" t="str">
            <v>Tuvalu</v>
          </cell>
          <cell r="B2549">
            <v>798</v>
          </cell>
          <cell r="C2549">
            <v>201</v>
          </cell>
          <cell r="D2549">
            <v>13</v>
          </cell>
          <cell r="E2549" t="str">
            <v>Less: Financial intermediation services indirectly measured (FISIM) (only to be deducted if FISIM is not distributed to uses)</v>
          </cell>
          <cell r="F2549">
            <v>0</v>
          </cell>
          <cell r="G2549">
            <v>2001</v>
          </cell>
          <cell r="H2549">
            <v>10</v>
          </cell>
          <cell r="I2549">
            <v>989000</v>
          </cell>
        </row>
        <row r="2550">
          <cell r="A2550" t="str">
            <v>Tuvalu</v>
          </cell>
          <cell r="B2550">
            <v>798</v>
          </cell>
          <cell r="C2550">
            <v>201</v>
          </cell>
          <cell r="D2550">
            <v>13</v>
          </cell>
          <cell r="E2550" t="str">
            <v>Less: Financial intermediation services indirectly measured (FISIM) (only to be deducted if FISIM is not distributed to uses)</v>
          </cell>
          <cell r="F2550">
            <v>0</v>
          </cell>
          <cell r="G2550">
            <v>2002</v>
          </cell>
          <cell r="H2550">
            <v>10</v>
          </cell>
          <cell r="I2550">
            <v>1295000</v>
          </cell>
        </row>
        <row r="2551">
          <cell r="A2551" t="str">
            <v>The former Yugoslav Republic of Macedonia</v>
          </cell>
          <cell r="B2551">
            <v>807</v>
          </cell>
          <cell r="C2551">
            <v>201</v>
          </cell>
          <cell r="D2551">
            <v>13</v>
          </cell>
          <cell r="E2551" t="str">
            <v>Less: Financial intermediation services indirectly measured (FISIM) (only to be deducted if FISIM is not distributed to uses)</v>
          </cell>
          <cell r="F2551">
            <v>0</v>
          </cell>
          <cell r="G2551">
            <v>1990</v>
          </cell>
          <cell r="H2551">
            <v>200</v>
          </cell>
          <cell r="I2551">
            <v>9100000</v>
          </cell>
        </row>
        <row r="2552">
          <cell r="A2552" t="str">
            <v>The former Yugoslav Republic of Macedonia</v>
          </cell>
          <cell r="B2552">
            <v>807</v>
          </cell>
          <cell r="C2552">
            <v>201</v>
          </cell>
          <cell r="D2552">
            <v>13</v>
          </cell>
          <cell r="E2552" t="str">
            <v>Less: Financial intermediation services indirectly measured (FISIM) (only to be deducted if FISIM is not distributed to uses)</v>
          </cell>
          <cell r="F2552">
            <v>0</v>
          </cell>
          <cell r="G2552">
            <v>1991</v>
          </cell>
          <cell r="H2552">
            <v>200</v>
          </cell>
          <cell r="I2552">
            <v>58700000</v>
          </cell>
        </row>
        <row r="2553">
          <cell r="A2553" t="str">
            <v>The former Yugoslav Republic of Macedonia</v>
          </cell>
          <cell r="B2553">
            <v>807</v>
          </cell>
          <cell r="C2553">
            <v>201</v>
          </cell>
          <cell r="D2553">
            <v>13</v>
          </cell>
          <cell r="E2553" t="str">
            <v>Less: Financial intermediation services indirectly measured (FISIM) (only to be deducted if FISIM is not distributed to uses)</v>
          </cell>
          <cell r="F2553">
            <v>0</v>
          </cell>
          <cell r="G2553">
            <v>1992</v>
          </cell>
          <cell r="H2553">
            <v>200</v>
          </cell>
          <cell r="I2553">
            <v>149400000</v>
          </cell>
        </row>
        <row r="2554">
          <cell r="A2554" t="str">
            <v>The former Yugoslav Republic of Macedonia</v>
          </cell>
          <cell r="B2554">
            <v>807</v>
          </cell>
          <cell r="C2554">
            <v>201</v>
          </cell>
          <cell r="D2554">
            <v>13</v>
          </cell>
          <cell r="E2554" t="str">
            <v>Less: Financial intermediation services indirectly measured (FISIM) (only to be deducted if FISIM is not distributed to uses)</v>
          </cell>
          <cell r="F2554">
            <v>0</v>
          </cell>
          <cell r="G2554">
            <v>1993</v>
          </cell>
          <cell r="H2554">
            <v>200</v>
          </cell>
          <cell r="I2554">
            <v>8033500000</v>
          </cell>
        </row>
        <row r="2555">
          <cell r="A2555" t="str">
            <v>The former Yugoslav Republic of Macedonia</v>
          </cell>
          <cell r="B2555">
            <v>807</v>
          </cell>
          <cell r="C2555">
            <v>201</v>
          </cell>
          <cell r="D2555">
            <v>13</v>
          </cell>
          <cell r="E2555" t="str">
            <v>Less: Financial intermediation services indirectly measured (FISIM) (only to be deducted if FISIM is not distributed to uses)</v>
          </cell>
          <cell r="F2555">
            <v>0</v>
          </cell>
          <cell r="G2555">
            <v>1994</v>
          </cell>
          <cell r="H2555">
            <v>200</v>
          </cell>
          <cell r="I2555">
            <v>26575000000</v>
          </cell>
        </row>
        <row r="2556">
          <cell r="A2556" t="str">
            <v>The former Yugoslav Republic of Macedonia</v>
          </cell>
          <cell r="B2556">
            <v>807</v>
          </cell>
          <cell r="C2556">
            <v>201</v>
          </cell>
          <cell r="D2556">
            <v>13</v>
          </cell>
          <cell r="E2556" t="str">
            <v>Less: Financial intermediation services indirectly measured (FISIM) (only to be deducted if FISIM is not distributed to uses)</v>
          </cell>
          <cell r="F2556">
            <v>0</v>
          </cell>
          <cell r="G2556">
            <v>1995</v>
          </cell>
          <cell r="H2556">
            <v>200</v>
          </cell>
          <cell r="I2556">
            <v>5181600000</v>
          </cell>
        </row>
        <row r="2557">
          <cell r="A2557" t="str">
            <v>The former Yugoslav Republic of Macedonia</v>
          </cell>
          <cell r="B2557">
            <v>807</v>
          </cell>
          <cell r="C2557">
            <v>201</v>
          </cell>
          <cell r="D2557">
            <v>13</v>
          </cell>
          <cell r="E2557" t="str">
            <v>Less: Financial intermediation services indirectly measured (FISIM) (only to be deducted if FISIM is not distributed to uses)</v>
          </cell>
          <cell r="F2557">
            <v>0</v>
          </cell>
          <cell r="G2557">
            <v>1996</v>
          </cell>
          <cell r="H2557">
            <v>200</v>
          </cell>
          <cell r="I2557">
            <v>4079900000</v>
          </cell>
        </row>
        <row r="2558">
          <cell r="A2558" t="str">
            <v>The former Yugoslav Republic of Macedonia</v>
          </cell>
          <cell r="B2558">
            <v>807</v>
          </cell>
          <cell r="C2558">
            <v>201</v>
          </cell>
          <cell r="D2558">
            <v>13</v>
          </cell>
          <cell r="E2558" t="str">
            <v>Less: Financial intermediation services indirectly measured (FISIM) (only to be deducted if FISIM is not distributed to uses)</v>
          </cell>
          <cell r="F2558">
            <v>0</v>
          </cell>
          <cell r="G2558">
            <v>1997</v>
          </cell>
          <cell r="H2558">
            <v>200</v>
          </cell>
          <cell r="I2558">
            <v>4452000000</v>
          </cell>
        </row>
        <row r="2559">
          <cell r="A2559" t="str">
            <v>The former Yugoslav Republic of Macedonia</v>
          </cell>
          <cell r="B2559">
            <v>807</v>
          </cell>
          <cell r="C2559">
            <v>201</v>
          </cell>
          <cell r="D2559">
            <v>13</v>
          </cell>
          <cell r="E2559" t="str">
            <v>Less: Financial intermediation services indirectly measured (FISIM) (only to be deducted if FISIM is not distributed to uses)</v>
          </cell>
          <cell r="F2559">
            <v>0</v>
          </cell>
          <cell r="G2559">
            <v>1997</v>
          </cell>
          <cell r="H2559">
            <v>300</v>
          </cell>
          <cell r="I2559">
            <v>4380400000</v>
          </cell>
        </row>
        <row r="2560">
          <cell r="A2560" t="str">
            <v>The former Yugoslav Republic of Macedonia</v>
          </cell>
          <cell r="B2560">
            <v>807</v>
          </cell>
          <cell r="C2560">
            <v>201</v>
          </cell>
          <cell r="D2560">
            <v>13</v>
          </cell>
          <cell r="E2560" t="str">
            <v>Less: Financial intermediation services indirectly measured (FISIM) (only to be deducted if FISIM is not distributed to uses)</v>
          </cell>
          <cell r="F2560">
            <v>0</v>
          </cell>
          <cell r="G2560">
            <v>1998</v>
          </cell>
          <cell r="H2560">
            <v>300</v>
          </cell>
          <cell r="I2560">
            <v>5036000000</v>
          </cell>
        </row>
        <row r="2561">
          <cell r="A2561" t="str">
            <v>The former Yugoslav Republic of Macedonia</v>
          </cell>
          <cell r="B2561">
            <v>807</v>
          </cell>
          <cell r="C2561">
            <v>201</v>
          </cell>
          <cell r="D2561">
            <v>13</v>
          </cell>
          <cell r="E2561" t="str">
            <v>Less: Financial intermediation services indirectly measured (FISIM) (only to be deducted if FISIM is not distributed to uses)</v>
          </cell>
          <cell r="F2561">
            <v>0</v>
          </cell>
          <cell r="G2561">
            <v>1999</v>
          </cell>
          <cell r="H2561">
            <v>300</v>
          </cell>
          <cell r="I2561">
            <v>5017000000</v>
          </cell>
        </row>
        <row r="2562">
          <cell r="A2562" t="str">
            <v>The former Yugoslav Republic of Macedonia</v>
          </cell>
          <cell r="B2562">
            <v>807</v>
          </cell>
          <cell r="C2562">
            <v>201</v>
          </cell>
          <cell r="D2562">
            <v>13</v>
          </cell>
          <cell r="E2562" t="str">
            <v>Less: Financial intermediation services indirectly measured (FISIM) (only to be deducted if FISIM is not distributed to uses)</v>
          </cell>
          <cell r="F2562">
            <v>0</v>
          </cell>
          <cell r="G2562">
            <v>2000</v>
          </cell>
          <cell r="H2562">
            <v>300</v>
          </cell>
          <cell r="I2562">
            <v>5152600000</v>
          </cell>
        </row>
        <row r="2563">
          <cell r="A2563" t="str">
            <v>The former Yugoslav Republic of Macedonia</v>
          </cell>
          <cell r="B2563">
            <v>807</v>
          </cell>
          <cell r="C2563">
            <v>201</v>
          </cell>
          <cell r="D2563">
            <v>13</v>
          </cell>
          <cell r="E2563" t="str">
            <v>Less: Financial intermediation services indirectly measured (FISIM) (only to be deducted if FISIM is not distributed to uses)</v>
          </cell>
          <cell r="F2563">
            <v>0</v>
          </cell>
          <cell r="G2563">
            <v>2001</v>
          </cell>
          <cell r="H2563">
            <v>300</v>
          </cell>
          <cell r="I2563">
            <v>4738000000</v>
          </cell>
        </row>
        <row r="2564">
          <cell r="A2564" t="str">
            <v>The former Yugoslav Republic of Macedonia</v>
          </cell>
          <cell r="B2564">
            <v>807</v>
          </cell>
          <cell r="C2564">
            <v>201</v>
          </cell>
          <cell r="D2564">
            <v>13</v>
          </cell>
          <cell r="E2564" t="str">
            <v>Less: Financial intermediation services indirectly measured (FISIM) (only to be deducted if FISIM is not distributed to uses)</v>
          </cell>
          <cell r="F2564">
            <v>0</v>
          </cell>
          <cell r="G2564">
            <v>2002</v>
          </cell>
          <cell r="H2564">
            <v>300</v>
          </cell>
          <cell r="I2564">
            <v>4160000000</v>
          </cell>
        </row>
        <row r="2565">
          <cell r="A2565" t="str">
            <v>The former Yugoslav Republic of Macedonia</v>
          </cell>
          <cell r="B2565">
            <v>807</v>
          </cell>
          <cell r="C2565">
            <v>201</v>
          </cell>
          <cell r="D2565">
            <v>13</v>
          </cell>
          <cell r="E2565" t="str">
            <v>Less: Financial intermediation services indirectly measured (FISIM) (only to be deducted if FISIM is not distributed to uses)</v>
          </cell>
          <cell r="F2565">
            <v>0</v>
          </cell>
          <cell r="G2565">
            <v>2003</v>
          </cell>
          <cell r="H2565">
            <v>300</v>
          </cell>
          <cell r="I2565">
            <v>3797200000</v>
          </cell>
        </row>
        <row r="2566">
          <cell r="A2566" t="str">
            <v>The former Yugoslav Republic of Macedonia</v>
          </cell>
          <cell r="B2566">
            <v>807</v>
          </cell>
          <cell r="C2566">
            <v>203</v>
          </cell>
          <cell r="D2566">
            <v>3</v>
          </cell>
          <cell r="E2566" t="str">
            <v>Equals: VALUE ADDED, GROSS, at basic prices</v>
          </cell>
          <cell r="F2566">
            <v>12</v>
          </cell>
          <cell r="G2566">
            <v>1990</v>
          </cell>
          <cell r="H2566">
            <v>100</v>
          </cell>
          <cell r="I2566">
            <v>424280000</v>
          </cell>
        </row>
        <row r="2567">
          <cell r="A2567" t="str">
            <v>The former Yugoslav Republic of Macedonia</v>
          </cell>
          <cell r="B2567">
            <v>807</v>
          </cell>
          <cell r="C2567">
            <v>203</v>
          </cell>
          <cell r="D2567">
            <v>3</v>
          </cell>
          <cell r="E2567" t="str">
            <v>Equals: VALUE ADDED, GROSS, at basic prices</v>
          </cell>
          <cell r="F2567">
            <v>12</v>
          </cell>
          <cell r="G2567">
            <v>1991</v>
          </cell>
          <cell r="H2567">
            <v>100</v>
          </cell>
          <cell r="I2567">
            <v>774290000</v>
          </cell>
        </row>
        <row r="2568">
          <cell r="A2568" t="str">
            <v>The former Yugoslav Republic of Macedonia</v>
          </cell>
          <cell r="B2568">
            <v>807</v>
          </cell>
          <cell r="C2568">
            <v>203</v>
          </cell>
          <cell r="D2568">
            <v>3</v>
          </cell>
          <cell r="E2568" t="str">
            <v>Equals: VALUE ADDED, GROSS, at basic prices</v>
          </cell>
          <cell r="F2568">
            <v>12</v>
          </cell>
          <cell r="G2568">
            <v>1992</v>
          </cell>
          <cell r="H2568">
            <v>100</v>
          </cell>
          <cell r="I2568">
            <v>10295510000</v>
          </cell>
        </row>
        <row r="2569">
          <cell r="A2569" t="str">
            <v>The former Yugoslav Republic of Macedonia</v>
          </cell>
          <cell r="B2569">
            <v>807</v>
          </cell>
          <cell r="C2569">
            <v>203</v>
          </cell>
          <cell r="D2569">
            <v>3</v>
          </cell>
          <cell r="E2569" t="str">
            <v>Equals: VALUE ADDED, GROSS, at basic prices</v>
          </cell>
          <cell r="F2569">
            <v>12</v>
          </cell>
          <cell r="G2569">
            <v>1993</v>
          </cell>
          <cell r="H2569">
            <v>100</v>
          </cell>
          <cell r="I2569">
            <v>50855840000</v>
          </cell>
        </row>
        <row r="2570">
          <cell r="A2570" t="str">
            <v>The former Yugoslav Republic of Macedonia</v>
          </cell>
          <cell r="B2570">
            <v>807</v>
          </cell>
          <cell r="C2570">
            <v>203</v>
          </cell>
          <cell r="D2570">
            <v>4</v>
          </cell>
          <cell r="E2570" t="str">
            <v>Compensation of employees</v>
          </cell>
          <cell r="F2570">
            <v>12</v>
          </cell>
          <cell r="G2570">
            <v>1990</v>
          </cell>
          <cell r="H2570">
            <v>100</v>
          </cell>
          <cell r="I2570">
            <v>353320000</v>
          </cell>
        </row>
        <row r="2571">
          <cell r="A2571" t="str">
            <v>The former Yugoslav Republic of Macedonia</v>
          </cell>
          <cell r="B2571">
            <v>807</v>
          </cell>
          <cell r="C2571">
            <v>203</v>
          </cell>
          <cell r="D2571">
            <v>4</v>
          </cell>
          <cell r="E2571" t="str">
            <v>Compensation of employees</v>
          </cell>
          <cell r="F2571">
            <v>12</v>
          </cell>
          <cell r="G2571">
            <v>1991</v>
          </cell>
          <cell r="H2571">
            <v>100</v>
          </cell>
          <cell r="I2571">
            <v>669310000</v>
          </cell>
        </row>
        <row r="2572">
          <cell r="A2572" t="str">
            <v>The former Yugoslav Republic of Macedonia</v>
          </cell>
          <cell r="B2572">
            <v>807</v>
          </cell>
          <cell r="C2572">
            <v>203</v>
          </cell>
          <cell r="D2572">
            <v>4</v>
          </cell>
          <cell r="E2572" t="str">
            <v>Compensation of employees</v>
          </cell>
          <cell r="F2572">
            <v>12</v>
          </cell>
          <cell r="G2572">
            <v>1992</v>
          </cell>
          <cell r="H2572">
            <v>100</v>
          </cell>
          <cell r="I2572">
            <v>7446490000</v>
          </cell>
        </row>
        <row r="2573">
          <cell r="A2573" t="str">
            <v>The former Yugoslav Republic of Macedonia</v>
          </cell>
          <cell r="B2573">
            <v>807</v>
          </cell>
          <cell r="C2573">
            <v>203</v>
          </cell>
          <cell r="D2573">
            <v>4</v>
          </cell>
          <cell r="E2573" t="str">
            <v>Compensation of employees</v>
          </cell>
          <cell r="F2573">
            <v>12</v>
          </cell>
          <cell r="G2573">
            <v>1993</v>
          </cell>
          <cell r="H2573">
            <v>100</v>
          </cell>
          <cell r="I2573">
            <v>38920860000</v>
          </cell>
        </row>
        <row r="2574">
          <cell r="A2574" t="str">
            <v>The former Yugoslav Republic of Macedonia</v>
          </cell>
          <cell r="B2574">
            <v>807</v>
          </cell>
          <cell r="C2574">
            <v>203</v>
          </cell>
          <cell r="D2574">
            <v>22</v>
          </cell>
          <cell r="E2574" t="str">
            <v>Taxes on production and imports, less Subsidies</v>
          </cell>
          <cell r="F2574">
            <v>12</v>
          </cell>
          <cell r="G2574">
            <v>1990</v>
          </cell>
          <cell r="H2574">
            <v>100</v>
          </cell>
          <cell r="I2574">
            <v>4750000</v>
          </cell>
        </row>
        <row r="2575">
          <cell r="A2575" t="str">
            <v>The former Yugoslav Republic of Macedonia</v>
          </cell>
          <cell r="B2575">
            <v>807</v>
          </cell>
          <cell r="C2575">
            <v>203</v>
          </cell>
          <cell r="D2575">
            <v>22</v>
          </cell>
          <cell r="E2575" t="str">
            <v>Taxes on production and imports, less Subsidies</v>
          </cell>
          <cell r="F2575">
            <v>12</v>
          </cell>
          <cell r="G2575">
            <v>1991</v>
          </cell>
          <cell r="H2575">
            <v>100</v>
          </cell>
          <cell r="I2575">
            <v>9750000</v>
          </cell>
        </row>
        <row r="2576">
          <cell r="A2576" t="str">
            <v>The former Yugoslav Republic of Macedonia</v>
          </cell>
          <cell r="B2576">
            <v>807</v>
          </cell>
          <cell r="C2576">
            <v>203</v>
          </cell>
          <cell r="D2576">
            <v>22</v>
          </cell>
          <cell r="E2576" t="str">
            <v>Taxes on production and imports, less Subsidies</v>
          </cell>
          <cell r="F2576">
            <v>12</v>
          </cell>
          <cell r="G2576">
            <v>1992</v>
          </cell>
          <cell r="H2576">
            <v>100</v>
          </cell>
          <cell r="I2576">
            <v>114940000</v>
          </cell>
        </row>
        <row r="2577">
          <cell r="A2577" t="str">
            <v>The former Yugoslav Republic of Macedonia</v>
          </cell>
          <cell r="B2577">
            <v>807</v>
          </cell>
          <cell r="C2577">
            <v>203</v>
          </cell>
          <cell r="D2577">
            <v>22</v>
          </cell>
          <cell r="E2577" t="str">
            <v>Taxes on production and imports, less Subsidies</v>
          </cell>
          <cell r="F2577">
            <v>12</v>
          </cell>
          <cell r="G2577">
            <v>1993</v>
          </cell>
          <cell r="H2577">
            <v>100</v>
          </cell>
          <cell r="I2577">
            <v>149330000</v>
          </cell>
        </row>
        <row r="2578">
          <cell r="A2578" t="str">
            <v>United Republic of Tanzania</v>
          </cell>
          <cell r="B2578">
            <v>834</v>
          </cell>
          <cell r="C2578">
            <v>201</v>
          </cell>
          <cell r="D2578">
            <v>13</v>
          </cell>
          <cell r="E2578" t="str">
            <v>Less: Financial intermediation services indirectly measured (FISIM) (only to be deducted if FISIM is not distributed to uses)</v>
          </cell>
          <cell r="F2578">
            <v>0</v>
          </cell>
          <cell r="G2578">
            <v>1970</v>
          </cell>
          <cell r="H2578">
            <v>10</v>
          </cell>
          <cell r="I2578">
            <v>110000000</v>
          </cell>
        </row>
        <row r="2579">
          <cell r="A2579" t="str">
            <v>United Republic of Tanzania</v>
          </cell>
          <cell r="B2579">
            <v>834</v>
          </cell>
          <cell r="C2579">
            <v>201</v>
          </cell>
          <cell r="D2579">
            <v>13</v>
          </cell>
          <cell r="E2579" t="str">
            <v>Less: Financial intermediation services indirectly measured (FISIM) (only to be deducted if FISIM is not distributed to uses)</v>
          </cell>
          <cell r="F2579">
            <v>0</v>
          </cell>
          <cell r="G2579">
            <v>1971</v>
          </cell>
          <cell r="H2579">
            <v>10</v>
          </cell>
          <cell r="I2579">
            <v>134000000</v>
          </cell>
        </row>
        <row r="2580">
          <cell r="A2580" t="str">
            <v>United Republic of Tanzania</v>
          </cell>
          <cell r="B2580">
            <v>834</v>
          </cell>
          <cell r="C2580">
            <v>201</v>
          </cell>
          <cell r="D2580">
            <v>13</v>
          </cell>
          <cell r="E2580" t="str">
            <v>Less: Financial intermediation services indirectly measured (FISIM) (only to be deducted if FISIM is not distributed to uses)</v>
          </cell>
          <cell r="F2580">
            <v>0</v>
          </cell>
          <cell r="G2580">
            <v>1972</v>
          </cell>
          <cell r="H2580">
            <v>10</v>
          </cell>
          <cell r="I2580">
            <v>156000000</v>
          </cell>
        </row>
        <row r="2581">
          <cell r="A2581" t="str">
            <v>United Republic of Tanzania</v>
          </cell>
          <cell r="B2581">
            <v>834</v>
          </cell>
          <cell r="C2581">
            <v>201</v>
          </cell>
          <cell r="D2581">
            <v>13</v>
          </cell>
          <cell r="E2581" t="str">
            <v>Less: Financial intermediation services indirectly measured (FISIM) (only to be deducted if FISIM is not distributed to uses)</v>
          </cell>
          <cell r="F2581">
            <v>0</v>
          </cell>
          <cell r="G2581">
            <v>1973</v>
          </cell>
          <cell r="H2581">
            <v>10</v>
          </cell>
          <cell r="I2581">
            <v>185000000</v>
          </cell>
        </row>
        <row r="2582">
          <cell r="A2582" t="str">
            <v>United Republic of Tanzania</v>
          </cell>
          <cell r="B2582">
            <v>834</v>
          </cell>
          <cell r="C2582">
            <v>201</v>
          </cell>
          <cell r="D2582">
            <v>13</v>
          </cell>
          <cell r="E2582" t="str">
            <v>Less: Financial intermediation services indirectly measured (FISIM) (only to be deducted if FISIM is not distributed to uses)</v>
          </cell>
          <cell r="F2582">
            <v>0</v>
          </cell>
          <cell r="G2582">
            <v>1974</v>
          </cell>
          <cell r="H2582">
            <v>10</v>
          </cell>
          <cell r="I2582">
            <v>228000000</v>
          </cell>
        </row>
        <row r="2583">
          <cell r="A2583" t="str">
            <v>United Republic of Tanzania</v>
          </cell>
          <cell r="B2583">
            <v>834</v>
          </cell>
          <cell r="C2583">
            <v>201</v>
          </cell>
          <cell r="D2583">
            <v>13</v>
          </cell>
          <cell r="E2583" t="str">
            <v>Less: Financial intermediation services indirectly measured (FISIM) (only to be deducted if FISIM is not distributed to uses)</v>
          </cell>
          <cell r="F2583">
            <v>0</v>
          </cell>
          <cell r="G2583">
            <v>1975</v>
          </cell>
          <cell r="H2583">
            <v>10</v>
          </cell>
          <cell r="I2583">
            <v>254000000</v>
          </cell>
        </row>
        <row r="2584">
          <cell r="A2584" t="str">
            <v>United Republic of Tanzania</v>
          </cell>
          <cell r="B2584">
            <v>834</v>
          </cell>
          <cell r="C2584">
            <v>201</v>
          </cell>
          <cell r="D2584">
            <v>13</v>
          </cell>
          <cell r="E2584" t="str">
            <v>Less: Financial intermediation services indirectly measured (FISIM) (only to be deducted if FISIM is not distributed to uses)</v>
          </cell>
          <cell r="F2584">
            <v>0</v>
          </cell>
          <cell r="G2584">
            <v>1976</v>
          </cell>
          <cell r="H2584">
            <v>10</v>
          </cell>
          <cell r="I2584">
            <v>388000000</v>
          </cell>
        </row>
        <row r="2585">
          <cell r="A2585" t="str">
            <v>United Republic of Tanzania</v>
          </cell>
          <cell r="B2585">
            <v>834</v>
          </cell>
          <cell r="C2585">
            <v>201</v>
          </cell>
          <cell r="D2585">
            <v>13</v>
          </cell>
          <cell r="E2585" t="str">
            <v>Less: Financial intermediation services indirectly measured (FISIM) (only to be deducted if FISIM is not distributed to uses)</v>
          </cell>
          <cell r="F2585">
            <v>0</v>
          </cell>
          <cell r="G2585">
            <v>1976</v>
          </cell>
          <cell r="H2585">
            <v>30</v>
          </cell>
          <cell r="I2585">
            <v>424000000</v>
          </cell>
        </row>
        <row r="2586">
          <cell r="A2586" t="str">
            <v>United Republic of Tanzania</v>
          </cell>
          <cell r="B2586">
            <v>834</v>
          </cell>
          <cell r="C2586">
            <v>201</v>
          </cell>
          <cell r="D2586">
            <v>13</v>
          </cell>
          <cell r="E2586" t="str">
            <v>Less: Financial intermediation services indirectly measured (FISIM) (only to be deducted if FISIM is not distributed to uses)</v>
          </cell>
          <cell r="F2586">
            <v>0</v>
          </cell>
          <cell r="G2586">
            <v>1977</v>
          </cell>
          <cell r="H2586">
            <v>30</v>
          </cell>
          <cell r="I2586">
            <v>543000000</v>
          </cell>
        </row>
        <row r="2587">
          <cell r="A2587" t="str">
            <v>United Republic of Tanzania</v>
          </cell>
          <cell r="B2587">
            <v>834</v>
          </cell>
          <cell r="C2587">
            <v>201</v>
          </cell>
          <cell r="D2587">
            <v>13</v>
          </cell>
          <cell r="E2587" t="str">
            <v>Less: Financial intermediation services indirectly measured (FISIM) (only to be deducted if FISIM is not distributed to uses)</v>
          </cell>
          <cell r="F2587">
            <v>0</v>
          </cell>
          <cell r="G2587">
            <v>1978</v>
          </cell>
          <cell r="H2587">
            <v>30</v>
          </cell>
          <cell r="I2587">
            <v>689000000</v>
          </cell>
        </row>
        <row r="2588">
          <cell r="A2588" t="str">
            <v>United Republic of Tanzania</v>
          </cell>
          <cell r="B2588">
            <v>834</v>
          </cell>
          <cell r="C2588">
            <v>201</v>
          </cell>
          <cell r="D2588">
            <v>13</v>
          </cell>
          <cell r="E2588" t="str">
            <v>Less: Financial intermediation services indirectly measured (FISIM) (only to be deducted if FISIM is not distributed to uses)</v>
          </cell>
          <cell r="F2588">
            <v>0</v>
          </cell>
          <cell r="G2588">
            <v>1979</v>
          </cell>
          <cell r="H2588">
            <v>30</v>
          </cell>
          <cell r="I2588">
            <v>844000000</v>
          </cell>
        </row>
        <row r="2589">
          <cell r="A2589" t="str">
            <v>United Republic of Tanzania</v>
          </cell>
          <cell r="B2589">
            <v>834</v>
          </cell>
          <cell r="C2589">
            <v>201</v>
          </cell>
          <cell r="D2589">
            <v>13</v>
          </cell>
          <cell r="E2589" t="str">
            <v>Less: Financial intermediation services indirectly measured (FISIM) (only to be deducted if FISIM is not distributed to uses)</v>
          </cell>
          <cell r="F2589">
            <v>0</v>
          </cell>
          <cell r="G2589">
            <v>1980</v>
          </cell>
          <cell r="H2589">
            <v>30</v>
          </cell>
          <cell r="I2589">
            <v>965000000</v>
          </cell>
        </row>
        <row r="2590">
          <cell r="A2590" t="str">
            <v>United Republic of Tanzania</v>
          </cell>
          <cell r="B2590">
            <v>834</v>
          </cell>
          <cell r="C2590">
            <v>201</v>
          </cell>
          <cell r="D2590">
            <v>13</v>
          </cell>
          <cell r="E2590" t="str">
            <v>Less: Financial intermediation services indirectly measured (FISIM) (only to be deducted if FISIM is not distributed to uses)</v>
          </cell>
          <cell r="F2590">
            <v>0</v>
          </cell>
          <cell r="G2590">
            <v>1981</v>
          </cell>
          <cell r="H2590">
            <v>30</v>
          </cell>
          <cell r="I2590">
            <v>1120000000</v>
          </cell>
        </row>
        <row r="2591">
          <cell r="A2591" t="str">
            <v>United Republic of Tanzania</v>
          </cell>
          <cell r="B2591">
            <v>834</v>
          </cell>
          <cell r="C2591">
            <v>201</v>
          </cell>
          <cell r="D2591">
            <v>13</v>
          </cell>
          <cell r="E2591" t="str">
            <v>Less: Financial intermediation services indirectly measured (FISIM) (only to be deducted if FISIM is not distributed to uses)</v>
          </cell>
          <cell r="F2591">
            <v>0</v>
          </cell>
          <cell r="G2591">
            <v>1982</v>
          </cell>
          <cell r="H2591">
            <v>30</v>
          </cell>
          <cell r="I2591">
            <v>1360000000</v>
          </cell>
        </row>
        <row r="2592">
          <cell r="A2592" t="str">
            <v>United Republic of Tanzania</v>
          </cell>
          <cell r="B2592">
            <v>834</v>
          </cell>
          <cell r="C2592">
            <v>201</v>
          </cell>
          <cell r="D2592">
            <v>13</v>
          </cell>
          <cell r="E2592" t="str">
            <v>Less: Financial intermediation services indirectly measured (FISIM) (only to be deducted if FISIM is not distributed to uses)</v>
          </cell>
          <cell r="F2592">
            <v>0</v>
          </cell>
          <cell r="G2592">
            <v>1983</v>
          </cell>
          <cell r="H2592">
            <v>30</v>
          </cell>
          <cell r="I2592">
            <v>1292000000</v>
          </cell>
        </row>
        <row r="2593">
          <cell r="A2593" t="str">
            <v>United Republic of Tanzania</v>
          </cell>
          <cell r="B2593">
            <v>834</v>
          </cell>
          <cell r="C2593">
            <v>201</v>
          </cell>
          <cell r="D2593">
            <v>13</v>
          </cell>
          <cell r="E2593" t="str">
            <v>Less: Financial intermediation services indirectly measured (FISIM) (only to be deducted if FISIM is not distributed to uses)</v>
          </cell>
          <cell r="F2593">
            <v>0</v>
          </cell>
          <cell r="G2593">
            <v>1984</v>
          </cell>
          <cell r="H2593">
            <v>30</v>
          </cell>
          <cell r="I2593">
            <v>1511000000</v>
          </cell>
        </row>
        <row r="2594">
          <cell r="A2594" t="str">
            <v>United Republic of Tanzania</v>
          </cell>
          <cell r="B2594">
            <v>834</v>
          </cell>
          <cell r="C2594">
            <v>201</v>
          </cell>
          <cell r="D2594">
            <v>13</v>
          </cell>
          <cell r="E2594" t="str">
            <v>Less: Financial intermediation services indirectly measured (FISIM) (only to be deducted if FISIM is not distributed to uses)</v>
          </cell>
          <cell r="F2594">
            <v>0</v>
          </cell>
          <cell r="G2594">
            <v>1985</v>
          </cell>
          <cell r="H2594">
            <v>30</v>
          </cell>
          <cell r="I2594">
            <v>1806000000</v>
          </cell>
        </row>
        <row r="2595">
          <cell r="A2595" t="str">
            <v>United Republic of Tanzania</v>
          </cell>
          <cell r="B2595">
            <v>834</v>
          </cell>
          <cell r="C2595">
            <v>201</v>
          </cell>
          <cell r="D2595">
            <v>13</v>
          </cell>
          <cell r="E2595" t="str">
            <v>Less: Financial intermediation services indirectly measured (FISIM) (only to be deducted if FISIM is not distributed to uses)</v>
          </cell>
          <cell r="F2595">
            <v>0</v>
          </cell>
          <cell r="G2595">
            <v>1986</v>
          </cell>
          <cell r="H2595">
            <v>30</v>
          </cell>
          <cell r="I2595">
            <v>2544000000</v>
          </cell>
        </row>
        <row r="2596">
          <cell r="A2596" t="str">
            <v>United Republic of Tanzania</v>
          </cell>
          <cell r="B2596">
            <v>834</v>
          </cell>
          <cell r="C2596">
            <v>201</v>
          </cell>
          <cell r="D2596">
            <v>13</v>
          </cell>
          <cell r="E2596" t="str">
            <v>Less: Financial intermediation services indirectly measured (FISIM) (only to be deducted if FISIM is not distributed to uses)</v>
          </cell>
          <cell r="F2596">
            <v>0</v>
          </cell>
          <cell r="G2596">
            <v>1987</v>
          </cell>
          <cell r="H2596">
            <v>30</v>
          </cell>
          <cell r="I2596">
            <v>6444000000</v>
          </cell>
        </row>
        <row r="2597">
          <cell r="A2597" t="str">
            <v>United Republic of Tanzania</v>
          </cell>
          <cell r="B2597">
            <v>834</v>
          </cell>
          <cell r="C2597">
            <v>201</v>
          </cell>
          <cell r="D2597">
            <v>13</v>
          </cell>
          <cell r="E2597" t="str">
            <v>Less: Financial intermediation services indirectly measured (FISIM) (only to be deducted if FISIM is not distributed to uses)</v>
          </cell>
          <cell r="F2597">
            <v>0</v>
          </cell>
          <cell r="G2597">
            <v>1988</v>
          </cell>
          <cell r="H2597">
            <v>30</v>
          </cell>
          <cell r="I2597">
            <v>12888000000</v>
          </cell>
        </row>
        <row r="2598">
          <cell r="A2598" t="str">
            <v>United Republic of Tanzania</v>
          </cell>
          <cell r="B2598">
            <v>834</v>
          </cell>
          <cell r="C2598">
            <v>201</v>
          </cell>
          <cell r="D2598">
            <v>13</v>
          </cell>
          <cell r="E2598" t="str">
            <v>Less: Financial intermediation services indirectly measured (FISIM) (only to be deducted if FISIM is not distributed to uses)</v>
          </cell>
          <cell r="F2598">
            <v>0</v>
          </cell>
          <cell r="G2598">
            <v>1989</v>
          </cell>
          <cell r="H2598">
            <v>30</v>
          </cell>
          <cell r="I2598">
            <v>18043000000</v>
          </cell>
        </row>
        <row r="2599">
          <cell r="A2599" t="str">
            <v>United Republic of Tanzania</v>
          </cell>
          <cell r="B2599">
            <v>834</v>
          </cell>
          <cell r="C2599">
            <v>201</v>
          </cell>
          <cell r="D2599">
            <v>13</v>
          </cell>
          <cell r="E2599" t="str">
            <v>Less: Financial intermediation services indirectly measured (FISIM) (only to be deducted if FISIM is not distributed to uses)</v>
          </cell>
          <cell r="F2599">
            <v>0</v>
          </cell>
          <cell r="G2599">
            <v>1990</v>
          </cell>
          <cell r="H2599">
            <v>30</v>
          </cell>
          <cell r="I2599">
            <v>25117000000</v>
          </cell>
        </row>
        <row r="2600">
          <cell r="A2600" t="str">
            <v>United Republic of Tanzania</v>
          </cell>
          <cell r="B2600">
            <v>834</v>
          </cell>
          <cell r="C2600">
            <v>201</v>
          </cell>
          <cell r="D2600">
            <v>13</v>
          </cell>
          <cell r="E2600" t="str">
            <v>Less: Financial intermediation services indirectly measured (FISIM) (only to be deducted if FISIM is not distributed to uses)</v>
          </cell>
          <cell r="F2600">
            <v>0</v>
          </cell>
          <cell r="G2600">
            <v>1991</v>
          </cell>
          <cell r="H2600">
            <v>30</v>
          </cell>
          <cell r="I2600">
            <v>28222000000</v>
          </cell>
        </row>
        <row r="2601">
          <cell r="A2601" t="str">
            <v>United Republic of Tanzania</v>
          </cell>
          <cell r="B2601">
            <v>834</v>
          </cell>
          <cell r="C2601">
            <v>201</v>
          </cell>
          <cell r="D2601">
            <v>13</v>
          </cell>
          <cell r="E2601" t="str">
            <v>Less: Financial intermediation services indirectly measured (FISIM) (only to be deducted if FISIM is not distributed to uses)</v>
          </cell>
          <cell r="F2601">
            <v>0</v>
          </cell>
          <cell r="G2601">
            <v>1992</v>
          </cell>
          <cell r="H2601">
            <v>30</v>
          </cell>
          <cell r="I2601">
            <v>29676000000</v>
          </cell>
        </row>
        <row r="2602">
          <cell r="A2602" t="str">
            <v>United Republic of Tanzania</v>
          </cell>
          <cell r="B2602">
            <v>834</v>
          </cell>
          <cell r="C2602">
            <v>201</v>
          </cell>
          <cell r="D2602">
            <v>13</v>
          </cell>
          <cell r="E2602" t="str">
            <v>Less: Financial intermediation services indirectly measured (FISIM) (only to be deducted if FISIM is not distributed to uses)</v>
          </cell>
          <cell r="F2602">
            <v>0</v>
          </cell>
          <cell r="G2602">
            <v>1993</v>
          </cell>
          <cell r="H2602">
            <v>30</v>
          </cell>
          <cell r="I2602">
            <v>54646000000</v>
          </cell>
        </row>
        <row r="2603">
          <cell r="A2603" t="str">
            <v>United Republic of Tanzania</v>
          </cell>
          <cell r="B2603">
            <v>834</v>
          </cell>
          <cell r="C2603">
            <v>201</v>
          </cell>
          <cell r="D2603">
            <v>13</v>
          </cell>
          <cell r="E2603" t="str">
            <v>Less: Financial intermediation services indirectly measured (FISIM) (only to be deducted if FISIM is not distributed to uses)</v>
          </cell>
          <cell r="F2603">
            <v>0</v>
          </cell>
          <cell r="G2603">
            <v>1994</v>
          </cell>
          <cell r="H2603">
            <v>30</v>
          </cell>
          <cell r="I2603">
            <v>80592000000</v>
          </cell>
        </row>
        <row r="2604">
          <cell r="A2604" t="str">
            <v>United Republic of Tanzania</v>
          </cell>
          <cell r="B2604">
            <v>834</v>
          </cell>
          <cell r="C2604">
            <v>201</v>
          </cell>
          <cell r="D2604">
            <v>13</v>
          </cell>
          <cell r="E2604" t="str">
            <v>Less: Financial intermediation services indirectly measured (FISIM) (only to be deducted if FISIM is not distributed to uses)</v>
          </cell>
          <cell r="F2604">
            <v>0</v>
          </cell>
          <cell r="G2604">
            <v>1994</v>
          </cell>
          <cell r="H2604">
            <v>100</v>
          </cell>
          <cell r="I2604">
            <v>117706000000</v>
          </cell>
        </row>
        <row r="2605">
          <cell r="A2605" t="str">
            <v>United Republic of Tanzania</v>
          </cell>
          <cell r="B2605">
            <v>834</v>
          </cell>
          <cell r="C2605">
            <v>201</v>
          </cell>
          <cell r="D2605">
            <v>13</v>
          </cell>
          <cell r="E2605" t="str">
            <v>Less: Financial intermediation services indirectly measured (FISIM) (only to be deducted if FISIM is not distributed to uses)</v>
          </cell>
          <cell r="F2605">
            <v>0</v>
          </cell>
          <cell r="G2605">
            <v>1995</v>
          </cell>
          <cell r="H2605">
            <v>100</v>
          </cell>
          <cell r="I2605">
            <v>113187000000</v>
          </cell>
        </row>
        <row r="2606">
          <cell r="A2606" t="str">
            <v>United Republic of Tanzania</v>
          </cell>
          <cell r="B2606">
            <v>834</v>
          </cell>
          <cell r="C2606">
            <v>201</v>
          </cell>
          <cell r="D2606">
            <v>13</v>
          </cell>
          <cell r="E2606" t="str">
            <v>Less: Financial intermediation services indirectly measured (FISIM) (only to be deducted if FISIM is not distributed to uses)</v>
          </cell>
          <cell r="F2606">
            <v>0</v>
          </cell>
          <cell r="G2606">
            <v>1996</v>
          </cell>
          <cell r="H2606">
            <v>100</v>
          </cell>
          <cell r="I2606">
            <v>136957000000</v>
          </cell>
        </row>
        <row r="2607">
          <cell r="A2607" t="str">
            <v>United Republic of Tanzania</v>
          </cell>
          <cell r="B2607">
            <v>834</v>
          </cell>
          <cell r="C2607">
            <v>201</v>
          </cell>
          <cell r="D2607">
            <v>13</v>
          </cell>
          <cell r="E2607" t="str">
            <v>Less: Financial intermediation services indirectly measured (FISIM) (only to be deducted if FISIM is not distributed to uses)</v>
          </cell>
          <cell r="F2607">
            <v>0</v>
          </cell>
          <cell r="G2607">
            <v>1997</v>
          </cell>
          <cell r="H2607">
            <v>100</v>
          </cell>
          <cell r="I2607">
            <v>138244000000</v>
          </cell>
        </row>
        <row r="2608">
          <cell r="A2608" t="str">
            <v>United Republic of Tanzania</v>
          </cell>
          <cell r="B2608">
            <v>834</v>
          </cell>
          <cell r="C2608">
            <v>201</v>
          </cell>
          <cell r="D2608">
            <v>13</v>
          </cell>
          <cell r="E2608" t="str">
            <v>Less: Financial intermediation services indirectly measured (FISIM) (only to be deducted if FISIM is not distributed to uses)</v>
          </cell>
          <cell r="F2608">
            <v>0</v>
          </cell>
          <cell r="G2608">
            <v>1998</v>
          </cell>
          <cell r="H2608">
            <v>100</v>
          </cell>
          <cell r="I2608">
            <v>140909000000</v>
          </cell>
        </row>
        <row r="2609">
          <cell r="A2609" t="str">
            <v>United Republic of Tanzania</v>
          </cell>
          <cell r="B2609">
            <v>834</v>
          </cell>
          <cell r="C2609">
            <v>201</v>
          </cell>
          <cell r="D2609">
            <v>13</v>
          </cell>
          <cell r="E2609" t="str">
            <v>Less: Financial intermediation services indirectly measured (FISIM) (only to be deducted if FISIM is not distributed to uses)</v>
          </cell>
          <cell r="F2609">
            <v>0</v>
          </cell>
          <cell r="G2609">
            <v>1999</v>
          </cell>
          <cell r="H2609">
            <v>100</v>
          </cell>
          <cell r="I2609">
            <v>144756000000</v>
          </cell>
        </row>
        <row r="2610">
          <cell r="A2610" t="str">
            <v>United Republic of Tanzania</v>
          </cell>
          <cell r="B2610">
            <v>834</v>
          </cell>
          <cell r="C2610">
            <v>201</v>
          </cell>
          <cell r="D2610">
            <v>13</v>
          </cell>
          <cell r="E2610" t="str">
            <v>Less: Financial intermediation services indirectly measured (FISIM) (only to be deducted if FISIM is not distributed to uses)</v>
          </cell>
          <cell r="F2610">
            <v>0</v>
          </cell>
          <cell r="G2610">
            <v>2000</v>
          </cell>
          <cell r="H2610">
            <v>100</v>
          </cell>
          <cell r="I2610">
            <v>151359000000</v>
          </cell>
        </row>
        <row r="2611">
          <cell r="A2611" t="str">
            <v>United Republic of Tanzania</v>
          </cell>
          <cell r="B2611">
            <v>834</v>
          </cell>
          <cell r="C2611">
            <v>201</v>
          </cell>
          <cell r="D2611">
            <v>13</v>
          </cell>
          <cell r="E2611" t="str">
            <v>Less: Financial intermediation services indirectly measured (FISIM) (only to be deducted if FISIM is not distributed to uses)</v>
          </cell>
          <cell r="F2611">
            <v>0</v>
          </cell>
          <cell r="G2611">
            <v>2001</v>
          </cell>
          <cell r="H2611">
            <v>100</v>
          </cell>
          <cell r="I2611">
            <v>157785000000</v>
          </cell>
        </row>
        <row r="2612">
          <cell r="A2612" t="str">
            <v>United Republic of Tanzania</v>
          </cell>
          <cell r="B2612">
            <v>834</v>
          </cell>
          <cell r="C2612">
            <v>201</v>
          </cell>
          <cell r="D2612">
            <v>13</v>
          </cell>
          <cell r="E2612" t="str">
            <v>Less: Financial intermediation services indirectly measured (FISIM) (only to be deducted if FISIM is not distributed to uses)</v>
          </cell>
          <cell r="F2612">
            <v>0</v>
          </cell>
          <cell r="G2612">
            <v>2002</v>
          </cell>
          <cell r="H2612">
            <v>100</v>
          </cell>
          <cell r="I2612">
            <v>168830000000</v>
          </cell>
        </row>
        <row r="2613">
          <cell r="A2613" t="str">
            <v>United Republic of Tanzania</v>
          </cell>
          <cell r="B2613">
            <v>834</v>
          </cell>
          <cell r="C2613">
            <v>201</v>
          </cell>
          <cell r="D2613">
            <v>13</v>
          </cell>
          <cell r="E2613" t="str">
            <v>Less: Financial intermediation services indirectly measured (FISIM) (only to be deducted if FISIM is not distributed to uses)</v>
          </cell>
          <cell r="F2613">
            <v>0</v>
          </cell>
          <cell r="G2613">
            <v>2003</v>
          </cell>
          <cell r="H2613">
            <v>100</v>
          </cell>
          <cell r="I2613">
            <v>182336000000</v>
          </cell>
        </row>
        <row r="2614">
          <cell r="A2614" t="str">
            <v>United Republic of Tanzania</v>
          </cell>
          <cell r="B2614">
            <v>834</v>
          </cell>
          <cell r="C2614">
            <v>203</v>
          </cell>
          <cell r="D2614">
            <v>3</v>
          </cell>
          <cell r="E2614" t="str">
            <v>Equals: VALUE ADDED, GROSS, at basic prices</v>
          </cell>
          <cell r="F2614">
            <v>12</v>
          </cell>
          <cell r="G2614">
            <v>1994</v>
          </cell>
          <cell r="H2614">
            <v>100</v>
          </cell>
          <cell r="I2614">
            <v>2125325000000</v>
          </cell>
        </row>
        <row r="2615">
          <cell r="A2615" t="str">
            <v>United Republic of Tanzania</v>
          </cell>
          <cell r="B2615">
            <v>834</v>
          </cell>
          <cell r="C2615">
            <v>203</v>
          </cell>
          <cell r="D2615">
            <v>3</v>
          </cell>
          <cell r="E2615" t="str">
            <v>Equals: VALUE ADDED, GROSS, at basic prices</v>
          </cell>
          <cell r="F2615">
            <v>12</v>
          </cell>
          <cell r="G2615">
            <v>1995</v>
          </cell>
          <cell r="H2615">
            <v>100</v>
          </cell>
          <cell r="I2615">
            <v>2796640000000</v>
          </cell>
        </row>
        <row r="2616">
          <cell r="A2616" t="str">
            <v>United Republic of Tanzania</v>
          </cell>
          <cell r="B2616">
            <v>834</v>
          </cell>
          <cell r="C2616">
            <v>203</v>
          </cell>
          <cell r="D2616">
            <v>3</v>
          </cell>
          <cell r="E2616" t="str">
            <v>Equals: VALUE ADDED, GROSS, at basic prices</v>
          </cell>
          <cell r="F2616">
            <v>12</v>
          </cell>
          <cell r="G2616">
            <v>1996</v>
          </cell>
          <cell r="H2616">
            <v>100</v>
          </cell>
          <cell r="I2616">
            <v>3452559000000</v>
          </cell>
        </row>
        <row r="2617">
          <cell r="A2617" t="str">
            <v>United Republic of Tanzania</v>
          </cell>
          <cell r="B2617">
            <v>834</v>
          </cell>
          <cell r="C2617">
            <v>203</v>
          </cell>
          <cell r="D2617">
            <v>3</v>
          </cell>
          <cell r="E2617" t="str">
            <v>Equals: VALUE ADDED, GROSS, at basic prices</v>
          </cell>
          <cell r="F2617">
            <v>12</v>
          </cell>
          <cell r="G2617">
            <v>1997</v>
          </cell>
          <cell r="H2617">
            <v>100</v>
          </cell>
          <cell r="I2617">
            <v>4281600000000</v>
          </cell>
        </row>
        <row r="2618">
          <cell r="A2618" t="str">
            <v>United Republic of Tanzania</v>
          </cell>
          <cell r="B2618">
            <v>834</v>
          </cell>
          <cell r="C2618">
            <v>203</v>
          </cell>
          <cell r="D2618">
            <v>3</v>
          </cell>
          <cell r="E2618" t="str">
            <v>Equals: VALUE ADDED, GROSS, at basic prices</v>
          </cell>
          <cell r="F2618">
            <v>12</v>
          </cell>
          <cell r="G2618">
            <v>1998</v>
          </cell>
          <cell r="H2618">
            <v>100</v>
          </cell>
          <cell r="I2618">
            <v>5124925000000</v>
          </cell>
        </row>
        <row r="2619">
          <cell r="A2619" t="str">
            <v>United Republic of Tanzania</v>
          </cell>
          <cell r="B2619">
            <v>834</v>
          </cell>
          <cell r="C2619">
            <v>203</v>
          </cell>
          <cell r="D2619">
            <v>3</v>
          </cell>
          <cell r="E2619" t="str">
            <v>Equals: VALUE ADDED, GROSS, at basic prices</v>
          </cell>
          <cell r="F2619">
            <v>12</v>
          </cell>
          <cell r="G2619">
            <v>1999</v>
          </cell>
          <cell r="H2619">
            <v>100</v>
          </cell>
          <cell r="I2619">
            <v>5977699000000</v>
          </cell>
        </row>
        <row r="2620">
          <cell r="A2620" t="str">
            <v>United Republic of Tanzania</v>
          </cell>
          <cell r="B2620">
            <v>834</v>
          </cell>
          <cell r="C2620">
            <v>203</v>
          </cell>
          <cell r="D2620">
            <v>3</v>
          </cell>
          <cell r="E2620" t="str">
            <v>Equals: VALUE ADDED, GROSS, at basic prices</v>
          </cell>
          <cell r="F2620">
            <v>12</v>
          </cell>
          <cell r="G2620">
            <v>2000</v>
          </cell>
          <cell r="H2620">
            <v>100</v>
          </cell>
          <cell r="I2620">
            <v>6715800000000</v>
          </cell>
        </row>
        <row r="2621">
          <cell r="A2621" t="str">
            <v>United Republic of Tanzania</v>
          </cell>
          <cell r="B2621">
            <v>834</v>
          </cell>
          <cell r="C2621">
            <v>203</v>
          </cell>
          <cell r="D2621">
            <v>3</v>
          </cell>
          <cell r="E2621" t="str">
            <v>Equals: VALUE ADDED, GROSS, at basic prices</v>
          </cell>
          <cell r="F2621">
            <v>12</v>
          </cell>
          <cell r="G2621">
            <v>2001</v>
          </cell>
          <cell r="H2621">
            <v>100</v>
          </cell>
          <cell r="I2621">
            <v>7634695000000</v>
          </cell>
        </row>
        <row r="2622">
          <cell r="A2622" t="str">
            <v>United Republic of Tanzania</v>
          </cell>
          <cell r="B2622">
            <v>834</v>
          </cell>
          <cell r="C2622">
            <v>203</v>
          </cell>
          <cell r="D2622">
            <v>3</v>
          </cell>
          <cell r="E2622" t="str">
            <v>Equals: VALUE ADDED, GROSS, at basic prices</v>
          </cell>
          <cell r="F2622">
            <v>12</v>
          </cell>
          <cell r="G2622">
            <v>2002</v>
          </cell>
          <cell r="H2622">
            <v>100</v>
          </cell>
          <cell r="I2622">
            <v>8699887000000</v>
          </cell>
        </row>
        <row r="2623">
          <cell r="A2623" t="str">
            <v>United Republic of Tanzania</v>
          </cell>
          <cell r="B2623">
            <v>834</v>
          </cell>
          <cell r="C2623">
            <v>203</v>
          </cell>
          <cell r="D2623">
            <v>3</v>
          </cell>
          <cell r="E2623" t="str">
            <v>Equals: VALUE ADDED, GROSS, at basic prices</v>
          </cell>
          <cell r="F2623">
            <v>12</v>
          </cell>
          <cell r="G2623">
            <v>2003</v>
          </cell>
          <cell r="H2623">
            <v>100</v>
          </cell>
          <cell r="I2623">
            <v>9811553000000</v>
          </cell>
        </row>
        <row r="2624">
          <cell r="A2624" t="str">
            <v>United Republic of Tanzania</v>
          </cell>
          <cell r="B2624">
            <v>834</v>
          </cell>
          <cell r="C2624">
            <v>203</v>
          </cell>
          <cell r="D2624">
            <v>4</v>
          </cell>
          <cell r="E2624" t="str">
            <v>Compensation of employees</v>
          </cell>
          <cell r="F2624">
            <v>12</v>
          </cell>
          <cell r="G2624">
            <v>1994</v>
          </cell>
          <cell r="H2624">
            <v>100</v>
          </cell>
          <cell r="I2624">
            <v>178336000000</v>
          </cell>
        </row>
        <row r="2625">
          <cell r="A2625" t="str">
            <v>United Republic of Tanzania</v>
          </cell>
          <cell r="B2625">
            <v>834</v>
          </cell>
          <cell r="C2625">
            <v>203</v>
          </cell>
          <cell r="D2625">
            <v>4</v>
          </cell>
          <cell r="E2625" t="str">
            <v>Compensation of employees</v>
          </cell>
          <cell r="F2625">
            <v>12</v>
          </cell>
          <cell r="G2625">
            <v>1995</v>
          </cell>
          <cell r="H2625">
            <v>100</v>
          </cell>
          <cell r="I2625">
            <v>241737000000</v>
          </cell>
        </row>
        <row r="2626">
          <cell r="A2626" t="str">
            <v>United Republic of Tanzania</v>
          </cell>
          <cell r="B2626">
            <v>834</v>
          </cell>
          <cell r="C2626">
            <v>203</v>
          </cell>
          <cell r="D2626">
            <v>4</v>
          </cell>
          <cell r="E2626" t="str">
            <v>Compensation of employees</v>
          </cell>
          <cell r="F2626">
            <v>12</v>
          </cell>
          <cell r="G2626">
            <v>1996</v>
          </cell>
          <cell r="H2626">
            <v>100</v>
          </cell>
          <cell r="I2626">
            <v>284578000000</v>
          </cell>
        </row>
        <row r="2627">
          <cell r="A2627" t="str">
            <v>United Republic of Tanzania</v>
          </cell>
          <cell r="B2627">
            <v>834</v>
          </cell>
          <cell r="C2627">
            <v>203</v>
          </cell>
          <cell r="D2627">
            <v>4</v>
          </cell>
          <cell r="E2627" t="str">
            <v>Compensation of employees</v>
          </cell>
          <cell r="F2627">
            <v>12</v>
          </cell>
          <cell r="G2627">
            <v>1997</v>
          </cell>
          <cell r="H2627">
            <v>100</v>
          </cell>
          <cell r="I2627">
            <v>335802000000</v>
          </cell>
        </row>
        <row r="2628">
          <cell r="A2628" t="str">
            <v>United Republic of Tanzania</v>
          </cell>
          <cell r="B2628">
            <v>834</v>
          </cell>
          <cell r="C2628">
            <v>203</v>
          </cell>
          <cell r="D2628">
            <v>4</v>
          </cell>
          <cell r="E2628" t="str">
            <v>Compensation of employees</v>
          </cell>
          <cell r="F2628">
            <v>12</v>
          </cell>
          <cell r="G2628">
            <v>1998</v>
          </cell>
          <cell r="H2628">
            <v>100</v>
          </cell>
          <cell r="I2628">
            <v>410025000000</v>
          </cell>
        </row>
        <row r="2629">
          <cell r="A2629" t="str">
            <v>United Republic of Tanzania</v>
          </cell>
          <cell r="B2629">
            <v>834</v>
          </cell>
          <cell r="C2629">
            <v>203</v>
          </cell>
          <cell r="D2629">
            <v>4</v>
          </cell>
          <cell r="E2629" t="str">
            <v>Compensation of employees</v>
          </cell>
          <cell r="F2629">
            <v>12</v>
          </cell>
          <cell r="G2629">
            <v>1999</v>
          </cell>
          <cell r="H2629">
            <v>100</v>
          </cell>
          <cell r="I2629">
            <v>426426000000</v>
          </cell>
        </row>
        <row r="2630">
          <cell r="A2630" t="str">
            <v>United Republic of Tanzania</v>
          </cell>
          <cell r="B2630">
            <v>834</v>
          </cell>
          <cell r="C2630">
            <v>203</v>
          </cell>
          <cell r="D2630">
            <v>4</v>
          </cell>
          <cell r="E2630" t="str">
            <v>Compensation of employees</v>
          </cell>
          <cell r="F2630">
            <v>12</v>
          </cell>
          <cell r="G2630">
            <v>2000</v>
          </cell>
          <cell r="H2630">
            <v>100</v>
          </cell>
          <cell r="I2630">
            <v>460540000000</v>
          </cell>
        </row>
        <row r="2631">
          <cell r="A2631" t="str">
            <v>United Republic of Tanzania</v>
          </cell>
          <cell r="B2631">
            <v>834</v>
          </cell>
          <cell r="C2631">
            <v>203</v>
          </cell>
          <cell r="D2631">
            <v>4</v>
          </cell>
          <cell r="E2631" t="str">
            <v>Compensation of employees</v>
          </cell>
          <cell r="F2631">
            <v>12</v>
          </cell>
          <cell r="G2631">
            <v>2001</v>
          </cell>
          <cell r="H2631">
            <v>100</v>
          </cell>
          <cell r="I2631">
            <v>488045000000</v>
          </cell>
        </row>
        <row r="2632">
          <cell r="A2632" t="str">
            <v>United Republic of Tanzania</v>
          </cell>
          <cell r="B2632">
            <v>834</v>
          </cell>
          <cell r="C2632">
            <v>203</v>
          </cell>
          <cell r="D2632">
            <v>4</v>
          </cell>
          <cell r="E2632" t="str">
            <v>Compensation of employees</v>
          </cell>
          <cell r="F2632">
            <v>12</v>
          </cell>
          <cell r="G2632">
            <v>2002</v>
          </cell>
          <cell r="H2632">
            <v>100</v>
          </cell>
          <cell r="I2632">
            <v>556371000000</v>
          </cell>
        </row>
        <row r="2633">
          <cell r="A2633" t="str">
            <v>United Republic of Tanzania</v>
          </cell>
          <cell r="B2633">
            <v>834</v>
          </cell>
          <cell r="C2633">
            <v>203</v>
          </cell>
          <cell r="D2633">
            <v>4</v>
          </cell>
          <cell r="E2633" t="str">
            <v>Compensation of employees</v>
          </cell>
          <cell r="F2633">
            <v>12</v>
          </cell>
          <cell r="G2633">
            <v>2003</v>
          </cell>
          <cell r="H2633">
            <v>100</v>
          </cell>
          <cell r="I2633">
            <v>623135000000</v>
          </cell>
        </row>
        <row r="2634">
          <cell r="A2634" t="str">
            <v>United Republic of Tanzania</v>
          </cell>
          <cell r="B2634">
            <v>834</v>
          </cell>
          <cell r="C2634">
            <v>203</v>
          </cell>
          <cell r="D2634">
            <v>11</v>
          </cell>
          <cell r="E2634" t="str">
            <v>OPERATING SURPLUS, GROSS</v>
          </cell>
          <cell r="F2634">
            <v>12</v>
          </cell>
          <cell r="G2634">
            <v>1994</v>
          </cell>
          <cell r="H2634">
            <v>100</v>
          </cell>
          <cell r="I2634">
            <v>1886385000000</v>
          </cell>
        </row>
        <row r="2635">
          <cell r="A2635" t="str">
            <v>United Republic of Tanzania</v>
          </cell>
          <cell r="B2635">
            <v>834</v>
          </cell>
          <cell r="C2635">
            <v>203</v>
          </cell>
          <cell r="D2635">
            <v>11</v>
          </cell>
          <cell r="E2635" t="str">
            <v>OPERATING SURPLUS, GROSS</v>
          </cell>
          <cell r="F2635">
            <v>12</v>
          </cell>
          <cell r="G2635">
            <v>1995</v>
          </cell>
          <cell r="H2635">
            <v>100</v>
          </cell>
          <cell r="I2635">
            <v>2473944000000</v>
          </cell>
        </row>
        <row r="2636">
          <cell r="A2636" t="str">
            <v>United Republic of Tanzania</v>
          </cell>
          <cell r="B2636">
            <v>834</v>
          </cell>
          <cell r="C2636">
            <v>203</v>
          </cell>
          <cell r="D2636">
            <v>11</v>
          </cell>
          <cell r="E2636" t="str">
            <v>OPERATING SURPLUS, GROSS</v>
          </cell>
          <cell r="F2636">
            <v>12</v>
          </cell>
          <cell r="G2636">
            <v>1996</v>
          </cell>
          <cell r="H2636">
            <v>100</v>
          </cell>
          <cell r="I2636">
            <v>3077307000000</v>
          </cell>
        </row>
        <row r="2637">
          <cell r="A2637" t="str">
            <v>United Republic of Tanzania</v>
          </cell>
          <cell r="B2637">
            <v>834</v>
          </cell>
          <cell r="C2637">
            <v>203</v>
          </cell>
          <cell r="D2637">
            <v>11</v>
          </cell>
          <cell r="E2637" t="str">
            <v>OPERATING SURPLUS, GROSS</v>
          </cell>
          <cell r="F2637">
            <v>12</v>
          </cell>
          <cell r="G2637">
            <v>1997</v>
          </cell>
          <cell r="H2637">
            <v>100</v>
          </cell>
          <cell r="I2637">
            <v>3833362000000</v>
          </cell>
        </row>
        <row r="2638">
          <cell r="A2638" t="str">
            <v>United Republic of Tanzania</v>
          </cell>
          <cell r="B2638">
            <v>834</v>
          </cell>
          <cell r="C2638">
            <v>203</v>
          </cell>
          <cell r="D2638">
            <v>11</v>
          </cell>
          <cell r="E2638" t="str">
            <v>OPERATING SURPLUS, GROSS</v>
          </cell>
          <cell r="F2638">
            <v>12</v>
          </cell>
          <cell r="G2638">
            <v>1998</v>
          </cell>
          <cell r="H2638">
            <v>100</v>
          </cell>
          <cell r="I2638">
            <v>4581642000000</v>
          </cell>
        </row>
        <row r="2639">
          <cell r="A2639" t="str">
            <v>United Republic of Tanzania</v>
          </cell>
          <cell r="B2639">
            <v>834</v>
          </cell>
          <cell r="C2639">
            <v>203</v>
          </cell>
          <cell r="D2639">
            <v>11</v>
          </cell>
          <cell r="E2639" t="str">
            <v>OPERATING SURPLUS, GROSS</v>
          </cell>
          <cell r="F2639">
            <v>12</v>
          </cell>
          <cell r="G2639">
            <v>1999</v>
          </cell>
          <cell r="H2639">
            <v>100</v>
          </cell>
          <cell r="I2639">
            <v>5389690000000</v>
          </cell>
        </row>
        <row r="2640">
          <cell r="A2640" t="str">
            <v>United Republic of Tanzania</v>
          </cell>
          <cell r="B2640">
            <v>834</v>
          </cell>
          <cell r="C2640">
            <v>203</v>
          </cell>
          <cell r="D2640">
            <v>11</v>
          </cell>
          <cell r="E2640" t="str">
            <v>OPERATING SURPLUS, GROSS</v>
          </cell>
          <cell r="F2640">
            <v>12</v>
          </cell>
          <cell r="G2640">
            <v>2000</v>
          </cell>
          <cell r="H2640">
            <v>100</v>
          </cell>
          <cell r="I2640">
            <v>6061360000000</v>
          </cell>
        </row>
        <row r="2641">
          <cell r="A2641" t="str">
            <v>United Republic of Tanzania</v>
          </cell>
          <cell r="B2641">
            <v>834</v>
          </cell>
          <cell r="C2641">
            <v>203</v>
          </cell>
          <cell r="D2641">
            <v>11</v>
          </cell>
          <cell r="E2641" t="str">
            <v>OPERATING SURPLUS, GROSS</v>
          </cell>
          <cell r="F2641">
            <v>12</v>
          </cell>
          <cell r="G2641">
            <v>2001</v>
          </cell>
          <cell r="H2641">
            <v>100</v>
          </cell>
          <cell r="I2641">
            <v>6910090000000</v>
          </cell>
        </row>
        <row r="2642">
          <cell r="A2642" t="str">
            <v>United Republic of Tanzania</v>
          </cell>
          <cell r="B2642">
            <v>834</v>
          </cell>
          <cell r="C2642">
            <v>203</v>
          </cell>
          <cell r="D2642">
            <v>11</v>
          </cell>
          <cell r="E2642" t="str">
            <v>OPERATING SURPLUS, GROSS</v>
          </cell>
          <cell r="F2642">
            <v>12</v>
          </cell>
          <cell r="G2642">
            <v>2002</v>
          </cell>
          <cell r="H2642">
            <v>100</v>
          </cell>
          <cell r="I2642">
            <v>7852542000000</v>
          </cell>
        </row>
        <row r="2643">
          <cell r="A2643" t="str">
            <v>United Republic of Tanzania</v>
          </cell>
          <cell r="B2643">
            <v>834</v>
          </cell>
          <cell r="C2643">
            <v>203</v>
          </cell>
          <cell r="D2643">
            <v>11</v>
          </cell>
          <cell r="E2643" t="str">
            <v>OPERATING SURPLUS, GROSS</v>
          </cell>
          <cell r="F2643">
            <v>12</v>
          </cell>
          <cell r="G2643">
            <v>2003</v>
          </cell>
          <cell r="H2643">
            <v>100</v>
          </cell>
          <cell r="I2643">
            <v>8845068000000</v>
          </cell>
        </row>
        <row r="2644">
          <cell r="A2644" t="str">
            <v>Burkina Faso</v>
          </cell>
          <cell r="B2644">
            <v>854</v>
          </cell>
          <cell r="C2644">
            <v>201</v>
          </cell>
          <cell r="D2644">
            <v>13</v>
          </cell>
          <cell r="E2644" t="str">
            <v>Less: Financial intermediation services indirectly measured (FISIM) (only to be deducted if FISIM is not distributed to uses)</v>
          </cell>
          <cell r="F2644">
            <v>0</v>
          </cell>
          <cell r="G2644">
            <v>1970</v>
          </cell>
          <cell r="H2644">
            <v>10</v>
          </cell>
          <cell r="I2644">
            <v>739000000</v>
          </cell>
        </row>
        <row r="2645">
          <cell r="A2645" t="str">
            <v>Burkina Faso</v>
          </cell>
          <cell r="B2645">
            <v>854</v>
          </cell>
          <cell r="C2645">
            <v>201</v>
          </cell>
          <cell r="D2645">
            <v>13</v>
          </cell>
          <cell r="E2645" t="str">
            <v>Less: Financial intermediation services indirectly measured (FISIM) (only to be deducted if FISIM is not distributed to uses)</v>
          </cell>
          <cell r="F2645">
            <v>0</v>
          </cell>
          <cell r="G2645">
            <v>1971</v>
          </cell>
          <cell r="H2645">
            <v>10</v>
          </cell>
          <cell r="I2645">
            <v>795000000</v>
          </cell>
        </row>
        <row r="2646">
          <cell r="A2646" t="str">
            <v>Burkina Faso</v>
          </cell>
          <cell r="B2646">
            <v>854</v>
          </cell>
          <cell r="C2646">
            <v>201</v>
          </cell>
          <cell r="D2646">
            <v>13</v>
          </cell>
          <cell r="E2646" t="str">
            <v>Less: Financial intermediation services indirectly measured (FISIM) (only to be deducted if FISIM is not distributed to uses)</v>
          </cell>
          <cell r="F2646">
            <v>0</v>
          </cell>
          <cell r="G2646">
            <v>1972</v>
          </cell>
          <cell r="H2646">
            <v>10</v>
          </cell>
          <cell r="I2646">
            <v>855000000</v>
          </cell>
        </row>
        <row r="2647">
          <cell r="A2647" t="str">
            <v>Burkina Faso</v>
          </cell>
          <cell r="B2647">
            <v>854</v>
          </cell>
          <cell r="C2647">
            <v>201</v>
          </cell>
          <cell r="D2647">
            <v>13</v>
          </cell>
          <cell r="E2647" t="str">
            <v>Less: Financial intermediation services indirectly measured (FISIM) (only to be deducted if FISIM is not distributed to uses)</v>
          </cell>
          <cell r="F2647">
            <v>0</v>
          </cell>
          <cell r="G2647">
            <v>1973</v>
          </cell>
          <cell r="H2647">
            <v>10</v>
          </cell>
          <cell r="I2647">
            <v>920000000</v>
          </cell>
        </row>
        <row r="2648">
          <cell r="A2648" t="str">
            <v>Burkina Faso</v>
          </cell>
          <cell r="B2648">
            <v>854</v>
          </cell>
          <cell r="C2648">
            <v>201</v>
          </cell>
          <cell r="D2648">
            <v>13</v>
          </cell>
          <cell r="E2648" t="str">
            <v>Less: Financial intermediation services indirectly measured (FISIM) (only to be deducted if FISIM is not distributed to uses)</v>
          </cell>
          <cell r="F2648">
            <v>0</v>
          </cell>
          <cell r="G2648">
            <v>1974</v>
          </cell>
          <cell r="H2648">
            <v>10</v>
          </cell>
          <cell r="I2648">
            <v>1058000000</v>
          </cell>
        </row>
        <row r="2649">
          <cell r="A2649" t="str">
            <v>Burkina Faso</v>
          </cell>
          <cell r="B2649">
            <v>854</v>
          </cell>
          <cell r="C2649">
            <v>201</v>
          </cell>
          <cell r="D2649">
            <v>13</v>
          </cell>
          <cell r="E2649" t="str">
            <v>Less: Financial intermediation services indirectly measured (FISIM) (only to be deducted if FISIM is not distributed to uses)</v>
          </cell>
          <cell r="F2649">
            <v>0</v>
          </cell>
          <cell r="G2649">
            <v>1975</v>
          </cell>
          <cell r="H2649">
            <v>10</v>
          </cell>
          <cell r="I2649">
            <v>1112000000</v>
          </cell>
        </row>
        <row r="2650">
          <cell r="A2650" t="str">
            <v>Burkina Faso</v>
          </cell>
          <cell r="B2650">
            <v>854</v>
          </cell>
          <cell r="C2650">
            <v>201</v>
          </cell>
          <cell r="D2650">
            <v>13</v>
          </cell>
          <cell r="E2650" t="str">
            <v>Less: Financial intermediation services indirectly measured (FISIM) (only to be deducted if FISIM is not distributed to uses)</v>
          </cell>
          <cell r="F2650">
            <v>0</v>
          </cell>
          <cell r="G2650">
            <v>1976</v>
          </cell>
          <cell r="H2650">
            <v>10</v>
          </cell>
          <cell r="I2650">
            <v>2405000000</v>
          </cell>
        </row>
        <row r="2651">
          <cell r="A2651" t="str">
            <v>Burkina Faso</v>
          </cell>
          <cell r="B2651">
            <v>854</v>
          </cell>
          <cell r="C2651">
            <v>201</v>
          </cell>
          <cell r="D2651">
            <v>13</v>
          </cell>
          <cell r="E2651" t="str">
            <v>Less: Financial intermediation services indirectly measured (FISIM) (only to be deducted if FISIM is not distributed to uses)</v>
          </cell>
          <cell r="F2651">
            <v>0</v>
          </cell>
          <cell r="G2651">
            <v>1977</v>
          </cell>
          <cell r="H2651">
            <v>10</v>
          </cell>
          <cell r="I2651">
            <v>2758000000</v>
          </cell>
        </row>
        <row r="2652">
          <cell r="A2652" t="str">
            <v>Burkina Faso</v>
          </cell>
          <cell r="B2652">
            <v>854</v>
          </cell>
          <cell r="C2652">
            <v>201</v>
          </cell>
          <cell r="D2652">
            <v>13</v>
          </cell>
          <cell r="E2652" t="str">
            <v>Less: Financial intermediation services indirectly measured (FISIM) (only to be deducted if FISIM is not distributed to uses)</v>
          </cell>
          <cell r="F2652">
            <v>0</v>
          </cell>
          <cell r="G2652">
            <v>1978</v>
          </cell>
          <cell r="H2652">
            <v>10</v>
          </cell>
          <cell r="I2652">
            <v>3444000000</v>
          </cell>
        </row>
        <row r="2653">
          <cell r="A2653" t="str">
            <v>Burkina Faso</v>
          </cell>
          <cell r="B2653">
            <v>854</v>
          </cell>
          <cell r="C2653">
            <v>201</v>
          </cell>
          <cell r="D2653">
            <v>13</v>
          </cell>
          <cell r="E2653" t="str">
            <v>Less: Financial intermediation services indirectly measured (FISIM) (only to be deducted if FISIM is not distributed to uses)</v>
          </cell>
          <cell r="F2653">
            <v>0</v>
          </cell>
          <cell r="G2653">
            <v>1979</v>
          </cell>
          <cell r="H2653">
            <v>10</v>
          </cell>
          <cell r="I2653">
            <v>4344000000</v>
          </cell>
        </row>
        <row r="2654">
          <cell r="A2654" t="str">
            <v>Burkina Faso</v>
          </cell>
          <cell r="B2654">
            <v>854</v>
          </cell>
          <cell r="C2654">
            <v>201</v>
          </cell>
          <cell r="D2654">
            <v>13</v>
          </cell>
          <cell r="E2654" t="str">
            <v>Less: Financial intermediation services indirectly measured (FISIM) (only to be deducted if FISIM is not distributed to uses)</v>
          </cell>
          <cell r="F2654">
            <v>0</v>
          </cell>
          <cell r="G2654">
            <v>1980</v>
          </cell>
          <cell r="H2654">
            <v>10</v>
          </cell>
          <cell r="I2654">
            <v>5591000000</v>
          </cell>
        </row>
        <row r="2655">
          <cell r="A2655" t="str">
            <v>Burkina Faso</v>
          </cell>
          <cell r="B2655">
            <v>854</v>
          </cell>
          <cell r="C2655">
            <v>201</v>
          </cell>
          <cell r="D2655">
            <v>13</v>
          </cell>
          <cell r="E2655" t="str">
            <v>Less: Financial intermediation services indirectly measured (FISIM) (only to be deducted if FISIM is not distributed to uses)</v>
          </cell>
          <cell r="F2655">
            <v>0</v>
          </cell>
          <cell r="G2655">
            <v>1981</v>
          </cell>
          <cell r="H2655">
            <v>10</v>
          </cell>
          <cell r="I2655">
            <v>6307000000</v>
          </cell>
        </row>
        <row r="2656">
          <cell r="A2656" t="str">
            <v>Burkina Faso</v>
          </cell>
          <cell r="B2656">
            <v>854</v>
          </cell>
          <cell r="C2656">
            <v>201</v>
          </cell>
          <cell r="D2656">
            <v>13</v>
          </cell>
          <cell r="E2656" t="str">
            <v>Less: Financial intermediation services indirectly measured (FISIM) (only to be deducted if FISIM is not distributed to uses)</v>
          </cell>
          <cell r="F2656">
            <v>0</v>
          </cell>
          <cell r="G2656">
            <v>1982</v>
          </cell>
          <cell r="H2656">
            <v>10</v>
          </cell>
          <cell r="I2656">
            <v>6805000000</v>
          </cell>
        </row>
        <row r="2657">
          <cell r="A2657" t="str">
            <v>Burkina Faso</v>
          </cell>
          <cell r="B2657">
            <v>854</v>
          </cell>
          <cell r="C2657">
            <v>201</v>
          </cell>
          <cell r="D2657">
            <v>13</v>
          </cell>
          <cell r="E2657" t="str">
            <v>Less: Financial intermediation services indirectly measured (FISIM) (only to be deducted if FISIM is not distributed to uses)</v>
          </cell>
          <cell r="F2657">
            <v>0</v>
          </cell>
          <cell r="G2657">
            <v>1983</v>
          </cell>
          <cell r="H2657">
            <v>10</v>
          </cell>
          <cell r="I2657">
            <v>6778000000</v>
          </cell>
        </row>
        <row r="2658">
          <cell r="A2658" t="str">
            <v>Burkina Faso</v>
          </cell>
          <cell r="B2658">
            <v>854</v>
          </cell>
          <cell r="C2658">
            <v>201</v>
          </cell>
          <cell r="D2658">
            <v>13</v>
          </cell>
          <cell r="E2658" t="str">
            <v>Less: Financial intermediation services indirectly measured (FISIM) (only to be deducted if FISIM is not distributed to uses)</v>
          </cell>
          <cell r="F2658">
            <v>0</v>
          </cell>
          <cell r="G2658">
            <v>1984</v>
          </cell>
          <cell r="H2658">
            <v>10</v>
          </cell>
          <cell r="I2658">
            <v>7523000000</v>
          </cell>
        </row>
        <row r="2659">
          <cell r="A2659" t="str">
            <v>Burkina Faso</v>
          </cell>
          <cell r="B2659">
            <v>854</v>
          </cell>
          <cell r="C2659">
            <v>201</v>
          </cell>
          <cell r="D2659">
            <v>13</v>
          </cell>
          <cell r="E2659" t="str">
            <v>Less: Financial intermediation services indirectly measured (FISIM) (only to be deducted if FISIM is not distributed to uses)</v>
          </cell>
          <cell r="F2659">
            <v>0</v>
          </cell>
          <cell r="G2659">
            <v>1985</v>
          </cell>
          <cell r="H2659">
            <v>10</v>
          </cell>
          <cell r="I2659">
            <v>6758000000</v>
          </cell>
        </row>
        <row r="2660">
          <cell r="A2660" t="str">
            <v>Burkina Faso</v>
          </cell>
          <cell r="B2660">
            <v>854</v>
          </cell>
          <cell r="C2660">
            <v>201</v>
          </cell>
          <cell r="D2660">
            <v>13</v>
          </cell>
          <cell r="E2660" t="str">
            <v>Less: Financial intermediation services indirectly measured (FISIM) (only to be deducted if FISIM is not distributed to uses)</v>
          </cell>
          <cell r="F2660">
            <v>0</v>
          </cell>
          <cell r="G2660">
            <v>1989</v>
          </cell>
          <cell r="H2660">
            <v>10</v>
          </cell>
          <cell r="I2660">
            <v>9317000000</v>
          </cell>
        </row>
        <row r="2661">
          <cell r="A2661" t="str">
            <v>Burkina Faso</v>
          </cell>
          <cell r="B2661">
            <v>854</v>
          </cell>
          <cell r="C2661">
            <v>201</v>
          </cell>
          <cell r="D2661">
            <v>13</v>
          </cell>
          <cell r="E2661" t="str">
            <v>Less: Financial intermediation services indirectly measured (FISIM) (only to be deducted if FISIM is not distributed to uses)</v>
          </cell>
          <cell r="F2661">
            <v>0</v>
          </cell>
          <cell r="G2661">
            <v>1990</v>
          </cell>
          <cell r="H2661">
            <v>10</v>
          </cell>
          <cell r="I2661">
            <v>10142000000</v>
          </cell>
        </row>
        <row r="2662">
          <cell r="A2662" t="str">
            <v>Burkina Faso</v>
          </cell>
          <cell r="B2662">
            <v>854</v>
          </cell>
          <cell r="C2662">
            <v>201</v>
          </cell>
          <cell r="D2662">
            <v>13</v>
          </cell>
          <cell r="E2662" t="str">
            <v>Less: Financial intermediation services indirectly measured (FISIM) (only to be deducted if FISIM is not distributed to uses)</v>
          </cell>
          <cell r="F2662">
            <v>0</v>
          </cell>
          <cell r="G2662">
            <v>1991</v>
          </cell>
          <cell r="H2662">
            <v>10</v>
          </cell>
          <cell r="I2662">
            <v>9434000000</v>
          </cell>
        </row>
        <row r="2663">
          <cell r="A2663" t="str">
            <v>Burkina Faso</v>
          </cell>
          <cell r="B2663">
            <v>854</v>
          </cell>
          <cell r="C2663">
            <v>201</v>
          </cell>
          <cell r="D2663">
            <v>13</v>
          </cell>
          <cell r="E2663" t="str">
            <v>Less: Financial intermediation services indirectly measured (FISIM) (only to be deducted if FISIM is not distributed to uses)</v>
          </cell>
          <cell r="F2663">
            <v>0</v>
          </cell>
          <cell r="G2663">
            <v>1992</v>
          </cell>
          <cell r="H2663">
            <v>10</v>
          </cell>
          <cell r="I2663">
            <v>10156000000</v>
          </cell>
        </row>
        <row r="2664">
          <cell r="A2664" t="str">
            <v>Burkina Faso</v>
          </cell>
          <cell r="B2664">
            <v>854</v>
          </cell>
          <cell r="C2664">
            <v>201</v>
          </cell>
          <cell r="D2664">
            <v>13</v>
          </cell>
          <cell r="E2664" t="str">
            <v>Less: Financial intermediation services indirectly measured (FISIM) (only to be deducted if FISIM is not distributed to uses)</v>
          </cell>
          <cell r="F2664">
            <v>0</v>
          </cell>
          <cell r="G2664">
            <v>1993</v>
          </cell>
          <cell r="H2664">
            <v>10</v>
          </cell>
          <cell r="I2664">
            <v>9100000000</v>
          </cell>
        </row>
        <row r="2665">
          <cell r="A2665" t="str">
            <v>Burkina Faso</v>
          </cell>
          <cell r="B2665">
            <v>854</v>
          </cell>
          <cell r="C2665">
            <v>203</v>
          </cell>
          <cell r="D2665">
            <v>3</v>
          </cell>
          <cell r="E2665" t="str">
            <v>Equals: VALUE ADDED, GROSS, at basic prices</v>
          </cell>
          <cell r="F2665">
            <v>12</v>
          </cell>
          <cell r="G2665">
            <v>1979</v>
          </cell>
          <cell r="H2665">
            <v>10</v>
          </cell>
          <cell r="I2665">
            <v>221425000000</v>
          </cell>
        </row>
        <row r="2666">
          <cell r="A2666" t="str">
            <v>Burkina Faso</v>
          </cell>
          <cell r="B2666">
            <v>854</v>
          </cell>
          <cell r="C2666">
            <v>203</v>
          </cell>
          <cell r="D2666">
            <v>3</v>
          </cell>
          <cell r="E2666" t="str">
            <v>Equals: VALUE ADDED, GROSS, at basic prices</v>
          </cell>
          <cell r="F2666">
            <v>12</v>
          </cell>
          <cell r="G2666">
            <v>1980</v>
          </cell>
          <cell r="H2666">
            <v>10</v>
          </cell>
          <cell r="I2666">
            <v>246468000000</v>
          </cell>
        </row>
        <row r="2667">
          <cell r="A2667" t="str">
            <v>Burkina Faso</v>
          </cell>
          <cell r="B2667">
            <v>854</v>
          </cell>
          <cell r="C2667">
            <v>203</v>
          </cell>
          <cell r="D2667">
            <v>3</v>
          </cell>
          <cell r="E2667" t="str">
            <v>Equals: VALUE ADDED, GROSS, at basic prices</v>
          </cell>
          <cell r="F2667">
            <v>12</v>
          </cell>
          <cell r="G2667">
            <v>1981</v>
          </cell>
          <cell r="H2667">
            <v>10</v>
          </cell>
          <cell r="I2667">
            <v>290084000000</v>
          </cell>
        </row>
        <row r="2668">
          <cell r="A2668" t="str">
            <v>Burkina Faso</v>
          </cell>
          <cell r="B2668">
            <v>854</v>
          </cell>
          <cell r="C2668">
            <v>203</v>
          </cell>
          <cell r="D2668">
            <v>3</v>
          </cell>
          <cell r="E2668" t="str">
            <v>Equals: VALUE ADDED, GROSS, at basic prices</v>
          </cell>
          <cell r="F2668">
            <v>12</v>
          </cell>
          <cell r="G2668">
            <v>1982</v>
          </cell>
          <cell r="H2668">
            <v>10</v>
          </cell>
          <cell r="I2668">
            <v>321337000000</v>
          </cell>
        </row>
        <row r="2669">
          <cell r="A2669" t="str">
            <v>Burkina Faso</v>
          </cell>
          <cell r="B2669">
            <v>854</v>
          </cell>
          <cell r="C2669">
            <v>203</v>
          </cell>
          <cell r="D2669">
            <v>3</v>
          </cell>
          <cell r="E2669" t="str">
            <v>Equals: VALUE ADDED, GROSS, at basic prices</v>
          </cell>
          <cell r="F2669">
            <v>12</v>
          </cell>
          <cell r="G2669">
            <v>1983</v>
          </cell>
          <cell r="H2669">
            <v>10</v>
          </cell>
          <cell r="I2669">
            <v>338415000000</v>
          </cell>
        </row>
        <row r="2670">
          <cell r="A2670" t="str">
            <v>Burkina Faso</v>
          </cell>
          <cell r="B2670">
            <v>854</v>
          </cell>
          <cell r="C2670">
            <v>203</v>
          </cell>
          <cell r="D2670">
            <v>3</v>
          </cell>
          <cell r="E2670" t="str">
            <v>Equals: VALUE ADDED, GROSS, at basic prices</v>
          </cell>
          <cell r="F2670">
            <v>12</v>
          </cell>
          <cell r="G2670">
            <v>1984</v>
          </cell>
          <cell r="H2670">
            <v>10</v>
          </cell>
          <cell r="I2670">
            <v>355055000000</v>
          </cell>
        </row>
        <row r="2671">
          <cell r="A2671" t="str">
            <v>Burkina Faso</v>
          </cell>
          <cell r="B2671">
            <v>854</v>
          </cell>
          <cell r="C2671">
            <v>203</v>
          </cell>
          <cell r="D2671">
            <v>3</v>
          </cell>
          <cell r="E2671" t="str">
            <v>Equals: VALUE ADDED, GROSS, at basic prices</v>
          </cell>
          <cell r="F2671">
            <v>12</v>
          </cell>
          <cell r="G2671">
            <v>1989</v>
          </cell>
          <cell r="H2671">
            <v>10</v>
          </cell>
          <cell r="I2671">
            <v>750417000000</v>
          </cell>
        </row>
        <row r="2672">
          <cell r="A2672" t="str">
            <v>Burkina Faso</v>
          </cell>
          <cell r="B2672">
            <v>854</v>
          </cell>
          <cell r="C2672">
            <v>203</v>
          </cell>
          <cell r="D2672">
            <v>3</v>
          </cell>
          <cell r="E2672" t="str">
            <v>Equals: VALUE ADDED, GROSS, at basic prices</v>
          </cell>
          <cell r="F2672">
            <v>12</v>
          </cell>
          <cell r="G2672">
            <v>1990</v>
          </cell>
          <cell r="H2672">
            <v>10</v>
          </cell>
          <cell r="I2672">
            <v>753998000000</v>
          </cell>
        </row>
        <row r="2673">
          <cell r="A2673" t="str">
            <v>Burkina Faso</v>
          </cell>
          <cell r="B2673">
            <v>854</v>
          </cell>
          <cell r="C2673">
            <v>203</v>
          </cell>
          <cell r="D2673">
            <v>3</v>
          </cell>
          <cell r="E2673" t="str">
            <v>Equals: VALUE ADDED, GROSS, at basic prices</v>
          </cell>
          <cell r="F2673">
            <v>12</v>
          </cell>
          <cell r="G2673">
            <v>1991</v>
          </cell>
          <cell r="H2673">
            <v>10</v>
          </cell>
          <cell r="I2673">
            <v>780492000000</v>
          </cell>
        </row>
        <row r="2674">
          <cell r="A2674" t="str">
            <v>Burkina Faso</v>
          </cell>
          <cell r="B2674">
            <v>854</v>
          </cell>
          <cell r="C2674">
            <v>203</v>
          </cell>
          <cell r="D2674">
            <v>3</v>
          </cell>
          <cell r="E2674" t="str">
            <v>Equals: VALUE ADDED, GROSS, at basic prices</v>
          </cell>
          <cell r="F2674">
            <v>12</v>
          </cell>
          <cell r="G2674">
            <v>1992</v>
          </cell>
          <cell r="H2674">
            <v>10</v>
          </cell>
          <cell r="I2674">
            <v>782551000000</v>
          </cell>
        </row>
        <row r="2675">
          <cell r="A2675" t="str">
            <v>Burkina Faso</v>
          </cell>
          <cell r="B2675">
            <v>854</v>
          </cell>
          <cell r="C2675">
            <v>203</v>
          </cell>
          <cell r="D2675">
            <v>3</v>
          </cell>
          <cell r="E2675" t="str">
            <v>Equals: VALUE ADDED, GROSS, at basic prices</v>
          </cell>
          <cell r="F2675">
            <v>12</v>
          </cell>
          <cell r="G2675">
            <v>1993</v>
          </cell>
          <cell r="H2675">
            <v>10</v>
          </cell>
          <cell r="I2675">
            <v>808487000000</v>
          </cell>
        </row>
        <row r="2676">
          <cell r="A2676" t="str">
            <v>Burkina Faso</v>
          </cell>
          <cell r="B2676">
            <v>854</v>
          </cell>
          <cell r="C2676">
            <v>203</v>
          </cell>
          <cell r="D2676">
            <v>4</v>
          </cell>
          <cell r="E2676" t="str">
            <v>Compensation of employees</v>
          </cell>
          <cell r="F2676">
            <v>12</v>
          </cell>
          <cell r="G2676">
            <v>1979</v>
          </cell>
          <cell r="H2676">
            <v>10</v>
          </cell>
          <cell r="I2676">
            <v>52900000000</v>
          </cell>
        </row>
        <row r="2677">
          <cell r="A2677" t="str">
            <v>Burkina Faso</v>
          </cell>
          <cell r="B2677">
            <v>854</v>
          </cell>
          <cell r="C2677">
            <v>203</v>
          </cell>
          <cell r="D2677">
            <v>4</v>
          </cell>
          <cell r="E2677" t="str">
            <v>Compensation of employees</v>
          </cell>
          <cell r="F2677">
            <v>12</v>
          </cell>
          <cell r="G2677">
            <v>1980</v>
          </cell>
          <cell r="H2677">
            <v>10</v>
          </cell>
          <cell r="I2677">
            <v>63115000000</v>
          </cell>
        </row>
        <row r="2678">
          <cell r="A2678" t="str">
            <v>Burkina Faso</v>
          </cell>
          <cell r="B2678">
            <v>854</v>
          </cell>
          <cell r="C2678">
            <v>203</v>
          </cell>
          <cell r="D2678">
            <v>4</v>
          </cell>
          <cell r="E2678" t="str">
            <v>Compensation of employees</v>
          </cell>
          <cell r="F2678">
            <v>12</v>
          </cell>
          <cell r="G2678">
            <v>1981</v>
          </cell>
          <cell r="H2678">
            <v>10</v>
          </cell>
          <cell r="I2678">
            <v>68404000000</v>
          </cell>
        </row>
        <row r="2679">
          <cell r="A2679" t="str">
            <v>Burkina Faso</v>
          </cell>
          <cell r="B2679">
            <v>854</v>
          </cell>
          <cell r="C2679">
            <v>203</v>
          </cell>
          <cell r="D2679">
            <v>4</v>
          </cell>
          <cell r="E2679" t="str">
            <v>Compensation of employees</v>
          </cell>
          <cell r="F2679">
            <v>12</v>
          </cell>
          <cell r="G2679">
            <v>1982</v>
          </cell>
          <cell r="H2679">
            <v>10</v>
          </cell>
          <cell r="I2679">
            <v>82515000000</v>
          </cell>
        </row>
        <row r="2680">
          <cell r="A2680" t="str">
            <v>Burkina Faso</v>
          </cell>
          <cell r="B2680">
            <v>854</v>
          </cell>
          <cell r="C2680">
            <v>203</v>
          </cell>
          <cell r="D2680">
            <v>4</v>
          </cell>
          <cell r="E2680" t="str">
            <v>Compensation of employees</v>
          </cell>
          <cell r="F2680">
            <v>12</v>
          </cell>
          <cell r="G2680">
            <v>1983</v>
          </cell>
          <cell r="H2680">
            <v>10</v>
          </cell>
          <cell r="I2680">
            <v>86595000000</v>
          </cell>
        </row>
        <row r="2681">
          <cell r="A2681" t="str">
            <v>Burkina Faso</v>
          </cell>
          <cell r="B2681">
            <v>854</v>
          </cell>
          <cell r="C2681">
            <v>203</v>
          </cell>
          <cell r="D2681">
            <v>4</v>
          </cell>
          <cell r="E2681" t="str">
            <v>Compensation of employees</v>
          </cell>
          <cell r="F2681">
            <v>12</v>
          </cell>
          <cell r="G2681">
            <v>1984</v>
          </cell>
          <cell r="H2681">
            <v>10</v>
          </cell>
          <cell r="I2681">
            <v>92066000000</v>
          </cell>
        </row>
        <row r="2682">
          <cell r="A2682" t="str">
            <v>Burkina Faso</v>
          </cell>
          <cell r="B2682">
            <v>854</v>
          </cell>
          <cell r="C2682">
            <v>203</v>
          </cell>
          <cell r="D2682">
            <v>11</v>
          </cell>
          <cell r="E2682" t="str">
            <v>OPERATING SURPLUS, GROSS</v>
          </cell>
          <cell r="F2682">
            <v>12</v>
          </cell>
          <cell r="G2682">
            <v>1979</v>
          </cell>
          <cell r="H2682">
            <v>10</v>
          </cell>
          <cell r="I2682">
            <v>162151000000</v>
          </cell>
        </row>
        <row r="2683">
          <cell r="A2683" t="str">
            <v>Burkina Faso</v>
          </cell>
          <cell r="B2683">
            <v>854</v>
          </cell>
          <cell r="C2683">
            <v>203</v>
          </cell>
          <cell r="D2683">
            <v>11</v>
          </cell>
          <cell r="E2683" t="str">
            <v>OPERATING SURPLUS, GROSS</v>
          </cell>
          <cell r="F2683">
            <v>12</v>
          </cell>
          <cell r="G2683">
            <v>1980</v>
          </cell>
          <cell r="H2683">
            <v>10</v>
          </cell>
          <cell r="I2683">
            <v>176987000000</v>
          </cell>
        </row>
        <row r="2684">
          <cell r="A2684" t="str">
            <v>Burkina Faso</v>
          </cell>
          <cell r="B2684">
            <v>854</v>
          </cell>
          <cell r="C2684">
            <v>203</v>
          </cell>
          <cell r="D2684">
            <v>11</v>
          </cell>
          <cell r="E2684" t="str">
            <v>OPERATING SURPLUS, GROSS</v>
          </cell>
          <cell r="F2684">
            <v>12</v>
          </cell>
          <cell r="G2684">
            <v>1981</v>
          </cell>
          <cell r="H2684">
            <v>10</v>
          </cell>
          <cell r="I2684">
            <v>213818000000</v>
          </cell>
        </row>
        <row r="2685">
          <cell r="A2685" t="str">
            <v>Burkina Faso</v>
          </cell>
          <cell r="B2685">
            <v>854</v>
          </cell>
          <cell r="C2685">
            <v>203</v>
          </cell>
          <cell r="D2685">
            <v>11</v>
          </cell>
          <cell r="E2685" t="str">
            <v>OPERATING SURPLUS, GROSS</v>
          </cell>
          <cell r="F2685">
            <v>12</v>
          </cell>
          <cell r="G2685">
            <v>1982</v>
          </cell>
          <cell r="H2685">
            <v>10</v>
          </cell>
          <cell r="I2685">
            <v>230216000000</v>
          </cell>
        </row>
        <row r="2686">
          <cell r="A2686" t="str">
            <v>Burkina Faso</v>
          </cell>
          <cell r="B2686">
            <v>854</v>
          </cell>
          <cell r="C2686">
            <v>203</v>
          </cell>
          <cell r="D2686">
            <v>11</v>
          </cell>
          <cell r="E2686" t="str">
            <v>OPERATING SURPLUS, GROSS</v>
          </cell>
          <cell r="F2686">
            <v>12</v>
          </cell>
          <cell r="G2686">
            <v>1983</v>
          </cell>
          <cell r="H2686">
            <v>10</v>
          </cell>
          <cell r="I2686">
            <v>242088000000</v>
          </cell>
        </row>
        <row r="2687">
          <cell r="A2687" t="str">
            <v>Burkina Faso</v>
          </cell>
          <cell r="B2687">
            <v>854</v>
          </cell>
          <cell r="C2687">
            <v>203</v>
          </cell>
          <cell r="D2687">
            <v>11</v>
          </cell>
          <cell r="E2687" t="str">
            <v>OPERATING SURPLUS, GROSS</v>
          </cell>
          <cell r="F2687">
            <v>12</v>
          </cell>
          <cell r="G2687">
            <v>1984</v>
          </cell>
          <cell r="H2687">
            <v>10</v>
          </cell>
          <cell r="I2687">
            <v>252296000000</v>
          </cell>
        </row>
        <row r="2688">
          <cell r="A2688" t="str">
            <v>Burkina Faso</v>
          </cell>
          <cell r="B2688">
            <v>854</v>
          </cell>
          <cell r="C2688">
            <v>203</v>
          </cell>
          <cell r="D2688">
            <v>11</v>
          </cell>
          <cell r="E2688" t="str">
            <v>OPERATING SURPLUS, GROSS</v>
          </cell>
          <cell r="F2688">
            <v>12</v>
          </cell>
          <cell r="G2688">
            <v>1989</v>
          </cell>
          <cell r="H2688">
            <v>10</v>
          </cell>
          <cell r="I2688">
            <v>516992000000</v>
          </cell>
        </row>
        <row r="2689">
          <cell r="A2689" t="str">
            <v>Burkina Faso</v>
          </cell>
          <cell r="B2689">
            <v>854</v>
          </cell>
          <cell r="C2689">
            <v>203</v>
          </cell>
          <cell r="D2689">
            <v>11</v>
          </cell>
          <cell r="E2689" t="str">
            <v>OPERATING SURPLUS, GROSS</v>
          </cell>
          <cell r="F2689">
            <v>12</v>
          </cell>
          <cell r="G2689">
            <v>1990</v>
          </cell>
          <cell r="H2689">
            <v>10</v>
          </cell>
          <cell r="I2689">
            <v>521763000000</v>
          </cell>
        </row>
        <row r="2690">
          <cell r="A2690" t="str">
            <v>Burkina Faso</v>
          </cell>
          <cell r="B2690">
            <v>854</v>
          </cell>
          <cell r="C2690">
            <v>203</v>
          </cell>
          <cell r="D2690">
            <v>11</v>
          </cell>
          <cell r="E2690" t="str">
            <v>OPERATING SURPLUS, GROSS</v>
          </cell>
          <cell r="F2690">
            <v>12</v>
          </cell>
          <cell r="G2690">
            <v>1991</v>
          </cell>
          <cell r="H2690">
            <v>10</v>
          </cell>
          <cell r="I2690">
            <v>553019000000</v>
          </cell>
        </row>
        <row r="2691">
          <cell r="A2691" t="str">
            <v>Burkina Faso</v>
          </cell>
          <cell r="B2691">
            <v>854</v>
          </cell>
          <cell r="C2691">
            <v>203</v>
          </cell>
          <cell r="D2691">
            <v>11</v>
          </cell>
          <cell r="E2691" t="str">
            <v>OPERATING SURPLUS, GROSS</v>
          </cell>
          <cell r="F2691">
            <v>12</v>
          </cell>
          <cell r="G2691">
            <v>1992</v>
          </cell>
          <cell r="H2691">
            <v>10</v>
          </cell>
          <cell r="I2691">
            <v>556932000000</v>
          </cell>
        </row>
        <row r="2692">
          <cell r="A2692" t="str">
            <v>Burkina Faso</v>
          </cell>
          <cell r="B2692">
            <v>854</v>
          </cell>
          <cell r="C2692">
            <v>203</v>
          </cell>
          <cell r="D2692">
            <v>11</v>
          </cell>
          <cell r="E2692" t="str">
            <v>OPERATING SURPLUS, GROSS</v>
          </cell>
          <cell r="F2692">
            <v>12</v>
          </cell>
          <cell r="G2692">
            <v>1993</v>
          </cell>
          <cell r="H2692">
            <v>10</v>
          </cell>
          <cell r="I2692">
            <v>591350000000</v>
          </cell>
        </row>
        <row r="2693">
          <cell r="A2693" t="str">
            <v>Burkina Faso</v>
          </cell>
          <cell r="B2693">
            <v>854</v>
          </cell>
          <cell r="C2693">
            <v>203</v>
          </cell>
          <cell r="D2693">
            <v>22</v>
          </cell>
          <cell r="E2693" t="str">
            <v>Taxes on production and imports, less Subsidies</v>
          </cell>
          <cell r="F2693">
            <v>12</v>
          </cell>
          <cell r="G2693">
            <v>1989</v>
          </cell>
          <cell r="H2693">
            <v>10</v>
          </cell>
          <cell r="I2693">
            <v>68897000000</v>
          </cell>
        </row>
        <row r="2694">
          <cell r="A2694" t="str">
            <v>Burkina Faso</v>
          </cell>
          <cell r="B2694">
            <v>854</v>
          </cell>
          <cell r="C2694">
            <v>203</v>
          </cell>
          <cell r="D2694">
            <v>22</v>
          </cell>
          <cell r="E2694" t="str">
            <v>Taxes on production and imports, less Subsidies</v>
          </cell>
          <cell r="F2694">
            <v>12</v>
          </cell>
          <cell r="G2694">
            <v>1990</v>
          </cell>
          <cell r="H2694">
            <v>10</v>
          </cell>
          <cell r="I2694">
            <v>65289000000</v>
          </cell>
        </row>
        <row r="2695">
          <cell r="A2695" t="str">
            <v>Burkina Faso</v>
          </cell>
          <cell r="B2695">
            <v>854</v>
          </cell>
          <cell r="C2695">
            <v>203</v>
          </cell>
          <cell r="D2695">
            <v>22</v>
          </cell>
          <cell r="E2695" t="str">
            <v>Taxes on production and imports, less Subsidies</v>
          </cell>
          <cell r="F2695">
            <v>12</v>
          </cell>
          <cell r="G2695">
            <v>1991</v>
          </cell>
          <cell r="H2695">
            <v>10</v>
          </cell>
          <cell r="I2695">
            <v>64434000000</v>
          </cell>
        </row>
        <row r="2696">
          <cell r="A2696" t="str">
            <v>Burkina Faso</v>
          </cell>
          <cell r="B2696">
            <v>854</v>
          </cell>
          <cell r="C2696">
            <v>203</v>
          </cell>
          <cell r="D2696">
            <v>22</v>
          </cell>
          <cell r="E2696" t="str">
            <v>Taxes on production and imports, less Subsidies</v>
          </cell>
          <cell r="F2696">
            <v>12</v>
          </cell>
          <cell r="G2696">
            <v>1992</v>
          </cell>
          <cell r="H2696">
            <v>10</v>
          </cell>
          <cell r="I2696">
            <v>62536000000</v>
          </cell>
        </row>
        <row r="2697">
          <cell r="A2697" t="str">
            <v>Burkina Faso</v>
          </cell>
          <cell r="B2697">
            <v>854</v>
          </cell>
          <cell r="C2697">
            <v>203</v>
          </cell>
          <cell r="D2697">
            <v>22</v>
          </cell>
          <cell r="E2697" t="str">
            <v>Taxes on production and imports, less Subsidies</v>
          </cell>
          <cell r="F2697">
            <v>12</v>
          </cell>
          <cell r="G2697">
            <v>1993</v>
          </cell>
          <cell r="H2697">
            <v>10</v>
          </cell>
          <cell r="I2697">
            <v>47316000000</v>
          </cell>
        </row>
        <row r="2698">
          <cell r="A2698" t="str">
            <v>Venezuela</v>
          </cell>
          <cell r="B2698">
            <v>862</v>
          </cell>
          <cell r="C2698">
            <v>201</v>
          </cell>
          <cell r="D2698">
            <v>13</v>
          </cell>
          <cell r="E2698" t="str">
            <v>Less: Financial intermediation services indirectly measured (FISIM) (only to be deducted if FISIM is not distributed to uses)</v>
          </cell>
          <cell r="F2698">
            <v>0</v>
          </cell>
          <cell r="G2698">
            <v>1970</v>
          </cell>
          <cell r="H2698">
            <v>20</v>
          </cell>
          <cell r="I2698">
            <v>1065000000</v>
          </cell>
        </row>
        <row r="2699">
          <cell r="A2699" t="str">
            <v>Venezuela</v>
          </cell>
          <cell r="B2699">
            <v>862</v>
          </cell>
          <cell r="C2699">
            <v>201</v>
          </cell>
          <cell r="D2699">
            <v>13</v>
          </cell>
          <cell r="E2699" t="str">
            <v>Less: Financial intermediation services indirectly measured (FISIM) (only to be deducted if FISIM is not distributed to uses)</v>
          </cell>
          <cell r="F2699">
            <v>0</v>
          </cell>
          <cell r="G2699">
            <v>1971</v>
          </cell>
          <cell r="H2699">
            <v>20</v>
          </cell>
          <cell r="I2699">
            <v>1103000000</v>
          </cell>
        </row>
        <row r="2700">
          <cell r="A2700" t="str">
            <v>Venezuela</v>
          </cell>
          <cell r="B2700">
            <v>862</v>
          </cell>
          <cell r="C2700">
            <v>201</v>
          </cell>
          <cell r="D2700">
            <v>13</v>
          </cell>
          <cell r="E2700" t="str">
            <v>Less: Financial intermediation services indirectly measured (FISIM) (only to be deducted if FISIM is not distributed to uses)</v>
          </cell>
          <cell r="F2700">
            <v>0</v>
          </cell>
          <cell r="G2700">
            <v>1972</v>
          </cell>
          <cell r="H2700">
            <v>20</v>
          </cell>
          <cell r="I2700">
            <v>1451000000</v>
          </cell>
        </row>
        <row r="2701">
          <cell r="A2701" t="str">
            <v>Venezuela</v>
          </cell>
          <cell r="B2701">
            <v>862</v>
          </cell>
          <cell r="C2701">
            <v>201</v>
          </cell>
          <cell r="D2701">
            <v>13</v>
          </cell>
          <cell r="E2701" t="str">
            <v>Less: Financial intermediation services indirectly measured (FISIM) (only to be deducted if FISIM is not distributed to uses)</v>
          </cell>
          <cell r="F2701">
            <v>0</v>
          </cell>
          <cell r="G2701">
            <v>1973</v>
          </cell>
          <cell r="H2701">
            <v>20</v>
          </cell>
          <cell r="I2701">
            <v>1859000000</v>
          </cell>
        </row>
        <row r="2702">
          <cell r="A2702" t="str">
            <v>Venezuela</v>
          </cell>
          <cell r="B2702">
            <v>862</v>
          </cell>
          <cell r="C2702">
            <v>201</v>
          </cell>
          <cell r="D2702">
            <v>13</v>
          </cell>
          <cell r="E2702" t="str">
            <v>Less: Financial intermediation services indirectly measured (FISIM) (only to be deducted if FISIM is not distributed to uses)</v>
          </cell>
          <cell r="F2702">
            <v>0</v>
          </cell>
          <cell r="G2702">
            <v>1974</v>
          </cell>
          <cell r="H2702">
            <v>20</v>
          </cell>
          <cell r="I2702">
            <v>2814000000</v>
          </cell>
        </row>
        <row r="2703">
          <cell r="A2703" t="str">
            <v>Venezuela</v>
          </cell>
          <cell r="B2703">
            <v>862</v>
          </cell>
          <cell r="C2703">
            <v>201</v>
          </cell>
          <cell r="D2703">
            <v>13</v>
          </cell>
          <cell r="E2703" t="str">
            <v>Less: Financial intermediation services indirectly measured (FISIM) (only to be deducted if FISIM is not distributed to uses)</v>
          </cell>
          <cell r="F2703">
            <v>0</v>
          </cell>
          <cell r="G2703">
            <v>1975</v>
          </cell>
          <cell r="H2703">
            <v>20</v>
          </cell>
          <cell r="I2703">
            <v>5098000000</v>
          </cell>
        </row>
        <row r="2704">
          <cell r="A2704" t="str">
            <v>Venezuela</v>
          </cell>
          <cell r="B2704">
            <v>862</v>
          </cell>
          <cell r="C2704">
            <v>201</v>
          </cell>
          <cell r="D2704">
            <v>13</v>
          </cell>
          <cell r="E2704" t="str">
            <v>Less: Financial intermediation services indirectly measured (FISIM) (only to be deducted if FISIM is not distributed to uses)</v>
          </cell>
          <cell r="F2704">
            <v>0</v>
          </cell>
          <cell r="G2704">
            <v>1976</v>
          </cell>
          <cell r="H2704">
            <v>20</v>
          </cell>
          <cell r="I2704">
            <v>6300000000</v>
          </cell>
        </row>
        <row r="2705">
          <cell r="A2705" t="str">
            <v>Venezuela</v>
          </cell>
          <cell r="B2705">
            <v>862</v>
          </cell>
          <cell r="C2705">
            <v>201</v>
          </cell>
          <cell r="D2705">
            <v>13</v>
          </cell>
          <cell r="E2705" t="str">
            <v>Less: Financial intermediation services indirectly measured (FISIM) (only to be deducted if FISIM is not distributed to uses)</v>
          </cell>
          <cell r="F2705">
            <v>0</v>
          </cell>
          <cell r="G2705">
            <v>1977</v>
          </cell>
          <cell r="H2705">
            <v>20</v>
          </cell>
          <cell r="I2705">
            <v>8458000000</v>
          </cell>
        </row>
        <row r="2706">
          <cell r="A2706" t="str">
            <v>Venezuela</v>
          </cell>
          <cell r="B2706">
            <v>862</v>
          </cell>
          <cell r="C2706">
            <v>201</v>
          </cell>
          <cell r="D2706">
            <v>13</v>
          </cell>
          <cell r="E2706" t="str">
            <v>Less: Financial intermediation services indirectly measured (FISIM) (only to be deducted if FISIM is not distributed to uses)</v>
          </cell>
          <cell r="F2706">
            <v>0</v>
          </cell>
          <cell r="G2706">
            <v>1978</v>
          </cell>
          <cell r="H2706">
            <v>20</v>
          </cell>
          <cell r="I2706">
            <v>9857000000</v>
          </cell>
        </row>
        <row r="2707">
          <cell r="A2707" t="str">
            <v>Venezuela</v>
          </cell>
          <cell r="B2707">
            <v>862</v>
          </cell>
          <cell r="C2707">
            <v>201</v>
          </cell>
          <cell r="D2707">
            <v>13</v>
          </cell>
          <cell r="E2707" t="str">
            <v>Less: Financial intermediation services indirectly measured (FISIM) (only to be deducted if FISIM is not distributed to uses)</v>
          </cell>
          <cell r="F2707">
            <v>0</v>
          </cell>
          <cell r="G2707">
            <v>1979</v>
          </cell>
          <cell r="H2707">
            <v>20</v>
          </cell>
          <cell r="I2707">
            <v>10693000000</v>
          </cell>
        </row>
        <row r="2708">
          <cell r="A2708" t="str">
            <v>Venezuela</v>
          </cell>
          <cell r="B2708">
            <v>862</v>
          </cell>
          <cell r="C2708">
            <v>201</v>
          </cell>
          <cell r="D2708">
            <v>13</v>
          </cell>
          <cell r="E2708" t="str">
            <v>Less: Financial intermediation services indirectly measured (FISIM) (only to be deducted if FISIM is not distributed to uses)</v>
          </cell>
          <cell r="F2708">
            <v>0</v>
          </cell>
          <cell r="G2708">
            <v>1980</v>
          </cell>
          <cell r="H2708">
            <v>20</v>
          </cell>
          <cell r="I2708">
            <v>13104000000</v>
          </cell>
        </row>
        <row r="2709">
          <cell r="A2709" t="str">
            <v>Venezuela</v>
          </cell>
          <cell r="B2709">
            <v>862</v>
          </cell>
          <cell r="C2709">
            <v>201</v>
          </cell>
          <cell r="D2709">
            <v>13</v>
          </cell>
          <cell r="E2709" t="str">
            <v>Less: Financial intermediation services indirectly measured (FISIM) (only to be deducted if FISIM is not distributed to uses)</v>
          </cell>
          <cell r="F2709">
            <v>0</v>
          </cell>
          <cell r="G2709">
            <v>1981</v>
          </cell>
          <cell r="H2709">
            <v>20</v>
          </cell>
          <cell r="I2709">
            <v>16378000000</v>
          </cell>
        </row>
        <row r="2710">
          <cell r="A2710" t="str">
            <v>Venezuela</v>
          </cell>
          <cell r="B2710">
            <v>862</v>
          </cell>
          <cell r="C2710">
            <v>201</v>
          </cell>
          <cell r="D2710">
            <v>13</v>
          </cell>
          <cell r="E2710" t="str">
            <v>Less: Financial intermediation services indirectly measured (FISIM) (only to be deducted if FISIM is not distributed to uses)</v>
          </cell>
          <cell r="F2710">
            <v>0</v>
          </cell>
          <cell r="G2710">
            <v>1982</v>
          </cell>
          <cell r="H2710">
            <v>20</v>
          </cell>
          <cell r="I2710">
            <v>15879000000</v>
          </cell>
        </row>
        <row r="2711">
          <cell r="A2711" t="str">
            <v>Venezuela</v>
          </cell>
          <cell r="B2711">
            <v>862</v>
          </cell>
          <cell r="C2711">
            <v>201</v>
          </cell>
          <cell r="D2711">
            <v>13</v>
          </cell>
          <cell r="E2711" t="str">
            <v>Less: Financial intermediation services indirectly measured (FISIM) (only to be deducted if FISIM is not distributed to uses)</v>
          </cell>
          <cell r="F2711">
            <v>0</v>
          </cell>
          <cell r="G2711">
            <v>1983</v>
          </cell>
          <cell r="H2711">
            <v>20</v>
          </cell>
          <cell r="I2711">
            <v>16101000000</v>
          </cell>
        </row>
        <row r="2712">
          <cell r="A2712" t="str">
            <v>Venezuela</v>
          </cell>
          <cell r="B2712">
            <v>862</v>
          </cell>
          <cell r="C2712">
            <v>201</v>
          </cell>
          <cell r="D2712">
            <v>13</v>
          </cell>
          <cell r="E2712" t="str">
            <v>Less: Financial intermediation services indirectly measured (FISIM) (only to be deducted if FISIM is not distributed to uses)</v>
          </cell>
          <cell r="F2712">
            <v>0</v>
          </cell>
          <cell r="G2712">
            <v>1984</v>
          </cell>
          <cell r="H2712">
            <v>20</v>
          </cell>
          <cell r="I2712">
            <v>19916000000</v>
          </cell>
        </row>
        <row r="2713">
          <cell r="A2713" t="str">
            <v>Venezuela</v>
          </cell>
          <cell r="B2713">
            <v>862</v>
          </cell>
          <cell r="C2713">
            <v>201</v>
          </cell>
          <cell r="D2713">
            <v>13</v>
          </cell>
          <cell r="E2713" t="str">
            <v>Less: Financial intermediation services indirectly measured (FISIM) (only to be deducted if FISIM is not distributed to uses)</v>
          </cell>
          <cell r="F2713">
            <v>0</v>
          </cell>
          <cell r="G2713">
            <v>1984</v>
          </cell>
          <cell r="H2713">
            <v>30</v>
          </cell>
          <cell r="I2713">
            <v>8546000000</v>
          </cell>
        </row>
        <row r="2714">
          <cell r="A2714" t="str">
            <v>Venezuela</v>
          </cell>
          <cell r="B2714">
            <v>862</v>
          </cell>
          <cell r="C2714">
            <v>201</v>
          </cell>
          <cell r="D2714">
            <v>13</v>
          </cell>
          <cell r="E2714" t="str">
            <v>Less: Financial intermediation services indirectly measured (FISIM) (only to be deducted if FISIM is not distributed to uses)</v>
          </cell>
          <cell r="F2714">
            <v>0</v>
          </cell>
          <cell r="G2714">
            <v>1985</v>
          </cell>
          <cell r="H2714">
            <v>30</v>
          </cell>
          <cell r="I2714">
            <v>9652000000</v>
          </cell>
        </row>
        <row r="2715">
          <cell r="A2715" t="str">
            <v>Venezuela</v>
          </cell>
          <cell r="B2715">
            <v>862</v>
          </cell>
          <cell r="C2715">
            <v>201</v>
          </cell>
          <cell r="D2715">
            <v>13</v>
          </cell>
          <cell r="E2715" t="str">
            <v>Less: Financial intermediation services indirectly measured (FISIM) (only to be deducted if FISIM is not distributed to uses)</v>
          </cell>
          <cell r="F2715">
            <v>0</v>
          </cell>
          <cell r="G2715">
            <v>1986</v>
          </cell>
          <cell r="H2715">
            <v>30</v>
          </cell>
          <cell r="I2715">
            <v>11718000000</v>
          </cell>
        </row>
        <row r="2716">
          <cell r="A2716" t="str">
            <v>Venezuela</v>
          </cell>
          <cell r="B2716">
            <v>862</v>
          </cell>
          <cell r="C2716">
            <v>201</v>
          </cell>
          <cell r="D2716">
            <v>13</v>
          </cell>
          <cell r="E2716" t="str">
            <v>Less: Financial intermediation services indirectly measured (FISIM) (only to be deducted if FISIM is not distributed to uses)</v>
          </cell>
          <cell r="F2716">
            <v>0</v>
          </cell>
          <cell r="G2716">
            <v>1987</v>
          </cell>
          <cell r="H2716">
            <v>30</v>
          </cell>
          <cell r="I2716">
            <v>15489000000</v>
          </cell>
        </row>
        <row r="2717">
          <cell r="A2717" t="str">
            <v>Venezuela</v>
          </cell>
          <cell r="B2717">
            <v>862</v>
          </cell>
          <cell r="C2717">
            <v>201</v>
          </cell>
          <cell r="D2717">
            <v>13</v>
          </cell>
          <cell r="E2717" t="str">
            <v>Less: Financial intermediation services indirectly measured (FISIM) (only to be deducted if FISIM is not distributed to uses)</v>
          </cell>
          <cell r="F2717">
            <v>0</v>
          </cell>
          <cell r="G2717">
            <v>1988</v>
          </cell>
          <cell r="H2717">
            <v>30</v>
          </cell>
          <cell r="I2717">
            <v>20318000000</v>
          </cell>
        </row>
        <row r="2718">
          <cell r="A2718" t="str">
            <v>Venezuela</v>
          </cell>
          <cell r="B2718">
            <v>862</v>
          </cell>
          <cell r="C2718">
            <v>201</v>
          </cell>
          <cell r="D2718">
            <v>13</v>
          </cell>
          <cell r="E2718" t="str">
            <v>Less: Financial intermediation services indirectly measured (FISIM) (only to be deducted if FISIM is not distributed to uses)</v>
          </cell>
          <cell r="F2718">
            <v>0</v>
          </cell>
          <cell r="G2718">
            <v>1989</v>
          </cell>
          <cell r="H2718">
            <v>30</v>
          </cell>
          <cell r="I2718">
            <v>26619000000</v>
          </cell>
        </row>
        <row r="2719">
          <cell r="A2719" t="str">
            <v>Venezuela</v>
          </cell>
          <cell r="B2719">
            <v>862</v>
          </cell>
          <cell r="C2719">
            <v>201</v>
          </cell>
          <cell r="D2719">
            <v>13</v>
          </cell>
          <cell r="E2719" t="str">
            <v>Less: Financial intermediation services indirectly measured (FISIM) (only to be deducted if FISIM is not distributed to uses)</v>
          </cell>
          <cell r="F2719">
            <v>0</v>
          </cell>
          <cell r="G2719">
            <v>1990</v>
          </cell>
          <cell r="H2719">
            <v>30</v>
          </cell>
          <cell r="I2719">
            <v>42178000000</v>
          </cell>
        </row>
        <row r="2720">
          <cell r="A2720" t="str">
            <v>Venezuela</v>
          </cell>
          <cell r="B2720">
            <v>862</v>
          </cell>
          <cell r="C2720">
            <v>201</v>
          </cell>
          <cell r="D2720">
            <v>13</v>
          </cell>
          <cell r="E2720" t="str">
            <v>Less: Financial intermediation services indirectly measured (FISIM) (only to be deducted if FISIM is not distributed to uses)</v>
          </cell>
          <cell r="F2720">
            <v>0</v>
          </cell>
          <cell r="G2720">
            <v>1991</v>
          </cell>
          <cell r="H2720">
            <v>30</v>
          </cell>
          <cell r="I2720">
            <v>58654000000</v>
          </cell>
        </row>
        <row r="2721">
          <cell r="A2721" t="str">
            <v>Venezuela</v>
          </cell>
          <cell r="B2721">
            <v>862</v>
          </cell>
          <cell r="C2721">
            <v>201</v>
          </cell>
          <cell r="D2721">
            <v>13</v>
          </cell>
          <cell r="E2721" t="str">
            <v>Less: Financial intermediation services indirectly measured (FISIM) (only to be deducted if FISIM is not distributed to uses)</v>
          </cell>
          <cell r="F2721">
            <v>0</v>
          </cell>
          <cell r="G2721">
            <v>1992</v>
          </cell>
          <cell r="H2721">
            <v>30</v>
          </cell>
          <cell r="I2721">
            <v>77369000000</v>
          </cell>
        </row>
        <row r="2722">
          <cell r="A2722" t="str">
            <v>Venezuela</v>
          </cell>
          <cell r="B2722">
            <v>862</v>
          </cell>
          <cell r="C2722">
            <v>201</v>
          </cell>
          <cell r="D2722">
            <v>13</v>
          </cell>
          <cell r="E2722" t="str">
            <v>Less: Financial intermediation services indirectly measured (FISIM) (only to be deducted if FISIM is not distributed to uses)</v>
          </cell>
          <cell r="F2722">
            <v>0</v>
          </cell>
          <cell r="G2722">
            <v>1993</v>
          </cell>
          <cell r="H2722">
            <v>30</v>
          </cell>
          <cell r="I2722">
            <v>132457000000</v>
          </cell>
        </row>
        <row r="2723">
          <cell r="A2723" t="str">
            <v>Venezuela</v>
          </cell>
          <cell r="B2723">
            <v>862</v>
          </cell>
          <cell r="C2723">
            <v>201</v>
          </cell>
          <cell r="D2723">
            <v>13</v>
          </cell>
          <cell r="E2723" t="str">
            <v>Less: Financial intermediation services indirectly measured (FISIM) (only to be deducted if FISIM is not distributed to uses)</v>
          </cell>
          <cell r="F2723">
            <v>0</v>
          </cell>
          <cell r="G2723">
            <v>1994</v>
          </cell>
          <cell r="H2723">
            <v>30</v>
          </cell>
          <cell r="I2723">
            <v>517385000000</v>
          </cell>
        </row>
        <row r="2724">
          <cell r="A2724" t="str">
            <v>Venezuela</v>
          </cell>
          <cell r="B2724">
            <v>862</v>
          </cell>
          <cell r="C2724">
            <v>201</v>
          </cell>
          <cell r="D2724">
            <v>13</v>
          </cell>
          <cell r="E2724" t="str">
            <v>Less: Financial intermediation services indirectly measured (FISIM) (only to be deducted if FISIM is not distributed to uses)</v>
          </cell>
          <cell r="F2724">
            <v>0</v>
          </cell>
          <cell r="G2724">
            <v>1995</v>
          </cell>
          <cell r="H2724">
            <v>30</v>
          </cell>
          <cell r="I2724">
            <v>615516000000</v>
          </cell>
        </row>
        <row r="2725">
          <cell r="A2725" t="str">
            <v>Venezuela</v>
          </cell>
          <cell r="B2725">
            <v>862</v>
          </cell>
          <cell r="C2725">
            <v>201</v>
          </cell>
          <cell r="D2725">
            <v>13</v>
          </cell>
          <cell r="E2725" t="str">
            <v>Less: Financial intermediation services indirectly measured (FISIM) (only to be deducted if FISIM is not distributed to uses)</v>
          </cell>
          <cell r="F2725">
            <v>0</v>
          </cell>
          <cell r="G2725">
            <v>1996</v>
          </cell>
          <cell r="H2725">
            <v>30</v>
          </cell>
          <cell r="I2725">
            <v>739169000000</v>
          </cell>
        </row>
        <row r="2726">
          <cell r="A2726" t="str">
            <v>Venezuela</v>
          </cell>
          <cell r="B2726">
            <v>862</v>
          </cell>
          <cell r="C2726">
            <v>201</v>
          </cell>
          <cell r="D2726">
            <v>13</v>
          </cell>
          <cell r="E2726" t="str">
            <v>Less: Financial intermediation services indirectly measured (FISIM) (only to be deducted if FISIM is not distributed to uses)</v>
          </cell>
          <cell r="F2726">
            <v>0</v>
          </cell>
          <cell r="G2726">
            <v>1997</v>
          </cell>
          <cell r="H2726">
            <v>30</v>
          </cell>
          <cell r="I2726">
            <v>1076364000000</v>
          </cell>
        </row>
        <row r="2727">
          <cell r="A2727" t="str">
            <v>Venezuela</v>
          </cell>
          <cell r="B2727">
            <v>862</v>
          </cell>
          <cell r="C2727">
            <v>201</v>
          </cell>
          <cell r="D2727">
            <v>13</v>
          </cell>
          <cell r="E2727" t="str">
            <v>Less: Financial intermediation services indirectly measured (FISIM) (only to be deducted if FISIM is not distributed to uses)</v>
          </cell>
          <cell r="F2727">
            <v>0</v>
          </cell>
          <cell r="G2727">
            <v>1998</v>
          </cell>
          <cell r="H2727">
            <v>30</v>
          </cell>
          <cell r="I2727">
            <v>1915156000000</v>
          </cell>
        </row>
        <row r="2728">
          <cell r="A2728" t="str">
            <v>Venezuela</v>
          </cell>
          <cell r="B2728">
            <v>862</v>
          </cell>
          <cell r="C2728">
            <v>201</v>
          </cell>
          <cell r="D2728">
            <v>13</v>
          </cell>
          <cell r="E2728" t="str">
            <v>Less: Financial intermediation services indirectly measured (FISIM) (only to be deducted if FISIM is not distributed to uses)</v>
          </cell>
          <cell r="F2728">
            <v>0</v>
          </cell>
          <cell r="G2728">
            <v>1999</v>
          </cell>
          <cell r="H2728">
            <v>30</v>
          </cell>
          <cell r="I2728">
            <v>1796487000000</v>
          </cell>
        </row>
        <row r="2729">
          <cell r="A2729" t="str">
            <v>Venezuela</v>
          </cell>
          <cell r="B2729">
            <v>862</v>
          </cell>
          <cell r="C2729">
            <v>201</v>
          </cell>
          <cell r="D2729">
            <v>13</v>
          </cell>
          <cell r="E2729" t="str">
            <v>Less: Financial intermediation services indirectly measured (FISIM) (only to be deducted if FISIM is not distributed to uses)</v>
          </cell>
          <cell r="F2729">
            <v>0</v>
          </cell>
          <cell r="G2729">
            <v>2000</v>
          </cell>
          <cell r="H2729">
            <v>30</v>
          </cell>
          <cell r="I2729">
            <v>1851643000000</v>
          </cell>
        </row>
        <row r="2730">
          <cell r="A2730" t="str">
            <v>Venezuela</v>
          </cell>
          <cell r="B2730">
            <v>862</v>
          </cell>
          <cell r="C2730">
            <v>201</v>
          </cell>
          <cell r="D2730">
            <v>13</v>
          </cell>
          <cell r="E2730" t="str">
            <v>Less: Financial intermediation services indirectly measured (FISIM) (only to be deducted if FISIM is not distributed to uses)</v>
          </cell>
          <cell r="F2730">
            <v>0</v>
          </cell>
          <cell r="G2730">
            <v>2001</v>
          </cell>
          <cell r="H2730">
            <v>30</v>
          </cell>
          <cell r="I2730">
            <v>2091206000000</v>
          </cell>
        </row>
        <row r="2731">
          <cell r="A2731" t="str">
            <v>Venezuela</v>
          </cell>
          <cell r="B2731">
            <v>862</v>
          </cell>
          <cell r="C2731">
            <v>201</v>
          </cell>
          <cell r="D2731">
            <v>13</v>
          </cell>
          <cell r="E2731" t="str">
            <v>Less: Financial intermediation services indirectly measured (FISIM) (only to be deducted if FISIM is not distributed to uses)</v>
          </cell>
          <cell r="F2731">
            <v>0</v>
          </cell>
          <cell r="G2731">
            <v>2002</v>
          </cell>
          <cell r="H2731">
            <v>30</v>
          </cell>
          <cell r="I2731">
            <v>2543576000000</v>
          </cell>
        </row>
        <row r="2732">
          <cell r="A2732" t="str">
            <v>Venezuela</v>
          </cell>
          <cell r="B2732">
            <v>862</v>
          </cell>
          <cell r="C2732">
            <v>203</v>
          </cell>
          <cell r="D2732">
            <v>3</v>
          </cell>
          <cell r="E2732" t="str">
            <v>Equals: VALUE ADDED, GROSS, at basic prices</v>
          </cell>
          <cell r="F2732">
            <v>12</v>
          </cell>
          <cell r="G2732">
            <v>1970</v>
          </cell>
          <cell r="H2732">
            <v>20</v>
          </cell>
          <cell r="I2732">
            <v>51499000000</v>
          </cell>
        </row>
        <row r="2733">
          <cell r="A2733" t="str">
            <v>Venezuela</v>
          </cell>
          <cell r="B2733">
            <v>862</v>
          </cell>
          <cell r="C2733">
            <v>203</v>
          </cell>
          <cell r="D2733">
            <v>3</v>
          </cell>
          <cell r="E2733" t="str">
            <v>Equals: VALUE ADDED, GROSS, at basic prices</v>
          </cell>
          <cell r="F2733">
            <v>12</v>
          </cell>
          <cell r="G2733">
            <v>1971</v>
          </cell>
          <cell r="H2733">
            <v>20</v>
          </cell>
          <cell r="I2733">
            <v>56863000000</v>
          </cell>
        </row>
        <row r="2734">
          <cell r="A2734" t="str">
            <v>Venezuela</v>
          </cell>
          <cell r="B2734">
            <v>862</v>
          </cell>
          <cell r="C2734">
            <v>203</v>
          </cell>
          <cell r="D2734">
            <v>3</v>
          </cell>
          <cell r="E2734" t="str">
            <v>Equals: VALUE ADDED, GROSS, at basic prices</v>
          </cell>
          <cell r="F2734">
            <v>12</v>
          </cell>
          <cell r="G2734">
            <v>1972</v>
          </cell>
          <cell r="H2734">
            <v>20</v>
          </cell>
          <cell r="I2734">
            <v>61739000000</v>
          </cell>
        </row>
        <row r="2735">
          <cell r="A2735" t="str">
            <v>Venezuela</v>
          </cell>
          <cell r="B2735">
            <v>862</v>
          </cell>
          <cell r="C2735">
            <v>203</v>
          </cell>
          <cell r="D2735">
            <v>3</v>
          </cell>
          <cell r="E2735" t="str">
            <v>Equals: VALUE ADDED, GROSS, at basic prices</v>
          </cell>
          <cell r="F2735">
            <v>12</v>
          </cell>
          <cell r="G2735">
            <v>1973</v>
          </cell>
          <cell r="H2735">
            <v>20</v>
          </cell>
          <cell r="I2735">
            <v>73897000000</v>
          </cell>
        </row>
        <row r="2736">
          <cell r="A2736" t="str">
            <v>Venezuela</v>
          </cell>
          <cell r="B2736">
            <v>862</v>
          </cell>
          <cell r="C2736">
            <v>203</v>
          </cell>
          <cell r="D2736">
            <v>3</v>
          </cell>
          <cell r="E2736" t="str">
            <v>Equals: VALUE ADDED, GROSS, at basic prices</v>
          </cell>
          <cell r="F2736">
            <v>12</v>
          </cell>
          <cell r="G2736">
            <v>1974</v>
          </cell>
          <cell r="H2736">
            <v>20</v>
          </cell>
          <cell r="I2736">
            <v>112950000000</v>
          </cell>
        </row>
        <row r="2737">
          <cell r="A2737" t="str">
            <v>Venezuela</v>
          </cell>
          <cell r="B2737">
            <v>862</v>
          </cell>
          <cell r="C2737">
            <v>203</v>
          </cell>
          <cell r="D2737">
            <v>3</v>
          </cell>
          <cell r="E2737" t="str">
            <v>Equals: VALUE ADDED, GROSS, at basic prices</v>
          </cell>
          <cell r="F2737">
            <v>12</v>
          </cell>
          <cell r="G2737">
            <v>1975</v>
          </cell>
          <cell r="H2737">
            <v>20</v>
          </cell>
          <cell r="I2737">
            <v>120134000000</v>
          </cell>
        </row>
        <row r="2738">
          <cell r="A2738" t="str">
            <v>Venezuela</v>
          </cell>
          <cell r="B2738">
            <v>862</v>
          </cell>
          <cell r="C2738">
            <v>203</v>
          </cell>
          <cell r="D2738">
            <v>3</v>
          </cell>
          <cell r="E2738" t="str">
            <v>Equals: VALUE ADDED, GROSS, at basic prices</v>
          </cell>
          <cell r="F2738">
            <v>12</v>
          </cell>
          <cell r="G2738">
            <v>1976</v>
          </cell>
          <cell r="H2738">
            <v>20</v>
          </cell>
          <cell r="I2738">
            <v>138071000000</v>
          </cell>
        </row>
        <row r="2739">
          <cell r="A2739" t="str">
            <v>Venezuela</v>
          </cell>
          <cell r="B2739">
            <v>862</v>
          </cell>
          <cell r="C2739">
            <v>203</v>
          </cell>
          <cell r="D2739">
            <v>3</v>
          </cell>
          <cell r="E2739" t="str">
            <v>Equals: VALUE ADDED, GROSS, at basic prices</v>
          </cell>
          <cell r="F2739">
            <v>12</v>
          </cell>
          <cell r="G2739">
            <v>1977</v>
          </cell>
          <cell r="H2739">
            <v>20</v>
          </cell>
          <cell r="I2739">
            <v>160295000000</v>
          </cell>
        </row>
        <row r="2740">
          <cell r="A2740" t="str">
            <v>Venezuela</v>
          </cell>
          <cell r="B2740">
            <v>862</v>
          </cell>
          <cell r="C2740">
            <v>203</v>
          </cell>
          <cell r="D2740">
            <v>3</v>
          </cell>
          <cell r="E2740" t="str">
            <v>Equals: VALUE ADDED, GROSS, at basic prices</v>
          </cell>
          <cell r="F2740">
            <v>12</v>
          </cell>
          <cell r="G2740">
            <v>1978</v>
          </cell>
          <cell r="H2740">
            <v>20</v>
          </cell>
          <cell r="I2740">
            <v>175568000000</v>
          </cell>
        </row>
        <row r="2741">
          <cell r="A2741" t="str">
            <v>Venezuela</v>
          </cell>
          <cell r="B2741">
            <v>862</v>
          </cell>
          <cell r="C2741">
            <v>203</v>
          </cell>
          <cell r="D2741">
            <v>3</v>
          </cell>
          <cell r="E2741" t="str">
            <v>Equals: VALUE ADDED, GROSS, at basic prices</v>
          </cell>
          <cell r="F2741">
            <v>12</v>
          </cell>
          <cell r="G2741">
            <v>1979</v>
          </cell>
          <cell r="H2741">
            <v>20</v>
          </cell>
          <cell r="I2741">
            <v>213361000000</v>
          </cell>
        </row>
        <row r="2742">
          <cell r="A2742" t="str">
            <v>Venezuela</v>
          </cell>
          <cell r="B2742">
            <v>862</v>
          </cell>
          <cell r="C2742">
            <v>203</v>
          </cell>
          <cell r="D2742">
            <v>3</v>
          </cell>
          <cell r="E2742" t="str">
            <v>Equals: VALUE ADDED, GROSS, at basic prices</v>
          </cell>
          <cell r="F2742">
            <v>12</v>
          </cell>
          <cell r="G2742">
            <v>1980</v>
          </cell>
          <cell r="H2742">
            <v>20</v>
          </cell>
          <cell r="I2742">
            <v>260936000000</v>
          </cell>
        </row>
        <row r="2743">
          <cell r="A2743" t="str">
            <v>Venezuela</v>
          </cell>
          <cell r="B2743">
            <v>862</v>
          </cell>
          <cell r="C2743">
            <v>203</v>
          </cell>
          <cell r="D2743">
            <v>3</v>
          </cell>
          <cell r="E2743" t="str">
            <v>Equals: VALUE ADDED, GROSS, at basic prices</v>
          </cell>
          <cell r="F2743">
            <v>12</v>
          </cell>
          <cell r="G2743">
            <v>1981</v>
          </cell>
          <cell r="H2743">
            <v>20</v>
          </cell>
          <cell r="I2743">
            <v>295247000000</v>
          </cell>
        </row>
        <row r="2744">
          <cell r="A2744" t="str">
            <v>Venezuela</v>
          </cell>
          <cell r="B2744">
            <v>862</v>
          </cell>
          <cell r="C2744">
            <v>203</v>
          </cell>
          <cell r="D2744">
            <v>3</v>
          </cell>
          <cell r="E2744" t="str">
            <v>Equals: VALUE ADDED, GROSS, at basic prices</v>
          </cell>
          <cell r="F2744">
            <v>12</v>
          </cell>
          <cell r="G2744">
            <v>1982</v>
          </cell>
          <cell r="H2744">
            <v>20</v>
          </cell>
          <cell r="I2744">
            <v>300269000000</v>
          </cell>
        </row>
        <row r="2745">
          <cell r="A2745" t="str">
            <v>Venezuela</v>
          </cell>
          <cell r="B2745">
            <v>862</v>
          </cell>
          <cell r="C2745">
            <v>203</v>
          </cell>
          <cell r="D2745">
            <v>3</v>
          </cell>
          <cell r="E2745" t="str">
            <v>Equals: VALUE ADDED, GROSS, at basic prices</v>
          </cell>
          <cell r="F2745">
            <v>12</v>
          </cell>
          <cell r="G2745">
            <v>1983</v>
          </cell>
          <cell r="H2745">
            <v>20</v>
          </cell>
          <cell r="I2745">
            <v>303592000000</v>
          </cell>
        </row>
        <row r="2746">
          <cell r="A2746" t="str">
            <v>Venezuela</v>
          </cell>
          <cell r="B2746">
            <v>862</v>
          </cell>
          <cell r="C2746">
            <v>203</v>
          </cell>
          <cell r="D2746">
            <v>3</v>
          </cell>
          <cell r="E2746" t="str">
            <v>Equals: VALUE ADDED, GROSS, at basic prices</v>
          </cell>
          <cell r="F2746">
            <v>12</v>
          </cell>
          <cell r="G2746">
            <v>1984</v>
          </cell>
          <cell r="H2746">
            <v>20</v>
          </cell>
          <cell r="I2746">
            <v>364423000000</v>
          </cell>
        </row>
        <row r="2747">
          <cell r="A2747" t="str">
            <v>Venezuela</v>
          </cell>
          <cell r="B2747">
            <v>862</v>
          </cell>
          <cell r="C2747">
            <v>203</v>
          </cell>
          <cell r="D2747">
            <v>3</v>
          </cell>
          <cell r="E2747" t="str">
            <v>Equals: VALUE ADDED, GROSS, at basic prices</v>
          </cell>
          <cell r="F2747">
            <v>12</v>
          </cell>
          <cell r="G2747">
            <v>1984</v>
          </cell>
          <cell r="H2747">
            <v>30</v>
          </cell>
          <cell r="I2747">
            <v>409835000000</v>
          </cell>
        </row>
        <row r="2748">
          <cell r="A2748" t="str">
            <v>Venezuela</v>
          </cell>
          <cell r="B2748">
            <v>862</v>
          </cell>
          <cell r="C2748">
            <v>203</v>
          </cell>
          <cell r="D2748">
            <v>3</v>
          </cell>
          <cell r="E2748" t="str">
            <v>Equals: VALUE ADDED, GROSS, at basic prices</v>
          </cell>
          <cell r="F2748">
            <v>12</v>
          </cell>
          <cell r="G2748">
            <v>1985</v>
          </cell>
          <cell r="H2748">
            <v>30</v>
          </cell>
          <cell r="I2748">
            <v>452387000000</v>
          </cell>
        </row>
        <row r="2749">
          <cell r="A2749" t="str">
            <v>Venezuela</v>
          </cell>
          <cell r="B2749">
            <v>862</v>
          </cell>
          <cell r="C2749">
            <v>203</v>
          </cell>
          <cell r="D2749">
            <v>3</v>
          </cell>
          <cell r="E2749" t="str">
            <v>Equals: VALUE ADDED, GROSS, at basic prices</v>
          </cell>
          <cell r="F2749">
            <v>12</v>
          </cell>
          <cell r="G2749">
            <v>1986</v>
          </cell>
          <cell r="H2749">
            <v>30</v>
          </cell>
          <cell r="I2749">
            <v>495013000000</v>
          </cell>
        </row>
        <row r="2750">
          <cell r="A2750" t="str">
            <v>Venezuela</v>
          </cell>
          <cell r="B2750">
            <v>862</v>
          </cell>
          <cell r="C2750">
            <v>203</v>
          </cell>
          <cell r="D2750">
            <v>3</v>
          </cell>
          <cell r="E2750" t="str">
            <v>Equals: VALUE ADDED, GROSS, at basic prices</v>
          </cell>
          <cell r="F2750">
            <v>12</v>
          </cell>
          <cell r="G2750">
            <v>1987</v>
          </cell>
          <cell r="H2750">
            <v>30</v>
          </cell>
          <cell r="I2750">
            <v>679208000000</v>
          </cell>
        </row>
        <row r="2751">
          <cell r="A2751" t="str">
            <v>Venezuela</v>
          </cell>
          <cell r="B2751">
            <v>862</v>
          </cell>
          <cell r="C2751">
            <v>203</v>
          </cell>
          <cell r="D2751">
            <v>3</v>
          </cell>
          <cell r="E2751" t="str">
            <v>Equals: VALUE ADDED, GROSS, at basic prices</v>
          </cell>
          <cell r="F2751">
            <v>12</v>
          </cell>
          <cell r="G2751">
            <v>1988</v>
          </cell>
          <cell r="H2751">
            <v>30</v>
          </cell>
          <cell r="I2751">
            <v>874660000000</v>
          </cell>
        </row>
        <row r="2752">
          <cell r="A2752" t="str">
            <v>Venezuela</v>
          </cell>
          <cell r="B2752">
            <v>862</v>
          </cell>
          <cell r="C2752">
            <v>203</v>
          </cell>
          <cell r="D2752">
            <v>3</v>
          </cell>
          <cell r="E2752" t="str">
            <v>Equals: VALUE ADDED, GROSS, at basic prices</v>
          </cell>
          <cell r="F2752">
            <v>12</v>
          </cell>
          <cell r="G2752">
            <v>1989</v>
          </cell>
          <cell r="H2752">
            <v>30</v>
          </cell>
          <cell r="I2752">
            <v>1487991000000</v>
          </cell>
        </row>
        <row r="2753">
          <cell r="A2753" t="str">
            <v>Venezuela</v>
          </cell>
          <cell r="B2753">
            <v>862</v>
          </cell>
          <cell r="C2753">
            <v>203</v>
          </cell>
          <cell r="D2753">
            <v>3</v>
          </cell>
          <cell r="E2753" t="str">
            <v>Equals: VALUE ADDED, GROSS, at basic prices</v>
          </cell>
          <cell r="F2753">
            <v>12</v>
          </cell>
          <cell r="G2753">
            <v>1990</v>
          </cell>
          <cell r="H2753">
            <v>30</v>
          </cell>
          <cell r="I2753">
            <v>2288126000000</v>
          </cell>
        </row>
        <row r="2754">
          <cell r="A2754" t="str">
            <v>Venezuela</v>
          </cell>
          <cell r="B2754">
            <v>862</v>
          </cell>
          <cell r="C2754">
            <v>203</v>
          </cell>
          <cell r="D2754">
            <v>3</v>
          </cell>
          <cell r="E2754" t="str">
            <v>Equals: VALUE ADDED, GROSS, at basic prices</v>
          </cell>
          <cell r="F2754">
            <v>12</v>
          </cell>
          <cell r="G2754">
            <v>1991</v>
          </cell>
          <cell r="H2754">
            <v>30</v>
          </cell>
          <cell r="I2754">
            <v>3035907000000</v>
          </cell>
        </row>
        <row r="2755">
          <cell r="A2755" t="str">
            <v>Venezuela</v>
          </cell>
          <cell r="B2755">
            <v>862</v>
          </cell>
          <cell r="C2755">
            <v>203</v>
          </cell>
          <cell r="D2755">
            <v>3</v>
          </cell>
          <cell r="E2755" t="str">
            <v>Equals: VALUE ADDED, GROSS, at basic prices</v>
          </cell>
          <cell r="F2755">
            <v>12</v>
          </cell>
          <cell r="G2755">
            <v>1992</v>
          </cell>
          <cell r="H2755">
            <v>30</v>
          </cell>
          <cell r="I2755">
            <v>4119030000000</v>
          </cell>
        </row>
        <row r="2756">
          <cell r="A2756" t="str">
            <v>Venezuela</v>
          </cell>
          <cell r="B2756">
            <v>862</v>
          </cell>
          <cell r="C2756">
            <v>203</v>
          </cell>
          <cell r="D2756">
            <v>3</v>
          </cell>
          <cell r="E2756" t="str">
            <v>Equals: VALUE ADDED, GROSS, at basic prices</v>
          </cell>
          <cell r="F2756">
            <v>12</v>
          </cell>
          <cell r="G2756">
            <v>1993</v>
          </cell>
          <cell r="H2756">
            <v>30</v>
          </cell>
          <cell r="I2756">
            <v>5449065000000</v>
          </cell>
        </row>
        <row r="2757">
          <cell r="A2757" t="str">
            <v>Venezuela</v>
          </cell>
          <cell r="B2757">
            <v>862</v>
          </cell>
          <cell r="C2757">
            <v>203</v>
          </cell>
          <cell r="D2757">
            <v>3</v>
          </cell>
          <cell r="E2757" t="str">
            <v>Equals: VALUE ADDED, GROSS, at basic prices</v>
          </cell>
          <cell r="F2757">
            <v>12</v>
          </cell>
          <cell r="G2757">
            <v>1994</v>
          </cell>
          <cell r="H2757">
            <v>30</v>
          </cell>
          <cell r="I2757">
            <v>8827067000000</v>
          </cell>
        </row>
        <row r="2758">
          <cell r="A2758" t="str">
            <v>Venezuela</v>
          </cell>
          <cell r="B2758">
            <v>862</v>
          </cell>
          <cell r="C2758">
            <v>203</v>
          </cell>
          <cell r="D2758">
            <v>3</v>
          </cell>
          <cell r="E2758" t="str">
            <v>Equals: VALUE ADDED, GROSS, at basic prices</v>
          </cell>
          <cell r="F2758">
            <v>12</v>
          </cell>
          <cell r="G2758">
            <v>1995</v>
          </cell>
          <cell r="H2758">
            <v>30</v>
          </cell>
          <cell r="I2758">
            <v>13516689000000</v>
          </cell>
        </row>
        <row r="2759">
          <cell r="A2759" t="str">
            <v>Venezuela</v>
          </cell>
          <cell r="B2759">
            <v>862</v>
          </cell>
          <cell r="C2759">
            <v>203</v>
          </cell>
          <cell r="D2759">
            <v>3</v>
          </cell>
          <cell r="E2759" t="str">
            <v>Equals: VALUE ADDED, GROSS, at basic prices</v>
          </cell>
          <cell r="F2759">
            <v>12</v>
          </cell>
          <cell r="G2759">
            <v>1996</v>
          </cell>
          <cell r="H2759">
            <v>30</v>
          </cell>
          <cell r="I2759">
            <v>28442532000000</v>
          </cell>
        </row>
        <row r="2760">
          <cell r="A2760" t="str">
            <v>Venezuela</v>
          </cell>
          <cell r="B2760">
            <v>862</v>
          </cell>
          <cell r="C2760">
            <v>203</v>
          </cell>
          <cell r="D2760">
            <v>3</v>
          </cell>
          <cell r="E2760" t="str">
            <v>Equals: VALUE ADDED, GROSS, at basic prices</v>
          </cell>
          <cell r="F2760">
            <v>12</v>
          </cell>
          <cell r="G2760">
            <v>1997</v>
          </cell>
          <cell r="H2760">
            <v>30</v>
          </cell>
          <cell r="I2760">
            <v>41288574000000</v>
          </cell>
        </row>
        <row r="2761">
          <cell r="A2761" t="str">
            <v>Venezuela</v>
          </cell>
          <cell r="B2761">
            <v>862</v>
          </cell>
          <cell r="C2761">
            <v>203</v>
          </cell>
          <cell r="D2761">
            <v>3</v>
          </cell>
          <cell r="E2761" t="str">
            <v>Equals: VALUE ADDED, GROSS, at basic prices</v>
          </cell>
          <cell r="F2761">
            <v>12</v>
          </cell>
          <cell r="G2761">
            <v>1998</v>
          </cell>
          <cell r="H2761">
            <v>30</v>
          </cell>
          <cell r="I2761">
            <v>50571369000000</v>
          </cell>
        </row>
        <row r="2762">
          <cell r="A2762" t="str">
            <v>Venezuela</v>
          </cell>
          <cell r="B2762">
            <v>862</v>
          </cell>
          <cell r="C2762">
            <v>203</v>
          </cell>
          <cell r="D2762">
            <v>3</v>
          </cell>
          <cell r="E2762" t="str">
            <v>Equals: VALUE ADDED, GROSS, at basic prices</v>
          </cell>
          <cell r="F2762">
            <v>12</v>
          </cell>
          <cell r="G2762">
            <v>1999</v>
          </cell>
          <cell r="H2762">
            <v>30</v>
          </cell>
          <cell r="I2762">
            <v>60336461000000</v>
          </cell>
        </row>
        <row r="2763">
          <cell r="A2763" t="str">
            <v>Venezuela</v>
          </cell>
          <cell r="B2763">
            <v>862</v>
          </cell>
          <cell r="C2763">
            <v>203</v>
          </cell>
          <cell r="D2763">
            <v>3</v>
          </cell>
          <cell r="E2763" t="str">
            <v>Equals: VALUE ADDED, GROSS, at basic prices</v>
          </cell>
          <cell r="F2763">
            <v>12</v>
          </cell>
          <cell r="G2763">
            <v>2000</v>
          </cell>
          <cell r="H2763">
            <v>30</v>
          </cell>
          <cell r="I2763">
            <v>79740289000000</v>
          </cell>
        </row>
        <row r="2764">
          <cell r="A2764" t="str">
            <v>Venezuela</v>
          </cell>
          <cell r="B2764">
            <v>862</v>
          </cell>
          <cell r="C2764">
            <v>203</v>
          </cell>
          <cell r="D2764">
            <v>3</v>
          </cell>
          <cell r="E2764" t="str">
            <v>Equals: VALUE ADDED, GROSS, at basic prices</v>
          </cell>
          <cell r="F2764">
            <v>12</v>
          </cell>
          <cell r="G2764">
            <v>2001</v>
          </cell>
          <cell r="H2764">
            <v>30</v>
          </cell>
          <cell r="I2764">
            <v>88043190000000</v>
          </cell>
        </row>
        <row r="2765">
          <cell r="A2765" t="str">
            <v>Venezuela</v>
          </cell>
          <cell r="B2765">
            <v>862</v>
          </cell>
          <cell r="C2765">
            <v>203</v>
          </cell>
          <cell r="D2765">
            <v>3</v>
          </cell>
          <cell r="E2765" t="str">
            <v>Equals: VALUE ADDED, GROSS, at basic prices</v>
          </cell>
          <cell r="F2765">
            <v>12</v>
          </cell>
          <cell r="G2765">
            <v>2002</v>
          </cell>
          <cell r="H2765">
            <v>30</v>
          </cell>
          <cell r="I2765">
            <v>107429139000000</v>
          </cell>
        </row>
        <row r="2766">
          <cell r="A2766" t="str">
            <v>Venezuela</v>
          </cell>
          <cell r="B2766">
            <v>862</v>
          </cell>
          <cell r="C2766">
            <v>203</v>
          </cell>
          <cell r="D2766">
            <v>4</v>
          </cell>
          <cell r="E2766" t="str">
            <v>Compensation of employees</v>
          </cell>
          <cell r="F2766">
            <v>12</v>
          </cell>
          <cell r="G2766">
            <v>1970</v>
          </cell>
          <cell r="H2766">
            <v>20</v>
          </cell>
          <cell r="I2766">
            <v>21098000000</v>
          </cell>
        </row>
        <row r="2767">
          <cell r="A2767" t="str">
            <v>Venezuela</v>
          </cell>
          <cell r="B2767">
            <v>862</v>
          </cell>
          <cell r="C2767">
            <v>203</v>
          </cell>
          <cell r="D2767">
            <v>4</v>
          </cell>
          <cell r="E2767" t="str">
            <v>Compensation of employees</v>
          </cell>
          <cell r="F2767">
            <v>12</v>
          </cell>
          <cell r="G2767">
            <v>1971</v>
          </cell>
          <cell r="H2767">
            <v>20</v>
          </cell>
          <cell r="I2767">
            <v>23175000000</v>
          </cell>
        </row>
        <row r="2768">
          <cell r="A2768" t="str">
            <v>Venezuela</v>
          </cell>
          <cell r="B2768">
            <v>862</v>
          </cell>
          <cell r="C2768">
            <v>203</v>
          </cell>
          <cell r="D2768">
            <v>4</v>
          </cell>
          <cell r="E2768" t="str">
            <v>Compensation of employees</v>
          </cell>
          <cell r="F2768">
            <v>12</v>
          </cell>
          <cell r="G2768">
            <v>1972</v>
          </cell>
          <cell r="H2768">
            <v>20</v>
          </cell>
          <cell r="I2768">
            <v>25944000000</v>
          </cell>
        </row>
        <row r="2769">
          <cell r="A2769" t="str">
            <v>Venezuela</v>
          </cell>
          <cell r="B2769">
            <v>862</v>
          </cell>
          <cell r="C2769">
            <v>203</v>
          </cell>
          <cell r="D2769">
            <v>4</v>
          </cell>
          <cell r="E2769" t="str">
            <v>Compensation of employees</v>
          </cell>
          <cell r="F2769">
            <v>12</v>
          </cell>
          <cell r="G2769">
            <v>1973</v>
          </cell>
          <cell r="H2769">
            <v>20</v>
          </cell>
          <cell r="I2769">
            <v>28722000000</v>
          </cell>
        </row>
        <row r="2770">
          <cell r="A2770" t="str">
            <v>Venezuela</v>
          </cell>
          <cell r="B2770">
            <v>862</v>
          </cell>
          <cell r="C2770">
            <v>203</v>
          </cell>
          <cell r="D2770">
            <v>4</v>
          </cell>
          <cell r="E2770" t="str">
            <v>Compensation of employees</v>
          </cell>
          <cell r="F2770">
            <v>12</v>
          </cell>
          <cell r="G2770">
            <v>1974</v>
          </cell>
          <cell r="H2770">
            <v>20</v>
          </cell>
          <cell r="I2770">
            <v>36528000000</v>
          </cell>
        </row>
        <row r="2771">
          <cell r="A2771" t="str">
            <v>Venezuela</v>
          </cell>
          <cell r="B2771">
            <v>862</v>
          </cell>
          <cell r="C2771">
            <v>203</v>
          </cell>
          <cell r="D2771">
            <v>4</v>
          </cell>
          <cell r="E2771" t="str">
            <v>Compensation of employees</v>
          </cell>
          <cell r="F2771">
            <v>12</v>
          </cell>
          <cell r="G2771">
            <v>1975</v>
          </cell>
          <cell r="H2771">
            <v>20</v>
          </cell>
          <cell r="I2771">
            <v>45807000000</v>
          </cell>
        </row>
        <row r="2772">
          <cell r="A2772" t="str">
            <v>Venezuela</v>
          </cell>
          <cell r="B2772">
            <v>862</v>
          </cell>
          <cell r="C2772">
            <v>203</v>
          </cell>
          <cell r="D2772">
            <v>4</v>
          </cell>
          <cell r="E2772" t="str">
            <v>Compensation of employees</v>
          </cell>
          <cell r="F2772">
            <v>12</v>
          </cell>
          <cell r="G2772">
            <v>1976</v>
          </cell>
          <cell r="H2772">
            <v>20</v>
          </cell>
          <cell r="I2772">
            <v>53973000000</v>
          </cell>
        </row>
        <row r="2773">
          <cell r="A2773" t="str">
            <v>Venezuela</v>
          </cell>
          <cell r="B2773">
            <v>862</v>
          </cell>
          <cell r="C2773">
            <v>203</v>
          </cell>
          <cell r="D2773">
            <v>4</v>
          </cell>
          <cell r="E2773" t="str">
            <v>Compensation of employees</v>
          </cell>
          <cell r="F2773">
            <v>12</v>
          </cell>
          <cell r="G2773">
            <v>1977</v>
          </cell>
          <cell r="H2773">
            <v>20</v>
          </cell>
          <cell r="I2773">
            <v>63727000000</v>
          </cell>
        </row>
        <row r="2774">
          <cell r="A2774" t="str">
            <v>Venezuela</v>
          </cell>
          <cell r="B2774">
            <v>862</v>
          </cell>
          <cell r="C2774">
            <v>203</v>
          </cell>
          <cell r="D2774">
            <v>4</v>
          </cell>
          <cell r="E2774" t="str">
            <v>Compensation of employees</v>
          </cell>
          <cell r="F2774">
            <v>12</v>
          </cell>
          <cell r="G2774">
            <v>1978</v>
          </cell>
          <cell r="H2774">
            <v>20</v>
          </cell>
          <cell r="I2774">
            <v>75831000000</v>
          </cell>
        </row>
        <row r="2775">
          <cell r="A2775" t="str">
            <v>Venezuela</v>
          </cell>
          <cell r="B2775">
            <v>862</v>
          </cell>
          <cell r="C2775">
            <v>203</v>
          </cell>
          <cell r="D2775">
            <v>4</v>
          </cell>
          <cell r="E2775" t="str">
            <v>Compensation of employees</v>
          </cell>
          <cell r="F2775">
            <v>12</v>
          </cell>
          <cell r="G2775">
            <v>1979</v>
          </cell>
          <cell r="H2775">
            <v>20</v>
          </cell>
          <cell r="I2775">
            <v>86602000000</v>
          </cell>
        </row>
        <row r="2776">
          <cell r="A2776" t="str">
            <v>Venezuela</v>
          </cell>
          <cell r="B2776">
            <v>862</v>
          </cell>
          <cell r="C2776">
            <v>203</v>
          </cell>
          <cell r="D2776">
            <v>4</v>
          </cell>
          <cell r="E2776" t="str">
            <v>Compensation of employees</v>
          </cell>
          <cell r="F2776">
            <v>12</v>
          </cell>
          <cell r="G2776">
            <v>1980</v>
          </cell>
          <cell r="H2776">
            <v>20</v>
          </cell>
          <cell r="I2776">
            <v>105143000000</v>
          </cell>
        </row>
        <row r="2777">
          <cell r="A2777" t="str">
            <v>Venezuela</v>
          </cell>
          <cell r="B2777">
            <v>862</v>
          </cell>
          <cell r="C2777">
            <v>203</v>
          </cell>
          <cell r="D2777">
            <v>4</v>
          </cell>
          <cell r="E2777" t="str">
            <v>Compensation of employees</v>
          </cell>
          <cell r="F2777">
            <v>12</v>
          </cell>
          <cell r="G2777">
            <v>1981</v>
          </cell>
          <cell r="H2777">
            <v>20</v>
          </cell>
          <cell r="I2777">
            <v>119642000000</v>
          </cell>
        </row>
        <row r="2778">
          <cell r="A2778" t="str">
            <v>Venezuela</v>
          </cell>
          <cell r="B2778">
            <v>862</v>
          </cell>
          <cell r="C2778">
            <v>203</v>
          </cell>
          <cell r="D2778">
            <v>4</v>
          </cell>
          <cell r="E2778" t="str">
            <v>Compensation of employees</v>
          </cell>
          <cell r="F2778">
            <v>12</v>
          </cell>
          <cell r="G2778">
            <v>1982</v>
          </cell>
          <cell r="H2778">
            <v>20</v>
          </cell>
          <cell r="I2778">
            <v>124529000000</v>
          </cell>
        </row>
        <row r="2779">
          <cell r="A2779" t="str">
            <v>Venezuela</v>
          </cell>
          <cell r="B2779">
            <v>862</v>
          </cell>
          <cell r="C2779">
            <v>203</v>
          </cell>
          <cell r="D2779">
            <v>4</v>
          </cell>
          <cell r="E2779" t="str">
            <v>Compensation of employees</v>
          </cell>
          <cell r="F2779">
            <v>12</v>
          </cell>
          <cell r="G2779">
            <v>1983</v>
          </cell>
          <cell r="H2779">
            <v>20</v>
          </cell>
          <cell r="I2779">
            <v>123625000000</v>
          </cell>
        </row>
        <row r="2780">
          <cell r="A2780" t="str">
            <v>Venezuela</v>
          </cell>
          <cell r="B2780">
            <v>862</v>
          </cell>
          <cell r="C2780">
            <v>203</v>
          </cell>
          <cell r="D2780">
            <v>4</v>
          </cell>
          <cell r="E2780" t="str">
            <v>Compensation of employees</v>
          </cell>
          <cell r="F2780">
            <v>12</v>
          </cell>
          <cell r="G2780">
            <v>1984</v>
          </cell>
          <cell r="H2780">
            <v>20</v>
          </cell>
          <cell r="I2780">
            <v>128398000000</v>
          </cell>
        </row>
        <row r="2781">
          <cell r="A2781" t="str">
            <v>Venezuela</v>
          </cell>
          <cell r="B2781">
            <v>862</v>
          </cell>
          <cell r="C2781">
            <v>203</v>
          </cell>
          <cell r="D2781">
            <v>4</v>
          </cell>
          <cell r="E2781" t="str">
            <v>Compensation of employees</v>
          </cell>
          <cell r="F2781">
            <v>12</v>
          </cell>
          <cell r="G2781">
            <v>1984</v>
          </cell>
          <cell r="H2781">
            <v>30</v>
          </cell>
          <cell r="I2781">
            <v>144371000000</v>
          </cell>
        </row>
        <row r="2782">
          <cell r="A2782" t="str">
            <v>Venezuela</v>
          </cell>
          <cell r="B2782">
            <v>862</v>
          </cell>
          <cell r="C2782">
            <v>203</v>
          </cell>
          <cell r="D2782">
            <v>4</v>
          </cell>
          <cell r="E2782" t="str">
            <v>Compensation of employees</v>
          </cell>
          <cell r="F2782">
            <v>12</v>
          </cell>
          <cell r="G2782">
            <v>1985</v>
          </cell>
          <cell r="H2782">
            <v>30</v>
          </cell>
          <cell r="I2782">
            <v>163383000000</v>
          </cell>
        </row>
        <row r="2783">
          <cell r="A2783" t="str">
            <v>Venezuela</v>
          </cell>
          <cell r="B2783">
            <v>862</v>
          </cell>
          <cell r="C2783">
            <v>203</v>
          </cell>
          <cell r="D2783">
            <v>4</v>
          </cell>
          <cell r="E2783" t="str">
            <v>Compensation of employees</v>
          </cell>
          <cell r="F2783">
            <v>12</v>
          </cell>
          <cell r="G2783">
            <v>1986</v>
          </cell>
          <cell r="H2783">
            <v>30</v>
          </cell>
          <cell r="I2783">
            <v>183550000000</v>
          </cell>
        </row>
        <row r="2784">
          <cell r="A2784" t="str">
            <v>Venezuela</v>
          </cell>
          <cell r="B2784">
            <v>862</v>
          </cell>
          <cell r="C2784">
            <v>203</v>
          </cell>
          <cell r="D2784">
            <v>4</v>
          </cell>
          <cell r="E2784" t="str">
            <v>Compensation of employees</v>
          </cell>
          <cell r="F2784">
            <v>12</v>
          </cell>
          <cell r="G2784">
            <v>1987</v>
          </cell>
          <cell r="H2784">
            <v>30</v>
          </cell>
          <cell r="I2784">
            <v>244444000000</v>
          </cell>
        </row>
        <row r="2785">
          <cell r="A2785" t="str">
            <v>Venezuela</v>
          </cell>
          <cell r="B2785">
            <v>862</v>
          </cell>
          <cell r="C2785">
            <v>203</v>
          </cell>
          <cell r="D2785">
            <v>4</v>
          </cell>
          <cell r="E2785" t="str">
            <v>Compensation of employees</v>
          </cell>
          <cell r="F2785">
            <v>12</v>
          </cell>
          <cell r="G2785">
            <v>1988</v>
          </cell>
          <cell r="H2785">
            <v>30</v>
          </cell>
          <cell r="I2785">
            <v>321148000000</v>
          </cell>
        </row>
        <row r="2786">
          <cell r="A2786" t="str">
            <v>Venezuela</v>
          </cell>
          <cell r="B2786">
            <v>862</v>
          </cell>
          <cell r="C2786">
            <v>203</v>
          </cell>
          <cell r="D2786">
            <v>4</v>
          </cell>
          <cell r="E2786" t="str">
            <v>Compensation of employees</v>
          </cell>
          <cell r="F2786">
            <v>12</v>
          </cell>
          <cell r="G2786">
            <v>1989</v>
          </cell>
          <cell r="H2786">
            <v>30</v>
          </cell>
          <cell r="I2786">
            <v>518295000000</v>
          </cell>
        </row>
        <row r="2787">
          <cell r="A2787" t="str">
            <v>Venezuela</v>
          </cell>
          <cell r="B2787">
            <v>862</v>
          </cell>
          <cell r="C2787">
            <v>203</v>
          </cell>
          <cell r="D2787">
            <v>4</v>
          </cell>
          <cell r="E2787" t="str">
            <v>Compensation of employees</v>
          </cell>
          <cell r="F2787">
            <v>12</v>
          </cell>
          <cell r="G2787">
            <v>1990</v>
          </cell>
          <cell r="H2787">
            <v>30</v>
          </cell>
          <cell r="I2787">
            <v>699402000000</v>
          </cell>
        </row>
        <row r="2788">
          <cell r="A2788" t="str">
            <v>Venezuela</v>
          </cell>
          <cell r="B2788">
            <v>862</v>
          </cell>
          <cell r="C2788">
            <v>203</v>
          </cell>
          <cell r="D2788">
            <v>4</v>
          </cell>
          <cell r="E2788" t="str">
            <v>Compensation of employees</v>
          </cell>
          <cell r="F2788">
            <v>12</v>
          </cell>
          <cell r="G2788">
            <v>1991</v>
          </cell>
          <cell r="H2788">
            <v>30</v>
          </cell>
          <cell r="I2788">
            <v>1007216000000</v>
          </cell>
        </row>
        <row r="2789">
          <cell r="A2789" t="str">
            <v>Venezuela</v>
          </cell>
          <cell r="B2789">
            <v>862</v>
          </cell>
          <cell r="C2789">
            <v>203</v>
          </cell>
          <cell r="D2789">
            <v>4</v>
          </cell>
          <cell r="E2789" t="str">
            <v>Compensation of employees</v>
          </cell>
          <cell r="F2789">
            <v>12</v>
          </cell>
          <cell r="G2789">
            <v>1992</v>
          </cell>
          <cell r="H2789">
            <v>30</v>
          </cell>
          <cell r="I2789">
            <v>1432489000000</v>
          </cell>
        </row>
        <row r="2790">
          <cell r="A2790" t="str">
            <v>Venezuela</v>
          </cell>
          <cell r="B2790">
            <v>862</v>
          </cell>
          <cell r="C2790">
            <v>203</v>
          </cell>
          <cell r="D2790">
            <v>4</v>
          </cell>
          <cell r="E2790" t="str">
            <v>Compensation of employees</v>
          </cell>
          <cell r="F2790">
            <v>12</v>
          </cell>
          <cell r="G2790">
            <v>1993</v>
          </cell>
          <cell r="H2790">
            <v>30</v>
          </cell>
          <cell r="I2790">
            <v>1863825000000</v>
          </cell>
        </row>
        <row r="2791">
          <cell r="A2791" t="str">
            <v>Venezuela</v>
          </cell>
          <cell r="B2791">
            <v>862</v>
          </cell>
          <cell r="C2791">
            <v>203</v>
          </cell>
          <cell r="D2791">
            <v>4</v>
          </cell>
          <cell r="E2791" t="str">
            <v>Compensation of employees</v>
          </cell>
          <cell r="F2791">
            <v>12</v>
          </cell>
          <cell r="G2791">
            <v>1994</v>
          </cell>
          <cell r="H2791">
            <v>30</v>
          </cell>
          <cell r="I2791">
            <v>2735425000000</v>
          </cell>
        </row>
        <row r="2792">
          <cell r="A2792" t="str">
            <v>Venezuela</v>
          </cell>
          <cell r="B2792">
            <v>862</v>
          </cell>
          <cell r="C2792">
            <v>203</v>
          </cell>
          <cell r="D2792">
            <v>4</v>
          </cell>
          <cell r="E2792" t="str">
            <v>Compensation of employees</v>
          </cell>
          <cell r="F2792">
            <v>12</v>
          </cell>
          <cell r="G2792">
            <v>1995</v>
          </cell>
          <cell r="H2792">
            <v>30</v>
          </cell>
          <cell r="I2792">
            <v>4307115000000</v>
          </cell>
        </row>
        <row r="2793">
          <cell r="A2793" t="str">
            <v>Venezuela</v>
          </cell>
          <cell r="B2793">
            <v>862</v>
          </cell>
          <cell r="C2793">
            <v>203</v>
          </cell>
          <cell r="D2793">
            <v>4</v>
          </cell>
          <cell r="E2793" t="str">
            <v>Compensation of employees</v>
          </cell>
          <cell r="F2793">
            <v>12</v>
          </cell>
          <cell r="G2793">
            <v>1996</v>
          </cell>
          <cell r="H2793">
            <v>30</v>
          </cell>
          <cell r="I2793">
            <v>7513296000000</v>
          </cell>
        </row>
        <row r="2794">
          <cell r="A2794" t="str">
            <v>Venezuela</v>
          </cell>
          <cell r="B2794">
            <v>862</v>
          </cell>
          <cell r="C2794">
            <v>203</v>
          </cell>
          <cell r="D2794">
            <v>4</v>
          </cell>
          <cell r="E2794" t="str">
            <v>Compensation of employees</v>
          </cell>
          <cell r="F2794">
            <v>12</v>
          </cell>
          <cell r="G2794">
            <v>1997</v>
          </cell>
          <cell r="H2794">
            <v>30</v>
          </cell>
          <cell r="I2794">
            <v>12735783000000</v>
          </cell>
        </row>
        <row r="2795">
          <cell r="A2795" t="str">
            <v>Venezuela</v>
          </cell>
          <cell r="B2795">
            <v>862</v>
          </cell>
          <cell r="C2795">
            <v>203</v>
          </cell>
          <cell r="D2795">
            <v>4</v>
          </cell>
          <cell r="E2795" t="str">
            <v>Compensation of employees</v>
          </cell>
          <cell r="F2795">
            <v>12</v>
          </cell>
          <cell r="G2795">
            <v>1998</v>
          </cell>
          <cell r="H2795">
            <v>30</v>
          </cell>
          <cell r="I2795">
            <v>17107333000000</v>
          </cell>
        </row>
        <row r="2796">
          <cell r="A2796" t="str">
            <v>Venezuela</v>
          </cell>
          <cell r="B2796">
            <v>862</v>
          </cell>
          <cell r="C2796">
            <v>203</v>
          </cell>
          <cell r="D2796">
            <v>4</v>
          </cell>
          <cell r="E2796" t="str">
            <v>Compensation of employees</v>
          </cell>
          <cell r="F2796">
            <v>12</v>
          </cell>
          <cell r="G2796">
            <v>1999</v>
          </cell>
          <cell r="H2796">
            <v>30</v>
          </cell>
          <cell r="I2796">
            <v>19912236000000</v>
          </cell>
        </row>
        <row r="2797">
          <cell r="A2797" t="str">
            <v>Venezuela</v>
          </cell>
          <cell r="B2797">
            <v>862</v>
          </cell>
          <cell r="C2797">
            <v>203</v>
          </cell>
          <cell r="D2797">
            <v>4</v>
          </cell>
          <cell r="E2797" t="str">
            <v>Compensation of employees</v>
          </cell>
          <cell r="F2797">
            <v>12</v>
          </cell>
          <cell r="G2797">
            <v>2000</v>
          </cell>
          <cell r="H2797">
            <v>30</v>
          </cell>
          <cell r="I2797">
            <v>24766913000000</v>
          </cell>
        </row>
        <row r="2798">
          <cell r="A2798" t="str">
            <v>Venezuela</v>
          </cell>
          <cell r="B2798">
            <v>862</v>
          </cell>
          <cell r="C2798">
            <v>203</v>
          </cell>
          <cell r="D2798">
            <v>4</v>
          </cell>
          <cell r="E2798" t="str">
            <v>Compensation of employees</v>
          </cell>
          <cell r="F2798">
            <v>12</v>
          </cell>
          <cell r="G2798">
            <v>2001</v>
          </cell>
          <cell r="H2798">
            <v>30</v>
          </cell>
          <cell r="I2798">
            <v>29541926000000</v>
          </cell>
        </row>
        <row r="2799">
          <cell r="A2799" t="str">
            <v>Venezuela</v>
          </cell>
          <cell r="B2799">
            <v>862</v>
          </cell>
          <cell r="C2799">
            <v>203</v>
          </cell>
          <cell r="D2799">
            <v>4</v>
          </cell>
          <cell r="E2799" t="str">
            <v>Compensation of employees</v>
          </cell>
          <cell r="F2799">
            <v>12</v>
          </cell>
          <cell r="G2799">
            <v>2002</v>
          </cell>
          <cell r="H2799">
            <v>30</v>
          </cell>
          <cell r="I2799">
            <v>34166090000000</v>
          </cell>
        </row>
        <row r="2800">
          <cell r="A2800" t="str">
            <v>Venezuela</v>
          </cell>
          <cell r="B2800">
            <v>862</v>
          </cell>
          <cell r="C2800">
            <v>203</v>
          </cell>
          <cell r="D2800">
            <v>11</v>
          </cell>
          <cell r="E2800" t="str">
            <v>OPERATING SURPLUS, GROSS</v>
          </cell>
          <cell r="F2800">
            <v>12</v>
          </cell>
          <cell r="G2800">
            <v>1970</v>
          </cell>
          <cell r="H2800">
            <v>20</v>
          </cell>
          <cell r="I2800">
            <v>29156000000</v>
          </cell>
        </row>
        <row r="2801">
          <cell r="A2801" t="str">
            <v>Venezuela</v>
          </cell>
          <cell r="B2801">
            <v>862</v>
          </cell>
          <cell r="C2801">
            <v>203</v>
          </cell>
          <cell r="D2801">
            <v>11</v>
          </cell>
          <cell r="E2801" t="str">
            <v>OPERATING SURPLUS, GROSS</v>
          </cell>
          <cell r="F2801">
            <v>12</v>
          </cell>
          <cell r="G2801">
            <v>1971</v>
          </cell>
          <cell r="H2801">
            <v>20</v>
          </cell>
          <cell r="I2801">
            <v>32342000000</v>
          </cell>
        </row>
        <row r="2802">
          <cell r="A2802" t="str">
            <v>Venezuela</v>
          </cell>
          <cell r="B2802">
            <v>862</v>
          </cell>
          <cell r="C2802">
            <v>203</v>
          </cell>
          <cell r="D2802">
            <v>11</v>
          </cell>
          <cell r="E2802" t="str">
            <v>OPERATING SURPLUS, GROSS</v>
          </cell>
          <cell r="F2802">
            <v>12</v>
          </cell>
          <cell r="G2802">
            <v>1972</v>
          </cell>
          <cell r="H2802">
            <v>20</v>
          </cell>
          <cell r="I2802">
            <v>34362000000</v>
          </cell>
        </row>
        <row r="2803">
          <cell r="A2803" t="str">
            <v>Venezuela</v>
          </cell>
          <cell r="B2803">
            <v>862</v>
          </cell>
          <cell r="C2803">
            <v>203</v>
          </cell>
          <cell r="D2803">
            <v>11</v>
          </cell>
          <cell r="E2803" t="str">
            <v>OPERATING SURPLUS, GROSS</v>
          </cell>
          <cell r="F2803">
            <v>12</v>
          </cell>
          <cell r="G2803">
            <v>1973</v>
          </cell>
          <cell r="H2803">
            <v>20</v>
          </cell>
          <cell r="I2803">
            <v>43674000000</v>
          </cell>
        </row>
        <row r="2804">
          <cell r="A2804" t="str">
            <v>Venezuela</v>
          </cell>
          <cell r="B2804">
            <v>862</v>
          </cell>
          <cell r="C2804">
            <v>203</v>
          </cell>
          <cell r="D2804">
            <v>11</v>
          </cell>
          <cell r="E2804" t="str">
            <v>OPERATING SURPLUS, GROSS</v>
          </cell>
          <cell r="F2804">
            <v>12</v>
          </cell>
          <cell r="G2804">
            <v>1974</v>
          </cell>
          <cell r="H2804">
            <v>20</v>
          </cell>
          <cell r="I2804">
            <v>75195000000</v>
          </cell>
        </row>
        <row r="2805">
          <cell r="A2805" t="str">
            <v>Venezuela</v>
          </cell>
          <cell r="B2805">
            <v>862</v>
          </cell>
          <cell r="C2805">
            <v>203</v>
          </cell>
          <cell r="D2805">
            <v>11</v>
          </cell>
          <cell r="E2805" t="str">
            <v>OPERATING SURPLUS, GROSS</v>
          </cell>
          <cell r="F2805">
            <v>12</v>
          </cell>
          <cell r="G2805">
            <v>1975</v>
          </cell>
          <cell r="H2805">
            <v>20</v>
          </cell>
          <cell r="I2805">
            <v>72817000000</v>
          </cell>
        </row>
        <row r="2806">
          <cell r="A2806" t="str">
            <v>Venezuela</v>
          </cell>
          <cell r="B2806">
            <v>862</v>
          </cell>
          <cell r="C2806">
            <v>203</v>
          </cell>
          <cell r="D2806">
            <v>11</v>
          </cell>
          <cell r="E2806" t="str">
            <v>OPERATING SURPLUS, GROSS</v>
          </cell>
          <cell r="F2806">
            <v>12</v>
          </cell>
          <cell r="G2806">
            <v>1976</v>
          </cell>
          <cell r="H2806">
            <v>20</v>
          </cell>
          <cell r="I2806">
            <v>82733000000</v>
          </cell>
        </row>
        <row r="2807">
          <cell r="A2807" t="str">
            <v>Venezuela</v>
          </cell>
          <cell r="B2807">
            <v>862</v>
          </cell>
          <cell r="C2807">
            <v>203</v>
          </cell>
          <cell r="D2807">
            <v>11</v>
          </cell>
          <cell r="E2807" t="str">
            <v>OPERATING SURPLUS, GROSS</v>
          </cell>
          <cell r="F2807">
            <v>12</v>
          </cell>
          <cell r="G2807">
            <v>1977</v>
          </cell>
          <cell r="H2807">
            <v>20</v>
          </cell>
          <cell r="I2807">
            <v>95225000000</v>
          </cell>
        </row>
        <row r="2808">
          <cell r="A2808" t="str">
            <v>Venezuela</v>
          </cell>
          <cell r="B2808">
            <v>862</v>
          </cell>
          <cell r="C2808">
            <v>203</v>
          </cell>
          <cell r="D2808">
            <v>11</v>
          </cell>
          <cell r="E2808" t="str">
            <v>OPERATING SURPLUS, GROSS</v>
          </cell>
          <cell r="F2808">
            <v>12</v>
          </cell>
          <cell r="G2808">
            <v>1978</v>
          </cell>
          <cell r="H2808">
            <v>20</v>
          </cell>
          <cell r="I2808">
            <v>98542000000</v>
          </cell>
        </row>
        <row r="2809">
          <cell r="A2809" t="str">
            <v>Venezuela</v>
          </cell>
          <cell r="B2809">
            <v>862</v>
          </cell>
          <cell r="C2809">
            <v>203</v>
          </cell>
          <cell r="D2809">
            <v>11</v>
          </cell>
          <cell r="E2809" t="str">
            <v>OPERATING SURPLUS, GROSS</v>
          </cell>
          <cell r="F2809">
            <v>12</v>
          </cell>
          <cell r="G2809">
            <v>1979</v>
          </cell>
          <cell r="H2809">
            <v>20</v>
          </cell>
          <cell r="I2809">
            <v>125179000000</v>
          </cell>
        </row>
        <row r="2810">
          <cell r="A2810" t="str">
            <v>Venezuela</v>
          </cell>
          <cell r="B2810">
            <v>862</v>
          </cell>
          <cell r="C2810">
            <v>203</v>
          </cell>
          <cell r="D2810">
            <v>11</v>
          </cell>
          <cell r="E2810" t="str">
            <v>OPERATING SURPLUS, GROSS</v>
          </cell>
          <cell r="F2810">
            <v>12</v>
          </cell>
          <cell r="G2810">
            <v>1980</v>
          </cell>
          <cell r="H2810">
            <v>20</v>
          </cell>
          <cell r="I2810">
            <v>154166000000</v>
          </cell>
        </row>
        <row r="2811">
          <cell r="A2811" t="str">
            <v>Venezuela</v>
          </cell>
          <cell r="B2811">
            <v>862</v>
          </cell>
          <cell r="C2811">
            <v>203</v>
          </cell>
          <cell r="D2811">
            <v>11</v>
          </cell>
          <cell r="E2811" t="str">
            <v>OPERATING SURPLUS, GROSS</v>
          </cell>
          <cell r="F2811">
            <v>12</v>
          </cell>
          <cell r="G2811">
            <v>1981</v>
          </cell>
          <cell r="H2811">
            <v>20</v>
          </cell>
          <cell r="I2811">
            <v>173528000000</v>
          </cell>
        </row>
        <row r="2812">
          <cell r="A2812" t="str">
            <v>Venezuela</v>
          </cell>
          <cell r="B2812">
            <v>862</v>
          </cell>
          <cell r="C2812">
            <v>203</v>
          </cell>
          <cell r="D2812">
            <v>11</v>
          </cell>
          <cell r="E2812" t="str">
            <v>OPERATING SURPLUS, GROSS</v>
          </cell>
          <cell r="F2812">
            <v>12</v>
          </cell>
          <cell r="G2812">
            <v>1982</v>
          </cell>
          <cell r="H2812">
            <v>20</v>
          </cell>
          <cell r="I2812">
            <v>172842000000</v>
          </cell>
        </row>
        <row r="2813">
          <cell r="A2813" t="str">
            <v>Venezuela</v>
          </cell>
          <cell r="B2813">
            <v>862</v>
          </cell>
          <cell r="C2813">
            <v>203</v>
          </cell>
          <cell r="D2813">
            <v>11</v>
          </cell>
          <cell r="E2813" t="str">
            <v>OPERATING SURPLUS, GROSS</v>
          </cell>
          <cell r="F2813">
            <v>12</v>
          </cell>
          <cell r="G2813">
            <v>1983</v>
          </cell>
          <cell r="H2813">
            <v>20</v>
          </cell>
          <cell r="I2813">
            <v>162581000000</v>
          </cell>
        </row>
        <row r="2814">
          <cell r="A2814" t="str">
            <v>Venezuela</v>
          </cell>
          <cell r="B2814">
            <v>862</v>
          </cell>
          <cell r="C2814">
            <v>203</v>
          </cell>
          <cell r="D2814">
            <v>11</v>
          </cell>
          <cell r="E2814" t="str">
            <v>OPERATING SURPLUS, GROSS</v>
          </cell>
          <cell r="F2814">
            <v>12</v>
          </cell>
          <cell r="G2814">
            <v>1984</v>
          </cell>
          <cell r="H2814">
            <v>20</v>
          </cell>
          <cell r="I2814">
            <v>218653000000</v>
          </cell>
        </row>
        <row r="2815">
          <cell r="A2815" t="str">
            <v>Venezuela</v>
          </cell>
          <cell r="B2815">
            <v>862</v>
          </cell>
          <cell r="C2815">
            <v>203</v>
          </cell>
          <cell r="D2815">
            <v>11</v>
          </cell>
          <cell r="E2815" t="str">
            <v>OPERATING SURPLUS, GROSS</v>
          </cell>
          <cell r="F2815">
            <v>12</v>
          </cell>
          <cell r="G2815">
            <v>1984</v>
          </cell>
          <cell r="H2815">
            <v>30</v>
          </cell>
          <cell r="I2815">
            <v>259327000000</v>
          </cell>
        </row>
        <row r="2816">
          <cell r="A2816" t="str">
            <v>Venezuela</v>
          </cell>
          <cell r="B2816">
            <v>862</v>
          </cell>
          <cell r="C2816">
            <v>203</v>
          </cell>
          <cell r="D2816">
            <v>11</v>
          </cell>
          <cell r="E2816" t="str">
            <v>OPERATING SURPLUS, GROSS</v>
          </cell>
          <cell r="F2816">
            <v>12</v>
          </cell>
          <cell r="G2816">
            <v>1985</v>
          </cell>
          <cell r="H2816">
            <v>30</v>
          </cell>
          <cell r="I2816">
            <v>280658000000</v>
          </cell>
        </row>
        <row r="2817">
          <cell r="A2817" t="str">
            <v>Venezuela</v>
          </cell>
          <cell r="B2817">
            <v>862</v>
          </cell>
          <cell r="C2817">
            <v>203</v>
          </cell>
          <cell r="D2817">
            <v>11</v>
          </cell>
          <cell r="E2817" t="str">
            <v>OPERATING SURPLUS, GROSS</v>
          </cell>
          <cell r="F2817">
            <v>12</v>
          </cell>
          <cell r="G2817">
            <v>1986</v>
          </cell>
          <cell r="H2817">
            <v>30</v>
          </cell>
          <cell r="I2817">
            <v>299557000000</v>
          </cell>
        </row>
        <row r="2818">
          <cell r="A2818" t="str">
            <v>Venezuela</v>
          </cell>
          <cell r="B2818">
            <v>862</v>
          </cell>
          <cell r="C2818">
            <v>203</v>
          </cell>
          <cell r="D2818">
            <v>11</v>
          </cell>
          <cell r="E2818" t="str">
            <v>OPERATING SURPLUS, GROSS</v>
          </cell>
          <cell r="F2818">
            <v>12</v>
          </cell>
          <cell r="G2818">
            <v>1987</v>
          </cell>
          <cell r="H2818">
            <v>30</v>
          </cell>
          <cell r="I2818">
            <v>425836000000</v>
          </cell>
        </row>
        <row r="2819">
          <cell r="A2819" t="str">
            <v>Venezuela</v>
          </cell>
          <cell r="B2819">
            <v>862</v>
          </cell>
          <cell r="C2819">
            <v>203</v>
          </cell>
          <cell r="D2819">
            <v>11</v>
          </cell>
          <cell r="E2819" t="str">
            <v>OPERATING SURPLUS, GROSS</v>
          </cell>
          <cell r="F2819">
            <v>12</v>
          </cell>
          <cell r="G2819">
            <v>1988</v>
          </cell>
          <cell r="H2819">
            <v>30</v>
          </cell>
          <cell r="I2819">
            <v>546331000000</v>
          </cell>
        </row>
        <row r="2820">
          <cell r="A2820" t="str">
            <v>Venezuela</v>
          </cell>
          <cell r="B2820">
            <v>862</v>
          </cell>
          <cell r="C2820">
            <v>203</v>
          </cell>
          <cell r="D2820">
            <v>11</v>
          </cell>
          <cell r="E2820" t="str">
            <v>OPERATING SURPLUS, GROSS</v>
          </cell>
          <cell r="F2820">
            <v>12</v>
          </cell>
          <cell r="G2820">
            <v>1989</v>
          </cell>
          <cell r="H2820">
            <v>30</v>
          </cell>
          <cell r="I2820">
            <v>970116000000</v>
          </cell>
        </row>
        <row r="2821">
          <cell r="A2821" t="str">
            <v>Venezuela</v>
          </cell>
          <cell r="B2821">
            <v>862</v>
          </cell>
          <cell r="C2821">
            <v>203</v>
          </cell>
          <cell r="D2821">
            <v>11</v>
          </cell>
          <cell r="E2821" t="str">
            <v>OPERATING SURPLUS, GROSS</v>
          </cell>
          <cell r="F2821">
            <v>12</v>
          </cell>
          <cell r="G2821">
            <v>1990</v>
          </cell>
          <cell r="H2821">
            <v>30</v>
          </cell>
          <cell r="I2821">
            <v>1588243000000</v>
          </cell>
        </row>
        <row r="2822">
          <cell r="A2822" t="str">
            <v>Venezuela</v>
          </cell>
          <cell r="B2822">
            <v>862</v>
          </cell>
          <cell r="C2822">
            <v>203</v>
          </cell>
          <cell r="D2822">
            <v>11</v>
          </cell>
          <cell r="E2822" t="str">
            <v>OPERATING SURPLUS, GROSS</v>
          </cell>
          <cell r="F2822">
            <v>12</v>
          </cell>
          <cell r="G2822">
            <v>1991</v>
          </cell>
          <cell r="H2822">
            <v>30</v>
          </cell>
          <cell r="I2822">
            <v>1980632000000</v>
          </cell>
        </row>
        <row r="2823">
          <cell r="A2823" t="str">
            <v>Venezuela</v>
          </cell>
          <cell r="B2823">
            <v>862</v>
          </cell>
          <cell r="C2823">
            <v>203</v>
          </cell>
          <cell r="D2823">
            <v>11</v>
          </cell>
          <cell r="E2823" t="str">
            <v>OPERATING SURPLUS, GROSS</v>
          </cell>
          <cell r="F2823">
            <v>12</v>
          </cell>
          <cell r="G2823">
            <v>1992</v>
          </cell>
          <cell r="H2823">
            <v>30</v>
          </cell>
          <cell r="I2823">
            <v>2600266000000</v>
          </cell>
        </row>
        <row r="2824">
          <cell r="A2824" t="str">
            <v>Venezuela</v>
          </cell>
          <cell r="B2824">
            <v>862</v>
          </cell>
          <cell r="C2824">
            <v>203</v>
          </cell>
          <cell r="D2824">
            <v>11</v>
          </cell>
          <cell r="E2824" t="str">
            <v>OPERATING SURPLUS, GROSS</v>
          </cell>
          <cell r="F2824">
            <v>12</v>
          </cell>
          <cell r="G2824">
            <v>1993</v>
          </cell>
          <cell r="H2824">
            <v>30</v>
          </cell>
          <cell r="I2824">
            <v>3463866000000</v>
          </cell>
        </row>
        <row r="2825">
          <cell r="A2825" t="str">
            <v>Venezuela</v>
          </cell>
          <cell r="B2825">
            <v>862</v>
          </cell>
          <cell r="C2825">
            <v>203</v>
          </cell>
          <cell r="D2825">
            <v>11</v>
          </cell>
          <cell r="E2825" t="str">
            <v>OPERATING SURPLUS, GROSS</v>
          </cell>
          <cell r="F2825">
            <v>12</v>
          </cell>
          <cell r="G2825">
            <v>1994</v>
          </cell>
          <cell r="H2825">
            <v>30</v>
          </cell>
          <cell r="I2825">
            <v>5836117000000</v>
          </cell>
        </row>
        <row r="2826">
          <cell r="A2826" t="str">
            <v>Venezuela</v>
          </cell>
          <cell r="B2826">
            <v>862</v>
          </cell>
          <cell r="C2826">
            <v>203</v>
          </cell>
          <cell r="D2826">
            <v>11</v>
          </cell>
          <cell r="E2826" t="str">
            <v>OPERATING SURPLUS, GROSS</v>
          </cell>
          <cell r="F2826">
            <v>12</v>
          </cell>
          <cell r="G2826">
            <v>1995</v>
          </cell>
          <cell r="H2826">
            <v>30</v>
          </cell>
          <cell r="I2826">
            <v>8969224000000</v>
          </cell>
        </row>
        <row r="2827">
          <cell r="A2827" t="str">
            <v>Venezuela</v>
          </cell>
          <cell r="B2827">
            <v>862</v>
          </cell>
          <cell r="C2827">
            <v>203</v>
          </cell>
          <cell r="D2827">
            <v>11</v>
          </cell>
          <cell r="E2827" t="str">
            <v>OPERATING SURPLUS, GROSS</v>
          </cell>
          <cell r="F2827">
            <v>12</v>
          </cell>
          <cell r="G2827">
            <v>1996</v>
          </cell>
          <cell r="H2827">
            <v>30</v>
          </cell>
          <cell r="I2827">
            <v>20574474000000</v>
          </cell>
        </row>
        <row r="2828">
          <cell r="A2828" t="str">
            <v>Venezuela</v>
          </cell>
          <cell r="B2828">
            <v>862</v>
          </cell>
          <cell r="C2828">
            <v>203</v>
          </cell>
          <cell r="D2828">
            <v>11</v>
          </cell>
          <cell r="E2828" t="str">
            <v>OPERATING SURPLUS, GROSS</v>
          </cell>
          <cell r="F2828">
            <v>12</v>
          </cell>
          <cell r="G2828">
            <v>1997</v>
          </cell>
          <cell r="H2828">
            <v>30</v>
          </cell>
          <cell r="I2828">
            <v>27687878000000</v>
          </cell>
        </row>
        <row r="2829">
          <cell r="A2829" t="str">
            <v>Venezuela</v>
          </cell>
          <cell r="B2829">
            <v>862</v>
          </cell>
          <cell r="C2829">
            <v>203</v>
          </cell>
          <cell r="D2829">
            <v>11</v>
          </cell>
          <cell r="E2829" t="str">
            <v>OPERATING SURPLUS, GROSS</v>
          </cell>
          <cell r="F2829">
            <v>12</v>
          </cell>
          <cell r="G2829">
            <v>1998</v>
          </cell>
          <cell r="H2829">
            <v>30</v>
          </cell>
          <cell r="I2829">
            <v>32526479000000</v>
          </cell>
        </row>
        <row r="2830">
          <cell r="A2830" t="str">
            <v>Venezuela</v>
          </cell>
          <cell r="B2830">
            <v>862</v>
          </cell>
          <cell r="C2830">
            <v>203</v>
          </cell>
          <cell r="D2830">
            <v>11</v>
          </cell>
          <cell r="E2830" t="str">
            <v>OPERATING SURPLUS, GROSS</v>
          </cell>
          <cell r="F2830">
            <v>12</v>
          </cell>
          <cell r="G2830">
            <v>1999</v>
          </cell>
          <cell r="H2830">
            <v>30</v>
          </cell>
          <cell r="I2830">
            <v>38855210000000</v>
          </cell>
        </row>
        <row r="2831">
          <cell r="A2831" t="str">
            <v>Venezuela</v>
          </cell>
          <cell r="B2831">
            <v>862</v>
          </cell>
          <cell r="C2831">
            <v>203</v>
          </cell>
          <cell r="D2831">
            <v>11</v>
          </cell>
          <cell r="E2831" t="str">
            <v>OPERATING SURPLUS, GROSS</v>
          </cell>
          <cell r="F2831">
            <v>12</v>
          </cell>
          <cell r="G2831">
            <v>2000</v>
          </cell>
          <cell r="H2831">
            <v>30</v>
          </cell>
          <cell r="I2831">
            <v>53267474000000</v>
          </cell>
        </row>
        <row r="2832">
          <cell r="A2832" t="str">
            <v>Venezuela</v>
          </cell>
          <cell r="B2832">
            <v>862</v>
          </cell>
          <cell r="C2832">
            <v>203</v>
          </cell>
          <cell r="D2832">
            <v>11</v>
          </cell>
          <cell r="E2832" t="str">
            <v>OPERATING SURPLUS, GROSS</v>
          </cell>
          <cell r="F2832">
            <v>12</v>
          </cell>
          <cell r="G2832">
            <v>2001</v>
          </cell>
          <cell r="H2832">
            <v>30</v>
          </cell>
          <cell r="I2832">
            <v>56729126000000</v>
          </cell>
        </row>
        <row r="2833">
          <cell r="A2833" t="str">
            <v>Venezuela</v>
          </cell>
          <cell r="B2833">
            <v>862</v>
          </cell>
          <cell r="C2833">
            <v>203</v>
          </cell>
          <cell r="D2833">
            <v>11</v>
          </cell>
          <cell r="E2833" t="str">
            <v>OPERATING SURPLUS, GROSS</v>
          </cell>
          <cell r="F2833">
            <v>12</v>
          </cell>
          <cell r="G2833">
            <v>2002</v>
          </cell>
          <cell r="H2833">
            <v>30</v>
          </cell>
          <cell r="I2833">
            <v>70144032000000</v>
          </cell>
        </row>
        <row r="2834">
          <cell r="A2834" t="str">
            <v>Venezuela</v>
          </cell>
          <cell r="B2834">
            <v>862</v>
          </cell>
          <cell r="C2834">
            <v>203</v>
          </cell>
          <cell r="D2834">
            <v>22</v>
          </cell>
          <cell r="E2834" t="str">
            <v>Taxes on production and imports, less Subsidies</v>
          </cell>
          <cell r="F2834">
            <v>12</v>
          </cell>
          <cell r="G2834">
            <v>1970</v>
          </cell>
          <cell r="H2834">
            <v>20</v>
          </cell>
          <cell r="I2834">
            <v>1245000000</v>
          </cell>
        </row>
        <row r="2835">
          <cell r="A2835" t="str">
            <v>Venezuela</v>
          </cell>
          <cell r="B2835">
            <v>862</v>
          </cell>
          <cell r="C2835">
            <v>203</v>
          </cell>
          <cell r="D2835">
            <v>22</v>
          </cell>
          <cell r="E2835" t="str">
            <v>Taxes on production and imports, less Subsidies</v>
          </cell>
          <cell r="F2835">
            <v>12</v>
          </cell>
          <cell r="G2835">
            <v>1971</v>
          </cell>
          <cell r="H2835">
            <v>20</v>
          </cell>
          <cell r="I2835">
            <v>1346000000</v>
          </cell>
        </row>
        <row r="2836">
          <cell r="A2836" t="str">
            <v>Venezuela</v>
          </cell>
          <cell r="B2836">
            <v>862</v>
          </cell>
          <cell r="C2836">
            <v>203</v>
          </cell>
          <cell r="D2836">
            <v>22</v>
          </cell>
          <cell r="E2836" t="str">
            <v>Taxes on production and imports, less Subsidies</v>
          </cell>
          <cell r="F2836">
            <v>12</v>
          </cell>
          <cell r="G2836">
            <v>1972</v>
          </cell>
          <cell r="H2836">
            <v>20</v>
          </cell>
          <cell r="I2836">
            <v>1433000000</v>
          </cell>
        </row>
        <row r="2837">
          <cell r="A2837" t="str">
            <v>Venezuela</v>
          </cell>
          <cell r="B2837">
            <v>862</v>
          </cell>
          <cell r="C2837">
            <v>203</v>
          </cell>
          <cell r="D2837">
            <v>22</v>
          </cell>
          <cell r="E2837" t="str">
            <v>Taxes on production and imports, less Subsidies</v>
          </cell>
          <cell r="F2837">
            <v>12</v>
          </cell>
          <cell r="G2837">
            <v>1973</v>
          </cell>
          <cell r="H2837">
            <v>20</v>
          </cell>
          <cell r="I2837">
            <v>1501000000</v>
          </cell>
        </row>
        <row r="2838">
          <cell r="A2838" t="str">
            <v>Venezuela</v>
          </cell>
          <cell r="B2838">
            <v>862</v>
          </cell>
          <cell r="C2838">
            <v>203</v>
          </cell>
          <cell r="D2838">
            <v>22</v>
          </cell>
          <cell r="E2838" t="str">
            <v>Taxes on production and imports, less Subsidies</v>
          </cell>
          <cell r="F2838">
            <v>12</v>
          </cell>
          <cell r="G2838">
            <v>1974</v>
          </cell>
          <cell r="H2838">
            <v>20</v>
          </cell>
          <cell r="I2838">
            <v>1227000000</v>
          </cell>
        </row>
        <row r="2839">
          <cell r="A2839" t="str">
            <v>Venezuela</v>
          </cell>
          <cell r="B2839">
            <v>862</v>
          </cell>
          <cell r="C2839">
            <v>203</v>
          </cell>
          <cell r="D2839">
            <v>22</v>
          </cell>
          <cell r="E2839" t="str">
            <v>Taxes on production and imports, less Subsidies</v>
          </cell>
          <cell r="F2839">
            <v>12</v>
          </cell>
          <cell r="G2839">
            <v>1975</v>
          </cell>
          <cell r="H2839">
            <v>20</v>
          </cell>
          <cell r="I2839">
            <v>1510000000</v>
          </cell>
        </row>
        <row r="2840">
          <cell r="A2840" t="str">
            <v>Venezuela</v>
          </cell>
          <cell r="B2840">
            <v>862</v>
          </cell>
          <cell r="C2840">
            <v>203</v>
          </cell>
          <cell r="D2840">
            <v>22</v>
          </cell>
          <cell r="E2840" t="str">
            <v>Taxes on production and imports, less Subsidies</v>
          </cell>
          <cell r="F2840">
            <v>12</v>
          </cell>
          <cell r="G2840">
            <v>1976</v>
          </cell>
          <cell r="H2840">
            <v>20</v>
          </cell>
          <cell r="I2840">
            <v>1365000000</v>
          </cell>
        </row>
        <row r="2841">
          <cell r="A2841" t="str">
            <v>Venezuela</v>
          </cell>
          <cell r="B2841">
            <v>862</v>
          </cell>
          <cell r="C2841">
            <v>203</v>
          </cell>
          <cell r="D2841">
            <v>22</v>
          </cell>
          <cell r="E2841" t="str">
            <v>Taxes on production and imports, less Subsidies</v>
          </cell>
          <cell r="F2841">
            <v>12</v>
          </cell>
          <cell r="G2841">
            <v>1977</v>
          </cell>
          <cell r="H2841">
            <v>20</v>
          </cell>
          <cell r="I2841">
            <v>1343000000</v>
          </cell>
        </row>
        <row r="2842">
          <cell r="A2842" t="str">
            <v>Venezuela</v>
          </cell>
          <cell r="B2842">
            <v>862</v>
          </cell>
          <cell r="C2842">
            <v>203</v>
          </cell>
          <cell r="D2842">
            <v>22</v>
          </cell>
          <cell r="E2842" t="str">
            <v>Taxes on production and imports, less Subsidies</v>
          </cell>
          <cell r="F2842">
            <v>12</v>
          </cell>
          <cell r="G2842">
            <v>1978</v>
          </cell>
          <cell r="H2842">
            <v>20</v>
          </cell>
          <cell r="I2842">
            <v>1195000000</v>
          </cell>
        </row>
        <row r="2843">
          <cell r="A2843" t="str">
            <v>Venezuela</v>
          </cell>
          <cell r="B2843">
            <v>862</v>
          </cell>
          <cell r="C2843">
            <v>203</v>
          </cell>
          <cell r="D2843">
            <v>22</v>
          </cell>
          <cell r="E2843" t="str">
            <v>Taxes on production and imports, less Subsidies</v>
          </cell>
          <cell r="F2843">
            <v>12</v>
          </cell>
          <cell r="G2843">
            <v>1979</v>
          </cell>
          <cell r="H2843">
            <v>20</v>
          </cell>
          <cell r="I2843">
            <v>1580000000</v>
          </cell>
        </row>
        <row r="2844">
          <cell r="A2844" t="str">
            <v>Venezuela</v>
          </cell>
          <cell r="B2844">
            <v>862</v>
          </cell>
          <cell r="C2844">
            <v>203</v>
          </cell>
          <cell r="D2844">
            <v>22</v>
          </cell>
          <cell r="E2844" t="str">
            <v>Taxes on production and imports, less Subsidies</v>
          </cell>
          <cell r="F2844">
            <v>12</v>
          </cell>
          <cell r="G2844">
            <v>1980</v>
          </cell>
          <cell r="H2844">
            <v>20</v>
          </cell>
          <cell r="I2844">
            <v>1627000000</v>
          </cell>
        </row>
        <row r="2845">
          <cell r="A2845" t="str">
            <v>Venezuela</v>
          </cell>
          <cell r="B2845">
            <v>862</v>
          </cell>
          <cell r="C2845">
            <v>203</v>
          </cell>
          <cell r="D2845">
            <v>22</v>
          </cell>
          <cell r="E2845" t="str">
            <v>Taxes on production and imports, less Subsidies</v>
          </cell>
          <cell r="F2845">
            <v>12</v>
          </cell>
          <cell r="G2845">
            <v>1981</v>
          </cell>
          <cell r="H2845">
            <v>20</v>
          </cell>
          <cell r="I2845">
            <v>2077000000</v>
          </cell>
        </row>
        <row r="2846">
          <cell r="A2846" t="str">
            <v>Venezuela</v>
          </cell>
          <cell r="B2846">
            <v>862</v>
          </cell>
          <cell r="C2846">
            <v>203</v>
          </cell>
          <cell r="D2846">
            <v>22</v>
          </cell>
          <cell r="E2846" t="str">
            <v>Taxes on production and imports, less Subsidies</v>
          </cell>
          <cell r="F2846">
            <v>12</v>
          </cell>
          <cell r="G2846">
            <v>1982</v>
          </cell>
          <cell r="H2846">
            <v>20</v>
          </cell>
          <cell r="I2846">
            <v>2898000000</v>
          </cell>
        </row>
        <row r="2847">
          <cell r="A2847" t="str">
            <v>Venezuela</v>
          </cell>
          <cell r="B2847">
            <v>862</v>
          </cell>
          <cell r="C2847">
            <v>203</v>
          </cell>
          <cell r="D2847">
            <v>22</v>
          </cell>
          <cell r="E2847" t="str">
            <v>Taxes on production and imports, less Subsidies</v>
          </cell>
          <cell r="F2847">
            <v>12</v>
          </cell>
          <cell r="G2847">
            <v>1983</v>
          </cell>
          <cell r="H2847">
            <v>20</v>
          </cell>
          <cell r="I2847">
            <v>17386000000</v>
          </cell>
        </row>
        <row r="2848">
          <cell r="A2848" t="str">
            <v>Venezuela</v>
          </cell>
          <cell r="B2848">
            <v>862</v>
          </cell>
          <cell r="C2848">
            <v>203</v>
          </cell>
          <cell r="D2848">
            <v>22</v>
          </cell>
          <cell r="E2848" t="str">
            <v>Taxes on production and imports, less Subsidies</v>
          </cell>
          <cell r="F2848">
            <v>12</v>
          </cell>
          <cell r="G2848">
            <v>1984</v>
          </cell>
          <cell r="H2848">
            <v>20</v>
          </cell>
          <cell r="I2848">
            <v>17372000000</v>
          </cell>
        </row>
        <row r="2849">
          <cell r="A2849" t="str">
            <v>Venezuela</v>
          </cell>
          <cell r="B2849">
            <v>862</v>
          </cell>
          <cell r="C2849">
            <v>203</v>
          </cell>
          <cell r="D2849">
            <v>22</v>
          </cell>
          <cell r="E2849" t="str">
            <v>Taxes on production and imports, less Subsidies</v>
          </cell>
          <cell r="F2849">
            <v>12</v>
          </cell>
          <cell r="G2849">
            <v>1984</v>
          </cell>
          <cell r="H2849">
            <v>30</v>
          </cell>
          <cell r="I2849">
            <v>6137000000</v>
          </cell>
        </row>
        <row r="2850">
          <cell r="A2850" t="str">
            <v>Venezuela</v>
          </cell>
          <cell r="B2850">
            <v>862</v>
          </cell>
          <cell r="C2850">
            <v>203</v>
          </cell>
          <cell r="D2850">
            <v>22</v>
          </cell>
          <cell r="E2850" t="str">
            <v>Taxes on production and imports, less Subsidies</v>
          </cell>
          <cell r="F2850">
            <v>12</v>
          </cell>
          <cell r="G2850">
            <v>1985</v>
          </cell>
          <cell r="H2850">
            <v>30</v>
          </cell>
          <cell r="I2850">
            <v>8346000000</v>
          </cell>
        </row>
        <row r="2851">
          <cell r="A2851" t="str">
            <v>Venezuela</v>
          </cell>
          <cell r="B2851">
            <v>862</v>
          </cell>
          <cell r="C2851">
            <v>203</v>
          </cell>
          <cell r="D2851">
            <v>22</v>
          </cell>
          <cell r="E2851" t="str">
            <v>Taxes on production and imports, less Subsidies</v>
          </cell>
          <cell r="F2851">
            <v>12</v>
          </cell>
          <cell r="G2851">
            <v>1986</v>
          </cell>
          <cell r="H2851">
            <v>30</v>
          </cell>
          <cell r="I2851">
            <v>11906000000</v>
          </cell>
        </row>
        <row r="2852">
          <cell r="A2852" t="str">
            <v>Venezuela</v>
          </cell>
          <cell r="B2852">
            <v>862</v>
          </cell>
          <cell r="C2852">
            <v>203</v>
          </cell>
          <cell r="D2852">
            <v>22</v>
          </cell>
          <cell r="E2852" t="str">
            <v>Taxes on production and imports, less Subsidies</v>
          </cell>
          <cell r="F2852">
            <v>12</v>
          </cell>
          <cell r="G2852">
            <v>1987</v>
          </cell>
          <cell r="H2852">
            <v>30</v>
          </cell>
          <cell r="I2852">
            <v>8928000000</v>
          </cell>
        </row>
        <row r="2853">
          <cell r="A2853" t="str">
            <v>Venezuela</v>
          </cell>
          <cell r="B2853">
            <v>862</v>
          </cell>
          <cell r="C2853">
            <v>203</v>
          </cell>
          <cell r="D2853">
            <v>22</v>
          </cell>
          <cell r="E2853" t="str">
            <v>Taxes on production and imports, less Subsidies</v>
          </cell>
          <cell r="F2853">
            <v>12</v>
          </cell>
          <cell r="G2853">
            <v>1988</v>
          </cell>
          <cell r="H2853">
            <v>30</v>
          </cell>
          <cell r="I2853">
            <v>7181000000</v>
          </cell>
        </row>
        <row r="2854">
          <cell r="A2854" t="str">
            <v>Venezuela</v>
          </cell>
          <cell r="B2854">
            <v>862</v>
          </cell>
          <cell r="C2854">
            <v>203</v>
          </cell>
          <cell r="D2854">
            <v>22</v>
          </cell>
          <cell r="E2854" t="str">
            <v>Taxes on production and imports, less Subsidies</v>
          </cell>
          <cell r="F2854">
            <v>12</v>
          </cell>
          <cell r="G2854">
            <v>1989</v>
          </cell>
          <cell r="H2854">
            <v>30</v>
          </cell>
          <cell r="I2854">
            <v>-420000000</v>
          </cell>
        </row>
        <row r="2855">
          <cell r="A2855" t="str">
            <v>Venezuela</v>
          </cell>
          <cell r="B2855">
            <v>862</v>
          </cell>
          <cell r="C2855">
            <v>203</v>
          </cell>
          <cell r="D2855">
            <v>22</v>
          </cell>
          <cell r="E2855" t="str">
            <v>Taxes on production and imports, less Subsidies</v>
          </cell>
          <cell r="F2855">
            <v>12</v>
          </cell>
          <cell r="G2855">
            <v>1990</v>
          </cell>
          <cell r="H2855">
            <v>30</v>
          </cell>
          <cell r="I2855">
            <v>481000000</v>
          </cell>
        </row>
        <row r="2856">
          <cell r="A2856" t="str">
            <v>Venezuela</v>
          </cell>
          <cell r="B2856">
            <v>862</v>
          </cell>
          <cell r="C2856">
            <v>203</v>
          </cell>
          <cell r="D2856">
            <v>22</v>
          </cell>
          <cell r="E2856" t="str">
            <v>Taxes on production and imports, less Subsidies</v>
          </cell>
          <cell r="F2856">
            <v>12</v>
          </cell>
          <cell r="G2856">
            <v>1991</v>
          </cell>
          <cell r="H2856">
            <v>30</v>
          </cell>
          <cell r="I2856">
            <v>48059000000</v>
          </cell>
        </row>
        <row r="2857">
          <cell r="A2857" t="str">
            <v>Venezuela</v>
          </cell>
          <cell r="B2857">
            <v>862</v>
          </cell>
          <cell r="C2857">
            <v>203</v>
          </cell>
          <cell r="D2857">
            <v>22</v>
          </cell>
          <cell r="E2857" t="str">
            <v>Taxes on production and imports, less Subsidies</v>
          </cell>
          <cell r="F2857">
            <v>12</v>
          </cell>
          <cell r="G2857">
            <v>1992</v>
          </cell>
          <cell r="H2857">
            <v>30</v>
          </cell>
          <cell r="I2857">
            <v>86275000000</v>
          </cell>
        </row>
        <row r="2858">
          <cell r="A2858" t="str">
            <v>Venezuela</v>
          </cell>
          <cell r="B2858">
            <v>862</v>
          </cell>
          <cell r="C2858">
            <v>203</v>
          </cell>
          <cell r="D2858">
            <v>22</v>
          </cell>
          <cell r="E2858" t="str">
            <v>Taxes on production and imports, less Subsidies</v>
          </cell>
          <cell r="F2858">
            <v>12</v>
          </cell>
          <cell r="G2858">
            <v>1993</v>
          </cell>
          <cell r="H2858">
            <v>30</v>
          </cell>
          <cell r="I2858">
            <v>121374000000</v>
          </cell>
        </row>
        <row r="2859">
          <cell r="A2859" t="str">
            <v>Venezuela</v>
          </cell>
          <cell r="B2859">
            <v>862</v>
          </cell>
          <cell r="C2859">
            <v>203</v>
          </cell>
          <cell r="D2859">
            <v>22</v>
          </cell>
          <cell r="E2859" t="str">
            <v>Taxes on production and imports, less Subsidies</v>
          </cell>
          <cell r="F2859">
            <v>12</v>
          </cell>
          <cell r="G2859">
            <v>1994</v>
          </cell>
          <cell r="H2859">
            <v>30</v>
          </cell>
          <cell r="I2859">
            <v>255525000000</v>
          </cell>
        </row>
        <row r="2860">
          <cell r="A2860" t="str">
            <v>Venezuela</v>
          </cell>
          <cell r="B2860">
            <v>862</v>
          </cell>
          <cell r="C2860">
            <v>203</v>
          </cell>
          <cell r="D2860">
            <v>22</v>
          </cell>
          <cell r="E2860" t="str">
            <v>Taxes on production and imports, less Subsidies</v>
          </cell>
          <cell r="F2860">
            <v>12</v>
          </cell>
          <cell r="G2860">
            <v>1995</v>
          </cell>
          <cell r="H2860">
            <v>30</v>
          </cell>
          <cell r="I2860">
            <v>240350000000</v>
          </cell>
        </row>
        <row r="2861">
          <cell r="A2861" t="str">
            <v>Venezuela</v>
          </cell>
          <cell r="B2861">
            <v>862</v>
          </cell>
          <cell r="C2861">
            <v>203</v>
          </cell>
          <cell r="D2861">
            <v>22</v>
          </cell>
          <cell r="E2861" t="str">
            <v>Taxes on production and imports, less Subsidies</v>
          </cell>
          <cell r="F2861">
            <v>12</v>
          </cell>
          <cell r="G2861">
            <v>1996</v>
          </cell>
          <cell r="H2861">
            <v>30</v>
          </cell>
          <cell r="I2861">
            <v>354762000000</v>
          </cell>
        </row>
        <row r="2862">
          <cell r="A2862" t="str">
            <v>Venezuela</v>
          </cell>
          <cell r="B2862">
            <v>862</v>
          </cell>
          <cell r="C2862">
            <v>203</v>
          </cell>
          <cell r="D2862">
            <v>22</v>
          </cell>
          <cell r="E2862" t="str">
            <v>Taxes on production and imports, less Subsidies</v>
          </cell>
          <cell r="F2862">
            <v>12</v>
          </cell>
          <cell r="G2862">
            <v>1997</v>
          </cell>
          <cell r="H2862">
            <v>30</v>
          </cell>
          <cell r="I2862">
            <v>864913000000</v>
          </cell>
        </row>
        <row r="2863">
          <cell r="A2863" t="str">
            <v>Venezuela</v>
          </cell>
          <cell r="B2863">
            <v>862</v>
          </cell>
          <cell r="C2863">
            <v>203</v>
          </cell>
          <cell r="D2863">
            <v>22</v>
          </cell>
          <cell r="E2863" t="str">
            <v>Taxes on production and imports, less Subsidies</v>
          </cell>
          <cell r="F2863">
            <v>12</v>
          </cell>
          <cell r="G2863">
            <v>1998</v>
          </cell>
          <cell r="H2863">
            <v>30</v>
          </cell>
          <cell r="I2863">
            <v>937557000000</v>
          </cell>
        </row>
        <row r="2864">
          <cell r="A2864" t="str">
            <v>Venezuela</v>
          </cell>
          <cell r="B2864">
            <v>862</v>
          </cell>
          <cell r="C2864">
            <v>203</v>
          </cell>
          <cell r="D2864">
            <v>22</v>
          </cell>
          <cell r="E2864" t="str">
            <v>Taxes on production and imports, less Subsidies</v>
          </cell>
          <cell r="F2864">
            <v>12</v>
          </cell>
          <cell r="G2864">
            <v>1999</v>
          </cell>
          <cell r="H2864">
            <v>30</v>
          </cell>
          <cell r="I2864">
            <v>1569015000000</v>
          </cell>
        </row>
        <row r="2865">
          <cell r="A2865" t="str">
            <v>Venezuela</v>
          </cell>
          <cell r="B2865">
            <v>862</v>
          </cell>
          <cell r="C2865">
            <v>203</v>
          </cell>
          <cell r="D2865">
            <v>22</v>
          </cell>
          <cell r="E2865" t="str">
            <v>Taxes on production and imports, less Subsidies</v>
          </cell>
          <cell r="F2865">
            <v>12</v>
          </cell>
          <cell r="G2865">
            <v>2000</v>
          </cell>
          <cell r="H2865">
            <v>30</v>
          </cell>
          <cell r="I2865">
            <v>1705902000000</v>
          </cell>
        </row>
        <row r="2866">
          <cell r="A2866" t="str">
            <v>Venezuela</v>
          </cell>
          <cell r="B2866">
            <v>862</v>
          </cell>
          <cell r="C2866">
            <v>203</v>
          </cell>
          <cell r="D2866">
            <v>22</v>
          </cell>
          <cell r="E2866" t="str">
            <v>Taxes on production and imports, less Subsidies</v>
          </cell>
          <cell r="F2866">
            <v>12</v>
          </cell>
          <cell r="G2866">
            <v>2001</v>
          </cell>
          <cell r="H2866">
            <v>30</v>
          </cell>
          <cell r="I2866">
            <v>1772138000000</v>
          </cell>
        </row>
        <row r="2867">
          <cell r="A2867" t="str">
            <v>Venezuela</v>
          </cell>
          <cell r="B2867">
            <v>862</v>
          </cell>
          <cell r="C2867">
            <v>203</v>
          </cell>
          <cell r="D2867">
            <v>22</v>
          </cell>
          <cell r="E2867" t="str">
            <v>Taxes on production and imports, less Subsidies</v>
          </cell>
          <cell r="F2867">
            <v>12</v>
          </cell>
          <cell r="G2867">
            <v>2002</v>
          </cell>
          <cell r="H2867">
            <v>30</v>
          </cell>
          <cell r="I2867">
            <v>3119017000000</v>
          </cell>
        </row>
        <row r="2868">
          <cell r="A2868" t="str">
            <v>Yemen</v>
          </cell>
          <cell r="B2868">
            <v>887</v>
          </cell>
          <cell r="C2868">
            <v>201</v>
          </cell>
          <cell r="D2868">
            <v>13</v>
          </cell>
          <cell r="E2868" t="str">
            <v>Less: Financial intermediation services indirectly measured (FISIM) (only to be deducted if FISIM is not distributed to uses)</v>
          </cell>
          <cell r="F2868">
            <v>0</v>
          </cell>
          <cell r="G2868">
            <v>1989</v>
          </cell>
          <cell r="H2868">
            <v>10</v>
          </cell>
          <cell r="I2868">
            <v>655000000</v>
          </cell>
        </row>
        <row r="2869">
          <cell r="A2869" t="str">
            <v>Yemen</v>
          </cell>
          <cell r="B2869">
            <v>887</v>
          </cell>
          <cell r="C2869">
            <v>201</v>
          </cell>
          <cell r="D2869">
            <v>13</v>
          </cell>
          <cell r="E2869" t="str">
            <v>Less: Financial intermediation services indirectly measured (FISIM) (only to be deducted if FISIM is not distributed to uses)</v>
          </cell>
          <cell r="F2869">
            <v>0</v>
          </cell>
          <cell r="G2869">
            <v>1990</v>
          </cell>
          <cell r="H2869">
            <v>10</v>
          </cell>
          <cell r="I2869">
            <v>750000000</v>
          </cell>
        </row>
        <row r="2870">
          <cell r="A2870" t="str">
            <v>Yemen</v>
          </cell>
          <cell r="B2870">
            <v>887</v>
          </cell>
          <cell r="C2870">
            <v>201</v>
          </cell>
          <cell r="D2870">
            <v>13</v>
          </cell>
          <cell r="E2870" t="str">
            <v>Less: Financial intermediation services indirectly measured (FISIM) (only to be deducted if FISIM is not distributed to uses)</v>
          </cell>
          <cell r="F2870">
            <v>0</v>
          </cell>
          <cell r="G2870">
            <v>1990</v>
          </cell>
          <cell r="H2870">
            <v>20</v>
          </cell>
          <cell r="I2870">
            <v>2623000000</v>
          </cell>
        </row>
        <row r="2871">
          <cell r="A2871" t="str">
            <v>Yemen</v>
          </cell>
          <cell r="B2871">
            <v>887</v>
          </cell>
          <cell r="C2871">
            <v>201</v>
          </cell>
          <cell r="D2871">
            <v>13</v>
          </cell>
          <cell r="E2871" t="str">
            <v>Less: Financial intermediation services indirectly measured (FISIM) (only to be deducted if FISIM is not distributed to uses)</v>
          </cell>
          <cell r="F2871">
            <v>0</v>
          </cell>
          <cell r="G2871">
            <v>1991</v>
          </cell>
          <cell r="H2871">
            <v>20</v>
          </cell>
          <cell r="I2871">
            <v>4368000000</v>
          </cell>
        </row>
        <row r="2872">
          <cell r="A2872" t="str">
            <v>Yemen</v>
          </cell>
          <cell r="B2872">
            <v>887</v>
          </cell>
          <cell r="C2872">
            <v>201</v>
          </cell>
          <cell r="D2872">
            <v>13</v>
          </cell>
          <cell r="E2872" t="str">
            <v>Less: Financial intermediation services indirectly measured (FISIM) (only to be deducted if FISIM is not distributed to uses)</v>
          </cell>
          <cell r="F2872">
            <v>0</v>
          </cell>
          <cell r="G2872">
            <v>1992</v>
          </cell>
          <cell r="H2872">
            <v>20</v>
          </cell>
          <cell r="I2872">
            <v>5161000000</v>
          </cell>
        </row>
        <row r="2873">
          <cell r="A2873" t="str">
            <v>Yemen</v>
          </cell>
          <cell r="B2873">
            <v>887</v>
          </cell>
          <cell r="C2873">
            <v>201</v>
          </cell>
          <cell r="D2873">
            <v>13</v>
          </cell>
          <cell r="E2873" t="str">
            <v>Less: Financial intermediation services indirectly measured (FISIM) (only to be deducted if FISIM is not distributed to uses)</v>
          </cell>
          <cell r="F2873">
            <v>0</v>
          </cell>
          <cell r="G2873">
            <v>1992</v>
          </cell>
          <cell r="H2873">
            <v>100</v>
          </cell>
          <cell r="I2873">
            <v>5161000000</v>
          </cell>
        </row>
        <row r="2874">
          <cell r="A2874" t="str">
            <v>Yemen</v>
          </cell>
          <cell r="B2874">
            <v>887</v>
          </cell>
          <cell r="C2874">
            <v>201</v>
          </cell>
          <cell r="D2874">
            <v>13</v>
          </cell>
          <cell r="E2874" t="str">
            <v>Less: Financial intermediation services indirectly measured (FISIM) (only to be deducted if FISIM is not distributed to uses)</v>
          </cell>
          <cell r="F2874">
            <v>0</v>
          </cell>
          <cell r="G2874">
            <v>1993</v>
          </cell>
          <cell r="H2874">
            <v>100</v>
          </cell>
          <cell r="I2874">
            <v>6867000000</v>
          </cell>
        </row>
        <row r="2875">
          <cell r="A2875" t="str">
            <v>Yemen</v>
          </cell>
          <cell r="B2875">
            <v>887</v>
          </cell>
          <cell r="C2875">
            <v>201</v>
          </cell>
          <cell r="D2875">
            <v>13</v>
          </cell>
          <cell r="E2875" t="str">
            <v>Less: Financial intermediation services indirectly measured (FISIM) (only to be deducted if FISIM is not distributed to uses)</v>
          </cell>
          <cell r="F2875">
            <v>0</v>
          </cell>
          <cell r="G2875">
            <v>1994</v>
          </cell>
          <cell r="H2875">
            <v>100</v>
          </cell>
          <cell r="I2875">
            <v>11364000000</v>
          </cell>
        </row>
        <row r="2876">
          <cell r="A2876" t="str">
            <v>Yemen</v>
          </cell>
          <cell r="B2876">
            <v>887</v>
          </cell>
          <cell r="C2876">
            <v>201</v>
          </cell>
          <cell r="D2876">
            <v>13</v>
          </cell>
          <cell r="E2876" t="str">
            <v>Less: Financial intermediation services indirectly measured (FISIM) (only to be deducted if FISIM is not distributed to uses)</v>
          </cell>
          <cell r="F2876">
            <v>0</v>
          </cell>
          <cell r="G2876">
            <v>1995</v>
          </cell>
          <cell r="H2876">
            <v>100</v>
          </cell>
          <cell r="I2876">
            <v>16644000000</v>
          </cell>
        </row>
        <row r="2877">
          <cell r="A2877" t="str">
            <v>Yemen</v>
          </cell>
          <cell r="B2877">
            <v>887</v>
          </cell>
          <cell r="C2877">
            <v>201</v>
          </cell>
          <cell r="D2877">
            <v>13</v>
          </cell>
          <cell r="E2877" t="str">
            <v>Less: Financial intermediation services indirectly measured (FISIM) (only to be deducted if FISIM is not distributed to uses)</v>
          </cell>
          <cell r="F2877">
            <v>0</v>
          </cell>
          <cell r="G2877">
            <v>1996</v>
          </cell>
          <cell r="H2877">
            <v>100</v>
          </cell>
          <cell r="I2877">
            <v>14886000000</v>
          </cell>
        </row>
        <row r="2878">
          <cell r="A2878" t="str">
            <v>Yemen</v>
          </cell>
          <cell r="B2878">
            <v>887</v>
          </cell>
          <cell r="C2878">
            <v>201</v>
          </cell>
          <cell r="D2878">
            <v>13</v>
          </cell>
          <cell r="E2878" t="str">
            <v>Less: Financial intermediation services indirectly measured (FISIM) (only to be deducted if FISIM is not distributed to uses)</v>
          </cell>
          <cell r="F2878">
            <v>0</v>
          </cell>
          <cell r="G2878">
            <v>1997</v>
          </cell>
          <cell r="H2878">
            <v>100</v>
          </cell>
          <cell r="I2878">
            <v>15703000000</v>
          </cell>
        </row>
        <row r="2879">
          <cell r="A2879" t="str">
            <v>Yemen</v>
          </cell>
          <cell r="B2879">
            <v>887</v>
          </cell>
          <cell r="C2879">
            <v>201</v>
          </cell>
          <cell r="D2879">
            <v>13</v>
          </cell>
          <cell r="E2879" t="str">
            <v>Less: Financial intermediation services indirectly measured (FISIM) (only to be deducted if FISIM is not distributed to uses)</v>
          </cell>
          <cell r="F2879">
            <v>0</v>
          </cell>
          <cell r="G2879">
            <v>1998</v>
          </cell>
          <cell r="H2879">
            <v>100</v>
          </cell>
          <cell r="I2879">
            <v>27865000000</v>
          </cell>
        </row>
        <row r="2880">
          <cell r="A2880" t="str">
            <v>Yemen</v>
          </cell>
          <cell r="B2880">
            <v>887</v>
          </cell>
          <cell r="C2880">
            <v>201</v>
          </cell>
          <cell r="D2880">
            <v>13</v>
          </cell>
          <cell r="E2880" t="str">
            <v>Less: Financial intermediation services indirectly measured (FISIM) (only to be deducted if FISIM is not distributed to uses)</v>
          </cell>
          <cell r="F2880">
            <v>0</v>
          </cell>
          <cell r="G2880">
            <v>1999</v>
          </cell>
          <cell r="H2880">
            <v>100</v>
          </cell>
          <cell r="I2880">
            <v>28235000000</v>
          </cell>
        </row>
        <row r="2881">
          <cell r="A2881" t="str">
            <v>Yemen</v>
          </cell>
          <cell r="B2881">
            <v>887</v>
          </cell>
          <cell r="C2881">
            <v>201</v>
          </cell>
          <cell r="D2881">
            <v>13</v>
          </cell>
          <cell r="E2881" t="str">
            <v>Less: Financial intermediation services indirectly measured (FISIM) (only to be deducted if FISIM is not distributed to uses)</v>
          </cell>
          <cell r="F2881">
            <v>0</v>
          </cell>
          <cell r="G2881">
            <v>2000</v>
          </cell>
          <cell r="H2881">
            <v>100</v>
          </cell>
          <cell r="I2881">
            <v>29139000000</v>
          </cell>
        </row>
        <row r="2882">
          <cell r="A2882" t="str">
            <v>Yemen</v>
          </cell>
          <cell r="B2882">
            <v>887</v>
          </cell>
          <cell r="C2882">
            <v>203</v>
          </cell>
          <cell r="D2882">
            <v>3</v>
          </cell>
          <cell r="E2882" t="str">
            <v>Equals: VALUE ADDED, GROSS, at basic prices</v>
          </cell>
          <cell r="F2882">
            <v>12</v>
          </cell>
          <cell r="G2882">
            <v>1992</v>
          </cell>
          <cell r="H2882">
            <v>100</v>
          </cell>
          <cell r="I2882">
            <v>190561000000</v>
          </cell>
        </row>
        <row r="2883">
          <cell r="A2883" t="str">
            <v>Yemen</v>
          </cell>
          <cell r="B2883">
            <v>887</v>
          </cell>
          <cell r="C2883">
            <v>203</v>
          </cell>
          <cell r="D2883">
            <v>3</v>
          </cell>
          <cell r="E2883" t="str">
            <v>Equals: VALUE ADDED, GROSS, at basic prices</v>
          </cell>
          <cell r="F2883">
            <v>12</v>
          </cell>
          <cell r="G2883">
            <v>1993</v>
          </cell>
          <cell r="H2883">
            <v>100</v>
          </cell>
          <cell r="I2883">
            <v>237664000000</v>
          </cell>
        </row>
        <row r="2884">
          <cell r="A2884" t="str">
            <v>Yemen</v>
          </cell>
          <cell r="B2884">
            <v>887</v>
          </cell>
          <cell r="C2884">
            <v>203</v>
          </cell>
          <cell r="D2884">
            <v>3</v>
          </cell>
          <cell r="E2884" t="str">
            <v>Equals: VALUE ADDED, GROSS, at basic prices</v>
          </cell>
          <cell r="F2884">
            <v>12</v>
          </cell>
          <cell r="G2884">
            <v>1994</v>
          </cell>
          <cell r="H2884">
            <v>100</v>
          </cell>
          <cell r="I2884">
            <v>310328000000</v>
          </cell>
        </row>
        <row r="2885">
          <cell r="A2885" t="str">
            <v>Yemen</v>
          </cell>
          <cell r="B2885">
            <v>887</v>
          </cell>
          <cell r="C2885">
            <v>203</v>
          </cell>
          <cell r="D2885">
            <v>3</v>
          </cell>
          <cell r="E2885" t="str">
            <v>Equals: VALUE ADDED, GROSS, at basic prices</v>
          </cell>
          <cell r="F2885">
            <v>12</v>
          </cell>
          <cell r="G2885">
            <v>1995</v>
          </cell>
          <cell r="H2885">
            <v>100</v>
          </cell>
          <cell r="I2885">
            <v>510898000000</v>
          </cell>
        </row>
        <row r="2886">
          <cell r="A2886" t="str">
            <v>Yemen</v>
          </cell>
          <cell r="B2886">
            <v>887</v>
          </cell>
          <cell r="C2886">
            <v>203</v>
          </cell>
          <cell r="D2886">
            <v>3</v>
          </cell>
          <cell r="E2886" t="str">
            <v>Equals: VALUE ADDED, GROSS, at basic prices</v>
          </cell>
          <cell r="F2886">
            <v>12</v>
          </cell>
          <cell r="G2886">
            <v>1996</v>
          </cell>
          <cell r="H2886">
            <v>100</v>
          </cell>
          <cell r="I2886">
            <v>725274000000</v>
          </cell>
        </row>
        <row r="2887">
          <cell r="A2887" t="str">
            <v>Yemen</v>
          </cell>
          <cell r="B2887">
            <v>887</v>
          </cell>
          <cell r="C2887">
            <v>203</v>
          </cell>
          <cell r="D2887">
            <v>3</v>
          </cell>
          <cell r="E2887" t="str">
            <v>Equals: VALUE ADDED, GROSS, at basic prices</v>
          </cell>
          <cell r="F2887">
            <v>12</v>
          </cell>
          <cell r="G2887">
            <v>1997</v>
          </cell>
          <cell r="H2887">
            <v>100</v>
          </cell>
          <cell r="I2887">
            <v>875477000000</v>
          </cell>
        </row>
        <row r="2888">
          <cell r="A2888" t="str">
            <v>Yemen</v>
          </cell>
          <cell r="B2888">
            <v>887</v>
          </cell>
          <cell r="C2888">
            <v>203</v>
          </cell>
          <cell r="D2888">
            <v>3</v>
          </cell>
          <cell r="E2888" t="str">
            <v>Equals: VALUE ADDED, GROSS, at basic prices</v>
          </cell>
          <cell r="F2888">
            <v>12</v>
          </cell>
          <cell r="G2888">
            <v>1998</v>
          </cell>
          <cell r="H2888">
            <v>100</v>
          </cell>
          <cell r="I2888">
            <v>847533000000</v>
          </cell>
        </row>
        <row r="2889">
          <cell r="A2889" t="str">
            <v>Yemen</v>
          </cell>
          <cell r="B2889">
            <v>887</v>
          </cell>
          <cell r="C2889">
            <v>203</v>
          </cell>
          <cell r="D2889">
            <v>3</v>
          </cell>
          <cell r="E2889" t="str">
            <v>Equals: VALUE ADDED, GROSS, at basic prices</v>
          </cell>
          <cell r="F2889">
            <v>12</v>
          </cell>
          <cell r="G2889">
            <v>1999</v>
          </cell>
          <cell r="H2889">
            <v>100</v>
          </cell>
          <cell r="I2889">
            <v>1132153000000</v>
          </cell>
        </row>
        <row r="2890">
          <cell r="A2890" t="str">
            <v>Yemen</v>
          </cell>
          <cell r="B2890">
            <v>887</v>
          </cell>
          <cell r="C2890">
            <v>203</v>
          </cell>
          <cell r="D2890">
            <v>3</v>
          </cell>
          <cell r="E2890" t="str">
            <v>Equals: VALUE ADDED, GROSS, at basic prices</v>
          </cell>
          <cell r="F2890">
            <v>12</v>
          </cell>
          <cell r="G2890">
            <v>2000</v>
          </cell>
          <cell r="H2890">
            <v>100</v>
          </cell>
          <cell r="I2890">
            <v>1380603000000</v>
          </cell>
        </row>
        <row r="2891">
          <cell r="A2891" t="str">
            <v>Yemen</v>
          </cell>
          <cell r="B2891">
            <v>887</v>
          </cell>
          <cell r="C2891">
            <v>203</v>
          </cell>
          <cell r="D2891">
            <v>22</v>
          </cell>
          <cell r="E2891" t="str">
            <v>Taxes on production and imports, less Subsidies</v>
          </cell>
          <cell r="F2891">
            <v>12</v>
          </cell>
          <cell r="G2891">
            <v>1992</v>
          </cell>
          <cell r="H2891">
            <v>100</v>
          </cell>
          <cell r="I2891">
            <v>11894000000</v>
          </cell>
        </row>
        <row r="2892">
          <cell r="A2892" t="str">
            <v>Yemen</v>
          </cell>
          <cell r="B2892">
            <v>887</v>
          </cell>
          <cell r="C2892">
            <v>203</v>
          </cell>
          <cell r="D2892">
            <v>22</v>
          </cell>
          <cell r="E2892" t="str">
            <v>Taxes on production and imports, less Subsidies</v>
          </cell>
          <cell r="F2892">
            <v>12</v>
          </cell>
          <cell r="G2892">
            <v>1993</v>
          </cell>
          <cell r="H2892">
            <v>100</v>
          </cell>
          <cell r="I2892">
            <v>13188000000</v>
          </cell>
        </row>
        <row r="2893">
          <cell r="A2893" t="str">
            <v>Yemen</v>
          </cell>
          <cell r="B2893">
            <v>887</v>
          </cell>
          <cell r="C2893">
            <v>203</v>
          </cell>
          <cell r="D2893">
            <v>22</v>
          </cell>
          <cell r="E2893" t="str">
            <v>Taxes on production and imports, less Subsidies</v>
          </cell>
          <cell r="F2893">
            <v>12</v>
          </cell>
          <cell r="G2893">
            <v>1994</v>
          </cell>
          <cell r="H2893">
            <v>100</v>
          </cell>
          <cell r="I2893">
            <v>12818000000</v>
          </cell>
        </row>
        <row r="2894">
          <cell r="A2894" t="str">
            <v>Yemen</v>
          </cell>
          <cell r="B2894">
            <v>887</v>
          </cell>
          <cell r="C2894">
            <v>203</v>
          </cell>
          <cell r="D2894">
            <v>22</v>
          </cell>
          <cell r="E2894" t="str">
            <v>Taxes on production and imports, less Subsidies</v>
          </cell>
          <cell r="F2894">
            <v>12</v>
          </cell>
          <cell r="G2894">
            <v>1995</v>
          </cell>
          <cell r="H2894">
            <v>100</v>
          </cell>
          <cell r="I2894">
            <v>27835000000</v>
          </cell>
        </row>
        <row r="2895">
          <cell r="A2895" t="str">
            <v>Yemen</v>
          </cell>
          <cell r="B2895">
            <v>887</v>
          </cell>
          <cell r="C2895">
            <v>203</v>
          </cell>
          <cell r="D2895">
            <v>22</v>
          </cell>
          <cell r="E2895" t="str">
            <v>Taxes on production and imports, less Subsidies</v>
          </cell>
          <cell r="F2895">
            <v>12</v>
          </cell>
          <cell r="G2895">
            <v>1996</v>
          </cell>
          <cell r="H2895">
            <v>100</v>
          </cell>
          <cell r="I2895">
            <v>44788000000</v>
          </cell>
        </row>
        <row r="2896">
          <cell r="A2896" t="str">
            <v>Yemen</v>
          </cell>
          <cell r="B2896">
            <v>887</v>
          </cell>
          <cell r="C2896">
            <v>203</v>
          </cell>
          <cell r="D2896">
            <v>22</v>
          </cell>
          <cell r="E2896" t="str">
            <v>Taxes on production and imports, less Subsidies</v>
          </cell>
          <cell r="F2896">
            <v>12</v>
          </cell>
          <cell r="G2896">
            <v>1997</v>
          </cell>
          <cell r="H2896">
            <v>100</v>
          </cell>
          <cell r="I2896">
            <v>51895000000</v>
          </cell>
        </row>
        <row r="2897">
          <cell r="A2897" t="str">
            <v>Yemen</v>
          </cell>
          <cell r="B2897">
            <v>887</v>
          </cell>
          <cell r="C2897">
            <v>203</v>
          </cell>
          <cell r="D2897">
            <v>22</v>
          </cell>
          <cell r="E2897" t="str">
            <v>Taxes on production and imports, less Subsidies</v>
          </cell>
          <cell r="F2897">
            <v>12</v>
          </cell>
          <cell r="G2897">
            <v>1998</v>
          </cell>
          <cell r="H2897">
            <v>100</v>
          </cell>
          <cell r="I2897">
            <v>50905000000</v>
          </cell>
        </row>
        <row r="2898">
          <cell r="A2898" t="str">
            <v>Yemen</v>
          </cell>
          <cell r="B2898">
            <v>887</v>
          </cell>
          <cell r="C2898">
            <v>203</v>
          </cell>
          <cell r="D2898">
            <v>22</v>
          </cell>
          <cell r="E2898" t="str">
            <v>Taxes on production and imports, less Subsidies</v>
          </cell>
          <cell r="F2898">
            <v>12</v>
          </cell>
          <cell r="G2898">
            <v>1999</v>
          </cell>
          <cell r="H2898">
            <v>100</v>
          </cell>
          <cell r="I2898">
            <v>59248000000</v>
          </cell>
        </row>
        <row r="2899">
          <cell r="A2899" t="str">
            <v>Yemen</v>
          </cell>
          <cell r="B2899">
            <v>887</v>
          </cell>
          <cell r="C2899">
            <v>203</v>
          </cell>
          <cell r="D2899">
            <v>22</v>
          </cell>
          <cell r="E2899" t="str">
            <v>Taxes on production and imports, less Subsidies</v>
          </cell>
          <cell r="F2899">
            <v>12</v>
          </cell>
          <cell r="G2899">
            <v>2000</v>
          </cell>
          <cell r="H2899">
            <v>100</v>
          </cell>
          <cell r="I2899">
            <v>63950000000</v>
          </cell>
        </row>
        <row r="2900">
          <cell r="A2900" t="str">
            <v>Zambia</v>
          </cell>
          <cell r="B2900">
            <v>894</v>
          </cell>
          <cell r="C2900">
            <v>201</v>
          </cell>
          <cell r="D2900">
            <v>13</v>
          </cell>
          <cell r="E2900" t="str">
            <v>Less: Financial intermediation services indirectly measured (FISIM) (only to be deducted if FISIM is not distributed to uses)</v>
          </cell>
          <cell r="F2900">
            <v>0</v>
          </cell>
          <cell r="G2900">
            <v>1970</v>
          </cell>
          <cell r="H2900">
            <v>10</v>
          </cell>
          <cell r="I2900">
            <v>8000000</v>
          </cell>
        </row>
        <row r="2901">
          <cell r="A2901" t="str">
            <v>Zambia</v>
          </cell>
          <cell r="B2901">
            <v>894</v>
          </cell>
          <cell r="C2901">
            <v>201</v>
          </cell>
          <cell r="D2901">
            <v>13</v>
          </cell>
          <cell r="E2901" t="str">
            <v>Less: Financial intermediation services indirectly measured (FISIM) (only to be deducted if FISIM is not distributed to uses)</v>
          </cell>
          <cell r="F2901">
            <v>0</v>
          </cell>
          <cell r="G2901">
            <v>1971</v>
          </cell>
          <cell r="H2901">
            <v>10</v>
          </cell>
          <cell r="I2901">
            <v>9000000</v>
          </cell>
        </row>
        <row r="2902">
          <cell r="A2902" t="str">
            <v>Zambia</v>
          </cell>
          <cell r="B2902">
            <v>894</v>
          </cell>
          <cell r="C2902">
            <v>201</v>
          </cell>
          <cell r="D2902">
            <v>13</v>
          </cell>
          <cell r="E2902" t="str">
            <v>Less: Financial intermediation services indirectly measured (FISIM) (only to be deducted if FISIM is not distributed to uses)</v>
          </cell>
          <cell r="F2902">
            <v>0</v>
          </cell>
          <cell r="G2902">
            <v>1972</v>
          </cell>
          <cell r="H2902">
            <v>10</v>
          </cell>
          <cell r="I2902">
            <v>13000000</v>
          </cell>
        </row>
        <row r="2903">
          <cell r="A2903" t="str">
            <v>Zambia</v>
          </cell>
          <cell r="B2903">
            <v>894</v>
          </cell>
          <cell r="C2903">
            <v>201</v>
          </cell>
          <cell r="D2903">
            <v>13</v>
          </cell>
          <cell r="E2903" t="str">
            <v>Less: Financial intermediation services indirectly measured (FISIM) (only to be deducted if FISIM is not distributed to uses)</v>
          </cell>
          <cell r="F2903">
            <v>0</v>
          </cell>
          <cell r="G2903">
            <v>1973</v>
          </cell>
          <cell r="H2903">
            <v>10</v>
          </cell>
          <cell r="I2903">
            <v>14000000</v>
          </cell>
        </row>
        <row r="2904">
          <cell r="A2904" t="str">
            <v>Zambia</v>
          </cell>
          <cell r="B2904">
            <v>894</v>
          </cell>
          <cell r="C2904">
            <v>201</v>
          </cell>
          <cell r="D2904">
            <v>13</v>
          </cell>
          <cell r="E2904" t="str">
            <v>Less: Financial intermediation services indirectly measured (FISIM) (only to be deducted if FISIM is not distributed to uses)</v>
          </cell>
          <cell r="F2904">
            <v>0</v>
          </cell>
          <cell r="G2904">
            <v>1974</v>
          </cell>
          <cell r="H2904">
            <v>10</v>
          </cell>
          <cell r="I2904">
            <v>17000000</v>
          </cell>
        </row>
        <row r="2905">
          <cell r="A2905" t="str">
            <v>Zambia</v>
          </cell>
          <cell r="B2905">
            <v>894</v>
          </cell>
          <cell r="C2905">
            <v>201</v>
          </cell>
          <cell r="D2905">
            <v>13</v>
          </cell>
          <cell r="E2905" t="str">
            <v>Less: Financial intermediation services indirectly measured (FISIM) (only to be deducted if FISIM is not distributed to uses)</v>
          </cell>
          <cell r="F2905">
            <v>0</v>
          </cell>
          <cell r="G2905">
            <v>1975</v>
          </cell>
          <cell r="H2905">
            <v>10</v>
          </cell>
          <cell r="I2905">
            <v>21000000</v>
          </cell>
        </row>
        <row r="2906">
          <cell r="A2906" t="str">
            <v>Zambia</v>
          </cell>
          <cell r="B2906">
            <v>894</v>
          </cell>
          <cell r="C2906">
            <v>201</v>
          </cell>
          <cell r="D2906">
            <v>13</v>
          </cell>
          <cell r="E2906" t="str">
            <v>Less: Financial intermediation services indirectly measured (FISIM) (only to be deducted if FISIM is not distributed to uses)</v>
          </cell>
          <cell r="F2906">
            <v>0</v>
          </cell>
          <cell r="G2906">
            <v>1976</v>
          </cell>
          <cell r="H2906">
            <v>10</v>
          </cell>
          <cell r="I2906">
            <v>25000000</v>
          </cell>
        </row>
        <row r="2907">
          <cell r="A2907" t="str">
            <v>Zambia</v>
          </cell>
          <cell r="B2907">
            <v>894</v>
          </cell>
          <cell r="C2907">
            <v>201</v>
          </cell>
          <cell r="D2907">
            <v>13</v>
          </cell>
          <cell r="E2907" t="str">
            <v>Less: Financial intermediation services indirectly measured (FISIM) (only to be deducted if FISIM is not distributed to uses)</v>
          </cell>
          <cell r="F2907">
            <v>0</v>
          </cell>
          <cell r="G2907">
            <v>1977</v>
          </cell>
          <cell r="H2907">
            <v>10</v>
          </cell>
          <cell r="I2907">
            <v>32000000</v>
          </cell>
        </row>
        <row r="2908">
          <cell r="A2908" t="str">
            <v>Zambia</v>
          </cell>
          <cell r="B2908">
            <v>894</v>
          </cell>
          <cell r="C2908">
            <v>201</v>
          </cell>
          <cell r="D2908">
            <v>13</v>
          </cell>
          <cell r="E2908" t="str">
            <v>Less: Financial intermediation services indirectly measured (FISIM) (only to be deducted if FISIM is not distributed to uses)</v>
          </cell>
          <cell r="F2908">
            <v>0</v>
          </cell>
          <cell r="G2908">
            <v>1978</v>
          </cell>
          <cell r="H2908">
            <v>10</v>
          </cell>
          <cell r="I2908">
            <v>45000000</v>
          </cell>
        </row>
        <row r="2909">
          <cell r="A2909" t="str">
            <v>Zambia</v>
          </cell>
          <cell r="B2909">
            <v>894</v>
          </cell>
          <cell r="C2909">
            <v>201</v>
          </cell>
          <cell r="D2909">
            <v>13</v>
          </cell>
          <cell r="E2909" t="str">
            <v>Less: Financial intermediation services indirectly measured (FISIM) (only to be deducted if FISIM is not distributed to uses)</v>
          </cell>
          <cell r="F2909">
            <v>0</v>
          </cell>
          <cell r="G2909">
            <v>1979</v>
          </cell>
          <cell r="H2909">
            <v>10</v>
          </cell>
          <cell r="I2909">
            <v>55000000</v>
          </cell>
        </row>
        <row r="2910">
          <cell r="A2910" t="str">
            <v>Zambia</v>
          </cell>
          <cell r="B2910">
            <v>894</v>
          </cell>
          <cell r="C2910">
            <v>201</v>
          </cell>
          <cell r="D2910">
            <v>13</v>
          </cell>
          <cell r="E2910" t="str">
            <v>Less: Financial intermediation services indirectly measured (FISIM) (only to be deducted if FISIM is not distributed to uses)</v>
          </cell>
          <cell r="F2910">
            <v>0</v>
          </cell>
          <cell r="G2910">
            <v>1980</v>
          </cell>
          <cell r="H2910">
            <v>10</v>
          </cell>
          <cell r="I2910">
            <v>63000000</v>
          </cell>
        </row>
        <row r="2911">
          <cell r="A2911" t="str">
            <v>Zambia</v>
          </cell>
          <cell r="B2911">
            <v>894</v>
          </cell>
          <cell r="C2911">
            <v>201</v>
          </cell>
          <cell r="D2911">
            <v>13</v>
          </cell>
          <cell r="E2911" t="str">
            <v>Less: Financial intermediation services indirectly measured (FISIM) (only to be deducted if FISIM is not distributed to uses)</v>
          </cell>
          <cell r="F2911">
            <v>0</v>
          </cell>
          <cell r="G2911">
            <v>1981</v>
          </cell>
          <cell r="H2911">
            <v>10</v>
          </cell>
          <cell r="I2911">
            <v>68000000</v>
          </cell>
        </row>
        <row r="2912">
          <cell r="A2912" t="str">
            <v>Zambia</v>
          </cell>
          <cell r="B2912">
            <v>894</v>
          </cell>
          <cell r="C2912">
            <v>201</v>
          </cell>
          <cell r="D2912">
            <v>13</v>
          </cell>
          <cell r="E2912" t="str">
            <v>Less: Financial intermediation services indirectly measured (FISIM) (only to be deducted if FISIM is not distributed to uses)</v>
          </cell>
          <cell r="F2912">
            <v>0</v>
          </cell>
          <cell r="G2912">
            <v>1982</v>
          </cell>
          <cell r="H2912">
            <v>10</v>
          </cell>
          <cell r="I2912">
            <v>85000000</v>
          </cell>
        </row>
        <row r="2913">
          <cell r="A2913" t="str">
            <v>Zambia</v>
          </cell>
          <cell r="B2913">
            <v>894</v>
          </cell>
          <cell r="C2913">
            <v>201</v>
          </cell>
          <cell r="D2913">
            <v>13</v>
          </cell>
          <cell r="E2913" t="str">
            <v>Less: Financial intermediation services indirectly measured (FISIM) (only to be deducted if FISIM is not distributed to uses)</v>
          </cell>
          <cell r="F2913">
            <v>0</v>
          </cell>
          <cell r="G2913">
            <v>1983</v>
          </cell>
          <cell r="H2913">
            <v>10</v>
          </cell>
          <cell r="I2913">
            <v>92000000</v>
          </cell>
        </row>
        <row r="2914">
          <cell r="A2914" t="str">
            <v>Zambia</v>
          </cell>
          <cell r="B2914">
            <v>894</v>
          </cell>
          <cell r="C2914">
            <v>201</v>
          </cell>
          <cell r="D2914">
            <v>13</v>
          </cell>
          <cell r="E2914" t="str">
            <v>Less: Financial intermediation services indirectly measured (FISIM) (only to be deducted if FISIM is not distributed to uses)</v>
          </cell>
          <cell r="F2914">
            <v>0</v>
          </cell>
          <cell r="G2914">
            <v>1984</v>
          </cell>
          <cell r="H2914">
            <v>10</v>
          </cell>
          <cell r="I2914">
            <v>109000000</v>
          </cell>
        </row>
        <row r="2915">
          <cell r="A2915" t="str">
            <v>Zambia</v>
          </cell>
          <cell r="B2915">
            <v>894</v>
          </cell>
          <cell r="C2915">
            <v>201</v>
          </cell>
          <cell r="D2915">
            <v>13</v>
          </cell>
          <cell r="E2915" t="str">
            <v>Less: Financial intermediation services indirectly measured (FISIM) (only to be deducted if FISIM is not distributed to uses)</v>
          </cell>
          <cell r="F2915">
            <v>0</v>
          </cell>
          <cell r="G2915">
            <v>1985</v>
          </cell>
          <cell r="H2915">
            <v>10</v>
          </cell>
          <cell r="I2915">
            <v>126000000</v>
          </cell>
        </row>
        <row r="2916">
          <cell r="A2916" t="str">
            <v>Zambia</v>
          </cell>
          <cell r="B2916">
            <v>894</v>
          </cell>
          <cell r="C2916">
            <v>201</v>
          </cell>
          <cell r="D2916">
            <v>13</v>
          </cell>
          <cell r="E2916" t="str">
            <v>Less: Financial intermediation services indirectly measured (FISIM) (only to be deducted if FISIM is not distributed to uses)</v>
          </cell>
          <cell r="F2916">
            <v>0</v>
          </cell>
          <cell r="G2916">
            <v>1986</v>
          </cell>
          <cell r="H2916">
            <v>10</v>
          </cell>
          <cell r="I2916">
            <v>194000000</v>
          </cell>
        </row>
        <row r="2917">
          <cell r="A2917" t="str">
            <v>Zambia</v>
          </cell>
          <cell r="B2917">
            <v>894</v>
          </cell>
          <cell r="C2917">
            <v>201</v>
          </cell>
          <cell r="D2917">
            <v>13</v>
          </cell>
          <cell r="E2917" t="str">
            <v>Less: Financial intermediation services indirectly measured (FISIM) (only to be deducted if FISIM is not distributed to uses)</v>
          </cell>
          <cell r="F2917">
            <v>0</v>
          </cell>
          <cell r="G2917">
            <v>1987</v>
          </cell>
          <cell r="H2917">
            <v>10</v>
          </cell>
          <cell r="I2917">
            <v>219000000</v>
          </cell>
        </row>
        <row r="2918">
          <cell r="A2918" t="str">
            <v>Zambia</v>
          </cell>
          <cell r="B2918">
            <v>894</v>
          </cell>
          <cell r="C2918">
            <v>201</v>
          </cell>
          <cell r="D2918">
            <v>13</v>
          </cell>
          <cell r="E2918" t="str">
            <v>Less: Financial intermediation services indirectly measured (FISIM) (only to be deducted if FISIM is not distributed to uses)</v>
          </cell>
          <cell r="F2918">
            <v>0</v>
          </cell>
          <cell r="G2918">
            <v>1988</v>
          </cell>
          <cell r="H2918">
            <v>10</v>
          </cell>
          <cell r="I2918">
            <v>239000000</v>
          </cell>
        </row>
        <row r="2919">
          <cell r="A2919" t="str">
            <v>Zambia</v>
          </cell>
          <cell r="B2919">
            <v>894</v>
          </cell>
          <cell r="C2919">
            <v>201</v>
          </cell>
          <cell r="D2919">
            <v>13</v>
          </cell>
          <cell r="E2919" t="str">
            <v>Less: Financial intermediation services indirectly measured (FISIM) (only to be deducted if FISIM is not distributed to uses)</v>
          </cell>
          <cell r="F2919">
            <v>0</v>
          </cell>
          <cell r="G2919">
            <v>1989</v>
          </cell>
          <cell r="H2919">
            <v>10</v>
          </cell>
          <cell r="I2919">
            <v>768000000</v>
          </cell>
        </row>
        <row r="2920">
          <cell r="A2920" t="str">
            <v>Zambia</v>
          </cell>
          <cell r="B2920">
            <v>894</v>
          </cell>
          <cell r="C2920">
            <v>201</v>
          </cell>
          <cell r="D2920">
            <v>13</v>
          </cell>
          <cell r="E2920" t="str">
            <v>Less: Financial intermediation services indirectly measured (FISIM) (only to be deducted if FISIM is not distributed to uses)</v>
          </cell>
          <cell r="F2920">
            <v>0</v>
          </cell>
          <cell r="G2920">
            <v>1990</v>
          </cell>
          <cell r="H2920">
            <v>10</v>
          </cell>
          <cell r="I2920">
            <v>1471000000</v>
          </cell>
        </row>
        <row r="2921">
          <cell r="A2921" t="str">
            <v>Zambia</v>
          </cell>
          <cell r="B2921">
            <v>894</v>
          </cell>
          <cell r="C2921">
            <v>201</v>
          </cell>
          <cell r="D2921">
            <v>13</v>
          </cell>
          <cell r="E2921" t="str">
            <v>Less: Financial intermediation services indirectly measured (FISIM) (only to be deducted if FISIM is not distributed to uses)</v>
          </cell>
          <cell r="F2921">
            <v>0</v>
          </cell>
          <cell r="G2921">
            <v>1991</v>
          </cell>
          <cell r="H2921">
            <v>10</v>
          </cell>
          <cell r="I2921">
            <v>2726000000</v>
          </cell>
        </row>
        <row r="2922">
          <cell r="A2922" t="str">
            <v>Zambia</v>
          </cell>
          <cell r="B2922">
            <v>894</v>
          </cell>
          <cell r="C2922">
            <v>201</v>
          </cell>
          <cell r="D2922">
            <v>13</v>
          </cell>
          <cell r="E2922" t="str">
            <v>Less: Financial intermediation services indirectly measured (FISIM) (only to be deducted if FISIM is not distributed to uses)</v>
          </cell>
          <cell r="F2922">
            <v>0</v>
          </cell>
          <cell r="G2922">
            <v>1994</v>
          </cell>
          <cell r="H2922">
            <v>20</v>
          </cell>
          <cell r="I2922">
            <v>105000000000</v>
          </cell>
        </row>
        <row r="2923">
          <cell r="A2923" t="str">
            <v>Zambia</v>
          </cell>
          <cell r="B2923">
            <v>894</v>
          </cell>
          <cell r="C2923">
            <v>201</v>
          </cell>
          <cell r="D2923">
            <v>13</v>
          </cell>
          <cell r="E2923" t="str">
            <v>Less: Financial intermediation services indirectly measured (FISIM) (only to be deducted if FISIM is not distributed to uses)</v>
          </cell>
          <cell r="F2923">
            <v>0</v>
          </cell>
          <cell r="G2923">
            <v>1995</v>
          </cell>
          <cell r="H2923">
            <v>20</v>
          </cell>
          <cell r="I2923">
            <v>177700000000</v>
          </cell>
        </row>
        <row r="2924">
          <cell r="A2924" t="str">
            <v>Zambia</v>
          </cell>
          <cell r="B2924">
            <v>894</v>
          </cell>
          <cell r="C2924">
            <v>201</v>
          </cell>
          <cell r="D2924">
            <v>13</v>
          </cell>
          <cell r="E2924" t="str">
            <v>Less: Financial intermediation services indirectly measured (FISIM) (only to be deducted if FISIM is not distributed to uses)</v>
          </cell>
          <cell r="F2924">
            <v>0</v>
          </cell>
          <cell r="G2924">
            <v>1996</v>
          </cell>
          <cell r="H2924">
            <v>20</v>
          </cell>
          <cell r="I2924">
            <v>200000000000</v>
          </cell>
        </row>
        <row r="2925">
          <cell r="A2925" t="str">
            <v>Zambia</v>
          </cell>
          <cell r="B2925">
            <v>894</v>
          </cell>
          <cell r="C2925">
            <v>201</v>
          </cell>
          <cell r="D2925">
            <v>13</v>
          </cell>
          <cell r="E2925" t="str">
            <v>Less: Financial intermediation services indirectly measured (FISIM) (only to be deducted if FISIM is not distributed to uses)</v>
          </cell>
          <cell r="F2925">
            <v>0</v>
          </cell>
          <cell r="G2925">
            <v>1997</v>
          </cell>
          <cell r="H2925">
            <v>20</v>
          </cell>
          <cell r="I2925">
            <v>259200000000</v>
          </cell>
        </row>
        <row r="2926">
          <cell r="A2926" t="str">
            <v>Zambia</v>
          </cell>
          <cell r="B2926">
            <v>894</v>
          </cell>
          <cell r="C2926">
            <v>201</v>
          </cell>
          <cell r="D2926">
            <v>13</v>
          </cell>
          <cell r="E2926" t="str">
            <v>Less: Financial intermediation services indirectly measured (FISIM) (only to be deducted if FISIM is not distributed to uses)</v>
          </cell>
          <cell r="F2926">
            <v>0</v>
          </cell>
          <cell r="G2926">
            <v>1998</v>
          </cell>
          <cell r="H2926">
            <v>20</v>
          </cell>
          <cell r="I2926">
            <v>314200000000</v>
          </cell>
        </row>
        <row r="2927">
          <cell r="A2927" t="str">
            <v>Zambia</v>
          </cell>
          <cell r="B2927">
            <v>894</v>
          </cell>
          <cell r="C2927">
            <v>201</v>
          </cell>
          <cell r="D2927">
            <v>13</v>
          </cell>
          <cell r="E2927" t="str">
            <v>Less: Financial intermediation services indirectly measured (FISIM) (only to be deducted if FISIM is not distributed to uses)</v>
          </cell>
          <cell r="F2927">
            <v>0</v>
          </cell>
          <cell r="G2927">
            <v>1999</v>
          </cell>
          <cell r="H2927">
            <v>20</v>
          </cell>
          <cell r="I2927">
            <v>388900000000</v>
          </cell>
        </row>
        <row r="2928">
          <cell r="A2928" t="str">
            <v>Zambia</v>
          </cell>
          <cell r="B2928">
            <v>894</v>
          </cell>
          <cell r="C2928">
            <v>201</v>
          </cell>
          <cell r="D2928">
            <v>13</v>
          </cell>
          <cell r="E2928" t="str">
            <v>Less: Financial intermediation services indirectly measured (FISIM) (only to be deducted if FISIM is not distributed to uses)</v>
          </cell>
          <cell r="F2928">
            <v>0</v>
          </cell>
          <cell r="G2928">
            <v>2000</v>
          </cell>
          <cell r="H2928">
            <v>20</v>
          </cell>
          <cell r="I2928">
            <v>564400000000</v>
          </cell>
        </row>
        <row r="2929">
          <cell r="A2929" t="str">
            <v>Zambia</v>
          </cell>
          <cell r="B2929">
            <v>894</v>
          </cell>
          <cell r="C2929">
            <v>201</v>
          </cell>
          <cell r="D2929">
            <v>13</v>
          </cell>
          <cell r="E2929" t="str">
            <v>Less: Financial intermediation services indirectly measured (FISIM) (only to be deducted if FISIM is not distributed to uses)</v>
          </cell>
          <cell r="F2929">
            <v>0</v>
          </cell>
          <cell r="G2929">
            <v>2001</v>
          </cell>
          <cell r="H2929">
            <v>20</v>
          </cell>
          <cell r="I2929">
            <v>711926000000</v>
          </cell>
        </row>
        <row r="2930">
          <cell r="A2930" t="str">
            <v>Zambia</v>
          </cell>
          <cell r="B2930">
            <v>894</v>
          </cell>
          <cell r="C2930">
            <v>201</v>
          </cell>
          <cell r="D2930">
            <v>13</v>
          </cell>
          <cell r="E2930" t="str">
            <v>Less: Financial intermediation services indirectly measured (FISIM) (only to be deducted if FISIM is not distributed to uses)</v>
          </cell>
          <cell r="F2930">
            <v>0</v>
          </cell>
          <cell r="G2930">
            <v>2002</v>
          </cell>
          <cell r="H2930">
            <v>20</v>
          </cell>
          <cell r="I2930">
            <v>858075000000</v>
          </cell>
        </row>
        <row r="2931">
          <cell r="A2931" t="str">
            <v>Zambia</v>
          </cell>
          <cell r="B2931">
            <v>894</v>
          </cell>
          <cell r="C2931">
            <v>201</v>
          </cell>
          <cell r="D2931">
            <v>13</v>
          </cell>
          <cell r="E2931" t="str">
            <v>Less: Financial intermediation services indirectly measured (FISIM) (only to be deducted if FISIM is not distributed to uses)</v>
          </cell>
          <cell r="F2931">
            <v>0</v>
          </cell>
          <cell r="G2931">
            <v>2003</v>
          </cell>
          <cell r="H2931">
            <v>20</v>
          </cell>
          <cell r="I2931">
            <v>1061816000000</v>
          </cell>
        </row>
        <row r="2932">
          <cell r="A2932" t="str">
            <v>Zambia</v>
          </cell>
          <cell r="B2932">
            <v>894</v>
          </cell>
          <cell r="C2932">
            <v>203</v>
          </cell>
          <cell r="D2932">
            <v>3</v>
          </cell>
          <cell r="E2932" t="str">
            <v>Equals: VALUE ADDED, GROSS, at basic prices</v>
          </cell>
          <cell r="F2932">
            <v>12</v>
          </cell>
          <cell r="G2932">
            <v>1970</v>
          </cell>
          <cell r="H2932">
            <v>20</v>
          </cell>
          <cell r="I2932">
            <v>1255300000</v>
          </cell>
        </row>
        <row r="2933">
          <cell r="A2933" t="str">
            <v>Zambia</v>
          </cell>
          <cell r="B2933">
            <v>894</v>
          </cell>
          <cell r="C2933">
            <v>203</v>
          </cell>
          <cell r="D2933">
            <v>3</v>
          </cell>
          <cell r="E2933" t="str">
            <v>Equals: VALUE ADDED, GROSS, at basic prices</v>
          </cell>
          <cell r="F2933">
            <v>12</v>
          </cell>
          <cell r="G2933">
            <v>1971</v>
          </cell>
          <cell r="H2933">
            <v>20</v>
          </cell>
          <cell r="I2933">
            <v>1164600000</v>
          </cell>
        </row>
        <row r="2934">
          <cell r="A2934" t="str">
            <v>Zambia</v>
          </cell>
          <cell r="B2934">
            <v>894</v>
          </cell>
          <cell r="C2934">
            <v>203</v>
          </cell>
          <cell r="D2934">
            <v>3</v>
          </cell>
          <cell r="E2934" t="str">
            <v>Equals: VALUE ADDED, GROSS, at basic prices</v>
          </cell>
          <cell r="F2934">
            <v>12</v>
          </cell>
          <cell r="G2934">
            <v>1972</v>
          </cell>
          <cell r="H2934">
            <v>20</v>
          </cell>
          <cell r="I2934">
            <v>1315800000</v>
          </cell>
        </row>
        <row r="2935">
          <cell r="A2935" t="str">
            <v>Zambia</v>
          </cell>
          <cell r="B2935">
            <v>894</v>
          </cell>
          <cell r="C2935">
            <v>203</v>
          </cell>
          <cell r="D2935">
            <v>3</v>
          </cell>
          <cell r="E2935" t="str">
            <v>Equals: VALUE ADDED, GROSS, at basic prices</v>
          </cell>
          <cell r="F2935">
            <v>12</v>
          </cell>
          <cell r="G2935">
            <v>1973</v>
          </cell>
          <cell r="H2935">
            <v>20</v>
          </cell>
          <cell r="I2935">
            <v>1571700000</v>
          </cell>
        </row>
        <row r="2936">
          <cell r="A2936" t="str">
            <v>Zambia</v>
          </cell>
          <cell r="B2936">
            <v>894</v>
          </cell>
          <cell r="C2936">
            <v>203</v>
          </cell>
          <cell r="D2936">
            <v>3</v>
          </cell>
          <cell r="E2936" t="str">
            <v>Equals: VALUE ADDED, GROSS, at basic prices</v>
          </cell>
          <cell r="F2936">
            <v>12</v>
          </cell>
          <cell r="G2936">
            <v>1974</v>
          </cell>
          <cell r="H2936">
            <v>20</v>
          </cell>
          <cell r="I2936">
            <v>1858200000</v>
          </cell>
        </row>
        <row r="2937">
          <cell r="A2937" t="str">
            <v>Zambia</v>
          </cell>
          <cell r="B2937">
            <v>894</v>
          </cell>
          <cell r="C2937">
            <v>203</v>
          </cell>
          <cell r="D2937">
            <v>3</v>
          </cell>
          <cell r="E2937" t="str">
            <v>Equals: VALUE ADDED, GROSS, at basic prices</v>
          </cell>
          <cell r="F2937">
            <v>12</v>
          </cell>
          <cell r="G2937">
            <v>1975</v>
          </cell>
          <cell r="H2937">
            <v>20</v>
          </cell>
          <cell r="I2937">
            <v>1540400000</v>
          </cell>
        </row>
        <row r="2938">
          <cell r="A2938" t="str">
            <v>Zambia</v>
          </cell>
          <cell r="B2938">
            <v>894</v>
          </cell>
          <cell r="C2938">
            <v>203</v>
          </cell>
          <cell r="D2938">
            <v>3</v>
          </cell>
          <cell r="E2938" t="str">
            <v>Equals: VALUE ADDED, GROSS, at basic prices</v>
          </cell>
          <cell r="F2938">
            <v>12</v>
          </cell>
          <cell r="G2938">
            <v>1976</v>
          </cell>
          <cell r="H2938">
            <v>20</v>
          </cell>
          <cell r="I2938">
            <v>1848800000</v>
          </cell>
        </row>
        <row r="2939">
          <cell r="A2939" t="str">
            <v>Zambia</v>
          </cell>
          <cell r="B2939">
            <v>894</v>
          </cell>
          <cell r="C2939">
            <v>203</v>
          </cell>
          <cell r="D2939">
            <v>3</v>
          </cell>
          <cell r="E2939" t="str">
            <v>Equals: VALUE ADDED, GROSS, at basic prices</v>
          </cell>
          <cell r="F2939">
            <v>12</v>
          </cell>
          <cell r="G2939">
            <v>1977</v>
          </cell>
          <cell r="H2939">
            <v>20</v>
          </cell>
          <cell r="I2939">
            <v>1955900000</v>
          </cell>
        </row>
        <row r="2940">
          <cell r="A2940" t="str">
            <v>Zambia</v>
          </cell>
          <cell r="B2940">
            <v>894</v>
          </cell>
          <cell r="C2940">
            <v>203</v>
          </cell>
          <cell r="D2940">
            <v>3</v>
          </cell>
          <cell r="E2940" t="str">
            <v>Equals: VALUE ADDED, GROSS, at basic prices</v>
          </cell>
          <cell r="F2940">
            <v>12</v>
          </cell>
          <cell r="G2940">
            <v>1978</v>
          </cell>
          <cell r="H2940">
            <v>20</v>
          </cell>
          <cell r="I2940">
            <v>2219100000</v>
          </cell>
        </row>
        <row r="2941">
          <cell r="A2941" t="str">
            <v>Zambia</v>
          </cell>
          <cell r="B2941">
            <v>894</v>
          </cell>
          <cell r="C2941">
            <v>203</v>
          </cell>
          <cell r="D2941">
            <v>3</v>
          </cell>
          <cell r="E2941" t="str">
            <v>Equals: VALUE ADDED, GROSS, at basic prices</v>
          </cell>
          <cell r="F2941">
            <v>12</v>
          </cell>
          <cell r="G2941">
            <v>1979</v>
          </cell>
          <cell r="H2941">
            <v>20</v>
          </cell>
          <cell r="I2941">
            <v>2611100000</v>
          </cell>
        </row>
        <row r="2942">
          <cell r="A2942" t="str">
            <v>Zambia</v>
          </cell>
          <cell r="B2942">
            <v>894</v>
          </cell>
          <cell r="C2942">
            <v>203</v>
          </cell>
          <cell r="D2942">
            <v>3</v>
          </cell>
          <cell r="E2942" t="str">
            <v>Equals: VALUE ADDED, GROSS, at basic prices</v>
          </cell>
          <cell r="F2942">
            <v>12</v>
          </cell>
          <cell r="G2942">
            <v>1980</v>
          </cell>
          <cell r="H2942">
            <v>20</v>
          </cell>
          <cell r="I2942">
            <v>2982200000</v>
          </cell>
        </row>
        <row r="2943">
          <cell r="A2943" t="str">
            <v>Zambia</v>
          </cell>
          <cell r="B2943">
            <v>894</v>
          </cell>
          <cell r="C2943">
            <v>203</v>
          </cell>
          <cell r="D2943">
            <v>3</v>
          </cell>
          <cell r="E2943" t="str">
            <v>Equals: VALUE ADDED, GROSS, at basic prices</v>
          </cell>
          <cell r="F2943">
            <v>12</v>
          </cell>
          <cell r="G2943">
            <v>1981</v>
          </cell>
          <cell r="H2943">
            <v>20</v>
          </cell>
          <cell r="I2943">
            <v>3398100000</v>
          </cell>
        </row>
        <row r="2944">
          <cell r="A2944" t="str">
            <v>Zambia</v>
          </cell>
          <cell r="B2944">
            <v>894</v>
          </cell>
          <cell r="C2944">
            <v>203</v>
          </cell>
          <cell r="D2944">
            <v>3</v>
          </cell>
          <cell r="E2944" t="str">
            <v>Equals: VALUE ADDED, GROSS, at basic prices</v>
          </cell>
          <cell r="F2944">
            <v>12</v>
          </cell>
          <cell r="G2944">
            <v>1982</v>
          </cell>
          <cell r="H2944">
            <v>20</v>
          </cell>
          <cell r="I2944">
            <v>3503000000</v>
          </cell>
        </row>
        <row r="2945">
          <cell r="A2945" t="str">
            <v>Zambia</v>
          </cell>
          <cell r="B2945">
            <v>894</v>
          </cell>
          <cell r="C2945">
            <v>203</v>
          </cell>
          <cell r="D2945">
            <v>3</v>
          </cell>
          <cell r="E2945" t="str">
            <v>Equals: VALUE ADDED, GROSS, at basic prices</v>
          </cell>
          <cell r="F2945">
            <v>12</v>
          </cell>
          <cell r="G2945">
            <v>1983</v>
          </cell>
          <cell r="H2945">
            <v>20</v>
          </cell>
          <cell r="I2945">
            <v>4133400000</v>
          </cell>
        </row>
        <row r="2946">
          <cell r="A2946" t="str">
            <v>Zambia</v>
          </cell>
          <cell r="B2946">
            <v>894</v>
          </cell>
          <cell r="C2946">
            <v>203</v>
          </cell>
          <cell r="D2946">
            <v>3</v>
          </cell>
          <cell r="E2946" t="str">
            <v>Equals: VALUE ADDED, GROSS, at basic prices</v>
          </cell>
          <cell r="F2946">
            <v>12</v>
          </cell>
          <cell r="G2946">
            <v>1984</v>
          </cell>
          <cell r="H2946">
            <v>20</v>
          </cell>
          <cell r="I2946">
            <v>4840200000</v>
          </cell>
        </row>
        <row r="2947">
          <cell r="A2947" t="str">
            <v>Zambia</v>
          </cell>
          <cell r="B2947">
            <v>894</v>
          </cell>
          <cell r="C2947">
            <v>203</v>
          </cell>
          <cell r="D2947">
            <v>3</v>
          </cell>
          <cell r="E2947" t="str">
            <v>Equals: VALUE ADDED, GROSS, at basic prices</v>
          </cell>
          <cell r="F2947">
            <v>12</v>
          </cell>
          <cell r="G2947">
            <v>1985</v>
          </cell>
          <cell r="H2947">
            <v>20</v>
          </cell>
          <cell r="I2947">
            <v>6802000000</v>
          </cell>
        </row>
        <row r="2948">
          <cell r="A2948" t="str">
            <v>Zambia</v>
          </cell>
          <cell r="B2948">
            <v>894</v>
          </cell>
          <cell r="C2948">
            <v>203</v>
          </cell>
          <cell r="D2948">
            <v>3</v>
          </cell>
          <cell r="E2948" t="str">
            <v>Equals: VALUE ADDED, GROSS, at basic prices</v>
          </cell>
          <cell r="F2948">
            <v>12</v>
          </cell>
          <cell r="G2948">
            <v>1986</v>
          </cell>
          <cell r="H2948">
            <v>20</v>
          </cell>
          <cell r="I2948">
            <v>12187600000</v>
          </cell>
        </row>
        <row r="2949">
          <cell r="A2949" t="str">
            <v>Zambia</v>
          </cell>
          <cell r="B2949">
            <v>894</v>
          </cell>
          <cell r="C2949">
            <v>203</v>
          </cell>
          <cell r="D2949">
            <v>3</v>
          </cell>
          <cell r="E2949" t="str">
            <v>Equals: VALUE ADDED, GROSS, at basic prices</v>
          </cell>
          <cell r="F2949">
            <v>12</v>
          </cell>
          <cell r="G2949">
            <v>1987</v>
          </cell>
          <cell r="H2949">
            <v>20</v>
          </cell>
          <cell r="I2949">
            <v>18473500000</v>
          </cell>
        </row>
        <row r="2950">
          <cell r="A2950" t="str">
            <v>Argentina</v>
          </cell>
          <cell r="B2950">
            <v>32</v>
          </cell>
          <cell r="C2950">
            <v>203</v>
          </cell>
          <cell r="D2950">
            <v>3</v>
          </cell>
          <cell r="E2950" t="str">
            <v>Equals: VALUE ADDED, GROSS, at basic prices</v>
          </cell>
          <cell r="F2950">
            <v>12</v>
          </cell>
          <cell r="G2950">
            <v>1993</v>
          </cell>
          <cell r="H2950">
            <v>100</v>
          </cell>
          <cell r="I2950">
            <v>216609000000</v>
          </cell>
        </row>
        <row r="2951">
          <cell r="A2951" t="str">
            <v>Argentina</v>
          </cell>
          <cell r="B2951">
            <v>32</v>
          </cell>
          <cell r="C2951">
            <v>203</v>
          </cell>
          <cell r="D2951">
            <v>3</v>
          </cell>
          <cell r="E2951" t="str">
            <v>Equals: VALUE ADDED, GROSS, at basic prices</v>
          </cell>
          <cell r="F2951">
            <v>12</v>
          </cell>
          <cell r="G2951">
            <v>1994</v>
          </cell>
          <cell r="H2951">
            <v>100</v>
          </cell>
          <cell r="I2951">
            <v>235846000000</v>
          </cell>
        </row>
        <row r="2952">
          <cell r="A2952" t="str">
            <v>Argentina</v>
          </cell>
          <cell r="B2952">
            <v>32</v>
          </cell>
          <cell r="C2952">
            <v>203</v>
          </cell>
          <cell r="D2952">
            <v>3</v>
          </cell>
          <cell r="E2952" t="str">
            <v>Equals: VALUE ADDED, GROSS, at basic prices</v>
          </cell>
          <cell r="F2952">
            <v>12</v>
          </cell>
          <cell r="G2952">
            <v>1995</v>
          </cell>
          <cell r="H2952">
            <v>100</v>
          </cell>
          <cell r="I2952">
            <v>238025000000</v>
          </cell>
        </row>
        <row r="2953">
          <cell r="A2953" t="str">
            <v>Argentina</v>
          </cell>
          <cell r="B2953">
            <v>32</v>
          </cell>
          <cell r="C2953">
            <v>203</v>
          </cell>
          <cell r="D2953">
            <v>3</v>
          </cell>
          <cell r="E2953" t="str">
            <v>Equals: VALUE ADDED, GROSS, at basic prices</v>
          </cell>
          <cell r="F2953">
            <v>12</v>
          </cell>
          <cell r="G2953">
            <v>1996</v>
          </cell>
          <cell r="H2953">
            <v>100</v>
          </cell>
          <cell r="I2953">
            <v>249953000000</v>
          </cell>
        </row>
        <row r="2954">
          <cell r="A2954" t="str">
            <v>Argentina</v>
          </cell>
          <cell r="B2954">
            <v>32</v>
          </cell>
          <cell r="C2954">
            <v>203</v>
          </cell>
          <cell r="D2954">
            <v>3</v>
          </cell>
          <cell r="E2954" t="str">
            <v>Equals: VALUE ADDED, GROSS, at basic prices</v>
          </cell>
          <cell r="F2954">
            <v>12</v>
          </cell>
          <cell r="G2954">
            <v>1997</v>
          </cell>
          <cell r="H2954">
            <v>100</v>
          </cell>
          <cell r="I2954">
            <v>266862000000</v>
          </cell>
        </row>
        <row r="2955">
          <cell r="A2955" t="str">
            <v>Argentina</v>
          </cell>
          <cell r="B2955">
            <v>32</v>
          </cell>
          <cell r="C2955">
            <v>203</v>
          </cell>
          <cell r="D2955">
            <v>3</v>
          </cell>
          <cell r="E2955" t="str">
            <v>Equals: VALUE ADDED, GROSS, at basic prices</v>
          </cell>
          <cell r="F2955">
            <v>12</v>
          </cell>
          <cell r="G2955">
            <v>1998</v>
          </cell>
          <cell r="H2955">
            <v>100</v>
          </cell>
          <cell r="I2955">
            <v>272917000000</v>
          </cell>
        </row>
        <row r="2956">
          <cell r="A2956" t="str">
            <v>Argentina</v>
          </cell>
          <cell r="B2956">
            <v>32</v>
          </cell>
          <cell r="C2956">
            <v>203</v>
          </cell>
          <cell r="D2956">
            <v>3</v>
          </cell>
          <cell r="E2956" t="str">
            <v>Equals: VALUE ADDED, GROSS, at basic prices</v>
          </cell>
          <cell r="F2956">
            <v>12</v>
          </cell>
          <cell r="G2956">
            <v>1999</v>
          </cell>
          <cell r="H2956">
            <v>100</v>
          </cell>
          <cell r="I2956">
            <v>260646000000</v>
          </cell>
        </row>
        <row r="2957">
          <cell r="A2957" t="str">
            <v>Argentina</v>
          </cell>
          <cell r="B2957">
            <v>32</v>
          </cell>
          <cell r="C2957">
            <v>203</v>
          </cell>
          <cell r="D2957">
            <v>3</v>
          </cell>
          <cell r="E2957" t="str">
            <v>Equals: VALUE ADDED, GROSS, at basic prices</v>
          </cell>
          <cell r="F2957">
            <v>12</v>
          </cell>
          <cell r="G2957">
            <v>2000</v>
          </cell>
          <cell r="H2957">
            <v>100</v>
          </cell>
          <cell r="I2957">
            <v>261656000000</v>
          </cell>
        </row>
        <row r="2958">
          <cell r="A2958" t="str">
            <v>Argentina</v>
          </cell>
          <cell r="B2958">
            <v>32</v>
          </cell>
          <cell r="C2958">
            <v>203</v>
          </cell>
          <cell r="D2958">
            <v>3</v>
          </cell>
          <cell r="E2958" t="str">
            <v>Equals: VALUE ADDED, GROSS, at basic prices</v>
          </cell>
          <cell r="F2958">
            <v>12</v>
          </cell>
          <cell r="G2958">
            <v>2001</v>
          </cell>
          <cell r="H2958">
            <v>100</v>
          </cell>
          <cell r="I2958">
            <v>249445630000</v>
          </cell>
        </row>
        <row r="2959">
          <cell r="A2959" t="str">
            <v>Argentina</v>
          </cell>
          <cell r="B2959">
            <v>32</v>
          </cell>
          <cell r="C2959">
            <v>203</v>
          </cell>
          <cell r="D2959">
            <v>4</v>
          </cell>
          <cell r="E2959" t="str">
            <v>Compensation of employees</v>
          </cell>
          <cell r="F2959">
            <v>12</v>
          </cell>
          <cell r="G2959">
            <v>1993</v>
          </cell>
          <cell r="H2959">
            <v>100</v>
          </cell>
          <cell r="I2959">
            <v>89553000000</v>
          </cell>
        </row>
        <row r="2960">
          <cell r="A2960" t="str">
            <v>Argentina</v>
          </cell>
          <cell r="B2960">
            <v>32</v>
          </cell>
          <cell r="C2960">
            <v>203</v>
          </cell>
          <cell r="D2960">
            <v>4</v>
          </cell>
          <cell r="E2960" t="str">
            <v>Compensation of employees</v>
          </cell>
          <cell r="F2960">
            <v>12</v>
          </cell>
          <cell r="G2960">
            <v>1994</v>
          </cell>
          <cell r="H2960">
            <v>100</v>
          </cell>
          <cell r="I2960">
            <v>94665000000</v>
          </cell>
        </row>
        <row r="2961">
          <cell r="A2961" t="str">
            <v>Argentina</v>
          </cell>
          <cell r="B2961">
            <v>32</v>
          </cell>
          <cell r="C2961">
            <v>203</v>
          </cell>
          <cell r="D2961">
            <v>4</v>
          </cell>
          <cell r="E2961" t="str">
            <v>Compensation of employees</v>
          </cell>
          <cell r="F2961">
            <v>12</v>
          </cell>
          <cell r="G2961">
            <v>1995</v>
          </cell>
          <cell r="H2961">
            <v>100</v>
          </cell>
          <cell r="I2961">
            <v>91592000000</v>
          </cell>
        </row>
        <row r="2962">
          <cell r="A2962" t="str">
            <v>Argentina</v>
          </cell>
          <cell r="B2962">
            <v>32</v>
          </cell>
          <cell r="C2962">
            <v>203</v>
          </cell>
          <cell r="D2962">
            <v>4</v>
          </cell>
          <cell r="E2962" t="str">
            <v>Compensation of employees</v>
          </cell>
          <cell r="F2962">
            <v>12</v>
          </cell>
          <cell r="G2962">
            <v>1996</v>
          </cell>
          <cell r="H2962">
            <v>100</v>
          </cell>
          <cell r="I2962">
            <v>90162000000</v>
          </cell>
        </row>
        <row r="2963">
          <cell r="A2963" t="str">
            <v>Argentina</v>
          </cell>
          <cell r="B2963">
            <v>32</v>
          </cell>
          <cell r="C2963">
            <v>203</v>
          </cell>
          <cell r="D2963">
            <v>4</v>
          </cell>
          <cell r="E2963" t="str">
            <v>Compensation of employees</v>
          </cell>
          <cell r="F2963">
            <v>12</v>
          </cell>
          <cell r="G2963">
            <v>1997</v>
          </cell>
          <cell r="H2963">
            <v>100</v>
          </cell>
          <cell r="I2963">
            <v>95780000000</v>
          </cell>
        </row>
        <row r="2964">
          <cell r="A2964" t="str">
            <v>Argentina</v>
          </cell>
          <cell r="B2964">
            <v>32</v>
          </cell>
          <cell r="C2964">
            <v>203</v>
          </cell>
          <cell r="D2964">
            <v>11</v>
          </cell>
          <cell r="E2964" t="str">
            <v>OPERATING SURPLUS, GROSS</v>
          </cell>
          <cell r="F2964">
            <v>12</v>
          </cell>
          <cell r="G2964">
            <v>1993</v>
          </cell>
          <cell r="H2964">
            <v>100</v>
          </cell>
          <cell r="I2964">
            <v>86530000000</v>
          </cell>
        </row>
        <row r="2965">
          <cell r="A2965" t="str">
            <v>Argentina</v>
          </cell>
          <cell r="B2965">
            <v>32</v>
          </cell>
          <cell r="C2965">
            <v>203</v>
          </cell>
          <cell r="D2965">
            <v>11</v>
          </cell>
          <cell r="E2965" t="str">
            <v>OPERATING SURPLUS, GROSS</v>
          </cell>
          <cell r="F2965">
            <v>12</v>
          </cell>
          <cell r="G2965">
            <v>1994</v>
          </cell>
          <cell r="H2965">
            <v>100</v>
          </cell>
          <cell r="I2965">
            <v>94676000000</v>
          </cell>
        </row>
        <row r="2966">
          <cell r="A2966" t="str">
            <v>Argentina</v>
          </cell>
          <cell r="B2966">
            <v>32</v>
          </cell>
          <cell r="C2966">
            <v>203</v>
          </cell>
          <cell r="D2966">
            <v>11</v>
          </cell>
          <cell r="E2966" t="str">
            <v>OPERATING SURPLUS, GROSS</v>
          </cell>
          <cell r="F2966">
            <v>12</v>
          </cell>
          <cell r="G2966">
            <v>1995</v>
          </cell>
          <cell r="H2966">
            <v>100</v>
          </cell>
          <cell r="I2966">
            <v>101983000000</v>
          </cell>
        </row>
        <row r="2967">
          <cell r="A2967" t="str">
            <v>Argentina</v>
          </cell>
          <cell r="B2967">
            <v>32</v>
          </cell>
          <cell r="C2967">
            <v>203</v>
          </cell>
          <cell r="D2967">
            <v>11</v>
          </cell>
          <cell r="E2967" t="str">
            <v>OPERATING SURPLUS, GROSS</v>
          </cell>
          <cell r="F2967">
            <v>12</v>
          </cell>
          <cell r="G2967">
            <v>1996</v>
          </cell>
          <cell r="H2967">
            <v>100</v>
          </cell>
          <cell r="I2967">
            <v>114341000000</v>
          </cell>
        </row>
        <row r="2968">
          <cell r="A2968" t="str">
            <v>Argentina</v>
          </cell>
          <cell r="B2968">
            <v>32</v>
          </cell>
          <cell r="C2968">
            <v>203</v>
          </cell>
          <cell r="D2968">
            <v>11</v>
          </cell>
          <cell r="E2968" t="str">
            <v>OPERATING SURPLUS, GROSS</v>
          </cell>
          <cell r="F2968">
            <v>12</v>
          </cell>
          <cell r="G2968">
            <v>1997</v>
          </cell>
          <cell r="H2968">
            <v>100</v>
          </cell>
          <cell r="I2968">
            <v>125183000000</v>
          </cell>
        </row>
        <row r="2969">
          <cell r="A2969" t="str">
            <v>Azerbaijan</v>
          </cell>
          <cell r="B2969">
            <v>31</v>
          </cell>
          <cell r="C2969">
            <v>201</v>
          </cell>
          <cell r="D2969">
            <v>13</v>
          </cell>
          <cell r="E2969" t="str">
            <v>Less: Financial intermediation services indirectly measured (FISIM) (only to be deducted if FISIM is not distributed to uses)</v>
          </cell>
          <cell r="F2969">
            <v>0</v>
          </cell>
          <cell r="G2969">
            <v>1990</v>
          </cell>
          <cell r="H2969">
            <v>200</v>
          </cell>
          <cell r="I2969">
            <v>0</v>
          </cell>
        </row>
        <row r="2970">
          <cell r="A2970" t="str">
            <v>Argentina</v>
          </cell>
          <cell r="B2970">
            <v>32</v>
          </cell>
          <cell r="C2970">
            <v>203</v>
          </cell>
          <cell r="D2970">
            <v>12</v>
          </cell>
          <cell r="E2970" t="str">
            <v>MIXED INCOME, GROSS</v>
          </cell>
          <cell r="F2970">
            <v>12</v>
          </cell>
          <cell r="G2970">
            <v>1993</v>
          </cell>
          <cell r="H2970">
            <v>100</v>
          </cell>
          <cell r="I2970">
            <v>40526000000</v>
          </cell>
        </row>
        <row r="2971">
          <cell r="A2971" t="str">
            <v>Argentina</v>
          </cell>
          <cell r="B2971">
            <v>32</v>
          </cell>
          <cell r="C2971">
            <v>203</v>
          </cell>
          <cell r="D2971">
            <v>12</v>
          </cell>
          <cell r="E2971" t="str">
            <v>MIXED INCOME, GROSS</v>
          </cell>
          <cell r="F2971">
            <v>12</v>
          </cell>
          <cell r="G2971">
            <v>1994</v>
          </cell>
          <cell r="H2971">
            <v>100</v>
          </cell>
          <cell r="I2971">
            <v>46504000000</v>
          </cell>
        </row>
        <row r="2972">
          <cell r="A2972" t="str">
            <v>Argentina</v>
          </cell>
          <cell r="B2972">
            <v>32</v>
          </cell>
          <cell r="C2972">
            <v>203</v>
          </cell>
          <cell r="D2972">
            <v>12</v>
          </cell>
          <cell r="E2972" t="str">
            <v>MIXED INCOME, GROSS</v>
          </cell>
          <cell r="F2972">
            <v>12</v>
          </cell>
          <cell r="G2972">
            <v>1995</v>
          </cell>
          <cell r="H2972">
            <v>100</v>
          </cell>
          <cell r="I2972">
            <v>44450000000</v>
          </cell>
        </row>
        <row r="2973">
          <cell r="A2973" t="str">
            <v>Argentina</v>
          </cell>
          <cell r="B2973">
            <v>32</v>
          </cell>
          <cell r="C2973">
            <v>203</v>
          </cell>
          <cell r="D2973">
            <v>12</v>
          </cell>
          <cell r="E2973" t="str">
            <v>MIXED INCOME, GROSS</v>
          </cell>
          <cell r="F2973">
            <v>12</v>
          </cell>
          <cell r="G2973">
            <v>1996</v>
          </cell>
          <cell r="H2973">
            <v>100</v>
          </cell>
          <cell r="I2973">
            <v>45451000000</v>
          </cell>
        </row>
        <row r="2974">
          <cell r="A2974" t="str">
            <v>Argentina</v>
          </cell>
          <cell r="B2974">
            <v>32</v>
          </cell>
          <cell r="C2974">
            <v>203</v>
          </cell>
          <cell r="D2974">
            <v>12</v>
          </cell>
          <cell r="E2974" t="str">
            <v>MIXED INCOME, GROSS</v>
          </cell>
          <cell r="F2974">
            <v>12</v>
          </cell>
          <cell r="G2974">
            <v>1997</v>
          </cell>
          <cell r="H2974">
            <v>100</v>
          </cell>
          <cell r="I2974">
            <v>45898000000</v>
          </cell>
        </row>
        <row r="2975">
          <cell r="A2975" t="str">
            <v>Azerbaijan</v>
          </cell>
          <cell r="B2975">
            <v>31</v>
          </cell>
          <cell r="C2975">
            <v>201</v>
          </cell>
          <cell r="D2975">
            <v>13</v>
          </cell>
          <cell r="E2975" t="str">
            <v>Less: Financial intermediation services indirectly measured (FISIM) (only to be deducted if FISIM is not distributed to uses)</v>
          </cell>
          <cell r="F2975">
            <v>0</v>
          </cell>
          <cell r="G2975">
            <v>1991</v>
          </cell>
          <cell r="H2975">
            <v>200</v>
          </cell>
          <cell r="I2975">
            <v>1000000</v>
          </cell>
        </row>
        <row r="2976">
          <cell r="A2976" t="str">
            <v>Azerbaijan</v>
          </cell>
          <cell r="B2976">
            <v>31</v>
          </cell>
          <cell r="C2976">
            <v>201</v>
          </cell>
          <cell r="D2976">
            <v>13</v>
          </cell>
          <cell r="E2976" t="str">
            <v>Less: Financial intermediation services indirectly measured (FISIM) (only to be deducted if FISIM is not distributed to uses)</v>
          </cell>
          <cell r="F2976">
            <v>0</v>
          </cell>
          <cell r="G2976">
            <v>1992</v>
          </cell>
          <cell r="H2976">
            <v>200</v>
          </cell>
          <cell r="I2976">
            <v>610000000</v>
          </cell>
        </row>
        <row r="2977">
          <cell r="A2977" t="str">
            <v>Azerbaijan</v>
          </cell>
          <cell r="B2977">
            <v>31</v>
          </cell>
          <cell r="C2977">
            <v>201</v>
          </cell>
          <cell r="D2977">
            <v>13</v>
          </cell>
          <cell r="E2977" t="str">
            <v>Less: Financial intermediation services indirectly measured (FISIM) (only to be deducted if FISIM is not distributed to uses)</v>
          </cell>
          <cell r="F2977">
            <v>0</v>
          </cell>
          <cell r="G2977">
            <v>1993</v>
          </cell>
          <cell r="H2977">
            <v>200</v>
          </cell>
          <cell r="I2977">
            <v>10045000000</v>
          </cell>
        </row>
        <row r="2978">
          <cell r="A2978" t="str">
            <v>Azerbaijan</v>
          </cell>
          <cell r="B2978">
            <v>31</v>
          </cell>
          <cell r="C2978">
            <v>201</v>
          </cell>
          <cell r="D2978">
            <v>13</v>
          </cell>
          <cell r="E2978" t="str">
            <v>Less: Financial intermediation services indirectly measured (FISIM) (only to be deducted if FISIM is not distributed to uses)</v>
          </cell>
          <cell r="F2978">
            <v>0</v>
          </cell>
          <cell r="G2978">
            <v>1994</v>
          </cell>
          <cell r="H2978">
            <v>200</v>
          </cell>
          <cell r="I2978">
            <v>91383000000</v>
          </cell>
        </row>
        <row r="2979">
          <cell r="A2979" t="str">
            <v>Azerbaijan</v>
          </cell>
          <cell r="B2979">
            <v>31</v>
          </cell>
          <cell r="C2979">
            <v>201</v>
          </cell>
          <cell r="D2979">
            <v>13</v>
          </cell>
          <cell r="E2979" t="str">
            <v>Less: Financial intermediation services indirectly measured (FISIM) (only to be deducted if FISIM is not distributed to uses)</v>
          </cell>
          <cell r="F2979">
            <v>0</v>
          </cell>
          <cell r="G2979">
            <v>1995</v>
          </cell>
          <cell r="H2979">
            <v>200</v>
          </cell>
          <cell r="I2979">
            <v>216000000000</v>
          </cell>
        </row>
        <row r="2980">
          <cell r="A2980" t="str">
            <v>Azerbaijan</v>
          </cell>
          <cell r="B2980">
            <v>31</v>
          </cell>
          <cell r="C2980">
            <v>201</v>
          </cell>
          <cell r="D2980">
            <v>13</v>
          </cell>
          <cell r="E2980" t="str">
            <v>Less: Financial intermediation services indirectly measured (FISIM) (only to be deducted if FISIM is not distributed to uses)</v>
          </cell>
          <cell r="F2980">
            <v>0</v>
          </cell>
          <cell r="G2980">
            <v>1996</v>
          </cell>
          <cell r="H2980">
            <v>200</v>
          </cell>
          <cell r="I2980">
            <v>139800000000</v>
          </cell>
        </row>
        <row r="2981">
          <cell r="A2981" t="str">
            <v>Azerbaijan</v>
          </cell>
          <cell r="B2981">
            <v>31</v>
          </cell>
          <cell r="C2981">
            <v>201</v>
          </cell>
          <cell r="D2981">
            <v>13</v>
          </cell>
          <cell r="E2981" t="str">
            <v>Less: Financial intermediation services indirectly measured (FISIM) (only to be deducted if FISIM is not distributed to uses)</v>
          </cell>
          <cell r="F2981">
            <v>0</v>
          </cell>
          <cell r="G2981">
            <v>1997</v>
          </cell>
          <cell r="H2981">
            <v>200</v>
          </cell>
          <cell r="I2981">
            <v>51800000000</v>
          </cell>
        </row>
        <row r="2982">
          <cell r="A2982" t="str">
            <v>Azerbaijan</v>
          </cell>
          <cell r="B2982">
            <v>31</v>
          </cell>
          <cell r="C2982">
            <v>201</v>
          </cell>
          <cell r="D2982">
            <v>13</v>
          </cell>
          <cell r="E2982" t="str">
            <v>Less: Financial intermediation services indirectly measured (FISIM) (only to be deducted if FISIM is not distributed to uses)</v>
          </cell>
          <cell r="F2982">
            <v>0</v>
          </cell>
          <cell r="G2982">
            <v>1998</v>
          </cell>
          <cell r="H2982">
            <v>200</v>
          </cell>
          <cell r="I2982">
            <v>96800000000</v>
          </cell>
        </row>
        <row r="2983">
          <cell r="A2983" t="str">
            <v>Azerbaijan</v>
          </cell>
          <cell r="B2983">
            <v>31</v>
          </cell>
          <cell r="C2983">
            <v>201</v>
          </cell>
          <cell r="D2983">
            <v>13</v>
          </cell>
          <cell r="E2983" t="str">
            <v>Less: Financial intermediation services indirectly measured (FISIM) (only to be deducted if FISIM is not distributed to uses)</v>
          </cell>
          <cell r="F2983">
            <v>0</v>
          </cell>
          <cell r="G2983">
            <v>1999</v>
          </cell>
          <cell r="H2983">
            <v>200</v>
          </cell>
          <cell r="I2983">
            <v>94500000000</v>
          </cell>
        </row>
        <row r="2984">
          <cell r="A2984" t="str">
            <v>Azerbaijan</v>
          </cell>
          <cell r="B2984">
            <v>31</v>
          </cell>
          <cell r="C2984">
            <v>201</v>
          </cell>
          <cell r="D2984">
            <v>13</v>
          </cell>
          <cell r="E2984" t="str">
            <v>Less: Financial intermediation services indirectly measured (FISIM) (only to be deducted if FISIM is not distributed to uses)</v>
          </cell>
          <cell r="F2984">
            <v>0</v>
          </cell>
          <cell r="G2984">
            <v>2000</v>
          </cell>
          <cell r="H2984">
            <v>200</v>
          </cell>
          <cell r="I2984">
            <v>136900000000</v>
          </cell>
        </row>
        <row r="2985">
          <cell r="A2985" t="str">
            <v>Azerbaijan</v>
          </cell>
          <cell r="B2985">
            <v>31</v>
          </cell>
          <cell r="C2985">
            <v>201</v>
          </cell>
          <cell r="D2985">
            <v>13</v>
          </cell>
          <cell r="E2985" t="str">
            <v>Less: Financial intermediation services indirectly measured (FISIM) (only to be deducted if FISIM is not distributed to uses)</v>
          </cell>
          <cell r="F2985">
            <v>0</v>
          </cell>
          <cell r="G2985">
            <v>2001</v>
          </cell>
          <cell r="H2985">
            <v>200</v>
          </cell>
          <cell r="I2985">
            <v>172300000000</v>
          </cell>
        </row>
        <row r="2986">
          <cell r="A2986" t="str">
            <v>Azerbaijan</v>
          </cell>
          <cell r="B2986">
            <v>31</v>
          </cell>
          <cell r="C2986">
            <v>201</v>
          </cell>
          <cell r="D2986">
            <v>13</v>
          </cell>
          <cell r="E2986" t="str">
            <v>Less: Financial intermediation services indirectly measured (FISIM) (only to be deducted if FISIM is not distributed to uses)</v>
          </cell>
          <cell r="F2986">
            <v>0</v>
          </cell>
          <cell r="G2986">
            <v>2002</v>
          </cell>
          <cell r="H2986">
            <v>200</v>
          </cell>
          <cell r="I2986">
            <v>176900000000</v>
          </cell>
        </row>
        <row r="2987">
          <cell r="A2987" t="str">
            <v>Azerbaijan</v>
          </cell>
          <cell r="B2987">
            <v>31</v>
          </cell>
          <cell r="C2987">
            <v>201</v>
          </cell>
          <cell r="D2987">
            <v>13</v>
          </cell>
          <cell r="E2987" t="str">
            <v>Less: Financial intermediation services indirectly measured (FISIM) (only to be deducted if FISIM is not distributed to uses)</v>
          </cell>
          <cell r="F2987">
            <v>0</v>
          </cell>
          <cell r="G2987">
            <v>2003</v>
          </cell>
          <cell r="H2987">
            <v>200</v>
          </cell>
          <cell r="I2987">
            <v>184000000000</v>
          </cell>
        </row>
        <row r="2988">
          <cell r="A2988" t="str">
            <v>Bahamas</v>
          </cell>
          <cell r="B2988">
            <v>44</v>
          </cell>
          <cell r="C2988">
            <v>201</v>
          </cell>
          <cell r="D2988">
            <v>13</v>
          </cell>
          <cell r="E2988" t="str">
            <v>Less: Financial intermediation services indirectly measured (FISIM) (only to be deducted if FISIM is not distributed to uses)</v>
          </cell>
          <cell r="F2988">
            <v>0</v>
          </cell>
          <cell r="G2988">
            <v>1989</v>
          </cell>
          <cell r="H2988">
            <v>100</v>
          </cell>
          <cell r="I2988">
            <v>48660000</v>
          </cell>
        </row>
        <row r="2989">
          <cell r="A2989" t="str">
            <v>Bahamas</v>
          </cell>
          <cell r="B2989">
            <v>44</v>
          </cell>
          <cell r="C2989">
            <v>201</v>
          </cell>
          <cell r="D2989">
            <v>13</v>
          </cell>
          <cell r="E2989" t="str">
            <v>Less: Financial intermediation services indirectly measured (FISIM) (only to be deducted if FISIM is not distributed to uses)</v>
          </cell>
          <cell r="F2989">
            <v>0</v>
          </cell>
          <cell r="G2989">
            <v>1990</v>
          </cell>
          <cell r="H2989">
            <v>100</v>
          </cell>
          <cell r="I2989">
            <v>24520000</v>
          </cell>
        </row>
        <row r="2990">
          <cell r="A2990" t="str">
            <v>Bahamas</v>
          </cell>
          <cell r="B2990">
            <v>44</v>
          </cell>
          <cell r="C2990">
            <v>201</v>
          </cell>
          <cell r="D2990">
            <v>13</v>
          </cell>
          <cell r="E2990" t="str">
            <v>Less: Financial intermediation services indirectly measured (FISIM) (only to be deducted if FISIM is not distributed to uses)</v>
          </cell>
          <cell r="F2990">
            <v>0</v>
          </cell>
          <cell r="G2990">
            <v>1991</v>
          </cell>
          <cell r="H2990">
            <v>100</v>
          </cell>
          <cell r="I2990">
            <v>47280000</v>
          </cell>
        </row>
        <row r="2991">
          <cell r="A2991" t="str">
            <v>Bahamas</v>
          </cell>
          <cell r="B2991">
            <v>44</v>
          </cell>
          <cell r="C2991">
            <v>201</v>
          </cell>
          <cell r="D2991">
            <v>13</v>
          </cell>
          <cell r="E2991" t="str">
            <v>Less: Financial intermediation services indirectly measured (FISIM) (only to be deducted if FISIM is not distributed to uses)</v>
          </cell>
          <cell r="F2991">
            <v>0</v>
          </cell>
          <cell r="G2991">
            <v>1992</v>
          </cell>
          <cell r="H2991">
            <v>100</v>
          </cell>
          <cell r="I2991">
            <v>84000000</v>
          </cell>
        </row>
        <row r="2992">
          <cell r="A2992" t="str">
            <v>Bahamas</v>
          </cell>
          <cell r="B2992">
            <v>44</v>
          </cell>
          <cell r="C2992">
            <v>201</v>
          </cell>
          <cell r="D2992">
            <v>13</v>
          </cell>
          <cell r="E2992" t="str">
            <v>Less: Financial intermediation services indirectly measured (FISIM) (only to be deducted if FISIM is not distributed to uses)</v>
          </cell>
          <cell r="F2992">
            <v>0</v>
          </cell>
          <cell r="G2992">
            <v>1993</v>
          </cell>
          <cell r="H2992">
            <v>100</v>
          </cell>
          <cell r="I2992">
            <v>137000000</v>
          </cell>
        </row>
        <row r="2993">
          <cell r="A2993" t="str">
            <v>Bahamas</v>
          </cell>
          <cell r="B2993">
            <v>44</v>
          </cell>
          <cell r="C2993">
            <v>201</v>
          </cell>
          <cell r="D2993">
            <v>13</v>
          </cell>
          <cell r="E2993" t="str">
            <v>Less: Financial intermediation services indirectly measured (FISIM) (only to be deducted if FISIM is not distributed to uses)</v>
          </cell>
          <cell r="F2993">
            <v>0</v>
          </cell>
          <cell r="G2993">
            <v>1994</v>
          </cell>
          <cell r="H2993">
            <v>100</v>
          </cell>
          <cell r="I2993">
            <v>150000000</v>
          </cell>
        </row>
        <row r="2994">
          <cell r="A2994" t="str">
            <v>Bahamas</v>
          </cell>
          <cell r="B2994">
            <v>44</v>
          </cell>
          <cell r="C2994">
            <v>201</v>
          </cell>
          <cell r="D2994">
            <v>13</v>
          </cell>
          <cell r="E2994" t="str">
            <v>Less: Financial intermediation services indirectly measured (FISIM) (only to be deducted if FISIM is not distributed to uses)</v>
          </cell>
          <cell r="F2994">
            <v>0</v>
          </cell>
          <cell r="G2994">
            <v>1995</v>
          </cell>
          <cell r="H2994">
            <v>100</v>
          </cell>
          <cell r="I2994">
            <v>154000000</v>
          </cell>
        </row>
        <row r="2995">
          <cell r="A2995" t="str">
            <v>Bahamas</v>
          </cell>
          <cell r="B2995">
            <v>44</v>
          </cell>
          <cell r="C2995">
            <v>203</v>
          </cell>
          <cell r="D2995">
            <v>3</v>
          </cell>
          <cell r="E2995" t="str">
            <v>Equals: VALUE ADDED, GROSS, at basic prices</v>
          </cell>
          <cell r="F2995">
            <v>12</v>
          </cell>
          <cell r="G2995">
            <v>1989</v>
          </cell>
          <cell r="H2995">
            <v>100</v>
          </cell>
          <cell r="I2995">
            <v>2348000000</v>
          </cell>
        </row>
        <row r="2996">
          <cell r="A2996" t="str">
            <v>Bahamas</v>
          </cell>
          <cell r="B2996">
            <v>44</v>
          </cell>
          <cell r="C2996">
            <v>203</v>
          </cell>
          <cell r="D2996">
            <v>3</v>
          </cell>
          <cell r="E2996" t="str">
            <v>Equals: VALUE ADDED, GROSS, at basic prices</v>
          </cell>
          <cell r="F2996">
            <v>12</v>
          </cell>
          <cell r="G2996">
            <v>1990</v>
          </cell>
          <cell r="H2996">
            <v>100</v>
          </cell>
          <cell r="I2996">
            <v>2492000000</v>
          </cell>
        </row>
        <row r="2997">
          <cell r="A2997" t="str">
            <v>Bahamas</v>
          </cell>
          <cell r="B2997">
            <v>44</v>
          </cell>
          <cell r="C2997">
            <v>203</v>
          </cell>
          <cell r="D2997">
            <v>3</v>
          </cell>
          <cell r="E2997" t="str">
            <v>Equals: VALUE ADDED, GROSS, at basic prices</v>
          </cell>
          <cell r="F2997">
            <v>12</v>
          </cell>
          <cell r="G2997">
            <v>1991</v>
          </cell>
          <cell r="H2997">
            <v>100</v>
          </cell>
          <cell r="I2997">
            <v>2268000000</v>
          </cell>
        </row>
        <row r="2998">
          <cell r="A2998" t="str">
            <v>Bahamas</v>
          </cell>
          <cell r="B2998">
            <v>44</v>
          </cell>
          <cell r="C2998">
            <v>203</v>
          </cell>
          <cell r="D2998">
            <v>3</v>
          </cell>
          <cell r="E2998" t="str">
            <v>Equals: VALUE ADDED, GROSS, at basic prices</v>
          </cell>
          <cell r="F2998">
            <v>12</v>
          </cell>
          <cell r="G2998">
            <v>1992</v>
          </cell>
          <cell r="H2998">
            <v>100</v>
          </cell>
          <cell r="I2998">
            <v>2289000000</v>
          </cell>
        </row>
        <row r="2999">
          <cell r="A2999" t="str">
            <v>Bahamas</v>
          </cell>
          <cell r="B2999">
            <v>44</v>
          </cell>
          <cell r="C2999">
            <v>203</v>
          </cell>
          <cell r="D2999">
            <v>3</v>
          </cell>
          <cell r="E2999" t="str">
            <v>Equals: VALUE ADDED, GROSS, at basic prices</v>
          </cell>
          <cell r="F2999">
            <v>12</v>
          </cell>
          <cell r="G2999">
            <v>1993</v>
          </cell>
          <cell r="H2999">
            <v>100</v>
          </cell>
          <cell r="I2999">
            <v>2267000000</v>
          </cell>
        </row>
        <row r="3000">
          <cell r="A3000" t="str">
            <v>Bahamas</v>
          </cell>
          <cell r="B3000">
            <v>44</v>
          </cell>
          <cell r="C3000">
            <v>203</v>
          </cell>
          <cell r="D3000">
            <v>3</v>
          </cell>
          <cell r="E3000" t="str">
            <v>Equals: VALUE ADDED, GROSS, at basic prices</v>
          </cell>
          <cell r="F3000">
            <v>12</v>
          </cell>
          <cell r="G3000">
            <v>1994</v>
          </cell>
          <cell r="H3000">
            <v>100</v>
          </cell>
          <cell r="I3000">
            <v>2458000000</v>
          </cell>
        </row>
        <row r="3001">
          <cell r="A3001" t="str">
            <v>Bahamas</v>
          </cell>
          <cell r="B3001">
            <v>44</v>
          </cell>
          <cell r="C3001">
            <v>203</v>
          </cell>
          <cell r="D3001">
            <v>3</v>
          </cell>
          <cell r="E3001" t="str">
            <v>Equals: VALUE ADDED, GROSS, at basic prices</v>
          </cell>
          <cell r="F3001">
            <v>12</v>
          </cell>
          <cell r="G3001">
            <v>1995</v>
          </cell>
          <cell r="H3001">
            <v>100</v>
          </cell>
          <cell r="I3001">
            <v>2482000000</v>
          </cell>
        </row>
        <row r="3002">
          <cell r="A3002" t="str">
            <v>Bahamas</v>
          </cell>
          <cell r="B3002">
            <v>44</v>
          </cell>
          <cell r="C3002">
            <v>203</v>
          </cell>
          <cell r="D3002">
            <v>4</v>
          </cell>
          <cell r="E3002" t="str">
            <v>Compensation of employees</v>
          </cell>
          <cell r="F3002">
            <v>12</v>
          </cell>
          <cell r="G3002">
            <v>1989</v>
          </cell>
          <cell r="H3002">
            <v>100</v>
          </cell>
          <cell r="I3002">
            <v>1257000000</v>
          </cell>
        </row>
        <row r="3003">
          <cell r="A3003" t="str">
            <v>Bahamas</v>
          </cell>
          <cell r="B3003">
            <v>44</v>
          </cell>
          <cell r="C3003">
            <v>203</v>
          </cell>
          <cell r="D3003">
            <v>4</v>
          </cell>
          <cell r="E3003" t="str">
            <v>Compensation of employees</v>
          </cell>
          <cell r="F3003">
            <v>12</v>
          </cell>
          <cell r="G3003">
            <v>1990</v>
          </cell>
          <cell r="H3003">
            <v>100</v>
          </cell>
          <cell r="I3003">
            <v>1564000000</v>
          </cell>
        </row>
        <row r="3004">
          <cell r="A3004" t="str">
            <v>Bahamas</v>
          </cell>
          <cell r="B3004">
            <v>44</v>
          </cell>
          <cell r="C3004">
            <v>203</v>
          </cell>
          <cell r="D3004">
            <v>4</v>
          </cell>
          <cell r="E3004" t="str">
            <v>Compensation of employees</v>
          </cell>
          <cell r="F3004">
            <v>12</v>
          </cell>
          <cell r="G3004">
            <v>1991</v>
          </cell>
          <cell r="H3004">
            <v>100</v>
          </cell>
          <cell r="I3004">
            <v>1282000000</v>
          </cell>
        </row>
        <row r="3005">
          <cell r="A3005" t="str">
            <v>Bahamas</v>
          </cell>
          <cell r="B3005">
            <v>44</v>
          </cell>
          <cell r="C3005">
            <v>203</v>
          </cell>
          <cell r="D3005">
            <v>4</v>
          </cell>
          <cell r="E3005" t="str">
            <v>Compensation of employees</v>
          </cell>
          <cell r="F3005">
            <v>12</v>
          </cell>
          <cell r="G3005">
            <v>1992</v>
          </cell>
          <cell r="H3005">
            <v>100</v>
          </cell>
          <cell r="I3005">
            <v>1304000000</v>
          </cell>
        </row>
        <row r="3006">
          <cell r="A3006" t="str">
            <v>Bahamas</v>
          </cell>
          <cell r="B3006">
            <v>44</v>
          </cell>
          <cell r="C3006">
            <v>203</v>
          </cell>
          <cell r="D3006">
            <v>4</v>
          </cell>
          <cell r="E3006" t="str">
            <v>Compensation of employees</v>
          </cell>
          <cell r="F3006">
            <v>12</v>
          </cell>
          <cell r="G3006">
            <v>1993</v>
          </cell>
          <cell r="H3006">
            <v>100</v>
          </cell>
          <cell r="I3006">
            <v>1334000000</v>
          </cell>
        </row>
        <row r="3007">
          <cell r="A3007" t="str">
            <v>Bahamas</v>
          </cell>
          <cell r="B3007">
            <v>44</v>
          </cell>
          <cell r="C3007">
            <v>203</v>
          </cell>
          <cell r="D3007">
            <v>4</v>
          </cell>
          <cell r="E3007" t="str">
            <v>Compensation of employees</v>
          </cell>
          <cell r="F3007">
            <v>12</v>
          </cell>
          <cell r="G3007">
            <v>1994</v>
          </cell>
          <cell r="H3007">
            <v>100</v>
          </cell>
          <cell r="I3007">
            <v>1417000000</v>
          </cell>
        </row>
        <row r="3008">
          <cell r="A3008" t="str">
            <v>Bahamas</v>
          </cell>
          <cell r="B3008">
            <v>44</v>
          </cell>
          <cell r="C3008">
            <v>203</v>
          </cell>
          <cell r="D3008">
            <v>4</v>
          </cell>
          <cell r="E3008" t="str">
            <v>Compensation of employees</v>
          </cell>
          <cell r="F3008">
            <v>12</v>
          </cell>
          <cell r="G3008">
            <v>1995</v>
          </cell>
          <cell r="H3008">
            <v>100</v>
          </cell>
          <cell r="I3008">
            <v>1438000000</v>
          </cell>
        </row>
        <row r="3009">
          <cell r="A3009" t="str">
            <v>Bahamas</v>
          </cell>
          <cell r="B3009">
            <v>44</v>
          </cell>
          <cell r="C3009">
            <v>203</v>
          </cell>
          <cell r="D3009">
            <v>11</v>
          </cell>
          <cell r="E3009" t="str">
            <v>OPERATING SURPLUS, GROSS</v>
          </cell>
          <cell r="F3009">
            <v>12</v>
          </cell>
          <cell r="G3009">
            <v>1989</v>
          </cell>
          <cell r="H3009">
            <v>100</v>
          </cell>
          <cell r="I3009">
            <v>1105000000</v>
          </cell>
        </row>
        <row r="3010">
          <cell r="A3010" t="str">
            <v>Bahamas</v>
          </cell>
          <cell r="B3010">
            <v>44</v>
          </cell>
          <cell r="C3010">
            <v>203</v>
          </cell>
          <cell r="D3010">
            <v>11</v>
          </cell>
          <cell r="E3010" t="str">
            <v>OPERATING SURPLUS, GROSS</v>
          </cell>
          <cell r="F3010">
            <v>12</v>
          </cell>
          <cell r="G3010">
            <v>1990</v>
          </cell>
          <cell r="H3010">
            <v>100</v>
          </cell>
          <cell r="I3010">
            <v>1427000000</v>
          </cell>
        </row>
        <row r="3011">
          <cell r="A3011" t="str">
            <v>Azerbaijan</v>
          </cell>
          <cell r="B3011">
            <v>31</v>
          </cell>
          <cell r="C3011">
            <v>203</v>
          </cell>
          <cell r="D3011">
            <v>3</v>
          </cell>
          <cell r="E3011" t="str">
            <v>Equals: VALUE ADDED, GROSS, at basic prices</v>
          </cell>
          <cell r="F3011">
            <v>12</v>
          </cell>
          <cell r="G3011">
            <v>1990</v>
          </cell>
          <cell r="H3011">
            <v>200</v>
          </cell>
          <cell r="I3011">
            <v>1339000000</v>
          </cell>
        </row>
        <row r="3012">
          <cell r="A3012" t="str">
            <v>Azerbaijan</v>
          </cell>
          <cell r="B3012">
            <v>31</v>
          </cell>
          <cell r="C3012">
            <v>203</v>
          </cell>
          <cell r="D3012">
            <v>3</v>
          </cell>
          <cell r="E3012" t="str">
            <v>Equals: VALUE ADDED, GROSS, at basic prices</v>
          </cell>
          <cell r="F3012">
            <v>12</v>
          </cell>
          <cell r="G3012">
            <v>1991</v>
          </cell>
          <cell r="H3012">
            <v>200</v>
          </cell>
          <cell r="I3012">
            <v>2521000000</v>
          </cell>
        </row>
        <row r="3013">
          <cell r="A3013" t="str">
            <v>Azerbaijan</v>
          </cell>
          <cell r="B3013">
            <v>31</v>
          </cell>
          <cell r="C3013">
            <v>203</v>
          </cell>
          <cell r="D3013">
            <v>3</v>
          </cell>
          <cell r="E3013" t="str">
            <v>Equals: VALUE ADDED, GROSS, at basic prices</v>
          </cell>
          <cell r="F3013">
            <v>12</v>
          </cell>
          <cell r="G3013">
            <v>1992</v>
          </cell>
          <cell r="H3013">
            <v>200</v>
          </cell>
          <cell r="I3013">
            <v>22033000000</v>
          </cell>
        </row>
        <row r="3014">
          <cell r="A3014" t="str">
            <v>Azerbaijan</v>
          </cell>
          <cell r="B3014">
            <v>31</v>
          </cell>
          <cell r="C3014">
            <v>203</v>
          </cell>
          <cell r="D3014">
            <v>3</v>
          </cell>
          <cell r="E3014" t="str">
            <v>Equals: VALUE ADDED, GROSS, at basic prices</v>
          </cell>
          <cell r="F3014">
            <v>12</v>
          </cell>
          <cell r="G3014">
            <v>1993</v>
          </cell>
          <cell r="H3014">
            <v>200</v>
          </cell>
          <cell r="I3014">
            <v>149400000000</v>
          </cell>
        </row>
        <row r="3015">
          <cell r="A3015" t="str">
            <v>Azerbaijan</v>
          </cell>
          <cell r="B3015">
            <v>31</v>
          </cell>
          <cell r="C3015">
            <v>203</v>
          </cell>
          <cell r="D3015">
            <v>3</v>
          </cell>
          <cell r="E3015" t="str">
            <v>Equals: VALUE ADDED, GROSS, at basic prices</v>
          </cell>
          <cell r="F3015">
            <v>12</v>
          </cell>
          <cell r="G3015">
            <v>1994</v>
          </cell>
          <cell r="H3015">
            <v>200</v>
          </cell>
          <cell r="I3015">
            <v>1836786000000</v>
          </cell>
        </row>
        <row r="3016">
          <cell r="A3016" t="str">
            <v>Azerbaijan</v>
          </cell>
          <cell r="B3016">
            <v>31</v>
          </cell>
          <cell r="C3016">
            <v>203</v>
          </cell>
          <cell r="D3016">
            <v>3</v>
          </cell>
          <cell r="E3016" t="str">
            <v>Equals: VALUE ADDED, GROSS, at basic prices</v>
          </cell>
          <cell r="F3016">
            <v>12</v>
          </cell>
          <cell r="G3016">
            <v>1995</v>
          </cell>
          <cell r="H3016">
            <v>200</v>
          </cell>
          <cell r="I3016">
            <v>9843000000000</v>
          </cell>
        </row>
        <row r="3017">
          <cell r="A3017" t="str">
            <v>Azerbaijan</v>
          </cell>
          <cell r="B3017">
            <v>31</v>
          </cell>
          <cell r="C3017">
            <v>203</v>
          </cell>
          <cell r="D3017">
            <v>3</v>
          </cell>
          <cell r="E3017" t="str">
            <v>Equals: VALUE ADDED, GROSS, at basic prices</v>
          </cell>
          <cell r="F3017">
            <v>12</v>
          </cell>
          <cell r="G3017">
            <v>1996</v>
          </cell>
          <cell r="H3017">
            <v>200</v>
          </cell>
          <cell r="I3017">
            <v>12288200000000</v>
          </cell>
        </row>
        <row r="3018">
          <cell r="A3018" t="str">
            <v>Azerbaijan</v>
          </cell>
          <cell r="B3018">
            <v>31</v>
          </cell>
          <cell r="C3018">
            <v>203</v>
          </cell>
          <cell r="D3018">
            <v>3</v>
          </cell>
          <cell r="E3018" t="str">
            <v>Equals: VALUE ADDED, GROSS, at basic prices</v>
          </cell>
          <cell r="F3018">
            <v>12</v>
          </cell>
          <cell r="G3018">
            <v>1997</v>
          </cell>
          <cell r="H3018">
            <v>200</v>
          </cell>
          <cell r="I3018">
            <v>14623700000000</v>
          </cell>
        </row>
        <row r="3019">
          <cell r="A3019" t="str">
            <v>Azerbaijan</v>
          </cell>
          <cell r="B3019">
            <v>31</v>
          </cell>
          <cell r="C3019">
            <v>203</v>
          </cell>
          <cell r="D3019">
            <v>3</v>
          </cell>
          <cell r="E3019" t="str">
            <v>Equals: VALUE ADDED, GROSS, at basic prices</v>
          </cell>
          <cell r="F3019">
            <v>12</v>
          </cell>
          <cell r="G3019">
            <v>1998</v>
          </cell>
          <cell r="H3019">
            <v>200</v>
          </cell>
          <cell r="I3019">
            <v>16494300000000</v>
          </cell>
        </row>
        <row r="3020">
          <cell r="A3020" t="str">
            <v>Azerbaijan</v>
          </cell>
          <cell r="B3020">
            <v>31</v>
          </cell>
          <cell r="C3020">
            <v>203</v>
          </cell>
          <cell r="D3020">
            <v>3</v>
          </cell>
          <cell r="E3020" t="str">
            <v>Equals: VALUE ADDED, GROSS, at basic prices</v>
          </cell>
          <cell r="F3020">
            <v>12</v>
          </cell>
          <cell r="G3020">
            <v>1999</v>
          </cell>
          <cell r="H3020">
            <v>200</v>
          </cell>
          <cell r="I3020">
            <v>18129500000000</v>
          </cell>
        </row>
        <row r="3021">
          <cell r="A3021" t="str">
            <v>Azerbaijan</v>
          </cell>
          <cell r="B3021">
            <v>31</v>
          </cell>
          <cell r="C3021">
            <v>203</v>
          </cell>
          <cell r="D3021">
            <v>3</v>
          </cell>
          <cell r="E3021" t="str">
            <v>Equals: VALUE ADDED, GROSS, at basic prices</v>
          </cell>
          <cell r="F3021">
            <v>12</v>
          </cell>
          <cell r="G3021">
            <v>2000</v>
          </cell>
          <cell r="H3021">
            <v>200</v>
          </cell>
          <cell r="I3021">
            <v>22134500000000</v>
          </cell>
        </row>
        <row r="3022">
          <cell r="A3022" t="str">
            <v>Azerbaijan</v>
          </cell>
          <cell r="B3022">
            <v>31</v>
          </cell>
          <cell r="C3022">
            <v>203</v>
          </cell>
          <cell r="D3022">
            <v>3</v>
          </cell>
          <cell r="E3022" t="str">
            <v>Equals: VALUE ADDED, GROSS, at basic prices</v>
          </cell>
          <cell r="F3022">
            <v>12</v>
          </cell>
          <cell r="G3022">
            <v>2001</v>
          </cell>
          <cell r="H3022">
            <v>200</v>
          </cell>
          <cell r="I3022">
            <v>24486100000000</v>
          </cell>
        </row>
        <row r="3023">
          <cell r="A3023" t="str">
            <v>Azerbaijan</v>
          </cell>
          <cell r="B3023">
            <v>31</v>
          </cell>
          <cell r="C3023">
            <v>203</v>
          </cell>
          <cell r="D3023">
            <v>3</v>
          </cell>
          <cell r="E3023" t="str">
            <v>Equals: VALUE ADDED, GROSS, at basic prices</v>
          </cell>
          <cell r="F3023">
            <v>12</v>
          </cell>
          <cell r="G3023">
            <v>2002</v>
          </cell>
          <cell r="H3023">
            <v>200</v>
          </cell>
          <cell r="I3023">
            <v>27881000000000</v>
          </cell>
        </row>
        <row r="3024">
          <cell r="A3024" t="str">
            <v>Azerbaijan</v>
          </cell>
          <cell r="B3024">
            <v>31</v>
          </cell>
          <cell r="C3024">
            <v>203</v>
          </cell>
          <cell r="D3024">
            <v>3</v>
          </cell>
          <cell r="E3024" t="str">
            <v>Equals: VALUE ADDED, GROSS, at basic prices</v>
          </cell>
          <cell r="F3024">
            <v>12</v>
          </cell>
          <cell r="G3024">
            <v>2003</v>
          </cell>
          <cell r="H3024">
            <v>200</v>
          </cell>
          <cell r="I3024">
            <v>32614100000000</v>
          </cell>
        </row>
        <row r="3025">
          <cell r="A3025" t="str">
            <v>Bahamas</v>
          </cell>
          <cell r="B3025">
            <v>44</v>
          </cell>
          <cell r="C3025">
            <v>203</v>
          </cell>
          <cell r="D3025">
            <v>11</v>
          </cell>
          <cell r="E3025" t="str">
            <v>OPERATING SURPLUS, GROSS</v>
          </cell>
          <cell r="F3025">
            <v>12</v>
          </cell>
          <cell r="G3025">
            <v>1991</v>
          </cell>
          <cell r="H3025">
            <v>100</v>
          </cell>
          <cell r="I3025">
            <v>993000000</v>
          </cell>
        </row>
        <row r="3026">
          <cell r="A3026" t="str">
            <v>Bahamas</v>
          </cell>
          <cell r="B3026">
            <v>44</v>
          </cell>
          <cell r="C3026">
            <v>203</v>
          </cell>
          <cell r="D3026">
            <v>11</v>
          </cell>
          <cell r="E3026" t="str">
            <v>OPERATING SURPLUS, GROSS</v>
          </cell>
          <cell r="F3026">
            <v>12</v>
          </cell>
          <cell r="G3026">
            <v>1992</v>
          </cell>
          <cell r="H3026">
            <v>100</v>
          </cell>
          <cell r="I3026">
            <v>993000000</v>
          </cell>
        </row>
        <row r="3027">
          <cell r="A3027" t="str">
            <v>Bahamas</v>
          </cell>
          <cell r="B3027">
            <v>44</v>
          </cell>
          <cell r="C3027">
            <v>203</v>
          </cell>
          <cell r="D3027">
            <v>11</v>
          </cell>
          <cell r="E3027" t="str">
            <v>OPERATING SURPLUS, GROSS</v>
          </cell>
          <cell r="F3027">
            <v>12</v>
          </cell>
          <cell r="G3027">
            <v>1993</v>
          </cell>
          <cell r="H3027">
            <v>100</v>
          </cell>
          <cell r="I3027">
            <v>938000000</v>
          </cell>
        </row>
        <row r="3028">
          <cell r="A3028" t="str">
            <v>Bahamas</v>
          </cell>
          <cell r="B3028">
            <v>44</v>
          </cell>
          <cell r="C3028">
            <v>203</v>
          </cell>
          <cell r="D3028">
            <v>11</v>
          </cell>
          <cell r="E3028" t="str">
            <v>OPERATING SURPLUS, GROSS</v>
          </cell>
          <cell r="F3028">
            <v>12</v>
          </cell>
          <cell r="G3028">
            <v>1994</v>
          </cell>
          <cell r="H3028">
            <v>100</v>
          </cell>
          <cell r="I3028">
            <v>1041000000</v>
          </cell>
        </row>
        <row r="3029">
          <cell r="A3029" t="str">
            <v>Bahamas</v>
          </cell>
          <cell r="B3029">
            <v>44</v>
          </cell>
          <cell r="C3029">
            <v>203</v>
          </cell>
          <cell r="D3029">
            <v>11</v>
          </cell>
          <cell r="E3029" t="str">
            <v>OPERATING SURPLUS, GROSS</v>
          </cell>
          <cell r="F3029">
            <v>12</v>
          </cell>
          <cell r="G3029">
            <v>1995</v>
          </cell>
          <cell r="H3029">
            <v>100</v>
          </cell>
          <cell r="I3029">
            <v>1040000000</v>
          </cell>
        </row>
        <row r="3030">
          <cell r="A3030" t="str">
            <v>Azerbaijan</v>
          </cell>
          <cell r="B3030">
            <v>31</v>
          </cell>
          <cell r="C3030">
            <v>203</v>
          </cell>
          <cell r="D3030">
            <v>4</v>
          </cell>
          <cell r="E3030" t="str">
            <v>Compensation of employees</v>
          </cell>
          <cell r="F3030">
            <v>12</v>
          </cell>
          <cell r="G3030">
            <v>1990</v>
          </cell>
          <cell r="H3030">
            <v>200</v>
          </cell>
          <cell r="I3030">
            <v>768000000</v>
          </cell>
        </row>
        <row r="3031">
          <cell r="A3031" t="str">
            <v>Azerbaijan</v>
          </cell>
          <cell r="B3031">
            <v>31</v>
          </cell>
          <cell r="C3031">
            <v>203</v>
          </cell>
          <cell r="D3031">
            <v>4</v>
          </cell>
          <cell r="E3031" t="str">
            <v>Compensation of employees</v>
          </cell>
          <cell r="F3031">
            <v>12</v>
          </cell>
          <cell r="G3031">
            <v>1991</v>
          </cell>
          <cell r="H3031">
            <v>200</v>
          </cell>
          <cell r="I3031">
            <v>1396000000</v>
          </cell>
        </row>
        <row r="3032">
          <cell r="A3032" t="str">
            <v>Azerbaijan</v>
          </cell>
          <cell r="B3032">
            <v>31</v>
          </cell>
          <cell r="C3032">
            <v>203</v>
          </cell>
          <cell r="D3032">
            <v>4</v>
          </cell>
          <cell r="E3032" t="str">
            <v>Compensation of employees</v>
          </cell>
          <cell r="F3032">
            <v>12</v>
          </cell>
          <cell r="G3032">
            <v>1992</v>
          </cell>
          <cell r="H3032">
            <v>200</v>
          </cell>
          <cell r="I3032">
            <v>9555000000</v>
          </cell>
        </row>
        <row r="3033">
          <cell r="A3033" t="str">
            <v>Azerbaijan</v>
          </cell>
          <cell r="B3033">
            <v>31</v>
          </cell>
          <cell r="C3033">
            <v>203</v>
          </cell>
          <cell r="D3033">
            <v>4</v>
          </cell>
          <cell r="E3033" t="str">
            <v>Compensation of employees</v>
          </cell>
          <cell r="F3033">
            <v>12</v>
          </cell>
          <cell r="G3033">
            <v>1993</v>
          </cell>
          <cell r="H3033">
            <v>200</v>
          </cell>
          <cell r="I3033">
            <v>83712000000</v>
          </cell>
        </row>
        <row r="3034">
          <cell r="A3034" t="str">
            <v>Azerbaijan</v>
          </cell>
          <cell r="B3034">
            <v>31</v>
          </cell>
          <cell r="C3034">
            <v>203</v>
          </cell>
          <cell r="D3034">
            <v>4</v>
          </cell>
          <cell r="E3034" t="str">
            <v>Compensation of employees</v>
          </cell>
          <cell r="F3034">
            <v>12</v>
          </cell>
          <cell r="G3034">
            <v>1994</v>
          </cell>
          <cell r="H3034">
            <v>200</v>
          </cell>
          <cell r="I3034">
            <v>526662000000</v>
          </cell>
        </row>
        <row r="3035">
          <cell r="A3035" t="str">
            <v>Azerbaijan</v>
          </cell>
          <cell r="B3035">
            <v>31</v>
          </cell>
          <cell r="C3035">
            <v>203</v>
          </cell>
          <cell r="D3035">
            <v>4</v>
          </cell>
          <cell r="E3035" t="str">
            <v>Compensation of employees</v>
          </cell>
          <cell r="F3035">
            <v>12</v>
          </cell>
          <cell r="G3035">
            <v>1995</v>
          </cell>
          <cell r="H3035">
            <v>200</v>
          </cell>
          <cell r="I3035">
            <v>2413000000000</v>
          </cell>
        </row>
        <row r="3036">
          <cell r="A3036" t="str">
            <v>Azerbaijan</v>
          </cell>
          <cell r="B3036">
            <v>31</v>
          </cell>
          <cell r="C3036">
            <v>203</v>
          </cell>
          <cell r="D3036">
            <v>4</v>
          </cell>
          <cell r="E3036" t="str">
            <v>Compensation of employees</v>
          </cell>
          <cell r="F3036">
            <v>12</v>
          </cell>
          <cell r="G3036">
            <v>1996</v>
          </cell>
          <cell r="H3036">
            <v>200</v>
          </cell>
          <cell r="I3036">
            <v>2565900000000</v>
          </cell>
        </row>
        <row r="3037">
          <cell r="A3037" t="str">
            <v>Azerbaijan</v>
          </cell>
          <cell r="B3037">
            <v>31</v>
          </cell>
          <cell r="C3037">
            <v>203</v>
          </cell>
          <cell r="D3037">
            <v>4</v>
          </cell>
          <cell r="E3037" t="str">
            <v>Compensation of employees</v>
          </cell>
          <cell r="F3037">
            <v>12</v>
          </cell>
          <cell r="G3037">
            <v>1997</v>
          </cell>
          <cell r="H3037">
            <v>200</v>
          </cell>
          <cell r="I3037">
            <v>3105500000000</v>
          </cell>
        </row>
        <row r="3038">
          <cell r="A3038" t="str">
            <v>Azerbaijan</v>
          </cell>
          <cell r="B3038">
            <v>31</v>
          </cell>
          <cell r="C3038">
            <v>203</v>
          </cell>
          <cell r="D3038">
            <v>4</v>
          </cell>
          <cell r="E3038" t="str">
            <v>Compensation of employees</v>
          </cell>
          <cell r="F3038">
            <v>12</v>
          </cell>
          <cell r="G3038">
            <v>1998</v>
          </cell>
          <cell r="H3038">
            <v>200</v>
          </cell>
          <cell r="I3038">
            <v>3319300000000</v>
          </cell>
        </row>
        <row r="3039">
          <cell r="A3039" t="str">
            <v>Azerbaijan</v>
          </cell>
          <cell r="B3039">
            <v>31</v>
          </cell>
          <cell r="C3039">
            <v>203</v>
          </cell>
          <cell r="D3039">
            <v>4</v>
          </cell>
          <cell r="E3039" t="str">
            <v>Compensation of employees</v>
          </cell>
          <cell r="F3039">
            <v>12</v>
          </cell>
          <cell r="G3039">
            <v>1999</v>
          </cell>
          <cell r="H3039">
            <v>200</v>
          </cell>
          <cell r="I3039">
            <v>3957200000000</v>
          </cell>
        </row>
        <row r="3040">
          <cell r="A3040" t="str">
            <v>Azerbaijan</v>
          </cell>
          <cell r="B3040">
            <v>31</v>
          </cell>
          <cell r="C3040">
            <v>203</v>
          </cell>
          <cell r="D3040">
            <v>4</v>
          </cell>
          <cell r="E3040" t="str">
            <v>Compensation of employees</v>
          </cell>
          <cell r="F3040">
            <v>12</v>
          </cell>
          <cell r="G3040">
            <v>2000</v>
          </cell>
          <cell r="H3040">
            <v>200</v>
          </cell>
          <cell r="I3040">
            <v>5105300000000</v>
          </cell>
        </row>
        <row r="3041">
          <cell r="A3041" t="str">
            <v>Azerbaijan</v>
          </cell>
          <cell r="B3041">
            <v>31</v>
          </cell>
          <cell r="C3041">
            <v>203</v>
          </cell>
          <cell r="D3041">
            <v>4</v>
          </cell>
          <cell r="E3041" t="str">
            <v>Compensation of employees</v>
          </cell>
          <cell r="F3041">
            <v>12</v>
          </cell>
          <cell r="G3041">
            <v>2001</v>
          </cell>
          <cell r="H3041">
            <v>200</v>
          </cell>
          <cell r="I3041">
            <v>5338600000000</v>
          </cell>
        </row>
        <row r="3042">
          <cell r="A3042" t="str">
            <v>Azerbaijan</v>
          </cell>
          <cell r="B3042">
            <v>31</v>
          </cell>
          <cell r="C3042">
            <v>203</v>
          </cell>
          <cell r="D3042">
            <v>4</v>
          </cell>
          <cell r="E3042" t="str">
            <v>Compensation of employees</v>
          </cell>
          <cell r="F3042">
            <v>12</v>
          </cell>
          <cell r="G3042">
            <v>2002</v>
          </cell>
          <cell r="H3042">
            <v>200</v>
          </cell>
          <cell r="I3042">
            <v>6310400000000</v>
          </cell>
        </row>
        <row r="3043">
          <cell r="A3043" t="str">
            <v>Bahamas</v>
          </cell>
          <cell r="B3043">
            <v>44</v>
          </cell>
          <cell r="C3043">
            <v>203</v>
          </cell>
          <cell r="D3043">
            <v>22</v>
          </cell>
          <cell r="E3043" t="str">
            <v>Taxes on production and imports, less Subsidies</v>
          </cell>
          <cell r="F3043">
            <v>12</v>
          </cell>
          <cell r="G3043">
            <v>1989</v>
          </cell>
          <cell r="H3043">
            <v>100</v>
          </cell>
          <cell r="I3043">
            <v>-14000000</v>
          </cell>
        </row>
        <row r="3044">
          <cell r="A3044" t="str">
            <v>Bahamas</v>
          </cell>
          <cell r="B3044">
            <v>44</v>
          </cell>
          <cell r="C3044">
            <v>203</v>
          </cell>
          <cell r="D3044">
            <v>22</v>
          </cell>
          <cell r="E3044" t="str">
            <v>Taxes on production and imports, less Subsidies</v>
          </cell>
          <cell r="F3044">
            <v>12</v>
          </cell>
          <cell r="G3044">
            <v>1990</v>
          </cell>
          <cell r="H3044">
            <v>100</v>
          </cell>
          <cell r="I3044">
            <v>-711000</v>
          </cell>
        </row>
        <row r="3045">
          <cell r="A3045" t="str">
            <v>Bahamas</v>
          </cell>
          <cell r="B3045">
            <v>44</v>
          </cell>
          <cell r="C3045">
            <v>203</v>
          </cell>
          <cell r="D3045">
            <v>22</v>
          </cell>
          <cell r="E3045" t="str">
            <v>Taxes on production and imports, less Subsidies</v>
          </cell>
          <cell r="F3045">
            <v>12</v>
          </cell>
          <cell r="G3045">
            <v>1991</v>
          </cell>
          <cell r="H3045">
            <v>100</v>
          </cell>
          <cell r="I3045">
            <v>-8000000</v>
          </cell>
        </row>
        <row r="3046">
          <cell r="A3046" t="str">
            <v>Bahamas</v>
          </cell>
          <cell r="B3046">
            <v>44</v>
          </cell>
          <cell r="C3046">
            <v>203</v>
          </cell>
          <cell r="D3046">
            <v>22</v>
          </cell>
          <cell r="E3046" t="str">
            <v>Taxes on production and imports, less Subsidies</v>
          </cell>
          <cell r="F3046">
            <v>12</v>
          </cell>
          <cell r="G3046">
            <v>1992</v>
          </cell>
          <cell r="H3046">
            <v>100</v>
          </cell>
          <cell r="I3046">
            <v>-9000000</v>
          </cell>
        </row>
        <row r="3047">
          <cell r="A3047" t="str">
            <v>Bahamas</v>
          </cell>
          <cell r="B3047">
            <v>44</v>
          </cell>
          <cell r="C3047">
            <v>203</v>
          </cell>
          <cell r="D3047">
            <v>22</v>
          </cell>
          <cell r="E3047" t="str">
            <v>Taxes on production and imports, less Subsidies</v>
          </cell>
          <cell r="F3047">
            <v>12</v>
          </cell>
          <cell r="G3047">
            <v>1993</v>
          </cell>
          <cell r="H3047">
            <v>100</v>
          </cell>
          <cell r="I3047">
            <v>800000</v>
          </cell>
        </row>
        <row r="3048">
          <cell r="A3048" t="str">
            <v>Bahamas</v>
          </cell>
          <cell r="B3048">
            <v>44</v>
          </cell>
          <cell r="C3048">
            <v>203</v>
          </cell>
          <cell r="D3048">
            <v>22</v>
          </cell>
          <cell r="E3048" t="str">
            <v>Taxes on production and imports, less Subsidies</v>
          </cell>
          <cell r="F3048">
            <v>12</v>
          </cell>
          <cell r="G3048">
            <v>1994</v>
          </cell>
          <cell r="H3048">
            <v>100</v>
          </cell>
          <cell r="I3048">
            <v>-300000</v>
          </cell>
        </row>
        <row r="3049">
          <cell r="A3049" t="str">
            <v>Bahamas</v>
          </cell>
          <cell r="B3049">
            <v>44</v>
          </cell>
          <cell r="C3049">
            <v>203</v>
          </cell>
          <cell r="D3049">
            <v>22</v>
          </cell>
          <cell r="E3049" t="str">
            <v>Taxes on production and imports, less Subsidies</v>
          </cell>
          <cell r="F3049">
            <v>12</v>
          </cell>
          <cell r="G3049">
            <v>1995</v>
          </cell>
          <cell r="H3049">
            <v>100</v>
          </cell>
          <cell r="I3049">
            <v>4000000</v>
          </cell>
        </row>
        <row r="3050">
          <cell r="A3050" t="str">
            <v>Armenia</v>
          </cell>
          <cell r="B3050">
            <v>51</v>
          </cell>
          <cell r="C3050">
            <v>201</v>
          </cell>
          <cell r="D3050">
            <v>13</v>
          </cell>
          <cell r="E3050" t="str">
            <v>Less: Financial intermediation services indirectly measured (FISIM) (only to be deducted if FISIM is not distributed to uses)</v>
          </cell>
          <cell r="F3050">
            <v>0</v>
          </cell>
          <cell r="G3050">
            <v>1990</v>
          </cell>
          <cell r="H3050">
            <v>300</v>
          </cell>
          <cell r="I3050">
            <v>0</v>
          </cell>
        </row>
        <row r="3051">
          <cell r="A3051" t="str">
            <v>Armenia</v>
          </cell>
          <cell r="B3051">
            <v>51</v>
          </cell>
          <cell r="C3051">
            <v>201</v>
          </cell>
          <cell r="D3051">
            <v>13</v>
          </cell>
          <cell r="E3051" t="str">
            <v>Less: Financial intermediation services indirectly measured (FISIM) (only to be deducted if FISIM is not distributed to uses)</v>
          </cell>
          <cell r="F3051">
            <v>0</v>
          </cell>
          <cell r="G3051">
            <v>1991</v>
          </cell>
          <cell r="H3051">
            <v>300</v>
          </cell>
          <cell r="I3051">
            <v>1000000</v>
          </cell>
        </row>
        <row r="3052">
          <cell r="A3052" t="str">
            <v>Armenia</v>
          </cell>
          <cell r="B3052">
            <v>51</v>
          </cell>
          <cell r="C3052">
            <v>201</v>
          </cell>
          <cell r="D3052">
            <v>13</v>
          </cell>
          <cell r="E3052" t="str">
            <v>Less: Financial intermediation services indirectly measured (FISIM) (only to be deducted if FISIM is not distributed to uses)</v>
          </cell>
          <cell r="F3052">
            <v>0</v>
          </cell>
          <cell r="G3052">
            <v>1992</v>
          </cell>
          <cell r="H3052">
            <v>300</v>
          </cell>
          <cell r="I3052">
            <v>7000000</v>
          </cell>
        </row>
        <row r="3053">
          <cell r="A3053" t="str">
            <v>Armenia</v>
          </cell>
          <cell r="B3053">
            <v>51</v>
          </cell>
          <cell r="C3053">
            <v>201</v>
          </cell>
          <cell r="D3053">
            <v>13</v>
          </cell>
          <cell r="E3053" t="str">
            <v>Less: Financial intermediation services indirectly measured (FISIM) (only to be deducted if FISIM is not distributed to uses)</v>
          </cell>
          <cell r="F3053">
            <v>0</v>
          </cell>
          <cell r="G3053">
            <v>1993</v>
          </cell>
          <cell r="H3053">
            <v>300</v>
          </cell>
          <cell r="I3053">
            <v>48000000</v>
          </cell>
        </row>
        <row r="3054">
          <cell r="A3054" t="str">
            <v>Armenia</v>
          </cell>
          <cell r="B3054">
            <v>51</v>
          </cell>
          <cell r="C3054">
            <v>201</v>
          </cell>
          <cell r="D3054">
            <v>13</v>
          </cell>
          <cell r="E3054" t="str">
            <v>Less: Financial intermediation services indirectly measured (FISIM) (only to be deducted if FISIM is not distributed to uses)</v>
          </cell>
          <cell r="F3054">
            <v>0</v>
          </cell>
          <cell r="G3054">
            <v>1994</v>
          </cell>
          <cell r="H3054">
            <v>400</v>
          </cell>
          <cell r="I3054">
            <v>6157000000</v>
          </cell>
        </row>
        <row r="3055">
          <cell r="A3055" t="str">
            <v>Armenia</v>
          </cell>
          <cell r="B3055">
            <v>51</v>
          </cell>
          <cell r="C3055">
            <v>201</v>
          </cell>
          <cell r="D3055">
            <v>13</v>
          </cell>
          <cell r="E3055" t="str">
            <v>Less: Financial intermediation services indirectly measured (FISIM) (only to be deducted if FISIM is not distributed to uses)</v>
          </cell>
          <cell r="F3055">
            <v>0</v>
          </cell>
          <cell r="G3055">
            <v>1995</v>
          </cell>
          <cell r="H3055">
            <v>400</v>
          </cell>
          <cell r="I3055">
            <v>18270000000</v>
          </cell>
        </row>
        <row r="3056">
          <cell r="A3056" t="str">
            <v>Armenia</v>
          </cell>
          <cell r="B3056">
            <v>51</v>
          </cell>
          <cell r="C3056">
            <v>201</v>
          </cell>
          <cell r="D3056">
            <v>13</v>
          </cell>
          <cell r="E3056" t="str">
            <v>Less: Financial intermediation services indirectly measured (FISIM) (only to be deducted if FISIM is not distributed to uses)</v>
          </cell>
          <cell r="F3056">
            <v>0</v>
          </cell>
          <cell r="G3056">
            <v>1996</v>
          </cell>
          <cell r="H3056">
            <v>400</v>
          </cell>
          <cell r="I3056">
            <v>17016000000</v>
          </cell>
        </row>
        <row r="3057">
          <cell r="A3057" t="str">
            <v>Armenia</v>
          </cell>
          <cell r="B3057">
            <v>51</v>
          </cell>
          <cell r="C3057">
            <v>201</v>
          </cell>
          <cell r="D3057">
            <v>13</v>
          </cell>
          <cell r="E3057" t="str">
            <v>Less: Financial intermediation services indirectly measured (FISIM) (only to be deducted if FISIM is not distributed to uses)</v>
          </cell>
          <cell r="F3057">
            <v>0</v>
          </cell>
          <cell r="G3057">
            <v>1997</v>
          </cell>
          <cell r="H3057">
            <v>400</v>
          </cell>
          <cell r="I3057">
            <v>20174000000</v>
          </cell>
        </row>
        <row r="3058">
          <cell r="A3058" t="str">
            <v>Armenia</v>
          </cell>
          <cell r="B3058">
            <v>51</v>
          </cell>
          <cell r="C3058">
            <v>201</v>
          </cell>
          <cell r="D3058">
            <v>13</v>
          </cell>
          <cell r="E3058" t="str">
            <v>Less: Financial intermediation services indirectly measured (FISIM) (only to be deducted if FISIM is not distributed to uses)</v>
          </cell>
          <cell r="F3058">
            <v>0</v>
          </cell>
          <cell r="G3058">
            <v>1998</v>
          </cell>
          <cell r="H3058">
            <v>400</v>
          </cell>
          <cell r="I3058">
            <v>17601000000</v>
          </cell>
        </row>
        <row r="3059">
          <cell r="A3059" t="str">
            <v>Armenia</v>
          </cell>
          <cell r="B3059">
            <v>51</v>
          </cell>
          <cell r="C3059">
            <v>201</v>
          </cell>
          <cell r="D3059">
            <v>13</v>
          </cell>
          <cell r="E3059" t="str">
            <v>Less: Financial intermediation services indirectly measured (FISIM) (only to be deducted if FISIM is not distributed to uses)</v>
          </cell>
          <cell r="F3059">
            <v>0</v>
          </cell>
          <cell r="G3059">
            <v>1999</v>
          </cell>
          <cell r="H3059">
            <v>400</v>
          </cell>
          <cell r="I3059">
            <v>17882000000</v>
          </cell>
        </row>
        <row r="3060">
          <cell r="A3060" t="str">
            <v>Armenia</v>
          </cell>
          <cell r="B3060">
            <v>51</v>
          </cell>
          <cell r="C3060">
            <v>201</v>
          </cell>
          <cell r="D3060">
            <v>13</v>
          </cell>
          <cell r="E3060" t="str">
            <v>Less: Financial intermediation services indirectly measured (FISIM) (only to be deducted if FISIM is not distributed to uses)</v>
          </cell>
          <cell r="F3060">
            <v>0</v>
          </cell>
          <cell r="G3060">
            <v>2000</v>
          </cell>
          <cell r="H3060">
            <v>400</v>
          </cell>
          <cell r="I3060">
            <v>15989000000</v>
          </cell>
        </row>
        <row r="3061">
          <cell r="A3061" t="str">
            <v>Armenia</v>
          </cell>
          <cell r="B3061">
            <v>51</v>
          </cell>
          <cell r="C3061">
            <v>201</v>
          </cell>
          <cell r="D3061">
            <v>13</v>
          </cell>
          <cell r="E3061" t="str">
            <v>Less: Financial intermediation services indirectly measured (FISIM) (only to be deducted if FISIM is not distributed to uses)</v>
          </cell>
          <cell r="F3061">
            <v>0</v>
          </cell>
          <cell r="G3061">
            <v>2001</v>
          </cell>
          <cell r="H3061">
            <v>400</v>
          </cell>
          <cell r="I3061">
            <v>16867000000</v>
          </cell>
        </row>
        <row r="3062">
          <cell r="A3062" t="str">
            <v>Armenia</v>
          </cell>
          <cell r="B3062">
            <v>51</v>
          </cell>
          <cell r="C3062">
            <v>201</v>
          </cell>
          <cell r="D3062">
            <v>13</v>
          </cell>
          <cell r="E3062" t="str">
            <v>Less: Financial intermediation services indirectly measured (FISIM) (only to be deducted if FISIM is not distributed to uses)</v>
          </cell>
          <cell r="F3062">
            <v>0</v>
          </cell>
          <cell r="G3062">
            <v>2002</v>
          </cell>
          <cell r="H3062">
            <v>400</v>
          </cell>
          <cell r="I3062">
            <v>14937000000</v>
          </cell>
        </row>
        <row r="3063">
          <cell r="A3063" t="str">
            <v>Armenia</v>
          </cell>
          <cell r="B3063">
            <v>51</v>
          </cell>
          <cell r="C3063">
            <v>201</v>
          </cell>
          <cell r="D3063">
            <v>13</v>
          </cell>
          <cell r="E3063" t="str">
            <v>Less: Financial intermediation services indirectly measured (FISIM) (only to be deducted if FISIM is not distributed to uses)</v>
          </cell>
          <cell r="F3063">
            <v>0</v>
          </cell>
          <cell r="G3063">
            <v>2003</v>
          </cell>
          <cell r="H3063">
            <v>400</v>
          </cell>
          <cell r="I3063">
            <v>15507000000</v>
          </cell>
        </row>
        <row r="3064">
          <cell r="A3064" t="str">
            <v>Azerbaijan</v>
          </cell>
          <cell r="B3064">
            <v>31</v>
          </cell>
          <cell r="C3064">
            <v>203</v>
          </cell>
          <cell r="D3064">
            <v>11</v>
          </cell>
          <cell r="E3064" t="str">
            <v>OPERATING SURPLUS, GROSS</v>
          </cell>
          <cell r="F3064">
            <v>12</v>
          </cell>
          <cell r="G3064">
            <v>1990</v>
          </cell>
          <cell r="H3064">
            <v>200</v>
          </cell>
          <cell r="I3064">
            <v>525500000</v>
          </cell>
        </row>
        <row r="3065">
          <cell r="A3065" t="str">
            <v>Azerbaijan</v>
          </cell>
          <cell r="B3065">
            <v>31</v>
          </cell>
          <cell r="C3065">
            <v>203</v>
          </cell>
          <cell r="D3065">
            <v>11</v>
          </cell>
          <cell r="E3065" t="str">
            <v>OPERATING SURPLUS, GROSS</v>
          </cell>
          <cell r="F3065">
            <v>12</v>
          </cell>
          <cell r="G3065">
            <v>1991</v>
          </cell>
          <cell r="H3065">
            <v>200</v>
          </cell>
          <cell r="I3065">
            <v>1101900000</v>
          </cell>
        </row>
        <row r="3066">
          <cell r="A3066" t="str">
            <v>Azerbaijan</v>
          </cell>
          <cell r="B3066">
            <v>31</v>
          </cell>
          <cell r="C3066">
            <v>203</v>
          </cell>
          <cell r="D3066">
            <v>11</v>
          </cell>
          <cell r="E3066" t="str">
            <v>OPERATING SURPLUS, GROSS</v>
          </cell>
          <cell r="F3066">
            <v>12</v>
          </cell>
          <cell r="G3066">
            <v>1992</v>
          </cell>
          <cell r="H3066">
            <v>200</v>
          </cell>
          <cell r="I3066">
            <v>12395600000</v>
          </cell>
        </row>
        <row r="3067">
          <cell r="A3067" t="str">
            <v>Azerbaijan</v>
          </cell>
          <cell r="B3067">
            <v>31</v>
          </cell>
          <cell r="C3067">
            <v>203</v>
          </cell>
          <cell r="D3067">
            <v>11</v>
          </cell>
          <cell r="E3067" t="str">
            <v>OPERATING SURPLUS, GROSS</v>
          </cell>
          <cell r="F3067">
            <v>12</v>
          </cell>
          <cell r="G3067">
            <v>1993</v>
          </cell>
          <cell r="H3067">
            <v>200</v>
          </cell>
          <cell r="I3067">
            <v>63638000000</v>
          </cell>
        </row>
        <row r="3068">
          <cell r="A3068" t="str">
            <v>Azerbaijan</v>
          </cell>
          <cell r="B3068">
            <v>31</v>
          </cell>
          <cell r="C3068">
            <v>203</v>
          </cell>
          <cell r="D3068">
            <v>11</v>
          </cell>
          <cell r="E3068" t="str">
            <v>OPERATING SURPLUS, GROSS</v>
          </cell>
          <cell r="F3068">
            <v>12</v>
          </cell>
          <cell r="G3068">
            <v>1994</v>
          </cell>
          <cell r="H3068">
            <v>200</v>
          </cell>
          <cell r="I3068">
            <v>1296903000000</v>
          </cell>
        </row>
        <row r="3069">
          <cell r="A3069" t="str">
            <v>Azerbaijan</v>
          </cell>
          <cell r="B3069">
            <v>31</v>
          </cell>
          <cell r="C3069">
            <v>203</v>
          </cell>
          <cell r="D3069">
            <v>11</v>
          </cell>
          <cell r="E3069" t="str">
            <v>OPERATING SURPLUS, GROSS</v>
          </cell>
          <cell r="F3069">
            <v>12</v>
          </cell>
          <cell r="G3069">
            <v>1995</v>
          </cell>
          <cell r="H3069">
            <v>200</v>
          </cell>
          <cell r="I3069">
            <v>7409000000000</v>
          </cell>
        </row>
        <row r="3070">
          <cell r="A3070" t="str">
            <v>Azerbaijan</v>
          </cell>
          <cell r="B3070">
            <v>31</v>
          </cell>
          <cell r="C3070">
            <v>203</v>
          </cell>
          <cell r="D3070">
            <v>11</v>
          </cell>
          <cell r="E3070" t="str">
            <v>OPERATING SURPLUS, GROSS</v>
          </cell>
          <cell r="F3070">
            <v>12</v>
          </cell>
          <cell r="G3070">
            <v>1996</v>
          </cell>
          <cell r="H3070">
            <v>200</v>
          </cell>
          <cell r="I3070">
            <v>9597300000000</v>
          </cell>
        </row>
        <row r="3071">
          <cell r="A3071" t="str">
            <v>Azerbaijan</v>
          </cell>
          <cell r="B3071">
            <v>31</v>
          </cell>
          <cell r="C3071">
            <v>203</v>
          </cell>
          <cell r="D3071">
            <v>11</v>
          </cell>
          <cell r="E3071" t="str">
            <v>OPERATING SURPLUS, GROSS</v>
          </cell>
          <cell r="F3071">
            <v>12</v>
          </cell>
          <cell r="G3071">
            <v>1997</v>
          </cell>
          <cell r="H3071">
            <v>200</v>
          </cell>
          <cell r="I3071">
            <v>11344900000000</v>
          </cell>
        </row>
        <row r="3072">
          <cell r="A3072" t="str">
            <v>Azerbaijan</v>
          </cell>
          <cell r="B3072">
            <v>31</v>
          </cell>
          <cell r="C3072">
            <v>203</v>
          </cell>
          <cell r="D3072">
            <v>11</v>
          </cell>
          <cell r="E3072" t="str">
            <v>OPERATING SURPLUS, GROSS</v>
          </cell>
          <cell r="F3072">
            <v>12</v>
          </cell>
          <cell r="G3072">
            <v>1998</v>
          </cell>
          <cell r="H3072">
            <v>200</v>
          </cell>
          <cell r="I3072">
            <v>13039800000000</v>
          </cell>
        </row>
        <row r="3073">
          <cell r="A3073" t="str">
            <v>Azerbaijan</v>
          </cell>
          <cell r="B3073">
            <v>31</v>
          </cell>
          <cell r="C3073">
            <v>203</v>
          </cell>
          <cell r="D3073">
            <v>11</v>
          </cell>
          <cell r="E3073" t="str">
            <v>OPERATING SURPLUS, GROSS</v>
          </cell>
          <cell r="F3073">
            <v>12</v>
          </cell>
          <cell r="G3073">
            <v>1999</v>
          </cell>
          <cell r="H3073">
            <v>200</v>
          </cell>
          <cell r="I3073">
            <v>13998000000000</v>
          </cell>
        </row>
        <row r="3074">
          <cell r="A3074" t="str">
            <v>Azerbaijan</v>
          </cell>
          <cell r="B3074">
            <v>31</v>
          </cell>
          <cell r="C3074">
            <v>203</v>
          </cell>
          <cell r="D3074">
            <v>11</v>
          </cell>
          <cell r="E3074" t="str">
            <v>OPERATING SURPLUS, GROSS</v>
          </cell>
          <cell r="F3074">
            <v>12</v>
          </cell>
          <cell r="G3074">
            <v>2000</v>
          </cell>
          <cell r="H3074">
            <v>200</v>
          </cell>
          <cell r="I3074">
            <v>16828600000000</v>
          </cell>
        </row>
        <row r="3075">
          <cell r="A3075" t="str">
            <v>Azerbaijan</v>
          </cell>
          <cell r="B3075">
            <v>31</v>
          </cell>
          <cell r="C3075">
            <v>203</v>
          </cell>
          <cell r="D3075">
            <v>11</v>
          </cell>
          <cell r="E3075" t="str">
            <v>OPERATING SURPLUS, GROSS</v>
          </cell>
          <cell r="F3075">
            <v>12</v>
          </cell>
          <cell r="G3075">
            <v>2001</v>
          </cell>
          <cell r="H3075">
            <v>200</v>
          </cell>
          <cell r="I3075">
            <v>18955800000000</v>
          </cell>
        </row>
        <row r="3076">
          <cell r="A3076" t="str">
            <v>Azerbaijan</v>
          </cell>
          <cell r="B3076">
            <v>31</v>
          </cell>
          <cell r="C3076">
            <v>203</v>
          </cell>
          <cell r="D3076">
            <v>11</v>
          </cell>
          <cell r="E3076" t="str">
            <v>OPERATING SURPLUS, GROSS</v>
          </cell>
          <cell r="F3076">
            <v>12</v>
          </cell>
          <cell r="G3076">
            <v>2002</v>
          </cell>
          <cell r="H3076">
            <v>200</v>
          </cell>
          <cell r="I3076">
            <v>21337200000000</v>
          </cell>
        </row>
        <row r="3077">
          <cell r="A3077" t="str">
            <v>Armenia</v>
          </cell>
          <cell r="B3077">
            <v>51</v>
          </cell>
          <cell r="C3077">
            <v>203</v>
          </cell>
          <cell r="D3077">
            <v>3</v>
          </cell>
          <cell r="E3077" t="str">
            <v>Equals: VALUE ADDED, GROSS, at basic prices</v>
          </cell>
          <cell r="F3077">
            <v>12</v>
          </cell>
          <cell r="G3077">
            <v>1990</v>
          </cell>
          <cell r="H3077">
            <v>100</v>
          </cell>
          <cell r="I3077">
            <v>9255000000</v>
          </cell>
        </row>
        <row r="3078">
          <cell r="A3078" t="str">
            <v>Armenia</v>
          </cell>
          <cell r="B3078">
            <v>51</v>
          </cell>
          <cell r="C3078">
            <v>203</v>
          </cell>
          <cell r="D3078">
            <v>3</v>
          </cell>
          <cell r="E3078" t="str">
            <v>Equals: VALUE ADDED, GROSS, at basic prices</v>
          </cell>
          <cell r="F3078">
            <v>12</v>
          </cell>
          <cell r="G3078">
            <v>1991</v>
          </cell>
          <cell r="H3078">
            <v>100</v>
          </cell>
          <cell r="I3078">
            <v>15110000000</v>
          </cell>
        </row>
        <row r="3079">
          <cell r="A3079" t="str">
            <v>Armenia</v>
          </cell>
          <cell r="B3079">
            <v>51</v>
          </cell>
          <cell r="C3079">
            <v>203</v>
          </cell>
          <cell r="D3079">
            <v>3</v>
          </cell>
          <cell r="E3079" t="str">
            <v>Equals: VALUE ADDED, GROSS, at basic prices</v>
          </cell>
          <cell r="F3079">
            <v>12</v>
          </cell>
          <cell r="G3079">
            <v>1992</v>
          </cell>
          <cell r="H3079">
            <v>100</v>
          </cell>
          <cell r="I3079">
            <v>57439000000</v>
          </cell>
        </row>
        <row r="3080">
          <cell r="A3080" t="str">
            <v>Armenia</v>
          </cell>
          <cell r="B3080">
            <v>51</v>
          </cell>
          <cell r="C3080">
            <v>203</v>
          </cell>
          <cell r="D3080">
            <v>3</v>
          </cell>
          <cell r="E3080" t="str">
            <v>Equals: VALUE ADDED, GROSS, at basic prices</v>
          </cell>
          <cell r="F3080">
            <v>12</v>
          </cell>
          <cell r="G3080">
            <v>1993</v>
          </cell>
          <cell r="H3080">
            <v>100</v>
          </cell>
          <cell r="I3080">
            <v>810608000000</v>
          </cell>
        </row>
        <row r="3081">
          <cell r="A3081" t="str">
            <v>Armenia</v>
          </cell>
          <cell r="B3081">
            <v>51</v>
          </cell>
          <cell r="C3081">
            <v>203</v>
          </cell>
          <cell r="D3081">
            <v>3</v>
          </cell>
          <cell r="E3081" t="str">
            <v>Equals: VALUE ADDED, GROSS, at basic prices</v>
          </cell>
          <cell r="F3081">
            <v>12</v>
          </cell>
          <cell r="G3081">
            <v>1994</v>
          </cell>
          <cell r="H3081">
            <v>400</v>
          </cell>
          <cell r="I3081">
            <v>181195000000</v>
          </cell>
        </row>
        <row r="3082">
          <cell r="A3082" t="str">
            <v>Armenia</v>
          </cell>
          <cell r="B3082">
            <v>51</v>
          </cell>
          <cell r="C3082">
            <v>203</v>
          </cell>
          <cell r="D3082">
            <v>3</v>
          </cell>
          <cell r="E3082" t="str">
            <v>Equals: VALUE ADDED, GROSS, at basic prices</v>
          </cell>
          <cell r="F3082">
            <v>12</v>
          </cell>
          <cell r="G3082">
            <v>1995</v>
          </cell>
          <cell r="H3082">
            <v>400</v>
          </cell>
          <cell r="I3082">
            <v>502919000000</v>
          </cell>
        </row>
        <row r="3083">
          <cell r="A3083" t="str">
            <v>Armenia</v>
          </cell>
          <cell r="B3083">
            <v>51</v>
          </cell>
          <cell r="C3083">
            <v>203</v>
          </cell>
          <cell r="D3083">
            <v>3</v>
          </cell>
          <cell r="E3083" t="str">
            <v>Equals: VALUE ADDED, GROSS, at basic prices</v>
          </cell>
          <cell r="F3083">
            <v>12</v>
          </cell>
          <cell r="G3083">
            <v>1996</v>
          </cell>
          <cell r="H3083">
            <v>400</v>
          </cell>
          <cell r="I3083">
            <v>624744000000</v>
          </cell>
        </row>
        <row r="3084">
          <cell r="A3084" t="str">
            <v>Armenia</v>
          </cell>
          <cell r="B3084">
            <v>51</v>
          </cell>
          <cell r="C3084">
            <v>203</v>
          </cell>
          <cell r="D3084">
            <v>3</v>
          </cell>
          <cell r="E3084" t="str">
            <v>Equals: VALUE ADDED, GROSS, at basic prices</v>
          </cell>
          <cell r="F3084">
            <v>12</v>
          </cell>
          <cell r="G3084">
            <v>1997</v>
          </cell>
          <cell r="H3084">
            <v>400</v>
          </cell>
          <cell r="I3084">
            <v>740041000000</v>
          </cell>
        </row>
        <row r="3085">
          <cell r="A3085" t="str">
            <v>Armenia</v>
          </cell>
          <cell r="B3085">
            <v>51</v>
          </cell>
          <cell r="C3085">
            <v>203</v>
          </cell>
          <cell r="D3085">
            <v>3</v>
          </cell>
          <cell r="E3085" t="str">
            <v>Equals: VALUE ADDED, GROSS, at basic prices</v>
          </cell>
          <cell r="F3085">
            <v>12</v>
          </cell>
          <cell r="G3085">
            <v>1998</v>
          </cell>
          <cell r="H3085">
            <v>400</v>
          </cell>
          <cell r="I3085">
            <v>866903000000</v>
          </cell>
        </row>
        <row r="3086">
          <cell r="A3086" t="str">
            <v>Armenia</v>
          </cell>
          <cell r="B3086">
            <v>51</v>
          </cell>
          <cell r="C3086">
            <v>203</v>
          </cell>
          <cell r="D3086">
            <v>3</v>
          </cell>
          <cell r="E3086" t="str">
            <v>Equals: VALUE ADDED, GROSS, at basic prices</v>
          </cell>
          <cell r="F3086">
            <v>12</v>
          </cell>
          <cell r="G3086">
            <v>1999</v>
          </cell>
          <cell r="H3086">
            <v>400</v>
          </cell>
          <cell r="I3086">
            <v>903495000000</v>
          </cell>
        </row>
        <row r="3087">
          <cell r="A3087" t="str">
            <v>Armenia</v>
          </cell>
          <cell r="B3087">
            <v>51</v>
          </cell>
          <cell r="C3087">
            <v>203</v>
          </cell>
          <cell r="D3087">
            <v>4</v>
          </cell>
          <cell r="E3087" t="str">
            <v>Compensation of employees</v>
          </cell>
          <cell r="F3087">
            <v>12</v>
          </cell>
          <cell r="G3087">
            <v>1990</v>
          </cell>
          <cell r="H3087">
            <v>100</v>
          </cell>
          <cell r="I3087">
            <v>5779000000</v>
          </cell>
        </row>
        <row r="3088">
          <cell r="A3088" t="str">
            <v>Armenia</v>
          </cell>
          <cell r="B3088">
            <v>51</v>
          </cell>
          <cell r="C3088">
            <v>203</v>
          </cell>
          <cell r="D3088">
            <v>4</v>
          </cell>
          <cell r="E3088" t="str">
            <v>Compensation of employees</v>
          </cell>
          <cell r="F3088">
            <v>12</v>
          </cell>
          <cell r="G3088">
            <v>1991</v>
          </cell>
          <cell r="H3088">
            <v>100</v>
          </cell>
          <cell r="I3088">
            <v>8463000000</v>
          </cell>
        </row>
        <row r="3089">
          <cell r="A3089" t="str">
            <v>Armenia</v>
          </cell>
          <cell r="B3089">
            <v>51</v>
          </cell>
          <cell r="C3089">
            <v>203</v>
          </cell>
          <cell r="D3089">
            <v>4</v>
          </cell>
          <cell r="E3089" t="str">
            <v>Compensation of employees</v>
          </cell>
          <cell r="F3089">
            <v>12</v>
          </cell>
          <cell r="G3089">
            <v>1992</v>
          </cell>
          <cell r="H3089">
            <v>100</v>
          </cell>
          <cell r="I3089">
            <v>24022000000</v>
          </cell>
        </row>
        <row r="3090">
          <cell r="A3090" t="str">
            <v>Armenia</v>
          </cell>
          <cell r="B3090">
            <v>51</v>
          </cell>
          <cell r="C3090">
            <v>203</v>
          </cell>
          <cell r="D3090">
            <v>4</v>
          </cell>
          <cell r="E3090" t="str">
            <v>Compensation of employees</v>
          </cell>
          <cell r="F3090">
            <v>12</v>
          </cell>
          <cell r="G3090">
            <v>1993</v>
          </cell>
          <cell r="H3090">
            <v>100</v>
          </cell>
          <cell r="I3090">
            <v>356425000000</v>
          </cell>
        </row>
        <row r="3091">
          <cell r="A3091" t="str">
            <v>Armenia</v>
          </cell>
          <cell r="B3091">
            <v>51</v>
          </cell>
          <cell r="C3091">
            <v>203</v>
          </cell>
          <cell r="D3091">
            <v>4</v>
          </cell>
          <cell r="E3091" t="str">
            <v>Compensation of employees</v>
          </cell>
          <cell r="F3091">
            <v>12</v>
          </cell>
          <cell r="G3091">
            <v>1994</v>
          </cell>
          <cell r="H3091">
            <v>400</v>
          </cell>
          <cell r="I3091">
            <v>77580000000</v>
          </cell>
        </row>
        <row r="3092">
          <cell r="A3092" t="str">
            <v>Armenia</v>
          </cell>
          <cell r="B3092">
            <v>51</v>
          </cell>
          <cell r="C3092">
            <v>203</v>
          </cell>
          <cell r="D3092">
            <v>4</v>
          </cell>
          <cell r="E3092" t="str">
            <v>Compensation of employees</v>
          </cell>
          <cell r="F3092">
            <v>12</v>
          </cell>
          <cell r="G3092">
            <v>1995</v>
          </cell>
          <cell r="H3092">
            <v>400</v>
          </cell>
          <cell r="I3092">
            <v>205316000000</v>
          </cell>
        </row>
        <row r="3093">
          <cell r="A3093" t="str">
            <v>Armenia</v>
          </cell>
          <cell r="B3093">
            <v>51</v>
          </cell>
          <cell r="C3093">
            <v>203</v>
          </cell>
          <cell r="D3093">
            <v>4</v>
          </cell>
          <cell r="E3093" t="str">
            <v>Compensation of employees</v>
          </cell>
          <cell r="F3093">
            <v>12</v>
          </cell>
          <cell r="G3093">
            <v>1996</v>
          </cell>
          <cell r="H3093">
            <v>400</v>
          </cell>
          <cell r="I3093">
            <v>264379000000</v>
          </cell>
        </row>
        <row r="3094">
          <cell r="A3094" t="str">
            <v>Armenia</v>
          </cell>
          <cell r="B3094">
            <v>51</v>
          </cell>
          <cell r="C3094">
            <v>203</v>
          </cell>
          <cell r="D3094">
            <v>4</v>
          </cell>
          <cell r="E3094" t="str">
            <v>Compensation of employees</v>
          </cell>
          <cell r="F3094">
            <v>12</v>
          </cell>
          <cell r="G3094">
            <v>1997</v>
          </cell>
          <cell r="H3094">
            <v>400</v>
          </cell>
          <cell r="I3094">
            <v>336083000000</v>
          </cell>
        </row>
        <row r="3095">
          <cell r="A3095" t="str">
            <v>Armenia</v>
          </cell>
          <cell r="B3095">
            <v>51</v>
          </cell>
          <cell r="C3095">
            <v>203</v>
          </cell>
          <cell r="D3095">
            <v>4</v>
          </cell>
          <cell r="E3095" t="str">
            <v>Compensation of employees</v>
          </cell>
          <cell r="F3095">
            <v>12</v>
          </cell>
          <cell r="G3095">
            <v>1998</v>
          </cell>
          <cell r="H3095">
            <v>400</v>
          </cell>
          <cell r="I3095">
            <v>394433000000</v>
          </cell>
        </row>
        <row r="3096">
          <cell r="A3096" t="str">
            <v>Armenia</v>
          </cell>
          <cell r="B3096">
            <v>51</v>
          </cell>
          <cell r="C3096">
            <v>203</v>
          </cell>
          <cell r="D3096">
            <v>4</v>
          </cell>
          <cell r="E3096" t="str">
            <v>Compensation of employees</v>
          </cell>
          <cell r="F3096">
            <v>12</v>
          </cell>
          <cell r="G3096">
            <v>1999</v>
          </cell>
          <cell r="H3096">
            <v>400</v>
          </cell>
          <cell r="I3096">
            <v>423720000000</v>
          </cell>
        </row>
        <row r="3097">
          <cell r="A3097" t="str">
            <v>Armenia</v>
          </cell>
          <cell r="B3097">
            <v>51</v>
          </cell>
          <cell r="C3097">
            <v>203</v>
          </cell>
          <cell r="D3097">
            <v>11</v>
          </cell>
          <cell r="E3097" t="str">
            <v>OPERATING SURPLUS, GROSS</v>
          </cell>
          <cell r="F3097">
            <v>12</v>
          </cell>
          <cell r="G3097">
            <v>1990</v>
          </cell>
          <cell r="H3097">
            <v>100</v>
          </cell>
          <cell r="I3097">
            <v>3153000000</v>
          </cell>
        </row>
        <row r="3098">
          <cell r="A3098" t="str">
            <v>Armenia</v>
          </cell>
          <cell r="B3098">
            <v>51</v>
          </cell>
          <cell r="C3098">
            <v>203</v>
          </cell>
          <cell r="D3098">
            <v>11</v>
          </cell>
          <cell r="E3098" t="str">
            <v>OPERATING SURPLUS, GROSS</v>
          </cell>
          <cell r="F3098">
            <v>12</v>
          </cell>
          <cell r="G3098">
            <v>1991</v>
          </cell>
          <cell r="H3098">
            <v>100</v>
          </cell>
          <cell r="I3098">
            <v>6573000000</v>
          </cell>
        </row>
        <row r="3099">
          <cell r="A3099" t="str">
            <v>Armenia</v>
          </cell>
          <cell r="B3099">
            <v>51</v>
          </cell>
          <cell r="C3099">
            <v>203</v>
          </cell>
          <cell r="D3099">
            <v>11</v>
          </cell>
          <cell r="E3099" t="str">
            <v>OPERATING SURPLUS, GROSS</v>
          </cell>
          <cell r="F3099">
            <v>12</v>
          </cell>
          <cell r="G3099">
            <v>1992</v>
          </cell>
          <cell r="H3099">
            <v>100</v>
          </cell>
          <cell r="I3099">
            <v>33276000000</v>
          </cell>
        </row>
        <row r="3100">
          <cell r="A3100" t="str">
            <v>Armenia</v>
          </cell>
          <cell r="B3100">
            <v>51</v>
          </cell>
          <cell r="C3100">
            <v>203</v>
          </cell>
          <cell r="D3100">
            <v>11</v>
          </cell>
          <cell r="E3100" t="str">
            <v>OPERATING SURPLUS, GROSS</v>
          </cell>
          <cell r="F3100">
            <v>12</v>
          </cell>
          <cell r="G3100">
            <v>1993</v>
          </cell>
          <cell r="H3100">
            <v>100</v>
          </cell>
          <cell r="I3100">
            <v>453268000000</v>
          </cell>
        </row>
        <row r="3101">
          <cell r="A3101" t="str">
            <v>Armenia</v>
          </cell>
          <cell r="B3101">
            <v>51</v>
          </cell>
          <cell r="C3101">
            <v>203</v>
          </cell>
          <cell r="D3101">
            <v>11</v>
          </cell>
          <cell r="E3101" t="str">
            <v>OPERATING SURPLUS, GROSS</v>
          </cell>
          <cell r="F3101">
            <v>12</v>
          </cell>
          <cell r="G3101">
            <v>1994</v>
          </cell>
          <cell r="H3101">
            <v>400</v>
          </cell>
          <cell r="I3101">
            <v>100816000000</v>
          </cell>
        </row>
        <row r="3102">
          <cell r="A3102" t="str">
            <v>Armenia</v>
          </cell>
          <cell r="B3102">
            <v>51</v>
          </cell>
          <cell r="C3102">
            <v>203</v>
          </cell>
          <cell r="D3102">
            <v>11</v>
          </cell>
          <cell r="E3102" t="str">
            <v>OPERATING SURPLUS, GROSS</v>
          </cell>
          <cell r="F3102">
            <v>12</v>
          </cell>
          <cell r="G3102">
            <v>1995</v>
          </cell>
          <cell r="H3102">
            <v>400</v>
          </cell>
          <cell r="I3102">
            <v>290958000000</v>
          </cell>
        </row>
        <row r="3103">
          <cell r="A3103" t="str">
            <v>Armenia</v>
          </cell>
          <cell r="B3103">
            <v>51</v>
          </cell>
          <cell r="C3103">
            <v>203</v>
          </cell>
          <cell r="D3103">
            <v>11</v>
          </cell>
          <cell r="E3103" t="str">
            <v>OPERATING SURPLUS, GROSS</v>
          </cell>
          <cell r="F3103">
            <v>12</v>
          </cell>
          <cell r="G3103">
            <v>1996</v>
          </cell>
          <cell r="H3103">
            <v>400</v>
          </cell>
          <cell r="I3103">
            <v>354153000000</v>
          </cell>
        </row>
        <row r="3104">
          <cell r="A3104" t="str">
            <v>Armenia</v>
          </cell>
          <cell r="B3104">
            <v>51</v>
          </cell>
          <cell r="C3104">
            <v>203</v>
          </cell>
          <cell r="D3104">
            <v>11</v>
          </cell>
          <cell r="E3104" t="str">
            <v>OPERATING SURPLUS, GROSS</v>
          </cell>
          <cell r="F3104">
            <v>12</v>
          </cell>
          <cell r="G3104">
            <v>1997</v>
          </cell>
          <cell r="H3104">
            <v>400</v>
          </cell>
          <cell r="I3104">
            <v>396856000000</v>
          </cell>
        </row>
        <row r="3105">
          <cell r="A3105" t="str">
            <v>Armenia</v>
          </cell>
          <cell r="B3105">
            <v>51</v>
          </cell>
          <cell r="C3105">
            <v>203</v>
          </cell>
          <cell r="D3105">
            <v>11</v>
          </cell>
          <cell r="E3105" t="str">
            <v>OPERATING SURPLUS, GROSS</v>
          </cell>
          <cell r="F3105">
            <v>12</v>
          </cell>
          <cell r="G3105">
            <v>1998</v>
          </cell>
          <cell r="H3105">
            <v>400</v>
          </cell>
          <cell r="I3105">
            <v>465171000000</v>
          </cell>
        </row>
        <row r="3106">
          <cell r="A3106" t="str">
            <v>Armenia</v>
          </cell>
          <cell r="B3106">
            <v>51</v>
          </cell>
          <cell r="C3106">
            <v>203</v>
          </cell>
          <cell r="D3106">
            <v>11</v>
          </cell>
          <cell r="E3106" t="str">
            <v>OPERATING SURPLUS, GROSS</v>
          </cell>
          <cell r="F3106">
            <v>12</v>
          </cell>
          <cell r="G3106">
            <v>1999</v>
          </cell>
          <cell r="H3106">
            <v>400</v>
          </cell>
          <cell r="I3106">
            <v>461656000000</v>
          </cell>
        </row>
        <row r="3107">
          <cell r="A3107" t="str">
            <v>Armenia</v>
          </cell>
          <cell r="B3107">
            <v>51</v>
          </cell>
          <cell r="C3107">
            <v>203</v>
          </cell>
          <cell r="D3107">
            <v>22</v>
          </cell>
          <cell r="E3107" t="str">
            <v>Taxes on production and imports, less Subsidies</v>
          </cell>
          <cell r="F3107">
            <v>12</v>
          </cell>
          <cell r="G3107">
            <v>1990</v>
          </cell>
          <cell r="H3107">
            <v>100</v>
          </cell>
          <cell r="I3107">
            <v>323000000</v>
          </cell>
        </row>
        <row r="3108">
          <cell r="A3108" t="str">
            <v>Armenia</v>
          </cell>
          <cell r="B3108">
            <v>51</v>
          </cell>
          <cell r="C3108">
            <v>203</v>
          </cell>
          <cell r="D3108">
            <v>22</v>
          </cell>
          <cell r="E3108" t="str">
            <v>Taxes on production and imports, less Subsidies</v>
          </cell>
          <cell r="F3108">
            <v>12</v>
          </cell>
          <cell r="G3108">
            <v>1991</v>
          </cell>
          <cell r="H3108">
            <v>100</v>
          </cell>
          <cell r="I3108">
            <v>74000000</v>
          </cell>
        </row>
        <row r="3109">
          <cell r="A3109" t="str">
            <v>Armenia</v>
          </cell>
          <cell r="B3109">
            <v>51</v>
          </cell>
          <cell r="C3109">
            <v>203</v>
          </cell>
          <cell r="D3109">
            <v>22</v>
          </cell>
          <cell r="E3109" t="str">
            <v>Taxes on production and imports, less Subsidies</v>
          </cell>
          <cell r="F3109">
            <v>12</v>
          </cell>
          <cell r="G3109">
            <v>1992</v>
          </cell>
          <cell r="H3109">
            <v>100</v>
          </cell>
          <cell r="I3109">
            <v>141000000</v>
          </cell>
        </row>
        <row r="3110">
          <cell r="A3110" t="str">
            <v>Armenia</v>
          </cell>
          <cell r="B3110">
            <v>51</v>
          </cell>
          <cell r="C3110">
            <v>203</v>
          </cell>
          <cell r="D3110">
            <v>22</v>
          </cell>
          <cell r="E3110" t="str">
            <v>Taxes on production and imports, less Subsidies</v>
          </cell>
          <cell r="F3110">
            <v>12</v>
          </cell>
          <cell r="G3110">
            <v>1993</v>
          </cell>
          <cell r="H3110">
            <v>100</v>
          </cell>
          <cell r="I3110">
            <v>915000000</v>
          </cell>
        </row>
        <row r="3111">
          <cell r="A3111" t="str">
            <v>Armenia</v>
          </cell>
          <cell r="B3111">
            <v>51</v>
          </cell>
          <cell r="C3111">
            <v>203</v>
          </cell>
          <cell r="D3111">
            <v>22</v>
          </cell>
          <cell r="E3111" t="str">
            <v>Taxes on production and imports, less Subsidies</v>
          </cell>
          <cell r="F3111">
            <v>12</v>
          </cell>
          <cell r="G3111">
            <v>1994</v>
          </cell>
          <cell r="H3111">
            <v>400</v>
          </cell>
          <cell r="I3111">
            <v>2799000000</v>
          </cell>
        </row>
        <row r="3112">
          <cell r="A3112" t="str">
            <v>Armenia</v>
          </cell>
          <cell r="B3112">
            <v>51</v>
          </cell>
          <cell r="C3112">
            <v>203</v>
          </cell>
          <cell r="D3112">
            <v>22</v>
          </cell>
          <cell r="E3112" t="str">
            <v>Taxes on production and imports, less Subsidies</v>
          </cell>
          <cell r="F3112">
            <v>12</v>
          </cell>
          <cell r="G3112">
            <v>1995</v>
          </cell>
          <cell r="H3112">
            <v>400</v>
          </cell>
          <cell r="I3112">
            <v>6645000000</v>
          </cell>
        </row>
        <row r="3113">
          <cell r="A3113" t="str">
            <v>Armenia</v>
          </cell>
          <cell r="B3113">
            <v>51</v>
          </cell>
          <cell r="C3113">
            <v>203</v>
          </cell>
          <cell r="D3113">
            <v>22</v>
          </cell>
          <cell r="E3113" t="str">
            <v>Taxes on production and imports, less Subsidies</v>
          </cell>
          <cell r="F3113">
            <v>12</v>
          </cell>
          <cell r="G3113">
            <v>1996</v>
          </cell>
          <cell r="H3113">
            <v>400</v>
          </cell>
          <cell r="I3113">
            <v>6212000000</v>
          </cell>
        </row>
        <row r="3114">
          <cell r="A3114" t="str">
            <v>Armenia</v>
          </cell>
          <cell r="B3114">
            <v>51</v>
          </cell>
          <cell r="C3114">
            <v>203</v>
          </cell>
          <cell r="D3114">
            <v>22</v>
          </cell>
          <cell r="E3114" t="str">
            <v>Taxes on production and imports, less Subsidies</v>
          </cell>
          <cell r="F3114">
            <v>12</v>
          </cell>
          <cell r="G3114">
            <v>1997</v>
          </cell>
          <cell r="H3114">
            <v>400</v>
          </cell>
          <cell r="I3114">
            <v>7102000000</v>
          </cell>
        </row>
        <row r="3115">
          <cell r="A3115" t="str">
            <v>Armenia</v>
          </cell>
          <cell r="B3115">
            <v>51</v>
          </cell>
          <cell r="C3115">
            <v>203</v>
          </cell>
          <cell r="D3115">
            <v>22</v>
          </cell>
          <cell r="E3115" t="str">
            <v>Taxes on production and imports, less Subsidies</v>
          </cell>
          <cell r="F3115">
            <v>12</v>
          </cell>
          <cell r="G3115">
            <v>1998</v>
          </cell>
          <cell r="H3115">
            <v>400</v>
          </cell>
          <cell r="I3115">
            <v>7299000000</v>
          </cell>
        </row>
        <row r="3116">
          <cell r="A3116" t="str">
            <v>Armenia</v>
          </cell>
          <cell r="B3116">
            <v>51</v>
          </cell>
          <cell r="C3116">
            <v>203</v>
          </cell>
          <cell r="D3116">
            <v>22</v>
          </cell>
          <cell r="E3116" t="str">
            <v>Taxes on production and imports, less Subsidies</v>
          </cell>
          <cell r="F3116">
            <v>12</v>
          </cell>
          <cell r="G3116">
            <v>1999</v>
          </cell>
          <cell r="H3116">
            <v>400</v>
          </cell>
          <cell r="I3116">
            <v>18119000000</v>
          </cell>
        </row>
        <row r="3117">
          <cell r="A3117" t="str">
            <v>Bermuda</v>
          </cell>
          <cell r="B3117">
            <v>60</v>
          </cell>
          <cell r="C3117">
            <v>201</v>
          </cell>
          <cell r="D3117">
            <v>13</v>
          </cell>
          <cell r="E3117" t="str">
            <v>Less: Financial intermediation services indirectly measured (FISIM) (only to be deducted if FISIM is not distributed to uses)</v>
          </cell>
          <cell r="F3117">
            <v>0</v>
          </cell>
          <cell r="G3117">
            <v>1996</v>
          </cell>
          <cell r="H3117">
            <v>100</v>
          </cell>
          <cell r="I3117">
            <v>105000000</v>
          </cell>
        </row>
        <row r="3118">
          <cell r="A3118" t="str">
            <v>Bermuda</v>
          </cell>
          <cell r="B3118">
            <v>60</v>
          </cell>
          <cell r="C3118">
            <v>201</v>
          </cell>
          <cell r="D3118">
            <v>13</v>
          </cell>
          <cell r="E3118" t="str">
            <v>Less: Financial intermediation services indirectly measured (FISIM) (only to be deducted if FISIM is not distributed to uses)</v>
          </cell>
          <cell r="F3118">
            <v>0</v>
          </cell>
          <cell r="G3118">
            <v>1997</v>
          </cell>
          <cell r="H3118">
            <v>100</v>
          </cell>
          <cell r="I3118">
            <v>136000000</v>
          </cell>
        </row>
        <row r="3119">
          <cell r="A3119" t="str">
            <v>Bermuda</v>
          </cell>
          <cell r="B3119">
            <v>60</v>
          </cell>
          <cell r="C3119">
            <v>201</v>
          </cell>
          <cell r="D3119">
            <v>13</v>
          </cell>
          <cell r="E3119" t="str">
            <v>Less: Financial intermediation services indirectly measured (FISIM) (only to be deducted if FISIM is not distributed to uses)</v>
          </cell>
          <cell r="F3119">
            <v>0</v>
          </cell>
          <cell r="G3119">
            <v>1998</v>
          </cell>
          <cell r="H3119">
            <v>100</v>
          </cell>
          <cell r="I3119">
            <v>152000000</v>
          </cell>
        </row>
        <row r="3120">
          <cell r="A3120" t="str">
            <v>Bermuda</v>
          </cell>
          <cell r="B3120">
            <v>60</v>
          </cell>
          <cell r="C3120">
            <v>201</v>
          </cell>
          <cell r="D3120">
            <v>13</v>
          </cell>
          <cell r="E3120" t="str">
            <v>Less: Financial intermediation services indirectly measured (FISIM) (only to be deducted if FISIM is not distributed to uses)</v>
          </cell>
          <cell r="F3120">
            <v>0</v>
          </cell>
          <cell r="G3120">
            <v>1999</v>
          </cell>
          <cell r="H3120">
            <v>100</v>
          </cell>
          <cell r="I3120">
            <v>171000000</v>
          </cell>
        </row>
        <row r="3121">
          <cell r="A3121" t="str">
            <v>Bermuda</v>
          </cell>
          <cell r="B3121">
            <v>60</v>
          </cell>
          <cell r="C3121">
            <v>201</v>
          </cell>
          <cell r="D3121">
            <v>13</v>
          </cell>
          <cell r="E3121" t="str">
            <v>Less: Financial intermediation services indirectly measured (FISIM) (only to be deducted if FISIM is not distributed to uses)</v>
          </cell>
          <cell r="F3121">
            <v>0</v>
          </cell>
          <cell r="G3121">
            <v>2000</v>
          </cell>
          <cell r="H3121">
            <v>100</v>
          </cell>
          <cell r="I3121">
            <v>174000000</v>
          </cell>
        </row>
        <row r="3122">
          <cell r="A3122" t="str">
            <v>Bermuda</v>
          </cell>
          <cell r="B3122">
            <v>60</v>
          </cell>
          <cell r="C3122">
            <v>201</v>
          </cell>
          <cell r="D3122">
            <v>13</v>
          </cell>
          <cell r="E3122" t="str">
            <v>Less: Financial intermediation services indirectly measured (FISIM) (only to be deducted if FISIM is not distributed to uses)</v>
          </cell>
          <cell r="F3122">
            <v>0</v>
          </cell>
          <cell r="G3122">
            <v>2001</v>
          </cell>
          <cell r="H3122">
            <v>100</v>
          </cell>
          <cell r="I3122">
            <v>230000000</v>
          </cell>
        </row>
        <row r="3123">
          <cell r="A3123" t="str">
            <v>Bermuda</v>
          </cell>
          <cell r="B3123">
            <v>60</v>
          </cell>
          <cell r="C3123">
            <v>201</v>
          </cell>
          <cell r="D3123">
            <v>13</v>
          </cell>
          <cell r="E3123" t="str">
            <v>Less: Financial intermediation services indirectly measured (FISIM) (only to be deducted if FISIM is not distributed to uses)</v>
          </cell>
          <cell r="F3123">
            <v>0</v>
          </cell>
          <cell r="G3123">
            <v>2002</v>
          </cell>
          <cell r="H3123">
            <v>100</v>
          </cell>
          <cell r="I3123">
            <v>226000000</v>
          </cell>
        </row>
        <row r="3124">
          <cell r="A3124" t="str">
            <v>Azerbaijan</v>
          </cell>
          <cell r="B3124">
            <v>31</v>
          </cell>
          <cell r="C3124">
            <v>203</v>
          </cell>
          <cell r="D3124">
            <v>22</v>
          </cell>
          <cell r="E3124" t="str">
            <v>Taxes on production and imports, less Subsidies</v>
          </cell>
          <cell r="F3124">
            <v>12</v>
          </cell>
          <cell r="G3124">
            <v>1990</v>
          </cell>
          <cell r="H3124">
            <v>200</v>
          </cell>
          <cell r="I3124">
            <v>45000000</v>
          </cell>
        </row>
        <row r="3125">
          <cell r="A3125" t="str">
            <v>Azerbaijan</v>
          </cell>
          <cell r="B3125">
            <v>31</v>
          </cell>
          <cell r="C3125">
            <v>203</v>
          </cell>
          <cell r="D3125">
            <v>22</v>
          </cell>
          <cell r="E3125" t="str">
            <v>Taxes on production and imports, less Subsidies</v>
          </cell>
          <cell r="F3125">
            <v>12</v>
          </cell>
          <cell r="G3125">
            <v>1991</v>
          </cell>
          <cell r="H3125">
            <v>200</v>
          </cell>
          <cell r="I3125">
            <v>23000000</v>
          </cell>
        </row>
        <row r="3126">
          <cell r="A3126" t="str">
            <v>Azerbaijan</v>
          </cell>
          <cell r="B3126">
            <v>31</v>
          </cell>
          <cell r="C3126">
            <v>203</v>
          </cell>
          <cell r="D3126">
            <v>22</v>
          </cell>
          <cell r="E3126" t="str">
            <v>Taxes on production and imports, less Subsidies</v>
          </cell>
          <cell r="F3126">
            <v>12</v>
          </cell>
          <cell r="G3126">
            <v>1992</v>
          </cell>
          <cell r="H3126">
            <v>200</v>
          </cell>
          <cell r="I3126">
            <v>82000000</v>
          </cell>
        </row>
        <row r="3127">
          <cell r="A3127" t="str">
            <v>Azerbaijan</v>
          </cell>
          <cell r="B3127">
            <v>31</v>
          </cell>
          <cell r="C3127">
            <v>203</v>
          </cell>
          <cell r="D3127">
            <v>22</v>
          </cell>
          <cell r="E3127" t="str">
            <v>Taxes on production and imports, less Subsidies</v>
          </cell>
          <cell r="F3127">
            <v>12</v>
          </cell>
          <cell r="G3127">
            <v>1993</v>
          </cell>
          <cell r="H3127">
            <v>200</v>
          </cell>
          <cell r="I3127">
            <v>2050000000</v>
          </cell>
        </row>
        <row r="3128">
          <cell r="A3128" t="str">
            <v>Azerbaijan</v>
          </cell>
          <cell r="B3128">
            <v>31</v>
          </cell>
          <cell r="C3128">
            <v>203</v>
          </cell>
          <cell r="D3128">
            <v>22</v>
          </cell>
          <cell r="E3128" t="str">
            <v>Taxes on production and imports, less Subsidies</v>
          </cell>
          <cell r="F3128">
            <v>12</v>
          </cell>
          <cell r="G3128">
            <v>1994</v>
          </cell>
          <cell r="H3128">
            <v>200</v>
          </cell>
          <cell r="I3128">
            <v>13220500000</v>
          </cell>
        </row>
        <row r="3129">
          <cell r="A3129" t="str">
            <v>Azerbaijan</v>
          </cell>
          <cell r="B3129">
            <v>31</v>
          </cell>
          <cell r="C3129">
            <v>203</v>
          </cell>
          <cell r="D3129">
            <v>22</v>
          </cell>
          <cell r="E3129" t="str">
            <v>Taxes on production and imports, less Subsidies</v>
          </cell>
          <cell r="F3129">
            <v>12</v>
          </cell>
          <cell r="G3129">
            <v>1995</v>
          </cell>
          <cell r="H3129">
            <v>200</v>
          </cell>
          <cell r="I3129">
            <v>21000000000</v>
          </cell>
        </row>
        <row r="3130">
          <cell r="A3130" t="str">
            <v>Azerbaijan</v>
          </cell>
          <cell r="B3130">
            <v>31</v>
          </cell>
          <cell r="C3130">
            <v>203</v>
          </cell>
          <cell r="D3130">
            <v>22</v>
          </cell>
          <cell r="E3130" t="str">
            <v>Taxes on production and imports, less Subsidies</v>
          </cell>
          <cell r="F3130">
            <v>12</v>
          </cell>
          <cell r="G3130">
            <v>1996</v>
          </cell>
          <cell r="H3130">
            <v>200</v>
          </cell>
          <cell r="I3130">
            <v>125000000000</v>
          </cell>
        </row>
        <row r="3131">
          <cell r="A3131" t="str">
            <v>Azerbaijan</v>
          </cell>
          <cell r="B3131">
            <v>31</v>
          </cell>
          <cell r="C3131">
            <v>203</v>
          </cell>
          <cell r="D3131">
            <v>22</v>
          </cell>
          <cell r="E3131" t="str">
            <v>Taxes on production and imports, less Subsidies</v>
          </cell>
          <cell r="F3131">
            <v>12</v>
          </cell>
          <cell r="G3131">
            <v>1997</v>
          </cell>
          <cell r="H3131">
            <v>200</v>
          </cell>
          <cell r="I3131">
            <v>173300000000</v>
          </cell>
        </row>
        <row r="3132">
          <cell r="A3132" t="str">
            <v>Azerbaijan</v>
          </cell>
          <cell r="B3132">
            <v>31</v>
          </cell>
          <cell r="C3132">
            <v>203</v>
          </cell>
          <cell r="D3132">
            <v>22</v>
          </cell>
          <cell r="E3132" t="str">
            <v>Taxes on production and imports, less Subsidies</v>
          </cell>
          <cell r="F3132">
            <v>12</v>
          </cell>
          <cell r="G3132">
            <v>1998</v>
          </cell>
          <cell r="H3132">
            <v>200</v>
          </cell>
          <cell r="I3132">
            <v>135200000000</v>
          </cell>
        </row>
        <row r="3133">
          <cell r="A3133" t="str">
            <v>Azerbaijan</v>
          </cell>
          <cell r="B3133">
            <v>31</v>
          </cell>
          <cell r="C3133">
            <v>203</v>
          </cell>
          <cell r="D3133">
            <v>22</v>
          </cell>
          <cell r="E3133" t="str">
            <v>Taxes on production and imports, less Subsidies</v>
          </cell>
          <cell r="F3133">
            <v>12</v>
          </cell>
          <cell r="G3133">
            <v>1999</v>
          </cell>
          <cell r="H3133">
            <v>200</v>
          </cell>
          <cell r="I3133">
            <v>174300000000</v>
          </cell>
        </row>
        <row r="3134">
          <cell r="A3134" t="str">
            <v>Azerbaijan</v>
          </cell>
          <cell r="B3134">
            <v>31</v>
          </cell>
          <cell r="C3134">
            <v>203</v>
          </cell>
          <cell r="D3134">
            <v>22</v>
          </cell>
          <cell r="E3134" t="str">
            <v>Taxes on production and imports, less Subsidies</v>
          </cell>
          <cell r="F3134">
            <v>12</v>
          </cell>
          <cell r="G3134">
            <v>2000</v>
          </cell>
          <cell r="H3134">
            <v>200</v>
          </cell>
          <cell r="I3134">
            <v>200600000000</v>
          </cell>
        </row>
        <row r="3135">
          <cell r="A3135" t="str">
            <v>Azerbaijan</v>
          </cell>
          <cell r="B3135">
            <v>31</v>
          </cell>
          <cell r="C3135">
            <v>203</v>
          </cell>
          <cell r="D3135">
            <v>22</v>
          </cell>
          <cell r="E3135" t="str">
            <v>Taxes on production and imports, less Subsidies</v>
          </cell>
          <cell r="F3135">
            <v>12</v>
          </cell>
          <cell r="G3135">
            <v>2001</v>
          </cell>
          <cell r="H3135">
            <v>200</v>
          </cell>
          <cell r="I3135">
            <v>191700000000</v>
          </cell>
        </row>
        <row r="3136">
          <cell r="A3136" t="str">
            <v>Bermuda</v>
          </cell>
          <cell r="B3136">
            <v>60</v>
          </cell>
          <cell r="C3136">
            <v>203</v>
          </cell>
          <cell r="D3136">
            <v>3</v>
          </cell>
          <cell r="E3136" t="str">
            <v>Equals: VALUE ADDED, GROSS, at basic prices</v>
          </cell>
          <cell r="F3136">
            <v>12</v>
          </cell>
          <cell r="G3136">
            <v>1996</v>
          </cell>
          <cell r="H3136">
            <v>100</v>
          </cell>
          <cell r="I3136">
            <v>2643000000</v>
          </cell>
        </row>
        <row r="3137">
          <cell r="A3137" t="str">
            <v>Bermuda</v>
          </cell>
          <cell r="B3137">
            <v>60</v>
          </cell>
          <cell r="C3137">
            <v>203</v>
          </cell>
          <cell r="D3137">
            <v>3</v>
          </cell>
          <cell r="E3137" t="str">
            <v>Equals: VALUE ADDED, GROSS, at basic prices</v>
          </cell>
          <cell r="F3137">
            <v>12</v>
          </cell>
          <cell r="G3137">
            <v>1997</v>
          </cell>
          <cell r="H3137">
            <v>100</v>
          </cell>
          <cell r="I3137">
            <v>2877000000</v>
          </cell>
        </row>
        <row r="3138">
          <cell r="A3138" t="str">
            <v>Bermuda</v>
          </cell>
          <cell r="B3138">
            <v>60</v>
          </cell>
          <cell r="C3138">
            <v>203</v>
          </cell>
          <cell r="D3138">
            <v>3</v>
          </cell>
          <cell r="E3138" t="str">
            <v>Equals: VALUE ADDED, GROSS, at basic prices</v>
          </cell>
          <cell r="F3138">
            <v>12</v>
          </cell>
          <cell r="G3138">
            <v>1998</v>
          </cell>
          <cell r="H3138">
            <v>100</v>
          </cell>
          <cell r="I3138">
            <v>3021000000</v>
          </cell>
        </row>
        <row r="3139">
          <cell r="A3139" t="str">
            <v>Bermuda</v>
          </cell>
          <cell r="B3139">
            <v>60</v>
          </cell>
          <cell r="C3139">
            <v>203</v>
          </cell>
          <cell r="D3139">
            <v>4</v>
          </cell>
          <cell r="E3139" t="str">
            <v>Compensation of employees</v>
          </cell>
          <cell r="F3139">
            <v>12</v>
          </cell>
          <cell r="G3139">
            <v>1996</v>
          </cell>
          <cell r="H3139">
            <v>100</v>
          </cell>
          <cell r="I3139">
            <v>1555000000</v>
          </cell>
        </row>
        <row r="3140">
          <cell r="A3140" t="str">
            <v>Bermuda</v>
          </cell>
          <cell r="B3140">
            <v>60</v>
          </cell>
          <cell r="C3140">
            <v>203</v>
          </cell>
          <cell r="D3140">
            <v>4</v>
          </cell>
          <cell r="E3140" t="str">
            <v>Compensation of employees</v>
          </cell>
          <cell r="F3140">
            <v>12</v>
          </cell>
          <cell r="G3140">
            <v>1997</v>
          </cell>
          <cell r="H3140">
            <v>100</v>
          </cell>
          <cell r="I3140">
            <v>1682000000</v>
          </cell>
        </row>
        <row r="3141">
          <cell r="A3141" t="str">
            <v>Bermuda</v>
          </cell>
          <cell r="B3141">
            <v>60</v>
          </cell>
          <cell r="C3141">
            <v>203</v>
          </cell>
          <cell r="D3141">
            <v>4</v>
          </cell>
          <cell r="E3141" t="str">
            <v>Compensation of employees</v>
          </cell>
          <cell r="F3141">
            <v>12</v>
          </cell>
          <cell r="G3141">
            <v>1998</v>
          </cell>
          <cell r="H3141">
            <v>100</v>
          </cell>
          <cell r="I3141">
            <v>1855000000</v>
          </cell>
        </row>
        <row r="3142">
          <cell r="A3142" t="str">
            <v>Bermuda</v>
          </cell>
          <cell r="B3142">
            <v>60</v>
          </cell>
          <cell r="C3142">
            <v>203</v>
          </cell>
          <cell r="D3142">
            <v>11</v>
          </cell>
          <cell r="E3142" t="str">
            <v>OPERATING SURPLUS, GROSS</v>
          </cell>
          <cell r="F3142">
            <v>12</v>
          </cell>
          <cell r="G3142">
            <v>1996</v>
          </cell>
          <cell r="H3142">
            <v>100</v>
          </cell>
          <cell r="I3142">
            <v>694000000</v>
          </cell>
        </row>
        <row r="3143">
          <cell r="A3143" t="str">
            <v>Bermuda</v>
          </cell>
          <cell r="B3143">
            <v>60</v>
          </cell>
          <cell r="C3143">
            <v>203</v>
          </cell>
          <cell r="D3143">
            <v>11</v>
          </cell>
          <cell r="E3143" t="str">
            <v>OPERATING SURPLUS, GROSS</v>
          </cell>
          <cell r="F3143">
            <v>12</v>
          </cell>
          <cell r="G3143">
            <v>1997</v>
          </cell>
          <cell r="H3143">
            <v>100</v>
          </cell>
          <cell r="I3143">
            <v>764000000</v>
          </cell>
        </row>
        <row r="3144">
          <cell r="A3144" t="str">
            <v>Bermuda</v>
          </cell>
          <cell r="B3144">
            <v>60</v>
          </cell>
          <cell r="C3144">
            <v>203</v>
          </cell>
          <cell r="D3144">
            <v>11</v>
          </cell>
          <cell r="E3144" t="str">
            <v>OPERATING SURPLUS, GROSS</v>
          </cell>
          <cell r="F3144">
            <v>12</v>
          </cell>
          <cell r="G3144">
            <v>1998</v>
          </cell>
          <cell r="H3144">
            <v>100</v>
          </cell>
          <cell r="I3144">
            <v>746000000</v>
          </cell>
        </row>
        <row r="3145">
          <cell r="A3145" t="str">
            <v>Austria</v>
          </cell>
          <cell r="B3145">
            <v>40</v>
          </cell>
          <cell r="C3145">
            <v>201</v>
          </cell>
          <cell r="D3145">
            <v>13</v>
          </cell>
          <cell r="E3145" t="str">
            <v>Less: Financial intermediation services indirectly measured (FISIM) (only to be deducted if FISIM is not distributed to uses)</v>
          </cell>
          <cell r="F3145">
            <v>0</v>
          </cell>
          <cell r="G3145">
            <v>1954</v>
          </cell>
          <cell r="H3145">
            <v>10</v>
          </cell>
          <cell r="I3145">
            <v>1520000000</v>
          </cell>
        </row>
        <row r="3146">
          <cell r="A3146" t="str">
            <v>Austria</v>
          </cell>
          <cell r="B3146">
            <v>40</v>
          </cell>
          <cell r="C3146">
            <v>201</v>
          </cell>
          <cell r="D3146">
            <v>13</v>
          </cell>
          <cell r="E3146" t="str">
            <v>Less: Financial intermediation services indirectly measured (FISIM) (only to be deducted if FISIM is not distributed to uses)</v>
          </cell>
          <cell r="F3146">
            <v>0</v>
          </cell>
          <cell r="G3146">
            <v>1955</v>
          </cell>
          <cell r="H3146">
            <v>10</v>
          </cell>
          <cell r="I3146">
            <v>1920000000</v>
          </cell>
        </row>
        <row r="3147">
          <cell r="A3147" t="str">
            <v>Austria</v>
          </cell>
          <cell r="B3147">
            <v>40</v>
          </cell>
          <cell r="C3147">
            <v>201</v>
          </cell>
          <cell r="D3147">
            <v>13</v>
          </cell>
          <cell r="E3147" t="str">
            <v>Less: Financial intermediation services indirectly measured (FISIM) (only to be deducted if FISIM is not distributed to uses)</v>
          </cell>
          <cell r="F3147">
            <v>0</v>
          </cell>
          <cell r="G3147">
            <v>1956</v>
          </cell>
          <cell r="H3147">
            <v>10</v>
          </cell>
          <cell r="I3147">
            <v>2360000000</v>
          </cell>
        </row>
        <row r="3148">
          <cell r="A3148" t="str">
            <v>Austria</v>
          </cell>
          <cell r="B3148">
            <v>40</v>
          </cell>
          <cell r="C3148">
            <v>201</v>
          </cell>
          <cell r="D3148">
            <v>13</v>
          </cell>
          <cell r="E3148" t="str">
            <v>Less: Financial intermediation services indirectly measured (FISIM) (only to be deducted if FISIM is not distributed to uses)</v>
          </cell>
          <cell r="F3148">
            <v>0</v>
          </cell>
          <cell r="G3148">
            <v>1957</v>
          </cell>
          <cell r="H3148">
            <v>10</v>
          </cell>
          <cell r="I3148">
            <v>2690000000</v>
          </cell>
        </row>
        <row r="3149">
          <cell r="A3149" t="str">
            <v>Austria</v>
          </cell>
          <cell r="B3149">
            <v>40</v>
          </cell>
          <cell r="C3149">
            <v>201</v>
          </cell>
          <cell r="D3149">
            <v>13</v>
          </cell>
          <cell r="E3149" t="str">
            <v>Less: Financial intermediation services indirectly measured (FISIM) (only to be deducted if FISIM is not distributed to uses)</v>
          </cell>
          <cell r="F3149">
            <v>0</v>
          </cell>
          <cell r="G3149">
            <v>1958</v>
          </cell>
          <cell r="H3149">
            <v>10</v>
          </cell>
          <cell r="I3149">
            <v>2930000000</v>
          </cell>
        </row>
        <row r="3150">
          <cell r="A3150" t="str">
            <v>Austria</v>
          </cell>
          <cell r="B3150">
            <v>40</v>
          </cell>
          <cell r="C3150">
            <v>201</v>
          </cell>
          <cell r="D3150">
            <v>13</v>
          </cell>
          <cell r="E3150" t="str">
            <v>Less: Financial intermediation services indirectly measured (FISIM) (only to be deducted if FISIM is not distributed to uses)</v>
          </cell>
          <cell r="F3150">
            <v>0</v>
          </cell>
          <cell r="G3150">
            <v>1959</v>
          </cell>
          <cell r="H3150">
            <v>10</v>
          </cell>
          <cell r="I3150">
            <v>3260000000</v>
          </cell>
        </row>
        <row r="3151">
          <cell r="A3151" t="str">
            <v>Austria</v>
          </cell>
          <cell r="B3151">
            <v>40</v>
          </cell>
          <cell r="C3151">
            <v>201</v>
          </cell>
          <cell r="D3151">
            <v>13</v>
          </cell>
          <cell r="E3151" t="str">
            <v>Less: Financial intermediation services indirectly measured (FISIM) (only to be deducted if FISIM is not distributed to uses)</v>
          </cell>
          <cell r="F3151">
            <v>0</v>
          </cell>
          <cell r="G3151">
            <v>1960</v>
          </cell>
          <cell r="H3151">
            <v>10</v>
          </cell>
          <cell r="I3151">
            <v>3730000000</v>
          </cell>
        </row>
        <row r="3152">
          <cell r="A3152" t="str">
            <v>Austria</v>
          </cell>
          <cell r="B3152">
            <v>40</v>
          </cell>
          <cell r="C3152">
            <v>201</v>
          </cell>
          <cell r="D3152">
            <v>13</v>
          </cell>
          <cell r="E3152" t="str">
            <v>Less: Financial intermediation services indirectly measured (FISIM) (only to be deducted if FISIM is not distributed to uses)</v>
          </cell>
          <cell r="F3152">
            <v>0</v>
          </cell>
          <cell r="G3152">
            <v>1961</v>
          </cell>
          <cell r="H3152">
            <v>10</v>
          </cell>
          <cell r="I3152">
            <v>4110000000</v>
          </cell>
        </row>
        <row r="3153">
          <cell r="A3153" t="str">
            <v>Austria</v>
          </cell>
          <cell r="B3153">
            <v>40</v>
          </cell>
          <cell r="C3153">
            <v>201</v>
          </cell>
          <cell r="D3153">
            <v>13</v>
          </cell>
          <cell r="E3153" t="str">
            <v>Less: Financial intermediation services indirectly measured (FISIM) (only to be deducted if FISIM is not distributed to uses)</v>
          </cell>
          <cell r="F3153">
            <v>0</v>
          </cell>
          <cell r="G3153">
            <v>1962</v>
          </cell>
          <cell r="H3153">
            <v>10</v>
          </cell>
          <cell r="I3153">
            <v>4380000000</v>
          </cell>
        </row>
        <row r="3154">
          <cell r="A3154" t="str">
            <v>Austria</v>
          </cell>
          <cell r="B3154">
            <v>40</v>
          </cell>
          <cell r="C3154">
            <v>201</v>
          </cell>
          <cell r="D3154">
            <v>13</v>
          </cell>
          <cell r="E3154" t="str">
            <v>Less: Financial intermediation services indirectly measured (FISIM) (only to be deducted if FISIM is not distributed to uses)</v>
          </cell>
          <cell r="F3154">
            <v>0</v>
          </cell>
          <cell r="G3154">
            <v>1963</v>
          </cell>
          <cell r="H3154">
            <v>10</v>
          </cell>
          <cell r="I3154">
            <v>4600000000</v>
          </cell>
        </row>
        <row r="3155">
          <cell r="A3155" t="str">
            <v>Austria</v>
          </cell>
          <cell r="B3155">
            <v>40</v>
          </cell>
          <cell r="C3155">
            <v>201</v>
          </cell>
          <cell r="D3155">
            <v>13</v>
          </cell>
          <cell r="E3155" t="str">
            <v>Less: Financial intermediation services indirectly measured (FISIM) (only to be deducted if FISIM is not distributed to uses)</v>
          </cell>
          <cell r="F3155">
            <v>0</v>
          </cell>
          <cell r="G3155">
            <v>1964</v>
          </cell>
          <cell r="H3155">
            <v>10</v>
          </cell>
          <cell r="I3155">
            <v>4960000000</v>
          </cell>
        </row>
        <row r="3156">
          <cell r="A3156" t="str">
            <v>Austria</v>
          </cell>
          <cell r="B3156">
            <v>40</v>
          </cell>
          <cell r="C3156">
            <v>201</v>
          </cell>
          <cell r="D3156">
            <v>13</v>
          </cell>
          <cell r="E3156" t="str">
            <v>Less: Financial intermediation services indirectly measured (FISIM) (only to be deducted if FISIM is not distributed to uses)</v>
          </cell>
          <cell r="F3156">
            <v>0</v>
          </cell>
          <cell r="G3156">
            <v>1965</v>
          </cell>
          <cell r="H3156">
            <v>10</v>
          </cell>
          <cell r="I3156">
            <v>5690000000</v>
          </cell>
        </row>
        <row r="3157">
          <cell r="A3157" t="str">
            <v>Austria</v>
          </cell>
          <cell r="B3157">
            <v>40</v>
          </cell>
          <cell r="C3157">
            <v>201</v>
          </cell>
          <cell r="D3157">
            <v>13</v>
          </cell>
          <cell r="E3157" t="str">
            <v>Less: Financial intermediation services indirectly measured (FISIM) (only to be deducted if FISIM is not distributed to uses)</v>
          </cell>
          <cell r="F3157">
            <v>0</v>
          </cell>
          <cell r="G3157">
            <v>1966</v>
          </cell>
          <cell r="H3157">
            <v>10</v>
          </cell>
          <cell r="I3157">
            <v>6600000000</v>
          </cell>
        </row>
        <row r="3158">
          <cell r="A3158" t="str">
            <v>Austria</v>
          </cell>
          <cell r="B3158">
            <v>40</v>
          </cell>
          <cell r="C3158">
            <v>201</v>
          </cell>
          <cell r="D3158">
            <v>13</v>
          </cell>
          <cell r="E3158" t="str">
            <v>Less: Financial intermediation services indirectly measured (FISIM) (only to be deducted if FISIM is not distributed to uses)</v>
          </cell>
          <cell r="F3158">
            <v>0</v>
          </cell>
          <cell r="G3158">
            <v>1967</v>
          </cell>
          <cell r="H3158">
            <v>10</v>
          </cell>
          <cell r="I3158">
            <v>7400000000</v>
          </cell>
        </row>
        <row r="3159">
          <cell r="A3159" t="str">
            <v>Austria</v>
          </cell>
          <cell r="B3159">
            <v>40</v>
          </cell>
          <cell r="C3159">
            <v>201</v>
          </cell>
          <cell r="D3159">
            <v>13</v>
          </cell>
          <cell r="E3159" t="str">
            <v>Less: Financial intermediation services indirectly measured (FISIM) (only to be deducted if FISIM is not distributed to uses)</v>
          </cell>
          <cell r="F3159">
            <v>0</v>
          </cell>
          <cell r="G3159">
            <v>1968</v>
          </cell>
          <cell r="H3159">
            <v>10</v>
          </cell>
          <cell r="I3159">
            <v>8140000000</v>
          </cell>
        </row>
        <row r="3160">
          <cell r="A3160" t="str">
            <v>Austria</v>
          </cell>
          <cell r="B3160">
            <v>40</v>
          </cell>
          <cell r="C3160">
            <v>201</v>
          </cell>
          <cell r="D3160">
            <v>13</v>
          </cell>
          <cell r="E3160" t="str">
            <v>Less: Financial intermediation services indirectly measured (FISIM) (only to be deducted if FISIM is not distributed to uses)</v>
          </cell>
          <cell r="F3160">
            <v>0</v>
          </cell>
          <cell r="G3160">
            <v>1969</v>
          </cell>
          <cell r="H3160">
            <v>10</v>
          </cell>
          <cell r="I3160">
            <v>9530000000</v>
          </cell>
        </row>
        <row r="3161">
          <cell r="A3161" t="str">
            <v>Austria</v>
          </cell>
          <cell r="B3161">
            <v>40</v>
          </cell>
          <cell r="C3161">
            <v>201</v>
          </cell>
          <cell r="D3161">
            <v>13</v>
          </cell>
          <cell r="E3161" t="str">
            <v>Less: Financial intermediation services indirectly measured (FISIM) (only to be deducted if FISIM is not distributed to uses)</v>
          </cell>
          <cell r="F3161">
            <v>0</v>
          </cell>
          <cell r="G3161">
            <v>1970</v>
          </cell>
          <cell r="H3161">
            <v>10</v>
          </cell>
          <cell r="I3161">
            <v>11740000000</v>
          </cell>
        </row>
        <row r="3162">
          <cell r="A3162" t="str">
            <v>Austria</v>
          </cell>
          <cell r="B3162">
            <v>40</v>
          </cell>
          <cell r="C3162">
            <v>201</v>
          </cell>
          <cell r="D3162">
            <v>13</v>
          </cell>
          <cell r="E3162" t="str">
            <v>Less: Financial intermediation services indirectly measured (FISIM) (only to be deducted if FISIM is not distributed to uses)</v>
          </cell>
          <cell r="F3162">
            <v>0</v>
          </cell>
          <cell r="G3162">
            <v>1970</v>
          </cell>
          <cell r="H3162">
            <v>200</v>
          </cell>
          <cell r="I3162">
            <v>764798440.428918</v>
          </cell>
        </row>
        <row r="3163">
          <cell r="A3163" t="str">
            <v>Austria</v>
          </cell>
          <cell r="B3163">
            <v>40</v>
          </cell>
          <cell r="C3163">
            <v>201</v>
          </cell>
          <cell r="D3163">
            <v>13</v>
          </cell>
          <cell r="E3163" t="str">
            <v>Less: Financial intermediation services indirectly measured (FISIM) (only to be deducted if FISIM is not distributed to uses)</v>
          </cell>
          <cell r="F3163">
            <v>0</v>
          </cell>
          <cell r="G3163">
            <v>1971</v>
          </cell>
          <cell r="H3163">
            <v>200</v>
          </cell>
          <cell r="I3163">
            <v>892481996.07122505</v>
          </cell>
        </row>
        <row r="3164">
          <cell r="A3164" t="str">
            <v>Austria</v>
          </cell>
          <cell r="B3164">
            <v>40</v>
          </cell>
          <cell r="C3164">
            <v>201</v>
          </cell>
          <cell r="D3164">
            <v>13</v>
          </cell>
          <cell r="E3164" t="str">
            <v>Less: Financial intermediation services indirectly measured (FISIM) (only to be deducted if FISIM is not distributed to uses)</v>
          </cell>
          <cell r="F3164">
            <v>0</v>
          </cell>
          <cell r="G3164">
            <v>1972</v>
          </cell>
          <cell r="H3164">
            <v>200</v>
          </cell>
          <cell r="I3164">
            <v>992804789.79017997</v>
          </cell>
        </row>
        <row r="3165">
          <cell r="A3165" t="str">
            <v>Austria</v>
          </cell>
          <cell r="B3165">
            <v>40</v>
          </cell>
          <cell r="C3165">
            <v>201</v>
          </cell>
          <cell r="D3165">
            <v>13</v>
          </cell>
          <cell r="E3165" t="str">
            <v>Less: Financial intermediation services indirectly measured (FISIM) (only to be deducted if FISIM is not distributed to uses)</v>
          </cell>
          <cell r="F3165">
            <v>0</v>
          </cell>
          <cell r="G3165">
            <v>1973</v>
          </cell>
          <cell r="H3165">
            <v>200</v>
          </cell>
          <cell r="I3165">
            <v>1230582839.8383501</v>
          </cell>
        </row>
        <row r="3166">
          <cell r="A3166" t="str">
            <v>Austria</v>
          </cell>
          <cell r="B3166">
            <v>40</v>
          </cell>
          <cell r="C3166">
            <v>201</v>
          </cell>
          <cell r="D3166">
            <v>13</v>
          </cell>
          <cell r="E3166" t="str">
            <v>Less: Financial intermediation services indirectly measured (FISIM) (only to be deducted if FISIM is not distributed to uses)</v>
          </cell>
          <cell r="F3166">
            <v>0</v>
          </cell>
          <cell r="G3166">
            <v>1974</v>
          </cell>
          <cell r="H3166">
            <v>200</v>
          </cell>
          <cell r="I3166">
            <v>1519173733.4584601</v>
          </cell>
        </row>
        <row r="3167">
          <cell r="A3167" t="str">
            <v>Austria</v>
          </cell>
          <cell r="B3167">
            <v>40</v>
          </cell>
          <cell r="C3167">
            <v>201</v>
          </cell>
          <cell r="D3167">
            <v>13</v>
          </cell>
          <cell r="E3167" t="str">
            <v>Less: Financial intermediation services indirectly measured (FISIM) (only to be deducted if FISIM is not distributed to uses)</v>
          </cell>
          <cell r="F3167">
            <v>0</v>
          </cell>
          <cell r="G3167">
            <v>1975</v>
          </cell>
          <cell r="H3167">
            <v>200</v>
          </cell>
          <cell r="I3167">
            <v>1725682341.3085201</v>
          </cell>
        </row>
        <row r="3168">
          <cell r="A3168" t="str">
            <v>Austria</v>
          </cell>
          <cell r="B3168">
            <v>40</v>
          </cell>
          <cell r="C3168">
            <v>201</v>
          </cell>
          <cell r="D3168">
            <v>13</v>
          </cell>
          <cell r="E3168" t="str">
            <v>Less: Financial intermediation services indirectly measured (FISIM) (only to be deducted if FISIM is not distributed to uses)</v>
          </cell>
          <cell r="F3168">
            <v>0</v>
          </cell>
          <cell r="G3168">
            <v>1976</v>
          </cell>
          <cell r="H3168">
            <v>200</v>
          </cell>
          <cell r="I3168">
            <v>1825614267</v>
          </cell>
        </row>
        <row r="3169">
          <cell r="A3169" t="str">
            <v>Austria</v>
          </cell>
          <cell r="B3169">
            <v>40</v>
          </cell>
          <cell r="C3169">
            <v>201</v>
          </cell>
          <cell r="D3169">
            <v>13</v>
          </cell>
          <cell r="E3169" t="str">
            <v>Less: Financial intermediation services indirectly measured (FISIM) (only to be deducted if FISIM is not distributed to uses)</v>
          </cell>
          <cell r="F3169">
            <v>0</v>
          </cell>
          <cell r="G3169">
            <v>1977</v>
          </cell>
          <cell r="H3169">
            <v>200</v>
          </cell>
          <cell r="I3169">
            <v>2212597109</v>
          </cell>
        </row>
        <row r="3170">
          <cell r="A3170" t="str">
            <v>Austria</v>
          </cell>
          <cell r="B3170">
            <v>40</v>
          </cell>
          <cell r="C3170">
            <v>201</v>
          </cell>
          <cell r="D3170">
            <v>13</v>
          </cell>
          <cell r="E3170" t="str">
            <v>Less: Financial intermediation services indirectly measured (FISIM) (only to be deducted if FISIM is not distributed to uses)</v>
          </cell>
          <cell r="F3170">
            <v>0</v>
          </cell>
          <cell r="G3170">
            <v>1978</v>
          </cell>
          <cell r="H3170">
            <v>200</v>
          </cell>
          <cell r="I3170">
            <v>2466879356</v>
          </cell>
        </row>
        <row r="3171">
          <cell r="A3171" t="str">
            <v>Austria</v>
          </cell>
          <cell r="B3171">
            <v>40</v>
          </cell>
          <cell r="C3171">
            <v>201</v>
          </cell>
          <cell r="D3171">
            <v>13</v>
          </cell>
          <cell r="E3171" t="str">
            <v>Less: Financial intermediation services indirectly measured (FISIM) (only to be deducted if FISIM is not distributed to uses)</v>
          </cell>
          <cell r="F3171">
            <v>0</v>
          </cell>
          <cell r="G3171">
            <v>1979</v>
          </cell>
          <cell r="H3171">
            <v>200</v>
          </cell>
          <cell r="I3171">
            <v>2704446851</v>
          </cell>
        </row>
        <row r="3172">
          <cell r="A3172" t="str">
            <v>Belize</v>
          </cell>
          <cell r="B3172">
            <v>84</v>
          </cell>
          <cell r="C3172">
            <v>201</v>
          </cell>
          <cell r="D3172">
            <v>13</v>
          </cell>
          <cell r="E3172" t="str">
            <v>Less: Financial intermediation services indirectly measured (FISIM) (only to be deducted if FISIM is not distributed to uses)</v>
          </cell>
          <cell r="F3172">
            <v>0</v>
          </cell>
          <cell r="G3172">
            <v>1973</v>
          </cell>
          <cell r="H3172">
            <v>20</v>
          </cell>
          <cell r="I3172">
            <v>4500000</v>
          </cell>
        </row>
        <row r="3173">
          <cell r="A3173" t="str">
            <v>Belize</v>
          </cell>
          <cell r="B3173">
            <v>84</v>
          </cell>
          <cell r="C3173">
            <v>201</v>
          </cell>
          <cell r="D3173">
            <v>13</v>
          </cell>
          <cell r="E3173" t="str">
            <v>Less: Financial intermediation services indirectly measured (FISIM) (only to be deducted if FISIM is not distributed to uses)</v>
          </cell>
          <cell r="F3173">
            <v>0</v>
          </cell>
          <cell r="G3173">
            <v>1974</v>
          </cell>
          <cell r="H3173">
            <v>20</v>
          </cell>
          <cell r="I3173">
            <v>4500000</v>
          </cell>
        </row>
        <row r="3174">
          <cell r="A3174" t="str">
            <v>Belize</v>
          </cell>
          <cell r="B3174">
            <v>84</v>
          </cell>
          <cell r="C3174">
            <v>201</v>
          </cell>
          <cell r="D3174">
            <v>13</v>
          </cell>
          <cell r="E3174" t="str">
            <v>Less: Financial intermediation services indirectly measured (FISIM) (only to be deducted if FISIM is not distributed to uses)</v>
          </cell>
          <cell r="F3174">
            <v>0</v>
          </cell>
          <cell r="G3174">
            <v>1975</v>
          </cell>
          <cell r="H3174">
            <v>20</v>
          </cell>
          <cell r="I3174">
            <v>4300000</v>
          </cell>
        </row>
        <row r="3175">
          <cell r="A3175" t="str">
            <v>Belize</v>
          </cell>
          <cell r="B3175">
            <v>84</v>
          </cell>
          <cell r="C3175">
            <v>201</v>
          </cell>
          <cell r="D3175">
            <v>13</v>
          </cell>
          <cell r="E3175" t="str">
            <v>Less: Financial intermediation services indirectly measured (FISIM) (only to be deducted if FISIM is not distributed to uses)</v>
          </cell>
          <cell r="F3175">
            <v>0</v>
          </cell>
          <cell r="G3175">
            <v>1976</v>
          </cell>
          <cell r="H3175">
            <v>20</v>
          </cell>
          <cell r="I3175">
            <v>5100000</v>
          </cell>
        </row>
        <row r="3176">
          <cell r="A3176" t="str">
            <v>Belize</v>
          </cell>
          <cell r="B3176">
            <v>84</v>
          </cell>
          <cell r="C3176">
            <v>201</v>
          </cell>
          <cell r="D3176">
            <v>13</v>
          </cell>
          <cell r="E3176" t="str">
            <v>Less: Financial intermediation services indirectly measured (FISIM) (only to be deducted if FISIM is not distributed to uses)</v>
          </cell>
          <cell r="F3176">
            <v>0</v>
          </cell>
          <cell r="G3176">
            <v>1977</v>
          </cell>
          <cell r="H3176">
            <v>20</v>
          </cell>
          <cell r="I3176">
            <v>4900000</v>
          </cell>
        </row>
        <row r="3177">
          <cell r="A3177" t="str">
            <v>Belize</v>
          </cell>
          <cell r="B3177">
            <v>84</v>
          </cell>
          <cell r="C3177">
            <v>201</v>
          </cell>
          <cell r="D3177">
            <v>13</v>
          </cell>
          <cell r="E3177" t="str">
            <v>Less: Financial intermediation services indirectly measured (FISIM) (only to be deducted if FISIM is not distributed to uses)</v>
          </cell>
          <cell r="F3177">
            <v>0</v>
          </cell>
          <cell r="G3177">
            <v>1978</v>
          </cell>
          <cell r="H3177">
            <v>20</v>
          </cell>
          <cell r="I3177">
            <v>5200000</v>
          </cell>
        </row>
        <row r="3178">
          <cell r="A3178" t="str">
            <v>Belize</v>
          </cell>
          <cell r="B3178">
            <v>84</v>
          </cell>
          <cell r="C3178">
            <v>201</v>
          </cell>
          <cell r="D3178">
            <v>13</v>
          </cell>
          <cell r="E3178" t="str">
            <v>Less: Financial intermediation services indirectly measured (FISIM) (only to be deducted if FISIM is not distributed to uses)</v>
          </cell>
          <cell r="F3178">
            <v>0</v>
          </cell>
          <cell r="G3178">
            <v>1979</v>
          </cell>
          <cell r="H3178">
            <v>20</v>
          </cell>
          <cell r="I3178">
            <v>5900000</v>
          </cell>
        </row>
        <row r="3179">
          <cell r="A3179" t="str">
            <v>Belize</v>
          </cell>
          <cell r="B3179">
            <v>84</v>
          </cell>
          <cell r="C3179">
            <v>201</v>
          </cell>
          <cell r="D3179">
            <v>13</v>
          </cell>
          <cell r="E3179" t="str">
            <v>Less: Financial intermediation services indirectly measured (FISIM) (only to be deducted if FISIM is not distributed to uses)</v>
          </cell>
          <cell r="F3179">
            <v>0</v>
          </cell>
          <cell r="G3179">
            <v>1980</v>
          </cell>
          <cell r="H3179">
            <v>20</v>
          </cell>
          <cell r="I3179">
            <v>11500000</v>
          </cell>
        </row>
        <row r="3180">
          <cell r="A3180" t="str">
            <v>Belize</v>
          </cell>
          <cell r="B3180">
            <v>84</v>
          </cell>
          <cell r="C3180">
            <v>201</v>
          </cell>
          <cell r="D3180">
            <v>13</v>
          </cell>
          <cell r="E3180" t="str">
            <v>Less: Financial intermediation services indirectly measured (FISIM) (only to be deducted if FISIM is not distributed to uses)</v>
          </cell>
          <cell r="F3180">
            <v>0</v>
          </cell>
          <cell r="G3180">
            <v>1981</v>
          </cell>
          <cell r="H3180">
            <v>20</v>
          </cell>
          <cell r="I3180">
            <v>14300000</v>
          </cell>
        </row>
        <row r="3181">
          <cell r="A3181" t="str">
            <v>Belize</v>
          </cell>
          <cell r="B3181">
            <v>84</v>
          </cell>
          <cell r="C3181">
            <v>201</v>
          </cell>
          <cell r="D3181">
            <v>13</v>
          </cell>
          <cell r="E3181" t="str">
            <v>Less: Financial intermediation services indirectly measured (FISIM) (only to be deducted if FISIM is not distributed to uses)</v>
          </cell>
          <cell r="F3181">
            <v>0</v>
          </cell>
          <cell r="G3181">
            <v>1982</v>
          </cell>
          <cell r="H3181">
            <v>20</v>
          </cell>
          <cell r="I3181">
            <v>12400000</v>
          </cell>
        </row>
        <row r="3182">
          <cell r="A3182" t="str">
            <v>Belize</v>
          </cell>
          <cell r="B3182">
            <v>84</v>
          </cell>
          <cell r="C3182">
            <v>201</v>
          </cell>
          <cell r="D3182">
            <v>13</v>
          </cell>
          <cell r="E3182" t="str">
            <v>Less: Financial intermediation services indirectly measured (FISIM) (only to be deducted if FISIM is not distributed to uses)</v>
          </cell>
          <cell r="F3182">
            <v>0</v>
          </cell>
          <cell r="G3182">
            <v>1983</v>
          </cell>
          <cell r="H3182">
            <v>20</v>
          </cell>
          <cell r="I3182">
            <v>11800000</v>
          </cell>
        </row>
        <row r="3183">
          <cell r="A3183" t="str">
            <v>Belize</v>
          </cell>
          <cell r="B3183">
            <v>84</v>
          </cell>
          <cell r="C3183">
            <v>201</v>
          </cell>
          <cell r="D3183">
            <v>13</v>
          </cell>
          <cell r="E3183" t="str">
            <v>Less: Financial intermediation services indirectly measured (FISIM) (only to be deducted if FISIM is not distributed to uses)</v>
          </cell>
          <cell r="F3183">
            <v>0</v>
          </cell>
          <cell r="G3183">
            <v>1984</v>
          </cell>
          <cell r="H3183">
            <v>20</v>
          </cell>
          <cell r="I3183">
            <v>12400000</v>
          </cell>
        </row>
        <row r="3184">
          <cell r="A3184" t="str">
            <v>Belize</v>
          </cell>
          <cell r="B3184">
            <v>84</v>
          </cell>
          <cell r="C3184">
            <v>201</v>
          </cell>
          <cell r="D3184">
            <v>13</v>
          </cell>
          <cell r="E3184" t="str">
            <v>Less: Financial intermediation services indirectly measured (FISIM) (only to be deducted if FISIM is not distributed to uses)</v>
          </cell>
          <cell r="F3184">
            <v>0</v>
          </cell>
          <cell r="G3184">
            <v>1985</v>
          </cell>
          <cell r="H3184">
            <v>20</v>
          </cell>
          <cell r="I3184">
            <v>10200000</v>
          </cell>
        </row>
        <row r="3185">
          <cell r="A3185" t="str">
            <v>Belize</v>
          </cell>
          <cell r="B3185">
            <v>84</v>
          </cell>
          <cell r="C3185">
            <v>201</v>
          </cell>
          <cell r="D3185">
            <v>13</v>
          </cell>
          <cell r="E3185" t="str">
            <v>Less: Financial intermediation services indirectly measured (FISIM) (only to be deducted if FISIM is not distributed to uses)</v>
          </cell>
          <cell r="F3185">
            <v>0</v>
          </cell>
          <cell r="G3185">
            <v>1986</v>
          </cell>
          <cell r="H3185">
            <v>20</v>
          </cell>
          <cell r="I3185">
            <v>12100000</v>
          </cell>
        </row>
        <row r="3186">
          <cell r="A3186" t="str">
            <v>Belize</v>
          </cell>
          <cell r="B3186">
            <v>84</v>
          </cell>
          <cell r="C3186">
            <v>201</v>
          </cell>
          <cell r="D3186">
            <v>13</v>
          </cell>
          <cell r="E3186" t="str">
            <v>Less: Financial intermediation services indirectly measured (FISIM) (only to be deducted if FISIM is not distributed to uses)</v>
          </cell>
          <cell r="F3186">
            <v>0</v>
          </cell>
          <cell r="G3186">
            <v>1986</v>
          </cell>
          <cell r="H3186">
            <v>100</v>
          </cell>
          <cell r="I3186">
            <v>12100000</v>
          </cell>
        </row>
        <row r="3187">
          <cell r="A3187" t="str">
            <v>Belize</v>
          </cell>
          <cell r="B3187">
            <v>84</v>
          </cell>
          <cell r="C3187">
            <v>201</v>
          </cell>
          <cell r="D3187">
            <v>13</v>
          </cell>
          <cell r="E3187" t="str">
            <v>Less: Financial intermediation services indirectly measured (FISIM) (only to be deducted if FISIM is not distributed to uses)</v>
          </cell>
          <cell r="F3187">
            <v>0</v>
          </cell>
          <cell r="G3187">
            <v>1987</v>
          </cell>
          <cell r="H3187">
            <v>100</v>
          </cell>
          <cell r="I3187">
            <v>14500000</v>
          </cell>
        </row>
        <row r="3188">
          <cell r="A3188" t="str">
            <v>Belize</v>
          </cell>
          <cell r="B3188">
            <v>84</v>
          </cell>
          <cell r="C3188">
            <v>201</v>
          </cell>
          <cell r="D3188">
            <v>13</v>
          </cell>
          <cell r="E3188" t="str">
            <v>Less: Financial intermediation services indirectly measured (FISIM) (only to be deducted if FISIM is not distributed to uses)</v>
          </cell>
          <cell r="F3188">
            <v>0</v>
          </cell>
          <cell r="G3188">
            <v>1988</v>
          </cell>
          <cell r="H3188">
            <v>100</v>
          </cell>
          <cell r="I3188">
            <v>21200000</v>
          </cell>
        </row>
        <row r="3189">
          <cell r="A3189" t="str">
            <v>Belize</v>
          </cell>
          <cell r="B3189">
            <v>84</v>
          </cell>
          <cell r="C3189">
            <v>201</v>
          </cell>
          <cell r="D3189">
            <v>13</v>
          </cell>
          <cell r="E3189" t="str">
            <v>Less: Financial intermediation services indirectly measured (FISIM) (only to be deducted if FISIM is not distributed to uses)</v>
          </cell>
          <cell r="F3189">
            <v>0</v>
          </cell>
          <cell r="G3189">
            <v>1989</v>
          </cell>
          <cell r="H3189">
            <v>100</v>
          </cell>
          <cell r="I3189">
            <v>30500000</v>
          </cell>
        </row>
        <row r="3190">
          <cell r="A3190" t="str">
            <v>Belize</v>
          </cell>
          <cell r="B3190">
            <v>84</v>
          </cell>
          <cell r="C3190">
            <v>201</v>
          </cell>
          <cell r="D3190">
            <v>13</v>
          </cell>
          <cell r="E3190" t="str">
            <v>Less: Financial intermediation services indirectly measured (FISIM) (only to be deducted if FISIM is not distributed to uses)</v>
          </cell>
          <cell r="F3190">
            <v>0</v>
          </cell>
          <cell r="G3190">
            <v>1990</v>
          </cell>
          <cell r="H3190">
            <v>100</v>
          </cell>
          <cell r="I3190">
            <v>32500000</v>
          </cell>
        </row>
        <row r="3191">
          <cell r="A3191" t="str">
            <v>Belize</v>
          </cell>
          <cell r="B3191">
            <v>84</v>
          </cell>
          <cell r="C3191">
            <v>201</v>
          </cell>
          <cell r="D3191">
            <v>13</v>
          </cell>
          <cell r="E3191" t="str">
            <v>Less: Financial intermediation services indirectly measured (FISIM) (only to be deducted if FISIM is not distributed to uses)</v>
          </cell>
          <cell r="F3191">
            <v>0</v>
          </cell>
          <cell r="G3191">
            <v>1991</v>
          </cell>
          <cell r="H3191">
            <v>100</v>
          </cell>
          <cell r="I3191">
            <v>32200000</v>
          </cell>
        </row>
        <row r="3192">
          <cell r="A3192" t="str">
            <v>Belize</v>
          </cell>
          <cell r="B3192">
            <v>84</v>
          </cell>
          <cell r="C3192">
            <v>201</v>
          </cell>
          <cell r="D3192">
            <v>13</v>
          </cell>
          <cell r="E3192" t="str">
            <v>Less: Financial intermediation services indirectly measured (FISIM) (only to be deducted if FISIM is not distributed to uses)</v>
          </cell>
          <cell r="F3192">
            <v>0</v>
          </cell>
          <cell r="G3192">
            <v>1992</v>
          </cell>
          <cell r="H3192">
            <v>100</v>
          </cell>
          <cell r="I3192">
            <v>36300000</v>
          </cell>
        </row>
        <row r="3193">
          <cell r="A3193" t="str">
            <v>Belize</v>
          </cell>
          <cell r="B3193">
            <v>84</v>
          </cell>
          <cell r="C3193">
            <v>201</v>
          </cell>
          <cell r="D3193">
            <v>13</v>
          </cell>
          <cell r="E3193" t="str">
            <v>Less: Financial intermediation services indirectly measured (FISIM) (only to be deducted if FISIM is not distributed to uses)</v>
          </cell>
          <cell r="F3193">
            <v>0</v>
          </cell>
          <cell r="G3193">
            <v>1993</v>
          </cell>
          <cell r="H3193">
            <v>100</v>
          </cell>
          <cell r="I3193">
            <v>37300000</v>
          </cell>
        </row>
        <row r="3194">
          <cell r="A3194" t="str">
            <v>Belize</v>
          </cell>
          <cell r="B3194">
            <v>84</v>
          </cell>
          <cell r="C3194">
            <v>201</v>
          </cell>
          <cell r="D3194">
            <v>13</v>
          </cell>
          <cell r="E3194" t="str">
            <v>Less: Financial intermediation services indirectly measured (FISIM) (only to be deducted if FISIM is not distributed to uses)</v>
          </cell>
          <cell r="F3194">
            <v>0</v>
          </cell>
          <cell r="G3194">
            <v>1994</v>
          </cell>
          <cell r="H3194">
            <v>100</v>
          </cell>
          <cell r="I3194">
            <v>38400000</v>
          </cell>
        </row>
        <row r="3195">
          <cell r="A3195" t="str">
            <v>Belize</v>
          </cell>
          <cell r="B3195">
            <v>84</v>
          </cell>
          <cell r="C3195">
            <v>201</v>
          </cell>
          <cell r="D3195">
            <v>13</v>
          </cell>
          <cell r="E3195" t="str">
            <v>Less: Financial intermediation services indirectly measured (FISIM) (only to be deducted if FISIM is not distributed to uses)</v>
          </cell>
          <cell r="F3195">
            <v>0</v>
          </cell>
          <cell r="G3195">
            <v>1995</v>
          </cell>
          <cell r="H3195">
            <v>100</v>
          </cell>
          <cell r="I3195">
            <v>39500000</v>
          </cell>
        </row>
        <row r="3196">
          <cell r="A3196" t="str">
            <v>Belize</v>
          </cell>
          <cell r="B3196">
            <v>84</v>
          </cell>
          <cell r="C3196">
            <v>201</v>
          </cell>
          <cell r="D3196">
            <v>13</v>
          </cell>
          <cell r="E3196" t="str">
            <v>Less: Financial intermediation services indirectly measured (FISIM) (only to be deducted if FISIM is not distributed to uses)</v>
          </cell>
          <cell r="F3196">
            <v>0</v>
          </cell>
          <cell r="G3196">
            <v>1996</v>
          </cell>
          <cell r="H3196">
            <v>100</v>
          </cell>
          <cell r="I3196">
            <v>41900000</v>
          </cell>
        </row>
        <row r="3197">
          <cell r="A3197" t="str">
            <v>Belize</v>
          </cell>
          <cell r="B3197">
            <v>84</v>
          </cell>
          <cell r="C3197">
            <v>201</v>
          </cell>
          <cell r="D3197">
            <v>13</v>
          </cell>
          <cell r="E3197" t="str">
            <v>Less: Financial intermediation services indirectly measured (FISIM) (only to be deducted if FISIM is not distributed to uses)</v>
          </cell>
          <cell r="F3197">
            <v>0</v>
          </cell>
          <cell r="G3197">
            <v>1997</v>
          </cell>
          <cell r="H3197">
            <v>100</v>
          </cell>
          <cell r="I3197">
            <v>43700000</v>
          </cell>
        </row>
        <row r="3198">
          <cell r="A3198" t="str">
            <v>Belize</v>
          </cell>
          <cell r="B3198">
            <v>84</v>
          </cell>
          <cell r="C3198">
            <v>201</v>
          </cell>
          <cell r="D3198">
            <v>13</v>
          </cell>
          <cell r="E3198" t="str">
            <v>Less: Financial intermediation services indirectly measured (FISIM) (only to be deducted if FISIM is not distributed to uses)</v>
          </cell>
          <cell r="F3198">
            <v>0</v>
          </cell>
          <cell r="G3198">
            <v>1998</v>
          </cell>
          <cell r="H3198">
            <v>100</v>
          </cell>
          <cell r="I3198">
            <v>44200000</v>
          </cell>
        </row>
        <row r="3199">
          <cell r="A3199" t="str">
            <v>Austria</v>
          </cell>
          <cell r="B3199">
            <v>40</v>
          </cell>
          <cell r="C3199">
            <v>201</v>
          </cell>
          <cell r="D3199">
            <v>13</v>
          </cell>
          <cell r="E3199" t="str">
            <v>Less: Financial intermediation services indirectly measured (FISIM) (only to be deducted if FISIM is not distributed to uses)</v>
          </cell>
          <cell r="F3199">
            <v>0</v>
          </cell>
          <cell r="G3199">
            <v>1980</v>
          </cell>
          <cell r="H3199">
            <v>200</v>
          </cell>
          <cell r="I3199">
            <v>2978132744</v>
          </cell>
        </row>
        <row r="3200">
          <cell r="A3200" t="str">
            <v>Austria</v>
          </cell>
          <cell r="B3200">
            <v>40</v>
          </cell>
          <cell r="C3200">
            <v>201</v>
          </cell>
          <cell r="D3200">
            <v>13</v>
          </cell>
          <cell r="E3200" t="str">
            <v>Less: Financial intermediation services indirectly measured (FISIM) (only to be deducted if FISIM is not distributed to uses)</v>
          </cell>
          <cell r="F3200">
            <v>0</v>
          </cell>
          <cell r="G3200">
            <v>1981</v>
          </cell>
          <cell r="H3200">
            <v>200</v>
          </cell>
          <cell r="I3200">
            <v>3493891848</v>
          </cell>
        </row>
        <row r="3201">
          <cell r="A3201" t="str">
            <v>Austria</v>
          </cell>
          <cell r="B3201">
            <v>40</v>
          </cell>
          <cell r="C3201">
            <v>201</v>
          </cell>
          <cell r="D3201">
            <v>13</v>
          </cell>
          <cell r="E3201" t="str">
            <v>Less: Financial intermediation services indirectly measured (FISIM) (only to be deducted if FISIM is not distributed to uses)</v>
          </cell>
          <cell r="F3201">
            <v>0</v>
          </cell>
          <cell r="G3201">
            <v>1982</v>
          </cell>
          <cell r="H3201">
            <v>200</v>
          </cell>
          <cell r="I3201">
            <v>3904638707</v>
          </cell>
        </row>
        <row r="3202">
          <cell r="A3202" t="str">
            <v>Austria</v>
          </cell>
          <cell r="B3202">
            <v>40</v>
          </cell>
          <cell r="C3202">
            <v>201</v>
          </cell>
          <cell r="D3202">
            <v>13</v>
          </cell>
          <cell r="E3202" t="str">
            <v>Less: Financial intermediation services indirectly measured (FISIM) (only to be deducted if FISIM is not distributed to uses)</v>
          </cell>
          <cell r="F3202">
            <v>0</v>
          </cell>
          <cell r="G3202">
            <v>1983</v>
          </cell>
          <cell r="H3202">
            <v>200</v>
          </cell>
          <cell r="I3202">
            <v>3940466414</v>
          </cell>
        </row>
        <row r="3203">
          <cell r="A3203" t="str">
            <v>Austria</v>
          </cell>
          <cell r="B3203">
            <v>40</v>
          </cell>
          <cell r="C3203">
            <v>201</v>
          </cell>
          <cell r="D3203">
            <v>13</v>
          </cell>
          <cell r="E3203" t="str">
            <v>Less: Financial intermediation services indirectly measured (FISIM) (only to be deducted if FISIM is not distributed to uses)</v>
          </cell>
          <cell r="F3203">
            <v>0</v>
          </cell>
          <cell r="G3203">
            <v>1984</v>
          </cell>
          <cell r="H3203">
            <v>200</v>
          </cell>
          <cell r="I3203">
            <v>4072876318</v>
          </cell>
        </row>
        <row r="3204">
          <cell r="A3204" t="str">
            <v>Austria</v>
          </cell>
          <cell r="B3204">
            <v>40</v>
          </cell>
          <cell r="C3204">
            <v>201</v>
          </cell>
          <cell r="D3204">
            <v>13</v>
          </cell>
          <cell r="E3204" t="str">
            <v>Less: Financial intermediation services indirectly measured (FISIM) (only to be deducted if FISIM is not distributed to uses)</v>
          </cell>
          <cell r="F3204">
            <v>0</v>
          </cell>
          <cell r="G3204">
            <v>1985</v>
          </cell>
          <cell r="H3204">
            <v>200</v>
          </cell>
          <cell r="I3204">
            <v>4414220620</v>
          </cell>
        </row>
        <row r="3205">
          <cell r="A3205" t="str">
            <v>Austria</v>
          </cell>
          <cell r="B3205">
            <v>40</v>
          </cell>
          <cell r="C3205">
            <v>201</v>
          </cell>
          <cell r="D3205">
            <v>13</v>
          </cell>
          <cell r="E3205" t="str">
            <v>Less: Financial intermediation services indirectly measured (FISIM) (only to be deducted if FISIM is not distributed to uses)</v>
          </cell>
          <cell r="F3205">
            <v>0</v>
          </cell>
          <cell r="G3205">
            <v>1986</v>
          </cell>
          <cell r="H3205">
            <v>200</v>
          </cell>
          <cell r="I3205">
            <v>4821188492</v>
          </cell>
        </row>
        <row r="3206">
          <cell r="A3206" t="str">
            <v>Austria</v>
          </cell>
          <cell r="B3206">
            <v>40</v>
          </cell>
          <cell r="C3206">
            <v>201</v>
          </cell>
          <cell r="D3206">
            <v>13</v>
          </cell>
          <cell r="E3206" t="str">
            <v>Less: Financial intermediation services indirectly measured (FISIM) (only to be deducted if FISIM is not distributed to uses)</v>
          </cell>
          <cell r="F3206">
            <v>0</v>
          </cell>
          <cell r="G3206">
            <v>1987</v>
          </cell>
          <cell r="H3206">
            <v>200</v>
          </cell>
          <cell r="I3206">
            <v>5251338997</v>
          </cell>
        </row>
        <row r="3207">
          <cell r="A3207" t="str">
            <v>Austria</v>
          </cell>
          <cell r="B3207">
            <v>40</v>
          </cell>
          <cell r="C3207">
            <v>201</v>
          </cell>
          <cell r="D3207">
            <v>13</v>
          </cell>
          <cell r="E3207" t="str">
            <v>Less: Financial intermediation services indirectly measured (FISIM) (only to be deducted if FISIM is not distributed to uses)</v>
          </cell>
          <cell r="F3207">
            <v>0</v>
          </cell>
          <cell r="G3207">
            <v>1988</v>
          </cell>
          <cell r="H3207">
            <v>200</v>
          </cell>
          <cell r="I3207">
            <v>5593875134</v>
          </cell>
        </row>
        <row r="3208">
          <cell r="A3208" t="str">
            <v>Austria</v>
          </cell>
          <cell r="B3208">
            <v>40</v>
          </cell>
          <cell r="C3208">
            <v>201</v>
          </cell>
          <cell r="D3208">
            <v>13</v>
          </cell>
          <cell r="E3208" t="str">
            <v>Less: Financial intermediation services indirectly measured (FISIM) (only to be deducted if FISIM is not distributed to uses)</v>
          </cell>
          <cell r="F3208">
            <v>0</v>
          </cell>
          <cell r="G3208">
            <v>1989</v>
          </cell>
          <cell r="H3208">
            <v>200</v>
          </cell>
          <cell r="I3208">
            <v>5942908221</v>
          </cell>
        </row>
        <row r="3209">
          <cell r="A3209" t="str">
            <v>Austria</v>
          </cell>
          <cell r="B3209">
            <v>40</v>
          </cell>
          <cell r="C3209">
            <v>201</v>
          </cell>
          <cell r="D3209">
            <v>13</v>
          </cell>
          <cell r="E3209" t="str">
            <v>Less: Financial intermediation services indirectly measured (FISIM) (only to be deducted if FISIM is not distributed to uses)</v>
          </cell>
          <cell r="F3209">
            <v>0</v>
          </cell>
          <cell r="G3209">
            <v>1990</v>
          </cell>
          <cell r="H3209">
            <v>200</v>
          </cell>
          <cell r="I3209">
            <v>6521805484</v>
          </cell>
        </row>
        <row r="3210">
          <cell r="A3210" t="str">
            <v>Austria</v>
          </cell>
          <cell r="B3210">
            <v>40</v>
          </cell>
          <cell r="C3210">
            <v>201</v>
          </cell>
          <cell r="D3210">
            <v>13</v>
          </cell>
          <cell r="E3210" t="str">
            <v>Less: Financial intermediation services indirectly measured (FISIM) (only to be deducted if FISIM is not distributed to uses)</v>
          </cell>
          <cell r="F3210">
            <v>0</v>
          </cell>
          <cell r="G3210">
            <v>1991</v>
          </cell>
          <cell r="H3210">
            <v>200</v>
          </cell>
          <cell r="I3210">
            <v>7014461894</v>
          </cell>
        </row>
        <row r="3211">
          <cell r="A3211" t="str">
            <v>Austria</v>
          </cell>
          <cell r="B3211">
            <v>40</v>
          </cell>
          <cell r="C3211">
            <v>201</v>
          </cell>
          <cell r="D3211">
            <v>13</v>
          </cell>
          <cell r="E3211" t="str">
            <v>Less: Financial intermediation services indirectly measured (FISIM) (only to be deducted if FISIM is not distributed to uses)</v>
          </cell>
          <cell r="F3211">
            <v>0</v>
          </cell>
          <cell r="G3211">
            <v>1992</v>
          </cell>
          <cell r="H3211">
            <v>200</v>
          </cell>
          <cell r="I3211">
            <v>7557865744</v>
          </cell>
        </row>
        <row r="3212">
          <cell r="A3212" t="str">
            <v>Austria</v>
          </cell>
          <cell r="B3212">
            <v>40</v>
          </cell>
          <cell r="C3212">
            <v>201</v>
          </cell>
          <cell r="D3212">
            <v>13</v>
          </cell>
          <cell r="E3212" t="str">
            <v>Less: Financial intermediation services indirectly measured (FISIM) (only to be deducted if FISIM is not distributed to uses)</v>
          </cell>
          <cell r="F3212">
            <v>0</v>
          </cell>
          <cell r="G3212">
            <v>1993</v>
          </cell>
          <cell r="H3212">
            <v>200</v>
          </cell>
          <cell r="I3212">
            <v>8192553941</v>
          </cell>
        </row>
        <row r="3213">
          <cell r="A3213" t="str">
            <v>Austria</v>
          </cell>
          <cell r="B3213">
            <v>40</v>
          </cell>
          <cell r="C3213">
            <v>201</v>
          </cell>
          <cell r="D3213">
            <v>13</v>
          </cell>
          <cell r="E3213" t="str">
            <v>Less: Financial intermediation services indirectly measured (FISIM) (only to be deducted if FISIM is not distributed to uses)</v>
          </cell>
          <cell r="F3213">
            <v>0</v>
          </cell>
          <cell r="G3213">
            <v>1994</v>
          </cell>
          <cell r="H3213">
            <v>200</v>
          </cell>
          <cell r="I3213">
            <v>7938300764</v>
          </cell>
        </row>
        <row r="3214">
          <cell r="A3214" t="str">
            <v>Austria</v>
          </cell>
          <cell r="B3214">
            <v>40</v>
          </cell>
          <cell r="C3214">
            <v>201</v>
          </cell>
          <cell r="D3214">
            <v>13</v>
          </cell>
          <cell r="E3214" t="str">
            <v>Less: Financial intermediation services indirectly measured (FISIM) (only to be deducted if FISIM is not distributed to uses)</v>
          </cell>
          <cell r="F3214">
            <v>0</v>
          </cell>
          <cell r="G3214">
            <v>1995</v>
          </cell>
          <cell r="H3214">
            <v>200</v>
          </cell>
          <cell r="I3214">
            <v>8350223251</v>
          </cell>
        </row>
        <row r="3215">
          <cell r="A3215" t="str">
            <v>Austria</v>
          </cell>
          <cell r="B3215">
            <v>40</v>
          </cell>
          <cell r="C3215">
            <v>201</v>
          </cell>
          <cell r="D3215">
            <v>13</v>
          </cell>
          <cell r="E3215" t="str">
            <v>Less: Financial intermediation services indirectly measured (FISIM) (only to be deducted if FISIM is not distributed to uses)</v>
          </cell>
          <cell r="F3215">
            <v>0</v>
          </cell>
          <cell r="G3215">
            <v>1996</v>
          </cell>
          <cell r="H3215">
            <v>200</v>
          </cell>
          <cell r="I3215">
            <v>8453686966</v>
          </cell>
        </row>
        <row r="3216">
          <cell r="A3216" t="str">
            <v>Austria</v>
          </cell>
          <cell r="B3216">
            <v>40</v>
          </cell>
          <cell r="C3216">
            <v>201</v>
          </cell>
          <cell r="D3216">
            <v>13</v>
          </cell>
          <cell r="E3216" t="str">
            <v>Less: Financial intermediation services indirectly measured (FISIM) (only to be deducted if FISIM is not distributed to uses)</v>
          </cell>
          <cell r="F3216">
            <v>0</v>
          </cell>
          <cell r="G3216">
            <v>1997</v>
          </cell>
          <cell r="H3216">
            <v>200</v>
          </cell>
          <cell r="I3216">
            <v>9117530868</v>
          </cell>
        </row>
        <row r="3217">
          <cell r="A3217" t="str">
            <v>Austria</v>
          </cell>
          <cell r="B3217">
            <v>40</v>
          </cell>
          <cell r="C3217">
            <v>201</v>
          </cell>
          <cell r="D3217">
            <v>13</v>
          </cell>
          <cell r="E3217" t="str">
            <v>Less: Financial intermediation services indirectly measured (FISIM) (only to be deducted if FISIM is not distributed to uses)</v>
          </cell>
          <cell r="F3217">
            <v>0</v>
          </cell>
          <cell r="G3217">
            <v>1998</v>
          </cell>
          <cell r="H3217">
            <v>200</v>
          </cell>
          <cell r="I3217">
            <v>9054635000</v>
          </cell>
        </row>
        <row r="3218">
          <cell r="A3218" t="str">
            <v>Austria</v>
          </cell>
          <cell r="B3218">
            <v>40</v>
          </cell>
          <cell r="C3218">
            <v>201</v>
          </cell>
          <cell r="D3218">
            <v>13</v>
          </cell>
          <cell r="E3218" t="str">
            <v>Less: Financial intermediation services indirectly measured (FISIM) (only to be deducted if FISIM is not distributed to uses)</v>
          </cell>
          <cell r="F3218">
            <v>0</v>
          </cell>
          <cell r="G3218">
            <v>1999</v>
          </cell>
          <cell r="H3218">
            <v>200</v>
          </cell>
          <cell r="I3218">
            <v>8360691000</v>
          </cell>
        </row>
        <row r="3219">
          <cell r="A3219" t="str">
            <v>Austria</v>
          </cell>
          <cell r="B3219">
            <v>40</v>
          </cell>
          <cell r="C3219">
            <v>201</v>
          </cell>
          <cell r="D3219">
            <v>13</v>
          </cell>
          <cell r="E3219" t="str">
            <v>Less: Financial intermediation services indirectly measured (FISIM) (only to be deducted if FISIM is not distributed to uses)</v>
          </cell>
          <cell r="F3219">
            <v>0</v>
          </cell>
          <cell r="G3219">
            <v>2000</v>
          </cell>
          <cell r="H3219">
            <v>200</v>
          </cell>
          <cell r="I3219">
            <v>9603440000</v>
          </cell>
        </row>
        <row r="3220">
          <cell r="A3220" t="str">
            <v>Austria</v>
          </cell>
          <cell r="B3220">
            <v>40</v>
          </cell>
          <cell r="C3220">
            <v>201</v>
          </cell>
          <cell r="D3220">
            <v>13</v>
          </cell>
          <cell r="E3220" t="str">
            <v>Less: Financial intermediation services indirectly measured (FISIM) (only to be deducted if FISIM is not distributed to uses)</v>
          </cell>
          <cell r="F3220">
            <v>0</v>
          </cell>
          <cell r="G3220">
            <v>2001</v>
          </cell>
          <cell r="H3220">
            <v>200</v>
          </cell>
          <cell r="I3220">
            <v>10293473000</v>
          </cell>
        </row>
        <row r="3221">
          <cell r="A3221" t="str">
            <v>Austria</v>
          </cell>
          <cell r="B3221">
            <v>40</v>
          </cell>
          <cell r="C3221">
            <v>201</v>
          </cell>
          <cell r="D3221">
            <v>13</v>
          </cell>
          <cell r="E3221" t="str">
            <v>Less: Financial intermediation services indirectly measured (FISIM) (only to be deducted if FISIM is not distributed to uses)</v>
          </cell>
          <cell r="F3221">
            <v>0</v>
          </cell>
          <cell r="G3221">
            <v>2002</v>
          </cell>
          <cell r="H3221">
            <v>200</v>
          </cell>
          <cell r="I3221">
            <v>9887524000</v>
          </cell>
        </row>
        <row r="3222">
          <cell r="A3222" t="str">
            <v>Austria</v>
          </cell>
          <cell r="B3222">
            <v>40</v>
          </cell>
          <cell r="C3222">
            <v>201</v>
          </cell>
          <cell r="D3222">
            <v>13</v>
          </cell>
          <cell r="E3222" t="str">
            <v>Less: Financial intermediation services indirectly measured (FISIM) (only to be deducted if FISIM is not distributed to uses)</v>
          </cell>
          <cell r="F3222">
            <v>0</v>
          </cell>
          <cell r="G3222">
            <v>2003</v>
          </cell>
          <cell r="H3222">
            <v>200</v>
          </cell>
          <cell r="I3222">
            <v>9846362000</v>
          </cell>
        </row>
        <row r="3223">
          <cell r="A3223" t="str">
            <v>Belize</v>
          </cell>
          <cell r="B3223">
            <v>84</v>
          </cell>
          <cell r="C3223">
            <v>203</v>
          </cell>
          <cell r="D3223">
            <v>3</v>
          </cell>
          <cell r="E3223" t="str">
            <v>Equals: VALUE ADDED, GROSS, at basic prices</v>
          </cell>
          <cell r="F3223">
            <v>12</v>
          </cell>
          <cell r="G3223">
            <v>1990</v>
          </cell>
          <cell r="H3223">
            <v>100</v>
          </cell>
          <cell r="I3223">
            <v>709800000</v>
          </cell>
        </row>
        <row r="3224">
          <cell r="A3224" t="str">
            <v>Belize</v>
          </cell>
          <cell r="B3224">
            <v>84</v>
          </cell>
          <cell r="C3224">
            <v>203</v>
          </cell>
          <cell r="D3224">
            <v>3</v>
          </cell>
          <cell r="E3224" t="str">
            <v>Equals: VALUE ADDED, GROSS, at basic prices</v>
          </cell>
          <cell r="F3224">
            <v>12</v>
          </cell>
          <cell r="G3224">
            <v>1991</v>
          </cell>
          <cell r="H3224">
            <v>100</v>
          </cell>
          <cell r="I3224">
            <v>759500000</v>
          </cell>
        </row>
        <row r="3225">
          <cell r="A3225" t="str">
            <v>Belize</v>
          </cell>
          <cell r="B3225">
            <v>84</v>
          </cell>
          <cell r="C3225">
            <v>203</v>
          </cell>
          <cell r="D3225">
            <v>3</v>
          </cell>
          <cell r="E3225" t="str">
            <v>Equals: VALUE ADDED, GROSS, at basic prices</v>
          </cell>
          <cell r="F3225">
            <v>12</v>
          </cell>
          <cell r="G3225">
            <v>1992</v>
          </cell>
          <cell r="H3225">
            <v>100</v>
          </cell>
          <cell r="I3225">
            <v>829000000</v>
          </cell>
        </row>
        <row r="3226">
          <cell r="A3226" t="str">
            <v>Belize</v>
          </cell>
          <cell r="B3226">
            <v>84</v>
          </cell>
          <cell r="C3226">
            <v>203</v>
          </cell>
          <cell r="D3226">
            <v>3</v>
          </cell>
          <cell r="E3226" t="str">
            <v>Equals: VALUE ADDED, GROSS, at basic prices</v>
          </cell>
          <cell r="F3226">
            <v>12</v>
          </cell>
          <cell r="G3226">
            <v>1993</v>
          </cell>
          <cell r="H3226">
            <v>100</v>
          </cell>
          <cell r="I3226">
            <v>902000000</v>
          </cell>
        </row>
        <row r="3227">
          <cell r="A3227" t="str">
            <v>Belize</v>
          </cell>
          <cell r="B3227">
            <v>84</v>
          </cell>
          <cell r="C3227">
            <v>203</v>
          </cell>
          <cell r="D3227">
            <v>3</v>
          </cell>
          <cell r="E3227" t="str">
            <v>Equals: VALUE ADDED, GROSS, at basic prices</v>
          </cell>
          <cell r="F3227">
            <v>12</v>
          </cell>
          <cell r="G3227">
            <v>1994</v>
          </cell>
          <cell r="H3227">
            <v>100</v>
          </cell>
          <cell r="I3227">
            <v>930000000</v>
          </cell>
        </row>
        <row r="3228">
          <cell r="A3228" t="str">
            <v>Belize</v>
          </cell>
          <cell r="B3228">
            <v>84</v>
          </cell>
          <cell r="C3228">
            <v>203</v>
          </cell>
          <cell r="D3228">
            <v>3</v>
          </cell>
          <cell r="E3228" t="str">
            <v>Equals: VALUE ADDED, GROSS, at basic prices</v>
          </cell>
          <cell r="F3228">
            <v>12</v>
          </cell>
          <cell r="G3228">
            <v>1995</v>
          </cell>
          <cell r="H3228">
            <v>100</v>
          </cell>
          <cell r="I3228">
            <v>986000000</v>
          </cell>
        </row>
        <row r="3229">
          <cell r="A3229" t="str">
            <v>Belize</v>
          </cell>
          <cell r="B3229">
            <v>84</v>
          </cell>
          <cell r="C3229">
            <v>203</v>
          </cell>
          <cell r="D3229">
            <v>3</v>
          </cell>
          <cell r="E3229" t="str">
            <v>Equals: VALUE ADDED, GROSS, at basic prices</v>
          </cell>
          <cell r="F3229">
            <v>12</v>
          </cell>
          <cell r="G3229">
            <v>1996</v>
          </cell>
          <cell r="H3229">
            <v>100</v>
          </cell>
          <cell r="I3229">
            <v>1014000000</v>
          </cell>
        </row>
        <row r="3230">
          <cell r="A3230" t="str">
            <v>Belize</v>
          </cell>
          <cell r="B3230">
            <v>84</v>
          </cell>
          <cell r="C3230">
            <v>203</v>
          </cell>
          <cell r="D3230">
            <v>3</v>
          </cell>
          <cell r="E3230" t="str">
            <v>Equals: VALUE ADDED, GROSS, at basic prices</v>
          </cell>
          <cell r="F3230">
            <v>12</v>
          </cell>
          <cell r="G3230">
            <v>1997</v>
          </cell>
          <cell r="H3230">
            <v>100</v>
          </cell>
          <cell r="I3230">
            <v>1040000000</v>
          </cell>
        </row>
        <row r="3231">
          <cell r="A3231" t="str">
            <v>Belize</v>
          </cell>
          <cell r="B3231">
            <v>84</v>
          </cell>
          <cell r="C3231">
            <v>203</v>
          </cell>
          <cell r="D3231">
            <v>3</v>
          </cell>
          <cell r="E3231" t="str">
            <v>Equals: VALUE ADDED, GROSS, at basic prices</v>
          </cell>
          <cell r="F3231">
            <v>12</v>
          </cell>
          <cell r="G3231">
            <v>1998</v>
          </cell>
          <cell r="H3231">
            <v>100</v>
          </cell>
          <cell r="I3231">
            <v>1051000000</v>
          </cell>
        </row>
        <row r="3232">
          <cell r="A3232" t="str">
            <v>Belize</v>
          </cell>
          <cell r="B3232">
            <v>84</v>
          </cell>
          <cell r="C3232">
            <v>203</v>
          </cell>
          <cell r="D3232">
            <v>3</v>
          </cell>
          <cell r="E3232" t="str">
            <v>Equals: VALUE ADDED, GROSS, at basic prices</v>
          </cell>
          <cell r="F3232">
            <v>12</v>
          </cell>
          <cell r="G3232">
            <v>1999</v>
          </cell>
          <cell r="H3232">
            <v>100</v>
          </cell>
          <cell r="I3232">
            <v>1154000000</v>
          </cell>
        </row>
        <row r="3233">
          <cell r="A3233" t="str">
            <v>Belize</v>
          </cell>
          <cell r="B3233">
            <v>84</v>
          </cell>
          <cell r="C3233">
            <v>203</v>
          </cell>
          <cell r="D3233">
            <v>3</v>
          </cell>
          <cell r="E3233" t="str">
            <v>Equals: VALUE ADDED, GROSS, at basic prices</v>
          </cell>
          <cell r="F3233">
            <v>12</v>
          </cell>
          <cell r="G3233">
            <v>2000</v>
          </cell>
          <cell r="H3233">
            <v>100</v>
          </cell>
          <cell r="I3233">
            <v>1311000000</v>
          </cell>
        </row>
        <row r="3234">
          <cell r="A3234" t="str">
            <v>Brunei Darussalam</v>
          </cell>
          <cell r="B3234">
            <v>96</v>
          </cell>
          <cell r="C3234">
            <v>201</v>
          </cell>
          <cell r="D3234">
            <v>13</v>
          </cell>
          <cell r="E3234" t="str">
            <v>Less: Financial intermediation services indirectly measured (FISIM) (only to be deducted if FISIM is not distributed to uses)</v>
          </cell>
          <cell r="F3234">
            <v>0</v>
          </cell>
          <cell r="G3234">
            <v>1974</v>
          </cell>
          <cell r="H3234">
            <v>10</v>
          </cell>
          <cell r="I3234">
            <v>13300000</v>
          </cell>
        </row>
        <row r="3235">
          <cell r="A3235" t="str">
            <v>Brunei Darussalam</v>
          </cell>
          <cell r="B3235">
            <v>96</v>
          </cell>
          <cell r="C3235">
            <v>201</v>
          </cell>
          <cell r="D3235">
            <v>13</v>
          </cell>
          <cell r="E3235" t="str">
            <v>Less: Financial intermediation services indirectly measured (FISIM) (only to be deducted if FISIM is not distributed to uses)</v>
          </cell>
          <cell r="F3235">
            <v>0</v>
          </cell>
          <cell r="G3235">
            <v>1975</v>
          </cell>
          <cell r="H3235">
            <v>10</v>
          </cell>
          <cell r="I3235">
            <v>23900000</v>
          </cell>
        </row>
        <row r="3236">
          <cell r="A3236" t="str">
            <v>Brunei Darussalam</v>
          </cell>
          <cell r="B3236">
            <v>96</v>
          </cell>
          <cell r="C3236">
            <v>201</v>
          </cell>
          <cell r="D3236">
            <v>13</v>
          </cell>
          <cell r="E3236" t="str">
            <v>Less: Financial intermediation services indirectly measured (FISIM) (only to be deducted if FISIM is not distributed to uses)</v>
          </cell>
          <cell r="F3236">
            <v>0</v>
          </cell>
          <cell r="G3236">
            <v>1976</v>
          </cell>
          <cell r="H3236">
            <v>10</v>
          </cell>
          <cell r="I3236">
            <v>29000000</v>
          </cell>
        </row>
        <row r="3237">
          <cell r="A3237" t="str">
            <v>Brunei Darussalam</v>
          </cell>
          <cell r="B3237">
            <v>96</v>
          </cell>
          <cell r="C3237">
            <v>201</v>
          </cell>
          <cell r="D3237">
            <v>13</v>
          </cell>
          <cell r="E3237" t="str">
            <v>Less: Financial intermediation services indirectly measured (FISIM) (only to be deducted if FISIM is not distributed to uses)</v>
          </cell>
          <cell r="F3237">
            <v>0</v>
          </cell>
          <cell r="G3237">
            <v>1977</v>
          </cell>
          <cell r="H3237">
            <v>10</v>
          </cell>
          <cell r="I3237">
            <v>33000000</v>
          </cell>
        </row>
        <row r="3238">
          <cell r="A3238" t="str">
            <v>Brunei Darussalam</v>
          </cell>
          <cell r="B3238">
            <v>96</v>
          </cell>
          <cell r="C3238">
            <v>201</v>
          </cell>
          <cell r="D3238">
            <v>13</v>
          </cell>
          <cell r="E3238" t="str">
            <v>Less: Financial intermediation services indirectly measured (FISIM) (only to be deducted if FISIM is not distributed to uses)</v>
          </cell>
          <cell r="F3238">
            <v>0</v>
          </cell>
          <cell r="G3238">
            <v>1978</v>
          </cell>
          <cell r="H3238">
            <v>10</v>
          </cell>
          <cell r="I3238">
            <v>40400000</v>
          </cell>
        </row>
        <row r="3239">
          <cell r="A3239" t="str">
            <v>Brunei Darussalam</v>
          </cell>
          <cell r="B3239">
            <v>96</v>
          </cell>
          <cell r="C3239">
            <v>201</v>
          </cell>
          <cell r="D3239">
            <v>13</v>
          </cell>
          <cell r="E3239" t="str">
            <v>Less: Financial intermediation services indirectly measured (FISIM) (only to be deducted if FISIM is not distributed to uses)</v>
          </cell>
          <cell r="F3239">
            <v>0</v>
          </cell>
          <cell r="G3239">
            <v>1979</v>
          </cell>
          <cell r="H3239">
            <v>10</v>
          </cell>
          <cell r="I3239">
            <v>49500000</v>
          </cell>
        </row>
        <row r="3240">
          <cell r="A3240" t="str">
            <v>Brunei Darussalam</v>
          </cell>
          <cell r="B3240">
            <v>96</v>
          </cell>
          <cell r="C3240">
            <v>201</v>
          </cell>
          <cell r="D3240">
            <v>13</v>
          </cell>
          <cell r="E3240" t="str">
            <v>Less: Financial intermediation services indirectly measured (FISIM) (only to be deducted if FISIM is not distributed to uses)</v>
          </cell>
          <cell r="F3240">
            <v>0</v>
          </cell>
          <cell r="G3240">
            <v>1980</v>
          </cell>
          <cell r="H3240">
            <v>10</v>
          </cell>
          <cell r="I3240">
            <v>59300000</v>
          </cell>
        </row>
        <row r="3241">
          <cell r="A3241" t="str">
            <v>Brunei Darussalam</v>
          </cell>
          <cell r="B3241">
            <v>96</v>
          </cell>
          <cell r="C3241">
            <v>201</v>
          </cell>
          <cell r="D3241">
            <v>13</v>
          </cell>
          <cell r="E3241" t="str">
            <v>Less: Financial intermediation services indirectly measured (FISIM) (only to be deducted if FISIM is not distributed to uses)</v>
          </cell>
          <cell r="F3241">
            <v>0</v>
          </cell>
          <cell r="G3241">
            <v>1981</v>
          </cell>
          <cell r="H3241">
            <v>10</v>
          </cell>
          <cell r="I3241">
            <v>82400000</v>
          </cell>
        </row>
        <row r="3242">
          <cell r="A3242" t="str">
            <v>Brunei Darussalam</v>
          </cell>
          <cell r="B3242">
            <v>96</v>
          </cell>
          <cell r="C3242">
            <v>201</v>
          </cell>
          <cell r="D3242">
            <v>13</v>
          </cell>
          <cell r="E3242" t="str">
            <v>Less: Financial intermediation services indirectly measured (FISIM) (only to be deducted if FISIM is not distributed to uses)</v>
          </cell>
          <cell r="F3242">
            <v>0</v>
          </cell>
          <cell r="G3242">
            <v>1982</v>
          </cell>
          <cell r="H3242">
            <v>10</v>
          </cell>
          <cell r="I3242">
            <v>118500000</v>
          </cell>
        </row>
        <row r="3243">
          <cell r="A3243" t="str">
            <v>Brunei Darussalam</v>
          </cell>
          <cell r="B3243">
            <v>96</v>
          </cell>
          <cell r="C3243">
            <v>201</v>
          </cell>
          <cell r="D3243">
            <v>13</v>
          </cell>
          <cell r="E3243" t="str">
            <v>Less: Financial intermediation services indirectly measured (FISIM) (only to be deducted if FISIM is not distributed to uses)</v>
          </cell>
          <cell r="F3243">
            <v>0</v>
          </cell>
          <cell r="G3243">
            <v>1983</v>
          </cell>
          <cell r="H3243">
            <v>10</v>
          </cell>
          <cell r="I3243">
            <v>101100000</v>
          </cell>
        </row>
        <row r="3244">
          <cell r="A3244" t="str">
            <v>Brunei Darussalam</v>
          </cell>
          <cell r="B3244">
            <v>96</v>
          </cell>
          <cell r="C3244">
            <v>201</v>
          </cell>
          <cell r="D3244">
            <v>13</v>
          </cell>
          <cell r="E3244" t="str">
            <v>Less: Financial intermediation services indirectly measured (FISIM) (only to be deducted if FISIM is not distributed to uses)</v>
          </cell>
          <cell r="F3244">
            <v>0</v>
          </cell>
          <cell r="G3244">
            <v>1984</v>
          </cell>
          <cell r="H3244">
            <v>10</v>
          </cell>
          <cell r="I3244">
            <v>113100000</v>
          </cell>
        </row>
        <row r="3245">
          <cell r="A3245" t="str">
            <v>Brunei Darussalam</v>
          </cell>
          <cell r="B3245">
            <v>96</v>
          </cell>
          <cell r="C3245">
            <v>201</v>
          </cell>
          <cell r="D3245">
            <v>13</v>
          </cell>
          <cell r="E3245" t="str">
            <v>Less: Financial intermediation services indirectly measured (FISIM) (only to be deducted if FISIM is not distributed to uses)</v>
          </cell>
          <cell r="F3245">
            <v>0</v>
          </cell>
          <cell r="G3245">
            <v>1985</v>
          </cell>
          <cell r="H3245">
            <v>10</v>
          </cell>
          <cell r="I3245">
            <v>77200000</v>
          </cell>
        </row>
        <row r="3246">
          <cell r="A3246" t="str">
            <v>Brunei Darussalam</v>
          </cell>
          <cell r="B3246">
            <v>96</v>
          </cell>
          <cell r="C3246">
            <v>201</v>
          </cell>
          <cell r="D3246">
            <v>13</v>
          </cell>
          <cell r="E3246" t="str">
            <v>Less: Financial intermediation services indirectly measured (FISIM) (only to be deducted if FISIM is not distributed to uses)</v>
          </cell>
          <cell r="F3246">
            <v>0</v>
          </cell>
          <cell r="G3246">
            <v>1986</v>
          </cell>
          <cell r="H3246">
            <v>10</v>
          </cell>
          <cell r="I3246">
            <v>87100000</v>
          </cell>
        </row>
        <row r="3247">
          <cell r="A3247" t="str">
            <v>Brunei Darussalam</v>
          </cell>
          <cell r="B3247">
            <v>96</v>
          </cell>
          <cell r="C3247">
            <v>201</v>
          </cell>
          <cell r="D3247">
            <v>13</v>
          </cell>
          <cell r="E3247" t="str">
            <v>Less: Financial intermediation services indirectly measured (FISIM) (only to be deducted if FISIM is not distributed to uses)</v>
          </cell>
          <cell r="F3247">
            <v>0</v>
          </cell>
          <cell r="G3247">
            <v>1987</v>
          </cell>
          <cell r="H3247">
            <v>10</v>
          </cell>
          <cell r="I3247">
            <v>98300000</v>
          </cell>
        </row>
        <row r="3248">
          <cell r="A3248" t="str">
            <v>Brunei Darussalam</v>
          </cell>
          <cell r="B3248">
            <v>96</v>
          </cell>
          <cell r="C3248">
            <v>201</v>
          </cell>
          <cell r="D3248">
            <v>13</v>
          </cell>
          <cell r="E3248" t="str">
            <v>Less: Financial intermediation services indirectly measured (FISIM) (only to be deducted if FISIM is not distributed to uses)</v>
          </cell>
          <cell r="F3248">
            <v>0</v>
          </cell>
          <cell r="G3248">
            <v>1988</v>
          </cell>
          <cell r="H3248">
            <v>10</v>
          </cell>
          <cell r="I3248">
            <v>102700000</v>
          </cell>
        </row>
        <row r="3249">
          <cell r="A3249" t="str">
            <v>Brunei Darussalam</v>
          </cell>
          <cell r="B3249">
            <v>96</v>
          </cell>
          <cell r="C3249">
            <v>201</v>
          </cell>
          <cell r="D3249">
            <v>13</v>
          </cell>
          <cell r="E3249" t="str">
            <v>Less: Financial intermediation services indirectly measured (FISIM) (only to be deducted if FISIM is not distributed to uses)</v>
          </cell>
          <cell r="F3249">
            <v>0</v>
          </cell>
          <cell r="G3249">
            <v>1989</v>
          </cell>
          <cell r="H3249">
            <v>10</v>
          </cell>
          <cell r="I3249">
            <v>120700000</v>
          </cell>
        </row>
        <row r="3250">
          <cell r="A3250" t="str">
            <v>Brunei Darussalam</v>
          </cell>
          <cell r="B3250">
            <v>96</v>
          </cell>
          <cell r="C3250">
            <v>201</v>
          </cell>
          <cell r="D3250">
            <v>13</v>
          </cell>
          <cell r="E3250" t="str">
            <v>Less: Financial intermediation services indirectly measured (FISIM) (only to be deducted if FISIM is not distributed to uses)</v>
          </cell>
          <cell r="F3250">
            <v>0</v>
          </cell>
          <cell r="G3250">
            <v>1990</v>
          </cell>
          <cell r="H3250">
            <v>10</v>
          </cell>
          <cell r="I3250">
            <v>141900000</v>
          </cell>
        </row>
        <row r="3251">
          <cell r="A3251" t="str">
            <v>Brunei Darussalam</v>
          </cell>
          <cell r="B3251">
            <v>96</v>
          </cell>
          <cell r="C3251">
            <v>201</v>
          </cell>
          <cell r="D3251">
            <v>13</v>
          </cell>
          <cell r="E3251" t="str">
            <v>Less: Financial intermediation services indirectly measured (FISIM) (only to be deducted if FISIM is not distributed to uses)</v>
          </cell>
          <cell r="F3251">
            <v>0</v>
          </cell>
          <cell r="G3251">
            <v>1991</v>
          </cell>
          <cell r="H3251">
            <v>10</v>
          </cell>
          <cell r="I3251">
            <v>149000000</v>
          </cell>
        </row>
        <row r="3252">
          <cell r="A3252" t="str">
            <v>Brunei Darussalam</v>
          </cell>
          <cell r="B3252">
            <v>96</v>
          </cell>
          <cell r="C3252">
            <v>201</v>
          </cell>
          <cell r="D3252">
            <v>13</v>
          </cell>
          <cell r="E3252" t="str">
            <v>Less: Financial intermediation services indirectly measured (FISIM) (only to be deducted if FISIM is not distributed to uses)</v>
          </cell>
          <cell r="F3252">
            <v>0</v>
          </cell>
          <cell r="G3252">
            <v>1992</v>
          </cell>
          <cell r="H3252">
            <v>10</v>
          </cell>
          <cell r="I3252">
            <v>156500000</v>
          </cell>
        </row>
        <row r="3253">
          <cell r="A3253" t="str">
            <v>Brunei Darussalam</v>
          </cell>
          <cell r="B3253">
            <v>96</v>
          </cell>
          <cell r="C3253">
            <v>201</v>
          </cell>
          <cell r="D3253">
            <v>13</v>
          </cell>
          <cell r="E3253" t="str">
            <v>Less: Financial intermediation services indirectly measured (FISIM) (only to be deducted if FISIM is not distributed to uses)</v>
          </cell>
          <cell r="F3253">
            <v>0</v>
          </cell>
          <cell r="G3253">
            <v>1993</v>
          </cell>
          <cell r="H3253">
            <v>10</v>
          </cell>
          <cell r="I3253">
            <v>164300000</v>
          </cell>
        </row>
        <row r="3254">
          <cell r="A3254" t="str">
            <v>Brunei Darussalam</v>
          </cell>
          <cell r="B3254">
            <v>96</v>
          </cell>
          <cell r="C3254">
            <v>201</v>
          </cell>
          <cell r="D3254">
            <v>13</v>
          </cell>
          <cell r="E3254" t="str">
            <v>Less: Financial intermediation services indirectly measured (FISIM) (only to be deducted if FISIM is not distributed to uses)</v>
          </cell>
          <cell r="F3254">
            <v>0</v>
          </cell>
          <cell r="G3254">
            <v>1994</v>
          </cell>
          <cell r="H3254">
            <v>10</v>
          </cell>
          <cell r="I3254">
            <v>176000000</v>
          </cell>
        </row>
        <row r="3255">
          <cell r="A3255" t="str">
            <v>Brunei Darussalam</v>
          </cell>
          <cell r="B3255">
            <v>96</v>
          </cell>
          <cell r="C3255">
            <v>201</v>
          </cell>
          <cell r="D3255">
            <v>13</v>
          </cell>
          <cell r="E3255" t="str">
            <v>Less: Financial intermediation services indirectly measured (FISIM) (only to be deducted if FISIM is not distributed to uses)</v>
          </cell>
          <cell r="F3255">
            <v>0</v>
          </cell>
          <cell r="G3255">
            <v>1995</v>
          </cell>
          <cell r="H3255">
            <v>10</v>
          </cell>
          <cell r="I3255">
            <v>188300000</v>
          </cell>
        </row>
        <row r="3256">
          <cell r="A3256" t="str">
            <v>Brunei Darussalam</v>
          </cell>
          <cell r="B3256">
            <v>96</v>
          </cell>
          <cell r="C3256">
            <v>201</v>
          </cell>
          <cell r="D3256">
            <v>13</v>
          </cell>
          <cell r="E3256" t="str">
            <v>Less: Financial intermediation services indirectly measured (FISIM) (only to be deducted if FISIM is not distributed to uses)</v>
          </cell>
          <cell r="F3256">
            <v>0</v>
          </cell>
          <cell r="G3256">
            <v>1996</v>
          </cell>
          <cell r="H3256">
            <v>10</v>
          </cell>
          <cell r="I3256">
            <v>201500000</v>
          </cell>
        </row>
        <row r="3257">
          <cell r="A3257" t="str">
            <v>Brunei Darussalam</v>
          </cell>
          <cell r="B3257">
            <v>96</v>
          </cell>
          <cell r="C3257">
            <v>201</v>
          </cell>
          <cell r="D3257">
            <v>13</v>
          </cell>
          <cell r="E3257" t="str">
            <v>Less: Financial intermediation services indirectly measured (FISIM) (only to be deducted if FISIM is not distributed to uses)</v>
          </cell>
          <cell r="F3257">
            <v>0</v>
          </cell>
          <cell r="G3257">
            <v>1997</v>
          </cell>
          <cell r="H3257">
            <v>10</v>
          </cell>
          <cell r="I3257">
            <v>216500000</v>
          </cell>
        </row>
        <row r="3258">
          <cell r="A3258" t="str">
            <v>Brunei Darussalam</v>
          </cell>
          <cell r="B3258">
            <v>96</v>
          </cell>
          <cell r="C3258">
            <v>201</v>
          </cell>
          <cell r="D3258">
            <v>13</v>
          </cell>
          <cell r="E3258" t="str">
            <v>Less: Financial intermediation services indirectly measured (FISIM) (only to be deducted if FISIM is not distributed to uses)</v>
          </cell>
          <cell r="F3258">
            <v>0</v>
          </cell>
          <cell r="G3258">
            <v>1998</v>
          </cell>
          <cell r="H3258">
            <v>10</v>
          </cell>
          <cell r="I3258">
            <v>219700000</v>
          </cell>
        </row>
        <row r="3259">
          <cell r="A3259" t="str">
            <v>Burundi</v>
          </cell>
          <cell r="B3259">
            <v>108</v>
          </cell>
          <cell r="C3259">
            <v>203</v>
          </cell>
          <cell r="D3259">
            <v>3</v>
          </cell>
          <cell r="E3259" t="str">
            <v>Equals: VALUE ADDED, GROSS, at basic prices</v>
          </cell>
          <cell r="F3259">
            <v>12</v>
          </cell>
          <cell r="G3259">
            <v>1984</v>
          </cell>
          <cell r="H3259">
            <v>20</v>
          </cell>
          <cell r="I3259">
            <v>118170000000</v>
          </cell>
        </row>
        <row r="3260">
          <cell r="A3260" t="str">
            <v>Burundi</v>
          </cell>
          <cell r="B3260">
            <v>108</v>
          </cell>
          <cell r="C3260">
            <v>203</v>
          </cell>
          <cell r="D3260">
            <v>3</v>
          </cell>
          <cell r="E3260" t="str">
            <v>Equals: VALUE ADDED, GROSS, at basic prices</v>
          </cell>
          <cell r="F3260">
            <v>12</v>
          </cell>
          <cell r="G3260">
            <v>1985</v>
          </cell>
          <cell r="H3260">
            <v>20</v>
          </cell>
          <cell r="I3260">
            <v>138789000000</v>
          </cell>
        </row>
        <row r="3261">
          <cell r="A3261" t="str">
            <v>Burundi</v>
          </cell>
          <cell r="B3261">
            <v>108</v>
          </cell>
          <cell r="C3261">
            <v>203</v>
          </cell>
          <cell r="D3261">
            <v>3</v>
          </cell>
          <cell r="E3261" t="str">
            <v>Equals: VALUE ADDED, GROSS, at basic prices</v>
          </cell>
          <cell r="F3261">
            <v>12</v>
          </cell>
          <cell r="G3261">
            <v>1986</v>
          </cell>
          <cell r="H3261">
            <v>20</v>
          </cell>
          <cell r="I3261">
            <v>137195000000</v>
          </cell>
        </row>
        <row r="3262">
          <cell r="A3262" t="str">
            <v>Burundi</v>
          </cell>
          <cell r="B3262">
            <v>108</v>
          </cell>
          <cell r="C3262">
            <v>203</v>
          </cell>
          <cell r="D3262">
            <v>3</v>
          </cell>
          <cell r="E3262" t="str">
            <v>Equals: VALUE ADDED, GROSS, at basic prices</v>
          </cell>
          <cell r="F3262">
            <v>12</v>
          </cell>
          <cell r="G3262">
            <v>1987</v>
          </cell>
          <cell r="H3262">
            <v>20</v>
          </cell>
          <cell r="I3262">
            <v>140565000000</v>
          </cell>
        </row>
        <row r="3263">
          <cell r="A3263" t="str">
            <v>Burundi</v>
          </cell>
          <cell r="B3263">
            <v>108</v>
          </cell>
          <cell r="C3263">
            <v>203</v>
          </cell>
          <cell r="D3263">
            <v>3</v>
          </cell>
          <cell r="E3263" t="str">
            <v>Equals: VALUE ADDED, GROSS, at basic prices</v>
          </cell>
          <cell r="F3263">
            <v>12</v>
          </cell>
          <cell r="G3263">
            <v>1988</v>
          </cell>
          <cell r="H3263">
            <v>20</v>
          </cell>
          <cell r="I3263">
            <v>149068000000</v>
          </cell>
        </row>
        <row r="3264">
          <cell r="A3264" t="str">
            <v>Burundi</v>
          </cell>
          <cell r="B3264">
            <v>108</v>
          </cell>
          <cell r="C3264">
            <v>203</v>
          </cell>
          <cell r="D3264">
            <v>4</v>
          </cell>
          <cell r="E3264" t="str">
            <v>Compensation of employees</v>
          </cell>
          <cell r="F3264">
            <v>12</v>
          </cell>
          <cell r="G3264">
            <v>1984</v>
          </cell>
          <cell r="H3264">
            <v>20</v>
          </cell>
          <cell r="I3264">
            <v>24266000000</v>
          </cell>
        </row>
        <row r="3265">
          <cell r="A3265" t="str">
            <v>Burundi</v>
          </cell>
          <cell r="B3265">
            <v>108</v>
          </cell>
          <cell r="C3265">
            <v>203</v>
          </cell>
          <cell r="D3265">
            <v>4</v>
          </cell>
          <cell r="E3265" t="str">
            <v>Compensation of employees</v>
          </cell>
          <cell r="F3265">
            <v>12</v>
          </cell>
          <cell r="G3265">
            <v>1985</v>
          </cell>
          <cell r="H3265">
            <v>20</v>
          </cell>
          <cell r="I3265">
            <v>26847000000</v>
          </cell>
        </row>
        <row r="3266">
          <cell r="A3266" t="str">
            <v>Burundi</v>
          </cell>
          <cell r="B3266">
            <v>108</v>
          </cell>
          <cell r="C3266">
            <v>203</v>
          </cell>
          <cell r="D3266">
            <v>4</v>
          </cell>
          <cell r="E3266" t="str">
            <v>Compensation of employees</v>
          </cell>
          <cell r="F3266">
            <v>12</v>
          </cell>
          <cell r="G3266">
            <v>1986</v>
          </cell>
          <cell r="H3266">
            <v>20</v>
          </cell>
          <cell r="I3266">
            <v>28320000000</v>
          </cell>
        </row>
        <row r="3267">
          <cell r="A3267" t="str">
            <v>Burundi</v>
          </cell>
          <cell r="B3267">
            <v>108</v>
          </cell>
          <cell r="C3267">
            <v>203</v>
          </cell>
          <cell r="D3267">
            <v>4</v>
          </cell>
          <cell r="E3267" t="str">
            <v>Compensation of employees</v>
          </cell>
          <cell r="F3267">
            <v>12</v>
          </cell>
          <cell r="G3267">
            <v>1987</v>
          </cell>
          <cell r="H3267">
            <v>20</v>
          </cell>
          <cell r="I3267">
            <v>30869000000</v>
          </cell>
        </row>
        <row r="3268">
          <cell r="A3268" t="str">
            <v>Burundi</v>
          </cell>
          <cell r="B3268">
            <v>108</v>
          </cell>
          <cell r="C3268">
            <v>203</v>
          </cell>
          <cell r="D3268">
            <v>4</v>
          </cell>
          <cell r="E3268" t="str">
            <v>Compensation of employees</v>
          </cell>
          <cell r="F3268">
            <v>12</v>
          </cell>
          <cell r="G3268">
            <v>1988</v>
          </cell>
          <cell r="H3268">
            <v>20</v>
          </cell>
          <cell r="I3268">
            <v>33257000000</v>
          </cell>
        </row>
        <row r="3269">
          <cell r="A3269" t="str">
            <v>Burundi</v>
          </cell>
          <cell r="B3269">
            <v>108</v>
          </cell>
          <cell r="C3269">
            <v>203</v>
          </cell>
          <cell r="D3269">
            <v>11</v>
          </cell>
          <cell r="E3269" t="str">
            <v>OPERATING SURPLUS, GROSS</v>
          </cell>
          <cell r="F3269">
            <v>12</v>
          </cell>
          <cell r="G3269">
            <v>1984</v>
          </cell>
          <cell r="H3269">
            <v>20</v>
          </cell>
          <cell r="I3269">
            <v>83114000000</v>
          </cell>
        </row>
        <row r="3270">
          <cell r="A3270" t="str">
            <v>Burundi</v>
          </cell>
          <cell r="B3270">
            <v>108</v>
          </cell>
          <cell r="C3270">
            <v>203</v>
          </cell>
          <cell r="D3270">
            <v>11</v>
          </cell>
          <cell r="E3270" t="str">
            <v>OPERATING SURPLUS, GROSS</v>
          </cell>
          <cell r="F3270">
            <v>12</v>
          </cell>
          <cell r="G3270">
            <v>1985</v>
          </cell>
          <cell r="H3270">
            <v>20</v>
          </cell>
          <cell r="I3270">
            <v>99308000000</v>
          </cell>
        </row>
        <row r="3271">
          <cell r="A3271" t="str">
            <v>Burundi</v>
          </cell>
          <cell r="B3271">
            <v>108</v>
          </cell>
          <cell r="C3271">
            <v>203</v>
          </cell>
          <cell r="D3271">
            <v>11</v>
          </cell>
          <cell r="E3271" t="str">
            <v>OPERATING SURPLUS, GROSS</v>
          </cell>
          <cell r="F3271">
            <v>12</v>
          </cell>
          <cell r="G3271">
            <v>1986</v>
          </cell>
          <cell r="H3271">
            <v>20</v>
          </cell>
          <cell r="I3271">
            <v>94759000000</v>
          </cell>
        </row>
        <row r="3272">
          <cell r="A3272" t="str">
            <v>Burundi</v>
          </cell>
          <cell r="B3272">
            <v>108</v>
          </cell>
          <cell r="C3272">
            <v>203</v>
          </cell>
          <cell r="D3272">
            <v>11</v>
          </cell>
          <cell r="E3272" t="str">
            <v>OPERATING SURPLUS, GROSS</v>
          </cell>
          <cell r="F3272">
            <v>12</v>
          </cell>
          <cell r="G3272">
            <v>1987</v>
          </cell>
          <cell r="H3272">
            <v>20</v>
          </cell>
          <cell r="I3272">
            <v>97345000000</v>
          </cell>
        </row>
        <row r="3273">
          <cell r="A3273" t="str">
            <v>Burundi</v>
          </cell>
          <cell r="B3273">
            <v>108</v>
          </cell>
          <cell r="C3273">
            <v>203</v>
          </cell>
          <cell r="D3273">
            <v>11</v>
          </cell>
          <cell r="E3273" t="str">
            <v>OPERATING SURPLUS, GROSS</v>
          </cell>
          <cell r="F3273">
            <v>12</v>
          </cell>
          <cell r="G3273">
            <v>1988</v>
          </cell>
          <cell r="H3273">
            <v>20</v>
          </cell>
          <cell r="I3273">
            <v>101762000000</v>
          </cell>
        </row>
        <row r="3274">
          <cell r="A3274" t="str">
            <v>Cameroon</v>
          </cell>
          <cell r="B3274">
            <v>120</v>
          </cell>
          <cell r="C3274">
            <v>201</v>
          </cell>
          <cell r="D3274">
            <v>13</v>
          </cell>
          <cell r="E3274" t="str">
            <v>Less: Financial intermediation services indirectly measured (FISIM) (only to be deducted if FISIM is not distributed to uses)</v>
          </cell>
          <cell r="F3274">
            <v>0</v>
          </cell>
          <cell r="G3274">
            <v>1978</v>
          </cell>
          <cell r="H3274">
            <v>10</v>
          </cell>
          <cell r="I3274">
            <v>36900000000</v>
          </cell>
        </row>
        <row r="3275">
          <cell r="A3275" t="str">
            <v>Cameroon</v>
          </cell>
          <cell r="B3275">
            <v>120</v>
          </cell>
          <cell r="C3275">
            <v>201</v>
          </cell>
          <cell r="D3275">
            <v>13</v>
          </cell>
          <cell r="E3275" t="str">
            <v>Less: Financial intermediation services indirectly measured (FISIM) (only to be deducted if FISIM is not distributed to uses)</v>
          </cell>
          <cell r="F3275">
            <v>0</v>
          </cell>
          <cell r="G3275">
            <v>1979</v>
          </cell>
          <cell r="H3275">
            <v>10</v>
          </cell>
          <cell r="I3275">
            <v>21700000000</v>
          </cell>
        </row>
        <row r="3276">
          <cell r="A3276" t="str">
            <v>Cameroon</v>
          </cell>
          <cell r="B3276">
            <v>120</v>
          </cell>
          <cell r="C3276">
            <v>201</v>
          </cell>
          <cell r="D3276">
            <v>13</v>
          </cell>
          <cell r="E3276" t="str">
            <v>Less: Financial intermediation services indirectly measured (FISIM) (only to be deducted if FISIM is not distributed to uses)</v>
          </cell>
          <cell r="F3276">
            <v>0</v>
          </cell>
          <cell r="G3276">
            <v>1980</v>
          </cell>
          <cell r="H3276">
            <v>10</v>
          </cell>
          <cell r="I3276">
            <v>30500000000</v>
          </cell>
        </row>
        <row r="3277">
          <cell r="A3277" t="str">
            <v>Cameroon</v>
          </cell>
          <cell r="B3277">
            <v>120</v>
          </cell>
          <cell r="C3277">
            <v>201</v>
          </cell>
          <cell r="D3277">
            <v>13</v>
          </cell>
          <cell r="E3277" t="str">
            <v>Less: Financial intermediation services indirectly measured (FISIM) (only to be deducted if FISIM is not distributed to uses)</v>
          </cell>
          <cell r="F3277">
            <v>0</v>
          </cell>
          <cell r="G3277">
            <v>1981</v>
          </cell>
          <cell r="H3277">
            <v>10</v>
          </cell>
          <cell r="I3277">
            <v>42200000000</v>
          </cell>
        </row>
        <row r="3278">
          <cell r="A3278" t="str">
            <v>Cameroon</v>
          </cell>
          <cell r="B3278">
            <v>120</v>
          </cell>
          <cell r="C3278">
            <v>201</v>
          </cell>
          <cell r="D3278">
            <v>13</v>
          </cell>
          <cell r="E3278" t="str">
            <v>Less: Financial intermediation services indirectly measured (FISIM) (only to be deducted if FISIM is not distributed to uses)</v>
          </cell>
          <cell r="F3278">
            <v>0</v>
          </cell>
          <cell r="G3278">
            <v>1982</v>
          </cell>
          <cell r="H3278">
            <v>10</v>
          </cell>
          <cell r="I3278">
            <v>37500000000</v>
          </cell>
        </row>
        <row r="3279">
          <cell r="A3279" t="str">
            <v>Cameroon</v>
          </cell>
          <cell r="B3279">
            <v>120</v>
          </cell>
          <cell r="C3279">
            <v>201</v>
          </cell>
          <cell r="D3279">
            <v>13</v>
          </cell>
          <cell r="E3279" t="str">
            <v>Less: Financial intermediation services indirectly measured (FISIM) (only to be deducted if FISIM is not distributed to uses)</v>
          </cell>
          <cell r="F3279">
            <v>0</v>
          </cell>
          <cell r="G3279">
            <v>1983</v>
          </cell>
          <cell r="H3279">
            <v>10</v>
          </cell>
          <cell r="I3279">
            <v>38100000000</v>
          </cell>
        </row>
        <row r="3280">
          <cell r="A3280" t="str">
            <v>Cameroon</v>
          </cell>
          <cell r="B3280">
            <v>120</v>
          </cell>
          <cell r="C3280">
            <v>201</v>
          </cell>
          <cell r="D3280">
            <v>13</v>
          </cell>
          <cell r="E3280" t="str">
            <v>Less: Financial intermediation services indirectly measured (FISIM) (only to be deducted if FISIM is not distributed to uses)</v>
          </cell>
          <cell r="F3280">
            <v>0</v>
          </cell>
          <cell r="G3280">
            <v>1984</v>
          </cell>
          <cell r="H3280">
            <v>10</v>
          </cell>
          <cell r="I3280">
            <v>32200000000</v>
          </cell>
        </row>
        <row r="3281">
          <cell r="A3281" t="str">
            <v>Cameroon</v>
          </cell>
          <cell r="B3281">
            <v>120</v>
          </cell>
          <cell r="C3281">
            <v>201</v>
          </cell>
          <cell r="D3281">
            <v>13</v>
          </cell>
          <cell r="E3281" t="str">
            <v>Less: Financial intermediation services indirectly measured (FISIM) (only to be deducted if FISIM is not distributed to uses)</v>
          </cell>
          <cell r="F3281">
            <v>0</v>
          </cell>
          <cell r="G3281">
            <v>1985</v>
          </cell>
          <cell r="H3281">
            <v>10</v>
          </cell>
          <cell r="I3281">
            <v>26000000000</v>
          </cell>
        </row>
        <row r="3282">
          <cell r="A3282" t="str">
            <v>Cameroon</v>
          </cell>
          <cell r="B3282">
            <v>120</v>
          </cell>
          <cell r="C3282">
            <v>201</v>
          </cell>
          <cell r="D3282">
            <v>13</v>
          </cell>
          <cell r="E3282" t="str">
            <v>Less: Financial intermediation services indirectly measured (FISIM) (only to be deducted if FISIM is not distributed to uses)</v>
          </cell>
          <cell r="F3282">
            <v>0</v>
          </cell>
          <cell r="G3282">
            <v>1986</v>
          </cell>
          <cell r="H3282">
            <v>10</v>
          </cell>
          <cell r="I3282">
            <v>27800000000</v>
          </cell>
        </row>
        <row r="3283">
          <cell r="A3283" t="str">
            <v>Cameroon</v>
          </cell>
          <cell r="B3283">
            <v>120</v>
          </cell>
          <cell r="C3283">
            <v>201</v>
          </cell>
          <cell r="D3283">
            <v>13</v>
          </cell>
          <cell r="E3283" t="str">
            <v>Less: Financial intermediation services indirectly measured (FISIM) (only to be deducted if FISIM is not distributed to uses)</v>
          </cell>
          <cell r="F3283">
            <v>0</v>
          </cell>
          <cell r="G3283">
            <v>1987</v>
          </cell>
          <cell r="H3283">
            <v>10</v>
          </cell>
          <cell r="I3283">
            <v>22600000000</v>
          </cell>
        </row>
        <row r="3284">
          <cell r="A3284" t="str">
            <v>Cameroon</v>
          </cell>
          <cell r="B3284">
            <v>120</v>
          </cell>
          <cell r="C3284">
            <v>201</v>
          </cell>
          <cell r="D3284">
            <v>13</v>
          </cell>
          <cell r="E3284" t="str">
            <v>Less: Financial intermediation services indirectly measured (FISIM) (only to be deducted if FISIM is not distributed to uses)</v>
          </cell>
          <cell r="F3284">
            <v>0</v>
          </cell>
          <cell r="G3284">
            <v>1988</v>
          </cell>
          <cell r="H3284">
            <v>10</v>
          </cell>
          <cell r="I3284">
            <v>19800000000</v>
          </cell>
        </row>
        <row r="3285">
          <cell r="A3285" t="str">
            <v>Cameroon</v>
          </cell>
          <cell r="B3285">
            <v>120</v>
          </cell>
          <cell r="C3285">
            <v>201</v>
          </cell>
          <cell r="D3285">
            <v>13</v>
          </cell>
          <cell r="E3285" t="str">
            <v>Less: Financial intermediation services indirectly measured (FISIM) (only to be deducted if FISIM is not distributed to uses)</v>
          </cell>
          <cell r="F3285">
            <v>0</v>
          </cell>
          <cell r="G3285">
            <v>1989</v>
          </cell>
          <cell r="H3285">
            <v>10</v>
          </cell>
          <cell r="I3285">
            <v>18100000000</v>
          </cell>
        </row>
        <row r="3286">
          <cell r="A3286" t="str">
            <v>Cameroon</v>
          </cell>
          <cell r="B3286">
            <v>120</v>
          </cell>
          <cell r="C3286">
            <v>201</v>
          </cell>
          <cell r="D3286">
            <v>13</v>
          </cell>
          <cell r="E3286" t="str">
            <v>Less: Financial intermediation services indirectly measured (FISIM) (only to be deducted if FISIM is not distributed to uses)</v>
          </cell>
          <cell r="F3286">
            <v>0</v>
          </cell>
          <cell r="G3286">
            <v>1990</v>
          </cell>
          <cell r="H3286">
            <v>10</v>
          </cell>
          <cell r="I3286">
            <v>18000000000</v>
          </cell>
        </row>
        <row r="3287">
          <cell r="A3287" t="str">
            <v>Cameroon</v>
          </cell>
          <cell r="B3287">
            <v>120</v>
          </cell>
          <cell r="C3287">
            <v>201</v>
          </cell>
          <cell r="D3287">
            <v>13</v>
          </cell>
          <cell r="E3287" t="str">
            <v>Less: Financial intermediation services indirectly measured (FISIM) (only to be deducted if FISIM is not distributed to uses)</v>
          </cell>
          <cell r="F3287">
            <v>0</v>
          </cell>
          <cell r="G3287">
            <v>1990</v>
          </cell>
          <cell r="H3287">
            <v>100</v>
          </cell>
          <cell r="I3287">
            <v>78670000000</v>
          </cell>
        </row>
        <row r="3288">
          <cell r="A3288" t="str">
            <v>Cameroon</v>
          </cell>
          <cell r="B3288">
            <v>120</v>
          </cell>
          <cell r="C3288">
            <v>201</v>
          </cell>
          <cell r="D3288">
            <v>13</v>
          </cell>
          <cell r="E3288" t="str">
            <v>Less: Financial intermediation services indirectly measured (FISIM) (only to be deducted if FISIM is not distributed to uses)</v>
          </cell>
          <cell r="F3288">
            <v>0</v>
          </cell>
          <cell r="G3288">
            <v>1993</v>
          </cell>
          <cell r="H3288">
            <v>100</v>
          </cell>
          <cell r="I3288">
            <v>39210000000</v>
          </cell>
        </row>
        <row r="3289">
          <cell r="A3289" t="str">
            <v>Cameroon</v>
          </cell>
          <cell r="B3289">
            <v>120</v>
          </cell>
          <cell r="C3289">
            <v>201</v>
          </cell>
          <cell r="D3289">
            <v>13</v>
          </cell>
          <cell r="E3289" t="str">
            <v>Less: Financial intermediation services indirectly measured (FISIM) (only to be deducted if FISIM is not distributed to uses)</v>
          </cell>
          <cell r="F3289">
            <v>0</v>
          </cell>
          <cell r="G3289">
            <v>1994</v>
          </cell>
          <cell r="H3289">
            <v>100</v>
          </cell>
          <cell r="I3289">
            <v>36650000000</v>
          </cell>
        </row>
        <row r="3290">
          <cell r="A3290" t="str">
            <v>Cameroon</v>
          </cell>
          <cell r="B3290">
            <v>120</v>
          </cell>
          <cell r="C3290">
            <v>201</v>
          </cell>
          <cell r="D3290">
            <v>13</v>
          </cell>
          <cell r="E3290" t="str">
            <v>Less: Financial intermediation services indirectly measured (FISIM) (only to be deducted if FISIM is not distributed to uses)</v>
          </cell>
          <cell r="F3290">
            <v>0</v>
          </cell>
          <cell r="G3290">
            <v>1995</v>
          </cell>
          <cell r="H3290">
            <v>100</v>
          </cell>
          <cell r="I3290">
            <v>37120000000</v>
          </cell>
        </row>
        <row r="3291">
          <cell r="A3291" t="str">
            <v>Cameroon</v>
          </cell>
          <cell r="B3291">
            <v>120</v>
          </cell>
          <cell r="C3291">
            <v>201</v>
          </cell>
          <cell r="D3291">
            <v>13</v>
          </cell>
          <cell r="E3291" t="str">
            <v>Less: Financial intermediation services indirectly measured (FISIM) (only to be deducted if FISIM is not distributed to uses)</v>
          </cell>
          <cell r="F3291">
            <v>0</v>
          </cell>
          <cell r="G3291">
            <v>1996</v>
          </cell>
          <cell r="H3291">
            <v>100</v>
          </cell>
          <cell r="I3291">
            <v>29680000000</v>
          </cell>
        </row>
        <row r="3292">
          <cell r="A3292" t="str">
            <v>Cameroon</v>
          </cell>
          <cell r="B3292">
            <v>120</v>
          </cell>
          <cell r="C3292">
            <v>201</v>
          </cell>
          <cell r="D3292">
            <v>13</v>
          </cell>
          <cell r="E3292" t="str">
            <v>Less: Financial intermediation services indirectly measured (FISIM) (only to be deducted if FISIM is not distributed to uses)</v>
          </cell>
          <cell r="F3292">
            <v>0</v>
          </cell>
          <cell r="G3292">
            <v>1997</v>
          </cell>
          <cell r="H3292">
            <v>100</v>
          </cell>
          <cell r="I3292">
            <v>40510000000</v>
          </cell>
        </row>
        <row r="3293">
          <cell r="A3293" t="str">
            <v>Cameroon</v>
          </cell>
          <cell r="B3293">
            <v>120</v>
          </cell>
          <cell r="C3293">
            <v>201</v>
          </cell>
          <cell r="D3293">
            <v>13</v>
          </cell>
          <cell r="E3293" t="str">
            <v>Less: Financial intermediation services indirectly measured (FISIM) (only to be deducted if FISIM is not distributed to uses)</v>
          </cell>
          <cell r="F3293">
            <v>0</v>
          </cell>
          <cell r="G3293">
            <v>1998</v>
          </cell>
          <cell r="H3293">
            <v>100</v>
          </cell>
          <cell r="I3293">
            <v>43330000000</v>
          </cell>
        </row>
        <row r="3294">
          <cell r="A3294" t="str">
            <v>Austria</v>
          </cell>
          <cell r="B3294">
            <v>40</v>
          </cell>
          <cell r="C3294">
            <v>203</v>
          </cell>
          <cell r="D3294">
            <v>3</v>
          </cell>
          <cell r="E3294" t="str">
            <v>Equals: VALUE ADDED, GROSS, at basic prices</v>
          </cell>
          <cell r="F3294">
            <v>12</v>
          </cell>
          <cell r="G3294">
            <v>1970</v>
          </cell>
          <cell r="H3294">
            <v>10</v>
          </cell>
          <cell r="I3294">
            <v>374380000000</v>
          </cell>
        </row>
        <row r="3295">
          <cell r="A3295" t="str">
            <v>Austria</v>
          </cell>
          <cell r="B3295">
            <v>40</v>
          </cell>
          <cell r="C3295">
            <v>203</v>
          </cell>
          <cell r="D3295">
            <v>3</v>
          </cell>
          <cell r="E3295" t="str">
            <v>Equals: VALUE ADDED, GROSS, at basic prices</v>
          </cell>
          <cell r="F3295">
            <v>12</v>
          </cell>
          <cell r="G3295">
            <v>1971</v>
          </cell>
          <cell r="H3295">
            <v>10</v>
          </cell>
          <cell r="I3295">
            <v>418090000000</v>
          </cell>
        </row>
        <row r="3296">
          <cell r="A3296" t="str">
            <v>Austria</v>
          </cell>
          <cell r="B3296">
            <v>40</v>
          </cell>
          <cell r="C3296">
            <v>203</v>
          </cell>
          <cell r="D3296">
            <v>3</v>
          </cell>
          <cell r="E3296" t="str">
            <v>Equals: VALUE ADDED, GROSS, at basic prices</v>
          </cell>
          <cell r="F3296">
            <v>12</v>
          </cell>
          <cell r="G3296">
            <v>1972</v>
          </cell>
          <cell r="H3296">
            <v>10</v>
          </cell>
          <cell r="I3296">
            <v>477130000000</v>
          </cell>
        </row>
        <row r="3297">
          <cell r="A3297" t="str">
            <v>Austria</v>
          </cell>
          <cell r="B3297">
            <v>40</v>
          </cell>
          <cell r="C3297">
            <v>203</v>
          </cell>
          <cell r="D3297">
            <v>3</v>
          </cell>
          <cell r="E3297" t="str">
            <v>Equals: VALUE ADDED, GROSS, at basic prices</v>
          </cell>
          <cell r="F3297">
            <v>12</v>
          </cell>
          <cell r="G3297">
            <v>1973</v>
          </cell>
          <cell r="H3297">
            <v>10</v>
          </cell>
          <cell r="I3297">
            <v>505220000000</v>
          </cell>
        </row>
        <row r="3298">
          <cell r="A3298" t="str">
            <v>Austria</v>
          </cell>
          <cell r="B3298">
            <v>40</v>
          </cell>
          <cell r="C3298">
            <v>203</v>
          </cell>
          <cell r="D3298">
            <v>3</v>
          </cell>
          <cell r="E3298" t="str">
            <v>Equals: VALUE ADDED, GROSS, at basic prices</v>
          </cell>
          <cell r="F3298">
            <v>12</v>
          </cell>
          <cell r="G3298">
            <v>1974</v>
          </cell>
          <cell r="H3298">
            <v>10</v>
          </cell>
          <cell r="I3298">
            <v>579710000000</v>
          </cell>
        </row>
        <row r="3299">
          <cell r="A3299" t="str">
            <v>Austria</v>
          </cell>
          <cell r="B3299">
            <v>40</v>
          </cell>
          <cell r="C3299">
            <v>203</v>
          </cell>
          <cell r="D3299">
            <v>3</v>
          </cell>
          <cell r="E3299" t="str">
            <v>Equals: VALUE ADDED, GROSS, at basic prices</v>
          </cell>
          <cell r="F3299">
            <v>12</v>
          </cell>
          <cell r="G3299">
            <v>1975</v>
          </cell>
          <cell r="H3299">
            <v>10</v>
          </cell>
          <cell r="I3299">
            <v>619550000000</v>
          </cell>
        </row>
        <row r="3300">
          <cell r="A3300" t="str">
            <v>Austria</v>
          </cell>
          <cell r="B3300">
            <v>40</v>
          </cell>
          <cell r="C3300">
            <v>203</v>
          </cell>
          <cell r="D3300">
            <v>3</v>
          </cell>
          <cell r="E3300" t="str">
            <v>Equals: VALUE ADDED, GROSS, at basic prices</v>
          </cell>
          <cell r="F3300">
            <v>12</v>
          </cell>
          <cell r="G3300">
            <v>1976</v>
          </cell>
          <cell r="H3300">
            <v>10</v>
          </cell>
          <cell r="I3300">
            <v>702634000000</v>
          </cell>
        </row>
        <row r="3301">
          <cell r="A3301" t="str">
            <v>Austria</v>
          </cell>
          <cell r="B3301">
            <v>40</v>
          </cell>
          <cell r="C3301">
            <v>203</v>
          </cell>
          <cell r="D3301">
            <v>3</v>
          </cell>
          <cell r="E3301" t="str">
            <v>Equals: VALUE ADDED, GROSS, at basic prices</v>
          </cell>
          <cell r="F3301">
            <v>12</v>
          </cell>
          <cell r="G3301">
            <v>1976</v>
          </cell>
          <cell r="H3301">
            <v>200</v>
          </cell>
          <cell r="I3301">
            <v>50398537823</v>
          </cell>
        </row>
        <row r="3302">
          <cell r="A3302" t="str">
            <v>Austria</v>
          </cell>
          <cell r="B3302">
            <v>40</v>
          </cell>
          <cell r="C3302">
            <v>203</v>
          </cell>
          <cell r="D3302">
            <v>3</v>
          </cell>
          <cell r="E3302" t="str">
            <v>Equals: VALUE ADDED, GROSS, at basic prices</v>
          </cell>
          <cell r="F3302">
            <v>12</v>
          </cell>
          <cell r="G3302">
            <v>1977</v>
          </cell>
          <cell r="H3302">
            <v>200</v>
          </cell>
          <cell r="I3302">
            <v>55686794619</v>
          </cell>
        </row>
        <row r="3303">
          <cell r="A3303" t="str">
            <v>Austria</v>
          </cell>
          <cell r="B3303">
            <v>40</v>
          </cell>
          <cell r="C3303">
            <v>203</v>
          </cell>
          <cell r="D3303">
            <v>3</v>
          </cell>
          <cell r="E3303" t="str">
            <v>Equals: VALUE ADDED, GROSS, at basic prices</v>
          </cell>
          <cell r="F3303">
            <v>12</v>
          </cell>
          <cell r="G3303">
            <v>1978</v>
          </cell>
          <cell r="H3303">
            <v>200</v>
          </cell>
          <cell r="I3303">
            <v>59176326098</v>
          </cell>
        </row>
        <row r="3304">
          <cell r="A3304" t="str">
            <v>Austria</v>
          </cell>
          <cell r="B3304">
            <v>40</v>
          </cell>
          <cell r="C3304">
            <v>203</v>
          </cell>
          <cell r="D3304">
            <v>3</v>
          </cell>
          <cell r="E3304" t="str">
            <v>Equals: VALUE ADDED, GROSS, at basic prices</v>
          </cell>
          <cell r="F3304">
            <v>12</v>
          </cell>
          <cell r="G3304">
            <v>1979</v>
          </cell>
          <cell r="H3304">
            <v>200</v>
          </cell>
          <cell r="I3304">
            <v>64787032259</v>
          </cell>
        </row>
        <row r="3305">
          <cell r="A3305" t="str">
            <v>Austria</v>
          </cell>
          <cell r="B3305">
            <v>40</v>
          </cell>
          <cell r="C3305">
            <v>203</v>
          </cell>
          <cell r="D3305">
            <v>3</v>
          </cell>
          <cell r="E3305" t="str">
            <v>Equals: VALUE ADDED, GROSS, at basic prices</v>
          </cell>
          <cell r="F3305">
            <v>12</v>
          </cell>
          <cell r="G3305">
            <v>1980</v>
          </cell>
          <cell r="H3305">
            <v>200</v>
          </cell>
          <cell r="I3305">
            <v>69698262393</v>
          </cell>
        </row>
        <row r="3306">
          <cell r="A3306" t="str">
            <v>Austria</v>
          </cell>
          <cell r="B3306">
            <v>40</v>
          </cell>
          <cell r="C3306">
            <v>203</v>
          </cell>
          <cell r="D3306">
            <v>3</v>
          </cell>
          <cell r="E3306" t="str">
            <v>Equals: VALUE ADDED, GROSS, at basic prices</v>
          </cell>
          <cell r="F3306">
            <v>12</v>
          </cell>
          <cell r="G3306">
            <v>1981</v>
          </cell>
          <cell r="H3306">
            <v>200</v>
          </cell>
          <cell r="I3306">
            <v>74341838477</v>
          </cell>
        </row>
        <row r="3307">
          <cell r="A3307" t="str">
            <v>Austria</v>
          </cell>
          <cell r="B3307">
            <v>40</v>
          </cell>
          <cell r="C3307">
            <v>203</v>
          </cell>
          <cell r="D3307">
            <v>3</v>
          </cell>
          <cell r="E3307" t="str">
            <v>Equals: VALUE ADDED, GROSS, at basic prices</v>
          </cell>
          <cell r="F3307">
            <v>12</v>
          </cell>
          <cell r="G3307">
            <v>1982</v>
          </cell>
          <cell r="H3307">
            <v>200</v>
          </cell>
          <cell r="I3307">
            <v>80100869894</v>
          </cell>
        </row>
        <row r="3308">
          <cell r="A3308" t="str">
            <v>Austria</v>
          </cell>
          <cell r="B3308">
            <v>40</v>
          </cell>
          <cell r="C3308">
            <v>203</v>
          </cell>
          <cell r="D3308">
            <v>3</v>
          </cell>
          <cell r="E3308" t="str">
            <v>Equals: VALUE ADDED, GROSS, at basic prices</v>
          </cell>
          <cell r="F3308">
            <v>12</v>
          </cell>
          <cell r="G3308">
            <v>1983</v>
          </cell>
          <cell r="H3308">
            <v>200</v>
          </cell>
          <cell r="I3308">
            <v>84887829480</v>
          </cell>
        </row>
        <row r="3309">
          <cell r="A3309" t="str">
            <v>Austria</v>
          </cell>
          <cell r="B3309">
            <v>40</v>
          </cell>
          <cell r="C3309">
            <v>203</v>
          </cell>
          <cell r="D3309">
            <v>3</v>
          </cell>
          <cell r="E3309" t="str">
            <v>Equals: VALUE ADDED, GROSS, at basic prices</v>
          </cell>
          <cell r="F3309">
            <v>12</v>
          </cell>
          <cell r="G3309">
            <v>1984</v>
          </cell>
          <cell r="H3309">
            <v>200</v>
          </cell>
          <cell r="I3309">
            <v>88305850890</v>
          </cell>
        </row>
        <row r="3310">
          <cell r="A3310" t="str">
            <v>Austria</v>
          </cell>
          <cell r="B3310">
            <v>40</v>
          </cell>
          <cell r="C3310">
            <v>203</v>
          </cell>
          <cell r="D3310">
            <v>3</v>
          </cell>
          <cell r="E3310" t="str">
            <v>Equals: VALUE ADDED, GROSS, at basic prices</v>
          </cell>
          <cell r="F3310">
            <v>12</v>
          </cell>
          <cell r="G3310">
            <v>1985</v>
          </cell>
          <cell r="H3310">
            <v>200</v>
          </cell>
          <cell r="I3310">
            <v>93491057608</v>
          </cell>
        </row>
        <row r="3311">
          <cell r="A3311" t="str">
            <v>Austria</v>
          </cell>
          <cell r="B3311">
            <v>40</v>
          </cell>
          <cell r="C3311">
            <v>203</v>
          </cell>
          <cell r="D3311">
            <v>3</v>
          </cell>
          <cell r="E3311" t="str">
            <v>Equals: VALUE ADDED, GROSS, at basic prices</v>
          </cell>
          <cell r="F3311">
            <v>12</v>
          </cell>
          <cell r="G3311">
            <v>1986</v>
          </cell>
          <cell r="H3311">
            <v>200</v>
          </cell>
          <cell r="I3311">
            <v>98912523710</v>
          </cell>
        </row>
        <row r="3312">
          <cell r="A3312" t="str">
            <v>Austria</v>
          </cell>
          <cell r="B3312">
            <v>40</v>
          </cell>
          <cell r="C3312">
            <v>203</v>
          </cell>
          <cell r="D3312">
            <v>3</v>
          </cell>
          <cell r="E3312" t="str">
            <v>Equals: VALUE ADDED, GROSS, at basic prices</v>
          </cell>
          <cell r="F3312">
            <v>12</v>
          </cell>
          <cell r="G3312">
            <v>1987</v>
          </cell>
          <cell r="H3312">
            <v>200</v>
          </cell>
          <cell r="I3312">
            <v>102904878527</v>
          </cell>
        </row>
        <row r="3313">
          <cell r="A3313" t="str">
            <v>Austria</v>
          </cell>
          <cell r="B3313">
            <v>40</v>
          </cell>
          <cell r="C3313">
            <v>203</v>
          </cell>
          <cell r="D3313">
            <v>3</v>
          </cell>
          <cell r="E3313" t="str">
            <v>Equals: VALUE ADDED, GROSS, at basic prices</v>
          </cell>
          <cell r="F3313">
            <v>12</v>
          </cell>
          <cell r="G3313">
            <v>1988</v>
          </cell>
          <cell r="H3313">
            <v>200</v>
          </cell>
          <cell r="I3313">
            <v>107807942957</v>
          </cell>
        </row>
        <row r="3314">
          <cell r="A3314" t="str">
            <v>Austria</v>
          </cell>
          <cell r="B3314">
            <v>40</v>
          </cell>
          <cell r="C3314">
            <v>203</v>
          </cell>
          <cell r="D3314">
            <v>3</v>
          </cell>
          <cell r="E3314" t="str">
            <v>Equals: VALUE ADDED, GROSS, at basic prices</v>
          </cell>
          <cell r="F3314">
            <v>12</v>
          </cell>
          <cell r="G3314">
            <v>1989</v>
          </cell>
          <cell r="H3314">
            <v>200</v>
          </cell>
          <cell r="I3314">
            <v>115506756893</v>
          </cell>
        </row>
        <row r="3315">
          <cell r="A3315" t="str">
            <v>Austria</v>
          </cell>
          <cell r="B3315">
            <v>40</v>
          </cell>
          <cell r="C3315">
            <v>203</v>
          </cell>
          <cell r="D3315">
            <v>3</v>
          </cell>
          <cell r="E3315" t="str">
            <v>Equals: VALUE ADDED, GROSS, at basic prices</v>
          </cell>
          <cell r="F3315">
            <v>12</v>
          </cell>
          <cell r="G3315">
            <v>1990</v>
          </cell>
          <cell r="H3315">
            <v>200</v>
          </cell>
          <cell r="I3315">
            <v>125444620220</v>
          </cell>
        </row>
        <row r="3316">
          <cell r="A3316" t="str">
            <v>Austria</v>
          </cell>
          <cell r="B3316">
            <v>40</v>
          </cell>
          <cell r="C3316">
            <v>203</v>
          </cell>
          <cell r="D3316">
            <v>3</v>
          </cell>
          <cell r="E3316" t="str">
            <v>Equals: VALUE ADDED, GROSS, at basic prices</v>
          </cell>
          <cell r="F3316">
            <v>12</v>
          </cell>
          <cell r="G3316">
            <v>1991</v>
          </cell>
          <cell r="H3316">
            <v>200</v>
          </cell>
          <cell r="I3316">
            <v>134841520591</v>
          </cell>
        </row>
        <row r="3317">
          <cell r="A3317" t="str">
            <v>Austria</v>
          </cell>
          <cell r="B3317">
            <v>40</v>
          </cell>
          <cell r="C3317">
            <v>203</v>
          </cell>
          <cell r="D3317">
            <v>3</v>
          </cell>
          <cell r="E3317" t="str">
            <v>Equals: VALUE ADDED, GROSS, at basic prices</v>
          </cell>
          <cell r="F3317">
            <v>12</v>
          </cell>
          <cell r="G3317">
            <v>1992</v>
          </cell>
          <cell r="H3317">
            <v>200</v>
          </cell>
          <cell r="I3317">
            <v>143066491878</v>
          </cell>
        </row>
        <row r="3318">
          <cell r="A3318" t="str">
            <v>Austria</v>
          </cell>
          <cell r="B3318">
            <v>40</v>
          </cell>
          <cell r="C3318">
            <v>203</v>
          </cell>
          <cell r="D3318">
            <v>3</v>
          </cell>
          <cell r="E3318" t="str">
            <v>Equals: VALUE ADDED, GROSS, at basic prices</v>
          </cell>
          <cell r="F3318">
            <v>12</v>
          </cell>
          <cell r="G3318">
            <v>1993</v>
          </cell>
          <cell r="H3318">
            <v>200</v>
          </cell>
          <cell r="I3318">
            <v>148154174982</v>
          </cell>
        </row>
        <row r="3319">
          <cell r="A3319" t="str">
            <v>Austria</v>
          </cell>
          <cell r="B3319">
            <v>40</v>
          </cell>
          <cell r="C3319">
            <v>203</v>
          </cell>
          <cell r="D3319">
            <v>3</v>
          </cell>
          <cell r="E3319" t="str">
            <v>Equals: VALUE ADDED, GROSS, at basic prices</v>
          </cell>
          <cell r="F3319">
            <v>12</v>
          </cell>
          <cell r="G3319">
            <v>1994</v>
          </cell>
          <cell r="H3319">
            <v>200</v>
          </cell>
          <cell r="I3319">
            <v>155775081657</v>
          </cell>
        </row>
        <row r="3320">
          <cell r="A3320" t="str">
            <v>Austria</v>
          </cell>
          <cell r="B3320">
            <v>40</v>
          </cell>
          <cell r="C3320">
            <v>203</v>
          </cell>
          <cell r="D3320">
            <v>3</v>
          </cell>
          <cell r="E3320" t="str">
            <v>Equals: VALUE ADDED, GROSS, at basic prices</v>
          </cell>
          <cell r="F3320">
            <v>12</v>
          </cell>
          <cell r="G3320">
            <v>1995</v>
          </cell>
          <cell r="H3320">
            <v>200</v>
          </cell>
          <cell r="I3320">
            <v>163427627507</v>
          </cell>
        </row>
        <row r="3321">
          <cell r="A3321" t="str">
            <v>Austria</v>
          </cell>
          <cell r="B3321">
            <v>40</v>
          </cell>
          <cell r="C3321">
            <v>203</v>
          </cell>
          <cell r="D3321">
            <v>3</v>
          </cell>
          <cell r="E3321" t="str">
            <v>Equals: VALUE ADDED, GROSS, at basic prices</v>
          </cell>
          <cell r="F3321">
            <v>12</v>
          </cell>
          <cell r="G3321">
            <v>1996</v>
          </cell>
          <cell r="H3321">
            <v>200</v>
          </cell>
          <cell r="I3321">
            <v>168569075783</v>
          </cell>
        </row>
        <row r="3322">
          <cell r="A3322" t="str">
            <v>Austria</v>
          </cell>
          <cell r="B3322">
            <v>40</v>
          </cell>
          <cell r="C3322">
            <v>203</v>
          </cell>
          <cell r="D3322">
            <v>3</v>
          </cell>
          <cell r="E3322" t="str">
            <v>Equals: VALUE ADDED, GROSS, at basic prices</v>
          </cell>
          <cell r="F3322">
            <v>12</v>
          </cell>
          <cell r="G3322">
            <v>1997</v>
          </cell>
          <cell r="H3322">
            <v>200</v>
          </cell>
          <cell r="I3322">
            <v>172147484139</v>
          </cell>
        </row>
        <row r="3323">
          <cell r="A3323" t="str">
            <v>Austria</v>
          </cell>
          <cell r="B3323">
            <v>40</v>
          </cell>
          <cell r="C3323">
            <v>203</v>
          </cell>
          <cell r="D3323">
            <v>3</v>
          </cell>
          <cell r="E3323" t="str">
            <v>Equals: VALUE ADDED, GROSS, at basic prices</v>
          </cell>
          <cell r="F3323">
            <v>12</v>
          </cell>
          <cell r="G3323">
            <v>1998</v>
          </cell>
          <cell r="H3323">
            <v>200</v>
          </cell>
          <cell r="I3323">
            <v>179644750000</v>
          </cell>
        </row>
        <row r="3324">
          <cell r="A3324" t="str">
            <v>Austria</v>
          </cell>
          <cell r="B3324">
            <v>40</v>
          </cell>
          <cell r="C3324">
            <v>203</v>
          </cell>
          <cell r="D3324">
            <v>3</v>
          </cell>
          <cell r="E3324" t="str">
            <v>Equals: VALUE ADDED, GROSS, at basic prices</v>
          </cell>
          <cell r="F3324">
            <v>12</v>
          </cell>
          <cell r="G3324">
            <v>1999</v>
          </cell>
          <cell r="H3324">
            <v>200</v>
          </cell>
          <cell r="I3324">
            <v>183858373000</v>
          </cell>
        </row>
        <row r="3325">
          <cell r="A3325" t="str">
            <v>Austria</v>
          </cell>
          <cell r="B3325">
            <v>40</v>
          </cell>
          <cell r="C3325">
            <v>203</v>
          </cell>
          <cell r="D3325">
            <v>3</v>
          </cell>
          <cell r="E3325" t="str">
            <v>Equals: VALUE ADDED, GROSS, at basic prices</v>
          </cell>
          <cell r="F3325">
            <v>12</v>
          </cell>
          <cell r="G3325">
            <v>2000</v>
          </cell>
          <cell r="H3325">
            <v>200</v>
          </cell>
          <cell r="I3325">
            <v>194412505000</v>
          </cell>
        </row>
        <row r="3326">
          <cell r="A3326" t="str">
            <v>Austria</v>
          </cell>
          <cell r="B3326">
            <v>40</v>
          </cell>
          <cell r="C3326">
            <v>203</v>
          </cell>
          <cell r="D3326">
            <v>3</v>
          </cell>
          <cell r="E3326" t="str">
            <v>Equals: VALUE ADDED, GROSS, at basic prices</v>
          </cell>
          <cell r="F3326">
            <v>12</v>
          </cell>
          <cell r="G3326">
            <v>2001</v>
          </cell>
          <cell r="H3326">
            <v>200</v>
          </cell>
          <cell r="I3326">
            <v>201138793000</v>
          </cell>
        </row>
        <row r="3327">
          <cell r="A3327" t="str">
            <v>Austria</v>
          </cell>
          <cell r="B3327">
            <v>40</v>
          </cell>
          <cell r="C3327">
            <v>203</v>
          </cell>
          <cell r="D3327">
            <v>3</v>
          </cell>
          <cell r="E3327" t="str">
            <v>Equals: VALUE ADDED, GROSS, at basic prices</v>
          </cell>
          <cell r="F3327">
            <v>12</v>
          </cell>
          <cell r="G3327">
            <v>2002</v>
          </cell>
          <cell r="H3327">
            <v>200</v>
          </cell>
          <cell r="I3327">
            <v>205579119000</v>
          </cell>
        </row>
        <row r="3328">
          <cell r="A3328" t="str">
            <v>Cameroon</v>
          </cell>
          <cell r="B3328">
            <v>120</v>
          </cell>
          <cell r="C3328">
            <v>203</v>
          </cell>
          <cell r="D3328">
            <v>3</v>
          </cell>
          <cell r="E3328" t="str">
            <v>Equals: VALUE ADDED, GROSS, at basic prices</v>
          </cell>
          <cell r="F3328">
            <v>12</v>
          </cell>
          <cell r="G3328">
            <v>1974</v>
          </cell>
          <cell r="H3328">
            <v>10</v>
          </cell>
          <cell r="I3328">
            <v>551800000000</v>
          </cell>
        </row>
        <row r="3329">
          <cell r="A3329" t="str">
            <v>Cameroon</v>
          </cell>
          <cell r="B3329">
            <v>120</v>
          </cell>
          <cell r="C3329">
            <v>203</v>
          </cell>
          <cell r="D3329">
            <v>3</v>
          </cell>
          <cell r="E3329" t="str">
            <v>Equals: VALUE ADDED, GROSS, at basic prices</v>
          </cell>
          <cell r="F3329">
            <v>12</v>
          </cell>
          <cell r="G3329">
            <v>1975</v>
          </cell>
          <cell r="H3329">
            <v>10</v>
          </cell>
          <cell r="I3329">
            <v>624400000000</v>
          </cell>
        </row>
        <row r="3330">
          <cell r="A3330" t="str">
            <v>Cameroon</v>
          </cell>
          <cell r="B3330">
            <v>120</v>
          </cell>
          <cell r="C3330">
            <v>203</v>
          </cell>
          <cell r="D3330">
            <v>3</v>
          </cell>
          <cell r="E3330" t="str">
            <v>Equals: VALUE ADDED, GROSS, at basic prices</v>
          </cell>
          <cell r="F3330">
            <v>12</v>
          </cell>
          <cell r="G3330">
            <v>1976</v>
          </cell>
          <cell r="H3330">
            <v>10</v>
          </cell>
          <cell r="I3330">
            <v>746800000000</v>
          </cell>
        </row>
        <row r="3331">
          <cell r="A3331" t="str">
            <v>Cameroon</v>
          </cell>
          <cell r="B3331">
            <v>120</v>
          </cell>
          <cell r="C3331">
            <v>203</v>
          </cell>
          <cell r="D3331">
            <v>3</v>
          </cell>
          <cell r="E3331" t="str">
            <v>Equals: VALUE ADDED, GROSS, at basic prices</v>
          </cell>
          <cell r="F3331">
            <v>12</v>
          </cell>
          <cell r="G3331">
            <v>1977</v>
          </cell>
          <cell r="H3331">
            <v>10</v>
          </cell>
          <cell r="I3331">
            <v>897300000000</v>
          </cell>
        </row>
        <row r="3332">
          <cell r="A3332" t="str">
            <v>Cameroon</v>
          </cell>
          <cell r="B3332">
            <v>120</v>
          </cell>
          <cell r="C3332">
            <v>203</v>
          </cell>
          <cell r="D3332">
            <v>3</v>
          </cell>
          <cell r="E3332" t="str">
            <v>Equals: VALUE ADDED, GROSS, at basic prices</v>
          </cell>
          <cell r="F3332">
            <v>12</v>
          </cell>
          <cell r="G3332">
            <v>1978</v>
          </cell>
          <cell r="H3332">
            <v>10</v>
          </cell>
          <cell r="I3332">
            <v>1118500000000</v>
          </cell>
        </row>
        <row r="3333">
          <cell r="A3333" t="str">
            <v>Cameroon</v>
          </cell>
          <cell r="B3333">
            <v>120</v>
          </cell>
          <cell r="C3333">
            <v>203</v>
          </cell>
          <cell r="D3333">
            <v>3</v>
          </cell>
          <cell r="E3333" t="str">
            <v>Equals: VALUE ADDED, GROSS, at basic prices</v>
          </cell>
          <cell r="F3333">
            <v>12</v>
          </cell>
          <cell r="G3333">
            <v>1979</v>
          </cell>
          <cell r="H3333">
            <v>10</v>
          </cell>
          <cell r="I3333">
            <v>1355300000000</v>
          </cell>
        </row>
        <row r="3334">
          <cell r="A3334" t="str">
            <v>Cameroon</v>
          </cell>
          <cell r="B3334">
            <v>120</v>
          </cell>
          <cell r="C3334">
            <v>203</v>
          </cell>
          <cell r="D3334">
            <v>3</v>
          </cell>
          <cell r="E3334" t="str">
            <v>Equals: VALUE ADDED, GROSS, at basic prices</v>
          </cell>
          <cell r="F3334">
            <v>12</v>
          </cell>
          <cell r="G3334">
            <v>1980</v>
          </cell>
          <cell r="H3334">
            <v>10</v>
          </cell>
          <cell r="I3334">
            <v>1724500000000</v>
          </cell>
        </row>
        <row r="3335">
          <cell r="A3335" t="str">
            <v>Cameroon</v>
          </cell>
          <cell r="B3335">
            <v>120</v>
          </cell>
          <cell r="C3335">
            <v>203</v>
          </cell>
          <cell r="D3335">
            <v>3</v>
          </cell>
          <cell r="E3335" t="str">
            <v>Equals: VALUE ADDED, GROSS, at basic prices</v>
          </cell>
          <cell r="F3335">
            <v>12</v>
          </cell>
          <cell r="G3335">
            <v>1981</v>
          </cell>
          <cell r="H3335">
            <v>10</v>
          </cell>
          <cell r="I3335">
            <v>2088600000000</v>
          </cell>
        </row>
        <row r="3336">
          <cell r="A3336" t="str">
            <v>Cameroon</v>
          </cell>
          <cell r="B3336">
            <v>120</v>
          </cell>
          <cell r="C3336">
            <v>203</v>
          </cell>
          <cell r="D3336">
            <v>3</v>
          </cell>
          <cell r="E3336" t="str">
            <v>Equals: VALUE ADDED, GROSS, at basic prices</v>
          </cell>
          <cell r="F3336">
            <v>12</v>
          </cell>
          <cell r="G3336">
            <v>1982</v>
          </cell>
          <cell r="H3336">
            <v>10</v>
          </cell>
          <cell r="I3336">
            <v>2508900000000</v>
          </cell>
        </row>
        <row r="3337">
          <cell r="A3337" t="str">
            <v>Cameroon</v>
          </cell>
          <cell r="B3337">
            <v>120</v>
          </cell>
          <cell r="C3337">
            <v>203</v>
          </cell>
          <cell r="D3337">
            <v>3</v>
          </cell>
          <cell r="E3337" t="str">
            <v>Equals: VALUE ADDED, GROSS, at basic prices</v>
          </cell>
          <cell r="F3337">
            <v>12</v>
          </cell>
          <cell r="G3337">
            <v>1983</v>
          </cell>
          <cell r="H3337">
            <v>10</v>
          </cell>
          <cell r="I3337">
            <v>3060100000000</v>
          </cell>
        </row>
        <row r="3338">
          <cell r="A3338" t="str">
            <v>Cameroon</v>
          </cell>
          <cell r="B3338">
            <v>120</v>
          </cell>
          <cell r="C3338">
            <v>203</v>
          </cell>
          <cell r="D3338">
            <v>3</v>
          </cell>
          <cell r="E3338" t="str">
            <v>Equals: VALUE ADDED, GROSS, at basic prices</v>
          </cell>
          <cell r="F3338">
            <v>12</v>
          </cell>
          <cell r="G3338">
            <v>1984</v>
          </cell>
          <cell r="H3338">
            <v>10</v>
          </cell>
          <cell r="I3338">
            <v>3696900000000</v>
          </cell>
        </row>
        <row r="3339">
          <cell r="A3339" t="str">
            <v>Cameroon</v>
          </cell>
          <cell r="B3339">
            <v>120</v>
          </cell>
          <cell r="C3339">
            <v>203</v>
          </cell>
          <cell r="D3339">
            <v>3</v>
          </cell>
          <cell r="E3339" t="str">
            <v>Equals: VALUE ADDED, GROSS, at basic prices</v>
          </cell>
          <cell r="F3339">
            <v>12</v>
          </cell>
          <cell r="G3339">
            <v>1985</v>
          </cell>
          <cell r="H3339">
            <v>10</v>
          </cell>
          <cell r="I3339">
            <v>3997300000000</v>
          </cell>
        </row>
        <row r="3340">
          <cell r="A3340" t="str">
            <v>Cameroon</v>
          </cell>
          <cell r="B3340">
            <v>120</v>
          </cell>
          <cell r="C3340">
            <v>203</v>
          </cell>
          <cell r="D3340">
            <v>3</v>
          </cell>
          <cell r="E3340" t="str">
            <v>Equals: VALUE ADDED, GROSS, at basic prices</v>
          </cell>
          <cell r="F3340">
            <v>12</v>
          </cell>
          <cell r="G3340">
            <v>1986</v>
          </cell>
          <cell r="H3340">
            <v>10</v>
          </cell>
          <cell r="I3340">
            <v>3818700000000</v>
          </cell>
        </row>
        <row r="3341">
          <cell r="A3341" t="str">
            <v>Cameroon</v>
          </cell>
          <cell r="B3341">
            <v>120</v>
          </cell>
          <cell r="C3341">
            <v>203</v>
          </cell>
          <cell r="D3341">
            <v>3</v>
          </cell>
          <cell r="E3341" t="str">
            <v>Equals: VALUE ADDED, GROSS, at basic prices</v>
          </cell>
          <cell r="F3341">
            <v>12</v>
          </cell>
          <cell r="G3341">
            <v>1987</v>
          </cell>
          <cell r="H3341">
            <v>10</v>
          </cell>
          <cell r="I3341">
            <v>3560600000000</v>
          </cell>
        </row>
        <row r="3342">
          <cell r="A3342" t="str">
            <v>Cameroon</v>
          </cell>
          <cell r="B3342">
            <v>120</v>
          </cell>
          <cell r="C3342">
            <v>203</v>
          </cell>
          <cell r="D3342">
            <v>3</v>
          </cell>
          <cell r="E3342" t="str">
            <v>Equals: VALUE ADDED, GROSS, at basic prices</v>
          </cell>
          <cell r="F3342">
            <v>12</v>
          </cell>
          <cell r="G3342">
            <v>1988</v>
          </cell>
          <cell r="H3342">
            <v>10</v>
          </cell>
          <cell r="I3342">
            <v>3451400000000</v>
          </cell>
        </row>
        <row r="3343">
          <cell r="A3343" t="str">
            <v>Cameroon</v>
          </cell>
          <cell r="B3343">
            <v>120</v>
          </cell>
          <cell r="C3343">
            <v>203</v>
          </cell>
          <cell r="D3343">
            <v>3</v>
          </cell>
          <cell r="E3343" t="str">
            <v>Equals: VALUE ADDED, GROSS, at basic prices</v>
          </cell>
          <cell r="F3343">
            <v>12</v>
          </cell>
          <cell r="G3343">
            <v>1990</v>
          </cell>
          <cell r="H3343">
            <v>100</v>
          </cell>
          <cell r="I3343">
            <v>3708010000000</v>
          </cell>
        </row>
        <row r="3344">
          <cell r="A3344" t="str">
            <v>Cameroon</v>
          </cell>
          <cell r="B3344">
            <v>120</v>
          </cell>
          <cell r="C3344">
            <v>203</v>
          </cell>
          <cell r="D3344">
            <v>3</v>
          </cell>
          <cell r="E3344" t="str">
            <v>Equals: VALUE ADDED, GROSS, at basic prices</v>
          </cell>
          <cell r="F3344">
            <v>12</v>
          </cell>
          <cell r="G3344">
            <v>1993</v>
          </cell>
          <cell r="H3344">
            <v>100</v>
          </cell>
          <cell r="I3344">
            <v>3280510000000</v>
          </cell>
        </row>
        <row r="3345">
          <cell r="A3345" t="str">
            <v>Cameroon</v>
          </cell>
          <cell r="B3345">
            <v>120</v>
          </cell>
          <cell r="C3345">
            <v>203</v>
          </cell>
          <cell r="D3345">
            <v>3</v>
          </cell>
          <cell r="E3345" t="str">
            <v>Equals: VALUE ADDED, GROSS, at basic prices</v>
          </cell>
          <cell r="F3345">
            <v>12</v>
          </cell>
          <cell r="G3345">
            <v>1994</v>
          </cell>
          <cell r="H3345">
            <v>100</v>
          </cell>
          <cell r="I3345">
            <v>3554080000000</v>
          </cell>
        </row>
        <row r="3346">
          <cell r="A3346" t="str">
            <v>Cameroon</v>
          </cell>
          <cell r="B3346">
            <v>120</v>
          </cell>
          <cell r="C3346">
            <v>203</v>
          </cell>
          <cell r="D3346">
            <v>3</v>
          </cell>
          <cell r="E3346" t="str">
            <v>Equals: VALUE ADDED, GROSS, at basic prices</v>
          </cell>
          <cell r="F3346">
            <v>12</v>
          </cell>
          <cell r="G3346">
            <v>1995</v>
          </cell>
          <cell r="H3346">
            <v>100</v>
          </cell>
          <cell r="I3346">
            <v>4175510000000</v>
          </cell>
        </row>
        <row r="3347">
          <cell r="A3347" t="str">
            <v>Cameroon</v>
          </cell>
          <cell r="B3347">
            <v>120</v>
          </cell>
          <cell r="C3347">
            <v>203</v>
          </cell>
          <cell r="D3347">
            <v>3</v>
          </cell>
          <cell r="E3347" t="str">
            <v>Equals: VALUE ADDED, GROSS, at basic prices</v>
          </cell>
          <cell r="F3347">
            <v>12</v>
          </cell>
          <cell r="G3347">
            <v>1996</v>
          </cell>
          <cell r="H3347">
            <v>100</v>
          </cell>
          <cell r="I3347">
            <v>4437430000000</v>
          </cell>
        </row>
        <row r="3348">
          <cell r="A3348" t="str">
            <v>Cameroon</v>
          </cell>
          <cell r="B3348">
            <v>120</v>
          </cell>
          <cell r="C3348">
            <v>203</v>
          </cell>
          <cell r="D3348">
            <v>3</v>
          </cell>
          <cell r="E3348" t="str">
            <v>Equals: VALUE ADDED, GROSS, at basic prices</v>
          </cell>
          <cell r="F3348">
            <v>12</v>
          </cell>
          <cell r="G3348">
            <v>1997</v>
          </cell>
          <cell r="H3348">
            <v>100</v>
          </cell>
          <cell r="I3348">
            <v>4973020000000</v>
          </cell>
        </row>
        <row r="3349">
          <cell r="A3349" t="str">
            <v>Cameroon</v>
          </cell>
          <cell r="B3349">
            <v>120</v>
          </cell>
          <cell r="C3349">
            <v>203</v>
          </cell>
          <cell r="D3349">
            <v>3</v>
          </cell>
          <cell r="E3349" t="str">
            <v>Equals: VALUE ADDED, GROSS, at basic prices</v>
          </cell>
          <cell r="F3349">
            <v>12</v>
          </cell>
          <cell r="G3349">
            <v>1998</v>
          </cell>
          <cell r="H3349">
            <v>100</v>
          </cell>
          <cell r="I3349">
            <v>5318800000000</v>
          </cell>
        </row>
        <row r="3350">
          <cell r="A3350" t="str">
            <v>Cameroon</v>
          </cell>
          <cell r="B3350">
            <v>120</v>
          </cell>
          <cell r="C3350">
            <v>203</v>
          </cell>
          <cell r="D3350">
            <v>4</v>
          </cell>
          <cell r="E3350" t="str">
            <v>Compensation of employees</v>
          </cell>
          <cell r="F3350">
            <v>12</v>
          </cell>
          <cell r="G3350">
            <v>1974</v>
          </cell>
          <cell r="H3350">
            <v>10</v>
          </cell>
          <cell r="I3350">
            <v>149700000000</v>
          </cell>
        </row>
        <row r="3351">
          <cell r="A3351" t="str">
            <v>Cameroon</v>
          </cell>
          <cell r="B3351">
            <v>120</v>
          </cell>
          <cell r="C3351">
            <v>203</v>
          </cell>
          <cell r="D3351">
            <v>4</v>
          </cell>
          <cell r="E3351" t="str">
            <v>Compensation of employees</v>
          </cell>
          <cell r="F3351">
            <v>12</v>
          </cell>
          <cell r="G3351">
            <v>1975</v>
          </cell>
          <cell r="H3351">
            <v>10</v>
          </cell>
          <cell r="I3351">
            <v>180000000000</v>
          </cell>
        </row>
        <row r="3352">
          <cell r="A3352" t="str">
            <v>Cameroon</v>
          </cell>
          <cell r="B3352">
            <v>120</v>
          </cell>
          <cell r="C3352">
            <v>203</v>
          </cell>
          <cell r="D3352">
            <v>4</v>
          </cell>
          <cell r="E3352" t="str">
            <v>Compensation of employees</v>
          </cell>
          <cell r="F3352">
            <v>12</v>
          </cell>
          <cell r="G3352">
            <v>1976</v>
          </cell>
          <cell r="H3352">
            <v>10</v>
          </cell>
          <cell r="I3352">
            <v>206200000000</v>
          </cell>
        </row>
        <row r="3353">
          <cell r="A3353" t="str">
            <v>Cameroon</v>
          </cell>
          <cell r="B3353">
            <v>120</v>
          </cell>
          <cell r="C3353">
            <v>203</v>
          </cell>
          <cell r="D3353">
            <v>4</v>
          </cell>
          <cell r="E3353" t="str">
            <v>Compensation of employees</v>
          </cell>
          <cell r="F3353">
            <v>12</v>
          </cell>
          <cell r="G3353">
            <v>1977</v>
          </cell>
          <cell r="H3353">
            <v>10</v>
          </cell>
          <cell r="I3353">
            <v>255100000000</v>
          </cell>
        </row>
        <row r="3354">
          <cell r="A3354" t="str">
            <v>Cameroon</v>
          </cell>
          <cell r="B3354">
            <v>120</v>
          </cell>
          <cell r="C3354">
            <v>203</v>
          </cell>
          <cell r="D3354">
            <v>4</v>
          </cell>
          <cell r="E3354" t="str">
            <v>Compensation of employees</v>
          </cell>
          <cell r="F3354">
            <v>12</v>
          </cell>
          <cell r="G3354">
            <v>1978</v>
          </cell>
          <cell r="H3354">
            <v>10</v>
          </cell>
          <cell r="I3354">
            <v>327600000000</v>
          </cell>
        </row>
        <row r="3355">
          <cell r="A3355" t="str">
            <v>Cameroon</v>
          </cell>
          <cell r="B3355">
            <v>120</v>
          </cell>
          <cell r="C3355">
            <v>203</v>
          </cell>
          <cell r="D3355">
            <v>4</v>
          </cell>
          <cell r="E3355" t="str">
            <v>Compensation of employees</v>
          </cell>
          <cell r="F3355">
            <v>12</v>
          </cell>
          <cell r="G3355">
            <v>1979</v>
          </cell>
          <cell r="H3355">
            <v>10</v>
          </cell>
          <cell r="I3355">
            <v>410300000000</v>
          </cell>
        </row>
        <row r="3356">
          <cell r="A3356" t="str">
            <v>Cameroon</v>
          </cell>
          <cell r="B3356">
            <v>120</v>
          </cell>
          <cell r="C3356">
            <v>203</v>
          </cell>
          <cell r="D3356">
            <v>4</v>
          </cell>
          <cell r="E3356" t="str">
            <v>Compensation of employees</v>
          </cell>
          <cell r="F3356">
            <v>12</v>
          </cell>
          <cell r="G3356">
            <v>1980</v>
          </cell>
          <cell r="H3356">
            <v>10</v>
          </cell>
          <cell r="I3356">
            <v>504600000000</v>
          </cell>
        </row>
        <row r="3357">
          <cell r="A3357" t="str">
            <v>Cameroon</v>
          </cell>
          <cell r="B3357">
            <v>120</v>
          </cell>
          <cell r="C3357">
            <v>203</v>
          </cell>
          <cell r="D3357">
            <v>4</v>
          </cell>
          <cell r="E3357" t="str">
            <v>Compensation of employees</v>
          </cell>
          <cell r="F3357">
            <v>12</v>
          </cell>
          <cell r="G3357">
            <v>1981</v>
          </cell>
          <cell r="H3357">
            <v>10</v>
          </cell>
          <cell r="I3357">
            <v>624100000000</v>
          </cell>
        </row>
        <row r="3358">
          <cell r="A3358" t="str">
            <v>Cameroon</v>
          </cell>
          <cell r="B3358">
            <v>120</v>
          </cell>
          <cell r="C3358">
            <v>203</v>
          </cell>
          <cell r="D3358">
            <v>4</v>
          </cell>
          <cell r="E3358" t="str">
            <v>Compensation of employees</v>
          </cell>
          <cell r="F3358">
            <v>12</v>
          </cell>
          <cell r="G3358">
            <v>1982</v>
          </cell>
          <cell r="H3358">
            <v>10</v>
          </cell>
          <cell r="I3358">
            <v>747300000000</v>
          </cell>
        </row>
        <row r="3359">
          <cell r="A3359" t="str">
            <v>Cameroon</v>
          </cell>
          <cell r="B3359">
            <v>120</v>
          </cell>
          <cell r="C3359">
            <v>203</v>
          </cell>
          <cell r="D3359">
            <v>4</v>
          </cell>
          <cell r="E3359" t="str">
            <v>Compensation of employees</v>
          </cell>
          <cell r="F3359">
            <v>12</v>
          </cell>
          <cell r="G3359">
            <v>1983</v>
          </cell>
          <cell r="H3359">
            <v>10</v>
          </cell>
          <cell r="I3359">
            <v>875600000000</v>
          </cell>
        </row>
        <row r="3360">
          <cell r="A3360" t="str">
            <v>Cameroon</v>
          </cell>
          <cell r="B3360">
            <v>120</v>
          </cell>
          <cell r="C3360">
            <v>203</v>
          </cell>
          <cell r="D3360">
            <v>4</v>
          </cell>
          <cell r="E3360" t="str">
            <v>Compensation of employees</v>
          </cell>
          <cell r="F3360">
            <v>12</v>
          </cell>
          <cell r="G3360">
            <v>1984</v>
          </cell>
          <cell r="H3360">
            <v>10</v>
          </cell>
          <cell r="I3360">
            <v>989500000000</v>
          </cell>
        </row>
        <row r="3361">
          <cell r="A3361" t="str">
            <v>Cameroon</v>
          </cell>
          <cell r="B3361">
            <v>120</v>
          </cell>
          <cell r="C3361">
            <v>203</v>
          </cell>
          <cell r="D3361">
            <v>4</v>
          </cell>
          <cell r="E3361" t="str">
            <v>Compensation of employees</v>
          </cell>
          <cell r="F3361">
            <v>12</v>
          </cell>
          <cell r="G3361">
            <v>1985</v>
          </cell>
          <cell r="H3361">
            <v>10</v>
          </cell>
          <cell r="I3361">
            <v>1110400000000</v>
          </cell>
        </row>
        <row r="3362">
          <cell r="A3362" t="str">
            <v>Cameroon</v>
          </cell>
          <cell r="B3362">
            <v>120</v>
          </cell>
          <cell r="C3362">
            <v>203</v>
          </cell>
          <cell r="D3362">
            <v>4</v>
          </cell>
          <cell r="E3362" t="str">
            <v>Compensation of employees</v>
          </cell>
          <cell r="F3362">
            <v>12</v>
          </cell>
          <cell r="G3362">
            <v>1986</v>
          </cell>
          <cell r="H3362">
            <v>10</v>
          </cell>
          <cell r="I3362">
            <v>1142400000000</v>
          </cell>
        </row>
        <row r="3363">
          <cell r="A3363" t="str">
            <v>Cameroon</v>
          </cell>
          <cell r="B3363">
            <v>120</v>
          </cell>
          <cell r="C3363">
            <v>203</v>
          </cell>
          <cell r="D3363">
            <v>4</v>
          </cell>
          <cell r="E3363" t="str">
            <v>Compensation of employees</v>
          </cell>
          <cell r="F3363">
            <v>12</v>
          </cell>
          <cell r="G3363">
            <v>1987</v>
          </cell>
          <cell r="H3363">
            <v>10</v>
          </cell>
          <cell r="I3363">
            <v>1091200000000</v>
          </cell>
        </row>
        <row r="3364">
          <cell r="A3364" t="str">
            <v>Cameroon</v>
          </cell>
          <cell r="B3364">
            <v>120</v>
          </cell>
          <cell r="C3364">
            <v>203</v>
          </cell>
          <cell r="D3364">
            <v>4</v>
          </cell>
          <cell r="E3364" t="str">
            <v>Compensation of employees</v>
          </cell>
          <cell r="F3364">
            <v>12</v>
          </cell>
          <cell r="G3364">
            <v>1988</v>
          </cell>
          <cell r="H3364">
            <v>10</v>
          </cell>
          <cell r="I3364">
            <v>1055100000000</v>
          </cell>
        </row>
        <row r="3365">
          <cell r="A3365" t="str">
            <v>Cameroon</v>
          </cell>
          <cell r="B3365">
            <v>120</v>
          </cell>
          <cell r="C3365">
            <v>203</v>
          </cell>
          <cell r="D3365">
            <v>4</v>
          </cell>
          <cell r="E3365" t="str">
            <v>Compensation of employees</v>
          </cell>
          <cell r="F3365">
            <v>12</v>
          </cell>
          <cell r="G3365">
            <v>1990</v>
          </cell>
          <cell r="H3365">
            <v>100</v>
          </cell>
          <cell r="I3365">
            <v>1027860000000</v>
          </cell>
        </row>
        <row r="3366">
          <cell r="A3366" t="str">
            <v>Cameroon</v>
          </cell>
          <cell r="B3366">
            <v>120</v>
          </cell>
          <cell r="C3366">
            <v>203</v>
          </cell>
          <cell r="D3366">
            <v>4</v>
          </cell>
          <cell r="E3366" t="str">
            <v>Compensation of employees</v>
          </cell>
          <cell r="F3366">
            <v>12</v>
          </cell>
          <cell r="G3366">
            <v>1993</v>
          </cell>
          <cell r="H3366">
            <v>100</v>
          </cell>
          <cell r="I3366">
            <v>1082990000000</v>
          </cell>
        </row>
        <row r="3367">
          <cell r="A3367" t="str">
            <v>Cameroon</v>
          </cell>
          <cell r="B3367">
            <v>120</v>
          </cell>
          <cell r="C3367">
            <v>203</v>
          </cell>
          <cell r="D3367">
            <v>4</v>
          </cell>
          <cell r="E3367" t="str">
            <v>Compensation of employees</v>
          </cell>
          <cell r="F3367">
            <v>12</v>
          </cell>
          <cell r="G3367">
            <v>1994</v>
          </cell>
          <cell r="H3367">
            <v>100</v>
          </cell>
          <cell r="I3367">
            <v>1058090000000</v>
          </cell>
        </row>
        <row r="3368">
          <cell r="A3368" t="str">
            <v>Cameroon</v>
          </cell>
          <cell r="B3368">
            <v>120</v>
          </cell>
          <cell r="C3368">
            <v>203</v>
          </cell>
          <cell r="D3368">
            <v>4</v>
          </cell>
          <cell r="E3368" t="str">
            <v>Compensation of employees</v>
          </cell>
          <cell r="F3368">
            <v>12</v>
          </cell>
          <cell r="G3368">
            <v>1995</v>
          </cell>
          <cell r="H3368">
            <v>100</v>
          </cell>
          <cell r="I3368">
            <v>1138690000000</v>
          </cell>
        </row>
        <row r="3369">
          <cell r="A3369" t="str">
            <v>Cameroon</v>
          </cell>
          <cell r="B3369">
            <v>120</v>
          </cell>
          <cell r="C3369">
            <v>203</v>
          </cell>
          <cell r="D3369">
            <v>4</v>
          </cell>
          <cell r="E3369" t="str">
            <v>Compensation of employees</v>
          </cell>
          <cell r="F3369">
            <v>12</v>
          </cell>
          <cell r="G3369">
            <v>1996</v>
          </cell>
          <cell r="H3369">
            <v>100</v>
          </cell>
          <cell r="I3369">
            <v>1185860000000</v>
          </cell>
        </row>
        <row r="3370">
          <cell r="A3370" t="str">
            <v>Cameroon</v>
          </cell>
          <cell r="B3370">
            <v>120</v>
          </cell>
          <cell r="C3370">
            <v>203</v>
          </cell>
          <cell r="D3370">
            <v>11</v>
          </cell>
          <cell r="E3370" t="str">
            <v>OPERATING SURPLUS, GROSS</v>
          </cell>
          <cell r="F3370">
            <v>12</v>
          </cell>
          <cell r="G3370">
            <v>1978</v>
          </cell>
          <cell r="H3370">
            <v>10</v>
          </cell>
          <cell r="I3370">
            <v>704200000000</v>
          </cell>
        </row>
        <row r="3371">
          <cell r="A3371" t="str">
            <v>Cameroon</v>
          </cell>
          <cell r="B3371">
            <v>120</v>
          </cell>
          <cell r="C3371">
            <v>203</v>
          </cell>
          <cell r="D3371">
            <v>11</v>
          </cell>
          <cell r="E3371" t="str">
            <v>OPERATING SURPLUS, GROSS</v>
          </cell>
          <cell r="F3371">
            <v>12</v>
          </cell>
          <cell r="G3371">
            <v>1979</v>
          </cell>
          <cell r="H3371">
            <v>10</v>
          </cell>
          <cell r="I3371">
            <v>838100000000</v>
          </cell>
        </row>
        <row r="3372">
          <cell r="A3372" t="str">
            <v>Cameroon</v>
          </cell>
          <cell r="B3372">
            <v>120</v>
          </cell>
          <cell r="C3372">
            <v>203</v>
          </cell>
          <cell r="D3372">
            <v>11</v>
          </cell>
          <cell r="E3372" t="str">
            <v>OPERATING SURPLUS, GROSS</v>
          </cell>
          <cell r="F3372">
            <v>12</v>
          </cell>
          <cell r="G3372">
            <v>1980</v>
          </cell>
          <cell r="H3372">
            <v>10</v>
          </cell>
          <cell r="I3372">
            <v>1085500000000</v>
          </cell>
        </row>
        <row r="3373">
          <cell r="A3373" t="str">
            <v>Cameroon</v>
          </cell>
          <cell r="B3373">
            <v>120</v>
          </cell>
          <cell r="C3373">
            <v>203</v>
          </cell>
          <cell r="D3373">
            <v>11</v>
          </cell>
          <cell r="E3373" t="str">
            <v>OPERATING SURPLUS, GROSS</v>
          </cell>
          <cell r="F3373">
            <v>12</v>
          </cell>
          <cell r="G3373">
            <v>1981</v>
          </cell>
          <cell r="H3373">
            <v>10</v>
          </cell>
          <cell r="I3373">
            <v>1291500000000</v>
          </cell>
        </row>
        <row r="3374">
          <cell r="A3374" t="str">
            <v>Cameroon</v>
          </cell>
          <cell r="B3374">
            <v>120</v>
          </cell>
          <cell r="C3374">
            <v>203</v>
          </cell>
          <cell r="D3374">
            <v>11</v>
          </cell>
          <cell r="E3374" t="str">
            <v>OPERATING SURPLUS, GROSS</v>
          </cell>
          <cell r="F3374">
            <v>12</v>
          </cell>
          <cell r="G3374">
            <v>1982</v>
          </cell>
          <cell r="H3374">
            <v>10</v>
          </cell>
          <cell r="I3374">
            <v>1559500000000</v>
          </cell>
        </row>
        <row r="3375">
          <cell r="A3375" t="str">
            <v>Cameroon</v>
          </cell>
          <cell r="B3375">
            <v>120</v>
          </cell>
          <cell r="C3375">
            <v>203</v>
          </cell>
          <cell r="D3375">
            <v>11</v>
          </cell>
          <cell r="E3375" t="str">
            <v>OPERATING SURPLUS, GROSS</v>
          </cell>
          <cell r="F3375">
            <v>12</v>
          </cell>
          <cell r="G3375">
            <v>1983</v>
          </cell>
          <cell r="H3375">
            <v>10</v>
          </cell>
          <cell r="I3375">
            <v>1940800000000</v>
          </cell>
        </row>
        <row r="3376">
          <cell r="A3376" t="str">
            <v>Cameroon</v>
          </cell>
          <cell r="B3376">
            <v>120</v>
          </cell>
          <cell r="C3376">
            <v>203</v>
          </cell>
          <cell r="D3376">
            <v>11</v>
          </cell>
          <cell r="E3376" t="str">
            <v>OPERATING SURPLUS, GROSS</v>
          </cell>
          <cell r="F3376">
            <v>12</v>
          </cell>
          <cell r="G3376">
            <v>1984</v>
          </cell>
          <cell r="H3376">
            <v>10</v>
          </cell>
          <cell r="I3376">
            <v>2408800000000</v>
          </cell>
        </row>
        <row r="3377">
          <cell r="A3377" t="str">
            <v>Cameroon</v>
          </cell>
          <cell r="B3377">
            <v>120</v>
          </cell>
          <cell r="C3377">
            <v>203</v>
          </cell>
          <cell r="D3377">
            <v>11</v>
          </cell>
          <cell r="E3377" t="str">
            <v>OPERATING SURPLUS, GROSS</v>
          </cell>
          <cell r="F3377">
            <v>12</v>
          </cell>
          <cell r="G3377">
            <v>1985</v>
          </cell>
          <cell r="H3377">
            <v>10</v>
          </cell>
          <cell r="I3377">
            <v>2538900000000</v>
          </cell>
        </row>
        <row r="3378">
          <cell r="A3378" t="str">
            <v>Cameroon</v>
          </cell>
          <cell r="B3378">
            <v>120</v>
          </cell>
          <cell r="C3378">
            <v>203</v>
          </cell>
          <cell r="D3378">
            <v>11</v>
          </cell>
          <cell r="E3378" t="str">
            <v>OPERATING SURPLUS, GROSS</v>
          </cell>
          <cell r="F3378">
            <v>12</v>
          </cell>
          <cell r="G3378">
            <v>1986</v>
          </cell>
          <cell r="H3378">
            <v>10</v>
          </cell>
          <cell r="I3378">
            <v>2416300000000</v>
          </cell>
        </row>
        <row r="3379">
          <cell r="A3379" t="str">
            <v>Cameroon</v>
          </cell>
          <cell r="B3379">
            <v>120</v>
          </cell>
          <cell r="C3379">
            <v>203</v>
          </cell>
          <cell r="D3379">
            <v>11</v>
          </cell>
          <cell r="E3379" t="str">
            <v>OPERATING SURPLUS, GROSS</v>
          </cell>
          <cell r="F3379">
            <v>12</v>
          </cell>
          <cell r="G3379">
            <v>1987</v>
          </cell>
          <cell r="H3379">
            <v>10</v>
          </cell>
          <cell r="I3379">
            <v>2258200000000</v>
          </cell>
        </row>
        <row r="3380">
          <cell r="A3380" t="str">
            <v>Cameroon</v>
          </cell>
          <cell r="B3380">
            <v>120</v>
          </cell>
          <cell r="C3380">
            <v>203</v>
          </cell>
          <cell r="D3380">
            <v>11</v>
          </cell>
          <cell r="E3380" t="str">
            <v>OPERATING SURPLUS, GROSS</v>
          </cell>
          <cell r="F3380">
            <v>12</v>
          </cell>
          <cell r="G3380">
            <v>1988</v>
          </cell>
          <cell r="H3380">
            <v>10</v>
          </cell>
          <cell r="I3380">
            <v>2184700000000</v>
          </cell>
        </row>
        <row r="3381">
          <cell r="A3381" t="str">
            <v>Cameroon</v>
          </cell>
          <cell r="B3381">
            <v>120</v>
          </cell>
          <cell r="C3381">
            <v>203</v>
          </cell>
          <cell r="D3381">
            <v>11</v>
          </cell>
          <cell r="E3381" t="str">
            <v>OPERATING SURPLUS, GROSS</v>
          </cell>
          <cell r="F3381">
            <v>12</v>
          </cell>
          <cell r="G3381">
            <v>1990</v>
          </cell>
          <cell r="H3381">
            <v>100</v>
          </cell>
          <cell r="I3381">
            <v>809800000000</v>
          </cell>
        </row>
        <row r="3382">
          <cell r="A3382" t="str">
            <v>Cameroon</v>
          </cell>
          <cell r="B3382">
            <v>120</v>
          </cell>
          <cell r="C3382">
            <v>203</v>
          </cell>
          <cell r="D3382">
            <v>11</v>
          </cell>
          <cell r="E3382" t="str">
            <v>OPERATING SURPLUS, GROSS</v>
          </cell>
          <cell r="F3382">
            <v>12</v>
          </cell>
          <cell r="G3382">
            <v>1993</v>
          </cell>
          <cell r="H3382">
            <v>100</v>
          </cell>
          <cell r="I3382">
            <v>630030000000</v>
          </cell>
        </row>
        <row r="3383">
          <cell r="A3383" t="str">
            <v>Cameroon</v>
          </cell>
          <cell r="B3383">
            <v>120</v>
          </cell>
          <cell r="C3383">
            <v>203</v>
          </cell>
          <cell r="D3383">
            <v>11</v>
          </cell>
          <cell r="E3383" t="str">
            <v>OPERATING SURPLUS, GROSS</v>
          </cell>
          <cell r="F3383">
            <v>12</v>
          </cell>
          <cell r="G3383">
            <v>1994</v>
          </cell>
          <cell r="H3383">
            <v>100</v>
          </cell>
          <cell r="I3383">
            <v>560650000000</v>
          </cell>
        </row>
        <row r="3384">
          <cell r="A3384" t="str">
            <v>Cameroon</v>
          </cell>
          <cell r="B3384">
            <v>120</v>
          </cell>
          <cell r="C3384">
            <v>203</v>
          </cell>
          <cell r="D3384">
            <v>11</v>
          </cell>
          <cell r="E3384" t="str">
            <v>OPERATING SURPLUS, GROSS</v>
          </cell>
          <cell r="F3384">
            <v>12</v>
          </cell>
          <cell r="G3384">
            <v>1995</v>
          </cell>
          <cell r="H3384">
            <v>100</v>
          </cell>
          <cell r="I3384">
            <v>728260000000</v>
          </cell>
        </row>
        <row r="3385">
          <cell r="A3385" t="str">
            <v>Cameroon</v>
          </cell>
          <cell r="B3385">
            <v>120</v>
          </cell>
          <cell r="C3385">
            <v>203</v>
          </cell>
          <cell r="D3385">
            <v>11</v>
          </cell>
          <cell r="E3385" t="str">
            <v>OPERATING SURPLUS, GROSS</v>
          </cell>
          <cell r="F3385">
            <v>12</v>
          </cell>
          <cell r="G3385">
            <v>1996</v>
          </cell>
          <cell r="H3385">
            <v>100</v>
          </cell>
          <cell r="I3385">
            <v>782450000000</v>
          </cell>
        </row>
        <row r="3386">
          <cell r="A3386" t="str">
            <v>Cameroon</v>
          </cell>
          <cell r="B3386">
            <v>120</v>
          </cell>
          <cell r="C3386">
            <v>203</v>
          </cell>
          <cell r="D3386">
            <v>12</v>
          </cell>
          <cell r="E3386" t="str">
            <v>MIXED INCOME, GROSS</v>
          </cell>
          <cell r="F3386">
            <v>12</v>
          </cell>
          <cell r="G3386">
            <v>1990</v>
          </cell>
          <cell r="H3386">
            <v>100</v>
          </cell>
          <cell r="I3386">
            <v>1856060000000</v>
          </cell>
        </row>
        <row r="3387">
          <cell r="A3387" t="str">
            <v>Cameroon</v>
          </cell>
          <cell r="B3387">
            <v>120</v>
          </cell>
          <cell r="C3387">
            <v>203</v>
          </cell>
          <cell r="D3387">
            <v>12</v>
          </cell>
          <cell r="E3387" t="str">
            <v>MIXED INCOME, GROSS</v>
          </cell>
          <cell r="F3387">
            <v>12</v>
          </cell>
          <cell r="G3387">
            <v>1993</v>
          </cell>
          <cell r="H3387">
            <v>100</v>
          </cell>
          <cell r="I3387">
            <v>1535660000000</v>
          </cell>
        </row>
        <row r="3388">
          <cell r="A3388" t="str">
            <v>Cameroon</v>
          </cell>
          <cell r="B3388">
            <v>120</v>
          </cell>
          <cell r="C3388">
            <v>203</v>
          </cell>
          <cell r="D3388">
            <v>12</v>
          </cell>
          <cell r="E3388" t="str">
            <v>MIXED INCOME, GROSS</v>
          </cell>
          <cell r="F3388">
            <v>12</v>
          </cell>
          <cell r="G3388">
            <v>1994</v>
          </cell>
          <cell r="H3388">
            <v>100</v>
          </cell>
          <cell r="I3388">
            <v>1913630000000</v>
          </cell>
        </row>
        <row r="3389">
          <cell r="A3389" t="str">
            <v>Cameroon</v>
          </cell>
          <cell r="B3389">
            <v>120</v>
          </cell>
          <cell r="C3389">
            <v>203</v>
          </cell>
          <cell r="D3389">
            <v>12</v>
          </cell>
          <cell r="E3389" t="str">
            <v>MIXED INCOME, GROSS</v>
          </cell>
          <cell r="F3389">
            <v>12</v>
          </cell>
          <cell r="G3389">
            <v>1995</v>
          </cell>
          <cell r="H3389">
            <v>100</v>
          </cell>
          <cell r="I3389">
            <v>2289560000000</v>
          </cell>
        </row>
        <row r="3390">
          <cell r="A3390" t="str">
            <v>Austria</v>
          </cell>
          <cell r="B3390">
            <v>40</v>
          </cell>
          <cell r="C3390">
            <v>203</v>
          </cell>
          <cell r="D3390">
            <v>4</v>
          </cell>
          <cell r="E3390" t="str">
            <v>Compensation of employees</v>
          </cell>
          <cell r="F3390">
            <v>12</v>
          </cell>
          <cell r="G3390">
            <v>1970</v>
          </cell>
          <cell r="H3390">
            <v>10</v>
          </cell>
          <cell r="I3390">
            <v>175820000000</v>
          </cell>
        </row>
        <row r="3391">
          <cell r="A3391" t="str">
            <v>Austria</v>
          </cell>
          <cell r="B3391">
            <v>40</v>
          </cell>
          <cell r="C3391">
            <v>203</v>
          </cell>
          <cell r="D3391">
            <v>4</v>
          </cell>
          <cell r="E3391" t="str">
            <v>Compensation of employees</v>
          </cell>
          <cell r="F3391">
            <v>12</v>
          </cell>
          <cell r="G3391">
            <v>1971</v>
          </cell>
          <cell r="H3391">
            <v>10</v>
          </cell>
          <cell r="I3391">
            <v>203190000000</v>
          </cell>
        </row>
        <row r="3392">
          <cell r="A3392" t="str">
            <v>Austria</v>
          </cell>
          <cell r="B3392">
            <v>40</v>
          </cell>
          <cell r="C3392">
            <v>203</v>
          </cell>
          <cell r="D3392">
            <v>4</v>
          </cell>
          <cell r="E3392" t="str">
            <v>Compensation of employees</v>
          </cell>
          <cell r="F3392">
            <v>12</v>
          </cell>
          <cell r="G3392">
            <v>1972</v>
          </cell>
          <cell r="H3392">
            <v>10</v>
          </cell>
          <cell r="I3392">
            <v>230880000000</v>
          </cell>
        </row>
        <row r="3393">
          <cell r="A3393" t="str">
            <v>Austria</v>
          </cell>
          <cell r="B3393">
            <v>40</v>
          </cell>
          <cell r="C3393">
            <v>203</v>
          </cell>
          <cell r="D3393">
            <v>4</v>
          </cell>
          <cell r="E3393" t="str">
            <v>Compensation of employees</v>
          </cell>
          <cell r="F3393">
            <v>12</v>
          </cell>
          <cell r="G3393">
            <v>1973</v>
          </cell>
          <cell r="H3393">
            <v>10</v>
          </cell>
          <cell r="I3393">
            <v>270380000000</v>
          </cell>
        </row>
        <row r="3394">
          <cell r="A3394" t="str">
            <v>Austria</v>
          </cell>
          <cell r="B3394">
            <v>40</v>
          </cell>
          <cell r="C3394">
            <v>203</v>
          </cell>
          <cell r="D3394">
            <v>4</v>
          </cell>
          <cell r="E3394" t="str">
            <v>Compensation of employees</v>
          </cell>
          <cell r="F3394">
            <v>12</v>
          </cell>
          <cell r="G3394">
            <v>1974</v>
          </cell>
          <cell r="H3394">
            <v>10</v>
          </cell>
          <cell r="I3394">
            <v>315030000000</v>
          </cell>
        </row>
        <row r="3395">
          <cell r="A3395" t="str">
            <v>Austria</v>
          </cell>
          <cell r="B3395">
            <v>40</v>
          </cell>
          <cell r="C3395">
            <v>203</v>
          </cell>
          <cell r="D3395">
            <v>4</v>
          </cell>
          <cell r="E3395" t="str">
            <v>Compensation of employees</v>
          </cell>
          <cell r="F3395">
            <v>12</v>
          </cell>
          <cell r="G3395">
            <v>1975</v>
          </cell>
          <cell r="H3395">
            <v>10</v>
          </cell>
          <cell r="I3395">
            <v>353600000000</v>
          </cell>
        </row>
        <row r="3396">
          <cell r="A3396" t="str">
            <v>Austria</v>
          </cell>
          <cell r="B3396">
            <v>40</v>
          </cell>
          <cell r="C3396">
            <v>203</v>
          </cell>
          <cell r="D3396">
            <v>4</v>
          </cell>
          <cell r="E3396" t="str">
            <v>Compensation of employees</v>
          </cell>
          <cell r="F3396">
            <v>12</v>
          </cell>
          <cell r="G3396">
            <v>1976</v>
          </cell>
          <cell r="H3396">
            <v>10</v>
          </cell>
          <cell r="I3396">
            <v>390834000000</v>
          </cell>
        </row>
        <row r="3397">
          <cell r="A3397" t="str">
            <v>Austria</v>
          </cell>
          <cell r="B3397">
            <v>40</v>
          </cell>
          <cell r="C3397">
            <v>203</v>
          </cell>
          <cell r="D3397">
            <v>4</v>
          </cell>
          <cell r="E3397" t="str">
            <v>Compensation of employees</v>
          </cell>
          <cell r="F3397">
            <v>12</v>
          </cell>
          <cell r="G3397">
            <v>1976</v>
          </cell>
          <cell r="H3397">
            <v>200</v>
          </cell>
          <cell r="I3397">
            <v>30280063371</v>
          </cell>
        </row>
        <row r="3398">
          <cell r="A3398" t="str">
            <v>Austria</v>
          </cell>
          <cell r="B3398">
            <v>40</v>
          </cell>
          <cell r="C3398">
            <v>203</v>
          </cell>
          <cell r="D3398">
            <v>4</v>
          </cell>
          <cell r="E3398" t="str">
            <v>Compensation of employees</v>
          </cell>
          <cell r="F3398">
            <v>12</v>
          </cell>
          <cell r="G3398">
            <v>1977</v>
          </cell>
          <cell r="H3398">
            <v>200</v>
          </cell>
          <cell r="I3398">
            <v>33402895722</v>
          </cell>
        </row>
        <row r="3399">
          <cell r="A3399" t="str">
            <v>Austria</v>
          </cell>
          <cell r="B3399">
            <v>40</v>
          </cell>
          <cell r="C3399">
            <v>203</v>
          </cell>
          <cell r="D3399">
            <v>4</v>
          </cell>
          <cell r="E3399" t="str">
            <v>Compensation of employees</v>
          </cell>
          <cell r="F3399">
            <v>12</v>
          </cell>
          <cell r="G3399">
            <v>1978</v>
          </cell>
          <cell r="H3399">
            <v>200</v>
          </cell>
          <cell r="I3399">
            <v>36538414279</v>
          </cell>
        </row>
        <row r="3400">
          <cell r="A3400" t="str">
            <v>Austria</v>
          </cell>
          <cell r="B3400">
            <v>40</v>
          </cell>
          <cell r="C3400">
            <v>203</v>
          </cell>
          <cell r="D3400">
            <v>4</v>
          </cell>
          <cell r="E3400" t="str">
            <v>Compensation of employees</v>
          </cell>
          <cell r="F3400">
            <v>12</v>
          </cell>
          <cell r="G3400">
            <v>1979</v>
          </cell>
          <cell r="H3400">
            <v>200</v>
          </cell>
          <cell r="I3400">
            <v>38891509705</v>
          </cell>
        </row>
        <row r="3401">
          <cell r="A3401" t="str">
            <v>Austria</v>
          </cell>
          <cell r="B3401">
            <v>40</v>
          </cell>
          <cell r="C3401">
            <v>203</v>
          </cell>
          <cell r="D3401">
            <v>4</v>
          </cell>
          <cell r="E3401" t="str">
            <v>Compensation of employees</v>
          </cell>
          <cell r="F3401">
            <v>12</v>
          </cell>
          <cell r="G3401">
            <v>1980</v>
          </cell>
          <cell r="H3401">
            <v>200</v>
          </cell>
          <cell r="I3401">
            <v>41924782236</v>
          </cell>
        </row>
        <row r="3402">
          <cell r="A3402" t="str">
            <v>Austria</v>
          </cell>
          <cell r="B3402">
            <v>40</v>
          </cell>
          <cell r="C3402">
            <v>203</v>
          </cell>
          <cell r="D3402">
            <v>4</v>
          </cell>
          <cell r="E3402" t="str">
            <v>Compensation of employees</v>
          </cell>
          <cell r="F3402">
            <v>12</v>
          </cell>
          <cell r="G3402">
            <v>1981</v>
          </cell>
          <cell r="H3402">
            <v>200</v>
          </cell>
          <cell r="I3402">
            <v>45122963017</v>
          </cell>
        </row>
        <row r="3403">
          <cell r="A3403" t="str">
            <v>Austria</v>
          </cell>
          <cell r="B3403">
            <v>40</v>
          </cell>
          <cell r="C3403">
            <v>203</v>
          </cell>
          <cell r="D3403">
            <v>4</v>
          </cell>
          <cell r="E3403" t="str">
            <v>Compensation of employees</v>
          </cell>
          <cell r="F3403">
            <v>12</v>
          </cell>
          <cell r="G3403">
            <v>1982</v>
          </cell>
          <cell r="H3403">
            <v>200</v>
          </cell>
          <cell r="I3403">
            <v>47120548099</v>
          </cell>
        </row>
        <row r="3404">
          <cell r="A3404" t="str">
            <v>Austria</v>
          </cell>
          <cell r="B3404">
            <v>40</v>
          </cell>
          <cell r="C3404">
            <v>203</v>
          </cell>
          <cell r="D3404">
            <v>4</v>
          </cell>
          <cell r="E3404" t="str">
            <v>Compensation of employees</v>
          </cell>
          <cell r="F3404">
            <v>12</v>
          </cell>
          <cell r="G3404">
            <v>1983</v>
          </cell>
          <cell r="H3404">
            <v>200</v>
          </cell>
          <cell r="I3404">
            <v>48839473413</v>
          </cell>
        </row>
        <row r="3405">
          <cell r="A3405" t="str">
            <v>Austria</v>
          </cell>
          <cell r="B3405">
            <v>40</v>
          </cell>
          <cell r="C3405">
            <v>203</v>
          </cell>
          <cell r="D3405">
            <v>4</v>
          </cell>
          <cell r="E3405" t="str">
            <v>Compensation of employees</v>
          </cell>
          <cell r="F3405">
            <v>12</v>
          </cell>
          <cell r="G3405">
            <v>1984</v>
          </cell>
          <cell r="H3405">
            <v>200</v>
          </cell>
          <cell r="I3405">
            <v>51421374607</v>
          </cell>
        </row>
        <row r="3406">
          <cell r="A3406" t="str">
            <v>Austria</v>
          </cell>
          <cell r="B3406">
            <v>40</v>
          </cell>
          <cell r="C3406">
            <v>203</v>
          </cell>
          <cell r="D3406">
            <v>4</v>
          </cell>
          <cell r="E3406" t="str">
            <v>Compensation of employees</v>
          </cell>
          <cell r="F3406">
            <v>12</v>
          </cell>
          <cell r="G3406">
            <v>1985</v>
          </cell>
          <cell r="H3406">
            <v>200</v>
          </cell>
          <cell r="I3406">
            <v>54429223636</v>
          </cell>
        </row>
        <row r="3407">
          <cell r="A3407" t="str">
            <v>Austria</v>
          </cell>
          <cell r="B3407">
            <v>40</v>
          </cell>
          <cell r="C3407">
            <v>203</v>
          </cell>
          <cell r="D3407">
            <v>4</v>
          </cell>
          <cell r="E3407" t="str">
            <v>Compensation of employees</v>
          </cell>
          <cell r="F3407">
            <v>12</v>
          </cell>
          <cell r="G3407">
            <v>1986</v>
          </cell>
          <cell r="H3407">
            <v>200</v>
          </cell>
          <cell r="I3407">
            <v>57667105441</v>
          </cell>
        </row>
        <row r="3408">
          <cell r="A3408" t="str">
            <v>Austria</v>
          </cell>
          <cell r="B3408">
            <v>40</v>
          </cell>
          <cell r="C3408">
            <v>203</v>
          </cell>
          <cell r="D3408">
            <v>4</v>
          </cell>
          <cell r="E3408" t="str">
            <v>Compensation of employees</v>
          </cell>
          <cell r="F3408">
            <v>12</v>
          </cell>
          <cell r="G3408">
            <v>1987</v>
          </cell>
          <cell r="H3408">
            <v>200</v>
          </cell>
          <cell r="I3408">
            <v>59994319673</v>
          </cell>
        </row>
        <row r="3409">
          <cell r="A3409" t="str">
            <v>Austria</v>
          </cell>
          <cell r="B3409">
            <v>40</v>
          </cell>
          <cell r="C3409">
            <v>203</v>
          </cell>
          <cell r="D3409">
            <v>4</v>
          </cell>
          <cell r="E3409" t="str">
            <v>Compensation of employees</v>
          </cell>
          <cell r="F3409">
            <v>12</v>
          </cell>
          <cell r="G3409">
            <v>1988</v>
          </cell>
          <cell r="H3409">
            <v>200</v>
          </cell>
          <cell r="I3409">
            <v>62265335349</v>
          </cell>
        </row>
        <row r="3410">
          <cell r="A3410" t="str">
            <v>Austria</v>
          </cell>
          <cell r="B3410">
            <v>40</v>
          </cell>
          <cell r="C3410">
            <v>203</v>
          </cell>
          <cell r="D3410">
            <v>4</v>
          </cell>
          <cell r="E3410" t="str">
            <v>Compensation of employees</v>
          </cell>
          <cell r="F3410">
            <v>12</v>
          </cell>
          <cell r="G3410">
            <v>1989</v>
          </cell>
          <cell r="H3410">
            <v>200</v>
          </cell>
          <cell r="I3410">
            <v>66146409744</v>
          </cell>
        </row>
        <row r="3411">
          <cell r="A3411" t="str">
            <v>Austria</v>
          </cell>
          <cell r="B3411">
            <v>40</v>
          </cell>
          <cell r="C3411">
            <v>203</v>
          </cell>
          <cell r="D3411">
            <v>4</v>
          </cell>
          <cell r="E3411" t="str">
            <v>Compensation of employees</v>
          </cell>
          <cell r="F3411">
            <v>12</v>
          </cell>
          <cell r="G3411">
            <v>1990</v>
          </cell>
          <cell r="H3411">
            <v>200</v>
          </cell>
          <cell r="I3411">
            <v>71144166043</v>
          </cell>
        </row>
        <row r="3412">
          <cell r="A3412" t="str">
            <v>Austria</v>
          </cell>
          <cell r="B3412">
            <v>40</v>
          </cell>
          <cell r="C3412">
            <v>203</v>
          </cell>
          <cell r="D3412">
            <v>4</v>
          </cell>
          <cell r="E3412" t="str">
            <v>Compensation of employees</v>
          </cell>
          <cell r="F3412">
            <v>12</v>
          </cell>
          <cell r="G3412">
            <v>1991</v>
          </cell>
          <cell r="H3412">
            <v>200</v>
          </cell>
          <cell r="I3412">
            <v>77149781255</v>
          </cell>
        </row>
        <row r="3413">
          <cell r="A3413" t="str">
            <v>Austria</v>
          </cell>
          <cell r="B3413">
            <v>40</v>
          </cell>
          <cell r="C3413">
            <v>203</v>
          </cell>
          <cell r="D3413">
            <v>4</v>
          </cell>
          <cell r="E3413" t="str">
            <v>Compensation of employees</v>
          </cell>
          <cell r="F3413">
            <v>12</v>
          </cell>
          <cell r="G3413">
            <v>1992</v>
          </cell>
          <cell r="H3413">
            <v>200</v>
          </cell>
          <cell r="I3413">
            <v>82217405652</v>
          </cell>
        </row>
        <row r="3414">
          <cell r="A3414" t="str">
            <v>Austria</v>
          </cell>
          <cell r="B3414">
            <v>40</v>
          </cell>
          <cell r="C3414">
            <v>203</v>
          </cell>
          <cell r="D3414">
            <v>4</v>
          </cell>
          <cell r="E3414" t="str">
            <v>Compensation of employees</v>
          </cell>
          <cell r="F3414">
            <v>12</v>
          </cell>
          <cell r="G3414">
            <v>1993</v>
          </cell>
          <cell r="H3414">
            <v>200</v>
          </cell>
          <cell r="I3414">
            <v>85880722513</v>
          </cell>
        </row>
        <row r="3415">
          <cell r="A3415" t="str">
            <v>Austria</v>
          </cell>
          <cell r="B3415">
            <v>40</v>
          </cell>
          <cell r="C3415">
            <v>203</v>
          </cell>
          <cell r="D3415">
            <v>4</v>
          </cell>
          <cell r="E3415" t="str">
            <v>Compensation of employees</v>
          </cell>
          <cell r="F3415">
            <v>12</v>
          </cell>
          <cell r="G3415">
            <v>1994</v>
          </cell>
          <cell r="H3415">
            <v>200</v>
          </cell>
          <cell r="I3415">
            <v>89508123224</v>
          </cell>
        </row>
        <row r="3416">
          <cell r="A3416" t="str">
            <v>Austria</v>
          </cell>
          <cell r="B3416">
            <v>40</v>
          </cell>
          <cell r="C3416">
            <v>203</v>
          </cell>
          <cell r="D3416">
            <v>4</v>
          </cell>
          <cell r="E3416" t="str">
            <v>Compensation of employees</v>
          </cell>
          <cell r="F3416">
            <v>12</v>
          </cell>
          <cell r="G3416">
            <v>1995</v>
          </cell>
          <cell r="H3416">
            <v>200</v>
          </cell>
          <cell r="I3416">
            <v>93535732000</v>
          </cell>
        </row>
        <row r="3417">
          <cell r="A3417" t="str">
            <v>Austria</v>
          </cell>
          <cell r="B3417">
            <v>40</v>
          </cell>
          <cell r="C3417">
            <v>203</v>
          </cell>
          <cell r="D3417">
            <v>4</v>
          </cell>
          <cell r="E3417" t="str">
            <v>Compensation of employees</v>
          </cell>
          <cell r="F3417">
            <v>12</v>
          </cell>
          <cell r="G3417">
            <v>1996</v>
          </cell>
          <cell r="H3417">
            <v>200</v>
          </cell>
          <cell r="I3417">
            <v>94613204000</v>
          </cell>
        </row>
        <row r="3418">
          <cell r="A3418" t="str">
            <v>Austria</v>
          </cell>
          <cell r="B3418">
            <v>40</v>
          </cell>
          <cell r="C3418">
            <v>203</v>
          </cell>
          <cell r="D3418">
            <v>4</v>
          </cell>
          <cell r="E3418" t="str">
            <v>Compensation of employees</v>
          </cell>
          <cell r="F3418">
            <v>12</v>
          </cell>
          <cell r="G3418">
            <v>1997</v>
          </cell>
          <cell r="H3418">
            <v>200</v>
          </cell>
          <cell r="I3418">
            <v>96547834000</v>
          </cell>
        </row>
        <row r="3419">
          <cell r="A3419" t="str">
            <v>Austria</v>
          </cell>
          <cell r="B3419">
            <v>40</v>
          </cell>
          <cell r="C3419">
            <v>203</v>
          </cell>
          <cell r="D3419">
            <v>4</v>
          </cell>
          <cell r="E3419" t="str">
            <v>Compensation of employees</v>
          </cell>
          <cell r="F3419">
            <v>12</v>
          </cell>
          <cell r="G3419">
            <v>1998</v>
          </cell>
          <cell r="H3419">
            <v>200</v>
          </cell>
          <cell r="I3419">
            <v>100086215000</v>
          </cell>
        </row>
        <row r="3420">
          <cell r="A3420" t="str">
            <v>Austria</v>
          </cell>
          <cell r="B3420">
            <v>40</v>
          </cell>
          <cell r="C3420">
            <v>203</v>
          </cell>
          <cell r="D3420">
            <v>4</v>
          </cell>
          <cell r="E3420" t="str">
            <v>Compensation of employees</v>
          </cell>
          <cell r="F3420">
            <v>12</v>
          </cell>
          <cell r="G3420">
            <v>1999</v>
          </cell>
          <cell r="H3420">
            <v>200</v>
          </cell>
          <cell r="I3420">
            <v>103678505000</v>
          </cell>
        </row>
        <row r="3421">
          <cell r="A3421" t="str">
            <v>Austria</v>
          </cell>
          <cell r="B3421">
            <v>40</v>
          </cell>
          <cell r="C3421">
            <v>203</v>
          </cell>
          <cell r="D3421">
            <v>4</v>
          </cell>
          <cell r="E3421" t="str">
            <v>Compensation of employees</v>
          </cell>
          <cell r="F3421">
            <v>12</v>
          </cell>
          <cell r="G3421">
            <v>2000</v>
          </cell>
          <cell r="H3421">
            <v>200</v>
          </cell>
          <cell r="I3421">
            <v>107230921000</v>
          </cell>
        </row>
        <row r="3422">
          <cell r="A3422" t="str">
            <v>Austria</v>
          </cell>
          <cell r="B3422">
            <v>40</v>
          </cell>
          <cell r="C3422">
            <v>203</v>
          </cell>
          <cell r="D3422">
            <v>4</v>
          </cell>
          <cell r="E3422" t="str">
            <v>Compensation of employees</v>
          </cell>
          <cell r="F3422">
            <v>12</v>
          </cell>
          <cell r="G3422">
            <v>2001</v>
          </cell>
          <cell r="H3422">
            <v>200</v>
          </cell>
          <cell r="I3422">
            <v>109511888000</v>
          </cell>
        </row>
        <row r="3423">
          <cell r="A3423" t="str">
            <v>Austria</v>
          </cell>
          <cell r="B3423">
            <v>40</v>
          </cell>
          <cell r="C3423">
            <v>203</v>
          </cell>
          <cell r="D3423">
            <v>4</v>
          </cell>
          <cell r="E3423" t="str">
            <v>Compensation of employees</v>
          </cell>
          <cell r="F3423">
            <v>12</v>
          </cell>
          <cell r="G3423">
            <v>2002</v>
          </cell>
          <cell r="H3423">
            <v>200</v>
          </cell>
          <cell r="I3423">
            <v>111871683000</v>
          </cell>
        </row>
        <row r="3424">
          <cell r="A3424" t="str">
            <v>Cameroon</v>
          </cell>
          <cell r="B3424">
            <v>120</v>
          </cell>
          <cell r="C3424">
            <v>203</v>
          </cell>
          <cell r="D3424">
            <v>12</v>
          </cell>
          <cell r="E3424" t="str">
            <v>MIXED INCOME, GROSS</v>
          </cell>
          <cell r="F3424">
            <v>12</v>
          </cell>
          <cell r="G3424">
            <v>1996</v>
          </cell>
          <cell r="H3424">
            <v>100</v>
          </cell>
          <cell r="I3424">
            <v>2450490000000</v>
          </cell>
        </row>
        <row r="3425">
          <cell r="A3425" t="str">
            <v>Cameroon</v>
          </cell>
          <cell r="B3425">
            <v>120</v>
          </cell>
          <cell r="C3425">
            <v>203</v>
          </cell>
          <cell r="D3425">
            <v>22</v>
          </cell>
          <cell r="E3425" t="str">
            <v>Taxes on production and imports, less Subsidies</v>
          </cell>
          <cell r="F3425">
            <v>12</v>
          </cell>
          <cell r="G3425">
            <v>1990</v>
          </cell>
          <cell r="H3425">
            <v>100</v>
          </cell>
          <cell r="I3425">
            <v>14300000000</v>
          </cell>
        </row>
        <row r="3426">
          <cell r="A3426" t="str">
            <v>Cameroon</v>
          </cell>
          <cell r="B3426">
            <v>120</v>
          </cell>
          <cell r="C3426">
            <v>203</v>
          </cell>
          <cell r="D3426">
            <v>22</v>
          </cell>
          <cell r="E3426" t="str">
            <v>Taxes on production and imports, less Subsidies</v>
          </cell>
          <cell r="F3426">
            <v>12</v>
          </cell>
          <cell r="G3426">
            <v>1993</v>
          </cell>
          <cell r="H3426">
            <v>100</v>
          </cell>
          <cell r="I3426">
            <v>31800000000</v>
          </cell>
        </row>
        <row r="3427">
          <cell r="A3427" t="str">
            <v>Cameroon</v>
          </cell>
          <cell r="B3427">
            <v>120</v>
          </cell>
          <cell r="C3427">
            <v>203</v>
          </cell>
          <cell r="D3427">
            <v>22</v>
          </cell>
          <cell r="E3427" t="str">
            <v>Taxes on production and imports, less Subsidies</v>
          </cell>
          <cell r="F3427">
            <v>12</v>
          </cell>
          <cell r="G3427">
            <v>1994</v>
          </cell>
          <cell r="H3427">
            <v>100</v>
          </cell>
          <cell r="I3427">
            <v>21700000000</v>
          </cell>
        </row>
        <row r="3428">
          <cell r="A3428" t="str">
            <v>Cameroon</v>
          </cell>
          <cell r="B3428">
            <v>120</v>
          </cell>
          <cell r="C3428">
            <v>203</v>
          </cell>
          <cell r="D3428">
            <v>22</v>
          </cell>
          <cell r="E3428" t="str">
            <v>Taxes on production and imports, less Subsidies</v>
          </cell>
          <cell r="F3428">
            <v>12</v>
          </cell>
          <cell r="G3428">
            <v>1995</v>
          </cell>
          <cell r="H3428">
            <v>100</v>
          </cell>
          <cell r="I3428">
            <v>19000000000</v>
          </cell>
        </row>
        <row r="3429">
          <cell r="A3429" t="str">
            <v>Cameroon</v>
          </cell>
          <cell r="B3429">
            <v>120</v>
          </cell>
          <cell r="C3429">
            <v>203</v>
          </cell>
          <cell r="D3429">
            <v>22</v>
          </cell>
          <cell r="E3429" t="str">
            <v>Taxes on production and imports, less Subsidies</v>
          </cell>
          <cell r="F3429">
            <v>12</v>
          </cell>
          <cell r="G3429">
            <v>1996</v>
          </cell>
          <cell r="H3429">
            <v>100</v>
          </cell>
          <cell r="I3429">
            <v>18600000000</v>
          </cell>
        </row>
        <row r="3430">
          <cell r="A3430" t="str">
            <v>Cayman Islands</v>
          </cell>
          <cell r="B3430">
            <v>136</v>
          </cell>
          <cell r="C3430">
            <v>201</v>
          </cell>
          <cell r="D3430">
            <v>13</v>
          </cell>
          <cell r="E3430" t="str">
            <v>Less: Financial intermediation services indirectly measured (FISIM) (only to be deducted if FISIM is not distributed to uses)</v>
          </cell>
          <cell r="F3430">
            <v>0</v>
          </cell>
          <cell r="G3430">
            <v>1972</v>
          </cell>
          <cell r="H3430">
            <v>10</v>
          </cell>
          <cell r="I3430">
            <v>0</v>
          </cell>
        </row>
        <row r="3431">
          <cell r="A3431" t="str">
            <v>Cayman Islands</v>
          </cell>
          <cell r="B3431">
            <v>136</v>
          </cell>
          <cell r="C3431">
            <v>201</v>
          </cell>
          <cell r="D3431">
            <v>13</v>
          </cell>
          <cell r="E3431" t="str">
            <v>Less: Financial intermediation services indirectly measured (FISIM) (only to be deducted if FISIM is not distributed to uses)</v>
          </cell>
          <cell r="F3431">
            <v>0</v>
          </cell>
          <cell r="G3431">
            <v>1983</v>
          </cell>
          <cell r="H3431">
            <v>10</v>
          </cell>
          <cell r="I3431">
            <v>5000000</v>
          </cell>
        </row>
        <row r="3432">
          <cell r="A3432" t="str">
            <v>Cayman Islands</v>
          </cell>
          <cell r="B3432">
            <v>136</v>
          </cell>
          <cell r="C3432">
            <v>201</v>
          </cell>
          <cell r="D3432">
            <v>13</v>
          </cell>
          <cell r="E3432" t="str">
            <v>Less: Financial intermediation services indirectly measured (FISIM) (only to be deducted if FISIM is not distributed to uses)</v>
          </cell>
          <cell r="F3432">
            <v>0</v>
          </cell>
          <cell r="G3432">
            <v>1984</v>
          </cell>
          <cell r="H3432">
            <v>10</v>
          </cell>
          <cell r="I3432">
            <v>7000000</v>
          </cell>
        </row>
        <row r="3433">
          <cell r="A3433" t="str">
            <v>Cayman Islands</v>
          </cell>
          <cell r="B3433">
            <v>136</v>
          </cell>
          <cell r="C3433">
            <v>201</v>
          </cell>
          <cell r="D3433">
            <v>13</v>
          </cell>
          <cell r="E3433" t="str">
            <v>Less: Financial intermediation services indirectly measured (FISIM) (only to be deducted if FISIM is not distributed to uses)</v>
          </cell>
          <cell r="F3433">
            <v>0</v>
          </cell>
          <cell r="G3433">
            <v>1985</v>
          </cell>
          <cell r="H3433">
            <v>10</v>
          </cell>
          <cell r="I3433">
            <v>9000000</v>
          </cell>
        </row>
        <row r="3434">
          <cell r="A3434" t="str">
            <v>Cayman Islands</v>
          </cell>
          <cell r="B3434">
            <v>136</v>
          </cell>
          <cell r="C3434">
            <v>201</v>
          </cell>
          <cell r="D3434">
            <v>13</v>
          </cell>
          <cell r="E3434" t="str">
            <v>Less: Financial intermediation services indirectly measured (FISIM) (only to be deducted if FISIM is not distributed to uses)</v>
          </cell>
          <cell r="F3434">
            <v>0</v>
          </cell>
          <cell r="G3434">
            <v>1986</v>
          </cell>
          <cell r="H3434">
            <v>10</v>
          </cell>
          <cell r="I3434">
            <v>7000000</v>
          </cell>
        </row>
        <row r="3435">
          <cell r="A3435" t="str">
            <v>Cayman Islands</v>
          </cell>
          <cell r="B3435">
            <v>136</v>
          </cell>
          <cell r="C3435">
            <v>201</v>
          </cell>
          <cell r="D3435">
            <v>13</v>
          </cell>
          <cell r="E3435" t="str">
            <v>Less: Financial intermediation services indirectly measured (FISIM) (only to be deducted if FISIM is not distributed to uses)</v>
          </cell>
          <cell r="F3435">
            <v>0</v>
          </cell>
          <cell r="G3435">
            <v>1987</v>
          </cell>
          <cell r="H3435">
            <v>10</v>
          </cell>
          <cell r="I3435">
            <v>8000000</v>
          </cell>
        </row>
        <row r="3436">
          <cell r="A3436" t="str">
            <v>Cayman Islands</v>
          </cell>
          <cell r="B3436">
            <v>136</v>
          </cell>
          <cell r="C3436">
            <v>201</v>
          </cell>
          <cell r="D3436">
            <v>13</v>
          </cell>
          <cell r="E3436" t="str">
            <v>Less: Financial intermediation services indirectly measured (FISIM) (only to be deducted if FISIM is not distributed to uses)</v>
          </cell>
          <cell r="F3436">
            <v>0</v>
          </cell>
          <cell r="G3436">
            <v>1988</v>
          </cell>
          <cell r="H3436">
            <v>10</v>
          </cell>
          <cell r="I3436">
            <v>12000000</v>
          </cell>
        </row>
        <row r="3437">
          <cell r="A3437" t="str">
            <v>Cayman Islands</v>
          </cell>
          <cell r="B3437">
            <v>136</v>
          </cell>
          <cell r="C3437">
            <v>201</v>
          </cell>
          <cell r="D3437">
            <v>13</v>
          </cell>
          <cell r="E3437" t="str">
            <v>Less: Financial intermediation services indirectly measured (FISIM) (only to be deducted if FISIM is not distributed to uses)</v>
          </cell>
          <cell r="F3437">
            <v>0</v>
          </cell>
          <cell r="G3437">
            <v>1989</v>
          </cell>
          <cell r="H3437">
            <v>10</v>
          </cell>
          <cell r="I3437">
            <v>15000000</v>
          </cell>
        </row>
        <row r="3438">
          <cell r="A3438" t="str">
            <v>Cayman Islands</v>
          </cell>
          <cell r="B3438">
            <v>136</v>
          </cell>
          <cell r="C3438">
            <v>201</v>
          </cell>
          <cell r="D3438">
            <v>13</v>
          </cell>
          <cell r="E3438" t="str">
            <v>Less: Financial intermediation services indirectly measured (FISIM) (only to be deducted if FISIM is not distributed to uses)</v>
          </cell>
          <cell r="F3438">
            <v>0</v>
          </cell>
          <cell r="G3438">
            <v>1990</v>
          </cell>
          <cell r="H3438">
            <v>10</v>
          </cell>
          <cell r="I3438">
            <v>26000000</v>
          </cell>
        </row>
        <row r="3439">
          <cell r="A3439" t="str">
            <v>Cayman Islands</v>
          </cell>
          <cell r="B3439">
            <v>136</v>
          </cell>
          <cell r="C3439">
            <v>201</v>
          </cell>
          <cell r="D3439">
            <v>13</v>
          </cell>
          <cell r="E3439" t="str">
            <v>Less: Financial intermediation services indirectly measured (FISIM) (only to be deducted if FISIM is not distributed to uses)</v>
          </cell>
          <cell r="F3439">
            <v>0</v>
          </cell>
          <cell r="G3439">
            <v>1991</v>
          </cell>
          <cell r="H3439">
            <v>10</v>
          </cell>
          <cell r="I3439">
            <v>30000000</v>
          </cell>
        </row>
        <row r="3440">
          <cell r="A3440" t="str">
            <v>Austria</v>
          </cell>
          <cell r="B3440">
            <v>40</v>
          </cell>
          <cell r="C3440">
            <v>203</v>
          </cell>
          <cell r="D3440">
            <v>11</v>
          </cell>
          <cell r="E3440" t="str">
            <v>OPERATING SURPLUS, GROSS</v>
          </cell>
          <cell r="F3440">
            <v>12</v>
          </cell>
          <cell r="G3440">
            <v>1970</v>
          </cell>
          <cell r="H3440">
            <v>10</v>
          </cell>
          <cell r="I3440">
            <v>156640000000</v>
          </cell>
        </row>
        <row r="3441">
          <cell r="A3441" t="str">
            <v>Austria</v>
          </cell>
          <cell r="B3441">
            <v>40</v>
          </cell>
          <cell r="C3441">
            <v>203</v>
          </cell>
          <cell r="D3441">
            <v>11</v>
          </cell>
          <cell r="E3441" t="str">
            <v>OPERATING SURPLUS, GROSS</v>
          </cell>
          <cell r="F3441">
            <v>12</v>
          </cell>
          <cell r="G3441">
            <v>1971</v>
          </cell>
          <cell r="H3441">
            <v>10</v>
          </cell>
          <cell r="I3441">
            <v>167690000000</v>
          </cell>
        </row>
        <row r="3442">
          <cell r="A3442" t="str">
            <v>Austria</v>
          </cell>
          <cell r="B3442">
            <v>40</v>
          </cell>
          <cell r="C3442">
            <v>203</v>
          </cell>
          <cell r="D3442">
            <v>11</v>
          </cell>
          <cell r="E3442" t="str">
            <v>OPERATING SURPLUS, GROSS</v>
          </cell>
          <cell r="F3442">
            <v>12</v>
          </cell>
          <cell r="G3442">
            <v>1972</v>
          </cell>
          <cell r="H3442">
            <v>10</v>
          </cell>
          <cell r="I3442">
            <v>189310000000</v>
          </cell>
        </row>
        <row r="3443">
          <cell r="A3443" t="str">
            <v>Austria</v>
          </cell>
          <cell r="B3443">
            <v>40</v>
          </cell>
          <cell r="C3443">
            <v>203</v>
          </cell>
          <cell r="D3443">
            <v>11</v>
          </cell>
          <cell r="E3443" t="str">
            <v>OPERATING SURPLUS, GROSS</v>
          </cell>
          <cell r="F3443">
            <v>12</v>
          </cell>
          <cell r="G3443">
            <v>1973</v>
          </cell>
          <cell r="H3443">
            <v>10</v>
          </cell>
          <cell r="I3443">
            <v>203940000000</v>
          </cell>
        </row>
        <row r="3444">
          <cell r="A3444" t="str">
            <v>Austria</v>
          </cell>
          <cell r="B3444">
            <v>40</v>
          </cell>
          <cell r="C3444">
            <v>203</v>
          </cell>
          <cell r="D3444">
            <v>11</v>
          </cell>
          <cell r="E3444" t="str">
            <v>OPERATING SURPLUS, GROSS</v>
          </cell>
          <cell r="F3444">
            <v>12</v>
          </cell>
          <cell r="G3444">
            <v>1974</v>
          </cell>
          <cell r="H3444">
            <v>10</v>
          </cell>
          <cell r="I3444">
            <v>232840000000</v>
          </cell>
        </row>
        <row r="3445">
          <cell r="A3445" t="str">
            <v>Austria</v>
          </cell>
          <cell r="B3445">
            <v>40</v>
          </cell>
          <cell r="C3445">
            <v>203</v>
          </cell>
          <cell r="D3445">
            <v>11</v>
          </cell>
          <cell r="E3445" t="str">
            <v>OPERATING SURPLUS, GROSS</v>
          </cell>
          <cell r="F3445">
            <v>12</v>
          </cell>
          <cell r="G3445">
            <v>1975</v>
          </cell>
          <cell r="H3445">
            <v>10</v>
          </cell>
          <cell r="I3445">
            <v>236470000000</v>
          </cell>
        </row>
        <row r="3446">
          <cell r="A3446" t="str">
            <v>Austria</v>
          </cell>
          <cell r="B3446">
            <v>40</v>
          </cell>
          <cell r="C3446">
            <v>203</v>
          </cell>
          <cell r="D3446">
            <v>11</v>
          </cell>
          <cell r="E3446" t="str">
            <v>OPERATING SURPLUS, GROSS</v>
          </cell>
          <cell r="F3446">
            <v>12</v>
          </cell>
          <cell r="G3446">
            <v>1976</v>
          </cell>
          <cell r="H3446">
            <v>10</v>
          </cell>
          <cell r="I3446">
            <v>277733000000</v>
          </cell>
        </row>
        <row r="3447">
          <cell r="A3447" t="str">
            <v>Austria</v>
          </cell>
          <cell r="B3447">
            <v>40</v>
          </cell>
          <cell r="C3447">
            <v>203</v>
          </cell>
          <cell r="D3447">
            <v>11</v>
          </cell>
          <cell r="E3447" t="str">
            <v>OPERATING SURPLUS, GROSS</v>
          </cell>
          <cell r="F3447">
            <v>12</v>
          </cell>
          <cell r="G3447">
            <v>1976</v>
          </cell>
          <cell r="H3447">
            <v>200</v>
          </cell>
          <cell r="I3447">
            <v>18931872416</v>
          </cell>
        </row>
        <row r="3448">
          <cell r="A3448" t="str">
            <v>Austria</v>
          </cell>
          <cell r="B3448">
            <v>40</v>
          </cell>
          <cell r="C3448">
            <v>203</v>
          </cell>
          <cell r="D3448">
            <v>11</v>
          </cell>
          <cell r="E3448" t="str">
            <v>OPERATING SURPLUS, GROSS</v>
          </cell>
          <cell r="F3448">
            <v>12</v>
          </cell>
          <cell r="G3448">
            <v>1977</v>
          </cell>
          <cell r="H3448">
            <v>200</v>
          </cell>
          <cell r="I3448">
            <v>20903042375</v>
          </cell>
        </row>
        <row r="3449">
          <cell r="A3449" t="str">
            <v>Austria</v>
          </cell>
          <cell r="B3449">
            <v>40</v>
          </cell>
          <cell r="C3449">
            <v>203</v>
          </cell>
          <cell r="D3449">
            <v>11</v>
          </cell>
          <cell r="E3449" t="str">
            <v>OPERATING SURPLUS, GROSS</v>
          </cell>
          <cell r="F3449">
            <v>12</v>
          </cell>
          <cell r="G3449">
            <v>1978</v>
          </cell>
          <cell r="H3449">
            <v>200</v>
          </cell>
          <cell r="I3449">
            <v>21458722412</v>
          </cell>
        </row>
        <row r="3450">
          <cell r="A3450" t="str">
            <v>Austria</v>
          </cell>
          <cell r="B3450">
            <v>40</v>
          </cell>
          <cell r="C3450">
            <v>203</v>
          </cell>
          <cell r="D3450">
            <v>11</v>
          </cell>
          <cell r="E3450" t="str">
            <v>OPERATING SURPLUS, GROSS</v>
          </cell>
          <cell r="F3450">
            <v>12</v>
          </cell>
          <cell r="G3450">
            <v>1979</v>
          </cell>
          <cell r="H3450">
            <v>200</v>
          </cell>
          <cell r="I3450">
            <v>24550203048</v>
          </cell>
        </row>
        <row r="3451">
          <cell r="A3451" t="str">
            <v>Austria</v>
          </cell>
          <cell r="B3451">
            <v>40</v>
          </cell>
          <cell r="C3451">
            <v>203</v>
          </cell>
          <cell r="D3451">
            <v>11</v>
          </cell>
          <cell r="E3451" t="str">
            <v>OPERATING SURPLUS, GROSS</v>
          </cell>
          <cell r="F3451">
            <v>12</v>
          </cell>
          <cell r="G3451">
            <v>1980</v>
          </cell>
          <cell r="H3451">
            <v>200</v>
          </cell>
          <cell r="I3451">
            <v>26375036809</v>
          </cell>
        </row>
        <row r="3452">
          <cell r="A3452" t="str">
            <v>Austria</v>
          </cell>
          <cell r="B3452">
            <v>40</v>
          </cell>
          <cell r="C3452">
            <v>203</v>
          </cell>
          <cell r="D3452">
            <v>11</v>
          </cell>
          <cell r="E3452" t="str">
            <v>OPERATING SURPLUS, GROSS</v>
          </cell>
          <cell r="F3452">
            <v>12</v>
          </cell>
          <cell r="G3452">
            <v>1981</v>
          </cell>
          <cell r="H3452">
            <v>200</v>
          </cell>
          <cell r="I3452">
            <v>27909965044</v>
          </cell>
        </row>
        <row r="3453">
          <cell r="A3453" t="str">
            <v>Austria</v>
          </cell>
          <cell r="B3453">
            <v>40</v>
          </cell>
          <cell r="C3453">
            <v>203</v>
          </cell>
          <cell r="D3453">
            <v>11</v>
          </cell>
          <cell r="E3453" t="str">
            <v>OPERATING SURPLUS, GROSS</v>
          </cell>
          <cell r="F3453">
            <v>12</v>
          </cell>
          <cell r="G3453">
            <v>1982</v>
          </cell>
          <cell r="H3453">
            <v>200</v>
          </cell>
          <cell r="I3453">
            <v>31588419002</v>
          </cell>
        </row>
        <row r="3454">
          <cell r="A3454" t="str">
            <v>Austria</v>
          </cell>
          <cell r="B3454">
            <v>40</v>
          </cell>
          <cell r="C3454">
            <v>203</v>
          </cell>
          <cell r="D3454">
            <v>11</v>
          </cell>
          <cell r="E3454" t="str">
            <v>OPERATING SURPLUS, GROSS</v>
          </cell>
          <cell r="F3454">
            <v>12</v>
          </cell>
          <cell r="G3454">
            <v>1983</v>
          </cell>
          <cell r="H3454">
            <v>200</v>
          </cell>
          <cell r="I3454">
            <v>34607835148</v>
          </cell>
        </row>
        <row r="3455">
          <cell r="A3455" t="str">
            <v>Austria</v>
          </cell>
          <cell r="B3455">
            <v>40</v>
          </cell>
          <cell r="C3455">
            <v>203</v>
          </cell>
          <cell r="D3455">
            <v>11</v>
          </cell>
          <cell r="E3455" t="str">
            <v>OPERATING SURPLUS, GROSS</v>
          </cell>
          <cell r="F3455">
            <v>12</v>
          </cell>
          <cell r="G3455">
            <v>1984</v>
          </cell>
          <cell r="H3455">
            <v>200</v>
          </cell>
          <cell r="I3455">
            <v>35404203324</v>
          </cell>
        </row>
        <row r="3456">
          <cell r="A3456" t="str">
            <v>Austria</v>
          </cell>
          <cell r="B3456">
            <v>40</v>
          </cell>
          <cell r="C3456">
            <v>203</v>
          </cell>
          <cell r="D3456">
            <v>11</v>
          </cell>
          <cell r="E3456" t="str">
            <v>OPERATING SURPLUS, GROSS</v>
          </cell>
          <cell r="F3456">
            <v>12</v>
          </cell>
          <cell r="G3456">
            <v>1985</v>
          </cell>
          <cell r="H3456">
            <v>200</v>
          </cell>
          <cell r="I3456">
            <v>37620658998</v>
          </cell>
        </row>
        <row r="3457">
          <cell r="A3457" t="str">
            <v>Austria</v>
          </cell>
          <cell r="B3457">
            <v>40</v>
          </cell>
          <cell r="C3457">
            <v>203</v>
          </cell>
          <cell r="D3457">
            <v>11</v>
          </cell>
          <cell r="E3457" t="str">
            <v>OPERATING SURPLUS, GROSS</v>
          </cell>
          <cell r="F3457">
            <v>12</v>
          </cell>
          <cell r="G3457">
            <v>1986</v>
          </cell>
          <cell r="H3457">
            <v>200</v>
          </cell>
          <cell r="I3457">
            <v>39857003772</v>
          </cell>
        </row>
        <row r="3458">
          <cell r="A3458" t="str">
            <v>Austria</v>
          </cell>
          <cell r="B3458">
            <v>40</v>
          </cell>
          <cell r="C3458">
            <v>203</v>
          </cell>
          <cell r="D3458">
            <v>11</v>
          </cell>
          <cell r="E3458" t="str">
            <v>OPERATING SURPLUS, GROSS</v>
          </cell>
          <cell r="F3458">
            <v>12</v>
          </cell>
          <cell r="G3458">
            <v>1987</v>
          </cell>
          <cell r="H3458">
            <v>200</v>
          </cell>
          <cell r="I3458">
            <v>41322439409</v>
          </cell>
        </row>
        <row r="3459">
          <cell r="A3459" t="str">
            <v>Austria</v>
          </cell>
          <cell r="B3459">
            <v>40</v>
          </cell>
          <cell r="C3459">
            <v>203</v>
          </cell>
          <cell r="D3459">
            <v>11</v>
          </cell>
          <cell r="E3459" t="str">
            <v>OPERATING SURPLUS, GROSS</v>
          </cell>
          <cell r="F3459">
            <v>12</v>
          </cell>
          <cell r="G3459">
            <v>1988</v>
          </cell>
          <cell r="H3459">
            <v>200</v>
          </cell>
          <cell r="I3459">
            <v>43879305345</v>
          </cell>
        </row>
        <row r="3460">
          <cell r="A3460" t="str">
            <v>Austria</v>
          </cell>
          <cell r="B3460">
            <v>40</v>
          </cell>
          <cell r="C3460">
            <v>203</v>
          </cell>
          <cell r="D3460">
            <v>11</v>
          </cell>
          <cell r="E3460" t="str">
            <v>OPERATING SURPLUS, GROSS</v>
          </cell>
          <cell r="F3460">
            <v>12</v>
          </cell>
          <cell r="G3460">
            <v>1989</v>
          </cell>
          <cell r="H3460">
            <v>200</v>
          </cell>
          <cell r="I3460">
            <v>47590197389</v>
          </cell>
        </row>
        <row r="3461">
          <cell r="A3461" t="str">
            <v>Austria</v>
          </cell>
          <cell r="B3461">
            <v>40</v>
          </cell>
          <cell r="C3461">
            <v>203</v>
          </cell>
          <cell r="D3461">
            <v>11</v>
          </cell>
          <cell r="E3461" t="str">
            <v>OPERATING SURPLUS, GROSS</v>
          </cell>
          <cell r="F3461">
            <v>12</v>
          </cell>
          <cell r="G3461">
            <v>1990</v>
          </cell>
          <cell r="H3461">
            <v>200</v>
          </cell>
          <cell r="I3461">
            <v>52301799190</v>
          </cell>
        </row>
        <row r="3462">
          <cell r="A3462" t="str">
            <v>Austria</v>
          </cell>
          <cell r="B3462">
            <v>40</v>
          </cell>
          <cell r="C3462">
            <v>203</v>
          </cell>
          <cell r="D3462">
            <v>11</v>
          </cell>
          <cell r="E3462" t="str">
            <v>OPERATING SURPLUS, GROSS</v>
          </cell>
          <cell r="F3462">
            <v>12</v>
          </cell>
          <cell r="G3462">
            <v>1991</v>
          </cell>
          <cell r="H3462">
            <v>200</v>
          </cell>
          <cell r="I3462">
            <v>55748721283</v>
          </cell>
        </row>
        <row r="3463">
          <cell r="A3463" t="str">
            <v>Austria</v>
          </cell>
          <cell r="B3463">
            <v>40</v>
          </cell>
          <cell r="C3463">
            <v>203</v>
          </cell>
          <cell r="D3463">
            <v>11</v>
          </cell>
          <cell r="E3463" t="str">
            <v>OPERATING SURPLUS, GROSS</v>
          </cell>
          <cell r="F3463">
            <v>12</v>
          </cell>
          <cell r="G3463">
            <v>1992</v>
          </cell>
          <cell r="H3463">
            <v>200</v>
          </cell>
          <cell r="I3463">
            <v>58675369554</v>
          </cell>
        </row>
        <row r="3464">
          <cell r="A3464" t="str">
            <v>Austria</v>
          </cell>
          <cell r="B3464">
            <v>40</v>
          </cell>
          <cell r="C3464">
            <v>203</v>
          </cell>
          <cell r="D3464">
            <v>11</v>
          </cell>
          <cell r="E3464" t="str">
            <v>OPERATING SURPLUS, GROSS</v>
          </cell>
          <cell r="F3464">
            <v>12</v>
          </cell>
          <cell r="G3464">
            <v>1993</v>
          </cell>
          <cell r="H3464">
            <v>200</v>
          </cell>
          <cell r="I3464">
            <v>60020433972</v>
          </cell>
        </row>
        <row r="3465">
          <cell r="A3465" t="str">
            <v>Austria</v>
          </cell>
          <cell r="B3465">
            <v>40</v>
          </cell>
          <cell r="C3465">
            <v>203</v>
          </cell>
          <cell r="D3465">
            <v>11</v>
          </cell>
          <cell r="E3465" t="str">
            <v>OPERATING SURPLUS, GROSS</v>
          </cell>
          <cell r="F3465">
            <v>12</v>
          </cell>
          <cell r="G3465">
            <v>1994</v>
          </cell>
          <cell r="H3465">
            <v>200</v>
          </cell>
          <cell r="I3465">
            <v>62924139645</v>
          </cell>
        </row>
        <row r="3466">
          <cell r="A3466" t="str">
            <v>Austria</v>
          </cell>
          <cell r="B3466">
            <v>40</v>
          </cell>
          <cell r="C3466">
            <v>203</v>
          </cell>
          <cell r="D3466">
            <v>11</v>
          </cell>
          <cell r="E3466" t="str">
            <v>OPERATING SURPLUS, GROSS</v>
          </cell>
          <cell r="F3466">
            <v>12</v>
          </cell>
          <cell r="G3466">
            <v>1995</v>
          </cell>
          <cell r="H3466">
            <v>200</v>
          </cell>
          <cell r="I3466">
            <v>66120538880</v>
          </cell>
        </row>
        <row r="3467">
          <cell r="A3467" t="str">
            <v>Austria</v>
          </cell>
          <cell r="B3467">
            <v>40</v>
          </cell>
          <cell r="C3467">
            <v>203</v>
          </cell>
          <cell r="D3467">
            <v>11</v>
          </cell>
          <cell r="E3467" t="str">
            <v>OPERATING SURPLUS, GROSS</v>
          </cell>
          <cell r="F3467">
            <v>12</v>
          </cell>
          <cell r="G3467">
            <v>1996</v>
          </cell>
          <cell r="H3467">
            <v>200</v>
          </cell>
          <cell r="I3467">
            <v>70217218095</v>
          </cell>
        </row>
        <row r="3468">
          <cell r="A3468" t="str">
            <v>Austria</v>
          </cell>
          <cell r="B3468">
            <v>40</v>
          </cell>
          <cell r="C3468">
            <v>203</v>
          </cell>
          <cell r="D3468">
            <v>11</v>
          </cell>
          <cell r="E3468" t="str">
            <v>OPERATING SURPLUS, GROSS</v>
          </cell>
          <cell r="F3468">
            <v>12</v>
          </cell>
          <cell r="G3468">
            <v>1997</v>
          </cell>
          <cell r="H3468">
            <v>200</v>
          </cell>
          <cell r="I3468">
            <v>71678877808</v>
          </cell>
        </row>
        <row r="3469">
          <cell r="A3469" t="str">
            <v>Austria</v>
          </cell>
          <cell r="B3469">
            <v>40</v>
          </cell>
          <cell r="C3469">
            <v>203</v>
          </cell>
          <cell r="D3469">
            <v>11</v>
          </cell>
          <cell r="E3469" t="str">
            <v>OPERATING SURPLUS, GROSS</v>
          </cell>
          <cell r="F3469">
            <v>12</v>
          </cell>
          <cell r="G3469">
            <v>1998</v>
          </cell>
          <cell r="H3469">
            <v>200</v>
          </cell>
          <cell r="I3469">
            <v>75932889000</v>
          </cell>
        </row>
        <row r="3470">
          <cell r="A3470" t="str">
            <v>Austria</v>
          </cell>
          <cell r="B3470">
            <v>40</v>
          </cell>
          <cell r="C3470">
            <v>203</v>
          </cell>
          <cell r="D3470">
            <v>11</v>
          </cell>
          <cell r="E3470" t="str">
            <v>OPERATING SURPLUS, GROSS</v>
          </cell>
          <cell r="F3470">
            <v>12</v>
          </cell>
          <cell r="G3470">
            <v>1999</v>
          </cell>
          <cell r="H3470">
            <v>200</v>
          </cell>
          <cell r="I3470">
            <v>76543037000</v>
          </cell>
        </row>
        <row r="3471">
          <cell r="A3471" t="str">
            <v>Austria</v>
          </cell>
          <cell r="B3471">
            <v>40</v>
          </cell>
          <cell r="C3471">
            <v>203</v>
          </cell>
          <cell r="D3471">
            <v>11</v>
          </cell>
          <cell r="E3471" t="str">
            <v>OPERATING SURPLUS, GROSS</v>
          </cell>
          <cell r="F3471">
            <v>12</v>
          </cell>
          <cell r="G3471">
            <v>2000</v>
          </cell>
          <cell r="H3471">
            <v>200</v>
          </cell>
          <cell r="I3471">
            <v>83323987000</v>
          </cell>
        </row>
        <row r="3472">
          <cell r="A3472" t="str">
            <v>Austria</v>
          </cell>
          <cell r="B3472">
            <v>40</v>
          </cell>
          <cell r="C3472">
            <v>203</v>
          </cell>
          <cell r="D3472">
            <v>11</v>
          </cell>
          <cell r="E3472" t="str">
            <v>OPERATING SURPLUS, GROSS</v>
          </cell>
          <cell r="F3472">
            <v>12</v>
          </cell>
          <cell r="G3472">
            <v>2001</v>
          </cell>
          <cell r="H3472">
            <v>200</v>
          </cell>
          <cell r="I3472">
            <v>87358621000</v>
          </cell>
        </row>
        <row r="3473">
          <cell r="A3473" t="str">
            <v>Austria</v>
          </cell>
          <cell r="B3473">
            <v>40</v>
          </cell>
          <cell r="C3473">
            <v>203</v>
          </cell>
          <cell r="D3473">
            <v>11</v>
          </cell>
          <cell r="E3473" t="str">
            <v>OPERATING SURPLUS, GROSS</v>
          </cell>
          <cell r="F3473">
            <v>12</v>
          </cell>
          <cell r="G3473">
            <v>2002</v>
          </cell>
          <cell r="H3473">
            <v>200</v>
          </cell>
          <cell r="I3473">
            <v>89839958000</v>
          </cell>
        </row>
        <row r="3474">
          <cell r="A3474" t="str">
            <v>Cayman Islands</v>
          </cell>
          <cell r="B3474">
            <v>136</v>
          </cell>
          <cell r="C3474">
            <v>203</v>
          </cell>
          <cell r="D3474">
            <v>3</v>
          </cell>
          <cell r="E3474" t="str">
            <v>Equals: VALUE ADDED, GROSS, at basic prices</v>
          </cell>
          <cell r="F3474">
            <v>12</v>
          </cell>
          <cell r="G3474">
            <v>1983</v>
          </cell>
          <cell r="H3474">
            <v>10</v>
          </cell>
          <cell r="I3474">
            <v>209000000</v>
          </cell>
        </row>
        <row r="3475">
          <cell r="A3475" t="str">
            <v>Cayman Islands</v>
          </cell>
          <cell r="B3475">
            <v>136</v>
          </cell>
          <cell r="C3475">
            <v>203</v>
          </cell>
          <cell r="D3475">
            <v>3</v>
          </cell>
          <cell r="E3475" t="str">
            <v>Equals: VALUE ADDED, GROSS, at basic prices</v>
          </cell>
          <cell r="F3475">
            <v>12</v>
          </cell>
          <cell r="G3475">
            <v>1984</v>
          </cell>
          <cell r="H3475">
            <v>10</v>
          </cell>
          <cell r="I3475">
            <v>232000000</v>
          </cell>
        </row>
        <row r="3476">
          <cell r="A3476" t="str">
            <v>Cayman Islands</v>
          </cell>
          <cell r="B3476">
            <v>136</v>
          </cell>
          <cell r="C3476">
            <v>203</v>
          </cell>
          <cell r="D3476">
            <v>3</v>
          </cell>
          <cell r="E3476" t="str">
            <v>Equals: VALUE ADDED, GROSS, at basic prices</v>
          </cell>
          <cell r="F3476">
            <v>12</v>
          </cell>
          <cell r="G3476">
            <v>1985</v>
          </cell>
          <cell r="H3476">
            <v>10</v>
          </cell>
          <cell r="I3476">
            <v>253000000</v>
          </cell>
        </row>
        <row r="3477">
          <cell r="A3477" t="str">
            <v>Cayman Islands</v>
          </cell>
          <cell r="B3477">
            <v>136</v>
          </cell>
          <cell r="C3477">
            <v>203</v>
          </cell>
          <cell r="D3477">
            <v>3</v>
          </cell>
          <cell r="E3477" t="str">
            <v>Equals: VALUE ADDED, GROSS, at basic prices</v>
          </cell>
          <cell r="F3477">
            <v>12</v>
          </cell>
          <cell r="G3477">
            <v>1986</v>
          </cell>
          <cell r="H3477">
            <v>10</v>
          </cell>
          <cell r="I3477">
            <v>277000000</v>
          </cell>
        </row>
        <row r="3478">
          <cell r="A3478" t="str">
            <v>Cayman Islands</v>
          </cell>
          <cell r="B3478">
            <v>136</v>
          </cell>
          <cell r="C3478">
            <v>203</v>
          </cell>
          <cell r="D3478">
            <v>3</v>
          </cell>
          <cell r="E3478" t="str">
            <v>Equals: VALUE ADDED, GROSS, at basic prices</v>
          </cell>
          <cell r="F3478">
            <v>12</v>
          </cell>
          <cell r="G3478">
            <v>1987</v>
          </cell>
          <cell r="H3478">
            <v>10</v>
          </cell>
          <cell r="I3478">
            <v>323000000</v>
          </cell>
        </row>
        <row r="3479">
          <cell r="A3479" t="str">
            <v>Cayman Islands</v>
          </cell>
          <cell r="B3479">
            <v>136</v>
          </cell>
          <cell r="C3479">
            <v>203</v>
          </cell>
          <cell r="D3479">
            <v>3</v>
          </cell>
          <cell r="E3479" t="str">
            <v>Equals: VALUE ADDED, GROSS, at basic prices</v>
          </cell>
          <cell r="F3479">
            <v>12</v>
          </cell>
          <cell r="G3479">
            <v>1988</v>
          </cell>
          <cell r="H3479">
            <v>10</v>
          </cell>
          <cell r="I3479">
            <v>404000000</v>
          </cell>
        </row>
        <row r="3480">
          <cell r="A3480" t="str">
            <v>Cayman Islands</v>
          </cell>
          <cell r="B3480">
            <v>136</v>
          </cell>
          <cell r="C3480">
            <v>203</v>
          </cell>
          <cell r="D3480">
            <v>3</v>
          </cell>
          <cell r="E3480" t="str">
            <v>Equals: VALUE ADDED, GROSS, at basic prices</v>
          </cell>
          <cell r="F3480">
            <v>12</v>
          </cell>
          <cell r="G3480">
            <v>1989</v>
          </cell>
          <cell r="H3480">
            <v>10</v>
          </cell>
          <cell r="I3480">
            <v>473000000</v>
          </cell>
        </row>
        <row r="3481">
          <cell r="A3481" t="str">
            <v>Cayman Islands</v>
          </cell>
          <cell r="B3481">
            <v>136</v>
          </cell>
          <cell r="C3481">
            <v>203</v>
          </cell>
          <cell r="D3481">
            <v>3</v>
          </cell>
          <cell r="E3481" t="str">
            <v>Equals: VALUE ADDED, GROSS, at basic prices</v>
          </cell>
          <cell r="F3481">
            <v>12</v>
          </cell>
          <cell r="G3481">
            <v>1990</v>
          </cell>
          <cell r="H3481">
            <v>10</v>
          </cell>
          <cell r="I3481">
            <v>580000000</v>
          </cell>
        </row>
        <row r="3482">
          <cell r="A3482" t="str">
            <v>Cayman Islands</v>
          </cell>
          <cell r="B3482">
            <v>136</v>
          </cell>
          <cell r="C3482">
            <v>203</v>
          </cell>
          <cell r="D3482">
            <v>3</v>
          </cell>
          <cell r="E3482" t="str">
            <v>Equals: VALUE ADDED, GROSS, at basic prices</v>
          </cell>
          <cell r="F3482">
            <v>12</v>
          </cell>
          <cell r="G3482">
            <v>1991</v>
          </cell>
          <cell r="H3482">
            <v>10</v>
          </cell>
          <cell r="I3482">
            <v>605000000</v>
          </cell>
        </row>
        <row r="3483">
          <cell r="A3483" t="str">
            <v>Cayman Islands</v>
          </cell>
          <cell r="B3483">
            <v>136</v>
          </cell>
          <cell r="C3483">
            <v>203</v>
          </cell>
          <cell r="D3483">
            <v>4</v>
          </cell>
          <cell r="E3483" t="str">
            <v>Compensation of employees</v>
          </cell>
          <cell r="F3483">
            <v>12</v>
          </cell>
          <cell r="G3483">
            <v>1983</v>
          </cell>
          <cell r="H3483">
            <v>10</v>
          </cell>
          <cell r="I3483">
            <v>128000000</v>
          </cell>
        </row>
        <row r="3484">
          <cell r="A3484" t="str">
            <v>Cayman Islands</v>
          </cell>
          <cell r="B3484">
            <v>136</v>
          </cell>
          <cell r="C3484">
            <v>203</v>
          </cell>
          <cell r="D3484">
            <v>4</v>
          </cell>
          <cell r="E3484" t="str">
            <v>Compensation of employees</v>
          </cell>
          <cell r="F3484">
            <v>12</v>
          </cell>
          <cell r="G3484">
            <v>1984</v>
          </cell>
          <cell r="H3484">
            <v>10</v>
          </cell>
          <cell r="I3484">
            <v>143000000</v>
          </cell>
        </row>
        <row r="3485">
          <cell r="A3485" t="str">
            <v>Cayman Islands</v>
          </cell>
          <cell r="B3485">
            <v>136</v>
          </cell>
          <cell r="C3485">
            <v>203</v>
          </cell>
          <cell r="D3485">
            <v>4</v>
          </cell>
          <cell r="E3485" t="str">
            <v>Compensation of employees</v>
          </cell>
          <cell r="F3485">
            <v>12</v>
          </cell>
          <cell r="G3485">
            <v>1985</v>
          </cell>
          <cell r="H3485">
            <v>10</v>
          </cell>
          <cell r="I3485">
            <v>156000000</v>
          </cell>
        </row>
        <row r="3486">
          <cell r="A3486" t="str">
            <v>Cayman Islands</v>
          </cell>
          <cell r="B3486">
            <v>136</v>
          </cell>
          <cell r="C3486">
            <v>203</v>
          </cell>
          <cell r="D3486">
            <v>4</v>
          </cell>
          <cell r="E3486" t="str">
            <v>Compensation of employees</v>
          </cell>
          <cell r="F3486">
            <v>12</v>
          </cell>
          <cell r="G3486">
            <v>1986</v>
          </cell>
          <cell r="H3486">
            <v>10</v>
          </cell>
          <cell r="I3486">
            <v>175000000</v>
          </cell>
        </row>
        <row r="3487">
          <cell r="A3487" t="str">
            <v>Cayman Islands</v>
          </cell>
          <cell r="B3487">
            <v>136</v>
          </cell>
          <cell r="C3487">
            <v>203</v>
          </cell>
          <cell r="D3487">
            <v>4</v>
          </cell>
          <cell r="E3487" t="str">
            <v>Compensation of employees</v>
          </cell>
          <cell r="F3487">
            <v>12</v>
          </cell>
          <cell r="G3487">
            <v>1987</v>
          </cell>
          <cell r="H3487">
            <v>10</v>
          </cell>
          <cell r="I3487">
            <v>201000000</v>
          </cell>
        </row>
        <row r="3488">
          <cell r="A3488" t="str">
            <v>Cayman Islands</v>
          </cell>
          <cell r="B3488">
            <v>136</v>
          </cell>
          <cell r="C3488">
            <v>203</v>
          </cell>
          <cell r="D3488">
            <v>4</v>
          </cell>
          <cell r="E3488" t="str">
            <v>Compensation of employees</v>
          </cell>
          <cell r="F3488">
            <v>12</v>
          </cell>
          <cell r="G3488">
            <v>1988</v>
          </cell>
          <cell r="H3488">
            <v>10</v>
          </cell>
          <cell r="I3488">
            <v>238000000</v>
          </cell>
        </row>
        <row r="3489">
          <cell r="A3489" t="str">
            <v>Cayman Islands</v>
          </cell>
          <cell r="B3489">
            <v>136</v>
          </cell>
          <cell r="C3489">
            <v>203</v>
          </cell>
          <cell r="D3489">
            <v>4</v>
          </cell>
          <cell r="E3489" t="str">
            <v>Compensation of employees</v>
          </cell>
          <cell r="F3489">
            <v>12</v>
          </cell>
          <cell r="G3489">
            <v>1989</v>
          </cell>
          <cell r="H3489">
            <v>10</v>
          </cell>
          <cell r="I3489">
            <v>274000000</v>
          </cell>
        </row>
        <row r="3490">
          <cell r="A3490" t="str">
            <v>Cayman Islands</v>
          </cell>
          <cell r="B3490">
            <v>136</v>
          </cell>
          <cell r="C3490">
            <v>203</v>
          </cell>
          <cell r="D3490">
            <v>4</v>
          </cell>
          <cell r="E3490" t="str">
            <v>Compensation of employees</v>
          </cell>
          <cell r="F3490">
            <v>12</v>
          </cell>
          <cell r="G3490">
            <v>1990</v>
          </cell>
          <cell r="H3490">
            <v>10</v>
          </cell>
          <cell r="I3490">
            <v>328000000</v>
          </cell>
        </row>
        <row r="3491">
          <cell r="A3491" t="str">
            <v>Cayman Islands</v>
          </cell>
          <cell r="B3491">
            <v>136</v>
          </cell>
          <cell r="C3491">
            <v>203</v>
          </cell>
          <cell r="D3491">
            <v>4</v>
          </cell>
          <cell r="E3491" t="str">
            <v>Compensation of employees</v>
          </cell>
          <cell r="F3491">
            <v>12</v>
          </cell>
          <cell r="G3491">
            <v>1991</v>
          </cell>
          <cell r="H3491">
            <v>10</v>
          </cell>
          <cell r="I3491">
            <v>342000000</v>
          </cell>
        </row>
        <row r="3492">
          <cell r="A3492" t="str">
            <v>Cayman Islands</v>
          </cell>
          <cell r="B3492">
            <v>136</v>
          </cell>
          <cell r="C3492">
            <v>203</v>
          </cell>
          <cell r="D3492">
            <v>11</v>
          </cell>
          <cell r="E3492" t="str">
            <v>OPERATING SURPLUS, GROSS</v>
          </cell>
          <cell r="F3492">
            <v>12</v>
          </cell>
          <cell r="G3492">
            <v>1987</v>
          </cell>
          <cell r="H3492">
            <v>10</v>
          </cell>
          <cell r="I3492">
            <v>28000000</v>
          </cell>
        </row>
        <row r="3493">
          <cell r="A3493" t="str">
            <v>Cayman Islands</v>
          </cell>
          <cell r="B3493">
            <v>136</v>
          </cell>
          <cell r="C3493">
            <v>203</v>
          </cell>
          <cell r="D3493">
            <v>11</v>
          </cell>
          <cell r="E3493" t="str">
            <v>OPERATING SURPLUS, GROSS</v>
          </cell>
          <cell r="F3493">
            <v>12</v>
          </cell>
          <cell r="G3493">
            <v>1988</v>
          </cell>
          <cell r="H3493">
            <v>10</v>
          </cell>
          <cell r="I3493">
            <v>34000000</v>
          </cell>
        </row>
        <row r="3494">
          <cell r="A3494" t="str">
            <v>Chad</v>
          </cell>
          <cell r="B3494">
            <v>148</v>
          </cell>
          <cell r="C3494">
            <v>201</v>
          </cell>
          <cell r="D3494">
            <v>13</v>
          </cell>
          <cell r="E3494" t="str">
            <v>Less: Financial intermediation services indirectly measured (FISIM) (only to be deducted if FISIM is not distributed to uses)</v>
          </cell>
          <cell r="F3494">
            <v>0</v>
          </cell>
          <cell r="G3494">
            <v>1975</v>
          </cell>
          <cell r="H3494">
            <v>20</v>
          </cell>
          <cell r="I3494">
            <v>1250000000</v>
          </cell>
        </row>
        <row r="3495">
          <cell r="A3495" t="str">
            <v>Chad</v>
          </cell>
          <cell r="B3495">
            <v>148</v>
          </cell>
          <cell r="C3495">
            <v>201</v>
          </cell>
          <cell r="D3495">
            <v>13</v>
          </cell>
          <cell r="E3495" t="str">
            <v>Less: Financial intermediation services indirectly measured (FISIM) (only to be deducted if FISIM is not distributed to uses)</v>
          </cell>
          <cell r="F3495">
            <v>0</v>
          </cell>
          <cell r="G3495">
            <v>1976</v>
          </cell>
          <cell r="H3495">
            <v>20</v>
          </cell>
          <cell r="I3495">
            <v>0</v>
          </cell>
        </row>
        <row r="3496">
          <cell r="A3496" t="str">
            <v>Chad</v>
          </cell>
          <cell r="B3496">
            <v>148</v>
          </cell>
          <cell r="C3496">
            <v>201</v>
          </cell>
          <cell r="D3496">
            <v>13</v>
          </cell>
          <cell r="E3496" t="str">
            <v>Less: Financial intermediation services indirectly measured (FISIM) (only to be deducted if FISIM is not distributed to uses)</v>
          </cell>
          <cell r="F3496">
            <v>0</v>
          </cell>
          <cell r="G3496">
            <v>1977</v>
          </cell>
          <cell r="H3496">
            <v>20</v>
          </cell>
          <cell r="I3496">
            <v>0</v>
          </cell>
        </row>
        <row r="3497">
          <cell r="A3497" t="str">
            <v>Chad</v>
          </cell>
          <cell r="B3497">
            <v>148</v>
          </cell>
          <cell r="C3497">
            <v>203</v>
          </cell>
          <cell r="D3497">
            <v>3</v>
          </cell>
          <cell r="E3497" t="str">
            <v>Equals: VALUE ADDED, GROSS, at basic prices</v>
          </cell>
          <cell r="F3497">
            <v>12</v>
          </cell>
          <cell r="G3497">
            <v>1975</v>
          </cell>
          <cell r="H3497">
            <v>20</v>
          </cell>
          <cell r="I3497">
            <v>147200000000</v>
          </cell>
        </row>
        <row r="3498">
          <cell r="A3498" t="str">
            <v>Chad</v>
          </cell>
          <cell r="B3498">
            <v>148</v>
          </cell>
          <cell r="C3498">
            <v>203</v>
          </cell>
          <cell r="D3498">
            <v>3</v>
          </cell>
          <cell r="E3498" t="str">
            <v>Equals: VALUE ADDED, GROSS, at basic prices</v>
          </cell>
          <cell r="F3498">
            <v>12</v>
          </cell>
          <cell r="G3498">
            <v>1990</v>
          </cell>
          <cell r="H3498">
            <v>20</v>
          </cell>
          <cell r="I3498">
            <v>311911000000</v>
          </cell>
        </row>
        <row r="3499">
          <cell r="A3499" t="str">
            <v>Chad</v>
          </cell>
          <cell r="B3499">
            <v>148</v>
          </cell>
          <cell r="C3499">
            <v>203</v>
          </cell>
          <cell r="D3499">
            <v>3</v>
          </cell>
          <cell r="E3499" t="str">
            <v>Equals: VALUE ADDED, GROSS, at basic prices</v>
          </cell>
          <cell r="F3499">
            <v>12</v>
          </cell>
          <cell r="G3499">
            <v>1991</v>
          </cell>
          <cell r="H3499">
            <v>20</v>
          </cell>
          <cell r="I3499">
            <v>291524000000</v>
          </cell>
        </row>
        <row r="3500">
          <cell r="A3500" t="str">
            <v>Chad</v>
          </cell>
          <cell r="B3500">
            <v>148</v>
          </cell>
          <cell r="C3500">
            <v>203</v>
          </cell>
          <cell r="D3500">
            <v>3</v>
          </cell>
          <cell r="E3500" t="str">
            <v>Equals: VALUE ADDED, GROSS, at basic prices</v>
          </cell>
          <cell r="F3500">
            <v>12</v>
          </cell>
          <cell r="G3500">
            <v>1992</v>
          </cell>
          <cell r="H3500">
            <v>20</v>
          </cell>
          <cell r="I3500">
            <v>297361000000</v>
          </cell>
        </row>
        <row r="3501">
          <cell r="A3501" t="str">
            <v>Chad</v>
          </cell>
          <cell r="B3501">
            <v>148</v>
          </cell>
          <cell r="C3501">
            <v>203</v>
          </cell>
          <cell r="D3501">
            <v>3</v>
          </cell>
          <cell r="E3501" t="str">
            <v>Equals: VALUE ADDED, GROSS, at basic prices</v>
          </cell>
          <cell r="F3501">
            <v>12</v>
          </cell>
          <cell r="G3501">
            <v>1992</v>
          </cell>
          <cell r="H3501">
            <v>40</v>
          </cell>
          <cell r="I3501">
            <v>665000000000</v>
          </cell>
        </row>
        <row r="3502">
          <cell r="A3502" t="str">
            <v>Chad</v>
          </cell>
          <cell r="B3502">
            <v>148</v>
          </cell>
          <cell r="C3502">
            <v>203</v>
          </cell>
          <cell r="D3502">
            <v>3</v>
          </cell>
          <cell r="E3502" t="str">
            <v>Equals: VALUE ADDED, GROSS, at basic prices</v>
          </cell>
          <cell r="F3502">
            <v>12</v>
          </cell>
          <cell r="G3502">
            <v>1993</v>
          </cell>
          <cell r="H3502">
            <v>40</v>
          </cell>
          <cell r="I3502">
            <v>656000000000</v>
          </cell>
        </row>
        <row r="3503">
          <cell r="A3503" t="str">
            <v>Chad</v>
          </cell>
          <cell r="B3503">
            <v>148</v>
          </cell>
          <cell r="C3503">
            <v>203</v>
          </cell>
          <cell r="D3503">
            <v>3</v>
          </cell>
          <cell r="E3503" t="str">
            <v>Equals: VALUE ADDED, GROSS, at basic prices</v>
          </cell>
          <cell r="F3503">
            <v>12</v>
          </cell>
          <cell r="G3503">
            <v>1994</v>
          </cell>
          <cell r="H3503">
            <v>40</v>
          </cell>
          <cell r="I3503">
            <v>699000000000</v>
          </cell>
        </row>
        <row r="3504">
          <cell r="A3504" t="str">
            <v>Chad</v>
          </cell>
          <cell r="B3504">
            <v>148</v>
          </cell>
          <cell r="C3504">
            <v>203</v>
          </cell>
          <cell r="D3504">
            <v>3</v>
          </cell>
          <cell r="E3504" t="str">
            <v>Equals: VALUE ADDED, GROSS, at basic prices</v>
          </cell>
          <cell r="F3504">
            <v>12</v>
          </cell>
          <cell r="G3504">
            <v>1995</v>
          </cell>
          <cell r="H3504">
            <v>40</v>
          </cell>
          <cell r="I3504">
            <v>696000000000</v>
          </cell>
        </row>
        <row r="3505">
          <cell r="A3505" t="str">
            <v>Chad</v>
          </cell>
          <cell r="B3505">
            <v>148</v>
          </cell>
          <cell r="C3505">
            <v>203</v>
          </cell>
          <cell r="D3505">
            <v>3</v>
          </cell>
          <cell r="E3505" t="str">
            <v>Equals: VALUE ADDED, GROSS, at basic prices</v>
          </cell>
          <cell r="F3505">
            <v>12</v>
          </cell>
          <cell r="G3505">
            <v>1996</v>
          </cell>
          <cell r="H3505">
            <v>40</v>
          </cell>
          <cell r="I3505">
            <v>704000000000</v>
          </cell>
        </row>
        <row r="3506">
          <cell r="A3506" t="str">
            <v>Chad</v>
          </cell>
          <cell r="B3506">
            <v>148</v>
          </cell>
          <cell r="C3506">
            <v>203</v>
          </cell>
          <cell r="D3506">
            <v>3</v>
          </cell>
          <cell r="E3506" t="str">
            <v>Equals: VALUE ADDED, GROSS, at basic prices</v>
          </cell>
          <cell r="F3506">
            <v>12</v>
          </cell>
          <cell r="G3506">
            <v>1997</v>
          </cell>
          <cell r="H3506">
            <v>40</v>
          </cell>
          <cell r="I3506">
            <v>745000000000</v>
          </cell>
        </row>
        <row r="3507">
          <cell r="A3507" t="str">
            <v>Chad</v>
          </cell>
          <cell r="B3507">
            <v>148</v>
          </cell>
          <cell r="C3507">
            <v>203</v>
          </cell>
          <cell r="D3507">
            <v>3</v>
          </cell>
          <cell r="E3507" t="str">
            <v>Equals: VALUE ADDED, GROSS, at basic prices</v>
          </cell>
          <cell r="F3507">
            <v>12</v>
          </cell>
          <cell r="G3507">
            <v>1998</v>
          </cell>
          <cell r="H3507">
            <v>40</v>
          </cell>
          <cell r="I3507">
            <v>784000000000</v>
          </cell>
        </row>
        <row r="3508">
          <cell r="A3508" t="str">
            <v>Chad</v>
          </cell>
          <cell r="B3508">
            <v>148</v>
          </cell>
          <cell r="C3508">
            <v>203</v>
          </cell>
          <cell r="D3508">
            <v>3</v>
          </cell>
          <cell r="E3508" t="str">
            <v>Equals: VALUE ADDED, GROSS, at basic prices</v>
          </cell>
          <cell r="F3508">
            <v>12</v>
          </cell>
          <cell r="G3508">
            <v>1999</v>
          </cell>
          <cell r="H3508">
            <v>40</v>
          </cell>
          <cell r="I3508">
            <v>783000000000</v>
          </cell>
        </row>
        <row r="3509">
          <cell r="A3509" t="str">
            <v>Chad</v>
          </cell>
          <cell r="B3509">
            <v>148</v>
          </cell>
          <cell r="C3509">
            <v>203</v>
          </cell>
          <cell r="D3509">
            <v>3</v>
          </cell>
          <cell r="E3509" t="str">
            <v>Equals: VALUE ADDED, GROSS, at basic prices</v>
          </cell>
          <cell r="F3509">
            <v>12</v>
          </cell>
          <cell r="G3509">
            <v>2000</v>
          </cell>
          <cell r="H3509">
            <v>40</v>
          </cell>
          <cell r="I3509">
            <v>782000000000</v>
          </cell>
        </row>
        <row r="3510">
          <cell r="A3510" t="str">
            <v>Chad</v>
          </cell>
          <cell r="B3510">
            <v>148</v>
          </cell>
          <cell r="C3510">
            <v>203</v>
          </cell>
          <cell r="D3510">
            <v>3</v>
          </cell>
          <cell r="E3510" t="str">
            <v>Equals: VALUE ADDED, GROSS, at basic prices</v>
          </cell>
          <cell r="F3510">
            <v>12</v>
          </cell>
          <cell r="G3510">
            <v>2001</v>
          </cell>
          <cell r="H3510">
            <v>40</v>
          </cell>
          <cell r="I3510">
            <v>851000000000</v>
          </cell>
        </row>
        <row r="3511">
          <cell r="A3511" t="str">
            <v>Chad</v>
          </cell>
          <cell r="B3511">
            <v>148</v>
          </cell>
          <cell r="C3511">
            <v>203</v>
          </cell>
          <cell r="D3511">
            <v>4</v>
          </cell>
          <cell r="E3511" t="str">
            <v>Compensation of employees</v>
          </cell>
          <cell r="F3511">
            <v>12</v>
          </cell>
          <cell r="G3511">
            <v>1975</v>
          </cell>
          <cell r="H3511">
            <v>20</v>
          </cell>
          <cell r="I3511">
            <v>19410000000</v>
          </cell>
        </row>
        <row r="3512">
          <cell r="A3512" t="str">
            <v>Chad</v>
          </cell>
          <cell r="B3512">
            <v>148</v>
          </cell>
          <cell r="C3512">
            <v>203</v>
          </cell>
          <cell r="D3512">
            <v>4</v>
          </cell>
          <cell r="E3512" t="str">
            <v>Compensation of employees</v>
          </cell>
          <cell r="F3512">
            <v>12</v>
          </cell>
          <cell r="G3512">
            <v>1995</v>
          </cell>
          <cell r="H3512">
            <v>40</v>
          </cell>
          <cell r="I3512">
            <v>131000000000</v>
          </cell>
        </row>
        <row r="3513">
          <cell r="A3513" t="str">
            <v>Chad</v>
          </cell>
          <cell r="B3513">
            <v>148</v>
          </cell>
          <cell r="C3513">
            <v>203</v>
          </cell>
          <cell r="D3513">
            <v>4</v>
          </cell>
          <cell r="E3513" t="str">
            <v>Compensation of employees</v>
          </cell>
          <cell r="F3513">
            <v>12</v>
          </cell>
          <cell r="G3513">
            <v>1996</v>
          </cell>
          <cell r="H3513">
            <v>40</v>
          </cell>
          <cell r="I3513">
            <v>146000000000</v>
          </cell>
        </row>
        <row r="3514">
          <cell r="A3514" t="str">
            <v>Chad</v>
          </cell>
          <cell r="B3514">
            <v>148</v>
          </cell>
          <cell r="C3514">
            <v>203</v>
          </cell>
          <cell r="D3514">
            <v>4</v>
          </cell>
          <cell r="E3514" t="str">
            <v>Compensation of employees</v>
          </cell>
          <cell r="F3514">
            <v>12</v>
          </cell>
          <cell r="G3514">
            <v>1997</v>
          </cell>
          <cell r="H3514">
            <v>40</v>
          </cell>
          <cell r="I3514">
            <v>154000000000</v>
          </cell>
        </row>
        <row r="3515">
          <cell r="A3515" t="str">
            <v>Chad</v>
          </cell>
          <cell r="B3515">
            <v>148</v>
          </cell>
          <cell r="C3515">
            <v>203</v>
          </cell>
          <cell r="D3515">
            <v>4</v>
          </cell>
          <cell r="E3515" t="str">
            <v>Compensation of employees</v>
          </cell>
          <cell r="F3515">
            <v>12</v>
          </cell>
          <cell r="G3515">
            <v>1998</v>
          </cell>
          <cell r="H3515">
            <v>40</v>
          </cell>
          <cell r="I3515">
            <v>170000000000</v>
          </cell>
        </row>
        <row r="3516">
          <cell r="A3516" t="str">
            <v>Chad</v>
          </cell>
          <cell r="B3516">
            <v>148</v>
          </cell>
          <cell r="C3516">
            <v>203</v>
          </cell>
          <cell r="D3516">
            <v>4</v>
          </cell>
          <cell r="E3516" t="str">
            <v>Compensation of employees</v>
          </cell>
          <cell r="F3516">
            <v>12</v>
          </cell>
          <cell r="G3516">
            <v>1999</v>
          </cell>
          <cell r="H3516">
            <v>40</v>
          </cell>
          <cell r="I3516">
            <v>168000000000</v>
          </cell>
        </row>
        <row r="3517">
          <cell r="A3517" t="str">
            <v>Chad</v>
          </cell>
          <cell r="B3517">
            <v>148</v>
          </cell>
          <cell r="C3517">
            <v>203</v>
          </cell>
          <cell r="D3517">
            <v>4</v>
          </cell>
          <cell r="E3517" t="str">
            <v>Compensation of employees</v>
          </cell>
          <cell r="F3517">
            <v>12</v>
          </cell>
          <cell r="G3517">
            <v>2000</v>
          </cell>
          <cell r="H3517">
            <v>40</v>
          </cell>
          <cell r="I3517">
            <v>174000000000</v>
          </cell>
        </row>
        <row r="3518">
          <cell r="A3518" t="str">
            <v>Chad</v>
          </cell>
          <cell r="B3518">
            <v>148</v>
          </cell>
          <cell r="C3518">
            <v>203</v>
          </cell>
          <cell r="D3518">
            <v>4</v>
          </cell>
          <cell r="E3518" t="str">
            <v>Compensation of employees</v>
          </cell>
          <cell r="F3518">
            <v>12</v>
          </cell>
          <cell r="G3518">
            <v>2001</v>
          </cell>
          <cell r="H3518">
            <v>40</v>
          </cell>
          <cell r="I3518">
            <v>225000000000</v>
          </cell>
        </row>
        <row r="3519">
          <cell r="A3519" t="str">
            <v>Chad</v>
          </cell>
          <cell r="B3519">
            <v>148</v>
          </cell>
          <cell r="C3519">
            <v>203</v>
          </cell>
          <cell r="D3519">
            <v>11</v>
          </cell>
          <cell r="E3519" t="str">
            <v>OPERATING SURPLUS, GROSS</v>
          </cell>
          <cell r="F3519">
            <v>12</v>
          </cell>
          <cell r="G3519">
            <v>1975</v>
          </cell>
          <cell r="H3519">
            <v>20</v>
          </cell>
          <cell r="I3519">
            <v>123090000000</v>
          </cell>
        </row>
        <row r="3520">
          <cell r="A3520" t="str">
            <v>Chad</v>
          </cell>
          <cell r="B3520">
            <v>148</v>
          </cell>
          <cell r="C3520">
            <v>203</v>
          </cell>
          <cell r="D3520">
            <v>22</v>
          </cell>
          <cell r="E3520" t="str">
            <v>Taxes on production and imports, less Subsidies</v>
          </cell>
          <cell r="F3520">
            <v>12</v>
          </cell>
          <cell r="G3520">
            <v>1995</v>
          </cell>
          <cell r="H3520">
            <v>40</v>
          </cell>
          <cell r="I3520">
            <v>48000000000</v>
          </cell>
        </row>
        <row r="3521">
          <cell r="A3521" t="str">
            <v>Chad</v>
          </cell>
          <cell r="B3521">
            <v>148</v>
          </cell>
          <cell r="C3521">
            <v>203</v>
          </cell>
          <cell r="D3521">
            <v>22</v>
          </cell>
          <cell r="E3521" t="str">
            <v>Taxes on production and imports, less Subsidies</v>
          </cell>
          <cell r="F3521">
            <v>12</v>
          </cell>
          <cell r="G3521">
            <v>1996</v>
          </cell>
          <cell r="H3521">
            <v>40</v>
          </cell>
          <cell r="I3521">
            <v>57000000000</v>
          </cell>
        </row>
        <row r="3522">
          <cell r="A3522" t="str">
            <v>Chad</v>
          </cell>
          <cell r="B3522">
            <v>148</v>
          </cell>
          <cell r="C3522">
            <v>203</v>
          </cell>
          <cell r="D3522">
            <v>22</v>
          </cell>
          <cell r="E3522" t="str">
            <v>Taxes on production and imports, less Subsidies</v>
          </cell>
          <cell r="F3522">
            <v>12</v>
          </cell>
          <cell r="G3522">
            <v>1997</v>
          </cell>
          <cell r="H3522">
            <v>40</v>
          </cell>
          <cell r="I3522">
            <v>66000000000</v>
          </cell>
        </row>
        <row r="3523">
          <cell r="A3523" t="str">
            <v>Chad</v>
          </cell>
          <cell r="B3523">
            <v>148</v>
          </cell>
          <cell r="C3523">
            <v>203</v>
          </cell>
          <cell r="D3523">
            <v>22</v>
          </cell>
          <cell r="E3523" t="str">
            <v>Taxes on production and imports, less Subsidies</v>
          </cell>
          <cell r="F3523">
            <v>12</v>
          </cell>
          <cell r="G3523">
            <v>1998</v>
          </cell>
          <cell r="H3523">
            <v>40</v>
          </cell>
          <cell r="I3523">
            <v>76000000000</v>
          </cell>
        </row>
        <row r="3524">
          <cell r="A3524" t="str">
            <v>Chad</v>
          </cell>
          <cell r="B3524">
            <v>148</v>
          </cell>
          <cell r="C3524">
            <v>203</v>
          </cell>
          <cell r="D3524">
            <v>22</v>
          </cell>
          <cell r="E3524" t="str">
            <v>Taxes on production and imports, less Subsidies</v>
          </cell>
          <cell r="F3524">
            <v>12</v>
          </cell>
          <cell r="G3524">
            <v>1999</v>
          </cell>
          <cell r="H3524">
            <v>40</v>
          </cell>
          <cell r="I3524">
            <v>72000000000</v>
          </cell>
        </row>
        <row r="3525">
          <cell r="A3525" t="str">
            <v>Chad</v>
          </cell>
          <cell r="B3525">
            <v>148</v>
          </cell>
          <cell r="C3525">
            <v>203</v>
          </cell>
          <cell r="D3525">
            <v>22</v>
          </cell>
          <cell r="E3525" t="str">
            <v>Taxes on production and imports, less Subsidies</v>
          </cell>
          <cell r="F3525">
            <v>12</v>
          </cell>
          <cell r="G3525">
            <v>2000</v>
          </cell>
          <cell r="H3525">
            <v>40</v>
          </cell>
          <cell r="I3525">
            <v>69000000000</v>
          </cell>
        </row>
        <row r="3526">
          <cell r="A3526" t="str">
            <v>Chad</v>
          </cell>
          <cell r="B3526">
            <v>148</v>
          </cell>
          <cell r="C3526">
            <v>203</v>
          </cell>
          <cell r="D3526">
            <v>22</v>
          </cell>
          <cell r="E3526" t="str">
            <v>Taxes on production and imports, less Subsidies</v>
          </cell>
          <cell r="F3526">
            <v>12</v>
          </cell>
          <cell r="G3526">
            <v>2001</v>
          </cell>
          <cell r="H3526">
            <v>40</v>
          </cell>
          <cell r="I3526">
            <v>78000000000</v>
          </cell>
        </row>
        <row r="3527">
          <cell r="A3527" t="str">
            <v>Colombia</v>
          </cell>
          <cell r="B3527">
            <v>170</v>
          </cell>
          <cell r="C3527">
            <v>201</v>
          </cell>
          <cell r="D3527">
            <v>13</v>
          </cell>
          <cell r="E3527" t="str">
            <v>Less: Financial intermediation services indirectly measured (FISIM) (only to be deducted if FISIM is not distributed to uses)</v>
          </cell>
          <cell r="F3527">
            <v>0</v>
          </cell>
          <cell r="G3527">
            <v>1970</v>
          </cell>
          <cell r="H3527">
            <v>20</v>
          </cell>
          <cell r="I3527">
            <v>3000000000</v>
          </cell>
        </row>
        <row r="3528">
          <cell r="A3528" t="str">
            <v>Colombia</v>
          </cell>
          <cell r="B3528">
            <v>170</v>
          </cell>
          <cell r="C3528">
            <v>201</v>
          </cell>
          <cell r="D3528">
            <v>13</v>
          </cell>
          <cell r="E3528" t="str">
            <v>Less: Financial intermediation services indirectly measured (FISIM) (only to be deducted if FISIM is not distributed to uses)</v>
          </cell>
          <cell r="F3528">
            <v>0</v>
          </cell>
          <cell r="G3528">
            <v>1971</v>
          </cell>
          <cell r="H3528">
            <v>20</v>
          </cell>
          <cell r="I3528">
            <v>4000000000</v>
          </cell>
        </row>
        <row r="3529">
          <cell r="A3529" t="str">
            <v>Colombia</v>
          </cell>
          <cell r="B3529">
            <v>170</v>
          </cell>
          <cell r="C3529">
            <v>201</v>
          </cell>
          <cell r="D3529">
            <v>13</v>
          </cell>
          <cell r="E3529" t="str">
            <v>Less: Financial intermediation services indirectly measured (FISIM) (only to be deducted if FISIM is not distributed to uses)</v>
          </cell>
          <cell r="F3529">
            <v>0</v>
          </cell>
          <cell r="G3529">
            <v>1972</v>
          </cell>
          <cell r="H3529">
            <v>20</v>
          </cell>
          <cell r="I3529">
            <v>5000000000</v>
          </cell>
        </row>
        <row r="3530">
          <cell r="A3530" t="str">
            <v>Colombia</v>
          </cell>
          <cell r="B3530">
            <v>170</v>
          </cell>
          <cell r="C3530">
            <v>201</v>
          </cell>
          <cell r="D3530">
            <v>13</v>
          </cell>
          <cell r="E3530" t="str">
            <v>Less: Financial intermediation services indirectly measured (FISIM) (only to be deducted if FISIM is not distributed to uses)</v>
          </cell>
          <cell r="F3530">
            <v>0</v>
          </cell>
          <cell r="G3530">
            <v>1973</v>
          </cell>
          <cell r="H3530">
            <v>20</v>
          </cell>
          <cell r="I3530">
            <v>6000000000</v>
          </cell>
        </row>
        <row r="3531">
          <cell r="A3531" t="str">
            <v>Colombia</v>
          </cell>
          <cell r="B3531">
            <v>170</v>
          </cell>
          <cell r="C3531">
            <v>201</v>
          </cell>
          <cell r="D3531">
            <v>13</v>
          </cell>
          <cell r="E3531" t="str">
            <v>Less: Financial intermediation services indirectly measured (FISIM) (only to be deducted if FISIM is not distributed to uses)</v>
          </cell>
          <cell r="F3531">
            <v>0</v>
          </cell>
          <cell r="G3531">
            <v>1974</v>
          </cell>
          <cell r="H3531">
            <v>20</v>
          </cell>
          <cell r="I3531">
            <v>8000000000</v>
          </cell>
        </row>
        <row r="3532">
          <cell r="A3532" t="str">
            <v>Colombia</v>
          </cell>
          <cell r="B3532">
            <v>170</v>
          </cell>
          <cell r="C3532">
            <v>201</v>
          </cell>
          <cell r="D3532">
            <v>13</v>
          </cell>
          <cell r="E3532" t="str">
            <v>Less: Financial intermediation services indirectly measured (FISIM) (only to be deducted if FISIM is not distributed to uses)</v>
          </cell>
          <cell r="F3532">
            <v>0</v>
          </cell>
          <cell r="G3532">
            <v>1975</v>
          </cell>
          <cell r="H3532">
            <v>20</v>
          </cell>
          <cell r="I3532">
            <v>11000000000</v>
          </cell>
        </row>
        <row r="3533">
          <cell r="A3533" t="str">
            <v>Colombia</v>
          </cell>
          <cell r="B3533">
            <v>170</v>
          </cell>
          <cell r="C3533">
            <v>201</v>
          </cell>
          <cell r="D3533">
            <v>13</v>
          </cell>
          <cell r="E3533" t="str">
            <v>Less: Financial intermediation services indirectly measured (FISIM) (only to be deducted if FISIM is not distributed to uses)</v>
          </cell>
          <cell r="F3533">
            <v>0</v>
          </cell>
          <cell r="G3533">
            <v>1976</v>
          </cell>
          <cell r="H3533">
            <v>20</v>
          </cell>
          <cell r="I3533">
            <v>14000000000</v>
          </cell>
        </row>
        <row r="3534">
          <cell r="A3534" t="str">
            <v>Colombia</v>
          </cell>
          <cell r="B3534">
            <v>170</v>
          </cell>
          <cell r="C3534">
            <v>201</v>
          </cell>
          <cell r="D3534">
            <v>13</v>
          </cell>
          <cell r="E3534" t="str">
            <v>Less: Financial intermediation services indirectly measured (FISIM) (only to be deducted if FISIM is not distributed to uses)</v>
          </cell>
          <cell r="F3534">
            <v>0</v>
          </cell>
          <cell r="G3534">
            <v>1977</v>
          </cell>
          <cell r="H3534">
            <v>20</v>
          </cell>
          <cell r="I3534">
            <v>18000000000</v>
          </cell>
        </row>
        <row r="3535">
          <cell r="A3535" t="str">
            <v>Colombia</v>
          </cell>
          <cell r="B3535">
            <v>170</v>
          </cell>
          <cell r="C3535">
            <v>201</v>
          </cell>
          <cell r="D3535">
            <v>13</v>
          </cell>
          <cell r="E3535" t="str">
            <v>Less: Financial intermediation services indirectly measured (FISIM) (only to be deducted if FISIM is not distributed to uses)</v>
          </cell>
          <cell r="F3535">
            <v>0</v>
          </cell>
          <cell r="G3535">
            <v>1978</v>
          </cell>
          <cell r="H3535">
            <v>20</v>
          </cell>
          <cell r="I3535">
            <v>22000000000</v>
          </cell>
        </row>
        <row r="3536">
          <cell r="A3536" t="str">
            <v>Colombia</v>
          </cell>
          <cell r="B3536">
            <v>170</v>
          </cell>
          <cell r="C3536">
            <v>201</v>
          </cell>
          <cell r="D3536">
            <v>13</v>
          </cell>
          <cell r="E3536" t="str">
            <v>Less: Financial intermediation services indirectly measured (FISIM) (only to be deducted if FISIM is not distributed to uses)</v>
          </cell>
          <cell r="F3536">
            <v>0</v>
          </cell>
          <cell r="G3536">
            <v>1979</v>
          </cell>
          <cell r="H3536">
            <v>20</v>
          </cell>
          <cell r="I3536">
            <v>29000000000</v>
          </cell>
        </row>
        <row r="3537">
          <cell r="A3537" t="str">
            <v>Colombia</v>
          </cell>
          <cell r="B3537">
            <v>170</v>
          </cell>
          <cell r="C3537">
            <v>201</v>
          </cell>
          <cell r="D3537">
            <v>13</v>
          </cell>
          <cell r="E3537" t="str">
            <v>Less: Financial intermediation services indirectly measured (FISIM) (only to be deducted if FISIM is not distributed to uses)</v>
          </cell>
          <cell r="F3537">
            <v>0</v>
          </cell>
          <cell r="G3537">
            <v>1980</v>
          </cell>
          <cell r="H3537">
            <v>20</v>
          </cell>
          <cell r="I3537">
            <v>40000000000</v>
          </cell>
        </row>
        <row r="3538">
          <cell r="A3538" t="str">
            <v>Colombia</v>
          </cell>
          <cell r="B3538">
            <v>170</v>
          </cell>
          <cell r="C3538">
            <v>201</v>
          </cell>
          <cell r="D3538">
            <v>13</v>
          </cell>
          <cell r="E3538" t="str">
            <v>Less: Financial intermediation services indirectly measured (FISIM) (only to be deducted if FISIM is not distributed to uses)</v>
          </cell>
          <cell r="F3538">
            <v>0</v>
          </cell>
          <cell r="G3538">
            <v>1981</v>
          </cell>
          <cell r="H3538">
            <v>20</v>
          </cell>
          <cell r="I3538">
            <v>59000000000</v>
          </cell>
        </row>
        <row r="3539">
          <cell r="A3539" t="str">
            <v>Colombia</v>
          </cell>
          <cell r="B3539">
            <v>170</v>
          </cell>
          <cell r="C3539">
            <v>201</v>
          </cell>
          <cell r="D3539">
            <v>13</v>
          </cell>
          <cell r="E3539" t="str">
            <v>Less: Financial intermediation services indirectly measured (FISIM) (only to be deducted if FISIM is not distributed to uses)</v>
          </cell>
          <cell r="F3539">
            <v>0</v>
          </cell>
          <cell r="G3539">
            <v>1982</v>
          </cell>
          <cell r="H3539">
            <v>20</v>
          </cell>
          <cell r="I3539">
            <v>79000000000</v>
          </cell>
        </row>
        <row r="3540">
          <cell r="A3540" t="str">
            <v>Colombia</v>
          </cell>
          <cell r="B3540">
            <v>170</v>
          </cell>
          <cell r="C3540">
            <v>201</v>
          </cell>
          <cell r="D3540">
            <v>13</v>
          </cell>
          <cell r="E3540" t="str">
            <v>Less: Financial intermediation services indirectly measured (FISIM) (only to be deducted if FISIM is not distributed to uses)</v>
          </cell>
          <cell r="F3540">
            <v>0</v>
          </cell>
          <cell r="G3540">
            <v>1983</v>
          </cell>
          <cell r="H3540">
            <v>20</v>
          </cell>
          <cell r="I3540">
            <v>105000000000</v>
          </cell>
        </row>
        <row r="3541">
          <cell r="A3541" t="str">
            <v>Colombia</v>
          </cell>
          <cell r="B3541">
            <v>170</v>
          </cell>
          <cell r="C3541">
            <v>201</v>
          </cell>
          <cell r="D3541">
            <v>13</v>
          </cell>
          <cell r="E3541" t="str">
            <v>Less: Financial intermediation services indirectly measured (FISIM) (only to be deducted if FISIM is not distributed to uses)</v>
          </cell>
          <cell r="F3541">
            <v>0</v>
          </cell>
          <cell r="G3541">
            <v>1984</v>
          </cell>
          <cell r="H3541">
            <v>20</v>
          </cell>
          <cell r="I3541">
            <v>104000000000</v>
          </cell>
        </row>
        <row r="3542">
          <cell r="A3542" t="str">
            <v>Colombia</v>
          </cell>
          <cell r="B3542">
            <v>170</v>
          </cell>
          <cell r="C3542">
            <v>201</v>
          </cell>
          <cell r="D3542">
            <v>13</v>
          </cell>
          <cell r="E3542" t="str">
            <v>Less: Financial intermediation services indirectly measured (FISIM) (only to be deducted if FISIM is not distributed to uses)</v>
          </cell>
          <cell r="F3542">
            <v>0</v>
          </cell>
          <cell r="G3542">
            <v>1985</v>
          </cell>
          <cell r="H3542">
            <v>20</v>
          </cell>
          <cell r="I3542">
            <v>119000000000</v>
          </cell>
        </row>
        <row r="3543">
          <cell r="A3543" t="str">
            <v>Colombia</v>
          </cell>
          <cell r="B3543">
            <v>170</v>
          </cell>
          <cell r="C3543">
            <v>201</v>
          </cell>
          <cell r="D3543">
            <v>13</v>
          </cell>
          <cell r="E3543" t="str">
            <v>Less: Financial intermediation services indirectly measured (FISIM) (only to be deducted if FISIM is not distributed to uses)</v>
          </cell>
          <cell r="F3543">
            <v>0</v>
          </cell>
          <cell r="G3543">
            <v>1986</v>
          </cell>
          <cell r="H3543">
            <v>20</v>
          </cell>
          <cell r="I3543">
            <v>156000000000</v>
          </cell>
        </row>
        <row r="3544">
          <cell r="A3544" t="str">
            <v>Colombia</v>
          </cell>
          <cell r="B3544">
            <v>170</v>
          </cell>
          <cell r="C3544">
            <v>201</v>
          </cell>
          <cell r="D3544">
            <v>13</v>
          </cell>
          <cell r="E3544" t="str">
            <v>Less: Financial intermediation services indirectly measured (FISIM) (only to be deducted if FISIM is not distributed to uses)</v>
          </cell>
          <cell r="F3544">
            <v>0</v>
          </cell>
          <cell r="G3544">
            <v>1987</v>
          </cell>
          <cell r="H3544">
            <v>20</v>
          </cell>
          <cell r="I3544">
            <v>227000000000</v>
          </cell>
        </row>
        <row r="3545">
          <cell r="A3545" t="str">
            <v>Colombia</v>
          </cell>
          <cell r="B3545">
            <v>170</v>
          </cell>
          <cell r="C3545">
            <v>201</v>
          </cell>
          <cell r="D3545">
            <v>13</v>
          </cell>
          <cell r="E3545" t="str">
            <v>Less: Financial intermediation services indirectly measured (FISIM) (only to be deducted if FISIM is not distributed to uses)</v>
          </cell>
          <cell r="F3545">
            <v>0</v>
          </cell>
          <cell r="G3545">
            <v>1988</v>
          </cell>
          <cell r="H3545">
            <v>20</v>
          </cell>
          <cell r="I3545">
            <v>369000000000</v>
          </cell>
        </row>
        <row r="3546">
          <cell r="A3546" t="str">
            <v>Colombia</v>
          </cell>
          <cell r="B3546">
            <v>170</v>
          </cell>
          <cell r="C3546">
            <v>201</v>
          </cell>
          <cell r="D3546">
            <v>13</v>
          </cell>
          <cell r="E3546" t="str">
            <v>Less: Financial intermediation services indirectly measured (FISIM) (only to be deducted if FISIM is not distributed to uses)</v>
          </cell>
          <cell r="F3546">
            <v>0</v>
          </cell>
          <cell r="G3546">
            <v>1989</v>
          </cell>
          <cell r="H3546">
            <v>20</v>
          </cell>
          <cell r="I3546">
            <v>474000000000</v>
          </cell>
        </row>
        <row r="3547">
          <cell r="A3547" t="str">
            <v>Colombia</v>
          </cell>
          <cell r="B3547">
            <v>170</v>
          </cell>
          <cell r="C3547">
            <v>201</v>
          </cell>
          <cell r="D3547">
            <v>13</v>
          </cell>
          <cell r="E3547" t="str">
            <v>Less: Financial intermediation services indirectly measured (FISIM) (only to be deducted if FISIM is not distributed to uses)</v>
          </cell>
          <cell r="F3547">
            <v>0</v>
          </cell>
          <cell r="G3547">
            <v>1990</v>
          </cell>
          <cell r="H3547">
            <v>20</v>
          </cell>
          <cell r="I3547">
            <v>657000000000</v>
          </cell>
        </row>
        <row r="3548">
          <cell r="A3548" t="str">
            <v>Colombia</v>
          </cell>
          <cell r="B3548">
            <v>170</v>
          </cell>
          <cell r="C3548">
            <v>201</v>
          </cell>
          <cell r="D3548">
            <v>13</v>
          </cell>
          <cell r="E3548" t="str">
            <v>Less: Financial intermediation services indirectly measured (FISIM) (only to be deducted if FISIM is not distributed to uses)</v>
          </cell>
          <cell r="F3548">
            <v>0</v>
          </cell>
          <cell r="G3548">
            <v>1991</v>
          </cell>
          <cell r="H3548">
            <v>20</v>
          </cell>
          <cell r="I3548">
            <v>986000000000</v>
          </cell>
        </row>
        <row r="3549">
          <cell r="A3549" t="str">
            <v>Colombia</v>
          </cell>
          <cell r="B3549">
            <v>170</v>
          </cell>
          <cell r="C3549">
            <v>201</v>
          </cell>
          <cell r="D3549">
            <v>13</v>
          </cell>
          <cell r="E3549" t="str">
            <v>Less: Financial intermediation services indirectly measured (FISIM) (only to be deducted if FISIM is not distributed to uses)</v>
          </cell>
          <cell r="F3549">
            <v>0</v>
          </cell>
          <cell r="G3549">
            <v>1992</v>
          </cell>
          <cell r="H3549">
            <v>20</v>
          </cell>
          <cell r="I3549">
            <v>1120869000000</v>
          </cell>
        </row>
        <row r="3550">
          <cell r="A3550" t="str">
            <v>Colombia</v>
          </cell>
          <cell r="B3550">
            <v>170</v>
          </cell>
          <cell r="C3550">
            <v>201</v>
          </cell>
          <cell r="D3550">
            <v>13</v>
          </cell>
          <cell r="E3550" t="str">
            <v>Less: Financial intermediation services indirectly measured (FISIM) (only to be deducted if FISIM is not distributed to uses)</v>
          </cell>
          <cell r="F3550">
            <v>0</v>
          </cell>
          <cell r="G3550">
            <v>1992</v>
          </cell>
          <cell r="H3550">
            <v>100</v>
          </cell>
          <cell r="I3550">
            <v>1498595000000</v>
          </cell>
        </row>
        <row r="3551">
          <cell r="A3551" t="str">
            <v>Colombia</v>
          </cell>
          <cell r="B3551">
            <v>170</v>
          </cell>
          <cell r="C3551">
            <v>201</v>
          </cell>
          <cell r="D3551">
            <v>13</v>
          </cell>
          <cell r="E3551" t="str">
            <v>Less: Financial intermediation services indirectly measured (FISIM) (only to be deducted if FISIM is not distributed to uses)</v>
          </cell>
          <cell r="F3551">
            <v>0</v>
          </cell>
          <cell r="G3551">
            <v>1993</v>
          </cell>
          <cell r="H3551">
            <v>100</v>
          </cell>
          <cell r="I3551">
            <v>2092177000000</v>
          </cell>
        </row>
        <row r="3552">
          <cell r="A3552" t="str">
            <v>Colombia</v>
          </cell>
          <cell r="B3552">
            <v>170</v>
          </cell>
          <cell r="C3552">
            <v>201</v>
          </cell>
          <cell r="D3552">
            <v>13</v>
          </cell>
          <cell r="E3552" t="str">
            <v>Less: Financial intermediation services indirectly measured (FISIM) (only to be deducted if FISIM is not distributed to uses)</v>
          </cell>
          <cell r="F3552">
            <v>0</v>
          </cell>
          <cell r="G3552">
            <v>1994</v>
          </cell>
          <cell r="H3552">
            <v>100</v>
          </cell>
          <cell r="I3552">
            <v>3047640000000</v>
          </cell>
        </row>
        <row r="3553">
          <cell r="A3553" t="str">
            <v>Colombia</v>
          </cell>
          <cell r="B3553">
            <v>170</v>
          </cell>
          <cell r="C3553">
            <v>201</v>
          </cell>
          <cell r="D3553">
            <v>13</v>
          </cell>
          <cell r="E3553" t="str">
            <v>Less: Financial intermediation services indirectly measured (FISIM) (only to be deducted if FISIM is not distributed to uses)</v>
          </cell>
          <cell r="F3553">
            <v>0</v>
          </cell>
          <cell r="G3553">
            <v>1995</v>
          </cell>
          <cell r="H3553">
            <v>100</v>
          </cell>
          <cell r="I3553">
            <v>4610875000000</v>
          </cell>
        </row>
        <row r="3554">
          <cell r="A3554" t="str">
            <v>Colombia</v>
          </cell>
          <cell r="B3554">
            <v>170</v>
          </cell>
          <cell r="C3554">
            <v>201</v>
          </cell>
          <cell r="D3554">
            <v>13</v>
          </cell>
          <cell r="E3554" t="str">
            <v>Less: Financial intermediation services indirectly measured (FISIM) (only to be deducted if FISIM is not distributed to uses)</v>
          </cell>
          <cell r="F3554">
            <v>0</v>
          </cell>
          <cell r="G3554">
            <v>1996</v>
          </cell>
          <cell r="H3554">
            <v>100</v>
          </cell>
          <cell r="I3554">
            <v>6157388000000</v>
          </cell>
        </row>
        <row r="3555">
          <cell r="A3555" t="str">
            <v>Colombia</v>
          </cell>
          <cell r="B3555">
            <v>170</v>
          </cell>
          <cell r="C3555">
            <v>201</v>
          </cell>
          <cell r="D3555">
            <v>13</v>
          </cell>
          <cell r="E3555" t="str">
            <v>Less: Financial intermediation services indirectly measured (FISIM) (only to be deducted if FISIM is not distributed to uses)</v>
          </cell>
          <cell r="F3555">
            <v>0</v>
          </cell>
          <cell r="G3555">
            <v>1997</v>
          </cell>
          <cell r="H3555">
            <v>100</v>
          </cell>
          <cell r="I3555">
            <v>7451126000000</v>
          </cell>
        </row>
        <row r="3556">
          <cell r="A3556" t="str">
            <v>Colombia</v>
          </cell>
          <cell r="B3556">
            <v>170</v>
          </cell>
          <cell r="C3556">
            <v>201</v>
          </cell>
          <cell r="D3556">
            <v>13</v>
          </cell>
          <cell r="E3556" t="str">
            <v>Less: Financial intermediation services indirectly measured (FISIM) (only to be deducted if FISIM is not distributed to uses)</v>
          </cell>
          <cell r="F3556">
            <v>0</v>
          </cell>
          <cell r="G3556">
            <v>1998</v>
          </cell>
          <cell r="H3556">
            <v>100</v>
          </cell>
          <cell r="I3556">
            <v>8071066000000</v>
          </cell>
        </row>
        <row r="3557">
          <cell r="A3557" t="str">
            <v>Colombia</v>
          </cell>
          <cell r="B3557">
            <v>170</v>
          </cell>
          <cell r="C3557">
            <v>201</v>
          </cell>
          <cell r="D3557">
            <v>13</v>
          </cell>
          <cell r="E3557" t="str">
            <v>Less: Financial intermediation services indirectly measured (FISIM) (only to be deducted if FISIM is not distributed to uses)</v>
          </cell>
          <cell r="F3557">
            <v>0</v>
          </cell>
          <cell r="G3557">
            <v>1999</v>
          </cell>
          <cell r="H3557">
            <v>100</v>
          </cell>
          <cell r="I3557">
            <v>7308750000000</v>
          </cell>
        </row>
        <row r="3558">
          <cell r="A3558" t="str">
            <v>Colombia</v>
          </cell>
          <cell r="B3558">
            <v>170</v>
          </cell>
          <cell r="C3558">
            <v>201</v>
          </cell>
          <cell r="D3558">
            <v>13</v>
          </cell>
          <cell r="E3558" t="str">
            <v>Less: Financial intermediation services indirectly measured (FISIM) (only to be deducted if FISIM is not distributed to uses)</v>
          </cell>
          <cell r="F3558">
            <v>0</v>
          </cell>
          <cell r="G3558">
            <v>2000</v>
          </cell>
          <cell r="H3558">
            <v>100</v>
          </cell>
          <cell r="I3558">
            <v>6778011000000</v>
          </cell>
        </row>
        <row r="3559">
          <cell r="A3559" t="str">
            <v>Colombia</v>
          </cell>
          <cell r="B3559">
            <v>170</v>
          </cell>
          <cell r="C3559">
            <v>201</v>
          </cell>
          <cell r="D3559">
            <v>13</v>
          </cell>
          <cell r="E3559" t="str">
            <v>Less: Financial intermediation services indirectly measured (FISIM) (only to be deducted if FISIM is not distributed to uses)</v>
          </cell>
          <cell r="F3559">
            <v>0</v>
          </cell>
          <cell r="G3559">
            <v>2001</v>
          </cell>
          <cell r="H3559">
            <v>100</v>
          </cell>
          <cell r="I3559">
            <v>7465117000000</v>
          </cell>
        </row>
        <row r="3560">
          <cell r="A3560" t="str">
            <v>Austria</v>
          </cell>
          <cell r="B3560">
            <v>40</v>
          </cell>
          <cell r="C3560">
            <v>203</v>
          </cell>
          <cell r="D3560">
            <v>22</v>
          </cell>
          <cell r="E3560" t="str">
            <v>Taxes on production and imports, less Subsidies</v>
          </cell>
          <cell r="F3560">
            <v>12</v>
          </cell>
          <cell r="G3560">
            <v>1970</v>
          </cell>
          <cell r="H3560">
            <v>10</v>
          </cell>
          <cell r="I3560">
            <v>41920000000</v>
          </cell>
        </row>
        <row r="3561">
          <cell r="A3561" t="str">
            <v>Austria</v>
          </cell>
          <cell r="B3561">
            <v>40</v>
          </cell>
          <cell r="C3561">
            <v>203</v>
          </cell>
          <cell r="D3561">
            <v>22</v>
          </cell>
          <cell r="E3561" t="str">
            <v>Taxes on production and imports, less Subsidies</v>
          </cell>
          <cell r="F3561">
            <v>12</v>
          </cell>
          <cell r="G3561">
            <v>1971</v>
          </cell>
          <cell r="H3561">
            <v>10</v>
          </cell>
          <cell r="I3561">
            <v>47210000000</v>
          </cell>
        </row>
        <row r="3562">
          <cell r="A3562" t="str">
            <v>Austria</v>
          </cell>
          <cell r="B3562">
            <v>40</v>
          </cell>
          <cell r="C3562">
            <v>203</v>
          </cell>
          <cell r="D3562">
            <v>22</v>
          </cell>
          <cell r="E3562" t="str">
            <v>Taxes on production and imports, less Subsidies</v>
          </cell>
          <cell r="F3562">
            <v>12</v>
          </cell>
          <cell r="G3562">
            <v>1972</v>
          </cell>
          <cell r="H3562">
            <v>10</v>
          </cell>
          <cell r="I3562">
            <v>56940000000</v>
          </cell>
        </row>
        <row r="3563">
          <cell r="A3563" t="str">
            <v>Austria</v>
          </cell>
          <cell r="B3563">
            <v>40</v>
          </cell>
          <cell r="C3563">
            <v>203</v>
          </cell>
          <cell r="D3563">
            <v>22</v>
          </cell>
          <cell r="E3563" t="str">
            <v>Taxes on production and imports, less Subsidies</v>
          </cell>
          <cell r="F3563">
            <v>12</v>
          </cell>
          <cell r="G3563">
            <v>1973</v>
          </cell>
          <cell r="H3563">
            <v>10</v>
          </cell>
          <cell r="I3563">
            <v>30900000000</v>
          </cell>
        </row>
        <row r="3564">
          <cell r="A3564" t="str">
            <v>Austria</v>
          </cell>
          <cell r="B3564">
            <v>40</v>
          </cell>
          <cell r="C3564">
            <v>203</v>
          </cell>
          <cell r="D3564">
            <v>22</v>
          </cell>
          <cell r="E3564" t="str">
            <v>Taxes on production and imports, less Subsidies</v>
          </cell>
          <cell r="F3564">
            <v>12</v>
          </cell>
          <cell r="G3564">
            <v>1974</v>
          </cell>
          <cell r="H3564">
            <v>10</v>
          </cell>
          <cell r="I3564">
            <v>31830000000</v>
          </cell>
        </row>
        <row r="3565">
          <cell r="A3565" t="str">
            <v>Austria</v>
          </cell>
          <cell r="B3565">
            <v>40</v>
          </cell>
          <cell r="C3565">
            <v>203</v>
          </cell>
          <cell r="D3565">
            <v>22</v>
          </cell>
          <cell r="E3565" t="str">
            <v>Taxes on production and imports, less Subsidies</v>
          </cell>
          <cell r="F3565">
            <v>12</v>
          </cell>
          <cell r="G3565">
            <v>1975</v>
          </cell>
          <cell r="H3565">
            <v>10</v>
          </cell>
          <cell r="I3565">
            <v>29480000000</v>
          </cell>
        </row>
        <row r="3566">
          <cell r="A3566" t="str">
            <v>Austria</v>
          </cell>
          <cell r="B3566">
            <v>40</v>
          </cell>
          <cell r="C3566">
            <v>203</v>
          </cell>
          <cell r="D3566">
            <v>22</v>
          </cell>
          <cell r="E3566" t="str">
            <v>Taxes on production and imports, less Subsidies</v>
          </cell>
          <cell r="F3566">
            <v>12</v>
          </cell>
          <cell r="G3566">
            <v>1976</v>
          </cell>
          <cell r="H3566">
            <v>10</v>
          </cell>
          <cell r="I3566">
            <v>34067000000</v>
          </cell>
        </row>
        <row r="3567">
          <cell r="A3567" t="str">
            <v>Austria</v>
          </cell>
          <cell r="B3567">
            <v>40</v>
          </cell>
          <cell r="C3567">
            <v>203</v>
          </cell>
          <cell r="D3567">
            <v>22</v>
          </cell>
          <cell r="E3567" t="str">
            <v>Taxes on production and imports, less Subsidies</v>
          </cell>
          <cell r="F3567">
            <v>12</v>
          </cell>
          <cell r="G3567">
            <v>1976</v>
          </cell>
          <cell r="H3567">
            <v>200</v>
          </cell>
          <cell r="I3567">
            <v>1186602036</v>
          </cell>
        </row>
        <row r="3568">
          <cell r="A3568" t="str">
            <v>Austria</v>
          </cell>
          <cell r="B3568">
            <v>40</v>
          </cell>
          <cell r="C3568">
            <v>203</v>
          </cell>
          <cell r="D3568">
            <v>22</v>
          </cell>
          <cell r="E3568" t="str">
            <v>Taxes on production and imports, less Subsidies</v>
          </cell>
          <cell r="F3568">
            <v>12</v>
          </cell>
          <cell r="G3568">
            <v>1977</v>
          </cell>
          <cell r="H3568">
            <v>200</v>
          </cell>
          <cell r="I3568">
            <v>1380856522</v>
          </cell>
        </row>
        <row r="3569">
          <cell r="A3569" t="str">
            <v>Austria</v>
          </cell>
          <cell r="B3569">
            <v>40</v>
          </cell>
          <cell r="C3569">
            <v>203</v>
          </cell>
          <cell r="D3569">
            <v>22</v>
          </cell>
          <cell r="E3569" t="str">
            <v>Taxes on production and imports, less Subsidies</v>
          </cell>
          <cell r="F3569">
            <v>12</v>
          </cell>
          <cell r="G3569">
            <v>1978</v>
          </cell>
          <cell r="H3569">
            <v>200</v>
          </cell>
          <cell r="I3569">
            <v>1179189407</v>
          </cell>
        </row>
        <row r="3570">
          <cell r="A3570" t="str">
            <v>Austria</v>
          </cell>
          <cell r="B3570">
            <v>40</v>
          </cell>
          <cell r="C3570">
            <v>203</v>
          </cell>
          <cell r="D3570">
            <v>22</v>
          </cell>
          <cell r="E3570" t="str">
            <v>Taxes on production and imports, less Subsidies</v>
          </cell>
          <cell r="F3570">
            <v>12</v>
          </cell>
          <cell r="G3570">
            <v>1979</v>
          </cell>
          <cell r="H3570">
            <v>200</v>
          </cell>
          <cell r="I3570">
            <v>1345319506</v>
          </cell>
        </row>
        <row r="3571">
          <cell r="A3571" t="str">
            <v>Austria</v>
          </cell>
          <cell r="B3571">
            <v>40</v>
          </cell>
          <cell r="C3571">
            <v>203</v>
          </cell>
          <cell r="D3571">
            <v>22</v>
          </cell>
          <cell r="E3571" t="str">
            <v>Taxes on production and imports, less Subsidies</v>
          </cell>
          <cell r="F3571">
            <v>12</v>
          </cell>
          <cell r="G3571">
            <v>1980</v>
          </cell>
          <cell r="H3571">
            <v>200</v>
          </cell>
          <cell r="I3571">
            <v>1398443348</v>
          </cell>
        </row>
        <row r="3572">
          <cell r="A3572" t="str">
            <v>Austria</v>
          </cell>
          <cell r="B3572">
            <v>40</v>
          </cell>
          <cell r="C3572">
            <v>203</v>
          </cell>
          <cell r="D3572">
            <v>22</v>
          </cell>
          <cell r="E3572" t="str">
            <v>Taxes on production and imports, less Subsidies</v>
          </cell>
          <cell r="F3572">
            <v>12</v>
          </cell>
          <cell r="G3572">
            <v>1981</v>
          </cell>
          <cell r="H3572">
            <v>200</v>
          </cell>
          <cell r="I3572">
            <v>1308910416</v>
          </cell>
        </row>
        <row r="3573">
          <cell r="A3573" t="str">
            <v>Austria</v>
          </cell>
          <cell r="B3573">
            <v>40</v>
          </cell>
          <cell r="C3573">
            <v>203</v>
          </cell>
          <cell r="D3573">
            <v>22</v>
          </cell>
          <cell r="E3573" t="str">
            <v>Taxes on production and imports, less Subsidies</v>
          </cell>
          <cell r="F3573">
            <v>12</v>
          </cell>
          <cell r="G3573">
            <v>1982</v>
          </cell>
          <cell r="H3573">
            <v>200</v>
          </cell>
          <cell r="I3573">
            <v>1391902793</v>
          </cell>
        </row>
        <row r="3574">
          <cell r="A3574" t="str">
            <v>Austria</v>
          </cell>
          <cell r="B3574">
            <v>40</v>
          </cell>
          <cell r="C3574">
            <v>203</v>
          </cell>
          <cell r="D3574">
            <v>22</v>
          </cell>
          <cell r="E3574" t="str">
            <v>Taxes on production and imports, less Subsidies</v>
          </cell>
          <cell r="F3574">
            <v>12</v>
          </cell>
          <cell r="G3574">
            <v>1983</v>
          </cell>
          <cell r="H3574">
            <v>200</v>
          </cell>
          <cell r="I3574">
            <v>1440520919</v>
          </cell>
        </row>
        <row r="3575">
          <cell r="A3575" t="str">
            <v>Austria</v>
          </cell>
          <cell r="B3575">
            <v>40</v>
          </cell>
          <cell r="C3575">
            <v>203</v>
          </cell>
          <cell r="D3575">
            <v>22</v>
          </cell>
          <cell r="E3575" t="str">
            <v>Taxes on production and imports, less Subsidies</v>
          </cell>
          <cell r="F3575">
            <v>12</v>
          </cell>
          <cell r="G3575">
            <v>1984</v>
          </cell>
          <cell r="H3575">
            <v>200</v>
          </cell>
          <cell r="I3575">
            <v>1480272959</v>
          </cell>
        </row>
        <row r="3576">
          <cell r="A3576" t="str">
            <v>Austria</v>
          </cell>
          <cell r="B3576">
            <v>40</v>
          </cell>
          <cell r="C3576">
            <v>203</v>
          </cell>
          <cell r="D3576">
            <v>22</v>
          </cell>
          <cell r="E3576" t="str">
            <v>Taxes on production and imports, less Subsidies</v>
          </cell>
          <cell r="F3576">
            <v>12</v>
          </cell>
          <cell r="G3576">
            <v>1985</v>
          </cell>
          <cell r="H3576">
            <v>200</v>
          </cell>
          <cell r="I3576">
            <v>1441174974</v>
          </cell>
        </row>
        <row r="3577">
          <cell r="A3577" t="str">
            <v>Austria</v>
          </cell>
          <cell r="B3577">
            <v>40</v>
          </cell>
          <cell r="C3577">
            <v>203</v>
          </cell>
          <cell r="D3577">
            <v>22</v>
          </cell>
          <cell r="E3577" t="str">
            <v>Taxes on production and imports, less Subsidies</v>
          </cell>
          <cell r="F3577">
            <v>12</v>
          </cell>
          <cell r="G3577">
            <v>1986</v>
          </cell>
          <cell r="H3577">
            <v>200</v>
          </cell>
          <cell r="I3577">
            <v>1388414497</v>
          </cell>
        </row>
        <row r="3578">
          <cell r="A3578" t="str">
            <v>Austria</v>
          </cell>
          <cell r="B3578">
            <v>40</v>
          </cell>
          <cell r="C3578">
            <v>203</v>
          </cell>
          <cell r="D3578">
            <v>22</v>
          </cell>
          <cell r="E3578" t="str">
            <v>Taxes on production and imports, less Subsidies</v>
          </cell>
          <cell r="F3578">
            <v>12</v>
          </cell>
          <cell r="G3578">
            <v>1987</v>
          </cell>
          <cell r="H3578">
            <v>200</v>
          </cell>
          <cell r="I3578">
            <v>1588119445</v>
          </cell>
        </row>
        <row r="3579">
          <cell r="A3579" t="str">
            <v>Austria</v>
          </cell>
          <cell r="B3579">
            <v>40</v>
          </cell>
          <cell r="C3579">
            <v>203</v>
          </cell>
          <cell r="D3579">
            <v>22</v>
          </cell>
          <cell r="E3579" t="str">
            <v>Taxes on production and imports, less Subsidies</v>
          </cell>
          <cell r="F3579">
            <v>12</v>
          </cell>
          <cell r="G3579">
            <v>1988</v>
          </cell>
          <cell r="H3579">
            <v>200</v>
          </cell>
          <cell r="I3579">
            <v>1663302264</v>
          </cell>
        </row>
        <row r="3580">
          <cell r="A3580" t="str">
            <v>Austria</v>
          </cell>
          <cell r="B3580">
            <v>40</v>
          </cell>
          <cell r="C3580">
            <v>203</v>
          </cell>
          <cell r="D3580">
            <v>22</v>
          </cell>
          <cell r="E3580" t="str">
            <v>Taxes on production and imports, less Subsidies</v>
          </cell>
          <cell r="F3580">
            <v>12</v>
          </cell>
          <cell r="G3580">
            <v>1989</v>
          </cell>
          <cell r="H3580">
            <v>200</v>
          </cell>
          <cell r="I3580">
            <v>1770149760</v>
          </cell>
        </row>
        <row r="3581">
          <cell r="A3581" t="str">
            <v>Austria</v>
          </cell>
          <cell r="B3581">
            <v>40</v>
          </cell>
          <cell r="C3581">
            <v>203</v>
          </cell>
          <cell r="D3581">
            <v>22</v>
          </cell>
          <cell r="E3581" t="str">
            <v>Taxes on production and imports, less Subsidies</v>
          </cell>
          <cell r="F3581">
            <v>12</v>
          </cell>
          <cell r="G3581">
            <v>1990</v>
          </cell>
          <cell r="H3581">
            <v>200</v>
          </cell>
          <cell r="I3581">
            <v>1998654986</v>
          </cell>
        </row>
        <row r="3582">
          <cell r="A3582" t="str">
            <v>Austria</v>
          </cell>
          <cell r="B3582">
            <v>40</v>
          </cell>
          <cell r="C3582">
            <v>203</v>
          </cell>
          <cell r="D3582">
            <v>22</v>
          </cell>
          <cell r="E3582" t="str">
            <v>Taxes on production and imports, less Subsidies</v>
          </cell>
          <cell r="F3582">
            <v>12</v>
          </cell>
          <cell r="G3582">
            <v>1991</v>
          </cell>
          <cell r="H3582">
            <v>200</v>
          </cell>
          <cell r="I3582">
            <v>1943018053</v>
          </cell>
        </row>
        <row r="3583">
          <cell r="A3583" t="str">
            <v>Austria</v>
          </cell>
          <cell r="B3583">
            <v>40</v>
          </cell>
          <cell r="C3583">
            <v>203</v>
          </cell>
          <cell r="D3583">
            <v>22</v>
          </cell>
          <cell r="E3583" t="str">
            <v>Taxes on production and imports, less Subsidies</v>
          </cell>
          <cell r="F3583">
            <v>12</v>
          </cell>
          <cell r="G3583">
            <v>1992</v>
          </cell>
          <cell r="H3583">
            <v>200</v>
          </cell>
          <cell r="I3583">
            <v>2173716673</v>
          </cell>
        </row>
        <row r="3584">
          <cell r="A3584" t="str">
            <v>Austria</v>
          </cell>
          <cell r="B3584">
            <v>40</v>
          </cell>
          <cell r="C3584">
            <v>203</v>
          </cell>
          <cell r="D3584">
            <v>22</v>
          </cell>
          <cell r="E3584" t="str">
            <v>Taxes on production and imports, less Subsidies</v>
          </cell>
          <cell r="F3584">
            <v>12</v>
          </cell>
          <cell r="G3584">
            <v>1993</v>
          </cell>
          <cell r="H3584">
            <v>200</v>
          </cell>
          <cell r="I3584">
            <v>2253018496</v>
          </cell>
        </row>
        <row r="3585">
          <cell r="A3585" t="str">
            <v>Austria</v>
          </cell>
          <cell r="B3585">
            <v>40</v>
          </cell>
          <cell r="C3585">
            <v>203</v>
          </cell>
          <cell r="D3585">
            <v>22</v>
          </cell>
          <cell r="E3585" t="str">
            <v>Taxes on production and imports, less Subsidies</v>
          </cell>
          <cell r="F3585">
            <v>12</v>
          </cell>
          <cell r="G3585">
            <v>1994</v>
          </cell>
          <cell r="H3585">
            <v>200</v>
          </cell>
          <cell r="I3585">
            <v>3342818788</v>
          </cell>
        </row>
        <row r="3586">
          <cell r="A3586" t="str">
            <v>Austria</v>
          </cell>
          <cell r="B3586">
            <v>40</v>
          </cell>
          <cell r="C3586">
            <v>203</v>
          </cell>
          <cell r="D3586">
            <v>22</v>
          </cell>
          <cell r="E3586" t="str">
            <v>Taxes on production and imports, less Subsidies</v>
          </cell>
          <cell r="F3586">
            <v>12</v>
          </cell>
          <cell r="G3586">
            <v>1995</v>
          </cell>
          <cell r="H3586">
            <v>200</v>
          </cell>
          <cell r="I3586">
            <v>3771356713</v>
          </cell>
        </row>
        <row r="3587">
          <cell r="A3587" t="str">
            <v>Austria</v>
          </cell>
          <cell r="B3587">
            <v>40</v>
          </cell>
          <cell r="C3587">
            <v>203</v>
          </cell>
          <cell r="D3587">
            <v>22</v>
          </cell>
          <cell r="E3587" t="str">
            <v>Taxes on production and imports, less Subsidies</v>
          </cell>
          <cell r="F3587">
            <v>12</v>
          </cell>
          <cell r="G3587">
            <v>1996</v>
          </cell>
          <cell r="H3587">
            <v>200</v>
          </cell>
          <cell r="I3587">
            <v>3738653979</v>
          </cell>
        </row>
        <row r="3588">
          <cell r="A3588" t="str">
            <v>Austria</v>
          </cell>
          <cell r="B3588">
            <v>40</v>
          </cell>
          <cell r="C3588">
            <v>203</v>
          </cell>
          <cell r="D3588">
            <v>22</v>
          </cell>
          <cell r="E3588" t="str">
            <v>Taxes on production and imports, less Subsidies</v>
          </cell>
          <cell r="F3588">
            <v>12</v>
          </cell>
          <cell r="G3588">
            <v>1997</v>
          </cell>
          <cell r="H3588">
            <v>200</v>
          </cell>
          <cell r="I3588">
            <v>3920772149</v>
          </cell>
        </row>
        <row r="3589">
          <cell r="A3589" t="str">
            <v>Austria</v>
          </cell>
          <cell r="B3589">
            <v>40</v>
          </cell>
          <cell r="C3589">
            <v>203</v>
          </cell>
          <cell r="D3589">
            <v>22</v>
          </cell>
          <cell r="E3589" t="str">
            <v>Taxes on production and imports, less Subsidies</v>
          </cell>
          <cell r="F3589">
            <v>12</v>
          </cell>
          <cell r="G3589">
            <v>1998</v>
          </cell>
          <cell r="H3589">
            <v>200</v>
          </cell>
          <cell r="I3589">
            <v>3625646000</v>
          </cell>
        </row>
        <row r="3590">
          <cell r="A3590" t="str">
            <v>Austria</v>
          </cell>
          <cell r="B3590">
            <v>40</v>
          </cell>
          <cell r="C3590">
            <v>203</v>
          </cell>
          <cell r="D3590">
            <v>22</v>
          </cell>
          <cell r="E3590" t="str">
            <v>Taxes on production and imports, less Subsidies</v>
          </cell>
          <cell r="F3590">
            <v>12</v>
          </cell>
          <cell r="G3590">
            <v>1999</v>
          </cell>
          <cell r="H3590">
            <v>200</v>
          </cell>
          <cell r="I3590">
            <v>3636831000</v>
          </cell>
        </row>
        <row r="3591">
          <cell r="A3591" t="str">
            <v>Austria</v>
          </cell>
          <cell r="B3591">
            <v>40</v>
          </cell>
          <cell r="C3591">
            <v>203</v>
          </cell>
          <cell r="D3591">
            <v>22</v>
          </cell>
          <cell r="E3591" t="str">
            <v>Taxes on production and imports, less Subsidies</v>
          </cell>
          <cell r="F3591">
            <v>12</v>
          </cell>
          <cell r="G3591">
            <v>2000</v>
          </cell>
          <cell r="H3591">
            <v>200</v>
          </cell>
          <cell r="I3591">
            <v>3857597000</v>
          </cell>
        </row>
        <row r="3592">
          <cell r="A3592" t="str">
            <v>Austria</v>
          </cell>
          <cell r="B3592">
            <v>40</v>
          </cell>
          <cell r="C3592">
            <v>203</v>
          </cell>
          <cell r="D3592">
            <v>22</v>
          </cell>
          <cell r="E3592" t="str">
            <v>Taxes on production and imports, less Subsidies</v>
          </cell>
          <cell r="F3592">
            <v>12</v>
          </cell>
          <cell r="G3592">
            <v>2001</v>
          </cell>
          <cell r="H3592">
            <v>200</v>
          </cell>
          <cell r="I3592">
            <v>4268284000</v>
          </cell>
        </row>
        <row r="3593">
          <cell r="A3593" t="str">
            <v>Austria</v>
          </cell>
          <cell r="B3593">
            <v>40</v>
          </cell>
          <cell r="C3593">
            <v>203</v>
          </cell>
          <cell r="D3593">
            <v>22</v>
          </cell>
          <cell r="E3593" t="str">
            <v>Taxes on production and imports, less Subsidies</v>
          </cell>
          <cell r="F3593">
            <v>12</v>
          </cell>
          <cell r="G3593">
            <v>2002</v>
          </cell>
          <cell r="H3593">
            <v>200</v>
          </cell>
          <cell r="I3593">
            <v>3867478000</v>
          </cell>
        </row>
        <row r="3594">
          <cell r="A3594" t="str">
            <v>Colombia</v>
          </cell>
          <cell r="B3594">
            <v>170</v>
          </cell>
          <cell r="C3594">
            <v>203</v>
          </cell>
          <cell r="D3594">
            <v>3</v>
          </cell>
          <cell r="E3594" t="str">
            <v>Equals: VALUE ADDED, GROSS, at basic prices</v>
          </cell>
          <cell r="F3594">
            <v>12</v>
          </cell>
          <cell r="G3594">
            <v>1970</v>
          </cell>
          <cell r="H3594">
            <v>20</v>
          </cell>
          <cell r="I3594">
            <v>133000000000</v>
          </cell>
        </row>
        <row r="3595">
          <cell r="A3595" t="str">
            <v>Colombia</v>
          </cell>
          <cell r="B3595">
            <v>170</v>
          </cell>
          <cell r="C3595">
            <v>203</v>
          </cell>
          <cell r="D3595">
            <v>3</v>
          </cell>
          <cell r="E3595" t="str">
            <v>Equals: VALUE ADDED, GROSS, at basic prices</v>
          </cell>
          <cell r="F3595">
            <v>12</v>
          </cell>
          <cell r="G3595">
            <v>1971</v>
          </cell>
          <cell r="H3595">
            <v>20</v>
          </cell>
          <cell r="I3595">
            <v>157000000000</v>
          </cell>
        </row>
        <row r="3596">
          <cell r="A3596" t="str">
            <v>Colombia</v>
          </cell>
          <cell r="B3596">
            <v>170</v>
          </cell>
          <cell r="C3596">
            <v>203</v>
          </cell>
          <cell r="D3596">
            <v>3</v>
          </cell>
          <cell r="E3596" t="str">
            <v>Equals: VALUE ADDED, GROSS, at basic prices</v>
          </cell>
          <cell r="F3596">
            <v>12</v>
          </cell>
          <cell r="G3596">
            <v>1972</v>
          </cell>
          <cell r="H3596">
            <v>20</v>
          </cell>
          <cell r="I3596">
            <v>191000000000</v>
          </cell>
        </row>
        <row r="3597">
          <cell r="A3597" t="str">
            <v>Colombia</v>
          </cell>
          <cell r="B3597">
            <v>170</v>
          </cell>
          <cell r="C3597">
            <v>203</v>
          </cell>
          <cell r="D3597">
            <v>3</v>
          </cell>
          <cell r="E3597" t="str">
            <v>Equals: VALUE ADDED, GROSS, at basic prices</v>
          </cell>
          <cell r="F3597">
            <v>12</v>
          </cell>
          <cell r="G3597">
            <v>1973</v>
          </cell>
          <cell r="H3597">
            <v>20</v>
          </cell>
          <cell r="I3597">
            <v>244000000000</v>
          </cell>
        </row>
        <row r="3598">
          <cell r="A3598" t="str">
            <v>Colombia</v>
          </cell>
          <cell r="B3598">
            <v>170</v>
          </cell>
          <cell r="C3598">
            <v>203</v>
          </cell>
          <cell r="D3598">
            <v>3</v>
          </cell>
          <cell r="E3598" t="str">
            <v>Equals: VALUE ADDED, GROSS, at basic prices</v>
          </cell>
          <cell r="F3598">
            <v>12</v>
          </cell>
          <cell r="G3598">
            <v>1974</v>
          </cell>
          <cell r="H3598">
            <v>20</v>
          </cell>
          <cell r="I3598">
            <v>324000000000</v>
          </cell>
        </row>
        <row r="3599">
          <cell r="A3599" t="str">
            <v>Colombia</v>
          </cell>
          <cell r="B3599">
            <v>170</v>
          </cell>
          <cell r="C3599">
            <v>203</v>
          </cell>
          <cell r="D3599">
            <v>3</v>
          </cell>
          <cell r="E3599" t="str">
            <v>Equals: VALUE ADDED, GROSS, at basic prices</v>
          </cell>
          <cell r="F3599">
            <v>12</v>
          </cell>
          <cell r="G3599">
            <v>1975</v>
          </cell>
          <cell r="H3599">
            <v>20</v>
          </cell>
          <cell r="I3599">
            <v>408000000000</v>
          </cell>
        </row>
        <row r="3600">
          <cell r="A3600" t="str">
            <v>Colombia</v>
          </cell>
          <cell r="B3600">
            <v>170</v>
          </cell>
          <cell r="C3600">
            <v>203</v>
          </cell>
          <cell r="D3600">
            <v>3</v>
          </cell>
          <cell r="E3600" t="str">
            <v>Equals: VALUE ADDED, GROSS, at basic prices</v>
          </cell>
          <cell r="F3600">
            <v>12</v>
          </cell>
          <cell r="G3600">
            <v>1976</v>
          </cell>
          <cell r="H3600">
            <v>20</v>
          </cell>
          <cell r="I3600">
            <v>535000000000</v>
          </cell>
        </row>
        <row r="3601">
          <cell r="A3601" t="str">
            <v>Colombia</v>
          </cell>
          <cell r="B3601">
            <v>170</v>
          </cell>
          <cell r="C3601">
            <v>203</v>
          </cell>
          <cell r="D3601">
            <v>3</v>
          </cell>
          <cell r="E3601" t="str">
            <v>Equals: VALUE ADDED, GROSS, at basic prices</v>
          </cell>
          <cell r="F3601">
            <v>12</v>
          </cell>
          <cell r="G3601">
            <v>1977</v>
          </cell>
          <cell r="H3601">
            <v>20</v>
          </cell>
          <cell r="I3601">
            <v>719000000000</v>
          </cell>
        </row>
        <row r="3602">
          <cell r="A3602" t="str">
            <v>Colombia</v>
          </cell>
          <cell r="B3602">
            <v>170</v>
          </cell>
          <cell r="C3602">
            <v>203</v>
          </cell>
          <cell r="D3602">
            <v>3</v>
          </cell>
          <cell r="E3602" t="str">
            <v>Equals: VALUE ADDED, GROSS, at basic prices</v>
          </cell>
          <cell r="F3602">
            <v>12</v>
          </cell>
          <cell r="G3602">
            <v>1978</v>
          </cell>
          <cell r="H3602">
            <v>20</v>
          </cell>
          <cell r="I3602">
            <v>912000000000</v>
          </cell>
        </row>
        <row r="3603">
          <cell r="A3603" t="str">
            <v>Colombia</v>
          </cell>
          <cell r="B3603">
            <v>170</v>
          </cell>
          <cell r="C3603">
            <v>203</v>
          </cell>
          <cell r="D3603">
            <v>3</v>
          </cell>
          <cell r="E3603" t="str">
            <v>Equals: VALUE ADDED, GROSS, at basic prices</v>
          </cell>
          <cell r="F3603">
            <v>12</v>
          </cell>
          <cell r="G3603">
            <v>1979</v>
          </cell>
          <cell r="H3603">
            <v>20</v>
          </cell>
          <cell r="I3603">
            <v>1189000000000</v>
          </cell>
        </row>
        <row r="3604">
          <cell r="A3604" t="str">
            <v>Colombia</v>
          </cell>
          <cell r="B3604">
            <v>170</v>
          </cell>
          <cell r="C3604">
            <v>203</v>
          </cell>
          <cell r="D3604">
            <v>3</v>
          </cell>
          <cell r="E3604" t="str">
            <v>Equals: VALUE ADDED, GROSS, at basic prices</v>
          </cell>
          <cell r="F3604">
            <v>12</v>
          </cell>
          <cell r="G3604">
            <v>1980</v>
          </cell>
          <cell r="H3604">
            <v>20</v>
          </cell>
          <cell r="I3604">
            <v>1576000000000</v>
          </cell>
        </row>
        <row r="3605">
          <cell r="A3605" t="str">
            <v>Colombia</v>
          </cell>
          <cell r="B3605">
            <v>170</v>
          </cell>
          <cell r="C3605">
            <v>203</v>
          </cell>
          <cell r="D3605">
            <v>3</v>
          </cell>
          <cell r="E3605" t="str">
            <v>Equals: VALUE ADDED, GROSS, at basic prices</v>
          </cell>
          <cell r="F3605">
            <v>12</v>
          </cell>
          <cell r="G3605">
            <v>1981</v>
          </cell>
          <cell r="H3605">
            <v>20</v>
          </cell>
          <cell r="I3605">
            <v>1986000000000</v>
          </cell>
        </row>
        <row r="3606">
          <cell r="A3606" t="str">
            <v>Colombia</v>
          </cell>
          <cell r="B3606">
            <v>170</v>
          </cell>
          <cell r="C3606">
            <v>203</v>
          </cell>
          <cell r="D3606">
            <v>3</v>
          </cell>
          <cell r="E3606" t="str">
            <v>Equals: VALUE ADDED, GROSS, at basic prices</v>
          </cell>
          <cell r="F3606">
            <v>12</v>
          </cell>
          <cell r="G3606">
            <v>1982</v>
          </cell>
          <cell r="H3606">
            <v>20</v>
          </cell>
          <cell r="I3606">
            <v>2506000000000</v>
          </cell>
        </row>
        <row r="3607">
          <cell r="A3607" t="str">
            <v>Colombia</v>
          </cell>
          <cell r="B3607">
            <v>170</v>
          </cell>
          <cell r="C3607">
            <v>203</v>
          </cell>
          <cell r="D3607">
            <v>3</v>
          </cell>
          <cell r="E3607" t="str">
            <v>Equals: VALUE ADDED, GROSS, at basic prices</v>
          </cell>
          <cell r="F3607">
            <v>12</v>
          </cell>
          <cell r="G3607">
            <v>1983</v>
          </cell>
          <cell r="H3607">
            <v>20</v>
          </cell>
          <cell r="I3607">
            <v>3085000000000</v>
          </cell>
        </row>
        <row r="3608">
          <cell r="A3608" t="str">
            <v>Colombia</v>
          </cell>
          <cell r="B3608">
            <v>170</v>
          </cell>
          <cell r="C3608">
            <v>203</v>
          </cell>
          <cell r="D3608">
            <v>3</v>
          </cell>
          <cell r="E3608" t="str">
            <v>Equals: VALUE ADDED, GROSS, at basic prices</v>
          </cell>
          <cell r="F3608">
            <v>12</v>
          </cell>
          <cell r="G3608">
            <v>1984</v>
          </cell>
          <cell r="H3608">
            <v>20</v>
          </cell>
          <cell r="I3608">
            <v>3876000000000</v>
          </cell>
        </row>
        <row r="3609">
          <cell r="A3609" t="str">
            <v>Colombia</v>
          </cell>
          <cell r="B3609">
            <v>170</v>
          </cell>
          <cell r="C3609">
            <v>203</v>
          </cell>
          <cell r="D3609">
            <v>3</v>
          </cell>
          <cell r="E3609" t="str">
            <v>Equals: VALUE ADDED, GROSS, at basic prices</v>
          </cell>
          <cell r="F3609">
            <v>12</v>
          </cell>
          <cell r="G3609">
            <v>1985</v>
          </cell>
          <cell r="H3609">
            <v>20</v>
          </cell>
          <cell r="I3609">
            <v>4953000000000</v>
          </cell>
        </row>
        <row r="3610">
          <cell r="A3610" t="str">
            <v>Colombia</v>
          </cell>
          <cell r="B3610">
            <v>170</v>
          </cell>
          <cell r="C3610">
            <v>203</v>
          </cell>
          <cell r="D3610">
            <v>3</v>
          </cell>
          <cell r="E3610" t="str">
            <v>Equals: VALUE ADDED, GROSS, at basic prices</v>
          </cell>
          <cell r="F3610">
            <v>12</v>
          </cell>
          <cell r="G3610">
            <v>1986</v>
          </cell>
          <cell r="H3610">
            <v>20</v>
          </cell>
          <cell r="I3610">
            <v>6736000000000</v>
          </cell>
        </row>
        <row r="3611">
          <cell r="A3611" t="str">
            <v>Colombia</v>
          </cell>
          <cell r="B3611">
            <v>170</v>
          </cell>
          <cell r="C3611">
            <v>203</v>
          </cell>
          <cell r="D3611">
            <v>3</v>
          </cell>
          <cell r="E3611" t="str">
            <v>Equals: VALUE ADDED, GROSS, at basic prices</v>
          </cell>
          <cell r="F3611">
            <v>12</v>
          </cell>
          <cell r="G3611">
            <v>1987</v>
          </cell>
          <cell r="H3611">
            <v>20</v>
          </cell>
          <cell r="I3611">
            <v>8743000000000</v>
          </cell>
        </row>
        <row r="3612">
          <cell r="A3612" t="str">
            <v>Colombia</v>
          </cell>
          <cell r="B3612">
            <v>170</v>
          </cell>
          <cell r="C3612">
            <v>203</v>
          </cell>
          <cell r="D3612">
            <v>3</v>
          </cell>
          <cell r="E3612" t="str">
            <v>Equals: VALUE ADDED, GROSS, at basic prices</v>
          </cell>
          <cell r="F3612">
            <v>12</v>
          </cell>
          <cell r="G3612">
            <v>1988</v>
          </cell>
          <cell r="H3612">
            <v>20</v>
          </cell>
          <cell r="I3612">
            <v>11679000000000</v>
          </cell>
        </row>
        <row r="3613">
          <cell r="A3613" t="str">
            <v>Colombia</v>
          </cell>
          <cell r="B3613">
            <v>170</v>
          </cell>
          <cell r="C3613">
            <v>203</v>
          </cell>
          <cell r="D3613">
            <v>3</v>
          </cell>
          <cell r="E3613" t="str">
            <v>Equals: VALUE ADDED, GROSS, at basic prices</v>
          </cell>
          <cell r="F3613">
            <v>12</v>
          </cell>
          <cell r="G3613">
            <v>1989</v>
          </cell>
          <cell r="H3613">
            <v>20</v>
          </cell>
          <cell r="I3613">
            <v>15091000000000</v>
          </cell>
        </row>
        <row r="3614">
          <cell r="A3614" t="str">
            <v>Colombia</v>
          </cell>
          <cell r="B3614">
            <v>170</v>
          </cell>
          <cell r="C3614">
            <v>203</v>
          </cell>
          <cell r="D3614">
            <v>3</v>
          </cell>
          <cell r="E3614" t="str">
            <v>Equals: VALUE ADDED, GROSS, at basic prices</v>
          </cell>
          <cell r="F3614">
            <v>12</v>
          </cell>
          <cell r="G3614">
            <v>1990</v>
          </cell>
          <cell r="H3614">
            <v>20</v>
          </cell>
          <cell r="I3614">
            <v>20265000000000</v>
          </cell>
        </row>
        <row r="3615">
          <cell r="A3615" t="str">
            <v>Colombia</v>
          </cell>
          <cell r="B3615">
            <v>170</v>
          </cell>
          <cell r="C3615">
            <v>203</v>
          </cell>
          <cell r="D3615">
            <v>3</v>
          </cell>
          <cell r="E3615" t="str">
            <v>Equals: VALUE ADDED, GROSS, at basic prices</v>
          </cell>
          <cell r="F3615">
            <v>12</v>
          </cell>
          <cell r="G3615">
            <v>1991</v>
          </cell>
          <cell r="H3615">
            <v>20</v>
          </cell>
          <cell r="I3615">
            <v>26497000000000</v>
          </cell>
        </row>
        <row r="3616">
          <cell r="A3616" t="str">
            <v>Colombia</v>
          </cell>
          <cell r="B3616">
            <v>170</v>
          </cell>
          <cell r="C3616">
            <v>203</v>
          </cell>
          <cell r="D3616">
            <v>3</v>
          </cell>
          <cell r="E3616" t="str">
            <v>Equals: VALUE ADDED, GROSS, at basic prices</v>
          </cell>
          <cell r="F3616">
            <v>12</v>
          </cell>
          <cell r="G3616">
            <v>1992</v>
          </cell>
          <cell r="H3616">
            <v>20</v>
          </cell>
          <cell r="I3616">
            <v>33962414000000</v>
          </cell>
        </row>
        <row r="3617">
          <cell r="A3617" t="str">
            <v>Colombia</v>
          </cell>
          <cell r="B3617">
            <v>170</v>
          </cell>
          <cell r="C3617">
            <v>203</v>
          </cell>
          <cell r="D3617">
            <v>3</v>
          </cell>
          <cell r="E3617" t="str">
            <v>Equals: VALUE ADDED, GROSS, at basic prices</v>
          </cell>
          <cell r="F3617">
            <v>12</v>
          </cell>
          <cell r="G3617">
            <v>1992</v>
          </cell>
          <cell r="H3617">
            <v>100</v>
          </cell>
          <cell r="I3617">
            <v>36280268000000</v>
          </cell>
        </row>
        <row r="3618">
          <cell r="A3618" t="str">
            <v>Colombia</v>
          </cell>
          <cell r="B3618">
            <v>170</v>
          </cell>
          <cell r="C3618">
            <v>203</v>
          </cell>
          <cell r="D3618">
            <v>3</v>
          </cell>
          <cell r="E3618" t="str">
            <v>Equals: VALUE ADDED, GROSS, at basic prices</v>
          </cell>
          <cell r="F3618">
            <v>12</v>
          </cell>
          <cell r="G3618">
            <v>1993</v>
          </cell>
          <cell r="H3618">
            <v>100</v>
          </cell>
          <cell r="I3618">
            <v>56930923000000</v>
          </cell>
        </row>
        <row r="3619">
          <cell r="A3619" t="str">
            <v>Colombia</v>
          </cell>
          <cell r="B3619">
            <v>170</v>
          </cell>
          <cell r="C3619">
            <v>203</v>
          </cell>
          <cell r="D3619">
            <v>3</v>
          </cell>
          <cell r="E3619" t="str">
            <v>Equals: VALUE ADDED, GROSS, at basic prices</v>
          </cell>
          <cell r="F3619">
            <v>12</v>
          </cell>
          <cell r="G3619">
            <v>1994</v>
          </cell>
          <cell r="H3619">
            <v>100</v>
          </cell>
          <cell r="I3619">
            <v>62305427000000</v>
          </cell>
        </row>
        <row r="3620">
          <cell r="A3620" t="str">
            <v>Colombia</v>
          </cell>
          <cell r="B3620">
            <v>170</v>
          </cell>
          <cell r="C3620">
            <v>203</v>
          </cell>
          <cell r="D3620">
            <v>3</v>
          </cell>
          <cell r="E3620" t="str">
            <v>Equals: VALUE ADDED, GROSS, at basic prices</v>
          </cell>
          <cell r="F3620">
            <v>12</v>
          </cell>
          <cell r="G3620">
            <v>1995</v>
          </cell>
          <cell r="H3620">
            <v>100</v>
          </cell>
          <cell r="I3620">
            <v>77447414000000</v>
          </cell>
        </row>
        <row r="3621">
          <cell r="A3621" t="str">
            <v>Colombia</v>
          </cell>
          <cell r="B3621">
            <v>170</v>
          </cell>
          <cell r="C3621">
            <v>203</v>
          </cell>
          <cell r="D3621">
            <v>3</v>
          </cell>
          <cell r="E3621" t="str">
            <v>Equals: VALUE ADDED, GROSS, at basic prices</v>
          </cell>
          <cell r="F3621">
            <v>12</v>
          </cell>
          <cell r="G3621">
            <v>1996</v>
          </cell>
          <cell r="H3621">
            <v>100</v>
          </cell>
          <cell r="I3621">
            <v>93047242000000</v>
          </cell>
        </row>
        <row r="3622">
          <cell r="A3622" t="str">
            <v>Colombia</v>
          </cell>
          <cell r="B3622">
            <v>170</v>
          </cell>
          <cell r="C3622">
            <v>203</v>
          </cell>
          <cell r="D3622">
            <v>3</v>
          </cell>
          <cell r="E3622" t="str">
            <v>Equals: VALUE ADDED, GROSS, at basic prices</v>
          </cell>
          <cell r="F3622">
            <v>12</v>
          </cell>
          <cell r="G3622">
            <v>1997</v>
          </cell>
          <cell r="H3622">
            <v>100</v>
          </cell>
          <cell r="I3622">
            <v>111919074000000</v>
          </cell>
        </row>
        <row r="3623">
          <cell r="A3623" t="str">
            <v>Colombia</v>
          </cell>
          <cell r="B3623">
            <v>170</v>
          </cell>
          <cell r="C3623">
            <v>203</v>
          </cell>
          <cell r="D3623">
            <v>3</v>
          </cell>
          <cell r="E3623" t="str">
            <v>Equals: VALUE ADDED, GROSS, at basic prices</v>
          </cell>
          <cell r="F3623">
            <v>12</v>
          </cell>
          <cell r="G3623">
            <v>1998</v>
          </cell>
          <cell r="H3623">
            <v>100</v>
          </cell>
          <cell r="I3623">
            <v>130367518000000</v>
          </cell>
        </row>
        <row r="3624">
          <cell r="A3624" t="str">
            <v>Colombia</v>
          </cell>
          <cell r="B3624">
            <v>170</v>
          </cell>
          <cell r="C3624">
            <v>203</v>
          </cell>
          <cell r="D3624">
            <v>3</v>
          </cell>
          <cell r="E3624" t="str">
            <v>Equals: VALUE ADDED, GROSS, at basic prices</v>
          </cell>
          <cell r="F3624">
            <v>12</v>
          </cell>
          <cell r="G3624">
            <v>1999</v>
          </cell>
          <cell r="H3624">
            <v>100</v>
          </cell>
          <cell r="I3624">
            <v>141143730000000</v>
          </cell>
        </row>
        <row r="3625">
          <cell r="A3625" t="str">
            <v>Colombia</v>
          </cell>
          <cell r="B3625">
            <v>170</v>
          </cell>
          <cell r="C3625">
            <v>203</v>
          </cell>
          <cell r="D3625">
            <v>3</v>
          </cell>
          <cell r="E3625" t="str">
            <v>Equals: VALUE ADDED, GROSS, at basic prices</v>
          </cell>
          <cell r="F3625">
            <v>12</v>
          </cell>
          <cell r="G3625">
            <v>2000</v>
          </cell>
          <cell r="H3625">
            <v>100</v>
          </cell>
          <cell r="I3625">
            <v>160685939000000</v>
          </cell>
        </row>
        <row r="3626">
          <cell r="A3626" t="str">
            <v>Colombia</v>
          </cell>
          <cell r="B3626">
            <v>170</v>
          </cell>
          <cell r="C3626">
            <v>203</v>
          </cell>
          <cell r="D3626">
            <v>3</v>
          </cell>
          <cell r="E3626" t="str">
            <v>Equals: VALUE ADDED, GROSS, at basic prices</v>
          </cell>
          <cell r="F3626">
            <v>12</v>
          </cell>
          <cell r="G3626">
            <v>2001</v>
          </cell>
          <cell r="H3626">
            <v>100</v>
          </cell>
          <cell r="I3626">
            <v>172111621000000</v>
          </cell>
        </row>
        <row r="3627">
          <cell r="A3627" t="str">
            <v>Colombia</v>
          </cell>
          <cell r="B3627">
            <v>170</v>
          </cell>
          <cell r="C3627">
            <v>203</v>
          </cell>
          <cell r="D3627">
            <v>4</v>
          </cell>
          <cell r="E3627" t="str">
            <v>Compensation of employees</v>
          </cell>
          <cell r="F3627">
            <v>12</v>
          </cell>
          <cell r="G3627">
            <v>1970</v>
          </cell>
          <cell r="H3627">
            <v>20</v>
          </cell>
          <cell r="I3627">
            <v>52000000000</v>
          </cell>
        </row>
        <row r="3628">
          <cell r="A3628" t="str">
            <v>Colombia</v>
          </cell>
          <cell r="B3628">
            <v>170</v>
          </cell>
          <cell r="C3628">
            <v>203</v>
          </cell>
          <cell r="D3628">
            <v>4</v>
          </cell>
          <cell r="E3628" t="str">
            <v>Compensation of employees</v>
          </cell>
          <cell r="F3628">
            <v>12</v>
          </cell>
          <cell r="G3628">
            <v>1971</v>
          </cell>
          <cell r="H3628">
            <v>20</v>
          </cell>
          <cell r="I3628">
            <v>62000000000</v>
          </cell>
        </row>
        <row r="3629">
          <cell r="A3629" t="str">
            <v>Colombia</v>
          </cell>
          <cell r="B3629">
            <v>170</v>
          </cell>
          <cell r="C3629">
            <v>203</v>
          </cell>
          <cell r="D3629">
            <v>4</v>
          </cell>
          <cell r="E3629" t="str">
            <v>Compensation of employees</v>
          </cell>
          <cell r="F3629">
            <v>12</v>
          </cell>
          <cell r="G3629">
            <v>1972</v>
          </cell>
          <cell r="H3629">
            <v>20</v>
          </cell>
          <cell r="I3629">
            <v>74000000000</v>
          </cell>
        </row>
        <row r="3630">
          <cell r="A3630" t="str">
            <v>Colombia</v>
          </cell>
          <cell r="B3630">
            <v>170</v>
          </cell>
          <cell r="C3630">
            <v>203</v>
          </cell>
          <cell r="D3630">
            <v>4</v>
          </cell>
          <cell r="E3630" t="str">
            <v>Compensation of employees</v>
          </cell>
          <cell r="F3630">
            <v>12</v>
          </cell>
          <cell r="G3630">
            <v>1973</v>
          </cell>
          <cell r="H3630">
            <v>20</v>
          </cell>
          <cell r="I3630">
            <v>92000000000</v>
          </cell>
        </row>
        <row r="3631">
          <cell r="A3631" t="str">
            <v>Colombia</v>
          </cell>
          <cell r="B3631">
            <v>170</v>
          </cell>
          <cell r="C3631">
            <v>203</v>
          </cell>
          <cell r="D3631">
            <v>4</v>
          </cell>
          <cell r="E3631" t="str">
            <v>Compensation of employees</v>
          </cell>
          <cell r="F3631">
            <v>12</v>
          </cell>
          <cell r="G3631">
            <v>1974</v>
          </cell>
          <cell r="H3631">
            <v>20</v>
          </cell>
          <cell r="I3631">
            <v>120000000000</v>
          </cell>
        </row>
        <row r="3632">
          <cell r="A3632" t="str">
            <v>Colombia</v>
          </cell>
          <cell r="B3632">
            <v>170</v>
          </cell>
          <cell r="C3632">
            <v>203</v>
          </cell>
          <cell r="D3632">
            <v>4</v>
          </cell>
          <cell r="E3632" t="str">
            <v>Compensation of employees</v>
          </cell>
          <cell r="F3632">
            <v>12</v>
          </cell>
          <cell r="G3632">
            <v>1975</v>
          </cell>
          <cell r="H3632">
            <v>20</v>
          </cell>
          <cell r="I3632">
            <v>153000000000</v>
          </cell>
        </row>
        <row r="3633">
          <cell r="A3633" t="str">
            <v>Colombia</v>
          </cell>
          <cell r="B3633">
            <v>170</v>
          </cell>
          <cell r="C3633">
            <v>203</v>
          </cell>
          <cell r="D3633">
            <v>4</v>
          </cell>
          <cell r="E3633" t="str">
            <v>Compensation of employees</v>
          </cell>
          <cell r="F3633">
            <v>12</v>
          </cell>
          <cell r="G3633">
            <v>1976</v>
          </cell>
          <cell r="H3633">
            <v>20</v>
          </cell>
          <cell r="I3633">
            <v>198000000000</v>
          </cell>
        </row>
        <row r="3634">
          <cell r="A3634" t="str">
            <v>Colombia</v>
          </cell>
          <cell r="B3634">
            <v>170</v>
          </cell>
          <cell r="C3634">
            <v>203</v>
          </cell>
          <cell r="D3634">
            <v>4</v>
          </cell>
          <cell r="E3634" t="str">
            <v>Compensation of employees</v>
          </cell>
          <cell r="F3634">
            <v>12</v>
          </cell>
          <cell r="G3634">
            <v>1977</v>
          </cell>
          <cell r="H3634">
            <v>20</v>
          </cell>
          <cell r="I3634">
            <v>266000000000</v>
          </cell>
        </row>
        <row r="3635">
          <cell r="A3635" t="str">
            <v>Colombia</v>
          </cell>
          <cell r="B3635">
            <v>170</v>
          </cell>
          <cell r="C3635">
            <v>203</v>
          </cell>
          <cell r="D3635">
            <v>4</v>
          </cell>
          <cell r="E3635" t="str">
            <v>Compensation of employees</v>
          </cell>
          <cell r="F3635">
            <v>12</v>
          </cell>
          <cell r="G3635">
            <v>1978</v>
          </cell>
          <cell r="H3635">
            <v>20</v>
          </cell>
          <cell r="I3635">
            <v>361000000000</v>
          </cell>
        </row>
        <row r="3636">
          <cell r="A3636" t="str">
            <v>Colombia</v>
          </cell>
          <cell r="B3636">
            <v>170</v>
          </cell>
          <cell r="C3636">
            <v>203</v>
          </cell>
          <cell r="D3636">
            <v>4</v>
          </cell>
          <cell r="E3636" t="str">
            <v>Compensation of employees</v>
          </cell>
          <cell r="F3636">
            <v>12</v>
          </cell>
          <cell r="G3636">
            <v>1979</v>
          </cell>
          <cell r="H3636">
            <v>20</v>
          </cell>
          <cell r="I3636">
            <v>487000000000</v>
          </cell>
        </row>
        <row r="3637">
          <cell r="A3637" t="str">
            <v>Colombia</v>
          </cell>
          <cell r="B3637">
            <v>170</v>
          </cell>
          <cell r="C3637">
            <v>203</v>
          </cell>
          <cell r="D3637">
            <v>4</v>
          </cell>
          <cell r="E3637" t="str">
            <v>Compensation of employees</v>
          </cell>
          <cell r="F3637">
            <v>12</v>
          </cell>
          <cell r="G3637">
            <v>1980</v>
          </cell>
          <cell r="H3637">
            <v>20</v>
          </cell>
          <cell r="I3637">
            <v>657000000000</v>
          </cell>
        </row>
        <row r="3638">
          <cell r="A3638" t="str">
            <v>Colombia</v>
          </cell>
          <cell r="B3638">
            <v>170</v>
          </cell>
          <cell r="C3638">
            <v>203</v>
          </cell>
          <cell r="D3638">
            <v>4</v>
          </cell>
          <cell r="E3638" t="str">
            <v>Compensation of employees</v>
          </cell>
          <cell r="F3638">
            <v>12</v>
          </cell>
          <cell r="G3638">
            <v>1981</v>
          </cell>
          <cell r="H3638">
            <v>20</v>
          </cell>
          <cell r="I3638">
            <v>848000000000</v>
          </cell>
        </row>
        <row r="3639">
          <cell r="A3639" t="str">
            <v>Colombia</v>
          </cell>
          <cell r="B3639">
            <v>170</v>
          </cell>
          <cell r="C3639">
            <v>203</v>
          </cell>
          <cell r="D3639">
            <v>4</v>
          </cell>
          <cell r="E3639" t="str">
            <v>Compensation of employees</v>
          </cell>
          <cell r="F3639">
            <v>12</v>
          </cell>
          <cell r="G3639">
            <v>1982</v>
          </cell>
          <cell r="H3639">
            <v>20</v>
          </cell>
          <cell r="I3639">
            <v>1077000000000</v>
          </cell>
        </row>
        <row r="3640">
          <cell r="A3640" t="str">
            <v>Colombia</v>
          </cell>
          <cell r="B3640">
            <v>170</v>
          </cell>
          <cell r="C3640">
            <v>203</v>
          </cell>
          <cell r="D3640">
            <v>4</v>
          </cell>
          <cell r="E3640" t="str">
            <v>Compensation of employees</v>
          </cell>
          <cell r="F3640">
            <v>12</v>
          </cell>
          <cell r="G3640">
            <v>1983</v>
          </cell>
          <cell r="H3640">
            <v>20</v>
          </cell>
          <cell r="I3640">
            <v>1340000000000</v>
          </cell>
        </row>
        <row r="3641">
          <cell r="A3641" t="str">
            <v>Colombia</v>
          </cell>
          <cell r="B3641">
            <v>170</v>
          </cell>
          <cell r="C3641">
            <v>203</v>
          </cell>
          <cell r="D3641">
            <v>4</v>
          </cell>
          <cell r="E3641" t="str">
            <v>Compensation of employees</v>
          </cell>
          <cell r="F3641">
            <v>12</v>
          </cell>
          <cell r="G3641">
            <v>1984</v>
          </cell>
          <cell r="H3641">
            <v>20</v>
          </cell>
          <cell r="I3641">
            <v>1643000000000</v>
          </cell>
        </row>
        <row r="3642">
          <cell r="A3642" t="str">
            <v>Colombia</v>
          </cell>
          <cell r="B3642">
            <v>170</v>
          </cell>
          <cell r="C3642">
            <v>203</v>
          </cell>
          <cell r="D3642">
            <v>4</v>
          </cell>
          <cell r="E3642" t="str">
            <v>Compensation of employees</v>
          </cell>
          <cell r="F3642">
            <v>12</v>
          </cell>
          <cell r="G3642">
            <v>1985</v>
          </cell>
          <cell r="H3642">
            <v>20</v>
          </cell>
          <cell r="I3642">
            <v>2017000000000</v>
          </cell>
        </row>
        <row r="3643">
          <cell r="A3643" t="str">
            <v>Colombia</v>
          </cell>
          <cell r="B3643">
            <v>170</v>
          </cell>
          <cell r="C3643">
            <v>203</v>
          </cell>
          <cell r="D3643">
            <v>4</v>
          </cell>
          <cell r="E3643" t="str">
            <v>Compensation of employees</v>
          </cell>
          <cell r="F3643">
            <v>12</v>
          </cell>
          <cell r="G3643">
            <v>1986</v>
          </cell>
          <cell r="H3643">
            <v>20</v>
          </cell>
          <cell r="I3643">
            <v>2575000000000</v>
          </cell>
        </row>
        <row r="3644">
          <cell r="A3644" t="str">
            <v>Colombia</v>
          </cell>
          <cell r="B3644">
            <v>170</v>
          </cell>
          <cell r="C3644">
            <v>203</v>
          </cell>
          <cell r="D3644">
            <v>4</v>
          </cell>
          <cell r="E3644" t="str">
            <v>Compensation of employees</v>
          </cell>
          <cell r="F3644">
            <v>12</v>
          </cell>
          <cell r="G3644">
            <v>1987</v>
          </cell>
          <cell r="H3644">
            <v>20</v>
          </cell>
          <cell r="I3644">
            <v>3351000000000</v>
          </cell>
        </row>
        <row r="3645">
          <cell r="A3645" t="str">
            <v>Colombia</v>
          </cell>
          <cell r="B3645">
            <v>170</v>
          </cell>
          <cell r="C3645">
            <v>203</v>
          </cell>
          <cell r="D3645">
            <v>4</v>
          </cell>
          <cell r="E3645" t="str">
            <v>Compensation of employees</v>
          </cell>
          <cell r="F3645">
            <v>12</v>
          </cell>
          <cell r="G3645">
            <v>1988</v>
          </cell>
          <cell r="H3645">
            <v>20</v>
          </cell>
          <cell r="I3645">
            <v>4466000000000</v>
          </cell>
        </row>
        <row r="3646">
          <cell r="A3646" t="str">
            <v>Colombia</v>
          </cell>
          <cell r="B3646">
            <v>170</v>
          </cell>
          <cell r="C3646">
            <v>203</v>
          </cell>
          <cell r="D3646">
            <v>4</v>
          </cell>
          <cell r="E3646" t="str">
            <v>Compensation of employees</v>
          </cell>
          <cell r="F3646">
            <v>12</v>
          </cell>
          <cell r="G3646">
            <v>1989</v>
          </cell>
          <cell r="H3646">
            <v>20</v>
          </cell>
          <cell r="I3646">
            <v>5788000000000</v>
          </cell>
        </row>
        <row r="3647">
          <cell r="A3647" t="str">
            <v>Colombia</v>
          </cell>
          <cell r="B3647">
            <v>170</v>
          </cell>
          <cell r="C3647">
            <v>203</v>
          </cell>
          <cell r="D3647">
            <v>4</v>
          </cell>
          <cell r="E3647" t="str">
            <v>Compensation of employees</v>
          </cell>
          <cell r="F3647">
            <v>12</v>
          </cell>
          <cell r="G3647">
            <v>1990</v>
          </cell>
          <cell r="H3647">
            <v>20</v>
          </cell>
          <cell r="I3647">
            <v>7555000000000</v>
          </cell>
        </row>
        <row r="3648">
          <cell r="A3648" t="str">
            <v>Colombia</v>
          </cell>
          <cell r="B3648">
            <v>170</v>
          </cell>
          <cell r="C3648">
            <v>203</v>
          </cell>
          <cell r="D3648">
            <v>4</v>
          </cell>
          <cell r="E3648" t="str">
            <v>Compensation of employees</v>
          </cell>
          <cell r="F3648">
            <v>12</v>
          </cell>
          <cell r="G3648">
            <v>1991</v>
          </cell>
          <cell r="H3648">
            <v>20</v>
          </cell>
          <cell r="I3648">
            <v>9847000000000</v>
          </cell>
        </row>
        <row r="3649">
          <cell r="A3649" t="str">
            <v>Colombia</v>
          </cell>
          <cell r="B3649">
            <v>170</v>
          </cell>
          <cell r="C3649">
            <v>203</v>
          </cell>
          <cell r="D3649">
            <v>4</v>
          </cell>
          <cell r="E3649" t="str">
            <v>Compensation of employees</v>
          </cell>
          <cell r="F3649">
            <v>12</v>
          </cell>
          <cell r="G3649">
            <v>1992</v>
          </cell>
          <cell r="H3649">
            <v>20</v>
          </cell>
          <cell r="I3649">
            <v>13483328000000</v>
          </cell>
        </row>
        <row r="3650">
          <cell r="A3650" t="str">
            <v>Colombia</v>
          </cell>
          <cell r="B3650">
            <v>170</v>
          </cell>
          <cell r="C3650">
            <v>203</v>
          </cell>
          <cell r="D3650">
            <v>4</v>
          </cell>
          <cell r="E3650" t="str">
            <v>Compensation of employees</v>
          </cell>
          <cell r="F3650">
            <v>12</v>
          </cell>
          <cell r="G3650">
            <v>1992</v>
          </cell>
          <cell r="H3650">
            <v>100</v>
          </cell>
          <cell r="I3650">
            <v>14456487000000</v>
          </cell>
        </row>
        <row r="3651">
          <cell r="A3651" t="str">
            <v>Colombia</v>
          </cell>
          <cell r="B3651">
            <v>170</v>
          </cell>
          <cell r="C3651">
            <v>203</v>
          </cell>
          <cell r="D3651">
            <v>4</v>
          </cell>
          <cell r="E3651" t="str">
            <v>Compensation of employees</v>
          </cell>
          <cell r="F3651">
            <v>12</v>
          </cell>
          <cell r="G3651">
            <v>1993</v>
          </cell>
          <cell r="H3651">
            <v>100</v>
          </cell>
          <cell r="I3651">
            <v>18503875000000</v>
          </cell>
        </row>
        <row r="3652">
          <cell r="A3652" t="str">
            <v>Colombia</v>
          </cell>
          <cell r="B3652">
            <v>170</v>
          </cell>
          <cell r="C3652">
            <v>203</v>
          </cell>
          <cell r="D3652">
            <v>4</v>
          </cell>
          <cell r="E3652" t="str">
            <v>Compensation of employees</v>
          </cell>
          <cell r="F3652">
            <v>12</v>
          </cell>
          <cell r="G3652">
            <v>1994</v>
          </cell>
          <cell r="H3652">
            <v>100</v>
          </cell>
          <cell r="I3652">
            <v>23780889000000</v>
          </cell>
        </row>
        <row r="3653">
          <cell r="A3653" t="str">
            <v>Colombia</v>
          </cell>
          <cell r="B3653">
            <v>170</v>
          </cell>
          <cell r="C3653">
            <v>203</v>
          </cell>
          <cell r="D3653">
            <v>4</v>
          </cell>
          <cell r="E3653" t="str">
            <v>Compensation of employees</v>
          </cell>
          <cell r="F3653">
            <v>12</v>
          </cell>
          <cell r="G3653">
            <v>1995</v>
          </cell>
          <cell r="H3653">
            <v>100</v>
          </cell>
          <cell r="I3653">
            <v>29558594000000</v>
          </cell>
        </row>
        <row r="3654">
          <cell r="A3654" t="str">
            <v>Colombia</v>
          </cell>
          <cell r="B3654">
            <v>170</v>
          </cell>
          <cell r="C3654">
            <v>203</v>
          </cell>
          <cell r="D3654">
            <v>4</v>
          </cell>
          <cell r="E3654" t="str">
            <v>Compensation of employees</v>
          </cell>
          <cell r="F3654">
            <v>12</v>
          </cell>
          <cell r="G3654">
            <v>1996</v>
          </cell>
          <cell r="H3654">
            <v>100</v>
          </cell>
          <cell r="I3654">
            <v>37367054000000</v>
          </cell>
        </row>
        <row r="3655">
          <cell r="A3655" t="str">
            <v>Colombia</v>
          </cell>
          <cell r="B3655">
            <v>170</v>
          </cell>
          <cell r="C3655">
            <v>203</v>
          </cell>
          <cell r="D3655">
            <v>4</v>
          </cell>
          <cell r="E3655" t="str">
            <v>Compensation of employees</v>
          </cell>
          <cell r="F3655">
            <v>12</v>
          </cell>
          <cell r="G3655">
            <v>1997</v>
          </cell>
          <cell r="H3655">
            <v>100</v>
          </cell>
          <cell r="I3655">
            <v>45299536000000</v>
          </cell>
        </row>
        <row r="3656">
          <cell r="A3656" t="str">
            <v>Colombia</v>
          </cell>
          <cell r="B3656">
            <v>170</v>
          </cell>
          <cell r="C3656">
            <v>203</v>
          </cell>
          <cell r="D3656">
            <v>4</v>
          </cell>
          <cell r="E3656" t="str">
            <v>Compensation of employees</v>
          </cell>
          <cell r="F3656">
            <v>12</v>
          </cell>
          <cell r="G3656">
            <v>1998</v>
          </cell>
          <cell r="H3656">
            <v>100</v>
          </cell>
          <cell r="I3656">
            <v>52610322000000</v>
          </cell>
        </row>
        <row r="3657">
          <cell r="A3657" t="str">
            <v>Colombia</v>
          </cell>
          <cell r="B3657">
            <v>170</v>
          </cell>
          <cell r="C3657">
            <v>203</v>
          </cell>
          <cell r="D3657">
            <v>4</v>
          </cell>
          <cell r="E3657" t="str">
            <v>Compensation of employees</v>
          </cell>
          <cell r="F3657">
            <v>12</v>
          </cell>
          <cell r="G3657">
            <v>1999</v>
          </cell>
          <cell r="H3657">
            <v>100</v>
          </cell>
          <cell r="I3657">
            <v>56482120000000</v>
          </cell>
        </row>
        <row r="3658">
          <cell r="A3658" t="str">
            <v>Colombia</v>
          </cell>
          <cell r="B3658">
            <v>170</v>
          </cell>
          <cell r="C3658">
            <v>203</v>
          </cell>
          <cell r="D3658">
            <v>4</v>
          </cell>
          <cell r="E3658" t="str">
            <v>Compensation of employees</v>
          </cell>
          <cell r="F3658">
            <v>12</v>
          </cell>
          <cell r="G3658">
            <v>2000</v>
          </cell>
          <cell r="H3658">
            <v>100</v>
          </cell>
          <cell r="I3658">
            <v>62330292000000</v>
          </cell>
        </row>
        <row r="3659">
          <cell r="A3659" t="str">
            <v>Colombia</v>
          </cell>
          <cell r="B3659">
            <v>170</v>
          </cell>
          <cell r="C3659">
            <v>203</v>
          </cell>
          <cell r="D3659">
            <v>4</v>
          </cell>
          <cell r="E3659" t="str">
            <v>Compensation of employees</v>
          </cell>
          <cell r="F3659">
            <v>12</v>
          </cell>
          <cell r="G3659">
            <v>2001</v>
          </cell>
          <cell r="H3659">
            <v>100</v>
          </cell>
          <cell r="I3659">
            <v>66289483000000</v>
          </cell>
        </row>
        <row r="3660">
          <cell r="A3660" t="str">
            <v>Colombia</v>
          </cell>
          <cell r="B3660">
            <v>170</v>
          </cell>
          <cell r="C3660">
            <v>203</v>
          </cell>
          <cell r="D3660">
            <v>11</v>
          </cell>
          <cell r="E3660" t="str">
            <v>OPERATING SURPLUS, GROSS</v>
          </cell>
          <cell r="F3660">
            <v>12</v>
          </cell>
          <cell r="G3660">
            <v>1970</v>
          </cell>
          <cell r="H3660">
            <v>20</v>
          </cell>
          <cell r="I3660">
            <v>74000000000</v>
          </cell>
        </row>
        <row r="3661">
          <cell r="A3661" t="str">
            <v>Colombia</v>
          </cell>
          <cell r="B3661">
            <v>170</v>
          </cell>
          <cell r="C3661">
            <v>203</v>
          </cell>
          <cell r="D3661">
            <v>11</v>
          </cell>
          <cell r="E3661" t="str">
            <v>OPERATING SURPLUS, GROSS</v>
          </cell>
          <cell r="F3661">
            <v>12</v>
          </cell>
          <cell r="G3661">
            <v>1971</v>
          </cell>
          <cell r="H3661">
            <v>20</v>
          </cell>
          <cell r="I3661">
            <v>87000000000</v>
          </cell>
        </row>
        <row r="3662">
          <cell r="A3662" t="str">
            <v>Colombia</v>
          </cell>
          <cell r="B3662">
            <v>170</v>
          </cell>
          <cell r="C3662">
            <v>203</v>
          </cell>
          <cell r="D3662">
            <v>11</v>
          </cell>
          <cell r="E3662" t="str">
            <v>OPERATING SURPLUS, GROSS</v>
          </cell>
          <cell r="F3662">
            <v>12</v>
          </cell>
          <cell r="G3662">
            <v>1972</v>
          </cell>
          <cell r="H3662">
            <v>20</v>
          </cell>
          <cell r="I3662">
            <v>107000000000</v>
          </cell>
        </row>
        <row r="3663">
          <cell r="A3663" t="str">
            <v>Colombia</v>
          </cell>
          <cell r="B3663">
            <v>170</v>
          </cell>
          <cell r="C3663">
            <v>203</v>
          </cell>
          <cell r="D3663">
            <v>11</v>
          </cell>
          <cell r="E3663" t="str">
            <v>OPERATING SURPLUS, GROSS</v>
          </cell>
          <cell r="F3663">
            <v>12</v>
          </cell>
          <cell r="G3663">
            <v>1973</v>
          </cell>
          <cell r="H3663">
            <v>20</v>
          </cell>
          <cell r="I3663">
            <v>141000000000</v>
          </cell>
        </row>
        <row r="3664">
          <cell r="A3664" t="str">
            <v>Colombia</v>
          </cell>
          <cell r="B3664">
            <v>170</v>
          </cell>
          <cell r="C3664">
            <v>203</v>
          </cell>
          <cell r="D3664">
            <v>11</v>
          </cell>
          <cell r="E3664" t="str">
            <v>OPERATING SURPLUS, GROSS</v>
          </cell>
          <cell r="F3664">
            <v>12</v>
          </cell>
          <cell r="G3664">
            <v>1974</v>
          </cell>
          <cell r="H3664">
            <v>20</v>
          </cell>
          <cell r="I3664">
            <v>188000000000</v>
          </cell>
        </row>
        <row r="3665">
          <cell r="A3665" t="str">
            <v>Colombia</v>
          </cell>
          <cell r="B3665">
            <v>170</v>
          </cell>
          <cell r="C3665">
            <v>203</v>
          </cell>
          <cell r="D3665">
            <v>11</v>
          </cell>
          <cell r="E3665" t="str">
            <v>OPERATING SURPLUS, GROSS</v>
          </cell>
          <cell r="F3665">
            <v>12</v>
          </cell>
          <cell r="G3665">
            <v>1975</v>
          </cell>
          <cell r="H3665">
            <v>20</v>
          </cell>
          <cell r="I3665">
            <v>231000000000</v>
          </cell>
        </row>
        <row r="3666">
          <cell r="A3666" t="str">
            <v>Colombia</v>
          </cell>
          <cell r="B3666">
            <v>170</v>
          </cell>
          <cell r="C3666">
            <v>203</v>
          </cell>
          <cell r="D3666">
            <v>11</v>
          </cell>
          <cell r="E3666" t="str">
            <v>OPERATING SURPLUS, GROSS</v>
          </cell>
          <cell r="F3666">
            <v>12</v>
          </cell>
          <cell r="G3666">
            <v>1976</v>
          </cell>
          <cell r="H3666">
            <v>20</v>
          </cell>
          <cell r="I3666">
            <v>299000000000</v>
          </cell>
        </row>
        <row r="3667">
          <cell r="A3667" t="str">
            <v>Colombia</v>
          </cell>
          <cell r="B3667">
            <v>170</v>
          </cell>
          <cell r="C3667">
            <v>203</v>
          </cell>
          <cell r="D3667">
            <v>11</v>
          </cell>
          <cell r="E3667" t="str">
            <v>OPERATING SURPLUS, GROSS</v>
          </cell>
          <cell r="F3667">
            <v>12</v>
          </cell>
          <cell r="G3667">
            <v>1977</v>
          </cell>
          <cell r="H3667">
            <v>20</v>
          </cell>
          <cell r="I3667">
            <v>393000000000</v>
          </cell>
        </row>
        <row r="3668">
          <cell r="A3668" t="str">
            <v>Colombia</v>
          </cell>
          <cell r="B3668">
            <v>170</v>
          </cell>
          <cell r="C3668">
            <v>203</v>
          </cell>
          <cell r="D3668">
            <v>11</v>
          </cell>
          <cell r="E3668" t="str">
            <v>OPERATING SURPLUS, GROSS</v>
          </cell>
          <cell r="F3668">
            <v>12</v>
          </cell>
          <cell r="G3668">
            <v>1978</v>
          </cell>
          <cell r="H3668">
            <v>20</v>
          </cell>
          <cell r="I3668">
            <v>472000000000</v>
          </cell>
        </row>
        <row r="3669">
          <cell r="A3669" t="str">
            <v>Colombia</v>
          </cell>
          <cell r="B3669">
            <v>170</v>
          </cell>
          <cell r="C3669">
            <v>203</v>
          </cell>
          <cell r="D3669">
            <v>11</v>
          </cell>
          <cell r="E3669" t="str">
            <v>OPERATING SURPLUS, GROSS</v>
          </cell>
          <cell r="F3669">
            <v>12</v>
          </cell>
          <cell r="G3669">
            <v>1979</v>
          </cell>
          <cell r="H3669">
            <v>20</v>
          </cell>
          <cell r="I3669">
            <v>608000000000</v>
          </cell>
        </row>
        <row r="3670">
          <cell r="A3670" t="str">
            <v>Colombia</v>
          </cell>
          <cell r="B3670">
            <v>170</v>
          </cell>
          <cell r="C3670">
            <v>203</v>
          </cell>
          <cell r="D3670">
            <v>11</v>
          </cell>
          <cell r="E3670" t="str">
            <v>OPERATING SURPLUS, GROSS</v>
          </cell>
          <cell r="F3670">
            <v>12</v>
          </cell>
          <cell r="G3670">
            <v>1980</v>
          </cell>
          <cell r="H3670">
            <v>20</v>
          </cell>
          <cell r="I3670">
            <v>804000000000</v>
          </cell>
        </row>
        <row r="3671">
          <cell r="A3671" t="str">
            <v>Colombia</v>
          </cell>
          <cell r="B3671">
            <v>170</v>
          </cell>
          <cell r="C3671">
            <v>203</v>
          </cell>
          <cell r="D3671">
            <v>11</v>
          </cell>
          <cell r="E3671" t="str">
            <v>OPERATING SURPLUS, GROSS</v>
          </cell>
          <cell r="F3671">
            <v>12</v>
          </cell>
          <cell r="G3671">
            <v>1981</v>
          </cell>
          <cell r="H3671">
            <v>20</v>
          </cell>
          <cell r="I3671">
            <v>1025000000000</v>
          </cell>
        </row>
        <row r="3672">
          <cell r="A3672" t="str">
            <v>Colombia</v>
          </cell>
          <cell r="B3672">
            <v>170</v>
          </cell>
          <cell r="C3672">
            <v>203</v>
          </cell>
          <cell r="D3672">
            <v>11</v>
          </cell>
          <cell r="E3672" t="str">
            <v>OPERATING SURPLUS, GROSS</v>
          </cell>
          <cell r="F3672">
            <v>12</v>
          </cell>
          <cell r="G3672">
            <v>1982</v>
          </cell>
          <cell r="H3672">
            <v>20</v>
          </cell>
          <cell r="I3672">
            <v>1285000000000</v>
          </cell>
        </row>
        <row r="3673">
          <cell r="A3673" t="str">
            <v>Colombia</v>
          </cell>
          <cell r="B3673">
            <v>170</v>
          </cell>
          <cell r="C3673">
            <v>203</v>
          </cell>
          <cell r="D3673">
            <v>11</v>
          </cell>
          <cell r="E3673" t="str">
            <v>OPERATING SURPLUS, GROSS</v>
          </cell>
          <cell r="F3673">
            <v>12</v>
          </cell>
          <cell r="G3673">
            <v>1983</v>
          </cell>
          <cell r="H3673">
            <v>20</v>
          </cell>
          <cell r="I3673">
            <v>1566000000000</v>
          </cell>
        </row>
        <row r="3674">
          <cell r="A3674" t="str">
            <v>Colombia</v>
          </cell>
          <cell r="B3674">
            <v>170</v>
          </cell>
          <cell r="C3674">
            <v>203</v>
          </cell>
          <cell r="D3674">
            <v>11</v>
          </cell>
          <cell r="E3674" t="str">
            <v>OPERATING SURPLUS, GROSS</v>
          </cell>
          <cell r="F3674">
            <v>12</v>
          </cell>
          <cell r="G3674">
            <v>1984</v>
          </cell>
          <cell r="H3674">
            <v>20</v>
          </cell>
          <cell r="I3674">
            <v>1566000000000</v>
          </cell>
        </row>
        <row r="3675">
          <cell r="A3675" t="str">
            <v>Colombia</v>
          </cell>
          <cell r="B3675">
            <v>170</v>
          </cell>
          <cell r="C3675">
            <v>203</v>
          </cell>
          <cell r="D3675">
            <v>11</v>
          </cell>
          <cell r="E3675" t="str">
            <v>OPERATING SURPLUS, GROSS</v>
          </cell>
          <cell r="F3675">
            <v>12</v>
          </cell>
          <cell r="G3675">
            <v>1985</v>
          </cell>
          <cell r="H3675">
            <v>20</v>
          </cell>
          <cell r="I3675">
            <v>2551000000000</v>
          </cell>
        </row>
        <row r="3676">
          <cell r="A3676" t="str">
            <v>Colombia</v>
          </cell>
          <cell r="B3676">
            <v>170</v>
          </cell>
          <cell r="C3676">
            <v>203</v>
          </cell>
          <cell r="D3676">
            <v>11</v>
          </cell>
          <cell r="E3676" t="str">
            <v>OPERATING SURPLUS, GROSS</v>
          </cell>
          <cell r="F3676">
            <v>12</v>
          </cell>
          <cell r="G3676">
            <v>1986</v>
          </cell>
          <cell r="H3676">
            <v>20</v>
          </cell>
          <cell r="I3676">
            <v>3570000000000</v>
          </cell>
        </row>
        <row r="3677">
          <cell r="A3677" t="str">
            <v>Colombia</v>
          </cell>
          <cell r="B3677">
            <v>170</v>
          </cell>
          <cell r="C3677">
            <v>203</v>
          </cell>
          <cell r="D3677">
            <v>11</v>
          </cell>
          <cell r="E3677" t="str">
            <v>OPERATING SURPLUS, GROSS</v>
          </cell>
          <cell r="F3677">
            <v>12</v>
          </cell>
          <cell r="G3677">
            <v>1987</v>
          </cell>
          <cell r="H3677">
            <v>20</v>
          </cell>
          <cell r="I3677">
            <v>4667000000000</v>
          </cell>
        </row>
        <row r="3678">
          <cell r="A3678" t="str">
            <v>Colombia</v>
          </cell>
          <cell r="B3678">
            <v>170</v>
          </cell>
          <cell r="C3678">
            <v>203</v>
          </cell>
          <cell r="D3678">
            <v>11</v>
          </cell>
          <cell r="E3678" t="str">
            <v>OPERATING SURPLUS, GROSS</v>
          </cell>
          <cell r="F3678">
            <v>12</v>
          </cell>
          <cell r="G3678">
            <v>1988</v>
          </cell>
          <cell r="H3678">
            <v>20</v>
          </cell>
          <cell r="I3678">
            <v>6380000000000</v>
          </cell>
        </row>
        <row r="3679">
          <cell r="A3679" t="str">
            <v>Colombia</v>
          </cell>
          <cell r="B3679">
            <v>170</v>
          </cell>
          <cell r="C3679">
            <v>203</v>
          </cell>
          <cell r="D3679">
            <v>11</v>
          </cell>
          <cell r="E3679" t="str">
            <v>OPERATING SURPLUS, GROSS</v>
          </cell>
          <cell r="F3679">
            <v>12</v>
          </cell>
          <cell r="G3679">
            <v>1989</v>
          </cell>
          <cell r="H3679">
            <v>20</v>
          </cell>
          <cell r="I3679">
            <v>8216000000000</v>
          </cell>
        </row>
        <row r="3680">
          <cell r="A3680" t="str">
            <v>Colombia</v>
          </cell>
          <cell r="B3680">
            <v>170</v>
          </cell>
          <cell r="C3680">
            <v>203</v>
          </cell>
          <cell r="D3680">
            <v>11</v>
          </cell>
          <cell r="E3680" t="str">
            <v>OPERATING SURPLUS, GROSS</v>
          </cell>
          <cell r="F3680">
            <v>12</v>
          </cell>
          <cell r="G3680">
            <v>1990</v>
          </cell>
          <cell r="H3680">
            <v>20</v>
          </cell>
          <cell r="I3680">
            <v>11339000000000</v>
          </cell>
        </row>
        <row r="3681">
          <cell r="A3681" t="str">
            <v>Colombia</v>
          </cell>
          <cell r="B3681">
            <v>170</v>
          </cell>
          <cell r="C3681">
            <v>203</v>
          </cell>
          <cell r="D3681">
            <v>11</v>
          </cell>
          <cell r="E3681" t="str">
            <v>OPERATING SURPLUS, GROSS</v>
          </cell>
          <cell r="F3681">
            <v>12</v>
          </cell>
          <cell r="G3681">
            <v>1991</v>
          </cell>
          <cell r="H3681">
            <v>20</v>
          </cell>
          <cell r="I3681">
            <v>14785000000000</v>
          </cell>
        </row>
        <row r="3682">
          <cell r="A3682" t="str">
            <v>Colombia</v>
          </cell>
          <cell r="B3682">
            <v>170</v>
          </cell>
          <cell r="C3682">
            <v>203</v>
          </cell>
          <cell r="D3682">
            <v>11</v>
          </cell>
          <cell r="E3682" t="str">
            <v>OPERATING SURPLUS, GROSS</v>
          </cell>
          <cell r="F3682">
            <v>12</v>
          </cell>
          <cell r="G3682">
            <v>1992</v>
          </cell>
          <cell r="H3682">
            <v>20</v>
          </cell>
          <cell r="I3682">
            <v>17917100000000</v>
          </cell>
        </row>
        <row r="3683">
          <cell r="A3683" t="str">
            <v>Colombia</v>
          </cell>
          <cell r="B3683">
            <v>170</v>
          </cell>
          <cell r="C3683">
            <v>203</v>
          </cell>
          <cell r="D3683">
            <v>11</v>
          </cell>
          <cell r="E3683" t="str">
            <v>OPERATING SURPLUS, GROSS</v>
          </cell>
          <cell r="F3683">
            <v>12</v>
          </cell>
          <cell r="G3683">
            <v>1992</v>
          </cell>
          <cell r="H3683">
            <v>100</v>
          </cell>
          <cell r="I3683">
            <v>11461001000000</v>
          </cell>
        </row>
        <row r="3684">
          <cell r="A3684" t="str">
            <v>Colombia</v>
          </cell>
          <cell r="B3684">
            <v>170</v>
          </cell>
          <cell r="C3684">
            <v>203</v>
          </cell>
          <cell r="D3684">
            <v>11</v>
          </cell>
          <cell r="E3684" t="str">
            <v>OPERATING SURPLUS, GROSS</v>
          </cell>
          <cell r="F3684">
            <v>12</v>
          </cell>
          <cell r="G3684">
            <v>1993</v>
          </cell>
          <cell r="H3684">
            <v>100</v>
          </cell>
          <cell r="I3684">
            <v>15225061000000</v>
          </cell>
        </row>
        <row r="3685">
          <cell r="A3685" t="str">
            <v>Colombia</v>
          </cell>
          <cell r="B3685">
            <v>170</v>
          </cell>
          <cell r="C3685">
            <v>203</v>
          </cell>
          <cell r="D3685">
            <v>11</v>
          </cell>
          <cell r="E3685" t="str">
            <v>OPERATING SURPLUS, GROSS</v>
          </cell>
          <cell r="F3685">
            <v>12</v>
          </cell>
          <cell r="G3685">
            <v>1994</v>
          </cell>
          <cell r="H3685">
            <v>100</v>
          </cell>
          <cell r="I3685">
            <v>18721894000000</v>
          </cell>
        </row>
        <row r="3686">
          <cell r="A3686" t="str">
            <v>Colombia</v>
          </cell>
          <cell r="B3686">
            <v>170</v>
          </cell>
          <cell r="C3686">
            <v>203</v>
          </cell>
          <cell r="D3686">
            <v>11</v>
          </cell>
          <cell r="E3686" t="str">
            <v>OPERATING SURPLUS, GROSS</v>
          </cell>
          <cell r="F3686">
            <v>12</v>
          </cell>
          <cell r="G3686">
            <v>1995</v>
          </cell>
          <cell r="H3686">
            <v>100</v>
          </cell>
          <cell r="I3686">
            <v>24145375000000</v>
          </cell>
        </row>
        <row r="3687">
          <cell r="A3687" t="str">
            <v>Colombia</v>
          </cell>
          <cell r="B3687">
            <v>170</v>
          </cell>
          <cell r="C3687">
            <v>203</v>
          </cell>
          <cell r="D3687">
            <v>11</v>
          </cell>
          <cell r="E3687" t="str">
            <v>OPERATING SURPLUS, GROSS</v>
          </cell>
          <cell r="F3687">
            <v>12</v>
          </cell>
          <cell r="G3687">
            <v>1996</v>
          </cell>
          <cell r="H3687">
            <v>100</v>
          </cell>
          <cell r="I3687">
            <v>29344280000000</v>
          </cell>
        </row>
        <row r="3688">
          <cell r="A3688" t="str">
            <v>Colombia</v>
          </cell>
          <cell r="B3688">
            <v>170</v>
          </cell>
          <cell r="C3688">
            <v>203</v>
          </cell>
          <cell r="D3688">
            <v>11</v>
          </cell>
          <cell r="E3688" t="str">
            <v>OPERATING SURPLUS, GROSS</v>
          </cell>
          <cell r="F3688">
            <v>12</v>
          </cell>
          <cell r="G3688">
            <v>1997</v>
          </cell>
          <cell r="H3688">
            <v>100</v>
          </cell>
          <cell r="I3688">
            <v>35514053000000</v>
          </cell>
        </row>
        <row r="3689">
          <cell r="A3689" t="str">
            <v>Colombia</v>
          </cell>
          <cell r="B3689">
            <v>170</v>
          </cell>
          <cell r="C3689">
            <v>203</v>
          </cell>
          <cell r="D3689">
            <v>11</v>
          </cell>
          <cell r="E3689" t="str">
            <v>OPERATING SURPLUS, GROSS</v>
          </cell>
          <cell r="F3689">
            <v>12</v>
          </cell>
          <cell r="G3689">
            <v>1998</v>
          </cell>
          <cell r="H3689">
            <v>100</v>
          </cell>
          <cell r="I3689">
            <v>41256908000000</v>
          </cell>
        </row>
        <row r="3690">
          <cell r="A3690" t="str">
            <v>Colombia</v>
          </cell>
          <cell r="B3690">
            <v>170</v>
          </cell>
          <cell r="C3690">
            <v>203</v>
          </cell>
          <cell r="D3690">
            <v>11</v>
          </cell>
          <cell r="E3690" t="str">
            <v>OPERATING SURPLUS, GROSS</v>
          </cell>
          <cell r="F3690">
            <v>12</v>
          </cell>
          <cell r="G3690">
            <v>1999</v>
          </cell>
          <cell r="H3690">
            <v>100</v>
          </cell>
          <cell r="I3690">
            <v>45520618000000</v>
          </cell>
        </row>
        <row r="3691">
          <cell r="A3691" t="str">
            <v>Colombia</v>
          </cell>
          <cell r="B3691">
            <v>170</v>
          </cell>
          <cell r="C3691">
            <v>203</v>
          </cell>
          <cell r="D3691">
            <v>11</v>
          </cell>
          <cell r="E3691" t="str">
            <v>OPERATING SURPLUS, GROSS</v>
          </cell>
          <cell r="F3691">
            <v>12</v>
          </cell>
          <cell r="G3691">
            <v>2000</v>
          </cell>
          <cell r="H3691">
            <v>100</v>
          </cell>
          <cell r="I3691">
            <v>54341990000000</v>
          </cell>
        </row>
        <row r="3692">
          <cell r="A3692" t="str">
            <v>Colombia</v>
          </cell>
          <cell r="B3692">
            <v>170</v>
          </cell>
          <cell r="C3692">
            <v>203</v>
          </cell>
          <cell r="D3692">
            <v>11</v>
          </cell>
          <cell r="E3692" t="str">
            <v>OPERATING SURPLUS, GROSS</v>
          </cell>
          <cell r="F3692">
            <v>12</v>
          </cell>
          <cell r="G3692">
            <v>2001</v>
          </cell>
          <cell r="H3692">
            <v>100</v>
          </cell>
          <cell r="I3692">
            <v>57477050000000</v>
          </cell>
        </row>
        <row r="3693">
          <cell r="A3693" t="str">
            <v>Colombia</v>
          </cell>
          <cell r="B3693">
            <v>170</v>
          </cell>
          <cell r="C3693">
            <v>203</v>
          </cell>
          <cell r="D3693">
            <v>12</v>
          </cell>
          <cell r="E3693" t="str">
            <v>MIXED INCOME, GROSS</v>
          </cell>
          <cell r="F3693">
            <v>12</v>
          </cell>
          <cell r="G3693">
            <v>1992</v>
          </cell>
          <cell r="H3693">
            <v>100</v>
          </cell>
          <cell r="I3693">
            <v>9909893000000</v>
          </cell>
        </row>
        <row r="3694">
          <cell r="A3694" t="str">
            <v>Colombia</v>
          </cell>
          <cell r="B3694">
            <v>170</v>
          </cell>
          <cell r="C3694">
            <v>203</v>
          </cell>
          <cell r="D3694">
            <v>12</v>
          </cell>
          <cell r="E3694" t="str">
            <v>MIXED INCOME, GROSS</v>
          </cell>
          <cell r="F3694">
            <v>12</v>
          </cell>
          <cell r="G3694">
            <v>1993</v>
          </cell>
          <cell r="H3694">
            <v>100</v>
          </cell>
          <cell r="I3694">
            <v>12641478000000</v>
          </cell>
        </row>
        <row r="3695">
          <cell r="A3695" t="str">
            <v>Colombia</v>
          </cell>
          <cell r="B3695">
            <v>170</v>
          </cell>
          <cell r="C3695">
            <v>203</v>
          </cell>
          <cell r="D3695">
            <v>12</v>
          </cell>
          <cell r="E3695" t="str">
            <v>MIXED INCOME, GROSS</v>
          </cell>
          <cell r="F3695">
            <v>12</v>
          </cell>
          <cell r="G3695">
            <v>1994</v>
          </cell>
          <cell r="H3695">
            <v>100</v>
          </cell>
          <cell r="I3695">
            <v>18875355000000</v>
          </cell>
        </row>
        <row r="3696">
          <cell r="A3696" t="str">
            <v>Colombia</v>
          </cell>
          <cell r="B3696">
            <v>170</v>
          </cell>
          <cell r="C3696">
            <v>203</v>
          </cell>
          <cell r="D3696">
            <v>12</v>
          </cell>
          <cell r="E3696" t="str">
            <v>MIXED INCOME, GROSS</v>
          </cell>
          <cell r="F3696">
            <v>12</v>
          </cell>
          <cell r="G3696">
            <v>1995</v>
          </cell>
          <cell r="H3696">
            <v>100</v>
          </cell>
          <cell r="I3696">
            <v>22657970000000</v>
          </cell>
        </row>
        <row r="3697">
          <cell r="A3697" t="str">
            <v>Colombia</v>
          </cell>
          <cell r="B3697">
            <v>170</v>
          </cell>
          <cell r="C3697">
            <v>203</v>
          </cell>
          <cell r="D3697">
            <v>12</v>
          </cell>
          <cell r="E3697" t="str">
            <v>MIXED INCOME, GROSS</v>
          </cell>
          <cell r="F3697">
            <v>12</v>
          </cell>
          <cell r="G3697">
            <v>1996</v>
          </cell>
          <cell r="H3697">
            <v>100</v>
          </cell>
          <cell r="I3697">
            <v>24906313000000</v>
          </cell>
        </row>
        <row r="3698">
          <cell r="A3698" t="str">
            <v>Colombia</v>
          </cell>
          <cell r="B3698">
            <v>170</v>
          </cell>
          <cell r="C3698">
            <v>203</v>
          </cell>
          <cell r="D3698">
            <v>12</v>
          </cell>
          <cell r="E3698" t="str">
            <v>MIXED INCOME, GROSS</v>
          </cell>
          <cell r="F3698">
            <v>12</v>
          </cell>
          <cell r="G3698">
            <v>1997</v>
          </cell>
          <cell r="H3698">
            <v>100</v>
          </cell>
          <cell r="I3698">
            <v>28958232000000</v>
          </cell>
        </row>
        <row r="3699">
          <cell r="A3699" t="str">
            <v>Colombia</v>
          </cell>
          <cell r="B3699">
            <v>170</v>
          </cell>
          <cell r="C3699">
            <v>203</v>
          </cell>
          <cell r="D3699">
            <v>12</v>
          </cell>
          <cell r="E3699" t="str">
            <v>MIXED INCOME, GROSS</v>
          </cell>
          <cell r="F3699">
            <v>12</v>
          </cell>
          <cell r="G3699">
            <v>1998</v>
          </cell>
          <cell r="H3699">
            <v>100</v>
          </cell>
          <cell r="I3699">
            <v>34586288000000</v>
          </cell>
        </row>
        <row r="3700">
          <cell r="A3700" t="str">
            <v>Colombia</v>
          </cell>
          <cell r="B3700">
            <v>170</v>
          </cell>
          <cell r="C3700">
            <v>203</v>
          </cell>
          <cell r="D3700">
            <v>12</v>
          </cell>
          <cell r="E3700" t="str">
            <v>MIXED INCOME, GROSS</v>
          </cell>
          <cell r="F3700">
            <v>12</v>
          </cell>
          <cell r="G3700">
            <v>1999</v>
          </cell>
          <cell r="H3700">
            <v>100</v>
          </cell>
          <cell r="I3700">
            <v>36150607000000</v>
          </cell>
        </row>
        <row r="3701">
          <cell r="A3701" t="str">
            <v>Colombia</v>
          </cell>
          <cell r="B3701">
            <v>170</v>
          </cell>
          <cell r="C3701">
            <v>203</v>
          </cell>
          <cell r="D3701">
            <v>12</v>
          </cell>
          <cell r="E3701" t="str">
            <v>MIXED INCOME, GROSS</v>
          </cell>
          <cell r="F3701">
            <v>12</v>
          </cell>
          <cell r="G3701">
            <v>2000</v>
          </cell>
          <cell r="H3701">
            <v>100</v>
          </cell>
          <cell r="I3701">
            <v>41031131000000</v>
          </cell>
        </row>
        <row r="3702">
          <cell r="A3702" t="str">
            <v>Colombia</v>
          </cell>
          <cell r="B3702">
            <v>170</v>
          </cell>
          <cell r="C3702">
            <v>203</v>
          </cell>
          <cell r="D3702">
            <v>12</v>
          </cell>
          <cell r="E3702" t="str">
            <v>MIXED INCOME, GROSS</v>
          </cell>
          <cell r="F3702">
            <v>12</v>
          </cell>
          <cell r="G3702">
            <v>2001</v>
          </cell>
          <cell r="H3702">
            <v>100</v>
          </cell>
          <cell r="I3702">
            <v>44745450000000</v>
          </cell>
        </row>
        <row r="3703">
          <cell r="A3703" t="str">
            <v>Bangladesh</v>
          </cell>
          <cell r="B3703">
            <v>50</v>
          </cell>
          <cell r="C3703">
            <v>203</v>
          </cell>
          <cell r="D3703">
            <v>3</v>
          </cell>
          <cell r="E3703" t="str">
            <v>Equals: VALUE ADDED, GROSS, at basic prices</v>
          </cell>
          <cell r="F3703">
            <v>12</v>
          </cell>
          <cell r="G3703">
            <v>1991</v>
          </cell>
          <cell r="H3703">
            <v>100</v>
          </cell>
          <cell r="I3703">
            <v>1155009000000</v>
          </cell>
        </row>
        <row r="3704">
          <cell r="A3704" t="str">
            <v>Bangladesh</v>
          </cell>
          <cell r="B3704">
            <v>50</v>
          </cell>
          <cell r="C3704">
            <v>203</v>
          </cell>
          <cell r="D3704">
            <v>3</v>
          </cell>
          <cell r="E3704" t="str">
            <v>Equals: VALUE ADDED, GROSS, at basic prices</v>
          </cell>
          <cell r="F3704">
            <v>12</v>
          </cell>
          <cell r="G3704">
            <v>1992</v>
          </cell>
          <cell r="H3704">
            <v>100</v>
          </cell>
          <cell r="I3704">
            <v>1207309000000</v>
          </cell>
        </row>
        <row r="3705">
          <cell r="A3705" t="str">
            <v>Bangladesh</v>
          </cell>
          <cell r="B3705">
            <v>50</v>
          </cell>
          <cell r="C3705">
            <v>203</v>
          </cell>
          <cell r="D3705">
            <v>3</v>
          </cell>
          <cell r="E3705" t="str">
            <v>Equals: VALUE ADDED, GROSS, at basic prices</v>
          </cell>
          <cell r="F3705">
            <v>12</v>
          </cell>
          <cell r="G3705">
            <v>1993</v>
          </cell>
          <cell r="H3705">
            <v>100</v>
          </cell>
          <cell r="I3705">
            <v>1306448000000</v>
          </cell>
        </row>
        <row r="3706">
          <cell r="A3706" t="str">
            <v>Bangladesh</v>
          </cell>
          <cell r="B3706">
            <v>50</v>
          </cell>
          <cell r="C3706">
            <v>203</v>
          </cell>
          <cell r="D3706">
            <v>3</v>
          </cell>
          <cell r="E3706" t="str">
            <v>Equals: VALUE ADDED, GROSS, at basic prices</v>
          </cell>
          <cell r="F3706">
            <v>12</v>
          </cell>
          <cell r="G3706">
            <v>1994</v>
          </cell>
          <cell r="H3706">
            <v>100</v>
          </cell>
          <cell r="I3706">
            <v>1464380000000</v>
          </cell>
        </row>
        <row r="3707">
          <cell r="A3707" t="str">
            <v>Bangladesh</v>
          </cell>
          <cell r="B3707">
            <v>50</v>
          </cell>
          <cell r="C3707">
            <v>203</v>
          </cell>
          <cell r="D3707">
            <v>3</v>
          </cell>
          <cell r="E3707" t="str">
            <v>Equals: VALUE ADDED, GROSS, at basic prices</v>
          </cell>
          <cell r="F3707">
            <v>12</v>
          </cell>
          <cell r="G3707">
            <v>1995</v>
          </cell>
          <cell r="H3707">
            <v>100</v>
          </cell>
          <cell r="I3707">
            <v>1596360000000</v>
          </cell>
        </row>
        <row r="3708">
          <cell r="A3708" t="str">
            <v>Bangladesh</v>
          </cell>
          <cell r="B3708">
            <v>50</v>
          </cell>
          <cell r="C3708">
            <v>203</v>
          </cell>
          <cell r="D3708">
            <v>3</v>
          </cell>
          <cell r="E3708" t="str">
            <v>Equals: VALUE ADDED, GROSS, at basic prices</v>
          </cell>
          <cell r="F3708">
            <v>12</v>
          </cell>
          <cell r="G3708">
            <v>1996</v>
          </cell>
          <cell r="H3708">
            <v>100</v>
          </cell>
          <cell r="I3708">
            <v>1733328000000</v>
          </cell>
        </row>
        <row r="3709">
          <cell r="A3709" t="str">
            <v>Bangladesh</v>
          </cell>
          <cell r="B3709">
            <v>50</v>
          </cell>
          <cell r="C3709">
            <v>203</v>
          </cell>
          <cell r="D3709">
            <v>3</v>
          </cell>
          <cell r="E3709" t="str">
            <v>Equals: VALUE ADDED, GROSS, at basic prices</v>
          </cell>
          <cell r="F3709">
            <v>12</v>
          </cell>
          <cell r="G3709">
            <v>1997</v>
          </cell>
          <cell r="H3709">
            <v>100</v>
          </cell>
          <cell r="I3709">
            <v>1925917000000</v>
          </cell>
        </row>
        <row r="3710">
          <cell r="A3710" t="str">
            <v>Bangladesh</v>
          </cell>
          <cell r="B3710">
            <v>50</v>
          </cell>
          <cell r="C3710">
            <v>203</v>
          </cell>
          <cell r="D3710">
            <v>3</v>
          </cell>
          <cell r="E3710" t="str">
            <v>Equals: VALUE ADDED, GROSS, at basic prices</v>
          </cell>
          <cell r="F3710">
            <v>12</v>
          </cell>
          <cell r="G3710">
            <v>1998</v>
          </cell>
          <cell r="H3710">
            <v>100</v>
          </cell>
          <cell r="I3710">
            <v>2119211000000</v>
          </cell>
        </row>
        <row r="3711">
          <cell r="A3711" t="str">
            <v>Bangladesh</v>
          </cell>
          <cell r="B3711">
            <v>50</v>
          </cell>
          <cell r="C3711">
            <v>203</v>
          </cell>
          <cell r="D3711">
            <v>3</v>
          </cell>
          <cell r="E3711" t="str">
            <v>Equals: VALUE ADDED, GROSS, at basic prices</v>
          </cell>
          <cell r="F3711">
            <v>12</v>
          </cell>
          <cell r="G3711">
            <v>1999</v>
          </cell>
          <cell r="H3711">
            <v>100</v>
          </cell>
          <cell r="I3711">
            <v>2287605000000</v>
          </cell>
        </row>
        <row r="3712">
          <cell r="A3712" t="str">
            <v>Bangladesh</v>
          </cell>
          <cell r="B3712">
            <v>50</v>
          </cell>
          <cell r="C3712">
            <v>203</v>
          </cell>
          <cell r="D3712">
            <v>3</v>
          </cell>
          <cell r="E3712" t="str">
            <v>Equals: VALUE ADDED, GROSS, at basic prices</v>
          </cell>
          <cell r="F3712">
            <v>12</v>
          </cell>
          <cell r="G3712">
            <v>2000</v>
          </cell>
          <cell r="H3712">
            <v>100</v>
          </cell>
          <cell r="I3712">
            <v>2449992000000</v>
          </cell>
        </row>
        <row r="3713">
          <cell r="A3713" t="str">
            <v>Bangladesh</v>
          </cell>
          <cell r="B3713">
            <v>50</v>
          </cell>
          <cell r="C3713">
            <v>203</v>
          </cell>
          <cell r="D3713">
            <v>3</v>
          </cell>
          <cell r="E3713" t="str">
            <v>Equals: VALUE ADDED, GROSS, at basic prices</v>
          </cell>
          <cell r="F3713">
            <v>12</v>
          </cell>
          <cell r="G3713">
            <v>2001</v>
          </cell>
          <cell r="H3713">
            <v>100</v>
          </cell>
          <cell r="I3713">
            <v>2635253000000</v>
          </cell>
        </row>
        <row r="3714">
          <cell r="A3714" t="str">
            <v>Bangladesh</v>
          </cell>
          <cell r="B3714">
            <v>50</v>
          </cell>
          <cell r="C3714">
            <v>203</v>
          </cell>
          <cell r="D3714">
            <v>3</v>
          </cell>
          <cell r="E3714" t="str">
            <v>Equals: VALUE ADDED, GROSS, at basic prices</v>
          </cell>
          <cell r="F3714">
            <v>12</v>
          </cell>
          <cell r="G3714">
            <v>2002</v>
          </cell>
          <cell r="H3714">
            <v>100</v>
          </cell>
          <cell r="I3714">
            <v>2898729000000</v>
          </cell>
        </row>
        <row r="3715">
          <cell r="A3715" t="str">
            <v>Colombia</v>
          </cell>
          <cell r="B3715">
            <v>170</v>
          </cell>
          <cell r="C3715">
            <v>203</v>
          </cell>
          <cell r="D3715">
            <v>22</v>
          </cell>
          <cell r="E3715" t="str">
            <v>Taxes on production and imports, less Subsidies</v>
          </cell>
          <cell r="F3715">
            <v>12</v>
          </cell>
          <cell r="G3715">
            <v>1989</v>
          </cell>
          <cell r="H3715">
            <v>20</v>
          </cell>
          <cell r="I3715">
            <v>1086000000000</v>
          </cell>
        </row>
        <row r="3716">
          <cell r="A3716" t="str">
            <v>Colombia</v>
          </cell>
          <cell r="B3716">
            <v>170</v>
          </cell>
          <cell r="C3716">
            <v>203</v>
          </cell>
          <cell r="D3716">
            <v>22</v>
          </cell>
          <cell r="E3716" t="str">
            <v>Taxes on production and imports, less Subsidies</v>
          </cell>
          <cell r="F3716">
            <v>12</v>
          </cell>
          <cell r="G3716">
            <v>1990</v>
          </cell>
          <cell r="H3716">
            <v>20</v>
          </cell>
          <cell r="I3716">
            <v>1371000000000</v>
          </cell>
        </row>
        <row r="3717">
          <cell r="A3717" t="str">
            <v>Colombia</v>
          </cell>
          <cell r="B3717">
            <v>170</v>
          </cell>
          <cell r="C3717">
            <v>203</v>
          </cell>
          <cell r="D3717">
            <v>22</v>
          </cell>
          <cell r="E3717" t="str">
            <v>Taxes on production and imports, less Subsidies</v>
          </cell>
          <cell r="F3717">
            <v>12</v>
          </cell>
          <cell r="G3717">
            <v>1991</v>
          </cell>
          <cell r="H3717">
            <v>20</v>
          </cell>
          <cell r="I3717">
            <v>1865000000000</v>
          </cell>
        </row>
        <row r="3718">
          <cell r="A3718" t="str">
            <v>Colombia</v>
          </cell>
          <cell r="B3718">
            <v>170</v>
          </cell>
          <cell r="C3718">
            <v>203</v>
          </cell>
          <cell r="D3718">
            <v>22</v>
          </cell>
          <cell r="E3718" t="str">
            <v>Taxes on production and imports, less Subsidies</v>
          </cell>
          <cell r="F3718">
            <v>12</v>
          </cell>
          <cell r="G3718">
            <v>1992</v>
          </cell>
          <cell r="H3718">
            <v>20</v>
          </cell>
          <cell r="I3718">
            <v>2561954000000</v>
          </cell>
        </row>
        <row r="3719">
          <cell r="A3719" t="str">
            <v>Colombia</v>
          </cell>
          <cell r="B3719">
            <v>170</v>
          </cell>
          <cell r="C3719">
            <v>203</v>
          </cell>
          <cell r="D3719">
            <v>22</v>
          </cell>
          <cell r="E3719" t="str">
            <v>Taxes on production and imports, less Subsidies</v>
          </cell>
          <cell r="F3719">
            <v>12</v>
          </cell>
          <cell r="G3719">
            <v>1992</v>
          </cell>
          <cell r="H3719">
            <v>100</v>
          </cell>
          <cell r="I3719">
            <v>452887000000</v>
          </cell>
        </row>
        <row r="3720">
          <cell r="A3720" t="str">
            <v>Colombia</v>
          </cell>
          <cell r="B3720">
            <v>170</v>
          </cell>
          <cell r="C3720">
            <v>203</v>
          </cell>
          <cell r="D3720">
            <v>22</v>
          </cell>
          <cell r="E3720" t="str">
            <v>Taxes on production and imports, less Subsidies</v>
          </cell>
          <cell r="F3720">
            <v>12</v>
          </cell>
          <cell r="G3720">
            <v>1993</v>
          </cell>
          <cell r="H3720">
            <v>100</v>
          </cell>
          <cell r="I3720">
            <v>460806000000</v>
          </cell>
        </row>
        <row r="3721">
          <cell r="A3721" t="str">
            <v>Colombia</v>
          </cell>
          <cell r="B3721">
            <v>170</v>
          </cell>
          <cell r="C3721">
            <v>203</v>
          </cell>
          <cell r="D3721">
            <v>22</v>
          </cell>
          <cell r="E3721" t="str">
            <v>Taxes on production and imports, less Subsidies</v>
          </cell>
          <cell r="F3721">
            <v>12</v>
          </cell>
          <cell r="G3721">
            <v>1994</v>
          </cell>
          <cell r="H3721">
            <v>100</v>
          </cell>
          <cell r="I3721">
            <v>927289000000</v>
          </cell>
        </row>
        <row r="3722">
          <cell r="A3722" t="str">
            <v>Colombia</v>
          </cell>
          <cell r="B3722">
            <v>170</v>
          </cell>
          <cell r="C3722">
            <v>203</v>
          </cell>
          <cell r="D3722">
            <v>22</v>
          </cell>
          <cell r="E3722" t="str">
            <v>Taxes on production and imports, less Subsidies</v>
          </cell>
          <cell r="F3722">
            <v>12</v>
          </cell>
          <cell r="G3722">
            <v>1995</v>
          </cell>
          <cell r="H3722">
            <v>100</v>
          </cell>
          <cell r="I3722">
            <v>1094393000000</v>
          </cell>
        </row>
        <row r="3723">
          <cell r="A3723" t="str">
            <v>Colombia</v>
          </cell>
          <cell r="B3723">
            <v>170</v>
          </cell>
          <cell r="C3723">
            <v>203</v>
          </cell>
          <cell r="D3723">
            <v>22</v>
          </cell>
          <cell r="E3723" t="str">
            <v>Taxes on production and imports, less Subsidies</v>
          </cell>
          <cell r="F3723">
            <v>12</v>
          </cell>
          <cell r="G3723">
            <v>1996</v>
          </cell>
          <cell r="H3723">
            <v>100</v>
          </cell>
          <cell r="I3723">
            <v>1429595000000</v>
          </cell>
        </row>
        <row r="3724">
          <cell r="A3724" t="str">
            <v>Colombia</v>
          </cell>
          <cell r="B3724">
            <v>170</v>
          </cell>
          <cell r="C3724">
            <v>203</v>
          </cell>
          <cell r="D3724">
            <v>22</v>
          </cell>
          <cell r="E3724" t="str">
            <v>Taxes on production and imports, less Subsidies</v>
          </cell>
          <cell r="F3724">
            <v>12</v>
          </cell>
          <cell r="G3724">
            <v>1997</v>
          </cell>
          <cell r="H3724">
            <v>100</v>
          </cell>
          <cell r="I3724">
            <v>2147253000000</v>
          </cell>
        </row>
        <row r="3725">
          <cell r="A3725" t="str">
            <v>Colombia</v>
          </cell>
          <cell r="B3725">
            <v>170</v>
          </cell>
          <cell r="C3725">
            <v>203</v>
          </cell>
          <cell r="D3725">
            <v>22</v>
          </cell>
          <cell r="E3725" t="str">
            <v>Taxes on production and imports, less Subsidies</v>
          </cell>
          <cell r="F3725">
            <v>12</v>
          </cell>
          <cell r="G3725">
            <v>1998</v>
          </cell>
          <cell r="H3725">
            <v>100</v>
          </cell>
          <cell r="I3725">
            <v>2419794000000</v>
          </cell>
        </row>
        <row r="3726">
          <cell r="A3726" t="str">
            <v>Colombia</v>
          </cell>
          <cell r="B3726">
            <v>170</v>
          </cell>
          <cell r="C3726">
            <v>203</v>
          </cell>
          <cell r="D3726">
            <v>22</v>
          </cell>
          <cell r="E3726" t="str">
            <v>Taxes on production and imports, less Subsidies</v>
          </cell>
          <cell r="F3726">
            <v>12</v>
          </cell>
          <cell r="G3726">
            <v>1999</v>
          </cell>
          <cell r="H3726">
            <v>100</v>
          </cell>
          <cell r="I3726">
            <v>2990385000000</v>
          </cell>
        </row>
        <row r="3727">
          <cell r="A3727" t="str">
            <v>Colombia</v>
          </cell>
          <cell r="B3727">
            <v>170</v>
          </cell>
          <cell r="C3727">
            <v>203</v>
          </cell>
          <cell r="D3727">
            <v>22</v>
          </cell>
          <cell r="E3727" t="str">
            <v>Taxes on production and imports, less Subsidies</v>
          </cell>
          <cell r="F3727">
            <v>12</v>
          </cell>
          <cell r="G3727">
            <v>2000</v>
          </cell>
          <cell r="H3727">
            <v>100</v>
          </cell>
          <cell r="I3727">
            <v>2982526000000</v>
          </cell>
        </row>
        <row r="3728">
          <cell r="A3728" t="str">
            <v>Colombia</v>
          </cell>
          <cell r="B3728">
            <v>170</v>
          </cell>
          <cell r="C3728">
            <v>203</v>
          </cell>
          <cell r="D3728">
            <v>22</v>
          </cell>
          <cell r="E3728" t="str">
            <v>Taxes on production and imports, less Subsidies</v>
          </cell>
          <cell r="F3728">
            <v>12</v>
          </cell>
          <cell r="G3728">
            <v>2001</v>
          </cell>
          <cell r="H3728">
            <v>100</v>
          </cell>
          <cell r="I3728">
            <v>3599633000000</v>
          </cell>
        </row>
        <row r="3729">
          <cell r="A3729" t="str">
            <v>Democratic Republic of the Congo</v>
          </cell>
          <cell r="B3729">
            <v>180</v>
          </cell>
          <cell r="C3729">
            <v>201</v>
          </cell>
          <cell r="D3729">
            <v>13</v>
          </cell>
          <cell r="E3729" t="str">
            <v>Less: Financial intermediation services indirectly measured (FISIM) (only to be deducted if FISIM is not distributed to uses)</v>
          </cell>
          <cell r="F3729">
            <v>0</v>
          </cell>
          <cell r="G3729">
            <v>1970</v>
          </cell>
          <cell r="H3729">
            <v>20</v>
          </cell>
          <cell r="I3729">
            <v>4800000</v>
          </cell>
        </row>
        <row r="3730">
          <cell r="A3730" t="str">
            <v>Democratic Republic of the Congo</v>
          </cell>
          <cell r="B3730">
            <v>180</v>
          </cell>
          <cell r="C3730">
            <v>201</v>
          </cell>
          <cell r="D3730">
            <v>13</v>
          </cell>
          <cell r="E3730" t="str">
            <v>Less: Financial intermediation services indirectly measured (FISIM) (only to be deducted if FISIM is not distributed to uses)</v>
          </cell>
          <cell r="F3730">
            <v>0</v>
          </cell>
          <cell r="G3730">
            <v>1971</v>
          </cell>
          <cell r="H3730">
            <v>20</v>
          </cell>
          <cell r="I3730">
            <v>5600000</v>
          </cell>
        </row>
        <row r="3731">
          <cell r="A3731" t="str">
            <v>Democratic Republic of the Congo</v>
          </cell>
          <cell r="B3731">
            <v>180</v>
          </cell>
          <cell r="C3731">
            <v>201</v>
          </cell>
          <cell r="D3731">
            <v>13</v>
          </cell>
          <cell r="E3731" t="str">
            <v>Less: Financial intermediation services indirectly measured (FISIM) (only to be deducted if FISIM is not distributed to uses)</v>
          </cell>
          <cell r="F3731">
            <v>0</v>
          </cell>
          <cell r="G3731">
            <v>1972</v>
          </cell>
          <cell r="H3731">
            <v>20</v>
          </cell>
          <cell r="I3731">
            <v>5700000</v>
          </cell>
        </row>
        <row r="3732">
          <cell r="A3732" t="str">
            <v>Democratic Republic of the Congo</v>
          </cell>
          <cell r="B3732">
            <v>180</v>
          </cell>
          <cell r="C3732">
            <v>201</v>
          </cell>
          <cell r="D3732">
            <v>13</v>
          </cell>
          <cell r="E3732" t="str">
            <v>Less: Financial intermediation services indirectly measured (FISIM) (only to be deducted if FISIM is not distributed to uses)</v>
          </cell>
          <cell r="F3732">
            <v>0</v>
          </cell>
          <cell r="G3732">
            <v>1973</v>
          </cell>
          <cell r="H3732">
            <v>20</v>
          </cell>
          <cell r="I3732">
            <v>8400000</v>
          </cell>
        </row>
        <row r="3733">
          <cell r="A3733" t="str">
            <v>Democratic Republic of the Congo</v>
          </cell>
          <cell r="B3733">
            <v>180</v>
          </cell>
          <cell r="C3733">
            <v>201</v>
          </cell>
          <cell r="D3733">
            <v>13</v>
          </cell>
          <cell r="E3733" t="str">
            <v>Less: Financial intermediation services indirectly measured (FISIM) (only to be deducted if FISIM is not distributed to uses)</v>
          </cell>
          <cell r="F3733">
            <v>0</v>
          </cell>
          <cell r="G3733">
            <v>1974</v>
          </cell>
          <cell r="H3733">
            <v>20</v>
          </cell>
          <cell r="I3733">
            <v>11300000</v>
          </cell>
        </row>
        <row r="3734">
          <cell r="A3734" t="str">
            <v>Democratic Republic of the Congo</v>
          </cell>
          <cell r="B3734">
            <v>180</v>
          </cell>
          <cell r="C3734">
            <v>201</v>
          </cell>
          <cell r="D3734">
            <v>13</v>
          </cell>
          <cell r="E3734" t="str">
            <v>Less: Financial intermediation services indirectly measured (FISIM) (only to be deducted if FISIM is not distributed to uses)</v>
          </cell>
          <cell r="F3734">
            <v>0</v>
          </cell>
          <cell r="G3734">
            <v>1975</v>
          </cell>
          <cell r="H3734">
            <v>20</v>
          </cell>
          <cell r="I3734">
            <v>18400000</v>
          </cell>
        </row>
        <row r="3735">
          <cell r="A3735" t="str">
            <v>Democratic Republic of the Congo</v>
          </cell>
          <cell r="B3735">
            <v>180</v>
          </cell>
          <cell r="C3735">
            <v>201</v>
          </cell>
          <cell r="D3735">
            <v>13</v>
          </cell>
          <cell r="E3735" t="str">
            <v>Less: Financial intermediation services indirectly measured (FISIM) (only to be deducted if FISIM is not distributed to uses)</v>
          </cell>
          <cell r="F3735">
            <v>0</v>
          </cell>
          <cell r="G3735">
            <v>1976</v>
          </cell>
          <cell r="H3735">
            <v>20</v>
          </cell>
          <cell r="I3735">
            <v>26400000</v>
          </cell>
        </row>
        <row r="3736">
          <cell r="A3736" t="str">
            <v>Democratic Republic of the Congo</v>
          </cell>
          <cell r="B3736">
            <v>180</v>
          </cell>
          <cell r="C3736">
            <v>201</v>
          </cell>
          <cell r="D3736">
            <v>13</v>
          </cell>
          <cell r="E3736" t="str">
            <v>Less: Financial intermediation services indirectly measured (FISIM) (only to be deducted if FISIM is not distributed to uses)</v>
          </cell>
          <cell r="F3736">
            <v>0</v>
          </cell>
          <cell r="G3736">
            <v>1977</v>
          </cell>
          <cell r="H3736">
            <v>20</v>
          </cell>
          <cell r="I3736">
            <v>45000000</v>
          </cell>
        </row>
        <row r="3737">
          <cell r="A3737" t="str">
            <v>Croatia</v>
          </cell>
          <cell r="B3737">
            <v>191</v>
          </cell>
          <cell r="C3737">
            <v>201</v>
          </cell>
          <cell r="D3737">
            <v>13</v>
          </cell>
          <cell r="E3737" t="str">
            <v>Less: Financial intermediation services indirectly measured (FISIM) (only to be deducted if FISIM is not distributed to uses)</v>
          </cell>
          <cell r="F3737">
            <v>0</v>
          </cell>
          <cell r="G3737">
            <v>1990</v>
          </cell>
          <cell r="H3737">
            <v>100</v>
          </cell>
          <cell r="I3737">
            <v>8000000</v>
          </cell>
        </row>
        <row r="3738">
          <cell r="A3738" t="str">
            <v>Croatia</v>
          </cell>
          <cell r="B3738">
            <v>191</v>
          </cell>
          <cell r="C3738">
            <v>201</v>
          </cell>
          <cell r="D3738">
            <v>13</v>
          </cell>
          <cell r="E3738" t="str">
            <v>Less: Financial intermediation services indirectly measured (FISIM) (only to be deducted if FISIM is not distributed to uses)</v>
          </cell>
          <cell r="F3738">
            <v>0</v>
          </cell>
          <cell r="G3738">
            <v>1991</v>
          </cell>
          <cell r="H3738">
            <v>100</v>
          </cell>
          <cell r="I3738">
            <v>23000000</v>
          </cell>
        </row>
        <row r="3739">
          <cell r="A3739" t="str">
            <v>Croatia</v>
          </cell>
          <cell r="B3739">
            <v>191</v>
          </cell>
          <cell r="C3739">
            <v>201</v>
          </cell>
          <cell r="D3739">
            <v>13</v>
          </cell>
          <cell r="E3739" t="str">
            <v>Less: Financial intermediation services indirectly measured (FISIM) (only to be deducted if FISIM is not distributed to uses)</v>
          </cell>
          <cell r="F3739">
            <v>0</v>
          </cell>
          <cell r="G3739">
            <v>1992</v>
          </cell>
          <cell r="H3739">
            <v>100</v>
          </cell>
          <cell r="I3739">
            <v>214000000</v>
          </cell>
        </row>
        <row r="3740">
          <cell r="A3740" t="str">
            <v>Croatia</v>
          </cell>
          <cell r="B3740">
            <v>191</v>
          </cell>
          <cell r="C3740">
            <v>201</v>
          </cell>
          <cell r="D3740">
            <v>13</v>
          </cell>
          <cell r="E3740" t="str">
            <v>Less: Financial intermediation services indirectly measured (FISIM) (only to be deducted if FISIM is not distributed to uses)</v>
          </cell>
          <cell r="F3740">
            <v>0</v>
          </cell>
          <cell r="G3740">
            <v>1993</v>
          </cell>
          <cell r="H3740">
            <v>100</v>
          </cell>
          <cell r="I3740">
            <v>1586000000</v>
          </cell>
        </row>
        <row r="3741">
          <cell r="A3741" t="str">
            <v>Croatia</v>
          </cell>
          <cell r="B3741">
            <v>191</v>
          </cell>
          <cell r="C3741">
            <v>201</v>
          </cell>
          <cell r="D3741">
            <v>13</v>
          </cell>
          <cell r="E3741" t="str">
            <v>Less: Financial intermediation services indirectly measured (FISIM) (only to be deducted if FISIM is not distributed to uses)</v>
          </cell>
          <cell r="F3741">
            <v>0</v>
          </cell>
          <cell r="G3741">
            <v>1994</v>
          </cell>
          <cell r="H3741">
            <v>100</v>
          </cell>
          <cell r="I3741">
            <v>1872000000</v>
          </cell>
        </row>
        <row r="3742">
          <cell r="A3742" t="str">
            <v>Croatia</v>
          </cell>
          <cell r="B3742">
            <v>191</v>
          </cell>
          <cell r="C3742">
            <v>201</v>
          </cell>
          <cell r="D3742">
            <v>13</v>
          </cell>
          <cell r="E3742" t="str">
            <v>Less: Financial intermediation services indirectly measured (FISIM) (only to be deducted if FISIM is not distributed to uses)</v>
          </cell>
          <cell r="F3742">
            <v>0</v>
          </cell>
          <cell r="G3742">
            <v>1995</v>
          </cell>
          <cell r="H3742">
            <v>100</v>
          </cell>
          <cell r="I3742">
            <v>2240900000</v>
          </cell>
        </row>
        <row r="3743">
          <cell r="A3743" t="str">
            <v>Croatia</v>
          </cell>
          <cell r="B3743">
            <v>191</v>
          </cell>
          <cell r="C3743">
            <v>201</v>
          </cell>
          <cell r="D3743">
            <v>13</v>
          </cell>
          <cell r="E3743" t="str">
            <v>Less: Financial intermediation services indirectly measured (FISIM) (only to be deducted if FISIM is not distributed to uses)</v>
          </cell>
          <cell r="F3743">
            <v>0</v>
          </cell>
          <cell r="G3743">
            <v>1996</v>
          </cell>
          <cell r="H3743">
            <v>100</v>
          </cell>
          <cell r="I3743">
            <v>2793700000</v>
          </cell>
        </row>
        <row r="3744">
          <cell r="A3744" t="str">
            <v>Croatia</v>
          </cell>
          <cell r="B3744">
            <v>191</v>
          </cell>
          <cell r="C3744">
            <v>201</v>
          </cell>
          <cell r="D3744">
            <v>13</v>
          </cell>
          <cell r="E3744" t="str">
            <v>Less: Financial intermediation services indirectly measured (FISIM) (only to be deducted if FISIM is not distributed to uses)</v>
          </cell>
          <cell r="F3744">
            <v>0</v>
          </cell>
          <cell r="G3744">
            <v>1997</v>
          </cell>
          <cell r="H3744">
            <v>100</v>
          </cell>
          <cell r="I3744">
            <v>3788200000</v>
          </cell>
        </row>
        <row r="3745">
          <cell r="A3745" t="str">
            <v>Croatia</v>
          </cell>
          <cell r="B3745">
            <v>191</v>
          </cell>
          <cell r="C3745">
            <v>201</v>
          </cell>
          <cell r="D3745">
            <v>13</v>
          </cell>
          <cell r="E3745" t="str">
            <v>Less: Financial intermediation services indirectly measured (FISIM) (only to be deducted if FISIM is not distributed to uses)</v>
          </cell>
          <cell r="F3745">
            <v>0</v>
          </cell>
          <cell r="G3745">
            <v>1998</v>
          </cell>
          <cell r="H3745">
            <v>100</v>
          </cell>
          <cell r="I3745">
            <v>5232400000</v>
          </cell>
        </row>
        <row r="3746">
          <cell r="A3746" t="str">
            <v>Croatia</v>
          </cell>
          <cell r="B3746">
            <v>191</v>
          </cell>
          <cell r="C3746">
            <v>201</v>
          </cell>
          <cell r="D3746">
            <v>13</v>
          </cell>
          <cell r="E3746" t="str">
            <v>Less: Financial intermediation services indirectly measured (FISIM) (only to be deducted if FISIM is not distributed to uses)</v>
          </cell>
          <cell r="F3746">
            <v>0</v>
          </cell>
          <cell r="G3746">
            <v>1999</v>
          </cell>
          <cell r="H3746">
            <v>100</v>
          </cell>
          <cell r="I3746">
            <v>4207200000</v>
          </cell>
        </row>
        <row r="3747">
          <cell r="A3747" t="str">
            <v>Croatia</v>
          </cell>
          <cell r="B3747">
            <v>191</v>
          </cell>
          <cell r="C3747">
            <v>201</v>
          </cell>
          <cell r="D3747">
            <v>13</v>
          </cell>
          <cell r="E3747" t="str">
            <v>Less: Financial intermediation services indirectly measured (FISIM) (only to be deducted if FISIM is not distributed to uses)</v>
          </cell>
          <cell r="F3747">
            <v>0</v>
          </cell>
          <cell r="G3747">
            <v>2000</v>
          </cell>
          <cell r="H3747">
            <v>100</v>
          </cell>
          <cell r="I3747">
            <v>3991800000</v>
          </cell>
        </row>
        <row r="3748">
          <cell r="A3748" t="str">
            <v>Croatia</v>
          </cell>
          <cell r="B3748">
            <v>191</v>
          </cell>
          <cell r="C3748">
            <v>201</v>
          </cell>
          <cell r="D3748">
            <v>13</v>
          </cell>
          <cell r="E3748" t="str">
            <v>Less: Financial intermediation services indirectly measured (FISIM) (only to be deducted if FISIM is not distributed to uses)</v>
          </cell>
          <cell r="F3748">
            <v>0</v>
          </cell>
          <cell r="G3748">
            <v>2001</v>
          </cell>
          <cell r="H3748">
            <v>100</v>
          </cell>
          <cell r="I3748">
            <v>4778600000</v>
          </cell>
        </row>
        <row r="3749">
          <cell r="A3749" t="str">
            <v>Croatia</v>
          </cell>
          <cell r="B3749">
            <v>191</v>
          </cell>
          <cell r="C3749">
            <v>201</v>
          </cell>
          <cell r="D3749">
            <v>13</v>
          </cell>
          <cell r="E3749" t="str">
            <v>Less: Financial intermediation services indirectly measured (FISIM) (only to be deducted if FISIM is not distributed to uses)</v>
          </cell>
          <cell r="F3749">
            <v>0</v>
          </cell>
          <cell r="G3749">
            <v>2002</v>
          </cell>
          <cell r="H3749">
            <v>100</v>
          </cell>
          <cell r="I3749">
            <v>5860000000</v>
          </cell>
        </row>
        <row r="3750">
          <cell r="A3750" t="str">
            <v>Croatia</v>
          </cell>
          <cell r="B3750">
            <v>191</v>
          </cell>
          <cell r="C3750">
            <v>201</v>
          </cell>
          <cell r="D3750">
            <v>13</v>
          </cell>
          <cell r="E3750" t="str">
            <v>Less: Financial intermediation services indirectly measured (FISIM) (only to be deducted if FISIM is not distributed to uses)</v>
          </cell>
          <cell r="F3750">
            <v>0</v>
          </cell>
          <cell r="G3750">
            <v>2003</v>
          </cell>
          <cell r="H3750">
            <v>100</v>
          </cell>
          <cell r="I3750">
            <v>6897000000</v>
          </cell>
        </row>
        <row r="3751">
          <cell r="A3751" t="str">
            <v>Croatia</v>
          </cell>
          <cell r="B3751">
            <v>191</v>
          </cell>
          <cell r="C3751">
            <v>201</v>
          </cell>
          <cell r="D3751">
            <v>13</v>
          </cell>
          <cell r="E3751" t="str">
            <v>Less: Financial intermediation services indirectly measured (FISIM) (only to be deducted if FISIM is not distributed to uses)</v>
          </cell>
          <cell r="F3751">
            <v>0</v>
          </cell>
          <cell r="G3751">
            <v>2004</v>
          </cell>
          <cell r="H3751">
            <v>100</v>
          </cell>
          <cell r="I3751">
            <v>7541000000</v>
          </cell>
        </row>
        <row r="3752">
          <cell r="A3752" t="str">
            <v>Belgium</v>
          </cell>
          <cell r="B3752">
            <v>56</v>
          </cell>
          <cell r="C3752">
            <v>201</v>
          </cell>
          <cell r="D3752">
            <v>13</v>
          </cell>
          <cell r="E3752" t="str">
            <v>Less: Financial intermediation services indirectly measured (FISIM) (only to be deducted if FISIM is not distributed to uses)</v>
          </cell>
          <cell r="F3752">
            <v>0</v>
          </cell>
          <cell r="G3752">
            <v>1960</v>
          </cell>
          <cell r="H3752">
            <v>20</v>
          </cell>
          <cell r="I3752">
            <v>4000000000</v>
          </cell>
        </row>
        <row r="3753">
          <cell r="A3753" t="str">
            <v>Belgium</v>
          </cell>
          <cell r="B3753">
            <v>56</v>
          </cell>
          <cell r="C3753">
            <v>201</v>
          </cell>
          <cell r="D3753">
            <v>13</v>
          </cell>
          <cell r="E3753" t="str">
            <v>Less: Financial intermediation services indirectly measured (FISIM) (only to be deducted if FISIM is not distributed to uses)</v>
          </cell>
          <cell r="F3753">
            <v>0</v>
          </cell>
          <cell r="G3753">
            <v>1961</v>
          </cell>
          <cell r="H3753">
            <v>20</v>
          </cell>
          <cell r="I3753">
            <v>4400000000</v>
          </cell>
        </row>
        <row r="3754">
          <cell r="A3754" t="str">
            <v>Belgium</v>
          </cell>
          <cell r="B3754">
            <v>56</v>
          </cell>
          <cell r="C3754">
            <v>201</v>
          </cell>
          <cell r="D3754">
            <v>13</v>
          </cell>
          <cell r="E3754" t="str">
            <v>Less: Financial intermediation services indirectly measured (FISIM) (only to be deducted if FISIM is not distributed to uses)</v>
          </cell>
          <cell r="F3754">
            <v>0</v>
          </cell>
          <cell r="G3754">
            <v>1962</v>
          </cell>
          <cell r="H3754">
            <v>20</v>
          </cell>
          <cell r="I3754">
            <v>5100000000</v>
          </cell>
        </row>
        <row r="3755">
          <cell r="A3755" t="str">
            <v>Belgium</v>
          </cell>
          <cell r="B3755">
            <v>56</v>
          </cell>
          <cell r="C3755">
            <v>201</v>
          </cell>
          <cell r="D3755">
            <v>13</v>
          </cell>
          <cell r="E3755" t="str">
            <v>Less: Financial intermediation services indirectly measured (FISIM) (only to be deducted if FISIM is not distributed to uses)</v>
          </cell>
          <cell r="F3755">
            <v>0</v>
          </cell>
          <cell r="G3755">
            <v>1963</v>
          </cell>
          <cell r="H3755">
            <v>20</v>
          </cell>
          <cell r="I3755">
            <v>5730000000</v>
          </cell>
        </row>
        <row r="3756">
          <cell r="A3756" t="str">
            <v>Belgium</v>
          </cell>
          <cell r="B3756">
            <v>56</v>
          </cell>
          <cell r="C3756">
            <v>201</v>
          </cell>
          <cell r="D3756">
            <v>13</v>
          </cell>
          <cell r="E3756" t="str">
            <v>Less: Financial intermediation services indirectly measured (FISIM) (only to be deducted if FISIM is not distributed to uses)</v>
          </cell>
          <cell r="F3756">
            <v>0</v>
          </cell>
          <cell r="G3756">
            <v>1964</v>
          </cell>
          <cell r="H3756">
            <v>20</v>
          </cell>
          <cell r="I3756">
            <v>6380000000</v>
          </cell>
        </row>
        <row r="3757">
          <cell r="A3757" t="str">
            <v>Belgium</v>
          </cell>
          <cell r="B3757">
            <v>56</v>
          </cell>
          <cell r="C3757">
            <v>201</v>
          </cell>
          <cell r="D3757">
            <v>13</v>
          </cell>
          <cell r="E3757" t="str">
            <v>Less: Financial intermediation services indirectly measured (FISIM) (only to be deducted if FISIM is not distributed to uses)</v>
          </cell>
          <cell r="F3757">
            <v>0</v>
          </cell>
          <cell r="G3757">
            <v>1965</v>
          </cell>
          <cell r="H3757">
            <v>20</v>
          </cell>
          <cell r="I3757">
            <v>7106000000</v>
          </cell>
        </row>
        <row r="3758">
          <cell r="A3758" t="str">
            <v>Belgium</v>
          </cell>
          <cell r="B3758">
            <v>56</v>
          </cell>
          <cell r="C3758">
            <v>201</v>
          </cell>
          <cell r="D3758">
            <v>13</v>
          </cell>
          <cell r="E3758" t="str">
            <v>Less: Financial intermediation services indirectly measured (FISIM) (only to be deducted if FISIM is not distributed to uses)</v>
          </cell>
          <cell r="F3758">
            <v>0</v>
          </cell>
          <cell r="G3758">
            <v>1966</v>
          </cell>
          <cell r="H3758">
            <v>20</v>
          </cell>
          <cell r="I3758">
            <v>7850000000</v>
          </cell>
        </row>
        <row r="3759">
          <cell r="A3759" t="str">
            <v>Belgium</v>
          </cell>
          <cell r="B3759">
            <v>56</v>
          </cell>
          <cell r="C3759">
            <v>201</v>
          </cell>
          <cell r="D3759">
            <v>13</v>
          </cell>
          <cell r="E3759" t="str">
            <v>Less: Financial intermediation services indirectly measured (FISIM) (only to be deducted if FISIM is not distributed to uses)</v>
          </cell>
          <cell r="F3759">
            <v>0</v>
          </cell>
          <cell r="G3759">
            <v>1967</v>
          </cell>
          <cell r="H3759">
            <v>20</v>
          </cell>
          <cell r="I3759">
            <v>8476000000</v>
          </cell>
        </row>
        <row r="3760">
          <cell r="A3760" t="str">
            <v>Belgium</v>
          </cell>
          <cell r="B3760">
            <v>56</v>
          </cell>
          <cell r="C3760">
            <v>201</v>
          </cell>
          <cell r="D3760">
            <v>13</v>
          </cell>
          <cell r="E3760" t="str">
            <v>Less: Financial intermediation services indirectly measured (FISIM) (only to be deducted if FISIM is not distributed to uses)</v>
          </cell>
          <cell r="F3760">
            <v>0</v>
          </cell>
          <cell r="G3760">
            <v>1968</v>
          </cell>
          <cell r="H3760">
            <v>20</v>
          </cell>
          <cell r="I3760">
            <v>9235000000</v>
          </cell>
        </row>
        <row r="3761">
          <cell r="A3761" t="str">
            <v>Belgium</v>
          </cell>
          <cell r="B3761">
            <v>56</v>
          </cell>
          <cell r="C3761">
            <v>201</v>
          </cell>
          <cell r="D3761">
            <v>13</v>
          </cell>
          <cell r="E3761" t="str">
            <v>Less: Financial intermediation services indirectly measured (FISIM) (only to be deducted if FISIM is not distributed to uses)</v>
          </cell>
          <cell r="F3761">
            <v>0</v>
          </cell>
          <cell r="G3761">
            <v>1969</v>
          </cell>
          <cell r="H3761">
            <v>20</v>
          </cell>
          <cell r="I3761">
            <v>10545000000</v>
          </cell>
        </row>
        <row r="3762">
          <cell r="A3762" t="str">
            <v>Belgium</v>
          </cell>
          <cell r="B3762">
            <v>56</v>
          </cell>
          <cell r="C3762">
            <v>201</v>
          </cell>
          <cell r="D3762">
            <v>13</v>
          </cell>
          <cell r="E3762" t="str">
            <v>Less: Financial intermediation services indirectly measured (FISIM) (only to be deducted if FISIM is not distributed to uses)</v>
          </cell>
          <cell r="F3762">
            <v>0</v>
          </cell>
          <cell r="G3762">
            <v>1970</v>
          </cell>
          <cell r="H3762">
            <v>20</v>
          </cell>
          <cell r="I3762">
            <v>11755000000</v>
          </cell>
        </row>
        <row r="3763">
          <cell r="A3763" t="str">
            <v>Belgium</v>
          </cell>
          <cell r="B3763">
            <v>56</v>
          </cell>
          <cell r="C3763">
            <v>201</v>
          </cell>
          <cell r="D3763">
            <v>13</v>
          </cell>
          <cell r="E3763" t="str">
            <v>Less: Financial intermediation services indirectly measured (FISIM) (only to be deducted if FISIM is not distributed to uses)</v>
          </cell>
          <cell r="F3763">
            <v>0</v>
          </cell>
          <cell r="G3763">
            <v>1970</v>
          </cell>
          <cell r="H3763">
            <v>200</v>
          </cell>
          <cell r="I3763">
            <v>937373514.53083897</v>
          </cell>
        </row>
        <row r="3764">
          <cell r="A3764" t="str">
            <v>Belgium</v>
          </cell>
          <cell r="B3764">
            <v>56</v>
          </cell>
          <cell r="C3764">
            <v>201</v>
          </cell>
          <cell r="D3764">
            <v>13</v>
          </cell>
          <cell r="E3764" t="str">
            <v>Less: Financial intermediation services indirectly measured (FISIM) (only to be deducted if FISIM is not distributed to uses)</v>
          </cell>
          <cell r="F3764">
            <v>0</v>
          </cell>
          <cell r="G3764">
            <v>1971</v>
          </cell>
          <cell r="H3764">
            <v>200</v>
          </cell>
          <cell r="I3764">
            <v>1068353373.91871</v>
          </cell>
        </row>
        <row r="3765">
          <cell r="A3765" t="str">
            <v>Belgium</v>
          </cell>
          <cell r="B3765">
            <v>56</v>
          </cell>
          <cell r="C3765">
            <v>201</v>
          </cell>
          <cell r="D3765">
            <v>13</v>
          </cell>
          <cell r="E3765" t="str">
            <v>Less: Financial intermediation services indirectly measured (FISIM) (only to be deducted if FISIM is not distributed to uses)</v>
          </cell>
          <cell r="F3765">
            <v>0</v>
          </cell>
          <cell r="G3765">
            <v>1972</v>
          </cell>
          <cell r="H3765">
            <v>200</v>
          </cell>
          <cell r="I3765">
            <v>1266300902.32199</v>
          </cell>
        </row>
        <row r="3766">
          <cell r="A3766" t="str">
            <v>Belgium</v>
          </cell>
          <cell r="B3766">
            <v>56</v>
          </cell>
          <cell r="C3766">
            <v>201</v>
          </cell>
          <cell r="D3766">
            <v>13</v>
          </cell>
          <cell r="E3766" t="str">
            <v>Less: Financial intermediation services indirectly measured (FISIM) (only to be deducted if FISIM is not distributed to uses)</v>
          </cell>
          <cell r="F3766">
            <v>0</v>
          </cell>
          <cell r="G3766">
            <v>1973</v>
          </cell>
          <cell r="H3766">
            <v>200</v>
          </cell>
          <cell r="I3766">
            <v>1555277172.9279399</v>
          </cell>
        </row>
        <row r="3767">
          <cell r="A3767" t="str">
            <v>Belgium</v>
          </cell>
          <cell r="B3767">
            <v>56</v>
          </cell>
          <cell r="C3767">
            <v>201</v>
          </cell>
          <cell r="D3767">
            <v>13</v>
          </cell>
          <cell r="E3767" t="str">
            <v>Less: Financial intermediation services indirectly measured (FISIM) (only to be deducted if FISIM is not distributed to uses)</v>
          </cell>
          <cell r="F3767">
            <v>0</v>
          </cell>
          <cell r="G3767">
            <v>1974</v>
          </cell>
          <cell r="H3767">
            <v>200</v>
          </cell>
          <cell r="I3767">
            <v>1825512231.9039299</v>
          </cell>
        </row>
        <row r="3768">
          <cell r="A3768" t="str">
            <v>Belgium</v>
          </cell>
          <cell r="B3768">
            <v>56</v>
          </cell>
          <cell r="C3768">
            <v>201</v>
          </cell>
          <cell r="D3768">
            <v>13</v>
          </cell>
          <cell r="E3768" t="str">
            <v>Less: Financial intermediation services indirectly measured (FISIM) (only to be deducted if FISIM is not distributed to uses)</v>
          </cell>
          <cell r="F3768">
            <v>0</v>
          </cell>
          <cell r="G3768">
            <v>1975</v>
          </cell>
          <cell r="H3768">
            <v>200</v>
          </cell>
          <cell r="I3768">
            <v>2118243698.90327</v>
          </cell>
        </row>
        <row r="3769">
          <cell r="A3769" t="str">
            <v>Belgium</v>
          </cell>
          <cell r="B3769">
            <v>56</v>
          </cell>
          <cell r="C3769">
            <v>201</v>
          </cell>
          <cell r="D3769">
            <v>13</v>
          </cell>
          <cell r="E3769" t="str">
            <v>Less: Financial intermediation services indirectly measured (FISIM) (only to be deducted if FISIM is not distributed to uses)</v>
          </cell>
          <cell r="F3769">
            <v>0</v>
          </cell>
          <cell r="G3769">
            <v>1976</v>
          </cell>
          <cell r="H3769">
            <v>200</v>
          </cell>
          <cell r="I3769">
            <v>2813407046.0606198</v>
          </cell>
        </row>
        <row r="3770">
          <cell r="A3770" t="str">
            <v>Belgium</v>
          </cell>
          <cell r="B3770">
            <v>56</v>
          </cell>
          <cell r="C3770">
            <v>201</v>
          </cell>
          <cell r="D3770">
            <v>13</v>
          </cell>
          <cell r="E3770" t="str">
            <v>Less: Financial intermediation services indirectly measured (FISIM) (only to be deducted if FISIM is not distributed to uses)</v>
          </cell>
          <cell r="F3770">
            <v>0</v>
          </cell>
          <cell r="G3770">
            <v>1977</v>
          </cell>
          <cell r="H3770">
            <v>200</v>
          </cell>
          <cell r="I3770">
            <v>3199601178.8509402</v>
          </cell>
        </row>
        <row r="3771">
          <cell r="A3771" t="str">
            <v>Belgium</v>
          </cell>
          <cell r="B3771">
            <v>56</v>
          </cell>
          <cell r="C3771">
            <v>201</v>
          </cell>
          <cell r="D3771">
            <v>13</v>
          </cell>
          <cell r="E3771" t="str">
            <v>Less: Financial intermediation services indirectly measured (FISIM) (only to be deducted if FISIM is not distributed to uses)</v>
          </cell>
          <cell r="F3771">
            <v>0</v>
          </cell>
          <cell r="G3771">
            <v>1978</v>
          </cell>
          <cell r="H3771">
            <v>200</v>
          </cell>
          <cell r="I3771">
            <v>3666288641.7402501</v>
          </cell>
        </row>
        <row r="3772">
          <cell r="A3772" t="str">
            <v>Belgium</v>
          </cell>
          <cell r="B3772">
            <v>56</v>
          </cell>
          <cell r="C3772">
            <v>201</v>
          </cell>
          <cell r="D3772">
            <v>13</v>
          </cell>
          <cell r="E3772" t="str">
            <v>Less: Financial intermediation services indirectly measured (FISIM) (only to be deducted if FISIM is not distributed to uses)</v>
          </cell>
          <cell r="F3772">
            <v>0</v>
          </cell>
          <cell r="G3772">
            <v>1979</v>
          </cell>
          <cell r="H3772">
            <v>200</v>
          </cell>
          <cell r="I3772">
            <v>4014026781.83531</v>
          </cell>
        </row>
        <row r="3773">
          <cell r="A3773" t="str">
            <v>Belgium</v>
          </cell>
          <cell r="B3773">
            <v>56</v>
          </cell>
          <cell r="C3773">
            <v>201</v>
          </cell>
          <cell r="D3773">
            <v>13</v>
          </cell>
          <cell r="E3773" t="str">
            <v>Less: Financial intermediation services indirectly measured (FISIM) (only to be deducted if FISIM is not distributed to uses)</v>
          </cell>
          <cell r="F3773">
            <v>0</v>
          </cell>
          <cell r="G3773">
            <v>1980</v>
          </cell>
          <cell r="H3773">
            <v>200</v>
          </cell>
          <cell r="I3773">
            <v>2923000000</v>
          </cell>
        </row>
        <row r="3774">
          <cell r="A3774" t="str">
            <v>Belgium</v>
          </cell>
          <cell r="B3774">
            <v>56</v>
          </cell>
          <cell r="C3774">
            <v>201</v>
          </cell>
          <cell r="D3774">
            <v>13</v>
          </cell>
          <cell r="E3774" t="str">
            <v>Less: Financial intermediation services indirectly measured (FISIM) (only to be deducted if FISIM is not distributed to uses)</v>
          </cell>
          <cell r="F3774">
            <v>0</v>
          </cell>
          <cell r="G3774">
            <v>1981</v>
          </cell>
          <cell r="H3774">
            <v>200</v>
          </cell>
          <cell r="I3774">
            <v>3525000000</v>
          </cell>
        </row>
        <row r="3775">
          <cell r="A3775" t="str">
            <v>Belgium</v>
          </cell>
          <cell r="B3775">
            <v>56</v>
          </cell>
          <cell r="C3775">
            <v>201</v>
          </cell>
          <cell r="D3775">
            <v>13</v>
          </cell>
          <cell r="E3775" t="str">
            <v>Less: Financial intermediation services indirectly measured (FISIM) (only to be deducted if FISIM is not distributed to uses)</v>
          </cell>
          <cell r="F3775">
            <v>0</v>
          </cell>
          <cell r="G3775">
            <v>1982</v>
          </cell>
          <cell r="H3775">
            <v>200</v>
          </cell>
          <cell r="I3775">
            <v>3923000000</v>
          </cell>
        </row>
        <row r="3776">
          <cell r="A3776" t="str">
            <v>Belgium</v>
          </cell>
          <cell r="B3776">
            <v>56</v>
          </cell>
          <cell r="C3776">
            <v>201</v>
          </cell>
          <cell r="D3776">
            <v>13</v>
          </cell>
          <cell r="E3776" t="str">
            <v>Less: Financial intermediation services indirectly measured (FISIM) (only to be deducted if FISIM is not distributed to uses)</v>
          </cell>
          <cell r="F3776">
            <v>0</v>
          </cell>
          <cell r="G3776">
            <v>1983</v>
          </cell>
          <cell r="H3776">
            <v>200</v>
          </cell>
          <cell r="I3776">
            <v>4036000000</v>
          </cell>
        </row>
        <row r="3777">
          <cell r="A3777" t="str">
            <v>Belgium</v>
          </cell>
          <cell r="B3777">
            <v>56</v>
          </cell>
          <cell r="C3777">
            <v>201</v>
          </cell>
          <cell r="D3777">
            <v>13</v>
          </cell>
          <cell r="E3777" t="str">
            <v>Less: Financial intermediation services indirectly measured (FISIM) (only to be deducted if FISIM is not distributed to uses)</v>
          </cell>
          <cell r="F3777">
            <v>0</v>
          </cell>
          <cell r="G3777">
            <v>1984</v>
          </cell>
          <cell r="H3777">
            <v>200</v>
          </cell>
          <cell r="I3777">
            <v>4773000000</v>
          </cell>
        </row>
        <row r="3778">
          <cell r="A3778" t="str">
            <v>Belgium</v>
          </cell>
          <cell r="B3778">
            <v>56</v>
          </cell>
          <cell r="C3778">
            <v>201</v>
          </cell>
          <cell r="D3778">
            <v>13</v>
          </cell>
          <cell r="E3778" t="str">
            <v>Less: Financial intermediation services indirectly measured (FISIM) (only to be deducted if FISIM is not distributed to uses)</v>
          </cell>
          <cell r="F3778">
            <v>0</v>
          </cell>
          <cell r="G3778">
            <v>1985</v>
          </cell>
          <cell r="H3778">
            <v>200</v>
          </cell>
          <cell r="I3778">
            <v>4994000000</v>
          </cell>
        </row>
        <row r="3779">
          <cell r="A3779" t="str">
            <v>Belgium</v>
          </cell>
          <cell r="B3779">
            <v>56</v>
          </cell>
          <cell r="C3779">
            <v>201</v>
          </cell>
          <cell r="D3779">
            <v>13</v>
          </cell>
          <cell r="E3779" t="str">
            <v>Less: Financial intermediation services indirectly measured (FISIM) (only to be deducted if FISIM is not distributed to uses)</v>
          </cell>
          <cell r="F3779">
            <v>0</v>
          </cell>
          <cell r="G3779">
            <v>1986</v>
          </cell>
          <cell r="H3779">
            <v>200</v>
          </cell>
          <cell r="I3779">
            <v>5368000000</v>
          </cell>
        </row>
        <row r="3780">
          <cell r="A3780" t="str">
            <v>Belgium</v>
          </cell>
          <cell r="B3780">
            <v>56</v>
          </cell>
          <cell r="C3780">
            <v>201</v>
          </cell>
          <cell r="D3780">
            <v>13</v>
          </cell>
          <cell r="E3780" t="str">
            <v>Less: Financial intermediation services indirectly measured (FISIM) (only to be deducted if FISIM is not distributed to uses)</v>
          </cell>
          <cell r="F3780">
            <v>0</v>
          </cell>
          <cell r="G3780">
            <v>1987</v>
          </cell>
          <cell r="H3780">
            <v>200</v>
          </cell>
          <cell r="I3780">
            <v>5490000000</v>
          </cell>
        </row>
        <row r="3781">
          <cell r="A3781" t="str">
            <v>Belgium</v>
          </cell>
          <cell r="B3781">
            <v>56</v>
          </cell>
          <cell r="C3781">
            <v>201</v>
          </cell>
          <cell r="D3781">
            <v>13</v>
          </cell>
          <cell r="E3781" t="str">
            <v>Less: Financial intermediation services indirectly measured (FISIM) (only to be deducted if FISIM is not distributed to uses)</v>
          </cell>
          <cell r="F3781">
            <v>0</v>
          </cell>
          <cell r="G3781">
            <v>1988</v>
          </cell>
          <cell r="H3781">
            <v>200</v>
          </cell>
          <cell r="I3781">
            <v>5856000000</v>
          </cell>
        </row>
        <row r="3782">
          <cell r="A3782" t="str">
            <v>Belgium</v>
          </cell>
          <cell r="B3782">
            <v>56</v>
          </cell>
          <cell r="C3782">
            <v>201</v>
          </cell>
          <cell r="D3782">
            <v>13</v>
          </cell>
          <cell r="E3782" t="str">
            <v>Less: Financial intermediation services indirectly measured (FISIM) (only to be deducted if FISIM is not distributed to uses)</v>
          </cell>
          <cell r="F3782">
            <v>0</v>
          </cell>
          <cell r="G3782">
            <v>1989</v>
          </cell>
          <cell r="H3782">
            <v>200</v>
          </cell>
          <cell r="I3782">
            <v>5949000000</v>
          </cell>
        </row>
        <row r="3783">
          <cell r="A3783" t="str">
            <v>Belgium</v>
          </cell>
          <cell r="B3783">
            <v>56</v>
          </cell>
          <cell r="C3783">
            <v>201</v>
          </cell>
          <cell r="D3783">
            <v>13</v>
          </cell>
          <cell r="E3783" t="str">
            <v>Less: Financial intermediation services indirectly measured (FISIM) (only to be deducted if FISIM is not distributed to uses)</v>
          </cell>
          <cell r="F3783">
            <v>0</v>
          </cell>
          <cell r="G3783">
            <v>1990</v>
          </cell>
          <cell r="H3783">
            <v>200</v>
          </cell>
          <cell r="I3783">
            <v>6398000000</v>
          </cell>
        </row>
        <row r="3784">
          <cell r="A3784" t="str">
            <v>Belgium</v>
          </cell>
          <cell r="B3784">
            <v>56</v>
          </cell>
          <cell r="C3784">
            <v>201</v>
          </cell>
          <cell r="D3784">
            <v>13</v>
          </cell>
          <cell r="E3784" t="str">
            <v>Less: Financial intermediation services indirectly measured (FISIM) (only to be deducted if FISIM is not distributed to uses)</v>
          </cell>
          <cell r="F3784">
            <v>0</v>
          </cell>
          <cell r="G3784">
            <v>1991</v>
          </cell>
          <cell r="H3784">
            <v>200</v>
          </cell>
          <cell r="I3784">
            <v>6901000000</v>
          </cell>
        </row>
        <row r="3785">
          <cell r="A3785" t="str">
            <v>Belgium</v>
          </cell>
          <cell r="B3785">
            <v>56</v>
          </cell>
          <cell r="C3785">
            <v>201</v>
          </cell>
          <cell r="D3785">
            <v>13</v>
          </cell>
          <cell r="E3785" t="str">
            <v>Less: Financial intermediation services indirectly measured (FISIM) (only to be deducted if FISIM is not distributed to uses)</v>
          </cell>
          <cell r="F3785">
            <v>0</v>
          </cell>
          <cell r="G3785">
            <v>1992</v>
          </cell>
          <cell r="H3785">
            <v>200</v>
          </cell>
          <cell r="I3785">
            <v>7364000000</v>
          </cell>
        </row>
        <row r="3786">
          <cell r="A3786" t="str">
            <v>Belgium</v>
          </cell>
          <cell r="B3786">
            <v>56</v>
          </cell>
          <cell r="C3786">
            <v>201</v>
          </cell>
          <cell r="D3786">
            <v>13</v>
          </cell>
          <cell r="E3786" t="str">
            <v>Less: Financial intermediation services indirectly measured (FISIM) (only to be deducted if FISIM is not distributed to uses)</v>
          </cell>
          <cell r="F3786">
            <v>0</v>
          </cell>
          <cell r="G3786">
            <v>1993</v>
          </cell>
          <cell r="H3786">
            <v>200</v>
          </cell>
          <cell r="I3786">
            <v>7506000000</v>
          </cell>
        </row>
        <row r="3787">
          <cell r="A3787" t="str">
            <v>Belgium</v>
          </cell>
          <cell r="B3787">
            <v>56</v>
          </cell>
          <cell r="C3787">
            <v>201</v>
          </cell>
          <cell r="D3787">
            <v>13</v>
          </cell>
          <cell r="E3787" t="str">
            <v>Less: Financial intermediation services indirectly measured (FISIM) (only to be deducted if FISIM is not distributed to uses)</v>
          </cell>
          <cell r="F3787">
            <v>0</v>
          </cell>
          <cell r="G3787">
            <v>1994</v>
          </cell>
          <cell r="H3787">
            <v>200</v>
          </cell>
          <cell r="I3787">
            <v>7674000000</v>
          </cell>
        </row>
        <row r="3788">
          <cell r="A3788" t="str">
            <v>Belgium</v>
          </cell>
          <cell r="B3788">
            <v>56</v>
          </cell>
          <cell r="C3788">
            <v>201</v>
          </cell>
          <cell r="D3788">
            <v>13</v>
          </cell>
          <cell r="E3788" t="str">
            <v>Less: Financial intermediation services indirectly measured (FISIM) (only to be deducted if FISIM is not distributed to uses)</v>
          </cell>
          <cell r="F3788">
            <v>0</v>
          </cell>
          <cell r="G3788">
            <v>1995</v>
          </cell>
          <cell r="H3788">
            <v>200</v>
          </cell>
          <cell r="I3788">
            <v>8241000000</v>
          </cell>
        </row>
        <row r="3789">
          <cell r="A3789" t="str">
            <v>Belgium</v>
          </cell>
          <cell r="B3789">
            <v>56</v>
          </cell>
          <cell r="C3789">
            <v>201</v>
          </cell>
          <cell r="D3789">
            <v>13</v>
          </cell>
          <cell r="E3789" t="str">
            <v>Less: Financial intermediation services indirectly measured (FISIM) (only to be deducted if FISIM is not distributed to uses)</v>
          </cell>
          <cell r="F3789">
            <v>0</v>
          </cell>
          <cell r="G3789">
            <v>1996</v>
          </cell>
          <cell r="H3789">
            <v>200</v>
          </cell>
          <cell r="I3789">
            <v>8927000000</v>
          </cell>
        </row>
        <row r="3790">
          <cell r="A3790" t="str">
            <v>Belgium</v>
          </cell>
          <cell r="B3790">
            <v>56</v>
          </cell>
          <cell r="C3790">
            <v>201</v>
          </cell>
          <cell r="D3790">
            <v>13</v>
          </cell>
          <cell r="E3790" t="str">
            <v>Less: Financial intermediation services indirectly measured (FISIM) (only to be deducted if FISIM is not distributed to uses)</v>
          </cell>
          <cell r="F3790">
            <v>0</v>
          </cell>
          <cell r="G3790">
            <v>1997</v>
          </cell>
          <cell r="H3790">
            <v>200</v>
          </cell>
          <cell r="I3790">
            <v>8517000000</v>
          </cell>
        </row>
        <row r="3791">
          <cell r="A3791" t="str">
            <v>Belgium</v>
          </cell>
          <cell r="B3791">
            <v>56</v>
          </cell>
          <cell r="C3791">
            <v>201</v>
          </cell>
          <cell r="D3791">
            <v>13</v>
          </cell>
          <cell r="E3791" t="str">
            <v>Less: Financial intermediation services indirectly measured (FISIM) (only to be deducted if FISIM is not distributed to uses)</v>
          </cell>
          <cell r="F3791">
            <v>0</v>
          </cell>
          <cell r="G3791">
            <v>1998</v>
          </cell>
          <cell r="H3791">
            <v>200</v>
          </cell>
          <cell r="I3791">
            <v>9179000000</v>
          </cell>
        </row>
        <row r="3792">
          <cell r="A3792" t="str">
            <v>Belgium</v>
          </cell>
          <cell r="B3792">
            <v>56</v>
          </cell>
          <cell r="C3792">
            <v>201</v>
          </cell>
          <cell r="D3792">
            <v>13</v>
          </cell>
          <cell r="E3792" t="str">
            <v>Less: Financial intermediation services indirectly measured (FISIM) (only to be deducted if FISIM is not distributed to uses)</v>
          </cell>
          <cell r="F3792">
            <v>0</v>
          </cell>
          <cell r="G3792">
            <v>1999</v>
          </cell>
          <cell r="H3792">
            <v>200</v>
          </cell>
          <cell r="I3792">
            <v>8821000000</v>
          </cell>
        </row>
        <row r="3793">
          <cell r="A3793" t="str">
            <v>Belgium</v>
          </cell>
          <cell r="B3793">
            <v>56</v>
          </cell>
          <cell r="C3793">
            <v>201</v>
          </cell>
          <cell r="D3793">
            <v>13</v>
          </cell>
          <cell r="E3793" t="str">
            <v>Less: Financial intermediation services indirectly measured (FISIM) (only to be deducted if FISIM is not distributed to uses)</v>
          </cell>
          <cell r="F3793">
            <v>0</v>
          </cell>
          <cell r="G3793">
            <v>2000</v>
          </cell>
          <cell r="H3793">
            <v>200</v>
          </cell>
          <cell r="I3793">
            <v>8402000000</v>
          </cell>
        </row>
        <row r="3794">
          <cell r="A3794" t="str">
            <v>Belgium</v>
          </cell>
          <cell r="B3794">
            <v>56</v>
          </cell>
          <cell r="C3794">
            <v>201</v>
          </cell>
          <cell r="D3794">
            <v>13</v>
          </cell>
          <cell r="E3794" t="str">
            <v>Less: Financial intermediation services indirectly measured (FISIM) (only to be deducted if FISIM is not distributed to uses)</v>
          </cell>
          <cell r="F3794">
            <v>0</v>
          </cell>
          <cell r="G3794">
            <v>2001</v>
          </cell>
          <cell r="H3794">
            <v>200</v>
          </cell>
          <cell r="I3794">
            <v>8220000000</v>
          </cell>
        </row>
        <row r="3795">
          <cell r="A3795" t="str">
            <v>Belgium</v>
          </cell>
          <cell r="B3795">
            <v>56</v>
          </cell>
          <cell r="C3795">
            <v>201</v>
          </cell>
          <cell r="D3795">
            <v>13</v>
          </cell>
          <cell r="E3795" t="str">
            <v>Less: Financial intermediation services indirectly measured (FISIM) (only to be deducted if FISIM is not distributed to uses)</v>
          </cell>
          <cell r="F3795">
            <v>0</v>
          </cell>
          <cell r="G3795">
            <v>2002</v>
          </cell>
          <cell r="H3795">
            <v>200</v>
          </cell>
          <cell r="I3795">
            <v>7886000000</v>
          </cell>
        </row>
        <row r="3796">
          <cell r="A3796" t="str">
            <v>Belgium</v>
          </cell>
          <cell r="B3796">
            <v>56</v>
          </cell>
          <cell r="C3796">
            <v>201</v>
          </cell>
          <cell r="D3796">
            <v>13</v>
          </cell>
          <cell r="E3796" t="str">
            <v>Less: Financial intermediation services indirectly measured (FISIM) (only to be deducted if FISIM is not distributed to uses)</v>
          </cell>
          <cell r="F3796">
            <v>0</v>
          </cell>
          <cell r="G3796">
            <v>2003</v>
          </cell>
          <cell r="H3796">
            <v>200</v>
          </cell>
          <cell r="I3796">
            <v>7870000000</v>
          </cell>
        </row>
        <row r="3797">
          <cell r="A3797" t="str">
            <v>Czech Republic</v>
          </cell>
          <cell r="B3797">
            <v>203</v>
          </cell>
          <cell r="C3797">
            <v>201</v>
          </cell>
          <cell r="D3797">
            <v>13</v>
          </cell>
          <cell r="E3797" t="str">
            <v>Less: Financial intermediation services indirectly measured (FISIM) (only to be deducted if FISIM is not distributed to uses)</v>
          </cell>
          <cell r="F3797">
            <v>0</v>
          </cell>
          <cell r="G3797">
            <v>1987</v>
          </cell>
          <cell r="H3797">
            <v>10</v>
          </cell>
          <cell r="I3797">
            <v>13794000000</v>
          </cell>
        </row>
        <row r="3798">
          <cell r="A3798" t="str">
            <v>Czech Republic</v>
          </cell>
          <cell r="B3798">
            <v>203</v>
          </cell>
          <cell r="C3798">
            <v>201</v>
          </cell>
          <cell r="D3798">
            <v>13</v>
          </cell>
          <cell r="E3798" t="str">
            <v>Less: Financial intermediation services indirectly measured (FISIM) (only to be deducted if FISIM is not distributed to uses)</v>
          </cell>
          <cell r="F3798">
            <v>0</v>
          </cell>
          <cell r="G3798">
            <v>1988</v>
          </cell>
          <cell r="H3798">
            <v>10</v>
          </cell>
          <cell r="I3798">
            <v>12498000000</v>
          </cell>
        </row>
        <row r="3799">
          <cell r="A3799" t="str">
            <v>Czech Republic</v>
          </cell>
          <cell r="B3799">
            <v>203</v>
          </cell>
          <cell r="C3799">
            <v>201</v>
          </cell>
          <cell r="D3799">
            <v>13</v>
          </cell>
          <cell r="E3799" t="str">
            <v>Less: Financial intermediation services indirectly measured (FISIM) (only to be deducted if FISIM is not distributed to uses)</v>
          </cell>
          <cell r="F3799">
            <v>0</v>
          </cell>
          <cell r="G3799">
            <v>1989</v>
          </cell>
          <cell r="H3799">
            <v>10</v>
          </cell>
          <cell r="I3799">
            <v>14985000000</v>
          </cell>
        </row>
        <row r="3800">
          <cell r="A3800" t="str">
            <v>Czech Republic</v>
          </cell>
          <cell r="B3800">
            <v>203</v>
          </cell>
          <cell r="C3800">
            <v>201</v>
          </cell>
          <cell r="D3800">
            <v>13</v>
          </cell>
          <cell r="E3800" t="str">
            <v>Less: Financial intermediation services indirectly measured (FISIM) (only to be deducted if FISIM is not distributed to uses)</v>
          </cell>
          <cell r="F3800">
            <v>0</v>
          </cell>
          <cell r="G3800">
            <v>1990</v>
          </cell>
          <cell r="H3800">
            <v>10</v>
          </cell>
          <cell r="I3800">
            <v>15721000000</v>
          </cell>
        </row>
        <row r="3801">
          <cell r="A3801" t="str">
            <v>Czech Republic</v>
          </cell>
          <cell r="B3801">
            <v>203</v>
          </cell>
          <cell r="C3801">
            <v>201</v>
          </cell>
          <cell r="D3801">
            <v>13</v>
          </cell>
          <cell r="E3801" t="str">
            <v>Less: Financial intermediation services indirectly measured (FISIM) (only to be deducted if FISIM is not distributed to uses)</v>
          </cell>
          <cell r="F3801">
            <v>0</v>
          </cell>
          <cell r="G3801">
            <v>1990</v>
          </cell>
          <cell r="H3801">
            <v>100</v>
          </cell>
          <cell r="I3801">
            <v>15721000000</v>
          </cell>
        </row>
        <row r="3802">
          <cell r="A3802" t="str">
            <v>Czech Republic</v>
          </cell>
          <cell r="B3802">
            <v>203</v>
          </cell>
          <cell r="C3802">
            <v>201</v>
          </cell>
          <cell r="D3802">
            <v>13</v>
          </cell>
          <cell r="E3802" t="str">
            <v>Less: Financial intermediation services indirectly measured (FISIM) (only to be deducted if FISIM is not distributed to uses)</v>
          </cell>
          <cell r="F3802">
            <v>0</v>
          </cell>
          <cell r="G3802">
            <v>1991</v>
          </cell>
          <cell r="H3802">
            <v>100</v>
          </cell>
          <cell r="I3802">
            <v>45279000000</v>
          </cell>
        </row>
        <row r="3803">
          <cell r="A3803" t="str">
            <v>Czech Republic</v>
          </cell>
          <cell r="B3803">
            <v>203</v>
          </cell>
          <cell r="C3803">
            <v>201</v>
          </cell>
          <cell r="D3803">
            <v>13</v>
          </cell>
          <cell r="E3803" t="str">
            <v>Less: Financial intermediation services indirectly measured (FISIM) (only to be deducted if FISIM is not distributed to uses)</v>
          </cell>
          <cell r="F3803">
            <v>0</v>
          </cell>
          <cell r="G3803">
            <v>1992</v>
          </cell>
          <cell r="H3803">
            <v>100</v>
          </cell>
          <cell r="I3803">
            <v>48970000000</v>
          </cell>
        </row>
        <row r="3804">
          <cell r="A3804" t="str">
            <v>Czech Republic</v>
          </cell>
          <cell r="B3804">
            <v>203</v>
          </cell>
          <cell r="C3804">
            <v>201</v>
          </cell>
          <cell r="D3804">
            <v>13</v>
          </cell>
          <cell r="E3804" t="str">
            <v>Less: Financial intermediation services indirectly measured (FISIM) (only to be deducted if FISIM is not distributed to uses)</v>
          </cell>
          <cell r="F3804">
            <v>0</v>
          </cell>
          <cell r="G3804">
            <v>1993</v>
          </cell>
          <cell r="H3804">
            <v>100</v>
          </cell>
          <cell r="I3804">
            <v>61952000000</v>
          </cell>
        </row>
        <row r="3805">
          <cell r="A3805" t="str">
            <v>Czech Republic</v>
          </cell>
          <cell r="B3805">
            <v>203</v>
          </cell>
          <cell r="C3805">
            <v>201</v>
          </cell>
          <cell r="D3805">
            <v>13</v>
          </cell>
          <cell r="E3805" t="str">
            <v>Less: Financial intermediation services indirectly measured (FISIM) (only to be deducted if FISIM is not distributed to uses)</v>
          </cell>
          <cell r="F3805">
            <v>0</v>
          </cell>
          <cell r="G3805">
            <v>1994</v>
          </cell>
          <cell r="H3805">
            <v>100</v>
          </cell>
          <cell r="I3805">
            <v>68669000000</v>
          </cell>
        </row>
        <row r="3806">
          <cell r="A3806" t="str">
            <v>Czech Republic</v>
          </cell>
          <cell r="B3806">
            <v>203</v>
          </cell>
          <cell r="C3806">
            <v>201</v>
          </cell>
          <cell r="D3806">
            <v>13</v>
          </cell>
          <cell r="E3806" t="str">
            <v>Less: Financial intermediation services indirectly measured (FISIM) (only to be deducted if FISIM is not distributed to uses)</v>
          </cell>
          <cell r="F3806">
            <v>0</v>
          </cell>
          <cell r="G3806">
            <v>1995</v>
          </cell>
          <cell r="H3806">
            <v>100</v>
          </cell>
          <cell r="I3806">
            <v>66856000000</v>
          </cell>
        </row>
        <row r="3807">
          <cell r="A3807" t="str">
            <v>Czech Republic</v>
          </cell>
          <cell r="B3807">
            <v>203</v>
          </cell>
          <cell r="C3807">
            <v>201</v>
          </cell>
          <cell r="D3807">
            <v>13</v>
          </cell>
          <cell r="E3807" t="str">
            <v>Less: Financial intermediation services indirectly measured (FISIM) (only to be deducted if FISIM is not distributed to uses)</v>
          </cell>
          <cell r="F3807">
            <v>0</v>
          </cell>
          <cell r="G3807">
            <v>1995</v>
          </cell>
          <cell r="H3807">
            <v>200</v>
          </cell>
          <cell r="I3807">
            <v>46554000000</v>
          </cell>
        </row>
        <row r="3808">
          <cell r="A3808" t="str">
            <v>Czech Republic</v>
          </cell>
          <cell r="B3808">
            <v>203</v>
          </cell>
          <cell r="C3808">
            <v>201</v>
          </cell>
          <cell r="D3808">
            <v>13</v>
          </cell>
          <cell r="E3808" t="str">
            <v>Less: Financial intermediation services indirectly measured (FISIM) (only to be deducted if FISIM is not distributed to uses)</v>
          </cell>
          <cell r="F3808">
            <v>0</v>
          </cell>
          <cell r="G3808">
            <v>1996</v>
          </cell>
          <cell r="H3808">
            <v>200</v>
          </cell>
          <cell r="I3808">
            <v>44968000000</v>
          </cell>
        </row>
        <row r="3809">
          <cell r="A3809" t="str">
            <v>Czech Republic</v>
          </cell>
          <cell r="B3809">
            <v>203</v>
          </cell>
          <cell r="C3809">
            <v>201</v>
          </cell>
          <cell r="D3809">
            <v>13</v>
          </cell>
          <cell r="E3809" t="str">
            <v>Less: Financial intermediation services indirectly measured (FISIM) (only to be deducted if FISIM is not distributed to uses)</v>
          </cell>
          <cell r="F3809">
            <v>0</v>
          </cell>
          <cell r="G3809">
            <v>1997</v>
          </cell>
          <cell r="H3809">
            <v>200</v>
          </cell>
          <cell r="I3809">
            <v>45856000000</v>
          </cell>
        </row>
        <row r="3810">
          <cell r="A3810" t="str">
            <v>Czech Republic</v>
          </cell>
          <cell r="B3810">
            <v>203</v>
          </cell>
          <cell r="C3810">
            <v>201</v>
          </cell>
          <cell r="D3810">
            <v>13</v>
          </cell>
          <cell r="E3810" t="str">
            <v>Less: Financial intermediation services indirectly measured (FISIM) (only to be deducted if FISIM is not distributed to uses)</v>
          </cell>
          <cell r="F3810">
            <v>0</v>
          </cell>
          <cell r="G3810">
            <v>1998</v>
          </cell>
          <cell r="H3810">
            <v>200</v>
          </cell>
          <cell r="I3810">
            <v>43829000000</v>
          </cell>
        </row>
        <row r="3811">
          <cell r="A3811" t="str">
            <v>Czech Republic</v>
          </cell>
          <cell r="B3811">
            <v>203</v>
          </cell>
          <cell r="C3811">
            <v>201</v>
          </cell>
          <cell r="D3811">
            <v>13</v>
          </cell>
          <cell r="E3811" t="str">
            <v>Less: Financial intermediation services indirectly measured (FISIM) (only to be deducted if FISIM is not distributed to uses)</v>
          </cell>
          <cell r="F3811">
            <v>0</v>
          </cell>
          <cell r="G3811">
            <v>1999</v>
          </cell>
          <cell r="H3811">
            <v>200</v>
          </cell>
          <cell r="I3811">
            <v>43943000000</v>
          </cell>
        </row>
        <row r="3812">
          <cell r="A3812" t="str">
            <v>Czech Republic</v>
          </cell>
          <cell r="B3812">
            <v>203</v>
          </cell>
          <cell r="C3812">
            <v>201</v>
          </cell>
          <cell r="D3812">
            <v>13</v>
          </cell>
          <cell r="E3812" t="str">
            <v>Less: Financial intermediation services indirectly measured (FISIM) (only to be deducted if FISIM is not distributed to uses)</v>
          </cell>
          <cell r="F3812">
            <v>0</v>
          </cell>
          <cell r="G3812">
            <v>2000</v>
          </cell>
          <cell r="H3812">
            <v>200</v>
          </cell>
          <cell r="I3812">
            <v>35146000000</v>
          </cell>
        </row>
        <row r="3813">
          <cell r="A3813" t="str">
            <v>Czech Republic</v>
          </cell>
          <cell r="B3813">
            <v>203</v>
          </cell>
          <cell r="C3813">
            <v>201</v>
          </cell>
          <cell r="D3813">
            <v>13</v>
          </cell>
          <cell r="E3813" t="str">
            <v>Less: Financial intermediation services indirectly measured (FISIM) (only to be deducted if FISIM is not distributed to uses)</v>
          </cell>
          <cell r="F3813">
            <v>0</v>
          </cell>
          <cell r="G3813">
            <v>2001</v>
          </cell>
          <cell r="H3813">
            <v>200</v>
          </cell>
          <cell r="I3813">
            <v>37904000000</v>
          </cell>
        </row>
        <row r="3814">
          <cell r="A3814" t="str">
            <v>Czech Republic</v>
          </cell>
          <cell r="B3814">
            <v>203</v>
          </cell>
          <cell r="C3814">
            <v>201</v>
          </cell>
          <cell r="D3814">
            <v>13</v>
          </cell>
          <cell r="E3814" t="str">
            <v>Less: Financial intermediation services indirectly measured (FISIM) (only to be deducted if FISIM is not distributed to uses)</v>
          </cell>
          <cell r="F3814">
            <v>0</v>
          </cell>
          <cell r="G3814">
            <v>2002</v>
          </cell>
          <cell r="H3814">
            <v>200</v>
          </cell>
          <cell r="I3814">
            <v>42548000000</v>
          </cell>
        </row>
        <row r="3815">
          <cell r="A3815" t="str">
            <v>Belgium</v>
          </cell>
          <cell r="B3815">
            <v>56</v>
          </cell>
          <cell r="C3815">
            <v>203</v>
          </cell>
          <cell r="D3815">
            <v>3</v>
          </cell>
          <cell r="E3815" t="str">
            <v>Equals: VALUE ADDED, GROSS, at basic prices</v>
          </cell>
          <cell r="F3815">
            <v>12</v>
          </cell>
          <cell r="G3815">
            <v>1970</v>
          </cell>
          <cell r="H3815">
            <v>20</v>
          </cell>
          <cell r="I3815">
            <v>1290440000000</v>
          </cell>
        </row>
        <row r="3816">
          <cell r="A3816" t="str">
            <v>Belgium</v>
          </cell>
          <cell r="B3816">
            <v>56</v>
          </cell>
          <cell r="C3816">
            <v>203</v>
          </cell>
          <cell r="D3816">
            <v>3</v>
          </cell>
          <cell r="E3816" t="str">
            <v>Equals: VALUE ADDED, GROSS, at basic prices</v>
          </cell>
          <cell r="F3816">
            <v>12</v>
          </cell>
          <cell r="G3816">
            <v>1971</v>
          </cell>
          <cell r="H3816">
            <v>20</v>
          </cell>
          <cell r="I3816">
            <v>1419850000000</v>
          </cell>
        </row>
        <row r="3817">
          <cell r="A3817" t="str">
            <v>Belgium</v>
          </cell>
          <cell r="B3817">
            <v>56</v>
          </cell>
          <cell r="C3817">
            <v>203</v>
          </cell>
          <cell r="D3817">
            <v>3</v>
          </cell>
          <cell r="E3817" t="str">
            <v>Equals: VALUE ADDED, GROSS, at basic prices</v>
          </cell>
          <cell r="F3817">
            <v>12</v>
          </cell>
          <cell r="G3817">
            <v>1972</v>
          </cell>
          <cell r="H3817">
            <v>20</v>
          </cell>
          <cell r="I3817">
            <v>1594500000000</v>
          </cell>
        </row>
        <row r="3818">
          <cell r="A3818" t="str">
            <v>Belgium</v>
          </cell>
          <cell r="B3818">
            <v>56</v>
          </cell>
          <cell r="C3818">
            <v>203</v>
          </cell>
          <cell r="D3818">
            <v>3</v>
          </cell>
          <cell r="E3818" t="str">
            <v>Equals: VALUE ADDED, GROSS, at basic prices</v>
          </cell>
          <cell r="F3818">
            <v>12</v>
          </cell>
          <cell r="G3818">
            <v>1973</v>
          </cell>
          <cell r="H3818">
            <v>20</v>
          </cell>
          <cell r="I3818">
            <v>1819410000000</v>
          </cell>
        </row>
        <row r="3819">
          <cell r="A3819" t="str">
            <v>Belgium</v>
          </cell>
          <cell r="B3819">
            <v>56</v>
          </cell>
          <cell r="C3819">
            <v>203</v>
          </cell>
          <cell r="D3819">
            <v>3</v>
          </cell>
          <cell r="E3819" t="str">
            <v>Equals: VALUE ADDED, GROSS, at basic prices</v>
          </cell>
          <cell r="F3819">
            <v>12</v>
          </cell>
          <cell r="G3819">
            <v>1974</v>
          </cell>
          <cell r="H3819">
            <v>20</v>
          </cell>
          <cell r="I3819">
            <v>2139860000000</v>
          </cell>
        </row>
        <row r="3820">
          <cell r="A3820" t="str">
            <v>Belgium</v>
          </cell>
          <cell r="B3820">
            <v>56</v>
          </cell>
          <cell r="C3820">
            <v>203</v>
          </cell>
          <cell r="D3820">
            <v>3</v>
          </cell>
          <cell r="E3820" t="str">
            <v>Equals: VALUE ADDED, GROSS, at basic prices</v>
          </cell>
          <cell r="F3820">
            <v>12</v>
          </cell>
          <cell r="G3820">
            <v>1975</v>
          </cell>
          <cell r="H3820">
            <v>20</v>
          </cell>
          <cell r="I3820">
            <v>2341530000000</v>
          </cell>
        </row>
        <row r="3821">
          <cell r="A3821" t="str">
            <v>Belgium</v>
          </cell>
          <cell r="B3821">
            <v>56</v>
          </cell>
          <cell r="C3821">
            <v>203</v>
          </cell>
          <cell r="D3821">
            <v>3</v>
          </cell>
          <cell r="E3821" t="str">
            <v>Equals: VALUE ADDED, GROSS, at basic prices</v>
          </cell>
          <cell r="F3821">
            <v>12</v>
          </cell>
          <cell r="G3821">
            <v>1975</v>
          </cell>
          <cell r="H3821">
            <v>30</v>
          </cell>
          <cell r="I3821">
            <v>2163008000000</v>
          </cell>
        </row>
        <row r="3822">
          <cell r="A3822" t="str">
            <v>Belgium</v>
          </cell>
          <cell r="B3822">
            <v>56</v>
          </cell>
          <cell r="C3822">
            <v>203</v>
          </cell>
          <cell r="D3822">
            <v>3</v>
          </cell>
          <cell r="E3822" t="str">
            <v>Equals: VALUE ADDED, GROSS, at basic prices</v>
          </cell>
          <cell r="F3822">
            <v>12</v>
          </cell>
          <cell r="G3822">
            <v>1976</v>
          </cell>
          <cell r="H3822">
            <v>30</v>
          </cell>
          <cell r="I3822">
            <v>2446090000000</v>
          </cell>
        </row>
        <row r="3823">
          <cell r="A3823" t="str">
            <v>Belgium</v>
          </cell>
          <cell r="B3823">
            <v>56</v>
          </cell>
          <cell r="C3823">
            <v>203</v>
          </cell>
          <cell r="D3823">
            <v>3</v>
          </cell>
          <cell r="E3823" t="str">
            <v>Equals: VALUE ADDED, GROSS, at basic prices</v>
          </cell>
          <cell r="F3823">
            <v>12</v>
          </cell>
          <cell r="G3823">
            <v>1977</v>
          </cell>
          <cell r="H3823">
            <v>30</v>
          </cell>
          <cell r="I3823">
            <v>2642175000000</v>
          </cell>
        </row>
        <row r="3824">
          <cell r="A3824" t="str">
            <v>Belgium</v>
          </cell>
          <cell r="B3824">
            <v>56</v>
          </cell>
          <cell r="C3824">
            <v>203</v>
          </cell>
          <cell r="D3824">
            <v>3</v>
          </cell>
          <cell r="E3824" t="str">
            <v>Equals: VALUE ADDED, GROSS, at basic prices</v>
          </cell>
          <cell r="F3824">
            <v>12</v>
          </cell>
          <cell r="G3824">
            <v>1978</v>
          </cell>
          <cell r="H3824">
            <v>30</v>
          </cell>
          <cell r="I3824">
            <v>2835543000000</v>
          </cell>
        </row>
        <row r="3825">
          <cell r="A3825" t="str">
            <v>Belgium</v>
          </cell>
          <cell r="B3825">
            <v>56</v>
          </cell>
          <cell r="C3825">
            <v>203</v>
          </cell>
          <cell r="D3825">
            <v>3</v>
          </cell>
          <cell r="E3825" t="str">
            <v>Equals: VALUE ADDED, GROSS, at basic prices</v>
          </cell>
          <cell r="F3825">
            <v>12</v>
          </cell>
          <cell r="G3825">
            <v>1979</v>
          </cell>
          <cell r="H3825">
            <v>30</v>
          </cell>
          <cell r="I3825">
            <v>3030526000000</v>
          </cell>
        </row>
        <row r="3826">
          <cell r="A3826" t="str">
            <v>Belgium</v>
          </cell>
          <cell r="B3826">
            <v>56</v>
          </cell>
          <cell r="C3826">
            <v>203</v>
          </cell>
          <cell r="D3826">
            <v>3</v>
          </cell>
          <cell r="E3826" t="str">
            <v>Equals: VALUE ADDED, GROSS, at basic prices</v>
          </cell>
          <cell r="F3826">
            <v>12</v>
          </cell>
          <cell r="G3826">
            <v>1980</v>
          </cell>
          <cell r="H3826">
            <v>30</v>
          </cell>
          <cell r="I3826">
            <v>3327482000000</v>
          </cell>
        </row>
        <row r="3827">
          <cell r="A3827" t="str">
            <v>Belgium</v>
          </cell>
          <cell r="B3827">
            <v>56</v>
          </cell>
          <cell r="C3827">
            <v>203</v>
          </cell>
          <cell r="D3827">
            <v>3</v>
          </cell>
          <cell r="E3827" t="str">
            <v>Equals: VALUE ADDED, GROSS, at basic prices</v>
          </cell>
          <cell r="F3827">
            <v>12</v>
          </cell>
          <cell r="G3827">
            <v>1981</v>
          </cell>
          <cell r="H3827">
            <v>30</v>
          </cell>
          <cell r="I3827">
            <v>3474583000000</v>
          </cell>
        </row>
        <row r="3828">
          <cell r="A3828" t="str">
            <v>Belgium</v>
          </cell>
          <cell r="B3828">
            <v>56</v>
          </cell>
          <cell r="C3828">
            <v>203</v>
          </cell>
          <cell r="D3828">
            <v>3</v>
          </cell>
          <cell r="E3828" t="str">
            <v>Equals: VALUE ADDED, GROSS, at basic prices</v>
          </cell>
          <cell r="F3828">
            <v>12</v>
          </cell>
          <cell r="G3828">
            <v>1982</v>
          </cell>
          <cell r="H3828">
            <v>30</v>
          </cell>
          <cell r="I3828">
            <v>3766885000000</v>
          </cell>
        </row>
        <row r="3829">
          <cell r="A3829" t="str">
            <v>Belgium</v>
          </cell>
          <cell r="B3829">
            <v>56</v>
          </cell>
          <cell r="C3829">
            <v>203</v>
          </cell>
          <cell r="D3829">
            <v>3</v>
          </cell>
          <cell r="E3829" t="str">
            <v>Equals: VALUE ADDED, GROSS, at basic prices</v>
          </cell>
          <cell r="F3829">
            <v>12</v>
          </cell>
          <cell r="G3829">
            <v>1983</v>
          </cell>
          <cell r="H3829">
            <v>30</v>
          </cell>
          <cell r="I3829">
            <v>3981473000000</v>
          </cell>
        </row>
        <row r="3830">
          <cell r="A3830" t="str">
            <v>Belgium</v>
          </cell>
          <cell r="B3830">
            <v>56</v>
          </cell>
          <cell r="C3830">
            <v>203</v>
          </cell>
          <cell r="D3830">
            <v>3</v>
          </cell>
          <cell r="E3830" t="str">
            <v>Equals: VALUE ADDED, GROSS, at basic prices</v>
          </cell>
          <cell r="F3830">
            <v>12</v>
          </cell>
          <cell r="G3830">
            <v>1984</v>
          </cell>
          <cell r="H3830">
            <v>30</v>
          </cell>
          <cell r="I3830">
            <v>4315543000000</v>
          </cell>
        </row>
        <row r="3831">
          <cell r="A3831" t="str">
            <v>Belgium</v>
          </cell>
          <cell r="B3831">
            <v>56</v>
          </cell>
          <cell r="C3831">
            <v>203</v>
          </cell>
          <cell r="D3831">
            <v>3</v>
          </cell>
          <cell r="E3831" t="str">
            <v>Equals: VALUE ADDED, GROSS, at basic prices</v>
          </cell>
          <cell r="F3831">
            <v>12</v>
          </cell>
          <cell r="G3831">
            <v>1985</v>
          </cell>
          <cell r="H3831">
            <v>30</v>
          </cell>
          <cell r="I3831">
            <v>4624551000000</v>
          </cell>
        </row>
        <row r="3832">
          <cell r="A3832" t="str">
            <v>Belgium</v>
          </cell>
          <cell r="B3832">
            <v>56</v>
          </cell>
          <cell r="C3832">
            <v>203</v>
          </cell>
          <cell r="D3832">
            <v>3</v>
          </cell>
          <cell r="E3832" t="str">
            <v>Equals: VALUE ADDED, GROSS, at basic prices</v>
          </cell>
          <cell r="F3832">
            <v>12</v>
          </cell>
          <cell r="G3832">
            <v>1986</v>
          </cell>
          <cell r="H3832">
            <v>30</v>
          </cell>
          <cell r="I3832">
            <v>4895162000000</v>
          </cell>
        </row>
        <row r="3833">
          <cell r="A3833" t="str">
            <v>Belgium</v>
          </cell>
          <cell r="B3833">
            <v>56</v>
          </cell>
          <cell r="C3833">
            <v>203</v>
          </cell>
          <cell r="D3833">
            <v>3</v>
          </cell>
          <cell r="E3833" t="str">
            <v>Equals: VALUE ADDED, GROSS, at basic prices</v>
          </cell>
          <cell r="F3833">
            <v>12</v>
          </cell>
          <cell r="G3833">
            <v>1987</v>
          </cell>
          <cell r="H3833">
            <v>30</v>
          </cell>
          <cell r="I3833">
            <v>5092905000000</v>
          </cell>
        </row>
        <row r="3834">
          <cell r="A3834" t="str">
            <v>Belgium</v>
          </cell>
          <cell r="B3834">
            <v>56</v>
          </cell>
          <cell r="C3834">
            <v>203</v>
          </cell>
          <cell r="D3834">
            <v>3</v>
          </cell>
          <cell r="E3834" t="str">
            <v>Equals: VALUE ADDED, GROSS, at basic prices</v>
          </cell>
          <cell r="F3834">
            <v>12</v>
          </cell>
          <cell r="G3834">
            <v>1988</v>
          </cell>
          <cell r="H3834">
            <v>30</v>
          </cell>
          <cell r="I3834">
            <v>5436134000000</v>
          </cell>
        </row>
        <row r="3835">
          <cell r="A3835" t="str">
            <v>Belgium</v>
          </cell>
          <cell r="B3835">
            <v>56</v>
          </cell>
          <cell r="C3835">
            <v>203</v>
          </cell>
          <cell r="D3835">
            <v>3</v>
          </cell>
          <cell r="E3835" t="str">
            <v>Equals: VALUE ADDED, GROSS, at basic prices</v>
          </cell>
          <cell r="F3835">
            <v>12</v>
          </cell>
          <cell r="G3835">
            <v>1989</v>
          </cell>
          <cell r="H3835">
            <v>30</v>
          </cell>
          <cell r="I3835">
            <v>5875065000000</v>
          </cell>
        </row>
        <row r="3836">
          <cell r="A3836" t="str">
            <v>Belgium</v>
          </cell>
          <cell r="B3836">
            <v>56</v>
          </cell>
          <cell r="C3836">
            <v>203</v>
          </cell>
          <cell r="D3836">
            <v>3</v>
          </cell>
          <cell r="E3836" t="str">
            <v>Equals: VALUE ADDED, GROSS, at basic prices</v>
          </cell>
          <cell r="F3836">
            <v>12</v>
          </cell>
          <cell r="G3836">
            <v>1990</v>
          </cell>
          <cell r="H3836">
            <v>30</v>
          </cell>
          <cell r="I3836">
            <v>6222748000000</v>
          </cell>
        </row>
        <row r="3837">
          <cell r="A3837" t="str">
            <v>Belgium</v>
          </cell>
          <cell r="B3837">
            <v>56</v>
          </cell>
          <cell r="C3837">
            <v>203</v>
          </cell>
          <cell r="D3837">
            <v>3</v>
          </cell>
          <cell r="E3837" t="str">
            <v>Equals: VALUE ADDED, GROSS, at basic prices</v>
          </cell>
          <cell r="F3837">
            <v>12</v>
          </cell>
          <cell r="G3837">
            <v>1991</v>
          </cell>
          <cell r="H3837">
            <v>30</v>
          </cell>
          <cell r="I3837">
            <v>6527478000000</v>
          </cell>
        </row>
        <row r="3838">
          <cell r="A3838" t="str">
            <v>Belgium</v>
          </cell>
          <cell r="B3838">
            <v>56</v>
          </cell>
          <cell r="C3838">
            <v>203</v>
          </cell>
          <cell r="D3838">
            <v>3</v>
          </cell>
          <cell r="E3838" t="str">
            <v>Equals: VALUE ADDED, GROSS, at basic prices</v>
          </cell>
          <cell r="F3838">
            <v>12</v>
          </cell>
          <cell r="G3838">
            <v>1992</v>
          </cell>
          <cell r="H3838">
            <v>30</v>
          </cell>
          <cell r="I3838">
            <v>6887380000000</v>
          </cell>
        </row>
        <row r="3839">
          <cell r="A3839" t="str">
            <v>Belgium</v>
          </cell>
          <cell r="B3839">
            <v>56</v>
          </cell>
          <cell r="C3839">
            <v>203</v>
          </cell>
          <cell r="D3839">
            <v>3</v>
          </cell>
          <cell r="E3839" t="str">
            <v>Equals: VALUE ADDED, GROSS, at basic prices</v>
          </cell>
          <cell r="F3839">
            <v>12</v>
          </cell>
          <cell r="G3839">
            <v>1993</v>
          </cell>
          <cell r="H3839">
            <v>30</v>
          </cell>
          <cell r="I3839">
            <v>7060755000000</v>
          </cell>
        </row>
        <row r="3840">
          <cell r="A3840" t="str">
            <v>Belgium</v>
          </cell>
          <cell r="B3840">
            <v>56</v>
          </cell>
          <cell r="C3840">
            <v>203</v>
          </cell>
          <cell r="D3840">
            <v>3</v>
          </cell>
          <cell r="E3840" t="str">
            <v>Equals: VALUE ADDED, GROSS, at basic prices</v>
          </cell>
          <cell r="F3840">
            <v>12</v>
          </cell>
          <cell r="G3840">
            <v>1994</v>
          </cell>
          <cell r="H3840">
            <v>30</v>
          </cell>
          <cell r="I3840">
            <v>7384161000000</v>
          </cell>
        </row>
        <row r="3841">
          <cell r="A3841" t="str">
            <v>Belgium</v>
          </cell>
          <cell r="B3841">
            <v>56</v>
          </cell>
          <cell r="C3841">
            <v>203</v>
          </cell>
          <cell r="D3841">
            <v>3</v>
          </cell>
          <cell r="E3841" t="str">
            <v>Equals: VALUE ADDED, GROSS, at basic prices</v>
          </cell>
          <cell r="F3841">
            <v>12</v>
          </cell>
          <cell r="G3841">
            <v>1995</v>
          </cell>
          <cell r="H3841">
            <v>30</v>
          </cell>
          <cell r="I3841">
            <v>7695197000000</v>
          </cell>
        </row>
        <row r="3842">
          <cell r="A3842" t="str">
            <v>Belgium</v>
          </cell>
          <cell r="B3842">
            <v>56</v>
          </cell>
          <cell r="C3842">
            <v>203</v>
          </cell>
          <cell r="D3842">
            <v>3</v>
          </cell>
          <cell r="E3842" t="str">
            <v>Equals: VALUE ADDED, GROSS, at basic prices</v>
          </cell>
          <cell r="F3842">
            <v>12</v>
          </cell>
          <cell r="G3842">
            <v>1995</v>
          </cell>
          <cell r="H3842">
            <v>200</v>
          </cell>
          <cell r="I3842">
            <v>190125100000</v>
          </cell>
        </row>
        <row r="3843">
          <cell r="A3843" t="str">
            <v>Belgium</v>
          </cell>
          <cell r="B3843">
            <v>56</v>
          </cell>
          <cell r="C3843">
            <v>203</v>
          </cell>
          <cell r="D3843">
            <v>3</v>
          </cell>
          <cell r="E3843" t="str">
            <v>Equals: VALUE ADDED, GROSS, at basic prices</v>
          </cell>
          <cell r="F3843">
            <v>12</v>
          </cell>
          <cell r="G3843">
            <v>1996</v>
          </cell>
          <cell r="H3843">
            <v>200</v>
          </cell>
          <cell r="I3843">
            <v>194278400000</v>
          </cell>
        </row>
        <row r="3844">
          <cell r="A3844" t="str">
            <v>Belgium</v>
          </cell>
          <cell r="B3844">
            <v>56</v>
          </cell>
          <cell r="C3844">
            <v>203</v>
          </cell>
          <cell r="D3844">
            <v>3</v>
          </cell>
          <cell r="E3844" t="str">
            <v>Equals: VALUE ADDED, GROSS, at basic prices</v>
          </cell>
          <cell r="F3844">
            <v>12</v>
          </cell>
          <cell r="G3844">
            <v>1997</v>
          </cell>
          <cell r="H3844">
            <v>200</v>
          </cell>
          <cell r="I3844">
            <v>202536000000</v>
          </cell>
        </row>
        <row r="3845">
          <cell r="A3845" t="str">
            <v>Belgium</v>
          </cell>
          <cell r="B3845">
            <v>56</v>
          </cell>
          <cell r="C3845">
            <v>203</v>
          </cell>
          <cell r="D3845">
            <v>3</v>
          </cell>
          <cell r="E3845" t="str">
            <v>Equals: VALUE ADDED, GROSS, at basic prices</v>
          </cell>
          <cell r="F3845">
            <v>12</v>
          </cell>
          <cell r="G3845">
            <v>1998</v>
          </cell>
          <cell r="H3845">
            <v>200</v>
          </cell>
          <cell r="I3845">
            <v>210343400000</v>
          </cell>
        </row>
        <row r="3846">
          <cell r="A3846" t="str">
            <v>Belgium</v>
          </cell>
          <cell r="B3846">
            <v>56</v>
          </cell>
          <cell r="C3846">
            <v>203</v>
          </cell>
          <cell r="D3846">
            <v>3</v>
          </cell>
          <cell r="E3846" t="str">
            <v>Equals: VALUE ADDED, GROSS, at basic prices</v>
          </cell>
          <cell r="F3846">
            <v>12</v>
          </cell>
          <cell r="G3846">
            <v>1999</v>
          </cell>
          <cell r="H3846">
            <v>200</v>
          </cell>
          <cell r="I3846">
            <v>218717600000</v>
          </cell>
        </row>
        <row r="3847">
          <cell r="A3847" t="str">
            <v>Belgium</v>
          </cell>
          <cell r="B3847">
            <v>56</v>
          </cell>
          <cell r="C3847">
            <v>203</v>
          </cell>
          <cell r="D3847">
            <v>3</v>
          </cell>
          <cell r="E3847" t="str">
            <v>Equals: VALUE ADDED, GROSS, at basic prices</v>
          </cell>
          <cell r="F3847">
            <v>12</v>
          </cell>
          <cell r="G3847">
            <v>2000</v>
          </cell>
          <cell r="H3847">
            <v>200</v>
          </cell>
          <cell r="I3847">
            <v>228743700000</v>
          </cell>
        </row>
        <row r="3848">
          <cell r="A3848" t="str">
            <v>Belgium</v>
          </cell>
          <cell r="B3848">
            <v>56</v>
          </cell>
          <cell r="C3848">
            <v>203</v>
          </cell>
          <cell r="D3848">
            <v>3</v>
          </cell>
          <cell r="E3848" t="str">
            <v>Equals: VALUE ADDED, GROSS, at basic prices</v>
          </cell>
          <cell r="F3848">
            <v>12</v>
          </cell>
          <cell r="G3848">
            <v>2001</v>
          </cell>
          <cell r="H3848">
            <v>200</v>
          </cell>
          <cell r="I3848">
            <v>235109500000</v>
          </cell>
        </row>
        <row r="3849">
          <cell r="A3849" t="str">
            <v>Belgium</v>
          </cell>
          <cell r="B3849">
            <v>56</v>
          </cell>
          <cell r="C3849">
            <v>203</v>
          </cell>
          <cell r="D3849">
            <v>3</v>
          </cell>
          <cell r="E3849" t="str">
            <v>Equals: VALUE ADDED, GROSS, at basic prices</v>
          </cell>
          <cell r="F3849">
            <v>12</v>
          </cell>
          <cell r="G3849">
            <v>2002</v>
          </cell>
          <cell r="H3849">
            <v>200</v>
          </cell>
          <cell r="I3849">
            <v>239770200000</v>
          </cell>
        </row>
        <row r="3850">
          <cell r="A3850" t="str">
            <v>Belgium</v>
          </cell>
          <cell r="B3850">
            <v>56</v>
          </cell>
          <cell r="C3850">
            <v>203</v>
          </cell>
          <cell r="D3850">
            <v>4</v>
          </cell>
          <cell r="E3850" t="str">
            <v>Compensation of employees</v>
          </cell>
          <cell r="F3850">
            <v>12</v>
          </cell>
          <cell r="G3850">
            <v>1975</v>
          </cell>
          <cell r="H3850">
            <v>30</v>
          </cell>
          <cell r="I3850">
            <v>1313747000000</v>
          </cell>
        </row>
        <row r="3851">
          <cell r="A3851" t="str">
            <v>Belgium</v>
          </cell>
          <cell r="B3851">
            <v>56</v>
          </cell>
          <cell r="C3851">
            <v>203</v>
          </cell>
          <cell r="D3851">
            <v>4</v>
          </cell>
          <cell r="E3851" t="str">
            <v>Compensation of employees</v>
          </cell>
          <cell r="F3851">
            <v>12</v>
          </cell>
          <cell r="G3851">
            <v>1976</v>
          </cell>
          <cell r="H3851">
            <v>30</v>
          </cell>
          <cell r="I3851">
            <v>1515946000000</v>
          </cell>
        </row>
        <row r="3852">
          <cell r="A3852" t="str">
            <v>Belgium</v>
          </cell>
          <cell r="B3852">
            <v>56</v>
          </cell>
          <cell r="C3852">
            <v>203</v>
          </cell>
          <cell r="D3852">
            <v>4</v>
          </cell>
          <cell r="E3852" t="str">
            <v>Compensation of employees</v>
          </cell>
          <cell r="F3852">
            <v>12</v>
          </cell>
          <cell r="G3852">
            <v>1977</v>
          </cell>
          <cell r="H3852">
            <v>30</v>
          </cell>
          <cell r="I3852">
            <v>1646922000000</v>
          </cell>
        </row>
        <row r="3853">
          <cell r="A3853" t="str">
            <v>Belgium</v>
          </cell>
          <cell r="B3853">
            <v>56</v>
          </cell>
          <cell r="C3853">
            <v>203</v>
          </cell>
          <cell r="D3853">
            <v>4</v>
          </cell>
          <cell r="E3853" t="str">
            <v>Compensation of employees</v>
          </cell>
          <cell r="F3853">
            <v>12</v>
          </cell>
          <cell r="G3853">
            <v>1978</v>
          </cell>
          <cell r="H3853">
            <v>30</v>
          </cell>
          <cell r="I3853">
            <v>1767153000000</v>
          </cell>
        </row>
        <row r="3854">
          <cell r="A3854" t="str">
            <v>Belgium</v>
          </cell>
          <cell r="B3854">
            <v>56</v>
          </cell>
          <cell r="C3854">
            <v>203</v>
          </cell>
          <cell r="D3854">
            <v>4</v>
          </cell>
          <cell r="E3854" t="str">
            <v>Compensation of employees</v>
          </cell>
          <cell r="F3854">
            <v>12</v>
          </cell>
          <cell r="G3854">
            <v>1979</v>
          </cell>
          <cell r="H3854">
            <v>30</v>
          </cell>
          <cell r="I3854">
            <v>1888888000000</v>
          </cell>
        </row>
        <row r="3855">
          <cell r="A3855" t="str">
            <v>Belgium</v>
          </cell>
          <cell r="B3855">
            <v>56</v>
          </cell>
          <cell r="C3855">
            <v>203</v>
          </cell>
          <cell r="D3855">
            <v>4</v>
          </cell>
          <cell r="E3855" t="str">
            <v>Compensation of employees</v>
          </cell>
          <cell r="F3855">
            <v>12</v>
          </cell>
          <cell r="G3855">
            <v>1980</v>
          </cell>
          <cell r="H3855">
            <v>30</v>
          </cell>
          <cell r="I3855">
            <v>2083572000000</v>
          </cell>
        </row>
        <row r="3856">
          <cell r="A3856" t="str">
            <v>Belgium</v>
          </cell>
          <cell r="B3856">
            <v>56</v>
          </cell>
          <cell r="C3856">
            <v>203</v>
          </cell>
          <cell r="D3856">
            <v>4</v>
          </cell>
          <cell r="E3856" t="str">
            <v>Compensation of employees</v>
          </cell>
          <cell r="F3856">
            <v>12</v>
          </cell>
          <cell r="G3856">
            <v>1981</v>
          </cell>
          <cell r="H3856">
            <v>30</v>
          </cell>
          <cell r="I3856">
            <v>2166910000000</v>
          </cell>
        </row>
        <row r="3857">
          <cell r="A3857" t="str">
            <v>Belgium</v>
          </cell>
          <cell r="B3857">
            <v>56</v>
          </cell>
          <cell r="C3857">
            <v>203</v>
          </cell>
          <cell r="D3857">
            <v>4</v>
          </cell>
          <cell r="E3857" t="str">
            <v>Compensation of employees</v>
          </cell>
          <cell r="F3857">
            <v>12</v>
          </cell>
          <cell r="G3857">
            <v>1982</v>
          </cell>
          <cell r="H3857">
            <v>30</v>
          </cell>
          <cell r="I3857">
            <v>2276726000000</v>
          </cell>
        </row>
        <row r="3858">
          <cell r="A3858" t="str">
            <v>Belgium</v>
          </cell>
          <cell r="B3858">
            <v>56</v>
          </cell>
          <cell r="C3858">
            <v>203</v>
          </cell>
          <cell r="D3858">
            <v>4</v>
          </cell>
          <cell r="E3858" t="str">
            <v>Compensation of employees</v>
          </cell>
          <cell r="F3858">
            <v>12</v>
          </cell>
          <cell r="G3858">
            <v>1983</v>
          </cell>
          <cell r="H3858">
            <v>30</v>
          </cell>
          <cell r="I3858">
            <v>2370662000000</v>
          </cell>
        </row>
        <row r="3859">
          <cell r="A3859" t="str">
            <v>Belgium</v>
          </cell>
          <cell r="B3859">
            <v>56</v>
          </cell>
          <cell r="C3859">
            <v>203</v>
          </cell>
          <cell r="D3859">
            <v>4</v>
          </cell>
          <cell r="E3859" t="str">
            <v>Compensation of employees</v>
          </cell>
          <cell r="F3859">
            <v>12</v>
          </cell>
          <cell r="G3859">
            <v>1984</v>
          </cell>
          <cell r="H3859">
            <v>30</v>
          </cell>
          <cell r="I3859">
            <v>2528227000000</v>
          </cell>
        </row>
        <row r="3860">
          <cell r="A3860" t="str">
            <v>Belgium</v>
          </cell>
          <cell r="B3860">
            <v>56</v>
          </cell>
          <cell r="C3860">
            <v>203</v>
          </cell>
          <cell r="D3860">
            <v>4</v>
          </cell>
          <cell r="E3860" t="str">
            <v>Compensation of employees</v>
          </cell>
          <cell r="F3860">
            <v>12</v>
          </cell>
          <cell r="G3860">
            <v>1985</v>
          </cell>
          <cell r="H3860">
            <v>30</v>
          </cell>
          <cell r="I3860">
            <v>2668512000000</v>
          </cell>
        </row>
        <row r="3861">
          <cell r="A3861" t="str">
            <v>Belgium</v>
          </cell>
          <cell r="B3861">
            <v>56</v>
          </cell>
          <cell r="C3861">
            <v>203</v>
          </cell>
          <cell r="D3861">
            <v>4</v>
          </cell>
          <cell r="E3861" t="str">
            <v>Compensation of employees</v>
          </cell>
          <cell r="F3861">
            <v>12</v>
          </cell>
          <cell r="G3861">
            <v>1986</v>
          </cell>
          <cell r="H3861">
            <v>30</v>
          </cell>
          <cell r="I3861">
            <v>2786859000000</v>
          </cell>
        </row>
        <row r="3862">
          <cell r="A3862" t="str">
            <v>Belgium</v>
          </cell>
          <cell r="B3862">
            <v>56</v>
          </cell>
          <cell r="C3862">
            <v>203</v>
          </cell>
          <cell r="D3862">
            <v>4</v>
          </cell>
          <cell r="E3862" t="str">
            <v>Compensation of employees</v>
          </cell>
          <cell r="F3862">
            <v>12</v>
          </cell>
          <cell r="G3862">
            <v>1987</v>
          </cell>
          <cell r="H3862">
            <v>30</v>
          </cell>
          <cell r="I3862">
            <v>2857477000000</v>
          </cell>
        </row>
        <row r="3863">
          <cell r="A3863" t="str">
            <v>Belgium</v>
          </cell>
          <cell r="B3863">
            <v>56</v>
          </cell>
          <cell r="C3863">
            <v>203</v>
          </cell>
          <cell r="D3863">
            <v>4</v>
          </cell>
          <cell r="E3863" t="str">
            <v>Compensation of employees</v>
          </cell>
          <cell r="F3863">
            <v>12</v>
          </cell>
          <cell r="G3863">
            <v>1988</v>
          </cell>
          <cell r="H3863">
            <v>30</v>
          </cell>
          <cell r="I3863">
            <v>2974232000000</v>
          </cell>
        </row>
        <row r="3864">
          <cell r="A3864" t="str">
            <v>Belgium</v>
          </cell>
          <cell r="B3864">
            <v>56</v>
          </cell>
          <cell r="C3864">
            <v>203</v>
          </cell>
          <cell r="D3864">
            <v>4</v>
          </cell>
          <cell r="E3864" t="str">
            <v>Compensation of employees</v>
          </cell>
          <cell r="F3864">
            <v>12</v>
          </cell>
          <cell r="G3864">
            <v>1989</v>
          </cell>
          <cell r="H3864">
            <v>30</v>
          </cell>
          <cell r="I3864">
            <v>3124942000000</v>
          </cell>
        </row>
        <row r="3865">
          <cell r="A3865" t="str">
            <v>Belgium</v>
          </cell>
          <cell r="B3865">
            <v>56</v>
          </cell>
          <cell r="C3865">
            <v>203</v>
          </cell>
          <cell r="D3865">
            <v>4</v>
          </cell>
          <cell r="E3865" t="str">
            <v>Compensation of employees</v>
          </cell>
          <cell r="F3865">
            <v>12</v>
          </cell>
          <cell r="G3865">
            <v>1990</v>
          </cell>
          <cell r="H3865">
            <v>30</v>
          </cell>
          <cell r="I3865">
            <v>3389242000000</v>
          </cell>
        </row>
        <row r="3866">
          <cell r="A3866" t="str">
            <v>Belgium</v>
          </cell>
          <cell r="B3866">
            <v>56</v>
          </cell>
          <cell r="C3866">
            <v>203</v>
          </cell>
          <cell r="D3866">
            <v>4</v>
          </cell>
          <cell r="E3866" t="str">
            <v>Compensation of employees</v>
          </cell>
          <cell r="F3866">
            <v>12</v>
          </cell>
          <cell r="G3866">
            <v>1991</v>
          </cell>
          <cell r="H3866">
            <v>30</v>
          </cell>
          <cell r="I3866">
            <v>3639760000000</v>
          </cell>
        </row>
        <row r="3867">
          <cell r="A3867" t="str">
            <v>Belgium</v>
          </cell>
          <cell r="B3867">
            <v>56</v>
          </cell>
          <cell r="C3867">
            <v>203</v>
          </cell>
          <cell r="D3867">
            <v>4</v>
          </cell>
          <cell r="E3867" t="str">
            <v>Compensation of employees</v>
          </cell>
          <cell r="F3867">
            <v>12</v>
          </cell>
          <cell r="G3867">
            <v>1992</v>
          </cell>
          <cell r="H3867">
            <v>30</v>
          </cell>
          <cell r="I3867">
            <v>3827573000000</v>
          </cell>
        </row>
        <row r="3868">
          <cell r="A3868" t="str">
            <v>Belgium</v>
          </cell>
          <cell r="B3868">
            <v>56</v>
          </cell>
          <cell r="C3868">
            <v>203</v>
          </cell>
          <cell r="D3868">
            <v>4</v>
          </cell>
          <cell r="E3868" t="str">
            <v>Compensation of employees</v>
          </cell>
          <cell r="F3868">
            <v>12</v>
          </cell>
          <cell r="G3868">
            <v>1993</v>
          </cell>
          <cell r="H3868">
            <v>30</v>
          </cell>
          <cell r="I3868">
            <v>3919667000000</v>
          </cell>
        </row>
        <row r="3869">
          <cell r="A3869" t="str">
            <v>Belgium</v>
          </cell>
          <cell r="B3869">
            <v>56</v>
          </cell>
          <cell r="C3869">
            <v>203</v>
          </cell>
          <cell r="D3869">
            <v>4</v>
          </cell>
          <cell r="E3869" t="str">
            <v>Compensation of employees</v>
          </cell>
          <cell r="F3869">
            <v>12</v>
          </cell>
          <cell r="G3869">
            <v>1994</v>
          </cell>
          <cell r="H3869">
            <v>30</v>
          </cell>
          <cell r="I3869">
            <v>4058039000000</v>
          </cell>
        </row>
        <row r="3870">
          <cell r="A3870" t="str">
            <v>Belgium</v>
          </cell>
          <cell r="B3870">
            <v>56</v>
          </cell>
          <cell r="C3870">
            <v>203</v>
          </cell>
          <cell r="D3870">
            <v>4</v>
          </cell>
          <cell r="E3870" t="str">
            <v>Compensation of employees</v>
          </cell>
          <cell r="F3870">
            <v>12</v>
          </cell>
          <cell r="G3870">
            <v>1995</v>
          </cell>
          <cell r="H3870">
            <v>30</v>
          </cell>
          <cell r="I3870">
            <v>4179692000000</v>
          </cell>
        </row>
        <row r="3871">
          <cell r="A3871" t="str">
            <v>Belgium</v>
          </cell>
          <cell r="B3871">
            <v>56</v>
          </cell>
          <cell r="C3871">
            <v>203</v>
          </cell>
          <cell r="D3871">
            <v>4</v>
          </cell>
          <cell r="E3871" t="str">
            <v>Compensation of employees</v>
          </cell>
          <cell r="F3871">
            <v>12</v>
          </cell>
          <cell r="G3871">
            <v>1995</v>
          </cell>
          <cell r="H3871">
            <v>200</v>
          </cell>
          <cell r="I3871">
            <v>105199000000</v>
          </cell>
        </row>
        <row r="3872">
          <cell r="A3872" t="str">
            <v>Belgium</v>
          </cell>
          <cell r="B3872">
            <v>56</v>
          </cell>
          <cell r="C3872">
            <v>203</v>
          </cell>
          <cell r="D3872">
            <v>4</v>
          </cell>
          <cell r="E3872" t="str">
            <v>Compensation of employees</v>
          </cell>
          <cell r="F3872">
            <v>12</v>
          </cell>
          <cell r="G3872">
            <v>1996</v>
          </cell>
          <cell r="H3872">
            <v>200</v>
          </cell>
          <cell r="I3872">
            <v>107060500000</v>
          </cell>
        </row>
        <row r="3873">
          <cell r="A3873" t="str">
            <v>Belgium</v>
          </cell>
          <cell r="B3873">
            <v>56</v>
          </cell>
          <cell r="C3873">
            <v>203</v>
          </cell>
          <cell r="D3873">
            <v>4</v>
          </cell>
          <cell r="E3873" t="str">
            <v>Compensation of employees</v>
          </cell>
          <cell r="F3873">
            <v>12</v>
          </cell>
          <cell r="G3873">
            <v>1997</v>
          </cell>
          <cell r="H3873">
            <v>200</v>
          </cell>
          <cell r="I3873">
            <v>111440100000</v>
          </cell>
        </row>
        <row r="3874">
          <cell r="A3874" t="str">
            <v>Belgium</v>
          </cell>
          <cell r="B3874">
            <v>56</v>
          </cell>
          <cell r="C3874">
            <v>203</v>
          </cell>
          <cell r="D3874">
            <v>4</v>
          </cell>
          <cell r="E3874" t="str">
            <v>Compensation of employees</v>
          </cell>
          <cell r="F3874">
            <v>12</v>
          </cell>
          <cell r="G3874">
            <v>1998</v>
          </cell>
          <cell r="H3874">
            <v>200</v>
          </cell>
          <cell r="I3874">
            <v>115254200000</v>
          </cell>
        </row>
        <row r="3875">
          <cell r="A3875" t="str">
            <v>Belgium</v>
          </cell>
          <cell r="B3875">
            <v>56</v>
          </cell>
          <cell r="C3875">
            <v>203</v>
          </cell>
          <cell r="D3875">
            <v>4</v>
          </cell>
          <cell r="E3875" t="str">
            <v>Compensation of employees</v>
          </cell>
          <cell r="F3875">
            <v>12</v>
          </cell>
          <cell r="G3875">
            <v>1999</v>
          </cell>
          <cell r="H3875">
            <v>200</v>
          </cell>
          <cell r="I3875">
            <v>121310400000</v>
          </cell>
        </row>
        <row r="3876">
          <cell r="A3876" t="str">
            <v>Belgium</v>
          </cell>
          <cell r="B3876">
            <v>56</v>
          </cell>
          <cell r="C3876">
            <v>203</v>
          </cell>
          <cell r="D3876">
            <v>4</v>
          </cell>
          <cell r="E3876" t="str">
            <v>Compensation of employees</v>
          </cell>
          <cell r="F3876">
            <v>12</v>
          </cell>
          <cell r="G3876">
            <v>2000</v>
          </cell>
          <cell r="H3876">
            <v>200</v>
          </cell>
          <cell r="I3876">
            <v>126838800000</v>
          </cell>
        </row>
        <row r="3877">
          <cell r="A3877" t="str">
            <v>Belgium</v>
          </cell>
          <cell r="B3877">
            <v>56</v>
          </cell>
          <cell r="C3877">
            <v>203</v>
          </cell>
          <cell r="D3877">
            <v>4</v>
          </cell>
          <cell r="E3877" t="str">
            <v>Compensation of employees</v>
          </cell>
          <cell r="F3877">
            <v>12</v>
          </cell>
          <cell r="G3877">
            <v>2001</v>
          </cell>
          <cell r="H3877">
            <v>200</v>
          </cell>
          <cell r="I3877">
            <v>134047700000</v>
          </cell>
        </row>
        <row r="3878">
          <cell r="A3878" t="str">
            <v>Belgium</v>
          </cell>
          <cell r="B3878">
            <v>56</v>
          </cell>
          <cell r="C3878">
            <v>203</v>
          </cell>
          <cell r="D3878">
            <v>4</v>
          </cell>
          <cell r="E3878" t="str">
            <v>Compensation of employees</v>
          </cell>
          <cell r="F3878">
            <v>12</v>
          </cell>
          <cell r="G3878">
            <v>2002</v>
          </cell>
          <cell r="H3878">
            <v>200</v>
          </cell>
          <cell r="I3878">
            <v>139342500000</v>
          </cell>
        </row>
        <row r="3879">
          <cell r="A3879" t="str">
            <v>Belgium</v>
          </cell>
          <cell r="B3879">
            <v>56</v>
          </cell>
          <cell r="C3879">
            <v>203</v>
          </cell>
          <cell r="D3879">
            <v>11</v>
          </cell>
          <cell r="E3879" t="str">
            <v>OPERATING SURPLUS, GROSS</v>
          </cell>
          <cell r="F3879">
            <v>12</v>
          </cell>
          <cell r="G3879">
            <v>1995</v>
          </cell>
          <cell r="H3879">
            <v>200</v>
          </cell>
          <cell r="I3879">
            <v>82418100000</v>
          </cell>
        </row>
        <row r="3880">
          <cell r="A3880" t="str">
            <v>Czech Republic</v>
          </cell>
          <cell r="B3880">
            <v>203</v>
          </cell>
          <cell r="C3880">
            <v>203</v>
          </cell>
          <cell r="D3880">
            <v>3</v>
          </cell>
          <cell r="E3880" t="str">
            <v>Equals: VALUE ADDED, GROSS, at basic prices</v>
          </cell>
          <cell r="F3880">
            <v>12</v>
          </cell>
          <cell r="G3880">
            <v>1990</v>
          </cell>
          <cell r="H3880">
            <v>100</v>
          </cell>
          <cell r="I3880">
            <v>589607000000</v>
          </cell>
        </row>
        <row r="3881">
          <cell r="A3881" t="str">
            <v>Czech Republic</v>
          </cell>
          <cell r="B3881">
            <v>203</v>
          </cell>
          <cell r="C3881">
            <v>203</v>
          </cell>
          <cell r="D3881">
            <v>3</v>
          </cell>
          <cell r="E3881" t="str">
            <v>Equals: VALUE ADDED, GROSS, at basic prices</v>
          </cell>
          <cell r="F3881">
            <v>12</v>
          </cell>
          <cell r="G3881">
            <v>1991</v>
          </cell>
          <cell r="H3881">
            <v>100</v>
          </cell>
          <cell r="I3881">
            <v>712898000000</v>
          </cell>
        </row>
        <row r="3882">
          <cell r="A3882" t="str">
            <v>Czech Republic</v>
          </cell>
          <cell r="B3882">
            <v>203</v>
          </cell>
          <cell r="C3882">
            <v>203</v>
          </cell>
          <cell r="D3882">
            <v>3</v>
          </cell>
          <cell r="E3882" t="str">
            <v>Equals: VALUE ADDED, GROSS, at basic prices</v>
          </cell>
          <cell r="F3882">
            <v>12</v>
          </cell>
          <cell r="G3882">
            <v>1992</v>
          </cell>
          <cell r="H3882">
            <v>100</v>
          </cell>
          <cell r="I3882">
            <v>794032000000</v>
          </cell>
        </row>
        <row r="3883">
          <cell r="A3883" t="str">
            <v>Czech Republic</v>
          </cell>
          <cell r="B3883">
            <v>203</v>
          </cell>
          <cell r="C3883">
            <v>203</v>
          </cell>
          <cell r="D3883">
            <v>3</v>
          </cell>
          <cell r="E3883" t="str">
            <v>Equals: VALUE ADDED, GROSS, at basic prices</v>
          </cell>
          <cell r="F3883">
            <v>12</v>
          </cell>
          <cell r="G3883">
            <v>1993</v>
          </cell>
          <cell r="H3883">
            <v>100</v>
          </cell>
          <cell r="I3883">
            <v>963838000000</v>
          </cell>
        </row>
        <row r="3884">
          <cell r="A3884" t="str">
            <v>Czech Republic</v>
          </cell>
          <cell r="B3884">
            <v>203</v>
          </cell>
          <cell r="C3884">
            <v>203</v>
          </cell>
          <cell r="D3884">
            <v>3</v>
          </cell>
          <cell r="E3884" t="str">
            <v>Equals: VALUE ADDED, GROSS, at basic prices</v>
          </cell>
          <cell r="F3884">
            <v>12</v>
          </cell>
          <cell r="G3884">
            <v>1994</v>
          </cell>
          <cell r="H3884">
            <v>100</v>
          </cell>
          <cell r="I3884">
            <v>1118316000000</v>
          </cell>
        </row>
        <row r="3885">
          <cell r="A3885" t="str">
            <v>Czech Republic</v>
          </cell>
          <cell r="B3885">
            <v>203</v>
          </cell>
          <cell r="C3885">
            <v>203</v>
          </cell>
          <cell r="D3885">
            <v>3</v>
          </cell>
          <cell r="E3885" t="str">
            <v>Equals: VALUE ADDED, GROSS, at basic prices</v>
          </cell>
          <cell r="F3885">
            <v>12</v>
          </cell>
          <cell r="G3885">
            <v>1995</v>
          </cell>
          <cell r="H3885">
            <v>100</v>
          </cell>
          <cell r="I3885">
            <v>1290592000000</v>
          </cell>
        </row>
        <row r="3886">
          <cell r="A3886" t="str">
            <v>Czech Republic</v>
          </cell>
          <cell r="B3886">
            <v>203</v>
          </cell>
          <cell r="C3886">
            <v>203</v>
          </cell>
          <cell r="D3886">
            <v>3</v>
          </cell>
          <cell r="E3886" t="str">
            <v>Equals: VALUE ADDED, GROSS, at basic prices</v>
          </cell>
          <cell r="F3886">
            <v>12</v>
          </cell>
          <cell r="G3886">
            <v>1995</v>
          </cell>
          <cell r="H3886">
            <v>200</v>
          </cell>
          <cell r="I3886">
            <v>1372939000000</v>
          </cell>
        </row>
        <row r="3887">
          <cell r="A3887" t="str">
            <v>Czech Republic</v>
          </cell>
          <cell r="B3887">
            <v>203</v>
          </cell>
          <cell r="C3887">
            <v>203</v>
          </cell>
          <cell r="D3887">
            <v>3</v>
          </cell>
          <cell r="E3887" t="str">
            <v>Equals: VALUE ADDED, GROSS, at basic prices</v>
          </cell>
          <cell r="F3887">
            <v>12</v>
          </cell>
          <cell r="G3887">
            <v>1996</v>
          </cell>
          <cell r="H3887">
            <v>200</v>
          </cell>
          <cell r="I3887">
            <v>1541025000000</v>
          </cell>
        </row>
        <row r="3888">
          <cell r="A3888" t="str">
            <v>Czech Republic</v>
          </cell>
          <cell r="B3888">
            <v>203</v>
          </cell>
          <cell r="C3888">
            <v>203</v>
          </cell>
          <cell r="D3888">
            <v>3</v>
          </cell>
          <cell r="E3888" t="str">
            <v>Equals: VALUE ADDED, GROSS, at basic prices</v>
          </cell>
          <cell r="F3888">
            <v>12</v>
          </cell>
          <cell r="G3888">
            <v>1997</v>
          </cell>
          <cell r="H3888">
            <v>200</v>
          </cell>
          <cell r="I3888">
            <v>1661447000000</v>
          </cell>
        </row>
        <row r="3889">
          <cell r="A3889" t="str">
            <v>Czech Republic</v>
          </cell>
          <cell r="B3889">
            <v>203</v>
          </cell>
          <cell r="C3889">
            <v>203</v>
          </cell>
          <cell r="D3889">
            <v>3</v>
          </cell>
          <cell r="E3889" t="str">
            <v>Equals: VALUE ADDED, GROSS, at basic prices</v>
          </cell>
          <cell r="F3889">
            <v>12</v>
          </cell>
          <cell r="G3889">
            <v>1998</v>
          </cell>
          <cell r="H3889">
            <v>200</v>
          </cell>
          <cell r="I3889">
            <v>1822660000000</v>
          </cell>
        </row>
        <row r="3890">
          <cell r="A3890" t="str">
            <v>Czech Republic</v>
          </cell>
          <cell r="B3890">
            <v>203</v>
          </cell>
          <cell r="C3890">
            <v>203</v>
          </cell>
          <cell r="D3890">
            <v>3</v>
          </cell>
          <cell r="E3890" t="str">
            <v>Equals: VALUE ADDED, GROSS, at basic prices</v>
          </cell>
          <cell r="F3890">
            <v>12</v>
          </cell>
          <cell r="G3890">
            <v>1999</v>
          </cell>
          <cell r="H3890">
            <v>200</v>
          </cell>
          <cell r="I3890">
            <v>1884168000000</v>
          </cell>
        </row>
        <row r="3891">
          <cell r="A3891" t="str">
            <v>Czech Republic</v>
          </cell>
          <cell r="B3891">
            <v>203</v>
          </cell>
          <cell r="C3891">
            <v>203</v>
          </cell>
          <cell r="D3891">
            <v>3</v>
          </cell>
          <cell r="E3891" t="str">
            <v>Equals: VALUE ADDED, GROSS, at basic prices</v>
          </cell>
          <cell r="F3891">
            <v>12</v>
          </cell>
          <cell r="G3891">
            <v>2000</v>
          </cell>
          <cell r="H3891">
            <v>200</v>
          </cell>
          <cell r="I3891">
            <v>1979481000000</v>
          </cell>
        </row>
        <row r="3892">
          <cell r="A3892" t="str">
            <v>Czech Republic</v>
          </cell>
          <cell r="B3892">
            <v>203</v>
          </cell>
          <cell r="C3892">
            <v>203</v>
          </cell>
          <cell r="D3892">
            <v>3</v>
          </cell>
          <cell r="E3892" t="str">
            <v>Equals: VALUE ADDED, GROSS, at basic prices</v>
          </cell>
          <cell r="F3892">
            <v>12</v>
          </cell>
          <cell r="G3892">
            <v>2001</v>
          </cell>
          <cell r="H3892">
            <v>200</v>
          </cell>
          <cell r="I3892">
            <v>2133313000000</v>
          </cell>
        </row>
        <row r="3893">
          <cell r="A3893" t="str">
            <v>Czech Republic</v>
          </cell>
          <cell r="B3893">
            <v>203</v>
          </cell>
          <cell r="C3893">
            <v>203</v>
          </cell>
          <cell r="D3893">
            <v>3</v>
          </cell>
          <cell r="E3893" t="str">
            <v>Equals: VALUE ADDED, GROSS, at basic prices</v>
          </cell>
          <cell r="F3893">
            <v>12</v>
          </cell>
          <cell r="G3893">
            <v>2002</v>
          </cell>
          <cell r="H3893">
            <v>200</v>
          </cell>
          <cell r="I3893">
            <v>2212754000000</v>
          </cell>
        </row>
        <row r="3894">
          <cell r="A3894" t="str">
            <v>Belgium</v>
          </cell>
          <cell r="B3894">
            <v>56</v>
          </cell>
          <cell r="C3894">
            <v>203</v>
          </cell>
          <cell r="D3894">
            <v>11</v>
          </cell>
          <cell r="E3894" t="str">
            <v>OPERATING SURPLUS, GROSS</v>
          </cell>
          <cell r="F3894">
            <v>12</v>
          </cell>
          <cell r="G3894">
            <v>1996</v>
          </cell>
          <cell r="H3894">
            <v>200</v>
          </cell>
          <cell r="I3894">
            <v>84565900000</v>
          </cell>
        </row>
        <row r="3895">
          <cell r="A3895" t="str">
            <v>Belgium</v>
          </cell>
          <cell r="B3895">
            <v>56</v>
          </cell>
          <cell r="C3895">
            <v>203</v>
          </cell>
          <cell r="D3895">
            <v>11</v>
          </cell>
          <cell r="E3895" t="str">
            <v>OPERATING SURPLUS, GROSS</v>
          </cell>
          <cell r="F3895">
            <v>12</v>
          </cell>
          <cell r="G3895">
            <v>1997</v>
          </cell>
          <cell r="H3895">
            <v>200</v>
          </cell>
          <cell r="I3895">
            <v>87973400000</v>
          </cell>
        </row>
        <row r="3896">
          <cell r="A3896" t="str">
            <v>Belgium</v>
          </cell>
          <cell r="B3896">
            <v>56</v>
          </cell>
          <cell r="C3896">
            <v>203</v>
          </cell>
          <cell r="D3896">
            <v>11</v>
          </cell>
          <cell r="E3896" t="str">
            <v>OPERATING SURPLUS, GROSS</v>
          </cell>
          <cell r="F3896">
            <v>12</v>
          </cell>
          <cell r="G3896">
            <v>1998</v>
          </cell>
          <cell r="H3896">
            <v>200</v>
          </cell>
          <cell r="I3896">
            <v>92036000000</v>
          </cell>
        </row>
        <row r="3897">
          <cell r="A3897" t="str">
            <v>Belgium</v>
          </cell>
          <cell r="B3897">
            <v>56</v>
          </cell>
          <cell r="C3897">
            <v>203</v>
          </cell>
          <cell r="D3897">
            <v>11</v>
          </cell>
          <cell r="E3897" t="str">
            <v>OPERATING SURPLUS, GROSS</v>
          </cell>
          <cell r="F3897">
            <v>12</v>
          </cell>
          <cell r="G3897">
            <v>1999</v>
          </cell>
          <cell r="H3897">
            <v>200</v>
          </cell>
          <cell r="I3897">
            <v>94274500000</v>
          </cell>
        </row>
        <row r="3898">
          <cell r="A3898" t="str">
            <v>Belgium</v>
          </cell>
          <cell r="B3898">
            <v>56</v>
          </cell>
          <cell r="C3898">
            <v>203</v>
          </cell>
          <cell r="D3898">
            <v>11</v>
          </cell>
          <cell r="E3898" t="str">
            <v>OPERATING SURPLUS, GROSS</v>
          </cell>
          <cell r="F3898">
            <v>12</v>
          </cell>
          <cell r="G3898">
            <v>2000</v>
          </cell>
          <cell r="H3898">
            <v>200</v>
          </cell>
          <cell r="I3898">
            <v>98952700000</v>
          </cell>
        </row>
        <row r="3899">
          <cell r="A3899" t="str">
            <v>Belgium</v>
          </cell>
          <cell r="B3899">
            <v>56</v>
          </cell>
          <cell r="C3899">
            <v>203</v>
          </cell>
          <cell r="D3899">
            <v>11</v>
          </cell>
          <cell r="E3899" t="str">
            <v>OPERATING SURPLUS, GROSS</v>
          </cell>
          <cell r="F3899">
            <v>12</v>
          </cell>
          <cell r="G3899">
            <v>2001</v>
          </cell>
          <cell r="H3899">
            <v>200</v>
          </cell>
          <cell r="I3899">
            <v>98047100000</v>
          </cell>
        </row>
        <row r="3900">
          <cell r="A3900" t="str">
            <v>Belgium</v>
          </cell>
          <cell r="B3900">
            <v>56</v>
          </cell>
          <cell r="C3900">
            <v>203</v>
          </cell>
          <cell r="D3900">
            <v>11</v>
          </cell>
          <cell r="E3900" t="str">
            <v>OPERATING SURPLUS, GROSS</v>
          </cell>
          <cell r="F3900">
            <v>12</v>
          </cell>
          <cell r="G3900">
            <v>2002</v>
          </cell>
          <cell r="H3900">
            <v>200</v>
          </cell>
          <cell r="I3900">
            <v>97333000000</v>
          </cell>
        </row>
        <row r="3901">
          <cell r="A3901" t="str">
            <v>Czech Republic</v>
          </cell>
          <cell r="B3901">
            <v>203</v>
          </cell>
          <cell r="C3901">
            <v>203</v>
          </cell>
          <cell r="D3901">
            <v>4</v>
          </cell>
          <cell r="E3901" t="str">
            <v>Compensation of employees</v>
          </cell>
          <cell r="F3901">
            <v>12</v>
          </cell>
          <cell r="G3901">
            <v>1992</v>
          </cell>
          <cell r="H3901">
            <v>100</v>
          </cell>
          <cell r="I3901">
            <v>377640000000</v>
          </cell>
        </row>
        <row r="3902">
          <cell r="A3902" t="str">
            <v>Czech Republic</v>
          </cell>
          <cell r="B3902">
            <v>203</v>
          </cell>
          <cell r="C3902">
            <v>203</v>
          </cell>
          <cell r="D3902">
            <v>4</v>
          </cell>
          <cell r="E3902" t="str">
            <v>Compensation of employees</v>
          </cell>
          <cell r="F3902">
            <v>12</v>
          </cell>
          <cell r="G3902">
            <v>1993</v>
          </cell>
          <cell r="H3902">
            <v>100</v>
          </cell>
          <cell r="I3902">
            <v>462377000000</v>
          </cell>
        </row>
        <row r="3903">
          <cell r="A3903" t="str">
            <v>Czech Republic</v>
          </cell>
          <cell r="B3903">
            <v>203</v>
          </cell>
          <cell r="C3903">
            <v>203</v>
          </cell>
          <cell r="D3903">
            <v>4</v>
          </cell>
          <cell r="E3903" t="str">
            <v>Compensation of employees</v>
          </cell>
          <cell r="F3903">
            <v>12</v>
          </cell>
          <cell r="G3903">
            <v>1994</v>
          </cell>
          <cell r="H3903">
            <v>100</v>
          </cell>
          <cell r="I3903">
            <v>549748000000</v>
          </cell>
        </row>
        <row r="3904">
          <cell r="A3904" t="str">
            <v>Czech Republic</v>
          </cell>
          <cell r="B3904">
            <v>203</v>
          </cell>
          <cell r="C3904">
            <v>203</v>
          </cell>
          <cell r="D3904">
            <v>4</v>
          </cell>
          <cell r="E3904" t="str">
            <v>Compensation of employees</v>
          </cell>
          <cell r="F3904">
            <v>12</v>
          </cell>
          <cell r="G3904">
            <v>1995</v>
          </cell>
          <cell r="H3904">
            <v>100</v>
          </cell>
          <cell r="I3904">
            <v>650501000000</v>
          </cell>
        </row>
        <row r="3905">
          <cell r="A3905" t="str">
            <v>Czech Republic</v>
          </cell>
          <cell r="B3905">
            <v>203</v>
          </cell>
          <cell r="C3905">
            <v>203</v>
          </cell>
          <cell r="D3905">
            <v>4</v>
          </cell>
          <cell r="E3905" t="str">
            <v>Compensation of employees</v>
          </cell>
          <cell r="F3905">
            <v>12</v>
          </cell>
          <cell r="G3905">
            <v>1995</v>
          </cell>
          <cell r="H3905">
            <v>200</v>
          </cell>
          <cell r="I3905">
            <v>637478000000</v>
          </cell>
        </row>
        <row r="3906">
          <cell r="A3906" t="str">
            <v>Czech Republic</v>
          </cell>
          <cell r="B3906">
            <v>203</v>
          </cell>
          <cell r="C3906">
            <v>203</v>
          </cell>
          <cell r="D3906">
            <v>4</v>
          </cell>
          <cell r="E3906" t="str">
            <v>Compensation of employees</v>
          </cell>
          <cell r="F3906">
            <v>12</v>
          </cell>
          <cell r="G3906">
            <v>1996</v>
          </cell>
          <cell r="H3906">
            <v>200</v>
          </cell>
          <cell r="I3906">
            <v>744520000000</v>
          </cell>
        </row>
        <row r="3907">
          <cell r="A3907" t="str">
            <v>Czech Republic</v>
          </cell>
          <cell r="B3907">
            <v>203</v>
          </cell>
          <cell r="C3907">
            <v>203</v>
          </cell>
          <cell r="D3907">
            <v>4</v>
          </cell>
          <cell r="E3907" t="str">
            <v>Compensation of employees</v>
          </cell>
          <cell r="F3907">
            <v>12</v>
          </cell>
          <cell r="G3907">
            <v>1997</v>
          </cell>
          <cell r="H3907">
            <v>200</v>
          </cell>
          <cell r="I3907">
            <v>819094000000</v>
          </cell>
        </row>
        <row r="3908">
          <cell r="A3908" t="str">
            <v>Czech Republic</v>
          </cell>
          <cell r="B3908">
            <v>203</v>
          </cell>
          <cell r="C3908">
            <v>203</v>
          </cell>
          <cell r="D3908">
            <v>4</v>
          </cell>
          <cell r="E3908" t="str">
            <v>Compensation of employees</v>
          </cell>
          <cell r="F3908">
            <v>12</v>
          </cell>
          <cell r="G3908">
            <v>1998</v>
          </cell>
          <cell r="H3908">
            <v>200</v>
          </cell>
          <cell r="I3908">
            <v>862665000000</v>
          </cell>
        </row>
        <row r="3909">
          <cell r="A3909" t="str">
            <v>Czech Republic</v>
          </cell>
          <cell r="B3909">
            <v>203</v>
          </cell>
          <cell r="C3909">
            <v>203</v>
          </cell>
          <cell r="D3909">
            <v>4</v>
          </cell>
          <cell r="E3909" t="str">
            <v>Compensation of employees</v>
          </cell>
          <cell r="F3909">
            <v>12</v>
          </cell>
          <cell r="G3909">
            <v>1999</v>
          </cell>
          <cell r="H3909">
            <v>200</v>
          </cell>
          <cell r="I3909">
            <v>892296000000</v>
          </cell>
        </row>
        <row r="3910">
          <cell r="A3910" t="str">
            <v>Czech Republic</v>
          </cell>
          <cell r="B3910">
            <v>203</v>
          </cell>
          <cell r="C3910">
            <v>203</v>
          </cell>
          <cell r="D3910">
            <v>4</v>
          </cell>
          <cell r="E3910" t="str">
            <v>Compensation of employees</v>
          </cell>
          <cell r="F3910">
            <v>12</v>
          </cell>
          <cell r="G3910">
            <v>2000</v>
          </cell>
          <cell r="H3910">
            <v>200</v>
          </cell>
          <cell r="I3910">
            <v>926464000000</v>
          </cell>
        </row>
        <row r="3911">
          <cell r="A3911" t="str">
            <v>Czech Republic</v>
          </cell>
          <cell r="B3911">
            <v>203</v>
          </cell>
          <cell r="C3911">
            <v>203</v>
          </cell>
          <cell r="D3911">
            <v>4</v>
          </cell>
          <cell r="E3911" t="str">
            <v>Compensation of employees</v>
          </cell>
          <cell r="F3911">
            <v>12</v>
          </cell>
          <cell r="G3911">
            <v>2001</v>
          </cell>
          <cell r="H3911">
            <v>200</v>
          </cell>
          <cell r="I3911">
            <v>996515000000</v>
          </cell>
        </row>
        <row r="3912">
          <cell r="A3912" t="str">
            <v>Czech Republic</v>
          </cell>
          <cell r="B3912">
            <v>203</v>
          </cell>
          <cell r="C3912">
            <v>203</v>
          </cell>
          <cell r="D3912">
            <v>4</v>
          </cell>
          <cell r="E3912" t="str">
            <v>Compensation of employees</v>
          </cell>
          <cell r="F3912">
            <v>12</v>
          </cell>
          <cell r="G3912">
            <v>2002</v>
          </cell>
          <cell r="H3912">
            <v>200</v>
          </cell>
          <cell r="I3912">
            <v>1086635000000</v>
          </cell>
        </row>
        <row r="3913">
          <cell r="A3913" t="str">
            <v>Czech Republic</v>
          </cell>
          <cell r="B3913">
            <v>203</v>
          </cell>
          <cell r="C3913">
            <v>203</v>
          </cell>
          <cell r="D3913">
            <v>11</v>
          </cell>
          <cell r="E3913" t="str">
            <v>OPERATING SURPLUS, GROSS</v>
          </cell>
          <cell r="F3913">
            <v>12</v>
          </cell>
          <cell r="G3913">
            <v>1992</v>
          </cell>
          <cell r="H3913">
            <v>100</v>
          </cell>
          <cell r="I3913">
            <v>437205000000</v>
          </cell>
        </row>
        <row r="3914">
          <cell r="A3914" t="str">
            <v>Czech Republic</v>
          </cell>
          <cell r="B3914">
            <v>203</v>
          </cell>
          <cell r="C3914">
            <v>203</v>
          </cell>
          <cell r="D3914">
            <v>11</v>
          </cell>
          <cell r="E3914" t="str">
            <v>OPERATING SURPLUS, GROSS</v>
          </cell>
          <cell r="F3914">
            <v>12</v>
          </cell>
          <cell r="G3914">
            <v>1993</v>
          </cell>
          <cell r="H3914">
            <v>100</v>
          </cell>
          <cell r="I3914">
            <v>485472000000</v>
          </cell>
        </row>
        <row r="3915">
          <cell r="A3915" t="str">
            <v>Czech Republic</v>
          </cell>
          <cell r="B3915">
            <v>203</v>
          </cell>
          <cell r="C3915">
            <v>203</v>
          </cell>
          <cell r="D3915">
            <v>11</v>
          </cell>
          <cell r="E3915" t="str">
            <v>OPERATING SURPLUS, GROSS</v>
          </cell>
          <cell r="F3915">
            <v>12</v>
          </cell>
          <cell r="G3915">
            <v>1994</v>
          </cell>
          <cell r="H3915">
            <v>100</v>
          </cell>
          <cell r="I3915">
            <v>536398000000</v>
          </cell>
        </row>
        <row r="3916">
          <cell r="A3916" t="str">
            <v>Czech Republic</v>
          </cell>
          <cell r="B3916">
            <v>203</v>
          </cell>
          <cell r="C3916">
            <v>203</v>
          </cell>
          <cell r="D3916">
            <v>11</v>
          </cell>
          <cell r="E3916" t="str">
            <v>OPERATING SURPLUS, GROSS</v>
          </cell>
          <cell r="F3916">
            <v>12</v>
          </cell>
          <cell r="G3916">
            <v>1995</v>
          </cell>
          <cell r="H3916">
            <v>100</v>
          </cell>
          <cell r="I3916">
            <v>648097000000</v>
          </cell>
        </row>
        <row r="3917">
          <cell r="A3917" t="str">
            <v>Czech Republic</v>
          </cell>
          <cell r="B3917">
            <v>203</v>
          </cell>
          <cell r="C3917">
            <v>203</v>
          </cell>
          <cell r="D3917">
            <v>11</v>
          </cell>
          <cell r="E3917" t="str">
            <v>OPERATING SURPLUS, GROSS</v>
          </cell>
          <cell r="F3917">
            <v>12</v>
          </cell>
          <cell r="G3917">
            <v>1995</v>
          </cell>
          <cell r="H3917">
            <v>200</v>
          </cell>
          <cell r="I3917">
            <v>737949000000</v>
          </cell>
        </row>
        <row r="3918">
          <cell r="A3918" t="str">
            <v>Czech Republic</v>
          </cell>
          <cell r="B3918">
            <v>203</v>
          </cell>
          <cell r="C3918">
            <v>203</v>
          </cell>
          <cell r="D3918">
            <v>11</v>
          </cell>
          <cell r="E3918" t="str">
            <v>OPERATING SURPLUS, GROSS</v>
          </cell>
          <cell r="F3918">
            <v>12</v>
          </cell>
          <cell r="G3918">
            <v>1996</v>
          </cell>
          <cell r="H3918">
            <v>200</v>
          </cell>
          <cell r="I3918">
            <v>798043000000</v>
          </cell>
        </row>
        <row r="3919">
          <cell r="A3919" t="str">
            <v>Czech Republic</v>
          </cell>
          <cell r="B3919">
            <v>203</v>
          </cell>
          <cell r="C3919">
            <v>203</v>
          </cell>
          <cell r="D3919">
            <v>11</v>
          </cell>
          <cell r="E3919" t="str">
            <v>OPERATING SURPLUS, GROSS</v>
          </cell>
          <cell r="F3919">
            <v>12</v>
          </cell>
          <cell r="G3919">
            <v>1997</v>
          </cell>
          <cell r="H3919">
            <v>200</v>
          </cell>
          <cell r="I3919">
            <v>852404000000</v>
          </cell>
        </row>
        <row r="3920">
          <cell r="A3920" t="str">
            <v>Czech Republic</v>
          </cell>
          <cell r="B3920">
            <v>203</v>
          </cell>
          <cell r="C3920">
            <v>203</v>
          </cell>
          <cell r="D3920">
            <v>11</v>
          </cell>
          <cell r="E3920" t="str">
            <v>OPERATING SURPLUS, GROSS</v>
          </cell>
          <cell r="F3920">
            <v>12</v>
          </cell>
          <cell r="G3920">
            <v>1998</v>
          </cell>
          <cell r="H3920">
            <v>200</v>
          </cell>
          <cell r="I3920">
            <v>982687000000</v>
          </cell>
        </row>
        <row r="3921">
          <cell r="A3921" t="str">
            <v>Czech Republic</v>
          </cell>
          <cell r="B3921">
            <v>203</v>
          </cell>
          <cell r="C3921">
            <v>203</v>
          </cell>
          <cell r="D3921">
            <v>11</v>
          </cell>
          <cell r="E3921" t="str">
            <v>OPERATING SURPLUS, GROSS</v>
          </cell>
          <cell r="F3921">
            <v>12</v>
          </cell>
          <cell r="G3921">
            <v>1999</v>
          </cell>
          <cell r="H3921">
            <v>200</v>
          </cell>
          <cell r="I3921">
            <v>1013839000000</v>
          </cell>
        </row>
        <row r="3922">
          <cell r="A3922" t="str">
            <v>Czech Republic</v>
          </cell>
          <cell r="B3922">
            <v>203</v>
          </cell>
          <cell r="C3922">
            <v>203</v>
          </cell>
          <cell r="D3922">
            <v>11</v>
          </cell>
          <cell r="E3922" t="str">
            <v>OPERATING SURPLUS, GROSS</v>
          </cell>
          <cell r="F3922">
            <v>12</v>
          </cell>
          <cell r="G3922">
            <v>2000</v>
          </cell>
          <cell r="H3922">
            <v>200</v>
          </cell>
          <cell r="I3922">
            <v>1071832000000</v>
          </cell>
        </row>
        <row r="3923">
          <cell r="A3923" t="str">
            <v>Czech Republic</v>
          </cell>
          <cell r="B3923">
            <v>203</v>
          </cell>
          <cell r="C3923">
            <v>203</v>
          </cell>
          <cell r="D3923">
            <v>11</v>
          </cell>
          <cell r="E3923" t="str">
            <v>OPERATING SURPLUS, GROSS</v>
          </cell>
          <cell r="F3923">
            <v>12</v>
          </cell>
          <cell r="G3923">
            <v>2001</v>
          </cell>
          <cell r="H3923">
            <v>200</v>
          </cell>
          <cell r="I3923">
            <v>1164078000000</v>
          </cell>
        </row>
        <row r="3924">
          <cell r="A3924" t="str">
            <v>Czech Republic</v>
          </cell>
          <cell r="B3924">
            <v>203</v>
          </cell>
          <cell r="C3924">
            <v>203</v>
          </cell>
          <cell r="D3924">
            <v>11</v>
          </cell>
          <cell r="E3924" t="str">
            <v>OPERATING SURPLUS, GROSS</v>
          </cell>
          <cell r="F3924">
            <v>12</v>
          </cell>
          <cell r="G3924">
            <v>2002</v>
          </cell>
          <cell r="H3924">
            <v>200</v>
          </cell>
          <cell r="I3924">
            <v>1145378000000</v>
          </cell>
        </row>
        <row r="3925">
          <cell r="A3925" t="str">
            <v>Belgium</v>
          </cell>
          <cell r="B3925">
            <v>56</v>
          </cell>
          <cell r="C3925">
            <v>203</v>
          </cell>
          <cell r="D3925">
            <v>22</v>
          </cell>
          <cell r="E3925" t="str">
            <v>Taxes on production and imports, less Subsidies</v>
          </cell>
          <cell r="F3925">
            <v>12</v>
          </cell>
          <cell r="G3925">
            <v>1995</v>
          </cell>
          <cell r="H3925">
            <v>200</v>
          </cell>
          <cell r="I3925">
            <v>2507800000</v>
          </cell>
        </row>
        <row r="3926">
          <cell r="A3926" t="str">
            <v>Belgium</v>
          </cell>
          <cell r="B3926">
            <v>56</v>
          </cell>
          <cell r="C3926">
            <v>203</v>
          </cell>
          <cell r="D3926">
            <v>22</v>
          </cell>
          <cell r="E3926" t="str">
            <v>Taxes on production and imports, less Subsidies</v>
          </cell>
          <cell r="F3926">
            <v>12</v>
          </cell>
          <cell r="G3926">
            <v>1996</v>
          </cell>
          <cell r="H3926">
            <v>200</v>
          </cell>
          <cell r="I3926">
            <v>2651900000</v>
          </cell>
        </row>
        <row r="3927">
          <cell r="A3927" t="str">
            <v>Belgium</v>
          </cell>
          <cell r="B3927">
            <v>56</v>
          </cell>
          <cell r="C3927">
            <v>203</v>
          </cell>
          <cell r="D3927">
            <v>22</v>
          </cell>
          <cell r="E3927" t="str">
            <v>Taxes on production and imports, less Subsidies</v>
          </cell>
          <cell r="F3927">
            <v>12</v>
          </cell>
          <cell r="G3927">
            <v>1997</v>
          </cell>
          <cell r="H3927">
            <v>200</v>
          </cell>
          <cell r="I3927">
            <v>3122300000</v>
          </cell>
        </row>
        <row r="3928">
          <cell r="A3928" t="str">
            <v>Belgium</v>
          </cell>
          <cell r="B3928">
            <v>56</v>
          </cell>
          <cell r="C3928">
            <v>203</v>
          </cell>
          <cell r="D3928">
            <v>22</v>
          </cell>
          <cell r="E3928" t="str">
            <v>Taxes on production and imports, less Subsidies</v>
          </cell>
          <cell r="F3928">
            <v>12</v>
          </cell>
          <cell r="G3928">
            <v>1998</v>
          </cell>
          <cell r="H3928">
            <v>200</v>
          </cell>
          <cell r="I3928">
            <v>3053100000</v>
          </cell>
        </row>
        <row r="3929">
          <cell r="A3929" t="str">
            <v>Belgium</v>
          </cell>
          <cell r="B3929">
            <v>56</v>
          </cell>
          <cell r="C3929">
            <v>203</v>
          </cell>
          <cell r="D3929">
            <v>22</v>
          </cell>
          <cell r="E3929" t="str">
            <v>Taxes on production and imports, less Subsidies</v>
          </cell>
          <cell r="F3929">
            <v>12</v>
          </cell>
          <cell r="G3929">
            <v>1999</v>
          </cell>
          <cell r="H3929">
            <v>200</v>
          </cell>
          <cell r="I3929">
            <v>3132900000</v>
          </cell>
        </row>
        <row r="3930">
          <cell r="A3930" t="str">
            <v>Belgium</v>
          </cell>
          <cell r="B3930">
            <v>56</v>
          </cell>
          <cell r="C3930">
            <v>203</v>
          </cell>
          <cell r="D3930">
            <v>22</v>
          </cell>
          <cell r="E3930" t="str">
            <v>Taxes on production and imports, less Subsidies</v>
          </cell>
          <cell r="F3930">
            <v>12</v>
          </cell>
          <cell r="G3930">
            <v>2000</v>
          </cell>
          <cell r="H3930">
            <v>200</v>
          </cell>
          <cell r="I3930">
            <v>2952100000</v>
          </cell>
        </row>
        <row r="3931">
          <cell r="A3931" t="str">
            <v>Belgium</v>
          </cell>
          <cell r="B3931">
            <v>56</v>
          </cell>
          <cell r="C3931">
            <v>203</v>
          </cell>
          <cell r="D3931">
            <v>22</v>
          </cell>
          <cell r="E3931" t="str">
            <v>Taxes on production and imports, less Subsidies</v>
          </cell>
          <cell r="F3931">
            <v>12</v>
          </cell>
          <cell r="G3931">
            <v>2001</v>
          </cell>
          <cell r="H3931">
            <v>200</v>
          </cell>
          <cell r="I3931">
            <v>3014600000</v>
          </cell>
        </row>
        <row r="3932">
          <cell r="A3932" t="str">
            <v>Belgium</v>
          </cell>
          <cell r="B3932">
            <v>56</v>
          </cell>
          <cell r="C3932">
            <v>203</v>
          </cell>
          <cell r="D3932">
            <v>22</v>
          </cell>
          <cell r="E3932" t="str">
            <v>Taxes on production and imports, less Subsidies</v>
          </cell>
          <cell r="F3932">
            <v>12</v>
          </cell>
          <cell r="G3932">
            <v>2002</v>
          </cell>
          <cell r="H3932">
            <v>200</v>
          </cell>
          <cell r="I3932">
            <v>3094600000</v>
          </cell>
        </row>
        <row r="3933">
          <cell r="A3933" t="str">
            <v>Bolivia</v>
          </cell>
          <cell r="B3933">
            <v>68</v>
          </cell>
          <cell r="C3933">
            <v>201</v>
          </cell>
          <cell r="D3933">
            <v>13</v>
          </cell>
          <cell r="E3933" t="str">
            <v>Less: Financial intermediation services indirectly measured (FISIM) (only to be deducted if FISIM is not distributed to uses)</v>
          </cell>
          <cell r="F3933">
            <v>0</v>
          </cell>
          <cell r="G3933">
            <v>1970</v>
          </cell>
          <cell r="H3933">
            <v>20</v>
          </cell>
          <cell r="I3933">
            <v>0</v>
          </cell>
        </row>
        <row r="3934">
          <cell r="A3934" t="str">
            <v>Bolivia</v>
          </cell>
          <cell r="B3934">
            <v>68</v>
          </cell>
          <cell r="C3934">
            <v>201</v>
          </cell>
          <cell r="D3934">
            <v>13</v>
          </cell>
          <cell r="E3934" t="str">
            <v>Less: Financial intermediation services indirectly measured (FISIM) (only to be deducted if FISIM is not distributed to uses)</v>
          </cell>
          <cell r="F3934">
            <v>0</v>
          </cell>
          <cell r="G3934">
            <v>1971</v>
          </cell>
          <cell r="H3934">
            <v>20</v>
          </cell>
          <cell r="I3934">
            <v>0</v>
          </cell>
        </row>
        <row r="3935">
          <cell r="A3935" t="str">
            <v>Bolivia</v>
          </cell>
          <cell r="B3935">
            <v>68</v>
          </cell>
          <cell r="C3935">
            <v>201</v>
          </cell>
          <cell r="D3935">
            <v>13</v>
          </cell>
          <cell r="E3935" t="str">
            <v>Less: Financial intermediation services indirectly measured (FISIM) (only to be deducted if FISIM is not distributed to uses)</v>
          </cell>
          <cell r="F3935">
            <v>0</v>
          </cell>
          <cell r="G3935">
            <v>1972</v>
          </cell>
          <cell r="H3935">
            <v>20</v>
          </cell>
          <cell r="I3935">
            <v>0</v>
          </cell>
        </row>
        <row r="3936">
          <cell r="A3936" t="str">
            <v>Bolivia</v>
          </cell>
          <cell r="B3936">
            <v>68</v>
          </cell>
          <cell r="C3936">
            <v>201</v>
          </cell>
          <cell r="D3936">
            <v>13</v>
          </cell>
          <cell r="E3936" t="str">
            <v>Less: Financial intermediation services indirectly measured (FISIM) (only to be deducted if FISIM is not distributed to uses)</v>
          </cell>
          <cell r="F3936">
            <v>0</v>
          </cell>
          <cell r="G3936">
            <v>1973</v>
          </cell>
          <cell r="H3936">
            <v>20</v>
          </cell>
          <cell r="I3936">
            <v>0</v>
          </cell>
        </row>
        <row r="3937">
          <cell r="A3937" t="str">
            <v>Bolivia</v>
          </cell>
          <cell r="B3937">
            <v>68</v>
          </cell>
          <cell r="C3937">
            <v>201</v>
          </cell>
          <cell r="D3937">
            <v>13</v>
          </cell>
          <cell r="E3937" t="str">
            <v>Less: Financial intermediation services indirectly measured (FISIM) (only to be deducted if FISIM is not distributed to uses)</v>
          </cell>
          <cell r="F3937">
            <v>0</v>
          </cell>
          <cell r="G3937">
            <v>1974</v>
          </cell>
          <cell r="H3937">
            <v>20</v>
          </cell>
          <cell r="I3937">
            <v>0</v>
          </cell>
        </row>
        <row r="3938">
          <cell r="A3938" t="str">
            <v>Bolivia</v>
          </cell>
          <cell r="B3938">
            <v>68</v>
          </cell>
          <cell r="C3938">
            <v>201</v>
          </cell>
          <cell r="D3938">
            <v>13</v>
          </cell>
          <cell r="E3938" t="str">
            <v>Less: Financial intermediation services indirectly measured (FISIM) (only to be deducted if FISIM is not distributed to uses)</v>
          </cell>
          <cell r="F3938">
            <v>0</v>
          </cell>
          <cell r="G3938">
            <v>1975</v>
          </cell>
          <cell r="H3938">
            <v>20</v>
          </cell>
          <cell r="I3938">
            <v>1000</v>
          </cell>
        </row>
        <row r="3939">
          <cell r="A3939" t="str">
            <v>Bolivia</v>
          </cell>
          <cell r="B3939">
            <v>68</v>
          </cell>
          <cell r="C3939">
            <v>201</v>
          </cell>
          <cell r="D3939">
            <v>13</v>
          </cell>
          <cell r="E3939" t="str">
            <v>Less: Financial intermediation services indirectly measured (FISIM) (only to be deducted if FISIM is not distributed to uses)</v>
          </cell>
          <cell r="F3939">
            <v>0</v>
          </cell>
          <cell r="G3939">
            <v>1976</v>
          </cell>
          <cell r="H3939">
            <v>20</v>
          </cell>
          <cell r="I3939">
            <v>1000</v>
          </cell>
        </row>
        <row r="3940">
          <cell r="A3940" t="str">
            <v>Bolivia</v>
          </cell>
          <cell r="B3940">
            <v>68</v>
          </cell>
          <cell r="C3940">
            <v>201</v>
          </cell>
          <cell r="D3940">
            <v>13</v>
          </cell>
          <cell r="E3940" t="str">
            <v>Less: Financial intermediation services indirectly measured (FISIM) (only to be deducted if FISIM is not distributed to uses)</v>
          </cell>
          <cell r="F3940">
            <v>0</v>
          </cell>
          <cell r="G3940">
            <v>1977</v>
          </cell>
          <cell r="H3940">
            <v>20</v>
          </cell>
          <cell r="I3940">
            <v>1000</v>
          </cell>
        </row>
        <row r="3941">
          <cell r="A3941" t="str">
            <v>Bolivia</v>
          </cell>
          <cell r="B3941">
            <v>68</v>
          </cell>
          <cell r="C3941">
            <v>201</v>
          </cell>
          <cell r="D3941">
            <v>13</v>
          </cell>
          <cell r="E3941" t="str">
            <v>Less: Financial intermediation services indirectly measured (FISIM) (only to be deducted if FISIM is not distributed to uses)</v>
          </cell>
          <cell r="F3941">
            <v>0</v>
          </cell>
          <cell r="G3941">
            <v>1978</v>
          </cell>
          <cell r="H3941">
            <v>20</v>
          </cell>
          <cell r="I3941">
            <v>1000</v>
          </cell>
        </row>
        <row r="3942">
          <cell r="A3942" t="str">
            <v>Bolivia</v>
          </cell>
          <cell r="B3942">
            <v>68</v>
          </cell>
          <cell r="C3942">
            <v>201</v>
          </cell>
          <cell r="D3942">
            <v>13</v>
          </cell>
          <cell r="E3942" t="str">
            <v>Less: Financial intermediation services indirectly measured (FISIM) (only to be deducted if FISIM is not distributed to uses)</v>
          </cell>
          <cell r="F3942">
            <v>0</v>
          </cell>
          <cell r="G3942">
            <v>1979</v>
          </cell>
          <cell r="H3942">
            <v>20</v>
          </cell>
          <cell r="I3942">
            <v>1000</v>
          </cell>
        </row>
        <row r="3943">
          <cell r="A3943" t="str">
            <v>Bolivia</v>
          </cell>
          <cell r="B3943">
            <v>68</v>
          </cell>
          <cell r="C3943">
            <v>201</v>
          </cell>
          <cell r="D3943">
            <v>13</v>
          </cell>
          <cell r="E3943" t="str">
            <v>Less: Financial intermediation services indirectly measured (FISIM) (only to be deducted if FISIM is not distributed to uses)</v>
          </cell>
          <cell r="F3943">
            <v>0</v>
          </cell>
          <cell r="G3943">
            <v>1980</v>
          </cell>
          <cell r="H3943">
            <v>20</v>
          </cell>
          <cell r="I3943">
            <v>2000</v>
          </cell>
        </row>
        <row r="3944">
          <cell r="A3944" t="str">
            <v>Bolivia</v>
          </cell>
          <cell r="B3944">
            <v>68</v>
          </cell>
          <cell r="C3944">
            <v>201</v>
          </cell>
          <cell r="D3944">
            <v>13</v>
          </cell>
          <cell r="E3944" t="str">
            <v>Less: Financial intermediation services indirectly measured (FISIM) (only to be deducted if FISIM is not distributed to uses)</v>
          </cell>
          <cell r="F3944">
            <v>0</v>
          </cell>
          <cell r="G3944">
            <v>1981</v>
          </cell>
          <cell r="H3944">
            <v>20</v>
          </cell>
          <cell r="I3944">
            <v>2000</v>
          </cell>
        </row>
        <row r="3945">
          <cell r="A3945" t="str">
            <v>Bolivia</v>
          </cell>
          <cell r="B3945">
            <v>68</v>
          </cell>
          <cell r="C3945">
            <v>201</v>
          </cell>
          <cell r="D3945">
            <v>13</v>
          </cell>
          <cell r="E3945" t="str">
            <v>Less: Financial intermediation services indirectly measured (FISIM) (only to be deducted if FISIM is not distributed to uses)</v>
          </cell>
          <cell r="F3945">
            <v>0</v>
          </cell>
          <cell r="G3945">
            <v>1982</v>
          </cell>
          <cell r="H3945">
            <v>20</v>
          </cell>
          <cell r="I3945">
            <v>5000</v>
          </cell>
        </row>
        <row r="3946">
          <cell r="A3946" t="str">
            <v>Bolivia</v>
          </cell>
          <cell r="B3946">
            <v>68</v>
          </cell>
          <cell r="C3946">
            <v>201</v>
          </cell>
          <cell r="D3946">
            <v>13</v>
          </cell>
          <cell r="E3946" t="str">
            <v>Less: Financial intermediation services indirectly measured (FISIM) (only to be deducted if FISIM is not distributed to uses)</v>
          </cell>
          <cell r="F3946">
            <v>0</v>
          </cell>
          <cell r="G3946">
            <v>1983</v>
          </cell>
          <cell r="H3946">
            <v>20</v>
          </cell>
          <cell r="I3946">
            <v>17000</v>
          </cell>
        </row>
        <row r="3947">
          <cell r="A3947" t="str">
            <v>Bolivia</v>
          </cell>
          <cell r="B3947">
            <v>68</v>
          </cell>
          <cell r="C3947">
            <v>201</v>
          </cell>
          <cell r="D3947">
            <v>13</v>
          </cell>
          <cell r="E3947" t="str">
            <v>Less: Financial intermediation services indirectly measured (FISIM) (only to be deducted if FISIM is not distributed to uses)</v>
          </cell>
          <cell r="F3947">
            <v>0</v>
          </cell>
          <cell r="G3947">
            <v>1984</v>
          </cell>
          <cell r="H3947">
            <v>20</v>
          </cell>
          <cell r="I3947">
            <v>272000</v>
          </cell>
        </row>
        <row r="3948">
          <cell r="A3948" t="str">
            <v>Bolivia</v>
          </cell>
          <cell r="B3948">
            <v>68</v>
          </cell>
          <cell r="C3948">
            <v>201</v>
          </cell>
          <cell r="D3948">
            <v>13</v>
          </cell>
          <cell r="E3948" t="str">
            <v>Less: Financial intermediation services indirectly measured (FISIM) (only to be deducted if FISIM is not distributed to uses)</v>
          </cell>
          <cell r="F3948">
            <v>0</v>
          </cell>
          <cell r="G3948">
            <v>1985</v>
          </cell>
          <cell r="H3948">
            <v>20</v>
          </cell>
          <cell r="I3948">
            <v>61883000</v>
          </cell>
        </row>
        <row r="3949">
          <cell r="A3949" t="str">
            <v>Bolivia</v>
          </cell>
          <cell r="B3949">
            <v>68</v>
          </cell>
          <cell r="C3949">
            <v>201</v>
          </cell>
          <cell r="D3949">
            <v>13</v>
          </cell>
          <cell r="E3949" t="str">
            <v>Less: Financial intermediation services indirectly measured (FISIM) (only to be deducted if FISIM is not distributed to uses)</v>
          </cell>
          <cell r="F3949">
            <v>0</v>
          </cell>
          <cell r="G3949">
            <v>1986</v>
          </cell>
          <cell r="H3949">
            <v>20</v>
          </cell>
          <cell r="I3949">
            <v>66211000</v>
          </cell>
        </row>
        <row r="3950">
          <cell r="A3950" t="str">
            <v>Bolivia</v>
          </cell>
          <cell r="B3950">
            <v>68</v>
          </cell>
          <cell r="C3950">
            <v>201</v>
          </cell>
          <cell r="D3950">
            <v>13</v>
          </cell>
          <cell r="E3950" t="str">
            <v>Less: Financial intermediation services indirectly measured (FISIM) (only to be deducted if FISIM is not distributed to uses)</v>
          </cell>
          <cell r="F3950">
            <v>0</v>
          </cell>
          <cell r="G3950">
            <v>1988</v>
          </cell>
          <cell r="H3950">
            <v>20</v>
          </cell>
          <cell r="I3950">
            <v>143979000</v>
          </cell>
        </row>
        <row r="3951">
          <cell r="A3951" t="str">
            <v>Bolivia</v>
          </cell>
          <cell r="B3951">
            <v>68</v>
          </cell>
          <cell r="C3951">
            <v>201</v>
          </cell>
          <cell r="D3951">
            <v>13</v>
          </cell>
          <cell r="E3951" t="str">
            <v>Less: Financial intermediation services indirectly measured (FISIM) (only to be deducted if FISIM is not distributed to uses)</v>
          </cell>
          <cell r="F3951">
            <v>0</v>
          </cell>
          <cell r="G3951">
            <v>1989</v>
          </cell>
          <cell r="H3951">
            <v>20</v>
          </cell>
          <cell r="I3951">
            <v>199973000</v>
          </cell>
        </row>
        <row r="3952">
          <cell r="A3952" t="str">
            <v>Bolivia</v>
          </cell>
          <cell r="B3952">
            <v>68</v>
          </cell>
          <cell r="C3952">
            <v>201</v>
          </cell>
          <cell r="D3952">
            <v>13</v>
          </cell>
          <cell r="E3952" t="str">
            <v>Less: Financial intermediation services indirectly measured (FISIM) (only to be deducted if FISIM is not distributed to uses)</v>
          </cell>
          <cell r="F3952">
            <v>0</v>
          </cell>
          <cell r="G3952">
            <v>1990</v>
          </cell>
          <cell r="H3952">
            <v>20</v>
          </cell>
          <cell r="I3952">
            <v>253048000</v>
          </cell>
        </row>
        <row r="3953">
          <cell r="A3953" t="str">
            <v>Bolivia</v>
          </cell>
          <cell r="B3953">
            <v>68</v>
          </cell>
          <cell r="C3953">
            <v>201</v>
          </cell>
          <cell r="D3953">
            <v>13</v>
          </cell>
          <cell r="E3953" t="str">
            <v>Less: Financial intermediation services indirectly measured (FISIM) (only to be deducted if FISIM is not distributed to uses)</v>
          </cell>
          <cell r="F3953">
            <v>0</v>
          </cell>
          <cell r="G3953">
            <v>1991</v>
          </cell>
          <cell r="H3953">
            <v>20</v>
          </cell>
          <cell r="I3953">
            <v>346002000</v>
          </cell>
        </row>
        <row r="3954">
          <cell r="A3954" t="str">
            <v>Bolivia</v>
          </cell>
          <cell r="B3954">
            <v>68</v>
          </cell>
          <cell r="C3954">
            <v>201</v>
          </cell>
          <cell r="D3954">
            <v>13</v>
          </cell>
          <cell r="E3954" t="str">
            <v>Less: Financial intermediation services indirectly measured (FISIM) (only to be deducted if FISIM is not distributed to uses)</v>
          </cell>
          <cell r="F3954">
            <v>0</v>
          </cell>
          <cell r="G3954">
            <v>1992</v>
          </cell>
          <cell r="H3954">
            <v>20</v>
          </cell>
          <cell r="I3954">
            <v>486000000</v>
          </cell>
        </row>
        <row r="3955">
          <cell r="A3955" t="str">
            <v>Bolivia</v>
          </cell>
          <cell r="B3955">
            <v>68</v>
          </cell>
          <cell r="C3955">
            <v>201</v>
          </cell>
          <cell r="D3955">
            <v>13</v>
          </cell>
          <cell r="E3955" t="str">
            <v>Less: Financial intermediation services indirectly measured (FISIM) (only to be deducted if FISIM is not distributed to uses)</v>
          </cell>
          <cell r="F3955">
            <v>0</v>
          </cell>
          <cell r="G3955">
            <v>1993</v>
          </cell>
          <cell r="H3955">
            <v>20</v>
          </cell>
          <cell r="I3955">
            <v>613000000</v>
          </cell>
        </row>
        <row r="3956">
          <cell r="A3956" t="str">
            <v>Bolivia</v>
          </cell>
          <cell r="B3956">
            <v>68</v>
          </cell>
          <cell r="C3956">
            <v>201</v>
          </cell>
          <cell r="D3956">
            <v>13</v>
          </cell>
          <cell r="E3956" t="str">
            <v>Less: Financial intermediation services indirectly measured (FISIM) (only to be deducted if FISIM is not distributed to uses)</v>
          </cell>
          <cell r="F3956">
            <v>0</v>
          </cell>
          <cell r="G3956">
            <v>1994</v>
          </cell>
          <cell r="H3956">
            <v>20</v>
          </cell>
          <cell r="I3956">
            <v>727000000</v>
          </cell>
        </row>
        <row r="3957">
          <cell r="A3957" t="str">
            <v>Bolivia</v>
          </cell>
          <cell r="B3957">
            <v>68</v>
          </cell>
          <cell r="C3957">
            <v>201</v>
          </cell>
          <cell r="D3957">
            <v>13</v>
          </cell>
          <cell r="E3957" t="str">
            <v>Less: Financial intermediation services indirectly measured (FISIM) (only to be deducted if FISIM is not distributed to uses)</v>
          </cell>
          <cell r="F3957">
            <v>0</v>
          </cell>
          <cell r="G3957">
            <v>1995</v>
          </cell>
          <cell r="H3957">
            <v>20</v>
          </cell>
          <cell r="I3957">
            <v>878000000</v>
          </cell>
        </row>
        <row r="3958">
          <cell r="A3958" t="str">
            <v>Bolivia</v>
          </cell>
          <cell r="B3958">
            <v>68</v>
          </cell>
          <cell r="C3958">
            <v>201</v>
          </cell>
          <cell r="D3958">
            <v>13</v>
          </cell>
          <cell r="E3958" t="str">
            <v>Less: Financial intermediation services indirectly measured (FISIM) (only to be deducted if FISIM is not distributed to uses)</v>
          </cell>
          <cell r="F3958">
            <v>0</v>
          </cell>
          <cell r="G3958">
            <v>1996</v>
          </cell>
          <cell r="H3958">
            <v>20</v>
          </cell>
          <cell r="I3958">
            <v>1141000000</v>
          </cell>
        </row>
        <row r="3959">
          <cell r="A3959" t="str">
            <v>Bolivia</v>
          </cell>
          <cell r="B3959">
            <v>68</v>
          </cell>
          <cell r="C3959">
            <v>201</v>
          </cell>
          <cell r="D3959">
            <v>13</v>
          </cell>
          <cell r="E3959" t="str">
            <v>Less: Financial intermediation services indirectly measured (FISIM) (only to be deducted if FISIM is not distributed to uses)</v>
          </cell>
          <cell r="F3959">
            <v>0</v>
          </cell>
          <cell r="G3959">
            <v>1997</v>
          </cell>
          <cell r="H3959">
            <v>20</v>
          </cell>
          <cell r="I3959">
            <v>1684000000</v>
          </cell>
        </row>
        <row r="3960">
          <cell r="A3960" t="str">
            <v>Bolivia</v>
          </cell>
          <cell r="B3960">
            <v>68</v>
          </cell>
          <cell r="C3960">
            <v>201</v>
          </cell>
          <cell r="D3960">
            <v>13</v>
          </cell>
          <cell r="E3960" t="str">
            <v>Less: Financial intermediation services indirectly measured (FISIM) (only to be deducted if FISIM is not distributed to uses)</v>
          </cell>
          <cell r="F3960">
            <v>0</v>
          </cell>
          <cell r="G3960">
            <v>1998</v>
          </cell>
          <cell r="H3960">
            <v>20</v>
          </cell>
          <cell r="I3960">
            <v>2066000000</v>
          </cell>
        </row>
        <row r="3961">
          <cell r="A3961" t="str">
            <v>Bolivia</v>
          </cell>
          <cell r="B3961">
            <v>68</v>
          </cell>
          <cell r="C3961">
            <v>201</v>
          </cell>
          <cell r="D3961">
            <v>13</v>
          </cell>
          <cell r="E3961" t="str">
            <v>Less: Financial intermediation services indirectly measured (FISIM) (only to be deducted if FISIM is not distributed to uses)</v>
          </cell>
          <cell r="F3961">
            <v>0</v>
          </cell>
          <cell r="G3961">
            <v>1999</v>
          </cell>
          <cell r="H3961">
            <v>20</v>
          </cell>
          <cell r="I3961">
            <v>2338000000</v>
          </cell>
        </row>
        <row r="3962">
          <cell r="A3962" t="str">
            <v>Bolivia</v>
          </cell>
          <cell r="B3962">
            <v>68</v>
          </cell>
          <cell r="C3962">
            <v>201</v>
          </cell>
          <cell r="D3962">
            <v>13</v>
          </cell>
          <cell r="E3962" t="str">
            <v>Less: Financial intermediation services indirectly measured (FISIM) (only to be deducted if FISIM is not distributed to uses)</v>
          </cell>
          <cell r="F3962">
            <v>0</v>
          </cell>
          <cell r="G3962">
            <v>2000</v>
          </cell>
          <cell r="H3962">
            <v>20</v>
          </cell>
          <cell r="I3962">
            <v>2322000000</v>
          </cell>
        </row>
        <row r="3963">
          <cell r="A3963" t="str">
            <v>Bolivia</v>
          </cell>
          <cell r="B3963">
            <v>68</v>
          </cell>
          <cell r="C3963">
            <v>201</v>
          </cell>
          <cell r="D3963">
            <v>13</v>
          </cell>
          <cell r="E3963" t="str">
            <v>Less: Financial intermediation services indirectly measured (FISIM) (only to be deducted if FISIM is not distributed to uses)</v>
          </cell>
          <cell r="F3963">
            <v>0</v>
          </cell>
          <cell r="G3963">
            <v>2001</v>
          </cell>
          <cell r="H3963">
            <v>20</v>
          </cell>
          <cell r="I3963">
            <v>2265000000</v>
          </cell>
        </row>
        <row r="3964">
          <cell r="A3964" t="str">
            <v>Bolivia</v>
          </cell>
          <cell r="B3964">
            <v>68</v>
          </cell>
          <cell r="C3964">
            <v>201</v>
          </cell>
          <cell r="D3964">
            <v>13</v>
          </cell>
          <cell r="E3964" t="str">
            <v>Less: Financial intermediation services indirectly measured (FISIM) (only to be deducted if FISIM is not distributed to uses)</v>
          </cell>
          <cell r="F3964">
            <v>0</v>
          </cell>
          <cell r="G3964">
            <v>2002</v>
          </cell>
          <cell r="H3964">
            <v>20</v>
          </cell>
          <cell r="I3964">
            <v>2139000000</v>
          </cell>
        </row>
        <row r="3965">
          <cell r="A3965" t="str">
            <v>Bolivia</v>
          </cell>
          <cell r="B3965">
            <v>68</v>
          </cell>
          <cell r="C3965">
            <v>201</v>
          </cell>
          <cell r="D3965">
            <v>13</v>
          </cell>
          <cell r="E3965" t="str">
            <v>Less: Financial intermediation services indirectly measured (FISIM) (only to be deducted if FISIM is not distributed to uses)</v>
          </cell>
          <cell r="F3965">
            <v>0</v>
          </cell>
          <cell r="G3965">
            <v>2003</v>
          </cell>
          <cell r="H3965">
            <v>20</v>
          </cell>
          <cell r="I3965">
            <v>2203600000</v>
          </cell>
        </row>
        <row r="3966">
          <cell r="A3966" t="str">
            <v>Czech Republic</v>
          </cell>
          <cell r="B3966">
            <v>203</v>
          </cell>
          <cell r="C3966">
            <v>203</v>
          </cell>
          <cell r="D3966">
            <v>22</v>
          </cell>
          <cell r="E3966" t="str">
            <v>Taxes on production and imports, less Subsidies</v>
          </cell>
          <cell r="F3966">
            <v>12</v>
          </cell>
          <cell r="G3966">
            <v>1992</v>
          </cell>
          <cell r="H3966">
            <v>100</v>
          </cell>
          <cell r="I3966">
            <v>-16587000000</v>
          </cell>
        </row>
        <row r="3967">
          <cell r="A3967" t="str">
            <v>Czech Republic</v>
          </cell>
          <cell r="B3967">
            <v>203</v>
          </cell>
          <cell r="C3967">
            <v>203</v>
          </cell>
          <cell r="D3967">
            <v>22</v>
          </cell>
          <cell r="E3967" t="str">
            <v>Taxes on production and imports, less Subsidies</v>
          </cell>
          <cell r="F3967">
            <v>12</v>
          </cell>
          <cell r="G3967">
            <v>1993</v>
          </cell>
          <cell r="H3967">
            <v>100</v>
          </cell>
          <cell r="I3967">
            <v>3705000000</v>
          </cell>
        </row>
        <row r="3968">
          <cell r="A3968" t="str">
            <v>Czech Republic</v>
          </cell>
          <cell r="B3968">
            <v>203</v>
          </cell>
          <cell r="C3968">
            <v>203</v>
          </cell>
          <cell r="D3968">
            <v>22</v>
          </cell>
          <cell r="E3968" t="str">
            <v>Taxes on production and imports, less Subsidies</v>
          </cell>
          <cell r="F3968">
            <v>12</v>
          </cell>
          <cell r="G3968">
            <v>1994</v>
          </cell>
          <cell r="H3968">
            <v>100</v>
          </cell>
          <cell r="I3968">
            <v>-2725000000</v>
          </cell>
        </row>
        <row r="3969">
          <cell r="A3969" t="str">
            <v>Czech Republic</v>
          </cell>
          <cell r="B3969">
            <v>203</v>
          </cell>
          <cell r="C3969">
            <v>203</v>
          </cell>
          <cell r="D3969">
            <v>22</v>
          </cell>
          <cell r="E3969" t="str">
            <v>Taxes on production and imports, less Subsidies</v>
          </cell>
          <cell r="F3969">
            <v>12</v>
          </cell>
          <cell r="G3969">
            <v>1995</v>
          </cell>
          <cell r="H3969">
            <v>100</v>
          </cell>
          <cell r="I3969">
            <v>-8006000000</v>
          </cell>
        </row>
        <row r="3970">
          <cell r="A3970" t="str">
            <v>Czech Republic</v>
          </cell>
          <cell r="B3970">
            <v>203</v>
          </cell>
          <cell r="C3970">
            <v>203</v>
          </cell>
          <cell r="D3970">
            <v>22</v>
          </cell>
          <cell r="E3970" t="str">
            <v>Taxes on production and imports, less Subsidies</v>
          </cell>
          <cell r="F3970">
            <v>12</v>
          </cell>
          <cell r="G3970">
            <v>1995</v>
          </cell>
          <cell r="H3970">
            <v>200</v>
          </cell>
          <cell r="I3970">
            <v>-2488000000</v>
          </cell>
        </row>
        <row r="3971">
          <cell r="A3971" t="str">
            <v>Czech Republic</v>
          </cell>
          <cell r="B3971">
            <v>203</v>
          </cell>
          <cell r="C3971">
            <v>203</v>
          </cell>
          <cell r="D3971">
            <v>22</v>
          </cell>
          <cell r="E3971" t="str">
            <v>Taxes on production and imports, less Subsidies</v>
          </cell>
          <cell r="F3971">
            <v>12</v>
          </cell>
          <cell r="G3971">
            <v>1996</v>
          </cell>
          <cell r="H3971">
            <v>200</v>
          </cell>
          <cell r="I3971">
            <v>-1539000000</v>
          </cell>
        </row>
        <row r="3972">
          <cell r="A3972" t="str">
            <v>Czech Republic</v>
          </cell>
          <cell r="B3972">
            <v>203</v>
          </cell>
          <cell r="C3972">
            <v>203</v>
          </cell>
          <cell r="D3972">
            <v>22</v>
          </cell>
          <cell r="E3972" t="str">
            <v>Taxes on production and imports, less Subsidies</v>
          </cell>
          <cell r="F3972">
            <v>12</v>
          </cell>
          <cell r="G3972">
            <v>1997</v>
          </cell>
          <cell r="H3972">
            <v>200</v>
          </cell>
          <cell r="I3972">
            <v>-10051000000</v>
          </cell>
        </row>
        <row r="3973">
          <cell r="A3973" t="str">
            <v>Czech Republic</v>
          </cell>
          <cell r="B3973">
            <v>203</v>
          </cell>
          <cell r="C3973">
            <v>203</v>
          </cell>
          <cell r="D3973">
            <v>22</v>
          </cell>
          <cell r="E3973" t="str">
            <v>Taxes on production and imports, less Subsidies</v>
          </cell>
          <cell r="F3973">
            <v>12</v>
          </cell>
          <cell r="G3973">
            <v>1998</v>
          </cell>
          <cell r="H3973">
            <v>200</v>
          </cell>
          <cell r="I3973">
            <v>-22692000000</v>
          </cell>
        </row>
        <row r="3974">
          <cell r="A3974" t="str">
            <v>Czech Republic</v>
          </cell>
          <cell r="B3974">
            <v>203</v>
          </cell>
          <cell r="C3974">
            <v>203</v>
          </cell>
          <cell r="D3974">
            <v>22</v>
          </cell>
          <cell r="E3974" t="str">
            <v>Taxes on production and imports, less Subsidies</v>
          </cell>
          <cell r="F3974">
            <v>12</v>
          </cell>
          <cell r="G3974">
            <v>1999</v>
          </cell>
          <cell r="H3974">
            <v>200</v>
          </cell>
          <cell r="I3974">
            <v>-21967000000</v>
          </cell>
        </row>
        <row r="3975">
          <cell r="A3975" t="str">
            <v>Czech Republic</v>
          </cell>
          <cell r="B3975">
            <v>203</v>
          </cell>
          <cell r="C3975">
            <v>203</v>
          </cell>
          <cell r="D3975">
            <v>22</v>
          </cell>
          <cell r="E3975" t="str">
            <v>Taxes on production and imports, less Subsidies</v>
          </cell>
          <cell r="F3975">
            <v>12</v>
          </cell>
          <cell r="G3975">
            <v>2000</v>
          </cell>
          <cell r="H3975">
            <v>200</v>
          </cell>
          <cell r="I3975">
            <v>-18815000000</v>
          </cell>
        </row>
        <row r="3976">
          <cell r="A3976" t="str">
            <v>Czech Republic</v>
          </cell>
          <cell r="B3976">
            <v>203</v>
          </cell>
          <cell r="C3976">
            <v>203</v>
          </cell>
          <cell r="D3976">
            <v>22</v>
          </cell>
          <cell r="E3976" t="str">
            <v>Taxes on production and imports, less Subsidies</v>
          </cell>
          <cell r="F3976">
            <v>12</v>
          </cell>
          <cell r="G3976">
            <v>2001</v>
          </cell>
          <cell r="H3976">
            <v>200</v>
          </cell>
          <cell r="I3976">
            <v>-27280000000</v>
          </cell>
        </row>
        <row r="3977">
          <cell r="A3977" t="str">
            <v>Czech Republic</v>
          </cell>
          <cell r="B3977">
            <v>203</v>
          </cell>
          <cell r="C3977">
            <v>203</v>
          </cell>
          <cell r="D3977">
            <v>22</v>
          </cell>
          <cell r="E3977" t="str">
            <v>Taxes on production and imports, less Subsidies</v>
          </cell>
          <cell r="F3977">
            <v>12</v>
          </cell>
          <cell r="G3977">
            <v>2002</v>
          </cell>
          <cell r="H3977">
            <v>200</v>
          </cell>
          <cell r="I3977">
            <v>-19259000000</v>
          </cell>
        </row>
        <row r="3978">
          <cell r="A3978" t="str">
            <v>Dominica</v>
          </cell>
          <cell r="B3978">
            <v>212</v>
          </cell>
          <cell r="C3978">
            <v>201</v>
          </cell>
          <cell r="D3978">
            <v>13</v>
          </cell>
          <cell r="E3978" t="str">
            <v>Less: Financial intermediation services indirectly measured (FISIM) (only to be deducted if FISIM is not distributed to uses)</v>
          </cell>
          <cell r="F3978">
            <v>0</v>
          </cell>
          <cell r="G3978">
            <v>1977</v>
          </cell>
          <cell r="H3978">
            <v>40</v>
          </cell>
          <cell r="I3978">
            <v>2640000</v>
          </cell>
        </row>
        <row r="3979">
          <cell r="A3979" t="str">
            <v>Dominica</v>
          </cell>
          <cell r="B3979">
            <v>212</v>
          </cell>
          <cell r="C3979">
            <v>201</v>
          </cell>
          <cell r="D3979">
            <v>13</v>
          </cell>
          <cell r="E3979" t="str">
            <v>Less: Financial intermediation services indirectly measured (FISIM) (only to be deducted if FISIM is not distributed to uses)</v>
          </cell>
          <cell r="F3979">
            <v>0</v>
          </cell>
          <cell r="G3979">
            <v>1978</v>
          </cell>
          <cell r="H3979">
            <v>40</v>
          </cell>
          <cell r="I3979">
            <v>3170000</v>
          </cell>
        </row>
        <row r="3980">
          <cell r="A3980" t="str">
            <v>Dominica</v>
          </cell>
          <cell r="B3980">
            <v>212</v>
          </cell>
          <cell r="C3980">
            <v>201</v>
          </cell>
          <cell r="D3980">
            <v>13</v>
          </cell>
          <cell r="E3980" t="str">
            <v>Less: Financial intermediation services indirectly measured (FISIM) (only to be deducted if FISIM is not distributed to uses)</v>
          </cell>
          <cell r="F3980">
            <v>0</v>
          </cell>
          <cell r="G3980">
            <v>1979</v>
          </cell>
          <cell r="H3980">
            <v>40</v>
          </cell>
          <cell r="I3980">
            <v>4940000</v>
          </cell>
        </row>
        <row r="3981">
          <cell r="A3981" t="str">
            <v>Dominica</v>
          </cell>
          <cell r="B3981">
            <v>212</v>
          </cell>
          <cell r="C3981">
            <v>201</v>
          </cell>
          <cell r="D3981">
            <v>13</v>
          </cell>
          <cell r="E3981" t="str">
            <v>Less: Financial intermediation services indirectly measured (FISIM) (only to be deducted if FISIM is not distributed to uses)</v>
          </cell>
          <cell r="F3981">
            <v>0</v>
          </cell>
          <cell r="G3981">
            <v>1980</v>
          </cell>
          <cell r="H3981">
            <v>40</v>
          </cell>
          <cell r="I3981">
            <v>6760000</v>
          </cell>
        </row>
        <row r="3982">
          <cell r="A3982" t="str">
            <v>Dominica</v>
          </cell>
          <cell r="B3982">
            <v>212</v>
          </cell>
          <cell r="C3982">
            <v>201</v>
          </cell>
          <cell r="D3982">
            <v>13</v>
          </cell>
          <cell r="E3982" t="str">
            <v>Less: Financial intermediation services indirectly measured (FISIM) (only to be deducted if FISIM is not distributed to uses)</v>
          </cell>
          <cell r="F3982">
            <v>0</v>
          </cell>
          <cell r="G3982">
            <v>1981</v>
          </cell>
          <cell r="H3982">
            <v>40</v>
          </cell>
          <cell r="I3982">
            <v>7200000</v>
          </cell>
        </row>
        <row r="3983">
          <cell r="A3983" t="str">
            <v>Dominica</v>
          </cell>
          <cell r="B3983">
            <v>212</v>
          </cell>
          <cell r="C3983">
            <v>201</v>
          </cell>
          <cell r="D3983">
            <v>13</v>
          </cell>
          <cell r="E3983" t="str">
            <v>Less: Financial intermediation services indirectly measured (FISIM) (only to be deducted if FISIM is not distributed to uses)</v>
          </cell>
          <cell r="F3983">
            <v>0</v>
          </cell>
          <cell r="G3983">
            <v>1982</v>
          </cell>
          <cell r="H3983">
            <v>40</v>
          </cell>
          <cell r="I3983">
            <v>7230000</v>
          </cell>
        </row>
        <row r="3984">
          <cell r="A3984" t="str">
            <v>Dominica</v>
          </cell>
          <cell r="B3984">
            <v>212</v>
          </cell>
          <cell r="C3984">
            <v>201</v>
          </cell>
          <cell r="D3984">
            <v>13</v>
          </cell>
          <cell r="E3984" t="str">
            <v>Less: Financial intermediation services indirectly measured (FISIM) (only to be deducted if FISIM is not distributed to uses)</v>
          </cell>
          <cell r="F3984">
            <v>0</v>
          </cell>
          <cell r="G3984">
            <v>1983</v>
          </cell>
          <cell r="H3984">
            <v>40</v>
          </cell>
          <cell r="I3984">
            <v>7380000</v>
          </cell>
        </row>
        <row r="3985">
          <cell r="A3985" t="str">
            <v>Dominica</v>
          </cell>
          <cell r="B3985">
            <v>212</v>
          </cell>
          <cell r="C3985">
            <v>201</v>
          </cell>
          <cell r="D3985">
            <v>13</v>
          </cell>
          <cell r="E3985" t="str">
            <v>Less: Financial intermediation services indirectly measured (FISIM) (only to be deducted if FISIM is not distributed to uses)</v>
          </cell>
          <cell r="F3985">
            <v>0</v>
          </cell>
          <cell r="G3985">
            <v>1984</v>
          </cell>
          <cell r="H3985">
            <v>40</v>
          </cell>
          <cell r="I3985">
            <v>10030000</v>
          </cell>
        </row>
        <row r="3986">
          <cell r="A3986" t="str">
            <v>Dominica</v>
          </cell>
          <cell r="B3986">
            <v>212</v>
          </cell>
          <cell r="C3986">
            <v>201</v>
          </cell>
          <cell r="D3986">
            <v>13</v>
          </cell>
          <cell r="E3986" t="str">
            <v>Less: Financial intermediation services indirectly measured (FISIM) (only to be deducted if FISIM is not distributed to uses)</v>
          </cell>
          <cell r="F3986">
            <v>0</v>
          </cell>
          <cell r="G3986">
            <v>1985</v>
          </cell>
          <cell r="H3986">
            <v>40</v>
          </cell>
          <cell r="I3986">
            <v>9870000</v>
          </cell>
        </row>
        <row r="3987">
          <cell r="A3987" t="str">
            <v>Dominica</v>
          </cell>
          <cell r="B3987">
            <v>212</v>
          </cell>
          <cell r="C3987">
            <v>201</v>
          </cell>
          <cell r="D3987">
            <v>13</v>
          </cell>
          <cell r="E3987" t="str">
            <v>Less: Financial intermediation services indirectly measured (FISIM) (only to be deducted if FISIM is not distributed to uses)</v>
          </cell>
          <cell r="F3987">
            <v>0</v>
          </cell>
          <cell r="G3987">
            <v>1986</v>
          </cell>
          <cell r="H3987">
            <v>40</v>
          </cell>
          <cell r="I3987">
            <v>10360000</v>
          </cell>
        </row>
        <row r="3988">
          <cell r="A3988" t="str">
            <v>Dominica</v>
          </cell>
          <cell r="B3988">
            <v>212</v>
          </cell>
          <cell r="C3988">
            <v>201</v>
          </cell>
          <cell r="D3988">
            <v>13</v>
          </cell>
          <cell r="E3988" t="str">
            <v>Less: Financial intermediation services indirectly measured (FISIM) (only to be deducted if FISIM is not distributed to uses)</v>
          </cell>
          <cell r="F3988">
            <v>0</v>
          </cell>
          <cell r="G3988">
            <v>1987</v>
          </cell>
          <cell r="H3988">
            <v>40</v>
          </cell>
          <cell r="I3988">
            <v>12050000</v>
          </cell>
        </row>
        <row r="3989">
          <cell r="A3989" t="str">
            <v>Dominica</v>
          </cell>
          <cell r="B3989">
            <v>212</v>
          </cell>
          <cell r="C3989">
            <v>201</v>
          </cell>
          <cell r="D3989">
            <v>13</v>
          </cell>
          <cell r="E3989" t="str">
            <v>Less: Financial intermediation services indirectly measured (FISIM) (only to be deducted if FISIM is not distributed to uses)</v>
          </cell>
          <cell r="F3989">
            <v>0</v>
          </cell>
          <cell r="G3989">
            <v>1988</v>
          </cell>
          <cell r="H3989">
            <v>40</v>
          </cell>
          <cell r="I3989">
            <v>15390000</v>
          </cell>
        </row>
        <row r="3990">
          <cell r="A3990" t="str">
            <v>Dominica</v>
          </cell>
          <cell r="B3990">
            <v>212</v>
          </cell>
          <cell r="C3990">
            <v>201</v>
          </cell>
          <cell r="D3990">
            <v>13</v>
          </cell>
          <cell r="E3990" t="str">
            <v>Less: Financial intermediation services indirectly measured (FISIM) (only to be deducted if FISIM is not distributed to uses)</v>
          </cell>
          <cell r="F3990">
            <v>0</v>
          </cell>
          <cell r="G3990">
            <v>1989</v>
          </cell>
          <cell r="H3990">
            <v>40</v>
          </cell>
          <cell r="I3990">
            <v>21110000</v>
          </cell>
        </row>
        <row r="3991">
          <cell r="A3991" t="str">
            <v>Dominica</v>
          </cell>
          <cell r="B3991">
            <v>212</v>
          </cell>
          <cell r="C3991">
            <v>201</v>
          </cell>
          <cell r="D3991">
            <v>13</v>
          </cell>
          <cell r="E3991" t="str">
            <v>Less: Financial intermediation services indirectly measured (FISIM) (only to be deducted if FISIM is not distributed to uses)</v>
          </cell>
          <cell r="F3991">
            <v>0</v>
          </cell>
          <cell r="G3991">
            <v>1990</v>
          </cell>
          <cell r="H3991">
            <v>40</v>
          </cell>
          <cell r="I3991">
            <v>28110000</v>
          </cell>
        </row>
        <row r="3992">
          <cell r="A3992" t="str">
            <v>Dominica</v>
          </cell>
          <cell r="B3992">
            <v>212</v>
          </cell>
          <cell r="C3992">
            <v>201</v>
          </cell>
          <cell r="D3992">
            <v>13</v>
          </cell>
          <cell r="E3992" t="str">
            <v>Less: Financial intermediation services indirectly measured (FISIM) (only to be deducted if FISIM is not distributed to uses)</v>
          </cell>
          <cell r="F3992">
            <v>0</v>
          </cell>
          <cell r="G3992">
            <v>1991</v>
          </cell>
          <cell r="H3992">
            <v>40</v>
          </cell>
          <cell r="I3992">
            <v>29520000</v>
          </cell>
        </row>
        <row r="3993">
          <cell r="A3993" t="str">
            <v>Dominica</v>
          </cell>
          <cell r="B3993">
            <v>212</v>
          </cell>
          <cell r="C3993">
            <v>201</v>
          </cell>
          <cell r="D3993">
            <v>13</v>
          </cell>
          <cell r="E3993" t="str">
            <v>Less: Financial intermediation services indirectly measured (FISIM) (only to be deducted if FISIM is not distributed to uses)</v>
          </cell>
          <cell r="F3993">
            <v>0</v>
          </cell>
          <cell r="G3993">
            <v>1992</v>
          </cell>
          <cell r="H3993">
            <v>40</v>
          </cell>
          <cell r="I3993">
            <v>34790000</v>
          </cell>
        </row>
        <row r="3994">
          <cell r="A3994" t="str">
            <v>Dominica</v>
          </cell>
          <cell r="B3994">
            <v>212</v>
          </cell>
          <cell r="C3994">
            <v>201</v>
          </cell>
          <cell r="D3994">
            <v>13</v>
          </cell>
          <cell r="E3994" t="str">
            <v>Less: Financial intermediation services indirectly measured (FISIM) (only to be deducted if FISIM is not distributed to uses)</v>
          </cell>
          <cell r="F3994">
            <v>0</v>
          </cell>
          <cell r="G3994">
            <v>1993</v>
          </cell>
          <cell r="H3994">
            <v>40</v>
          </cell>
          <cell r="I3994">
            <v>35090000</v>
          </cell>
        </row>
        <row r="3995">
          <cell r="A3995" t="str">
            <v>Dominica</v>
          </cell>
          <cell r="B3995">
            <v>212</v>
          </cell>
          <cell r="C3995">
            <v>201</v>
          </cell>
          <cell r="D3995">
            <v>13</v>
          </cell>
          <cell r="E3995" t="str">
            <v>Less: Financial intermediation services indirectly measured (FISIM) (only to be deducted if FISIM is not distributed to uses)</v>
          </cell>
          <cell r="F3995">
            <v>0</v>
          </cell>
          <cell r="G3995">
            <v>1994</v>
          </cell>
          <cell r="H3995">
            <v>40</v>
          </cell>
          <cell r="I3995">
            <v>40750000</v>
          </cell>
        </row>
        <row r="3996">
          <cell r="A3996" t="str">
            <v>Dominica</v>
          </cell>
          <cell r="B3996">
            <v>212</v>
          </cell>
          <cell r="C3996">
            <v>201</v>
          </cell>
          <cell r="D3996">
            <v>13</v>
          </cell>
          <cell r="E3996" t="str">
            <v>Less: Financial intermediation services indirectly measured (FISIM) (only to be deducted if FISIM is not distributed to uses)</v>
          </cell>
          <cell r="F3996">
            <v>0</v>
          </cell>
          <cell r="G3996">
            <v>1995</v>
          </cell>
          <cell r="H3996">
            <v>40</v>
          </cell>
          <cell r="I3996">
            <v>46320000</v>
          </cell>
        </row>
        <row r="3997">
          <cell r="A3997" t="str">
            <v>Dominica</v>
          </cell>
          <cell r="B3997">
            <v>212</v>
          </cell>
          <cell r="C3997">
            <v>201</v>
          </cell>
          <cell r="D3997">
            <v>13</v>
          </cell>
          <cell r="E3997" t="str">
            <v>Less: Financial intermediation services indirectly measured (FISIM) (only to be deducted if FISIM is not distributed to uses)</v>
          </cell>
          <cell r="F3997">
            <v>0</v>
          </cell>
          <cell r="G3997">
            <v>1996</v>
          </cell>
          <cell r="H3997">
            <v>40</v>
          </cell>
          <cell r="I3997">
            <v>45960000</v>
          </cell>
        </row>
        <row r="3998">
          <cell r="A3998" t="str">
            <v>Dominica</v>
          </cell>
          <cell r="B3998">
            <v>212</v>
          </cell>
          <cell r="C3998">
            <v>201</v>
          </cell>
          <cell r="D3998">
            <v>13</v>
          </cell>
          <cell r="E3998" t="str">
            <v>Less: Financial intermediation services indirectly measured (FISIM) (only to be deducted if FISIM is not distributed to uses)</v>
          </cell>
          <cell r="F3998">
            <v>0</v>
          </cell>
          <cell r="G3998">
            <v>1997</v>
          </cell>
          <cell r="H3998">
            <v>40</v>
          </cell>
          <cell r="I3998">
            <v>43860000</v>
          </cell>
        </row>
        <row r="3999">
          <cell r="A3999" t="str">
            <v>Dominica</v>
          </cell>
          <cell r="B3999">
            <v>212</v>
          </cell>
          <cell r="C3999">
            <v>201</v>
          </cell>
          <cell r="D3999">
            <v>13</v>
          </cell>
          <cell r="E3999" t="str">
            <v>Less: Financial intermediation services indirectly measured (FISIM) (only to be deducted if FISIM is not distributed to uses)</v>
          </cell>
          <cell r="F3999">
            <v>0</v>
          </cell>
          <cell r="G3999">
            <v>1998</v>
          </cell>
          <cell r="H3999">
            <v>40</v>
          </cell>
          <cell r="I3999">
            <v>51930000</v>
          </cell>
        </row>
        <row r="4000">
          <cell r="A4000" t="str">
            <v>Dominica</v>
          </cell>
          <cell r="B4000">
            <v>212</v>
          </cell>
          <cell r="C4000">
            <v>201</v>
          </cell>
          <cell r="D4000">
            <v>13</v>
          </cell>
          <cell r="E4000" t="str">
            <v>Less: Financial intermediation services indirectly measured (FISIM) (only to be deducted if FISIM is not distributed to uses)</v>
          </cell>
          <cell r="F4000">
            <v>0</v>
          </cell>
          <cell r="G4000">
            <v>1999</v>
          </cell>
          <cell r="H4000">
            <v>40</v>
          </cell>
          <cell r="I4000">
            <v>52110000</v>
          </cell>
        </row>
        <row r="4001">
          <cell r="A4001" t="str">
            <v>Dominica</v>
          </cell>
          <cell r="B4001">
            <v>212</v>
          </cell>
          <cell r="C4001">
            <v>201</v>
          </cell>
          <cell r="D4001">
            <v>13</v>
          </cell>
          <cell r="E4001" t="str">
            <v>Less: Financial intermediation services indirectly measured (FISIM) (only to be deducted if FISIM is not distributed to uses)</v>
          </cell>
          <cell r="F4001">
            <v>0</v>
          </cell>
          <cell r="G4001">
            <v>2000</v>
          </cell>
          <cell r="H4001">
            <v>40</v>
          </cell>
          <cell r="I4001">
            <v>53940000</v>
          </cell>
        </row>
        <row r="4002">
          <cell r="A4002" t="str">
            <v>Dominica</v>
          </cell>
          <cell r="B4002">
            <v>212</v>
          </cell>
          <cell r="C4002">
            <v>201</v>
          </cell>
          <cell r="D4002">
            <v>13</v>
          </cell>
          <cell r="E4002" t="str">
            <v>Less: Financial intermediation services indirectly measured (FISIM) (only to be deducted if FISIM is not distributed to uses)</v>
          </cell>
          <cell r="F4002">
            <v>0</v>
          </cell>
          <cell r="G4002">
            <v>2001</v>
          </cell>
          <cell r="H4002">
            <v>40</v>
          </cell>
          <cell r="I4002">
            <v>54000000</v>
          </cell>
        </row>
        <row r="4003">
          <cell r="A4003" t="str">
            <v>Dominica</v>
          </cell>
          <cell r="B4003">
            <v>212</v>
          </cell>
          <cell r="C4003">
            <v>201</v>
          </cell>
          <cell r="D4003">
            <v>13</v>
          </cell>
          <cell r="E4003" t="str">
            <v>Less: Financial intermediation services indirectly measured (FISIM) (only to be deducted if FISIM is not distributed to uses)</v>
          </cell>
          <cell r="F4003">
            <v>0</v>
          </cell>
          <cell r="G4003">
            <v>2002</v>
          </cell>
          <cell r="H4003">
            <v>40</v>
          </cell>
          <cell r="I4003">
            <v>51000000</v>
          </cell>
        </row>
        <row r="4004">
          <cell r="A4004" t="str">
            <v>Bolivia</v>
          </cell>
          <cell r="B4004">
            <v>68</v>
          </cell>
          <cell r="C4004">
            <v>203</v>
          </cell>
          <cell r="D4004">
            <v>3</v>
          </cell>
          <cell r="E4004" t="str">
            <v>Equals: VALUE ADDED, GROSS, at basic prices</v>
          </cell>
          <cell r="F4004">
            <v>12</v>
          </cell>
          <cell r="G4004">
            <v>1970</v>
          </cell>
          <cell r="H4004">
            <v>20</v>
          </cell>
          <cell r="I4004">
            <v>12501</v>
          </cell>
        </row>
        <row r="4005">
          <cell r="A4005" t="str">
            <v>Bolivia</v>
          </cell>
          <cell r="B4005">
            <v>68</v>
          </cell>
          <cell r="C4005">
            <v>203</v>
          </cell>
          <cell r="D4005">
            <v>3</v>
          </cell>
          <cell r="E4005" t="str">
            <v>Equals: VALUE ADDED, GROSS, at basic prices</v>
          </cell>
          <cell r="F4005">
            <v>12</v>
          </cell>
          <cell r="G4005">
            <v>1971</v>
          </cell>
          <cell r="H4005">
            <v>20</v>
          </cell>
          <cell r="I4005">
            <v>13686</v>
          </cell>
        </row>
        <row r="4006">
          <cell r="A4006" t="str">
            <v>Bolivia</v>
          </cell>
          <cell r="B4006">
            <v>68</v>
          </cell>
          <cell r="C4006">
            <v>203</v>
          </cell>
          <cell r="D4006">
            <v>3</v>
          </cell>
          <cell r="E4006" t="str">
            <v>Equals: VALUE ADDED, GROSS, at basic prices</v>
          </cell>
          <cell r="F4006">
            <v>12</v>
          </cell>
          <cell r="G4006">
            <v>1972</v>
          </cell>
          <cell r="H4006">
            <v>20</v>
          </cell>
          <cell r="I4006">
            <v>17444</v>
          </cell>
        </row>
        <row r="4007">
          <cell r="A4007" t="str">
            <v>Bolivia</v>
          </cell>
          <cell r="B4007">
            <v>68</v>
          </cell>
          <cell r="C4007">
            <v>203</v>
          </cell>
          <cell r="D4007">
            <v>3</v>
          </cell>
          <cell r="E4007" t="str">
            <v>Equals: VALUE ADDED, GROSS, at basic prices</v>
          </cell>
          <cell r="F4007">
            <v>12</v>
          </cell>
          <cell r="G4007">
            <v>1973</v>
          </cell>
          <cell r="H4007">
            <v>20</v>
          </cell>
          <cell r="I4007">
            <v>26372</v>
          </cell>
        </row>
        <row r="4008">
          <cell r="A4008" t="str">
            <v>Bolivia</v>
          </cell>
          <cell r="B4008">
            <v>68</v>
          </cell>
          <cell r="C4008">
            <v>203</v>
          </cell>
          <cell r="D4008">
            <v>3</v>
          </cell>
          <cell r="E4008" t="str">
            <v>Equals: VALUE ADDED, GROSS, at basic prices</v>
          </cell>
          <cell r="F4008">
            <v>12</v>
          </cell>
          <cell r="G4008">
            <v>1974</v>
          </cell>
          <cell r="H4008">
            <v>20</v>
          </cell>
          <cell r="I4008">
            <v>43835</v>
          </cell>
        </row>
        <row r="4009">
          <cell r="A4009" t="str">
            <v>Bolivia</v>
          </cell>
          <cell r="B4009">
            <v>68</v>
          </cell>
          <cell r="C4009">
            <v>203</v>
          </cell>
          <cell r="D4009">
            <v>3</v>
          </cell>
          <cell r="E4009" t="str">
            <v>Equals: VALUE ADDED, GROSS, at basic prices</v>
          </cell>
          <cell r="F4009">
            <v>12</v>
          </cell>
          <cell r="G4009">
            <v>1975</v>
          </cell>
          <cell r="H4009">
            <v>20</v>
          </cell>
          <cell r="I4009">
            <v>49889</v>
          </cell>
        </row>
        <row r="4010">
          <cell r="A4010" t="str">
            <v>Bolivia</v>
          </cell>
          <cell r="B4010">
            <v>68</v>
          </cell>
          <cell r="C4010">
            <v>203</v>
          </cell>
          <cell r="D4010">
            <v>3</v>
          </cell>
          <cell r="E4010" t="str">
            <v>Equals: VALUE ADDED, GROSS, at basic prices</v>
          </cell>
          <cell r="F4010">
            <v>12</v>
          </cell>
          <cell r="G4010">
            <v>1976</v>
          </cell>
          <cell r="H4010">
            <v>20</v>
          </cell>
          <cell r="I4010">
            <v>57335</v>
          </cell>
        </row>
        <row r="4011">
          <cell r="A4011" t="str">
            <v>Bolivia</v>
          </cell>
          <cell r="B4011">
            <v>68</v>
          </cell>
          <cell r="C4011">
            <v>203</v>
          </cell>
          <cell r="D4011">
            <v>3</v>
          </cell>
          <cell r="E4011" t="str">
            <v>Equals: VALUE ADDED, GROSS, at basic prices</v>
          </cell>
          <cell r="F4011">
            <v>12</v>
          </cell>
          <cell r="G4011">
            <v>1977</v>
          </cell>
          <cell r="H4011">
            <v>20</v>
          </cell>
          <cell r="I4011">
            <v>66307</v>
          </cell>
        </row>
        <row r="4012">
          <cell r="A4012" t="str">
            <v>Bolivia</v>
          </cell>
          <cell r="B4012">
            <v>68</v>
          </cell>
          <cell r="C4012">
            <v>203</v>
          </cell>
          <cell r="D4012">
            <v>3</v>
          </cell>
          <cell r="E4012" t="str">
            <v>Equals: VALUE ADDED, GROSS, at basic prices</v>
          </cell>
          <cell r="F4012">
            <v>12</v>
          </cell>
          <cell r="G4012">
            <v>1978</v>
          </cell>
          <cell r="H4012">
            <v>20</v>
          </cell>
          <cell r="I4012">
            <v>73926</v>
          </cell>
        </row>
        <row r="4013">
          <cell r="A4013" t="str">
            <v>Bolivia</v>
          </cell>
          <cell r="B4013">
            <v>68</v>
          </cell>
          <cell r="C4013">
            <v>203</v>
          </cell>
          <cell r="D4013">
            <v>3</v>
          </cell>
          <cell r="E4013" t="str">
            <v>Equals: VALUE ADDED, GROSS, at basic prices</v>
          </cell>
          <cell r="F4013">
            <v>12</v>
          </cell>
          <cell r="G4013">
            <v>1979</v>
          </cell>
          <cell r="H4013">
            <v>20</v>
          </cell>
          <cell r="I4013">
            <v>89001</v>
          </cell>
        </row>
        <row r="4014">
          <cell r="A4014" t="str">
            <v>Bolivia</v>
          </cell>
          <cell r="B4014">
            <v>68</v>
          </cell>
          <cell r="C4014">
            <v>203</v>
          </cell>
          <cell r="D4014">
            <v>3</v>
          </cell>
          <cell r="E4014" t="str">
            <v>Equals: VALUE ADDED, GROSS, at basic prices</v>
          </cell>
          <cell r="F4014">
            <v>12</v>
          </cell>
          <cell r="G4014">
            <v>1980</v>
          </cell>
          <cell r="H4014">
            <v>20</v>
          </cell>
          <cell r="I4014">
            <v>121590</v>
          </cell>
        </row>
        <row r="4015">
          <cell r="A4015" t="str">
            <v>Bolivia</v>
          </cell>
          <cell r="B4015">
            <v>68</v>
          </cell>
          <cell r="C4015">
            <v>203</v>
          </cell>
          <cell r="D4015">
            <v>3</v>
          </cell>
          <cell r="E4015" t="str">
            <v>Equals: VALUE ADDED, GROSS, at basic prices</v>
          </cell>
          <cell r="F4015">
            <v>12</v>
          </cell>
          <cell r="G4015">
            <v>1981</v>
          </cell>
          <cell r="H4015">
            <v>20</v>
          </cell>
          <cell r="I4015">
            <v>152995</v>
          </cell>
        </row>
        <row r="4016">
          <cell r="A4016" t="str">
            <v>Bolivia</v>
          </cell>
          <cell r="B4016">
            <v>68</v>
          </cell>
          <cell r="C4016">
            <v>203</v>
          </cell>
          <cell r="D4016">
            <v>3</v>
          </cell>
          <cell r="E4016" t="str">
            <v>Equals: VALUE ADDED, GROSS, at basic prices</v>
          </cell>
          <cell r="F4016">
            <v>12</v>
          </cell>
          <cell r="G4016">
            <v>1982</v>
          </cell>
          <cell r="H4016">
            <v>20</v>
          </cell>
          <cell r="I4016">
            <v>402232</v>
          </cell>
        </row>
        <row r="4017">
          <cell r="A4017" t="str">
            <v>Bolivia</v>
          </cell>
          <cell r="B4017">
            <v>68</v>
          </cell>
          <cell r="C4017">
            <v>203</v>
          </cell>
          <cell r="D4017">
            <v>3</v>
          </cell>
          <cell r="E4017" t="str">
            <v>Equals: VALUE ADDED, GROSS, at basic prices</v>
          </cell>
          <cell r="F4017">
            <v>12</v>
          </cell>
          <cell r="G4017">
            <v>1983</v>
          </cell>
          <cell r="H4017">
            <v>20</v>
          </cell>
          <cell r="I4017">
            <v>1471347</v>
          </cell>
        </row>
        <row r="4018">
          <cell r="A4018" t="str">
            <v>Bolivia</v>
          </cell>
          <cell r="B4018">
            <v>68</v>
          </cell>
          <cell r="C4018">
            <v>203</v>
          </cell>
          <cell r="D4018">
            <v>3</v>
          </cell>
          <cell r="E4018" t="str">
            <v>Equals: VALUE ADDED, GROSS, at basic prices</v>
          </cell>
          <cell r="F4018">
            <v>12</v>
          </cell>
          <cell r="G4018">
            <v>1984</v>
          </cell>
          <cell r="H4018">
            <v>20</v>
          </cell>
          <cell r="I4018">
            <v>23349000</v>
          </cell>
        </row>
        <row r="4019">
          <cell r="A4019" t="str">
            <v>Bolivia</v>
          </cell>
          <cell r="B4019">
            <v>68</v>
          </cell>
          <cell r="C4019">
            <v>203</v>
          </cell>
          <cell r="D4019">
            <v>3</v>
          </cell>
          <cell r="E4019" t="str">
            <v>Equals: VALUE ADDED, GROSS, at basic prices</v>
          </cell>
          <cell r="F4019">
            <v>12</v>
          </cell>
          <cell r="G4019">
            <v>1985</v>
          </cell>
          <cell r="H4019">
            <v>20</v>
          </cell>
          <cell r="I4019">
            <v>2903599000</v>
          </cell>
        </row>
        <row r="4020">
          <cell r="A4020" t="str">
            <v>Bolivia</v>
          </cell>
          <cell r="B4020">
            <v>68</v>
          </cell>
          <cell r="C4020">
            <v>203</v>
          </cell>
          <cell r="D4020">
            <v>3</v>
          </cell>
          <cell r="E4020" t="str">
            <v>Equals: VALUE ADDED, GROSS, at basic prices</v>
          </cell>
          <cell r="F4020">
            <v>12</v>
          </cell>
          <cell r="G4020">
            <v>1986</v>
          </cell>
          <cell r="H4020">
            <v>20</v>
          </cell>
          <cell r="I4020">
            <v>8849238000</v>
          </cell>
        </row>
        <row r="4021">
          <cell r="A4021" t="str">
            <v>Bolivia</v>
          </cell>
          <cell r="B4021">
            <v>68</v>
          </cell>
          <cell r="C4021">
            <v>203</v>
          </cell>
          <cell r="D4021">
            <v>3</v>
          </cell>
          <cell r="E4021" t="str">
            <v>Equals: VALUE ADDED, GROSS, at basic prices</v>
          </cell>
          <cell r="F4021">
            <v>12</v>
          </cell>
          <cell r="G4021">
            <v>1988</v>
          </cell>
          <cell r="H4021">
            <v>20</v>
          </cell>
          <cell r="I4021">
            <v>10050262000</v>
          </cell>
        </row>
        <row r="4022">
          <cell r="A4022" t="str">
            <v>Bolivia</v>
          </cell>
          <cell r="B4022">
            <v>68</v>
          </cell>
          <cell r="C4022">
            <v>203</v>
          </cell>
          <cell r="D4022">
            <v>3</v>
          </cell>
          <cell r="E4022" t="str">
            <v>Equals: VALUE ADDED, GROSS, at basic prices</v>
          </cell>
          <cell r="F4022">
            <v>12</v>
          </cell>
          <cell r="G4022">
            <v>1989</v>
          </cell>
          <cell r="H4022">
            <v>20</v>
          </cell>
          <cell r="I4022">
            <v>11824185000</v>
          </cell>
        </row>
        <row r="4023">
          <cell r="A4023" t="str">
            <v>Bolivia</v>
          </cell>
          <cell r="B4023">
            <v>68</v>
          </cell>
          <cell r="C4023">
            <v>203</v>
          </cell>
          <cell r="D4023">
            <v>3</v>
          </cell>
          <cell r="E4023" t="str">
            <v>Equals: VALUE ADDED, GROSS, at basic prices</v>
          </cell>
          <cell r="F4023">
            <v>12</v>
          </cell>
          <cell r="G4023">
            <v>1990</v>
          </cell>
          <cell r="H4023">
            <v>20</v>
          </cell>
          <cell r="I4023">
            <v>14416467000</v>
          </cell>
        </row>
        <row r="4024">
          <cell r="A4024" t="str">
            <v>Bolivia</v>
          </cell>
          <cell r="B4024">
            <v>68</v>
          </cell>
          <cell r="C4024">
            <v>203</v>
          </cell>
          <cell r="D4024">
            <v>3</v>
          </cell>
          <cell r="E4024" t="str">
            <v>Equals: VALUE ADDED, GROSS, at basic prices</v>
          </cell>
          <cell r="F4024">
            <v>12</v>
          </cell>
          <cell r="G4024">
            <v>1991</v>
          </cell>
          <cell r="H4024">
            <v>20</v>
          </cell>
          <cell r="I4024">
            <v>17746490000</v>
          </cell>
        </row>
        <row r="4025">
          <cell r="A4025" t="str">
            <v>Bolivia</v>
          </cell>
          <cell r="B4025">
            <v>68</v>
          </cell>
          <cell r="C4025">
            <v>203</v>
          </cell>
          <cell r="D4025">
            <v>3</v>
          </cell>
          <cell r="E4025" t="str">
            <v>Equals: VALUE ADDED, GROSS, at basic prices</v>
          </cell>
          <cell r="F4025">
            <v>12</v>
          </cell>
          <cell r="G4025">
            <v>1992</v>
          </cell>
          <cell r="H4025">
            <v>20</v>
          </cell>
          <cell r="I4025">
            <v>19786000000</v>
          </cell>
        </row>
        <row r="4026">
          <cell r="A4026" t="str">
            <v>Bolivia</v>
          </cell>
          <cell r="B4026">
            <v>68</v>
          </cell>
          <cell r="C4026">
            <v>203</v>
          </cell>
          <cell r="D4026">
            <v>3</v>
          </cell>
          <cell r="E4026" t="str">
            <v>Equals: VALUE ADDED, GROSS, at basic prices</v>
          </cell>
          <cell r="F4026">
            <v>12</v>
          </cell>
          <cell r="G4026">
            <v>1993</v>
          </cell>
          <cell r="H4026">
            <v>20</v>
          </cell>
          <cell r="I4026">
            <v>21941000000</v>
          </cell>
        </row>
        <row r="4027">
          <cell r="A4027" t="str">
            <v>Bolivia</v>
          </cell>
          <cell r="B4027">
            <v>68</v>
          </cell>
          <cell r="C4027">
            <v>203</v>
          </cell>
          <cell r="D4027">
            <v>3</v>
          </cell>
          <cell r="E4027" t="str">
            <v>Equals: VALUE ADDED, GROSS, at basic prices</v>
          </cell>
          <cell r="F4027">
            <v>12</v>
          </cell>
          <cell r="G4027">
            <v>1994</v>
          </cell>
          <cell r="H4027">
            <v>20</v>
          </cell>
          <cell r="I4027">
            <v>24616000000</v>
          </cell>
        </row>
        <row r="4028">
          <cell r="A4028" t="str">
            <v>Bolivia</v>
          </cell>
          <cell r="B4028">
            <v>68</v>
          </cell>
          <cell r="C4028">
            <v>203</v>
          </cell>
          <cell r="D4028">
            <v>3</v>
          </cell>
          <cell r="E4028" t="str">
            <v>Equals: VALUE ADDED, GROSS, at basic prices</v>
          </cell>
          <cell r="F4028">
            <v>12</v>
          </cell>
          <cell r="G4028">
            <v>1995</v>
          </cell>
          <cell r="H4028">
            <v>20</v>
          </cell>
          <cell r="I4028">
            <v>28370000000</v>
          </cell>
        </row>
        <row r="4029">
          <cell r="A4029" t="str">
            <v>Bolivia</v>
          </cell>
          <cell r="B4029">
            <v>68</v>
          </cell>
          <cell r="C4029">
            <v>203</v>
          </cell>
          <cell r="D4029">
            <v>3</v>
          </cell>
          <cell r="E4029" t="str">
            <v>Equals: VALUE ADDED, GROSS, at basic prices</v>
          </cell>
          <cell r="F4029">
            <v>12</v>
          </cell>
          <cell r="G4029">
            <v>1996</v>
          </cell>
          <cell r="H4029">
            <v>20</v>
          </cell>
          <cell r="I4029">
            <v>32511000000</v>
          </cell>
        </row>
        <row r="4030">
          <cell r="A4030" t="str">
            <v>Bolivia</v>
          </cell>
          <cell r="B4030">
            <v>68</v>
          </cell>
          <cell r="C4030">
            <v>203</v>
          </cell>
          <cell r="D4030">
            <v>3</v>
          </cell>
          <cell r="E4030" t="str">
            <v>Equals: VALUE ADDED, GROSS, at basic prices</v>
          </cell>
          <cell r="F4030">
            <v>12</v>
          </cell>
          <cell r="G4030">
            <v>1997</v>
          </cell>
          <cell r="H4030">
            <v>20</v>
          </cell>
          <cell r="I4030">
            <v>36034000000</v>
          </cell>
        </row>
        <row r="4031">
          <cell r="A4031" t="str">
            <v>Bolivia</v>
          </cell>
          <cell r="B4031">
            <v>68</v>
          </cell>
          <cell r="C4031">
            <v>203</v>
          </cell>
          <cell r="D4031">
            <v>3</v>
          </cell>
          <cell r="E4031" t="str">
            <v>Equals: VALUE ADDED, GROSS, at basic prices</v>
          </cell>
          <cell r="F4031">
            <v>12</v>
          </cell>
          <cell r="G4031">
            <v>1998</v>
          </cell>
          <cell r="H4031">
            <v>20</v>
          </cell>
          <cell r="I4031">
            <v>40297000000</v>
          </cell>
        </row>
        <row r="4032">
          <cell r="A4032" t="str">
            <v>Bolivia</v>
          </cell>
          <cell r="B4032">
            <v>68</v>
          </cell>
          <cell r="C4032">
            <v>203</v>
          </cell>
          <cell r="D4032">
            <v>3</v>
          </cell>
          <cell r="E4032" t="str">
            <v>Equals: VALUE ADDED, GROSS, at basic prices</v>
          </cell>
          <cell r="F4032">
            <v>12</v>
          </cell>
          <cell r="G4032">
            <v>1999</v>
          </cell>
          <cell r="H4032">
            <v>20</v>
          </cell>
          <cell r="I4032">
            <v>42265000000</v>
          </cell>
        </row>
        <row r="4033">
          <cell r="A4033" t="str">
            <v>Bolivia</v>
          </cell>
          <cell r="B4033">
            <v>68</v>
          </cell>
          <cell r="C4033">
            <v>203</v>
          </cell>
          <cell r="D4033">
            <v>3</v>
          </cell>
          <cell r="E4033" t="str">
            <v>Equals: VALUE ADDED, GROSS, at basic prices</v>
          </cell>
          <cell r="F4033">
            <v>12</v>
          </cell>
          <cell r="G4033">
            <v>2000</v>
          </cell>
          <cell r="H4033">
            <v>20</v>
          </cell>
          <cell r="I4033">
            <v>45045000000</v>
          </cell>
        </row>
        <row r="4034">
          <cell r="A4034" t="str">
            <v>Bolivia</v>
          </cell>
          <cell r="B4034">
            <v>68</v>
          </cell>
          <cell r="C4034">
            <v>203</v>
          </cell>
          <cell r="D4034">
            <v>3</v>
          </cell>
          <cell r="E4034" t="str">
            <v>Equals: VALUE ADDED, GROSS, at basic prices</v>
          </cell>
          <cell r="F4034">
            <v>12</v>
          </cell>
          <cell r="G4034">
            <v>2001</v>
          </cell>
          <cell r="H4034">
            <v>20</v>
          </cell>
          <cell r="I4034">
            <v>46143000000</v>
          </cell>
        </row>
        <row r="4035">
          <cell r="A4035" t="str">
            <v>Bolivia</v>
          </cell>
          <cell r="B4035">
            <v>68</v>
          </cell>
          <cell r="C4035">
            <v>203</v>
          </cell>
          <cell r="D4035">
            <v>3</v>
          </cell>
          <cell r="E4035" t="str">
            <v>Equals: VALUE ADDED, GROSS, at basic prices</v>
          </cell>
          <cell r="F4035">
            <v>12</v>
          </cell>
          <cell r="G4035">
            <v>2002</v>
          </cell>
          <cell r="H4035">
            <v>20</v>
          </cell>
          <cell r="I4035">
            <v>48666000000</v>
          </cell>
        </row>
        <row r="4036">
          <cell r="A4036" t="str">
            <v>Bolivia</v>
          </cell>
          <cell r="B4036">
            <v>68</v>
          </cell>
          <cell r="C4036">
            <v>203</v>
          </cell>
          <cell r="D4036">
            <v>3</v>
          </cell>
          <cell r="E4036" t="str">
            <v>Equals: VALUE ADDED, GROSS, at basic prices</v>
          </cell>
          <cell r="F4036">
            <v>12</v>
          </cell>
          <cell r="G4036">
            <v>2003</v>
          </cell>
          <cell r="H4036">
            <v>20</v>
          </cell>
          <cell r="I4036">
            <v>52538100000</v>
          </cell>
        </row>
        <row r="4037">
          <cell r="A4037" t="str">
            <v>Bolivia</v>
          </cell>
          <cell r="B4037">
            <v>68</v>
          </cell>
          <cell r="C4037">
            <v>203</v>
          </cell>
          <cell r="D4037">
            <v>4</v>
          </cell>
          <cell r="E4037" t="str">
            <v>Compensation of employees</v>
          </cell>
          <cell r="F4037">
            <v>12</v>
          </cell>
          <cell r="G4037">
            <v>1970</v>
          </cell>
          <cell r="H4037">
            <v>20</v>
          </cell>
          <cell r="I4037">
            <v>4209</v>
          </cell>
        </row>
        <row r="4038">
          <cell r="A4038" t="str">
            <v>Bolivia</v>
          </cell>
          <cell r="B4038">
            <v>68</v>
          </cell>
          <cell r="C4038">
            <v>203</v>
          </cell>
          <cell r="D4038">
            <v>4</v>
          </cell>
          <cell r="E4038" t="str">
            <v>Compensation of employees</v>
          </cell>
          <cell r="F4038">
            <v>12</v>
          </cell>
          <cell r="G4038">
            <v>1971</v>
          </cell>
          <cell r="H4038">
            <v>20</v>
          </cell>
          <cell r="I4038">
            <v>4872</v>
          </cell>
        </row>
        <row r="4039">
          <cell r="A4039" t="str">
            <v>Bolivia</v>
          </cell>
          <cell r="B4039">
            <v>68</v>
          </cell>
          <cell r="C4039">
            <v>203</v>
          </cell>
          <cell r="D4039">
            <v>4</v>
          </cell>
          <cell r="E4039" t="str">
            <v>Compensation of employees</v>
          </cell>
          <cell r="F4039">
            <v>12</v>
          </cell>
          <cell r="G4039">
            <v>1972</v>
          </cell>
          <cell r="H4039">
            <v>20</v>
          </cell>
          <cell r="I4039">
            <v>6023</v>
          </cell>
        </row>
        <row r="4040">
          <cell r="A4040" t="str">
            <v>Bolivia</v>
          </cell>
          <cell r="B4040">
            <v>68</v>
          </cell>
          <cell r="C4040">
            <v>203</v>
          </cell>
          <cell r="D4040">
            <v>4</v>
          </cell>
          <cell r="E4040" t="str">
            <v>Compensation of employees</v>
          </cell>
          <cell r="F4040">
            <v>12</v>
          </cell>
          <cell r="G4040">
            <v>1973</v>
          </cell>
          <cell r="H4040">
            <v>20</v>
          </cell>
          <cell r="I4040">
            <v>8266</v>
          </cell>
        </row>
        <row r="4041">
          <cell r="A4041" t="str">
            <v>Bolivia</v>
          </cell>
          <cell r="B4041">
            <v>68</v>
          </cell>
          <cell r="C4041">
            <v>203</v>
          </cell>
          <cell r="D4041">
            <v>4</v>
          </cell>
          <cell r="E4041" t="str">
            <v>Compensation of employees</v>
          </cell>
          <cell r="F4041">
            <v>12</v>
          </cell>
          <cell r="G4041">
            <v>1974</v>
          </cell>
          <cell r="H4041">
            <v>20</v>
          </cell>
          <cell r="I4041">
            <v>13622</v>
          </cell>
        </row>
        <row r="4042">
          <cell r="A4042" t="str">
            <v>Bolivia</v>
          </cell>
          <cell r="B4042">
            <v>68</v>
          </cell>
          <cell r="C4042">
            <v>203</v>
          </cell>
          <cell r="D4042">
            <v>4</v>
          </cell>
          <cell r="E4042" t="str">
            <v>Compensation of employees</v>
          </cell>
          <cell r="F4042">
            <v>12</v>
          </cell>
          <cell r="G4042">
            <v>1975</v>
          </cell>
          <cell r="H4042">
            <v>20</v>
          </cell>
          <cell r="I4042">
            <v>16364</v>
          </cell>
        </row>
        <row r="4043">
          <cell r="A4043" t="str">
            <v>Bolivia</v>
          </cell>
          <cell r="B4043">
            <v>68</v>
          </cell>
          <cell r="C4043">
            <v>203</v>
          </cell>
          <cell r="D4043">
            <v>4</v>
          </cell>
          <cell r="E4043" t="str">
            <v>Compensation of employees</v>
          </cell>
          <cell r="F4043">
            <v>12</v>
          </cell>
          <cell r="G4043">
            <v>1976</v>
          </cell>
          <cell r="H4043">
            <v>20</v>
          </cell>
          <cell r="I4043">
            <v>19128</v>
          </cell>
        </row>
        <row r="4044">
          <cell r="A4044" t="str">
            <v>Bolivia</v>
          </cell>
          <cell r="B4044">
            <v>68</v>
          </cell>
          <cell r="C4044">
            <v>203</v>
          </cell>
          <cell r="D4044">
            <v>4</v>
          </cell>
          <cell r="E4044" t="str">
            <v>Compensation of employees</v>
          </cell>
          <cell r="F4044">
            <v>12</v>
          </cell>
          <cell r="G4044">
            <v>1977</v>
          </cell>
          <cell r="H4044">
            <v>20</v>
          </cell>
          <cell r="I4044">
            <v>22577</v>
          </cell>
        </row>
        <row r="4045">
          <cell r="A4045" t="str">
            <v>Bolivia</v>
          </cell>
          <cell r="B4045">
            <v>68</v>
          </cell>
          <cell r="C4045">
            <v>203</v>
          </cell>
          <cell r="D4045">
            <v>4</v>
          </cell>
          <cell r="E4045" t="str">
            <v>Compensation of employees</v>
          </cell>
          <cell r="F4045">
            <v>12</v>
          </cell>
          <cell r="G4045">
            <v>1978</v>
          </cell>
          <cell r="H4045">
            <v>20</v>
          </cell>
          <cell r="I4045">
            <v>24561</v>
          </cell>
        </row>
        <row r="4046">
          <cell r="A4046" t="str">
            <v>Bolivia</v>
          </cell>
          <cell r="B4046">
            <v>68</v>
          </cell>
          <cell r="C4046">
            <v>203</v>
          </cell>
          <cell r="D4046">
            <v>4</v>
          </cell>
          <cell r="E4046" t="str">
            <v>Compensation of employees</v>
          </cell>
          <cell r="F4046">
            <v>12</v>
          </cell>
          <cell r="G4046">
            <v>1979</v>
          </cell>
          <cell r="H4046">
            <v>20</v>
          </cell>
          <cell r="I4046">
            <v>30456</v>
          </cell>
        </row>
        <row r="4047">
          <cell r="A4047" t="str">
            <v>Bolivia</v>
          </cell>
          <cell r="B4047">
            <v>68</v>
          </cell>
          <cell r="C4047">
            <v>203</v>
          </cell>
          <cell r="D4047">
            <v>4</v>
          </cell>
          <cell r="E4047" t="str">
            <v>Compensation of employees</v>
          </cell>
          <cell r="F4047">
            <v>12</v>
          </cell>
          <cell r="G4047">
            <v>1980</v>
          </cell>
          <cell r="H4047">
            <v>20</v>
          </cell>
          <cell r="I4047">
            <v>41864</v>
          </cell>
        </row>
        <row r="4048">
          <cell r="A4048" t="str">
            <v>Bolivia</v>
          </cell>
          <cell r="B4048">
            <v>68</v>
          </cell>
          <cell r="C4048">
            <v>203</v>
          </cell>
          <cell r="D4048">
            <v>4</v>
          </cell>
          <cell r="E4048" t="str">
            <v>Compensation of employees</v>
          </cell>
          <cell r="F4048">
            <v>12</v>
          </cell>
          <cell r="G4048">
            <v>1981</v>
          </cell>
          <cell r="H4048">
            <v>20</v>
          </cell>
          <cell r="I4048">
            <v>49794</v>
          </cell>
        </row>
        <row r="4049">
          <cell r="A4049" t="str">
            <v>Bolivia</v>
          </cell>
          <cell r="B4049">
            <v>68</v>
          </cell>
          <cell r="C4049">
            <v>203</v>
          </cell>
          <cell r="D4049">
            <v>4</v>
          </cell>
          <cell r="E4049" t="str">
            <v>Compensation of employees</v>
          </cell>
          <cell r="F4049">
            <v>12</v>
          </cell>
          <cell r="G4049">
            <v>1982</v>
          </cell>
          <cell r="H4049">
            <v>20</v>
          </cell>
          <cell r="I4049">
            <v>126452</v>
          </cell>
        </row>
        <row r="4050">
          <cell r="A4050" t="str">
            <v>Bolivia</v>
          </cell>
          <cell r="B4050">
            <v>68</v>
          </cell>
          <cell r="C4050">
            <v>203</v>
          </cell>
          <cell r="D4050">
            <v>4</v>
          </cell>
          <cell r="E4050" t="str">
            <v>Compensation of employees</v>
          </cell>
          <cell r="F4050">
            <v>12</v>
          </cell>
          <cell r="G4050">
            <v>1983</v>
          </cell>
          <cell r="H4050">
            <v>20</v>
          </cell>
          <cell r="I4050">
            <v>464097</v>
          </cell>
        </row>
        <row r="4051">
          <cell r="A4051" t="str">
            <v>Bolivia</v>
          </cell>
          <cell r="B4051">
            <v>68</v>
          </cell>
          <cell r="C4051">
            <v>203</v>
          </cell>
          <cell r="D4051">
            <v>4</v>
          </cell>
          <cell r="E4051" t="str">
            <v>Compensation of employees</v>
          </cell>
          <cell r="F4051">
            <v>12</v>
          </cell>
          <cell r="G4051">
            <v>1984</v>
          </cell>
          <cell r="H4051">
            <v>20</v>
          </cell>
          <cell r="I4051">
            <v>10013000</v>
          </cell>
        </row>
        <row r="4052">
          <cell r="A4052" t="str">
            <v>Bolivia</v>
          </cell>
          <cell r="B4052">
            <v>68</v>
          </cell>
          <cell r="C4052">
            <v>203</v>
          </cell>
          <cell r="D4052">
            <v>4</v>
          </cell>
          <cell r="E4052" t="str">
            <v>Compensation of employees</v>
          </cell>
          <cell r="F4052">
            <v>12</v>
          </cell>
          <cell r="G4052">
            <v>1985</v>
          </cell>
          <cell r="H4052">
            <v>20</v>
          </cell>
          <cell r="I4052">
            <v>926100000</v>
          </cell>
        </row>
        <row r="4053">
          <cell r="A4053" t="str">
            <v>Bolivia</v>
          </cell>
          <cell r="B4053">
            <v>68</v>
          </cell>
          <cell r="C4053">
            <v>203</v>
          </cell>
          <cell r="D4053">
            <v>4</v>
          </cell>
          <cell r="E4053" t="str">
            <v>Compensation of employees</v>
          </cell>
          <cell r="F4053">
            <v>12</v>
          </cell>
          <cell r="G4053">
            <v>1986</v>
          </cell>
          <cell r="H4053">
            <v>20</v>
          </cell>
          <cell r="I4053">
            <v>2153247000</v>
          </cell>
        </row>
        <row r="4054">
          <cell r="A4054" t="str">
            <v>Bolivia</v>
          </cell>
          <cell r="B4054">
            <v>68</v>
          </cell>
          <cell r="C4054">
            <v>203</v>
          </cell>
          <cell r="D4054">
            <v>4</v>
          </cell>
          <cell r="E4054" t="str">
            <v>Compensation of employees</v>
          </cell>
          <cell r="F4054">
            <v>12</v>
          </cell>
          <cell r="G4054">
            <v>1988</v>
          </cell>
          <cell r="H4054">
            <v>20</v>
          </cell>
          <cell r="I4054">
            <v>3792698000</v>
          </cell>
        </row>
        <row r="4055">
          <cell r="A4055" t="str">
            <v>Bolivia</v>
          </cell>
          <cell r="B4055">
            <v>68</v>
          </cell>
          <cell r="C4055">
            <v>203</v>
          </cell>
          <cell r="D4055">
            <v>4</v>
          </cell>
          <cell r="E4055" t="str">
            <v>Compensation of employees</v>
          </cell>
          <cell r="F4055">
            <v>12</v>
          </cell>
          <cell r="G4055">
            <v>1989</v>
          </cell>
          <cell r="H4055">
            <v>20</v>
          </cell>
          <cell r="I4055">
            <v>4566011000</v>
          </cell>
        </row>
        <row r="4056">
          <cell r="A4056" t="str">
            <v>Bolivia</v>
          </cell>
          <cell r="B4056">
            <v>68</v>
          </cell>
          <cell r="C4056">
            <v>203</v>
          </cell>
          <cell r="D4056">
            <v>4</v>
          </cell>
          <cell r="E4056" t="str">
            <v>Compensation of employees</v>
          </cell>
          <cell r="F4056">
            <v>12</v>
          </cell>
          <cell r="G4056">
            <v>1990</v>
          </cell>
          <cell r="H4056">
            <v>20</v>
          </cell>
          <cell r="I4056">
            <v>5386132000</v>
          </cell>
        </row>
        <row r="4057">
          <cell r="A4057" t="str">
            <v>Bolivia</v>
          </cell>
          <cell r="B4057">
            <v>68</v>
          </cell>
          <cell r="C4057">
            <v>203</v>
          </cell>
          <cell r="D4057">
            <v>4</v>
          </cell>
          <cell r="E4057" t="str">
            <v>Compensation of employees</v>
          </cell>
          <cell r="F4057">
            <v>12</v>
          </cell>
          <cell r="G4057">
            <v>1991</v>
          </cell>
          <cell r="H4057">
            <v>20</v>
          </cell>
          <cell r="I4057">
            <v>6764066000</v>
          </cell>
        </row>
        <row r="4058">
          <cell r="A4058" t="str">
            <v>Bolivia</v>
          </cell>
          <cell r="B4058">
            <v>68</v>
          </cell>
          <cell r="C4058">
            <v>203</v>
          </cell>
          <cell r="D4058">
            <v>4</v>
          </cell>
          <cell r="E4058" t="str">
            <v>Compensation of employees</v>
          </cell>
          <cell r="F4058">
            <v>12</v>
          </cell>
          <cell r="G4058">
            <v>1992</v>
          </cell>
          <cell r="H4058">
            <v>20</v>
          </cell>
          <cell r="I4058">
            <v>7983000000</v>
          </cell>
        </row>
        <row r="4059">
          <cell r="A4059" t="str">
            <v>Bolivia</v>
          </cell>
          <cell r="B4059">
            <v>68</v>
          </cell>
          <cell r="C4059">
            <v>203</v>
          </cell>
          <cell r="D4059">
            <v>4</v>
          </cell>
          <cell r="E4059" t="str">
            <v>Compensation of employees</v>
          </cell>
          <cell r="F4059">
            <v>12</v>
          </cell>
          <cell r="G4059">
            <v>1993</v>
          </cell>
          <cell r="H4059">
            <v>20</v>
          </cell>
          <cell r="I4059">
            <v>8821000000</v>
          </cell>
        </row>
        <row r="4060">
          <cell r="A4060" t="str">
            <v>Bolivia</v>
          </cell>
          <cell r="B4060">
            <v>68</v>
          </cell>
          <cell r="C4060">
            <v>203</v>
          </cell>
          <cell r="D4060">
            <v>4</v>
          </cell>
          <cell r="E4060" t="str">
            <v>Compensation of employees</v>
          </cell>
          <cell r="F4060">
            <v>12</v>
          </cell>
          <cell r="G4060">
            <v>1994</v>
          </cell>
          <cell r="H4060">
            <v>20</v>
          </cell>
          <cell r="I4060">
            <v>9605000000</v>
          </cell>
        </row>
        <row r="4061">
          <cell r="A4061" t="str">
            <v>Bolivia</v>
          </cell>
          <cell r="B4061">
            <v>68</v>
          </cell>
          <cell r="C4061">
            <v>203</v>
          </cell>
          <cell r="D4061">
            <v>4</v>
          </cell>
          <cell r="E4061" t="str">
            <v>Compensation of employees</v>
          </cell>
          <cell r="F4061">
            <v>12</v>
          </cell>
          <cell r="G4061">
            <v>1995</v>
          </cell>
          <cell r="H4061">
            <v>20</v>
          </cell>
          <cell r="I4061">
            <v>10643000000</v>
          </cell>
        </row>
        <row r="4062">
          <cell r="A4062" t="str">
            <v>Bolivia</v>
          </cell>
          <cell r="B4062">
            <v>68</v>
          </cell>
          <cell r="C4062">
            <v>203</v>
          </cell>
          <cell r="D4062">
            <v>4</v>
          </cell>
          <cell r="E4062" t="str">
            <v>Compensation of employees</v>
          </cell>
          <cell r="F4062">
            <v>12</v>
          </cell>
          <cell r="G4062">
            <v>1996</v>
          </cell>
          <cell r="H4062">
            <v>20</v>
          </cell>
          <cell r="I4062">
            <v>12882000000</v>
          </cell>
        </row>
        <row r="4063">
          <cell r="A4063" t="str">
            <v>Bolivia</v>
          </cell>
          <cell r="B4063">
            <v>68</v>
          </cell>
          <cell r="C4063">
            <v>203</v>
          </cell>
          <cell r="D4063">
            <v>4</v>
          </cell>
          <cell r="E4063" t="str">
            <v>Compensation of employees</v>
          </cell>
          <cell r="F4063">
            <v>12</v>
          </cell>
          <cell r="G4063">
            <v>1997</v>
          </cell>
          <cell r="H4063">
            <v>20</v>
          </cell>
          <cell r="I4063">
            <v>13859000000</v>
          </cell>
        </row>
        <row r="4064">
          <cell r="A4064" t="str">
            <v>Bolivia</v>
          </cell>
          <cell r="B4064">
            <v>68</v>
          </cell>
          <cell r="C4064">
            <v>203</v>
          </cell>
          <cell r="D4064">
            <v>4</v>
          </cell>
          <cell r="E4064" t="str">
            <v>Compensation of employees</v>
          </cell>
          <cell r="F4064">
            <v>12</v>
          </cell>
          <cell r="G4064">
            <v>1998</v>
          </cell>
          <cell r="H4064">
            <v>20</v>
          </cell>
          <cell r="I4064">
            <v>15278000000</v>
          </cell>
        </row>
        <row r="4065">
          <cell r="A4065" t="str">
            <v>Bolivia</v>
          </cell>
          <cell r="B4065">
            <v>68</v>
          </cell>
          <cell r="C4065">
            <v>203</v>
          </cell>
          <cell r="D4065">
            <v>4</v>
          </cell>
          <cell r="E4065" t="str">
            <v>Compensation of employees</v>
          </cell>
          <cell r="F4065">
            <v>12</v>
          </cell>
          <cell r="G4065">
            <v>1999</v>
          </cell>
          <cell r="H4065">
            <v>20</v>
          </cell>
          <cell r="I4065">
            <v>16664000000</v>
          </cell>
        </row>
        <row r="4066">
          <cell r="A4066" t="str">
            <v>Bolivia</v>
          </cell>
          <cell r="B4066">
            <v>68</v>
          </cell>
          <cell r="C4066">
            <v>203</v>
          </cell>
          <cell r="D4066">
            <v>4</v>
          </cell>
          <cell r="E4066" t="str">
            <v>Compensation of employees</v>
          </cell>
          <cell r="F4066">
            <v>12</v>
          </cell>
          <cell r="G4066">
            <v>2000</v>
          </cell>
          <cell r="H4066">
            <v>20</v>
          </cell>
          <cell r="I4066">
            <v>18763000000</v>
          </cell>
        </row>
        <row r="4067">
          <cell r="A4067" t="str">
            <v>Bolivia</v>
          </cell>
          <cell r="B4067">
            <v>68</v>
          </cell>
          <cell r="C4067">
            <v>203</v>
          </cell>
          <cell r="D4067">
            <v>11</v>
          </cell>
          <cell r="E4067" t="str">
            <v>OPERATING SURPLUS, GROSS</v>
          </cell>
          <cell r="F4067">
            <v>12</v>
          </cell>
          <cell r="G4067">
            <v>1970</v>
          </cell>
          <cell r="H4067">
            <v>20</v>
          </cell>
          <cell r="I4067">
            <v>7350</v>
          </cell>
        </row>
        <row r="4068">
          <cell r="A4068" t="str">
            <v>Bolivia</v>
          </cell>
          <cell r="B4068">
            <v>68</v>
          </cell>
          <cell r="C4068">
            <v>203</v>
          </cell>
          <cell r="D4068">
            <v>11</v>
          </cell>
          <cell r="E4068" t="str">
            <v>OPERATING SURPLUS, GROSS</v>
          </cell>
          <cell r="F4068">
            <v>12</v>
          </cell>
          <cell r="G4068">
            <v>1971</v>
          </cell>
          <cell r="H4068">
            <v>20</v>
          </cell>
          <cell r="I4068">
            <v>7820</v>
          </cell>
        </row>
        <row r="4069">
          <cell r="A4069" t="str">
            <v>Bolivia</v>
          </cell>
          <cell r="B4069">
            <v>68</v>
          </cell>
          <cell r="C4069">
            <v>203</v>
          </cell>
          <cell r="D4069">
            <v>11</v>
          </cell>
          <cell r="E4069" t="str">
            <v>OPERATING SURPLUS, GROSS</v>
          </cell>
          <cell r="F4069">
            <v>12</v>
          </cell>
          <cell r="G4069">
            <v>1972</v>
          </cell>
          <cell r="H4069">
            <v>20</v>
          </cell>
          <cell r="I4069">
            <v>9980</v>
          </cell>
        </row>
        <row r="4070">
          <cell r="A4070" t="str">
            <v>Bolivia</v>
          </cell>
          <cell r="B4070">
            <v>68</v>
          </cell>
          <cell r="C4070">
            <v>203</v>
          </cell>
          <cell r="D4070">
            <v>11</v>
          </cell>
          <cell r="E4070" t="str">
            <v>OPERATING SURPLUS, GROSS</v>
          </cell>
          <cell r="F4070">
            <v>12</v>
          </cell>
          <cell r="G4070">
            <v>1973</v>
          </cell>
          <cell r="H4070">
            <v>20</v>
          </cell>
          <cell r="I4070">
            <v>15380</v>
          </cell>
        </row>
        <row r="4071">
          <cell r="A4071" t="str">
            <v>Bolivia</v>
          </cell>
          <cell r="B4071">
            <v>68</v>
          </cell>
          <cell r="C4071">
            <v>203</v>
          </cell>
          <cell r="D4071">
            <v>11</v>
          </cell>
          <cell r="E4071" t="str">
            <v>OPERATING SURPLUS, GROSS</v>
          </cell>
          <cell r="F4071">
            <v>12</v>
          </cell>
          <cell r="G4071">
            <v>1974</v>
          </cell>
          <cell r="H4071">
            <v>20</v>
          </cell>
          <cell r="I4071">
            <v>24540</v>
          </cell>
        </row>
        <row r="4072">
          <cell r="A4072" t="str">
            <v>Bolivia</v>
          </cell>
          <cell r="B4072">
            <v>68</v>
          </cell>
          <cell r="C4072">
            <v>203</v>
          </cell>
          <cell r="D4072">
            <v>11</v>
          </cell>
          <cell r="E4072" t="str">
            <v>OPERATING SURPLUS, GROSS</v>
          </cell>
          <cell r="F4072">
            <v>12</v>
          </cell>
          <cell r="G4072">
            <v>1975</v>
          </cell>
          <cell r="H4072">
            <v>20</v>
          </cell>
          <cell r="I4072">
            <v>27730</v>
          </cell>
        </row>
        <row r="4073">
          <cell r="A4073" t="str">
            <v>Bolivia</v>
          </cell>
          <cell r="B4073">
            <v>68</v>
          </cell>
          <cell r="C4073">
            <v>203</v>
          </cell>
          <cell r="D4073">
            <v>11</v>
          </cell>
          <cell r="E4073" t="str">
            <v>OPERATING SURPLUS, GROSS</v>
          </cell>
          <cell r="F4073">
            <v>12</v>
          </cell>
          <cell r="G4073">
            <v>1976</v>
          </cell>
          <cell r="H4073">
            <v>20</v>
          </cell>
          <cell r="I4073">
            <v>31830</v>
          </cell>
        </row>
        <row r="4074">
          <cell r="A4074" t="str">
            <v>Bolivia</v>
          </cell>
          <cell r="B4074">
            <v>68</v>
          </cell>
          <cell r="C4074">
            <v>203</v>
          </cell>
          <cell r="D4074">
            <v>11</v>
          </cell>
          <cell r="E4074" t="str">
            <v>OPERATING SURPLUS, GROSS</v>
          </cell>
          <cell r="F4074">
            <v>12</v>
          </cell>
          <cell r="G4074">
            <v>1977</v>
          </cell>
          <cell r="H4074">
            <v>20</v>
          </cell>
          <cell r="I4074">
            <v>36010</v>
          </cell>
        </row>
        <row r="4075">
          <cell r="A4075" t="str">
            <v>Bolivia</v>
          </cell>
          <cell r="B4075">
            <v>68</v>
          </cell>
          <cell r="C4075">
            <v>203</v>
          </cell>
          <cell r="D4075">
            <v>11</v>
          </cell>
          <cell r="E4075" t="str">
            <v>OPERATING SURPLUS, GROSS</v>
          </cell>
          <cell r="F4075">
            <v>12</v>
          </cell>
          <cell r="G4075">
            <v>1978</v>
          </cell>
          <cell r="H4075">
            <v>20</v>
          </cell>
          <cell r="I4075">
            <v>42130</v>
          </cell>
        </row>
        <row r="4076">
          <cell r="A4076" t="str">
            <v>Bolivia</v>
          </cell>
          <cell r="B4076">
            <v>68</v>
          </cell>
          <cell r="C4076">
            <v>203</v>
          </cell>
          <cell r="D4076">
            <v>11</v>
          </cell>
          <cell r="E4076" t="str">
            <v>OPERATING SURPLUS, GROSS</v>
          </cell>
          <cell r="F4076">
            <v>12</v>
          </cell>
          <cell r="G4076">
            <v>1979</v>
          </cell>
          <cell r="H4076">
            <v>20</v>
          </cell>
          <cell r="I4076">
            <v>50190</v>
          </cell>
        </row>
        <row r="4077">
          <cell r="A4077" t="str">
            <v>Bolivia</v>
          </cell>
          <cell r="B4077">
            <v>68</v>
          </cell>
          <cell r="C4077">
            <v>203</v>
          </cell>
          <cell r="D4077">
            <v>11</v>
          </cell>
          <cell r="E4077" t="str">
            <v>OPERATING SURPLUS, GROSS</v>
          </cell>
          <cell r="F4077">
            <v>12</v>
          </cell>
          <cell r="G4077">
            <v>1980</v>
          </cell>
          <cell r="H4077">
            <v>20</v>
          </cell>
          <cell r="I4077">
            <v>71460</v>
          </cell>
        </row>
        <row r="4078">
          <cell r="A4078" t="str">
            <v>Bolivia</v>
          </cell>
          <cell r="B4078">
            <v>68</v>
          </cell>
          <cell r="C4078">
            <v>203</v>
          </cell>
          <cell r="D4078">
            <v>11</v>
          </cell>
          <cell r="E4078" t="str">
            <v>OPERATING SURPLUS, GROSS</v>
          </cell>
          <cell r="F4078">
            <v>12</v>
          </cell>
          <cell r="G4078">
            <v>1981</v>
          </cell>
          <cell r="H4078">
            <v>20</v>
          </cell>
          <cell r="I4078">
            <v>91890</v>
          </cell>
        </row>
        <row r="4079">
          <cell r="A4079" t="str">
            <v>Bolivia</v>
          </cell>
          <cell r="B4079">
            <v>68</v>
          </cell>
          <cell r="C4079">
            <v>203</v>
          </cell>
          <cell r="D4079">
            <v>11</v>
          </cell>
          <cell r="E4079" t="str">
            <v>OPERATING SURPLUS, GROSS</v>
          </cell>
          <cell r="F4079">
            <v>12</v>
          </cell>
          <cell r="G4079">
            <v>1982</v>
          </cell>
          <cell r="H4079">
            <v>20</v>
          </cell>
          <cell r="I4079">
            <v>244660</v>
          </cell>
        </row>
        <row r="4080">
          <cell r="A4080" t="str">
            <v>Bolivia</v>
          </cell>
          <cell r="B4080">
            <v>68</v>
          </cell>
          <cell r="C4080">
            <v>203</v>
          </cell>
          <cell r="D4080">
            <v>11</v>
          </cell>
          <cell r="E4080" t="str">
            <v>OPERATING SURPLUS, GROSS</v>
          </cell>
          <cell r="F4080">
            <v>12</v>
          </cell>
          <cell r="G4080">
            <v>1983</v>
          </cell>
          <cell r="H4080">
            <v>20</v>
          </cell>
          <cell r="I4080">
            <v>939790</v>
          </cell>
        </row>
        <row r="4081">
          <cell r="A4081" t="str">
            <v>Bolivia</v>
          </cell>
          <cell r="B4081">
            <v>68</v>
          </cell>
          <cell r="C4081">
            <v>203</v>
          </cell>
          <cell r="D4081">
            <v>11</v>
          </cell>
          <cell r="E4081" t="str">
            <v>OPERATING SURPLUS, GROSS</v>
          </cell>
          <cell r="F4081">
            <v>12</v>
          </cell>
          <cell r="G4081">
            <v>1984</v>
          </cell>
          <cell r="H4081">
            <v>20</v>
          </cell>
          <cell r="I4081">
            <v>12333000</v>
          </cell>
        </row>
        <row r="4082">
          <cell r="A4082" t="str">
            <v>Bolivia</v>
          </cell>
          <cell r="B4082">
            <v>68</v>
          </cell>
          <cell r="C4082">
            <v>203</v>
          </cell>
          <cell r="D4082">
            <v>11</v>
          </cell>
          <cell r="E4082" t="str">
            <v>OPERATING SURPLUS, GROSS</v>
          </cell>
          <cell r="F4082">
            <v>12</v>
          </cell>
          <cell r="G4082">
            <v>1985</v>
          </cell>
          <cell r="H4082">
            <v>20</v>
          </cell>
          <cell r="I4082">
            <v>1739830000</v>
          </cell>
        </row>
        <row r="4083">
          <cell r="A4083" t="str">
            <v>Bolivia</v>
          </cell>
          <cell r="B4083">
            <v>68</v>
          </cell>
          <cell r="C4083">
            <v>203</v>
          </cell>
          <cell r="D4083">
            <v>11</v>
          </cell>
          <cell r="E4083" t="str">
            <v>OPERATING SURPLUS, GROSS</v>
          </cell>
          <cell r="F4083">
            <v>12</v>
          </cell>
          <cell r="G4083">
            <v>1986</v>
          </cell>
          <cell r="H4083">
            <v>20</v>
          </cell>
          <cell r="I4083">
            <v>5916400000</v>
          </cell>
        </row>
        <row r="4084">
          <cell r="A4084" t="str">
            <v>Bolivia</v>
          </cell>
          <cell r="B4084">
            <v>68</v>
          </cell>
          <cell r="C4084">
            <v>203</v>
          </cell>
          <cell r="D4084">
            <v>11</v>
          </cell>
          <cell r="E4084" t="str">
            <v>OPERATING SURPLUS, GROSS</v>
          </cell>
          <cell r="F4084">
            <v>12</v>
          </cell>
          <cell r="G4084">
            <v>1988</v>
          </cell>
          <cell r="H4084">
            <v>20</v>
          </cell>
          <cell r="I4084">
            <v>6232400000</v>
          </cell>
        </row>
        <row r="4085">
          <cell r="A4085" t="str">
            <v>Bolivia</v>
          </cell>
          <cell r="B4085">
            <v>68</v>
          </cell>
          <cell r="C4085">
            <v>203</v>
          </cell>
          <cell r="D4085">
            <v>11</v>
          </cell>
          <cell r="E4085" t="str">
            <v>OPERATING SURPLUS, GROSS</v>
          </cell>
          <cell r="F4085">
            <v>12</v>
          </cell>
          <cell r="G4085">
            <v>1989</v>
          </cell>
          <cell r="H4085">
            <v>20</v>
          </cell>
          <cell r="I4085">
            <v>7224100000</v>
          </cell>
        </row>
        <row r="4086">
          <cell r="A4086" t="str">
            <v>Bolivia</v>
          </cell>
          <cell r="B4086">
            <v>68</v>
          </cell>
          <cell r="C4086">
            <v>203</v>
          </cell>
          <cell r="D4086">
            <v>11</v>
          </cell>
          <cell r="E4086" t="str">
            <v>OPERATING SURPLUS, GROSS</v>
          </cell>
          <cell r="F4086">
            <v>12</v>
          </cell>
          <cell r="G4086">
            <v>1990</v>
          </cell>
          <cell r="H4086">
            <v>20</v>
          </cell>
          <cell r="I4086">
            <v>8984300000</v>
          </cell>
        </row>
        <row r="4087">
          <cell r="A4087" t="str">
            <v>Bolivia</v>
          </cell>
          <cell r="B4087">
            <v>68</v>
          </cell>
          <cell r="C4087">
            <v>203</v>
          </cell>
          <cell r="D4087">
            <v>11</v>
          </cell>
          <cell r="E4087" t="str">
            <v>OPERATING SURPLUS, GROSS</v>
          </cell>
          <cell r="F4087">
            <v>12</v>
          </cell>
          <cell r="G4087">
            <v>1991</v>
          </cell>
          <cell r="H4087">
            <v>20</v>
          </cell>
          <cell r="I4087">
            <v>10927300000</v>
          </cell>
        </row>
        <row r="4088">
          <cell r="A4088" t="str">
            <v>Bolivia</v>
          </cell>
          <cell r="B4088">
            <v>68</v>
          </cell>
          <cell r="C4088">
            <v>203</v>
          </cell>
          <cell r="D4088">
            <v>11</v>
          </cell>
          <cell r="E4088" t="str">
            <v>OPERATING SURPLUS, GROSS</v>
          </cell>
          <cell r="F4088">
            <v>12</v>
          </cell>
          <cell r="G4088">
            <v>1992</v>
          </cell>
          <cell r="H4088">
            <v>20</v>
          </cell>
          <cell r="I4088">
            <v>12223000000</v>
          </cell>
        </row>
        <row r="4089">
          <cell r="A4089" t="str">
            <v>Bolivia</v>
          </cell>
          <cell r="B4089">
            <v>68</v>
          </cell>
          <cell r="C4089">
            <v>203</v>
          </cell>
          <cell r="D4089">
            <v>11</v>
          </cell>
          <cell r="E4089" t="str">
            <v>OPERATING SURPLUS, GROSS</v>
          </cell>
          <cell r="F4089">
            <v>12</v>
          </cell>
          <cell r="G4089">
            <v>1993</v>
          </cell>
          <cell r="H4089">
            <v>20</v>
          </cell>
          <cell r="I4089">
            <v>13075000000</v>
          </cell>
        </row>
        <row r="4090">
          <cell r="A4090" t="str">
            <v>Bolivia</v>
          </cell>
          <cell r="B4090">
            <v>68</v>
          </cell>
          <cell r="C4090">
            <v>203</v>
          </cell>
          <cell r="D4090">
            <v>11</v>
          </cell>
          <cell r="E4090" t="str">
            <v>OPERATING SURPLUS, GROSS</v>
          </cell>
          <cell r="F4090">
            <v>12</v>
          </cell>
          <cell r="G4090">
            <v>1994</v>
          </cell>
          <cell r="H4090">
            <v>20</v>
          </cell>
          <cell r="I4090">
            <v>14966000000</v>
          </cell>
        </row>
        <row r="4091">
          <cell r="A4091" t="str">
            <v>Bolivia</v>
          </cell>
          <cell r="B4091">
            <v>68</v>
          </cell>
          <cell r="C4091">
            <v>203</v>
          </cell>
          <cell r="D4091">
            <v>11</v>
          </cell>
          <cell r="E4091" t="str">
            <v>OPERATING SURPLUS, GROSS</v>
          </cell>
          <cell r="F4091">
            <v>12</v>
          </cell>
          <cell r="G4091">
            <v>1995</v>
          </cell>
          <cell r="H4091">
            <v>20</v>
          </cell>
          <cell r="I4091">
            <v>17685000000</v>
          </cell>
        </row>
        <row r="4092">
          <cell r="A4092" t="str">
            <v>Bolivia</v>
          </cell>
          <cell r="B4092">
            <v>68</v>
          </cell>
          <cell r="C4092">
            <v>203</v>
          </cell>
          <cell r="D4092">
            <v>11</v>
          </cell>
          <cell r="E4092" t="str">
            <v>OPERATING SURPLUS, GROSS</v>
          </cell>
          <cell r="F4092">
            <v>12</v>
          </cell>
          <cell r="G4092">
            <v>1996</v>
          </cell>
          <cell r="H4092">
            <v>20</v>
          </cell>
          <cell r="I4092">
            <v>19564000000</v>
          </cell>
        </row>
        <row r="4093">
          <cell r="A4093" t="str">
            <v>Bolivia</v>
          </cell>
          <cell r="B4093">
            <v>68</v>
          </cell>
          <cell r="C4093">
            <v>203</v>
          </cell>
          <cell r="D4093">
            <v>11</v>
          </cell>
          <cell r="E4093" t="str">
            <v>OPERATING SURPLUS, GROSS</v>
          </cell>
          <cell r="F4093">
            <v>12</v>
          </cell>
          <cell r="G4093">
            <v>1997</v>
          </cell>
          <cell r="H4093">
            <v>20</v>
          </cell>
          <cell r="I4093">
            <v>22058000000</v>
          </cell>
        </row>
        <row r="4094">
          <cell r="A4094" t="str">
            <v>Bolivia</v>
          </cell>
          <cell r="B4094">
            <v>68</v>
          </cell>
          <cell r="C4094">
            <v>203</v>
          </cell>
          <cell r="D4094">
            <v>11</v>
          </cell>
          <cell r="E4094" t="str">
            <v>OPERATING SURPLUS, GROSS</v>
          </cell>
          <cell r="F4094">
            <v>12</v>
          </cell>
          <cell r="G4094">
            <v>1998</v>
          </cell>
          <cell r="H4094">
            <v>20</v>
          </cell>
          <cell r="I4094">
            <v>24768000000</v>
          </cell>
        </row>
        <row r="4095">
          <cell r="A4095" t="str">
            <v>Bolivia</v>
          </cell>
          <cell r="B4095">
            <v>68</v>
          </cell>
          <cell r="C4095">
            <v>203</v>
          </cell>
          <cell r="D4095">
            <v>11</v>
          </cell>
          <cell r="E4095" t="str">
            <v>OPERATING SURPLUS, GROSS</v>
          </cell>
          <cell r="F4095">
            <v>12</v>
          </cell>
          <cell r="G4095">
            <v>1999</v>
          </cell>
          <cell r="H4095">
            <v>20</v>
          </cell>
          <cell r="I4095">
            <v>25316000000</v>
          </cell>
        </row>
        <row r="4096">
          <cell r="A4096" t="str">
            <v>Bolivia</v>
          </cell>
          <cell r="B4096">
            <v>68</v>
          </cell>
          <cell r="C4096">
            <v>203</v>
          </cell>
          <cell r="D4096">
            <v>11</v>
          </cell>
          <cell r="E4096" t="str">
            <v>OPERATING SURPLUS, GROSS</v>
          </cell>
          <cell r="F4096">
            <v>12</v>
          </cell>
          <cell r="G4096">
            <v>2000</v>
          </cell>
          <cell r="H4096">
            <v>20</v>
          </cell>
          <cell r="I4096">
            <v>26080000000</v>
          </cell>
        </row>
        <row r="4097">
          <cell r="A4097" t="str">
            <v>El Salvador</v>
          </cell>
          <cell r="B4097">
            <v>222</v>
          </cell>
          <cell r="C4097">
            <v>201</v>
          </cell>
          <cell r="D4097">
            <v>13</v>
          </cell>
          <cell r="E4097" t="str">
            <v>Less: Financial intermediation services indirectly measured (FISIM) (only to be deducted if FISIM is not distributed to uses)</v>
          </cell>
          <cell r="F4097">
            <v>0</v>
          </cell>
          <cell r="G4097">
            <v>1990</v>
          </cell>
          <cell r="H4097">
            <v>10</v>
          </cell>
          <cell r="I4097">
            <v>609000000</v>
          </cell>
        </row>
        <row r="4098">
          <cell r="A4098" t="str">
            <v>El Salvador</v>
          </cell>
          <cell r="B4098">
            <v>222</v>
          </cell>
          <cell r="C4098">
            <v>201</v>
          </cell>
          <cell r="D4098">
            <v>13</v>
          </cell>
          <cell r="E4098" t="str">
            <v>Less: Financial intermediation services indirectly measured (FISIM) (only to be deducted if FISIM is not distributed to uses)</v>
          </cell>
          <cell r="F4098">
            <v>0</v>
          </cell>
          <cell r="G4098">
            <v>1991</v>
          </cell>
          <cell r="H4098">
            <v>10</v>
          </cell>
          <cell r="I4098">
            <v>780000000</v>
          </cell>
        </row>
        <row r="4099">
          <cell r="A4099" t="str">
            <v>El Salvador</v>
          </cell>
          <cell r="B4099">
            <v>222</v>
          </cell>
          <cell r="C4099">
            <v>201</v>
          </cell>
          <cell r="D4099">
            <v>13</v>
          </cell>
          <cell r="E4099" t="str">
            <v>Less: Financial intermediation services indirectly measured (FISIM) (only to be deducted if FISIM is not distributed to uses)</v>
          </cell>
          <cell r="F4099">
            <v>0</v>
          </cell>
          <cell r="G4099">
            <v>1992</v>
          </cell>
          <cell r="H4099">
            <v>10</v>
          </cell>
          <cell r="I4099">
            <v>1073000000</v>
          </cell>
        </row>
        <row r="4100">
          <cell r="A4100" t="str">
            <v>El Salvador</v>
          </cell>
          <cell r="B4100">
            <v>222</v>
          </cell>
          <cell r="C4100">
            <v>201</v>
          </cell>
          <cell r="D4100">
            <v>13</v>
          </cell>
          <cell r="E4100" t="str">
            <v>Less: Financial intermediation services indirectly measured (FISIM) (only to be deducted if FISIM is not distributed to uses)</v>
          </cell>
          <cell r="F4100">
            <v>0</v>
          </cell>
          <cell r="G4100">
            <v>1993</v>
          </cell>
          <cell r="H4100">
            <v>10</v>
          </cell>
          <cell r="I4100">
            <v>1598000000</v>
          </cell>
        </row>
        <row r="4101">
          <cell r="A4101" t="str">
            <v>El Salvador</v>
          </cell>
          <cell r="B4101">
            <v>222</v>
          </cell>
          <cell r="C4101">
            <v>201</v>
          </cell>
          <cell r="D4101">
            <v>13</v>
          </cell>
          <cell r="E4101" t="str">
            <v>Less: Financial intermediation services indirectly measured (FISIM) (only to be deducted if FISIM is not distributed to uses)</v>
          </cell>
          <cell r="F4101">
            <v>0</v>
          </cell>
          <cell r="G4101">
            <v>1994</v>
          </cell>
          <cell r="H4101">
            <v>10</v>
          </cell>
          <cell r="I4101">
            <v>1892000000</v>
          </cell>
        </row>
        <row r="4102">
          <cell r="A4102" t="str">
            <v>El Salvador</v>
          </cell>
          <cell r="B4102">
            <v>222</v>
          </cell>
          <cell r="C4102">
            <v>201</v>
          </cell>
          <cell r="D4102">
            <v>13</v>
          </cell>
          <cell r="E4102" t="str">
            <v>Less: Financial intermediation services indirectly measured (FISIM) (only to be deducted if FISIM is not distributed to uses)</v>
          </cell>
          <cell r="F4102">
            <v>0</v>
          </cell>
          <cell r="G4102">
            <v>1995</v>
          </cell>
          <cell r="H4102">
            <v>10</v>
          </cell>
          <cell r="I4102">
            <v>2577000000</v>
          </cell>
        </row>
        <row r="4103">
          <cell r="A4103" t="str">
            <v>El Salvador</v>
          </cell>
          <cell r="B4103">
            <v>222</v>
          </cell>
          <cell r="C4103">
            <v>201</v>
          </cell>
          <cell r="D4103">
            <v>13</v>
          </cell>
          <cell r="E4103" t="str">
            <v>Less: Financial intermediation services indirectly measured (FISIM) (only to be deducted if FISIM is not distributed to uses)</v>
          </cell>
          <cell r="F4103">
            <v>0</v>
          </cell>
          <cell r="G4103">
            <v>1996</v>
          </cell>
          <cell r="H4103">
            <v>10</v>
          </cell>
          <cell r="I4103">
            <v>3051000000</v>
          </cell>
        </row>
        <row r="4104">
          <cell r="A4104" t="str">
            <v>El Salvador</v>
          </cell>
          <cell r="B4104">
            <v>222</v>
          </cell>
          <cell r="C4104">
            <v>201</v>
          </cell>
          <cell r="D4104">
            <v>13</v>
          </cell>
          <cell r="E4104" t="str">
            <v>Less: Financial intermediation services indirectly measured (FISIM) (only to be deducted if FISIM is not distributed to uses)</v>
          </cell>
          <cell r="F4104">
            <v>0</v>
          </cell>
          <cell r="G4104">
            <v>1997</v>
          </cell>
          <cell r="H4104">
            <v>10</v>
          </cell>
          <cell r="I4104">
            <v>3639000000</v>
          </cell>
        </row>
        <row r="4105">
          <cell r="A4105" t="str">
            <v>El Salvador</v>
          </cell>
          <cell r="B4105">
            <v>222</v>
          </cell>
          <cell r="C4105">
            <v>201</v>
          </cell>
          <cell r="D4105">
            <v>13</v>
          </cell>
          <cell r="E4105" t="str">
            <v>Less: Financial intermediation services indirectly measured (FISIM) (only to be deducted if FISIM is not distributed to uses)</v>
          </cell>
          <cell r="F4105">
            <v>0</v>
          </cell>
          <cell r="G4105">
            <v>1998</v>
          </cell>
          <cell r="H4105">
            <v>10</v>
          </cell>
          <cell r="I4105">
            <v>4021000000</v>
          </cell>
        </row>
        <row r="4106">
          <cell r="A4106" t="str">
            <v>El Salvador</v>
          </cell>
          <cell r="B4106">
            <v>222</v>
          </cell>
          <cell r="C4106">
            <v>201</v>
          </cell>
          <cell r="D4106">
            <v>13</v>
          </cell>
          <cell r="E4106" t="str">
            <v>Less: Financial intermediation services indirectly measured (FISIM) (only to be deducted if FISIM is not distributed to uses)</v>
          </cell>
          <cell r="F4106">
            <v>0</v>
          </cell>
          <cell r="G4106">
            <v>1999</v>
          </cell>
          <cell r="H4106">
            <v>10</v>
          </cell>
          <cell r="I4106">
            <v>4381000000</v>
          </cell>
        </row>
        <row r="4107">
          <cell r="A4107" t="str">
            <v>El Salvador</v>
          </cell>
          <cell r="B4107">
            <v>222</v>
          </cell>
          <cell r="C4107">
            <v>201</v>
          </cell>
          <cell r="D4107">
            <v>13</v>
          </cell>
          <cell r="E4107" t="str">
            <v>Less: Financial intermediation services indirectly measured (FISIM) (only to be deducted if FISIM is not distributed to uses)</v>
          </cell>
          <cell r="F4107">
            <v>0</v>
          </cell>
          <cell r="G4107">
            <v>2000</v>
          </cell>
          <cell r="H4107">
            <v>10</v>
          </cell>
          <cell r="I4107">
            <v>4759000000</v>
          </cell>
        </row>
        <row r="4108">
          <cell r="A4108" t="str">
            <v>El Salvador</v>
          </cell>
          <cell r="B4108">
            <v>222</v>
          </cell>
          <cell r="C4108">
            <v>201</v>
          </cell>
          <cell r="D4108">
            <v>13</v>
          </cell>
          <cell r="E4108" t="str">
            <v>Less: Financial intermediation services indirectly measured (FISIM) (only to be deducted if FISIM is not distributed to uses)</v>
          </cell>
          <cell r="F4108">
            <v>0</v>
          </cell>
          <cell r="G4108">
            <v>2001</v>
          </cell>
          <cell r="H4108">
            <v>10</v>
          </cell>
          <cell r="I4108">
            <v>5050000000</v>
          </cell>
        </row>
        <row r="4109">
          <cell r="A4109" t="str">
            <v>El Salvador</v>
          </cell>
          <cell r="B4109">
            <v>222</v>
          </cell>
          <cell r="C4109">
            <v>201</v>
          </cell>
          <cell r="D4109">
            <v>13</v>
          </cell>
          <cell r="E4109" t="str">
            <v>Less: Financial intermediation services indirectly measured (FISIM) (only to be deducted if FISIM is not distributed to uses)</v>
          </cell>
          <cell r="F4109">
            <v>0</v>
          </cell>
          <cell r="G4109">
            <v>2002</v>
          </cell>
          <cell r="H4109">
            <v>10</v>
          </cell>
          <cell r="I4109">
            <v>5189000000</v>
          </cell>
        </row>
        <row r="4110">
          <cell r="A4110" t="str">
            <v>El Salvador</v>
          </cell>
          <cell r="B4110">
            <v>222</v>
          </cell>
          <cell r="C4110">
            <v>201</v>
          </cell>
          <cell r="D4110">
            <v>13</v>
          </cell>
          <cell r="E4110" t="str">
            <v>Less: Financial intermediation services indirectly measured (FISIM) (only to be deducted if FISIM is not distributed to uses)</v>
          </cell>
          <cell r="F4110">
            <v>0</v>
          </cell>
          <cell r="G4110">
            <v>2003</v>
          </cell>
          <cell r="H4110">
            <v>10</v>
          </cell>
          <cell r="I4110">
            <v>5293000000</v>
          </cell>
        </row>
        <row r="4111">
          <cell r="A4111" t="str">
            <v>Bolivia</v>
          </cell>
          <cell r="B4111">
            <v>68</v>
          </cell>
          <cell r="C4111">
            <v>203</v>
          </cell>
          <cell r="D4111">
            <v>22</v>
          </cell>
          <cell r="E4111" t="str">
            <v>Taxes on production and imports, less Subsidies</v>
          </cell>
          <cell r="F4111">
            <v>12</v>
          </cell>
          <cell r="G4111">
            <v>1988</v>
          </cell>
          <cell r="H4111">
            <v>20</v>
          </cell>
          <cell r="I4111">
            <v>25160000</v>
          </cell>
        </row>
        <row r="4112">
          <cell r="A4112" t="str">
            <v>Bolivia</v>
          </cell>
          <cell r="B4112">
            <v>68</v>
          </cell>
          <cell r="C4112">
            <v>203</v>
          </cell>
          <cell r="D4112">
            <v>22</v>
          </cell>
          <cell r="E4112" t="str">
            <v>Taxes on production and imports, less Subsidies</v>
          </cell>
          <cell r="F4112">
            <v>12</v>
          </cell>
          <cell r="G4112">
            <v>1989</v>
          </cell>
          <cell r="H4112">
            <v>20</v>
          </cell>
          <cell r="I4112">
            <v>34070000</v>
          </cell>
        </row>
        <row r="4113">
          <cell r="A4113" t="str">
            <v>Bolivia</v>
          </cell>
          <cell r="B4113">
            <v>68</v>
          </cell>
          <cell r="C4113">
            <v>203</v>
          </cell>
          <cell r="D4113">
            <v>22</v>
          </cell>
          <cell r="E4113" t="str">
            <v>Taxes on production and imports, less Subsidies</v>
          </cell>
          <cell r="F4113">
            <v>12</v>
          </cell>
          <cell r="G4113">
            <v>1990</v>
          </cell>
          <cell r="H4113">
            <v>20</v>
          </cell>
          <cell r="I4113">
            <v>46010000</v>
          </cell>
        </row>
        <row r="4114">
          <cell r="A4114" t="str">
            <v>Bolivia</v>
          </cell>
          <cell r="B4114">
            <v>68</v>
          </cell>
          <cell r="C4114">
            <v>203</v>
          </cell>
          <cell r="D4114">
            <v>22</v>
          </cell>
          <cell r="E4114" t="str">
            <v>Taxes on production and imports, less Subsidies</v>
          </cell>
          <cell r="F4114">
            <v>12</v>
          </cell>
          <cell r="G4114">
            <v>1991</v>
          </cell>
          <cell r="H4114">
            <v>20</v>
          </cell>
          <cell r="I4114">
            <v>55080000</v>
          </cell>
        </row>
        <row r="4115">
          <cell r="A4115" t="str">
            <v>Bolivia</v>
          </cell>
          <cell r="B4115">
            <v>68</v>
          </cell>
          <cell r="C4115">
            <v>203</v>
          </cell>
          <cell r="D4115">
            <v>22</v>
          </cell>
          <cell r="E4115" t="str">
            <v>Taxes on production and imports, less Subsidies</v>
          </cell>
          <cell r="F4115">
            <v>12</v>
          </cell>
          <cell r="G4115">
            <v>1992</v>
          </cell>
          <cell r="H4115">
            <v>20</v>
          </cell>
          <cell r="I4115">
            <v>66000000</v>
          </cell>
        </row>
        <row r="4116">
          <cell r="A4116" t="str">
            <v>Brazil</v>
          </cell>
          <cell r="B4116">
            <v>76</v>
          </cell>
          <cell r="C4116">
            <v>201</v>
          </cell>
          <cell r="D4116">
            <v>13</v>
          </cell>
          <cell r="E4116" t="str">
            <v>Less: Financial intermediation services indirectly measured (FISIM) (only to be deducted if FISIM is not distributed to uses)</v>
          </cell>
          <cell r="F4116">
            <v>0</v>
          </cell>
          <cell r="G4116">
            <v>1980</v>
          </cell>
          <cell r="H4116">
            <v>10</v>
          </cell>
          <cell r="I4116">
            <v>0.36</v>
          </cell>
        </row>
        <row r="4117">
          <cell r="A4117" t="str">
            <v>Brazil</v>
          </cell>
          <cell r="B4117">
            <v>76</v>
          </cell>
          <cell r="C4117">
            <v>201</v>
          </cell>
          <cell r="D4117">
            <v>13</v>
          </cell>
          <cell r="E4117" t="str">
            <v>Less: Financial intermediation services indirectly measured (FISIM) (only to be deducted if FISIM is not distributed to uses)</v>
          </cell>
          <cell r="F4117">
            <v>0</v>
          </cell>
          <cell r="G4117">
            <v>1981</v>
          </cell>
          <cell r="H4117">
            <v>10</v>
          </cell>
          <cell r="I4117">
            <v>0.73</v>
          </cell>
        </row>
        <row r="4118">
          <cell r="A4118" t="str">
            <v>Brazil</v>
          </cell>
          <cell r="B4118">
            <v>76</v>
          </cell>
          <cell r="C4118">
            <v>201</v>
          </cell>
          <cell r="D4118">
            <v>13</v>
          </cell>
          <cell r="E4118" t="str">
            <v>Less: Financial intermediation services indirectly measured (FISIM) (only to be deducted if FISIM is not distributed to uses)</v>
          </cell>
          <cell r="F4118">
            <v>0</v>
          </cell>
          <cell r="G4118">
            <v>1982</v>
          </cell>
          <cell r="H4118">
            <v>10</v>
          </cell>
          <cell r="I4118">
            <v>1.82</v>
          </cell>
        </row>
        <row r="4119">
          <cell r="A4119" t="str">
            <v>Brazil</v>
          </cell>
          <cell r="B4119">
            <v>76</v>
          </cell>
          <cell r="C4119">
            <v>201</v>
          </cell>
          <cell r="D4119">
            <v>13</v>
          </cell>
          <cell r="E4119" t="str">
            <v>Less: Financial intermediation services indirectly measured (FISIM) (only to be deducted if FISIM is not distributed to uses)</v>
          </cell>
          <cell r="F4119">
            <v>0</v>
          </cell>
          <cell r="G4119">
            <v>1983</v>
          </cell>
          <cell r="H4119">
            <v>10</v>
          </cell>
          <cell r="I4119">
            <v>5.09</v>
          </cell>
        </row>
        <row r="4120">
          <cell r="A4120" t="str">
            <v>Brazil</v>
          </cell>
          <cell r="B4120">
            <v>76</v>
          </cell>
          <cell r="C4120">
            <v>201</v>
          </cell>
          <cell r="D4120">
            <v>13</v>
          </cell>
          <cell r="E4120" t="str">
            <v>Less: Financial intermediation services indirectly measured (FISIM) (only to be deducted if FISIM is not distributed to uses)</v>
          </cell>
          <cell r="F4120">
            <v>0</v>
          </cell>
          <cell r="G4120">
            <v>1984</v>
          </cell>
          <cell r="H4120">
            <v>10</v>
          </cell>
          <cell r="I4120">
            <v>15.27</v>
          </cell>
        </row>
        <row r="4121">
          <cell r="A4121" t="str">
            <v>Brazil</v>
          </cell>
          <cell r="B4121">
            <v>76</v>
          </cell>
          <cell r="C4121">
            <v>201</v>
          </cell>
          <cell r="D4121">
            <v>13</v>
          </cell>
          <cell r="E4121" t="str">
            <v>Less: Financial intermediation services indirectly measured (FISIM) (only to be deducted if FISIM is not distributed to uses)</v>
          </cell>
          <cell r="F4121">
            <v>0</v>
          </cell>
          <cell r="G4121">
            <v>1985</v>
          </cell>
          <cell r="H4121">
            <v>10</v>
          </cell>
          <cell r="I4121">
            <v>57.82</v>
          </cell>
        </row>
        <row r="4122">
          <cell r="A4122" t="str">
            <v>Brazil</v>
          </cell>
          <cell r="B4122">
            <v>76</v>
          </cell>
          <cell r="C4122">
            <v>201</v>
          </cell>
          <cell r="D4122">
            <v>13</v>
          </cell>
          <cell r="E4122" t="str">
            <v>Less: Financial intermediation services indirectly measured (FISIM) (only to be deducted if FISIM is not distributed to uses)</v>
          </cell>
          <cell r="F4122">
            <v>0</v>
          </cell>
          <cell r="G4122">
            <v>1986</v>
          </cell>
          <cell r="H4122">
            <v>10</v>
          </cell>
          <cell r="I4122">
            <v>89.82</v>
          </cell>
        </row>
        <row r="4123">
          <cell r="A4123" t="str">
            <v>Brazil</v>
          </cell>
          <cell r="B4123">
            <v>76</v>
          </cell>
          <cell r="C4123">
            <v>201</v>
          </cell>
          <cell r="D4123">
            <v>13</v>
          </cell>
          <cell r="E4123" t="str">
            <v>Less: Financial intermediation services indirectly measured (FISIM) (only to be deducted if FISIM is not distributed to uses)</v>
          </cell>
          <cell r="F4123">
            <v>0</v>
          </cell>
          <cell r="G4123">
            <v>1987</v>
          </cell>
          <cell r="H4123">
            <v>10</v>
          </cell>
          <cell r="I4123">
            <v>576</v>
          </cell>
        </row>
        <row r="4124">
          <cell r="A4124" t="str">
            <v>Brazil</v>
          </cell>
          <cell r="B4124">
            <v>76</v>
          </cell>
          <cell r="C4124">
            <v>201</v>
          </cell>
          <cell r="D4124">
            <v>13</v>
          </cell>
          <cell r="E4124" t="str">
            <v>Less: Financial intermediation services indirectly measured (FISIM) (only to be deducted if FISIM is not distributed to uses)</v>
          </cell>
          <cell r="F4124">
            <v>0</v>
          </cell>
          <cell r="G4124">
            <v>1988</v>
          </cell>
          <cell r="H4124">
            <v>10</v>
          </cell>
          <cell r="I4124">
            <v>4423.6400000000003</v>
          </cell>
        </row>
        <row r="4125">
          <cell r="A4125" t="str">
            <v>Brazil</v>
          </cell>
          <cell r="B4125">
            <v>76</v>
          </cell>
          <cell r="C4125">
            <v>201</v>
          </cell>
          <cell r="D4125">
            <v>13</v>
          </cell>
          <cell r="E4125" t="str">
            <v>Less: Financial intermediation services indirectly measured (FISIM) (only to be deducted if FISIM is not distributed to uses)</v>
          </cell>
          <cell r="F4125">
            <v>0</v>
          </cell>
          <cell r="G4125">
            <v>1989</v>
          </cell>
          <cell r="H4125">
            <v>10</v>
          </cell>
          <cell r="I4125">
            <v>101984.7</v>
          </cell>
        </row>
        <row r="4126">
          <cell r="A4126" t="str">
            <v>Brazil</v>
          </cell>
          <cell r="B4126">
            <v>76</v>
          </cell>
          <cell r="C4126">
            <v>201</v>
          </cell>
          <cell r="D4126">
            <v>13</v>
          </cell>
          <cell r="E4126" t="str">
            <v>Less: Financial intermediation services indirectly measured (FISIM) (only to be deducted if FISIM is not distributed to uses)</v>
          </cell>
          <cell r="F4126">
            <v>0</v>
          </cell>
          <cell r="G4126">
            <v>1990</v>
          </cell>
          <cell r="H4126">
            <v>100</v>
          </cell>
          <cell r="I4126">
            <v>1326000</v>
          </cell>
        </row>
        <row r="4127">
          <cell r="A4127" t="str">
            <v>Brazil</v>
          </cell>
          <cell r="B4127">
            <v>76</v>
          </cell>
          <cell r="C4127">
            <v>201</v>
          </cell>
          <cell r="D4127">
            <v>13</v>
          </cell>
          <cell r="E4127" t="str">
            <v>Less: Financial intermediation services indirectly measured (FISIM) (only to be deducted if FISIM is not distributed to uses)</v>
          </cell>
          <cell r="F4127">
            <v>0</v>
          </cell>
          <cell r="G4127">
            <v>1991</v>
          </cell>
          <cell r="H4127">
            <v>100</v>
          </cell>
          <cell r="I4127">
            <v>4261000</v>
          </cell>
        </row>
        <row r="4128">
          <cell r="A4128" t="str">
            <v>Brazil</v>
          </cell>
          <cell r="B4128">
            <v>76</v>
          </cell>
          <cell r="C4128">
            <v>201</v>
          </cell>
          <cell r="D4128">
            <v>13</v>
          </cell>
          <cell r="E4128" t="str">
            <v>Less: Financial intermediation services indirectly measured (FISIM) (only to be deducted if FISIM is not distributed to uses)</v>
          </cell>
          <cell r="F4128">
            <v>0</v>
          </cell>
          <cell r="G4128">
            <v>1992</v>
          </cell>
          <cell r="H4128">
            <v>100</v>
          </cell>
          <cell r="I4128">
            <v>71000000</v>
          </cell>
        </row>
        <row r="4129">
          <cell r="A4129" t="str">
            <v>Brazil</v>
          </cell>
          <cell r="B4129">
            <v>76</v>
          </cell>
          <cell r="C4129">
            <v>201</v>
          </cell>
          <cell r="D4129">
            <v>13</v>
          </cell>
          <cell r="E4129" t="str">
            <v>Less: Financial intermediation services indirectly measured (FISIM) (only to be deducted if FISIM is not distributed to uses)</v>
          </cell>
          <cell r="F4129">
            <v>0</v>
          </cell>
          <cell r="G4129">
            <v>1992</v>
          </cell>
          <cell r="H4129">
            <v>200</v>
          </cell>
          <cell r="I4129">
            <v>135000000</v>
          </cell>
        </row>
        <row r="4130">
          <cell r="A4130" t="str">
            <v>Brazil</v>
          </cell>
          <cell r="B4130">
            <v>76</v>
          </cell>
          <cell r="C4130">
            <v>201</v>
          </cell>
          <cell r="D4130">
            <v>13</v>
          </cell>
          <cell r="E4130" t="str">
            <v>Less: Financial intermediation services indirectly measured (FISIM) (only to be deducted if FISIM is not distributed to uses)</v>
          </cell>
          <cell r="F4130">
            <v>0</v>
          </cell>
          <cell r="G4130">
            <v>1993</v>
          </cell>
          <cell r="H4130">
            <v>200</v>
          </cell>
          <cell r="I4130">
            <v>3916000000</v>
          </cell>
        </row>
        <row r="4131">
          <cell r="A4131" t="str">
            <v>Brazil</v>
          </cell>
          <cell r="B4131">
            <v>76</v>
          </cell>
          <cell r="C4131">
            <v>201</v>
          </cell>
          <cell r="D4131">
            <v>13</v>
          </cell>
          <cell r="E4131" t="str">
            <v>Less: Financial intermediation services indirectly measured (FISIM) (only to be deducted if FISIM is not distributed to uses)</v>
          </cell>
          <cell r="F4131">
            <v>0</v>
          </cell>
          <cell r="G4131">
            <v>1994</v>
          </cell>
          <cell r="H4131">
            <v>200</v>
          </cell>
          <cell r="I4131">
            <v>43620000000</v>
          </cell>
        </row>
        <row r="4132">
          <cell r="A4132" t="str">
            <v>Brazil</v>
          </cell>
          <cell r="B4132">
            <v>76</v>
          </cell>
          <cell r="C4132">
            <v>201</v>
          </cell>
          <cell r="D4132">
            <v>13</v>
          </cell>
          <cell r="E4132" t="str">
            <v>Less: Financial intermediation services indirectly measured (FISIM) (only to be deducted if FISIM is not distributed to uses)</v>
          </cell>
          <cell r="F4132">
            <v>0</v>
          </cell>
          <cell r="G4132">
            <v>1995</v>
          </cell>
          <cell r="H4132">
            <v>200</v>
          </cell>
          <cell r="I4132">
            <v>36570000000</v>
          </cell>
        </row>
        <row r="4133">
          <cell r="A4133" t="str">
            <v>Brazil</v>
          </cell>
          <cell r="B4133">
            <v>76</v>
          </cell>
          <cell r="C4133">
            <v>201</v>
          </cell>
          <cell r="D4133">
            <v>13</v>
          </cell>
          <cell r="E4133" t="str">
            <v>Less: Financial intermediation services indirectly measured (FISIM) (only to be deducted if FISIM is not distributed to uses)</v>
          </cell>
          <cell r="F4133">
            <v>0</v>
          </cell>
          <cell r="G4133">
            <v>1996</v>
          </cell>
          <cell r="H4133">
            <v>200</v>
          </cell>
          <cell r="I4133">
            <v>37060000000</v>
          </cell>
        </row>
        <row r="4134">
          <cell r="A4134" t="str">
            <v>Brazil</v>
          </cell>
          <cell r="B4134">
            <v>76</v>
          </cell>
          <cell r="C4134">
            <v>201</v>
          </cell>
          <cell r="D4134">
            <v>13</v>
          </cell>
          <cell r="E4134" t="str">
            <v>Less: Financial intermediation services indirectly measured (FISIM) (only to be deducted if FISIM is not distributed to uses)</v>
          </cell>
          <cell r="F4134">
            <v>0</v>
          </cell>
          <cell r="G4134">
            <v>1997</v>
          </cell>
          <cell r="H4134">
            <v>200</v>
          </cell>
          <cell r="I4134">
            <v>39702000000</v>
          </cell>
        </row>
        <row r="4135">
          <cell r="A4135" t="str">
            <v>Brazil</v>
          </cell>
          <cell r="B4135">
            <v>76</v>
          </cell>
          <cell r="C4135">
            <v>201</v>
          </cell>
          <cell r="D4135">
            <v>13</v>
          </cell>
          <cell r="E4135" t="str">
            <v>Less: Financial intermediation services indirectly measured (FISIM) (only to be deducted if FISIM is not distributed to uses)</v>
          </cell>
          <cell r="F4135">
            <v>0</v>
          </cell>
          <cell r="G4135">
            <v>1998</v>
          </cell>
          <cell r="H4135">
            <v>200</v>
          </cell>
          <cell r="I4135">
            <v>42005000000</v>
          </cell>
        </row>
        <row r="4136">
          <cell r="A4136" t="str">
            <v>Brazil</v>
          </cell>
          <cell r="B4136">
            <v>76</v>
          </cell>
          <cell r="C4136">
            <v>201</v>
          </cell>
          <cell r="D4136">
            <v>13</v>
          </cell>
          <cell r="E4136" t="str">
            <v>Less: Financial intermediation services indirectly measured (FISIM) (only to be deducted if FISIM is not distributed to uses)</v>
          </cell>
          <cell r="F4136">
            <v>0</v>
          </cell>
          <cell r="G4136">
            <v>1999</v>
          </cell>
          <cell r="H4136">
            <v>200</v>
          </cell>
          <cell r="I4136">
            <v>41218000000</v>
          </cell>
        </row>
        <row r="4137">
          <cell r="A4137" t="str">
            <v>Brazil</v>
          </cell>
          <cell r="B4137">
            <v>76</v>
          </cell>
          <cell r="C4137">
            <v>201</v>
          </cell>
          <cell r="D4137">
            <v>13</v>
          </cell>
          <cell r="E4137" t="str">
            <v>Less: Financial intermediation services indirectly measured (FISIM) (only to be deducted if FISIM is not distributed to uses)</v>
          </cell>
          <cell r="F4137">
            <v>0</v>
          </cell>
          <cell r="G4137">
            <v>2000</v>
          </cell>
          <cell r="H4137">
            <v>200</v>
          </cell>
          <cell r="I4137">
            <v>39626000000</v>
          </cell>
        </row>
        <row r="4138">
          <cell r="A4138" t="str">
            <v>Brazil</v>
          </cell>
          <cell r="B4138">
            <v>76</v>
          </cell>
          <cell r="C4138">
            <v>201</v>
          </cell>
          <cell r="D4138">
            <v>13</v>
          </cell>
          <cell r="E4138" t="str">
            <v>Less: Financial intermediation services indirectly measured (FISIM) (only to be deducted if FISIM is not distributed to uses)</v>
          </cell>
          <cell r="F4138">
            <v>0</v>
          </cell>
          <cell r="G4138">
            <v>2001</v>
          </cell>
          <cell r="H4138">
            <v>200</v>
          </cell>
          <cell r="I4138">
            <v>54653000000</v>
          </cell>
        </row>
        <row r="4139">
          <cell r="A4139" t="str">
            <v>Brazil</v>
          </cell>
          <cell r="B4139">
            <v>76</v>
          </cell>
          <cell r="C4139">
            <v>201</v>
          </cell>
          <cell r="D4139">
            <v>13</v>
          </cell>
          <cell r="E4139" t="str">
            <v>Less: Financial intermediation services indirectly measured (FISIM) (only to be deducted if FISIM is not distributed to uses)</v>
          </cell>
          <cell r="F4139">
            <v>0</v>
          </cell>
          <cell r="G4139">
            <v>2002</v>
          </cell>
          <cell r="H4139">
            <v>200</v>
          </cell>
          <cell r="I4139">
            <v>75332000000</v>
          </cell>
        </row>
        <row r="4140">
          <cell r="A4140" t="str">
            <v>Brazil</v>
          </cell>
          <cell r="B4140">
            <v>76</v>
          </cell>
          <cell r="C4140">
            <v>201</v>
          </cell>
          <cell r="D4140">
            <v>13</v>
          </cell>
          <cell r="E4140" t="str">
            <v>Less: Financial intermediation services indirectly measured (FISIM) (only to be deducted if FISIM is not distributed to uses)</v>
          </cell>
          <cell r="F4140">
            <v>0</v>
          </cell>
          <cell r="G4140">
            <v>2003</v>
          </cell>
          <cell r="H4140">
            <v>200</v>
          </cell>
          <cell r="I4140">
            <v>74661000000</v>
          </cell>
        </row>
        <row r="4141">
          <cell r="A4141" t="str">
            <v>Brazil</v>
          </cell>
          <cell r="B4141">
            <v>76</v>
          </cell>
          <cell r="C4141">
            <v>203</v>
          </cell>
          <cell r="D4141">
            <v>3</v>
          </cell>
          <cell r="E4141" t="str">
            <v>Equals: VALUE ADDED, GROSS, at basic prices</v>
          </cell>
          <cell r="F4141">
            <v>12</v>
          </cell>
          <cell r="G4141">
            <v>1992</v>
          </cell>
          <cell r="H4141">
            <v>200</v>
          </cell>
          <cell r="I4141">
            <v>565000000</v>
          </cell>
        </row>
        <row r="4142">
          <cell r="A4142" t="str">
            <v>Brazil</v>
          </cell>
          <cell r="B4142">
            <v>76</v>
          </cell>
          <cell r="C4142">
            <v>203</v>
          </cell>
          <cell r="D4142">
            <v>3</v>
          </cell>
          <cell r="E4142" t="str">
            <v>Equals: VALUE ADDED, GROSS, at basic prices</v>
          </cell>
          <cell r="F4142">
            <v>12</v>
          </cell>
          <cell r="G4142">
            <v>1993</v>
          </cell>
          <cell r="H4142">
            <v>200</v>
          </cell>
          <cell r="I4142">
            <v>12636000000</v>
          </cell>
        </row>
        <row r="4143">
          <cell r="A4143" t="str">
            <v>Brazil</v>
          </cell>
          <cell r="B4143">
            <v>76</v>
          </cell>
          <cell r="C4143">
            <v>203</v>
          </cell>
          <cell r="D4143">
            <v>3</v>
          </cell>
          <cell r="E4143" t="str">
            <v>Equals: VALUE ADDED, GROSS, at basic prices</v>
          </cell>
          <cell r="F4143">
            <v>12</v>
          </cell>
          <cell r="G4143">
            <v>1994</v>
          </cell>
          <cell r="H4143">
            <v>200</v>
          </cell>
          <cell r="I4143">
            <v>309207000000</v>
          </cell>
        </row>
        <row r="4144">
          <cell r="A4144" t="str">
            <v>Brazil</v>
          </cell>
          <cell r="B4144">
            <v>76</v>
          </cell>
          <cell r="C4144">
            <v>203</v>
          </cell>
          <cell r="D4144">
            <v>3</v>
          </cell>
          <cell r="E4144" t="str">
            <v>Equals: VALUE ADDED, GROSS, at basic prices</v>
          </cell>
          <cell r="F4144">
            <v>12</v>
          </cell>
          <cell r="G4144">
            <v>1995</v>
          </cell>
          <cell r="H4144">
            <v>200</v>
          </cell>
          <cell r="I4144">
            <v>571818000000</v>
          </cell>
        </row>
        <row r="4145">
          <cell r="A4145" t="str">
            <v>Brazil</v>
          </cell>
          <cell r="B4145">
            <v>76</v>
          </cell>
          <cell r="C4145">
            <v>203</v>
          </cell>
          <cell r="D4145">
            <v>3</v>
          </cell>
          <cell r="E4145" t="str">
            <v>Equals: VALUE ADDED, GROSS, at basic prices</v>
          </cell>
          <cell r="F4145">
            <v>12</v>
          </cell>
          <cell r="G4145">
            <v>1996</v>
          </cell>
          <cell r="H4145">
            <v>200</v>
          </cell>
          <cell r="I4145">
            <v>694966000000</v>
          </cell>
        </row>
        <row r="4146">
          <cell r="A4146" t="str">
            <v>Brazil</v>
          </cell>
          <cell r="B4146">
            <v>76</v>
          </cell>
          <cell r="C4146">
            <v>203</v>
          </cell>
          <cell r="D4146">
            <v>3</v>
          </cell>
          <cell r="E4146" t="str">
            <v>Equals: VALUE ADDED, GROSS, at basic prices</v>
          </cell>
          <cell r="F4146">
            <v>12</v>
          </cell>
          <cell r="G4146">
            <v>1997</v>
          </cell>
          <cell r="H4146">
            <v>200</v>
          </cell>
          <cell r="I4146">
            <v>780422000000</v>
          </cell>
        </row>
        <row r="4147">
          <cell r="A4147" t="str">
            <v>Brazil</v>
          </cell>
          <cell r="B4147">
            <v>76</v>
          </cell>
          <cell r="C4147">
            <v>203</v>
          </cell>
          <cell r="D4147">
            <v>3</v>
          </cell>
          <cell r="E4147" t="str">
            <v>Equals: VALUE ADDED, GROSS, at basic prices</v>
          </cell>
          <cell r="F4147">
            <v>12</v>
          </cell>
          <cell r="G4147">
            <v>1998</v>
          </cell>
          <cell r="H4147">
            <v>200</v>
          </cell>
          <cell r="I4147">
            <v>820788000000</v>
          </cell>
        </row>
        <row r="4148">
          <cell r="A4148" t="str">
            <v>Brazil</v>
          </cell>
          <cell r="B4148">
            <v>76</v>
          </cell>
          <cell r="C4148">
            <v>203</v>
          </cell>
          <cell r="D4148">
            <v>3</v>
          </cell>
          <cell r="E4148" t="str">
            <v>Equals: VALUE ADDED, GROSS, at basic prices</v>
          </cell>
          <cell r="F4148">
            <v>12</v>
          </cell>
          <cell r="G4148">
            <v>1999</v>
          </cell>
          <cell r="H4148">
            <v>200</v>
          </cell>
          <cell r="I4148">
            <v>870459000000</v>
          </cell>
        </row>
        <row r="4149">
          <cell r="A4149" t="str">
            <v>Brazil</v>
          </cell>
          <cell r="B4149">
            <v>76</v>
          </cell>
          <cell r="C4149">
            <v>203</v>
          </cell>
          <cell r="D4149">
            <v>3</v>
          </cell>
          <cell r="E4149" t="str">
            <v>Equals: VALUE ADDED, GROSS, at basic prices</v>
          </cell>
          <cell r="F4149">
            <v>12</v>
          </cell>
          <cell r="G4149">
            <v>2000</v>
          </cell>
          <cell r="H4149">
            <v>200</v>
          </cell>
          <cell r="I4149">
            <v>981861000000</v>
          </cell>
        </row>
        <row r="4150">
          <cell r="A4150" t="str">
            <v>Brazil</v>
          </cell>
          <cell r="B4150">
            <v>76</v>
          </cell>
          <cell r="C4150">
            <v>203</v>
          </cell>
          <cell r="D4150">
            <v>3</v>
          </cell>
          <cell r="E4150" t="str">
            <v>Equals: VALUE ADDED, GROSS, at basic prices</v>
          </cell>
          <cell r="F4150">
            <v>12</v>
          </cell>
          <cell r="G4150">
            <v>2001</v>
          </cell>
          <cell r="H4150">
            <v>200</v>
          </cell>
          <cell r="I4150">
            <v>1063769000000</v>
          </cell>
        </row>
        <row r="4151">
          <cell r="A4151" t="str">
            <v>Brazil</v>
          </cell>
          <cell r="B4151">
            <v>76</v>
          </cell>
          <cell r="C4151">
            <v>203</v>
          </cell>
          <cell r="D4151">
            <v>3</v>
          </cell>
          <cell r="E4151" t="str">
            <v>Equals: VALUE ADDED, GROSS, at basic prices</v>
          </cell>
          <cell r="F4151">
            <v>12</v>
          </cell>
          <cell r="G4151">
            <v>2002</v>
          </cell>
          <cell r="H4151">
            <v>200</v>
          </cell>
          <cell r="I4151">
            <v>1199145000000</v>
          </cell>
        </row>
        <row r="4152">
          <cell r="A4152" t="str">
            <v>Brazil</v>
          </cell>
          <cell r="B4152">
            <v>76</v>
          </cell>
          <cell r="C4152">
            <v>203</v>
          </cell>
          <cell r="D4152">
            <v>3</v>
          </cell>
          <cell r="E4152" t="str">
            <v>Equals: VALUE ADDED, GROSS, at basic prices</v>
          </cell>
          <cell r="F4152">
            <v>12</v>
          </cell>
          <cell r="G4152">
            <v>2003</v>
          </cell>
          <cell r="H4152">
            <v>200</v>
          </cell>
          <cell r="I4152">
            <v>1395604000000</v>
          </cell>
        </row>
        <row r="4153">
          <cell r="A4153" t="str">
            <v>Brazil</v>
          </cell>
          <cell r="B4153">
            <v>76</v>
          </cell>
          <cell r="C4153">
            <v>203</v>
          </cell>
          <cell r="D4153">
            <v>4</v>
          </cell>
          <cell r="E4153" t="str">
            <v>Compensation of employees</v>
          </cell>
          <cell r="F4153">
            <v>12</v>
          </cell>
          <cell r="G4153">
            <v>1992</v>
          </cell>
          <cell r="H4153">
            <v>200</v>
          </cell>
          <cell r="I4153">
            <v>279000000</v>
          </cell>
        </row>
        <row r="4154">
          <cell r="A4154" t="str">
            <v>Brazil</v>
          </cell>
          <cell r="B4154">
            <v>76</v>
          </cell>
          <cell r="C4154">
            <v>203</v>
          </cell>
          <cell r="D4154">
            <v>4</v>
          </cell>
          <cell r="E4154" t="str">
            <v>Compensation of employees</v>
          </cell>
          <cell r="F4154">
            <v>12</v>
          </cell>
          <cell r="G4154">
            <v>1993</v>
          </cell>
          <cell r="H4154">
            <v>200</v>
          </cell>
          <cell r="I4154">
            <v>6363000000</v>
          </cell>
        </row>
        <row r="4155">
          <cell r="A4155" t="str">
            <v>Brazil</v>
          </cell>
          <cell r="B4155">
            <v>76</v>
          </cell>
          <cell r="C4155">
            <v>203</v>
          </cell>
          <cell r="D4155">
            <v>4</v>
          </cell>
          <cell r="E4155" t="str">
            <v>Compensation of employees</v>
          </cell>
          <cell r="F4155">
            <v>12</v>
          </cell>
          <cell r="G4155">
            <v>1994</v>
          </cell>
          <cell r="H4155">
            <v>200</v>
          </cell>
          <cell r="I4155">
            <v>140079000000</v>
          </cell>
        </row>
        <row r="4156">
          <cell r="A4156" t="str">
            <v>Brazil</v>
          </cell>
          <cell r="B4156">
            <v>76</v>
          </cell>
          <cell r="C4156">
            <v>203</v>
          </cell>
          <cell r="D4156">
            <v>4</v>
          </cell>
          <cell r="E4156" t="str">
            <v>Compensation of employees</v>
          </cell>
          <cell r="F4156">
            <v>12</v>
          </cell>
          <cell r="G4156">
            <v>1995</v>
          </cell>
          <cell r="H4156">
            <v>200</v>
          </cell>
          <cell r="I4156">
            <v>247277000000</v>
          </cell>
        </row>
        <row r="4157">
          <cell r="A4157" t="str">
            <v>Brazil</v>
          </cell>
          <cell r="B4157">
            <v>76</v>
          </cell>
          <cell r="C4157">
            <v>203</v>
          </cell>
          <cell r="D4157">
            <v>4</v>
          </cell>
          <cell r="E4157" t="str">
            <v>Compensation of employees</v>
          </cell>
          <cell r="F4157">
            <v>12</v>
          </cell>
          <cell r="G4157">
            <v>1996</v>
          </cell>
          <cell r="H4157">
            <v>200</v>
          </cell>
          <cell r="I4157">
            <v>300208000000</v>
          </cell>
        </row>
        <row r="4158">
          <cell r="A4158" t="str">
            <v>Brazil</v>
          </cell>
          <cell r="B4158">
            <v>76</v>
          </cell>
          <cell r="C4158">
            <v>203</v>
          </cell>
          <cell r="D4158">
            <v>4</v>
          </cell>
          <cell r="E4158" t="str">
            <v>Compensation of employees</v>
          </cell>
          <cell r="F4158">
            <v>12</v>
          </cell>
          <cell r="G4158">
            <v>1997</v>
          </cell>
          <cell r="H4158">
            <v>200</v>
          </cell>
          <cell r="I4158">
            <v>326145000000</v>
          </cell>
        </row>
        <row r="4159">
          <cell r="A4159" t="str">
            <v>Brazil</v>
          </cell>
          <cell r="B4159">
            <v>76</v>
          </cell>
          <cell r="C4159">
            <v>203</v>
          </cell>
          <cell r="D4159">
            <v>4</v>
          </cell>
          <cell r="E4159" t="str">
            <v>Compensation of employees</v>
          </cell>
          <cell r="F4159">
            <v>12</v>
          </cell>
          <cell r="G4159">
            <v>1998</v>
          </cell>
          <cell r="H4159">
            <v>200</v>
          </cell>
          <cell r="I4159">
            <v>355272000000</v>
          </cell>
        </row>
        <row r="4160">
          <cell r="A4160" t="str">
            <v>Brazil</v>
          </cell>
          <cell r="B4160">
            <v>76</v>
          </cell>
          <cell r="C4160">
            <v>203</v>
          </cell>
          <cell r="D4160">
            <v>4</v>
          </cell>
          <cell r="E4160" t="str">
            <v>Compensation of employees</v>
          </cell>
          <cell r="F4160">
            <v>12</v>
          </cell>
          <cell r="G4160">
            <v>1999</v>
          </cell>
          <cell r="H4160">
            <v>200</v>
          </cell>
          <cell r="I4160">
            <v>371501000000</v>
          </cell>
        </row>
        <row r="4161">
          <cell r="A4161" t="str">
            <v>Brazil</v>
          </cell>
          <cell r="B4161">
            <v>76</v>
          </cell>
          <cell r="C4161">
            <v>203</v>
          </cell>
          <cell r="D4161">
            <v>4</v>
          </cell>
          <cell r="E4161" t="str">
            <v>Compensation of employees</v>
          </cell>
          <cell r="F4161">
            <v>12</v>
          </cell>
          <cell r="G4161">
            <v>2000</v>
          </cell>
          <cell r="H4161">
            <v>200</v>
          </cell>
          <cell r="I4161">
            <v>417072000000</v>
          </cell>
        </row>
        <row r="4162">
          <cell r="A4162" t="str">
            <v>Brazil</v>
          </cell>
          <cell r="B4162">
            <v>76</v>
          </cell>
          <cell r="C4162">
            <v>203</v>
          </cell>
          <cell r="D4162">
            <v>4</v>
          </cell>
          <cell r="E4162" t="str">
            <v>Compensation of employees</v>
          </cell>
          <cell r="F4162">
            <v>12</v>
          </cell>
          <cell r="G4162">
            <v>2001</v>
          </cell>
          <cell r="H4162">
            <v>200</v>
          </cell>
          <cell r="I4162">
            <v>444067000000</v>
          </cell>
        </row>
        <row r="4163">
          <cell r="A4163" t="str">
            <v>Brazil</v>
          </cell>
          <cell r="B4163">
            <v>76</v>
          </cell>
          <cell r="C4163">
            <v>203</v>
          </cell>
          <cell r="D4163">
            <v>4</v>
          </cell>
          <cell r="E4163" t="str">
            <v>Compensation of employees</v>
          </cell>
          <cell r="F4163">
            <v>12</v>
          </cell>
          <cell r="G4163">
            <v>2002</v>
          </cell>
          <cell r="H4163">
            <v>200</v>
          </cell>
          <cell r="I4163">
            <v>486457000000</v>
          </cell>
        </row>
        <row r="4164">
          <cell r="A4164" t="str">
            <v>Brazil</v>
          </cell>
          <cell r="B4164">
            <v>76</v>
          </cell>
          <cell r="C4164">
            <v>203</v>
          </cell>
          <cell r="D4164">
            <v>4</v>
          </cell>
          <cell r="E4164" t="str">
            <v>Compensation of employees</v>
          </cell>
          <cell r="F4164">
            <v>12</v>
          </cell>
          <cell r="G4164">
            <v>2003</v>
          </cell>
          <cell r="H4164">
            <v>200</v>
          </cell>
          <cell r="I4164">
            <v>554149000000</v>
          </cell>
        </row>
        <row r="4165">
          <cell r="A4165" t="str">
            <v>Brazil</v>
          </cell>
          <cell r="B4165">
            <v>76</v>
          </cell>
          <cell r="C4165">
            <v>203</v>
          </cell>
          <cell r="D4165">
            <v>11</v>
          </cell>
          <cell r="E4165" t="str">
            <v>OPERATING SURPLUS, GROSS</v>
          </cell>
          <cell r="F4165">
            <v>12</v>
          </cell>
          <cell r="G4165">
            <v>1992</v>
          </cell>
          <cell r="H4165">
            <v>200</v>
          </cell>
          <cell r="I4165">
            <v>244000000</v>
          </cell>
        </row>
        <row r="4166">
          <cell r="A4166" t="str">
            <v>Brazil</v>
          </cell>
          <cell r="B4166">
            <v>76</v>
          </cell>
          <cell r="C4166">
            <v>203</v>
          </cell>
          <cell r="D4166">
            <v>11</v>
          </cell>
          <cell r="E4166" t="str">
            <v>OPERATING SURPLUS, GROSS</v>
          </cell>
          <cell r="F4166">
            <v>12</v>
          </cell>
          <cell r="G4166">
            <v>1993</v>
          </cell>
          <cell r="H4166">
            <v>200</v>
          </cell>
          <cell r="I4166">
            <v>4987000000</v>
          </cell>
        </row>
        <row r="4167">
          <cell r="A4167" t="str">
            <v>Brazil</v>
          </cell>
          <cell r="B4167">
            <v>76</v>
          </cell>
          <cell r="C4167">
            <v>203</v>
          </cell>
          <cell r="D4167">
            <v>11</v>
          </cell>
          <cell r="E4167" t="str">
            <v>OPERATING SURPLUS, GROSS</v>
          </cell>
          <cell r="F4167">
            <v>12</v>
          </cell>
          <cell r="G4167">
            <v>1994</v>
          </cell>
          <cell r="H4167">
            <v>200</v>
          </cell>
          <cell r="I4167">
            <v>134079000000</v>
          </cell>
        </row>
        <row r="4168">
          <cell r="A4168" t="str">
            <v>Brazil</v>
          </cell>
          <cell r="B4168">
            <v>76</v>
          </cell>
          <cell r="C4168">
            <v>203</v>
          </cell>
          <cell r="D4168">
            <v>11</v>
          </cell>
          <cell r="E4168" t="str">
            <v>OPERATING SURPLUS, GROSS</v>
          </cell>
          <cell r="F4168">
            <v>12</v>
          </cell>
          <cell r="G4168">
            <v>1995</v>
          </cell>
          <cell r="H4168">
            <v>200</v>
          </cell>
          <cell r="I4168">
            <v>260245000000</v>
          </cell>
        </row>
        <row r="4169">
          <cell r="A4169" t="str">
            <v>Brazil</v>
          </cell>
          <cell r="B4169">
            <v>76</v>
          </cell>
          <cell r="C4169">
            <v>203</v>
          </cell>
          <cell r="D4169">
            <v>11</v>
          </cell>
          <cell r="E4169" t="str">
            <v>OPERATING SURPLUS, GROSS</v>
          </cell>
          <cell r="F4169">
            <v>12</v>
          </cell>
          <cell r="G4169">
            <v>1996</v>
          </cell>
          <cell r="H4169">
            <v>200</v>
          </cell>
          <cell r="I4169">
            <v>319137000000</v>
          </cell>
        </row>
        <row r="4170">
          <cell r="A4170" t="str">
            <v>Brazil</v>
          </cell>
          <cell r="B4170">
            <v>76</v>
          </cell>
          <cell r="C4170">
            <v>203</v>
          </cell>
          <cell r="D4170">
            <v>11</v>
          </cell>
          <cell r="E4170" t="str">
            <v>OPERATING SURPLUS, GROSS</v>
          </cell>
          <cell r="F4170">
            <v>12</v>
          </cell>
          <cell r="G4170">
            <v>1997</v>
          </cell>
          <cell r="H4170">
            <v>200</v>
          </cell>
          <cell r="I4170">
            <v>372396000000</v>
          </cell>
        </row>
        <row r="4171">
          <cell r="A4171" t="str">
            <v>Brazil</v>
          </cell>
          <cell r="B4171">
            <v>76</v>
          </cell>
          <cell r="C4171">
            <v>203</v>
          </cell>
          <cell r="D4171">
            <v>11</v>
          </cell>
          <cell r="E4171" t="str">
            <v>OPERATING SURPLUS, GROSS</v>
          </cell>
          <cell r="F4171">
            <v>12</v>
          </cell>
          <cell r="G4171">
            <v>1998</v>
          </cell>
          <cell r="H4171">
            <v>200</v>
          </cell>
          <cell r="I4171">
            <v>380016000000</v>
          </cell>
        </row>
        <row r="4172">
          <cell r="A4172" t="str">
            <v>Brazil</v>
          </cell>
          <cell r="B4172">
            <v>76</v>
          </cell>
          <cell r="C4172">
            <v>203</v>
          </cell>
          <cell r="D4172">
            <v>11</v>
          </cell>
          <cell r="E4172" t="str">
            <v>OPERATING SURPLUS, GROSS</v>
          </cell>
          <cell r="F4172">
            <v>12</v>
          </cell>
          <cell r="G4172">
            <v>1999</v>
          </cell>
          <cell r="H4172">
            <v>200</v>
          </cell>
          <cell r="I4172">
            <v>394598000000</v>
          </cell>
        </row>
        <row r="4173">
          <cell r="A4173" t="str">
            <v>Brazil</v>
          </cell>
          <cell r="B4173">
            <v>76</v>
          </cell>
          <cell r="C4173">
            <v>203</v>
          </cell>
          <cell r="D4173">
            <v>11</v>
          </cell>
          <cell r="E4173" t="str">
            <v>OPERATING SURPLUS, GROSS</v>
          </cell>
          <cell r="F4173">
            <v>12</v>
          </cell>
          <cell r="G4173">
            <v>2000</v>
          </cell>
          <cell r="H4173">
            <v>200</v>
          </cell>
          <cell r="I4173">
            <v>447492000000</v>
          </cell>
        </row>
        <row r="4174">
          <cell r="A4174" t="str">
            <v>Brazil</v>
          </cell>
          <cell r="B4174">
            <v>76</v>
          </cell>
          <cell r="C4174">
            <v>203</v>
          </cell>
          <cell r="D4174">
            <v>11</v>
          </cell>
          <cell r="E4174" t="str">
            <v>OPERATING SURPLUS, GROSS</v>
          </cell>
          <cell r="F4174">
            <v>12</v>
          </cell>
          <cell r="G4174">
            <v>2001</v>
          </cell>
          <cell r="H4174">
            <v>200</v>
          </cell>
          <cell r="I4174">
            <v>490327000000</v>
          </cell>
        </row>
        <row r="4175">
          <cell r="A4175" t="str">
            <v>Brazil</v>
          </cell>
          <cell r="B4175">
            <v>76</v>
          </cell>
          <cell r="C4175">
            <v>203</v>
          </cell>
          <cell r="D4175">
            <v>11</v>
          </cell>
          <cell r="E4175" t="str">
            <v>OPERATING SURPLUS, GROSS</v>
          </cell>
          <cell r="F4175">
            <v>12</v>
          </cell>
          <cell r="G4175">
            <v>2002</v>
          </cell>
          <cell r="H4175">
            <v>200</v>
          </cell>
          <cell r="I4175">
            <v>564323000000</v>
          </cell>
        </row>
        <row r="4176">
          <cell r="A4176" t="str">
            <v>Brazil</v>
          </cell>
          <cell r="B4176">
            <v>76</v>
          </cell>
          <cell r="C4176">
            <v>203</v>
          </cell>
          <cell r="D4176">
            <v>11</v>
          </cell>
          <cell r="E4176" t="str">
            <v>OPERATING SURPLUS, GROSS</v>
          </cell>
          <cell r="F4176">
            <v>12</v>
          </cell>
          <cell r="G4176">
            <v>2003</v>
          </cell>
          <cell r="H4176">
            <v>200</v>
          </cell>
          <cell r="I4176">
            <v>668926000000</v>
          </cell>
        </row>
        <row r="4177">
          <cell r="A4177" t="str">
            <v>Brazil</v>
          </cell>
          <cell r="B4177">
            <v>76</v>
          </cell>
          <cell r="C4177">
            <v>203</v>
          </cell>
          <cell r="D4177">
            <v>12</v>
          </cell>
          <cell r="E4177" t="str">
            <v>MIXED INCOME, GROSS</v>
          </cell>
          <cell r="F4177">
            <v>12</v>
          </cell>
          <cell r="G4177">
            <v>1992</v>
          </cell>
          <cell r="H4177">
            <v>200</v>
          </cell>
          <cell r="I4177">
            <v>40000000</v>
          </cell>
        </row>
        <row r="4178">
          <cell r="A4178" t="str">
            <v>Brazil</v>
          </cell>
          <cell r="B4178">
            <v>76</v>
          </cell>
          <cell r="C4178">
            <v>203</v>
          </cell>
          <cell r="D4178">
            <v>12</v>
          </cell>
          <cell r="E4178" t="str">
            <v>MIXED INCOME, GROSS</v>
          </cell>
          <cell r="F4178">
            <v>12</v>
          </cell>
          <cell r="G4178">
            <v>1993</v>
          </cell>
          <cell r="H4178">
            <v>200</v>
          </cell>
          <cell r="I4178">
            <v>889000000</v>
          </cell>
        </row>
        <row r="4179">
          <cell r="A4179" t="str">
            <v>Brazil</v>
          </cell>
          <cell r="B4179">
            <v>76</v>
          </cell>
          <cell r="C4179">
            <v>203</v>
          </cell>
          <cell r="D4179">
            <v>12</v>
          </cell>
          <cell r="E4179" t="str">
            <v>MIXED INCOME, GROSS</v>
          </cell>
          <cell r="F4179">
            <v>12</v>
          </cell>
          <cell r="G4179">
            <v>1994</v>
          </cell>
          <cell r="H4179">
            <v>200</v>
          </cell>
          <cell r="I4179">
            <v>19938000000</v>
          </cell>
        </row>
        <row r="4180">
          <cell r="A4180" t="str">
            <v>Brazil</v>
          </cell>
          <cell r="B4180">
            <v>76</v>
          </cell>
          <cell r="C4180">
            <v>203</v>
          </cell>
          <cell r="D4180">
            <v>12</v>
          </cell>
          <cell r="E4180" t="str">
            <v>MIXED INCOME, GROSS</v>
          </cell>
          <cell r="F4180">
            <v>12</v>
          </cell>
          <cell r="G4180">
            <v>1995</v>
          </cell>
          <cell r="H4180">
            <v>200</v>
          </cell>
          <cell r="I4180">
            <v>38129000000</v>
          </cell>
        </row>
        <row r="4181">
          <cell r="A4181" t="str">
            <v>Brazil</v>
          </cell>
          <cell r="B4181">
            <v>76</v>
          </cell>
          <cell r="C4181">
            <v>203</v>
          </cell>
          <cell r="D4181">
            <v>12</v>
          </cell>
          <cell r="E4181" t="str">
            <v>MIXED INCOME, GROSS</v>
          </cell>
          <cell r="F4181">
            <v>12</v>
          </cell>
          <cell r="G4181">
            <v>1996</v>
          </cell>
          <cell r="H4181">
            <v>200</v>
          </cell>
          <cell r="I4181">
            <v>44306000000</v>
          </cell>
        </row>
        <row r="4182">
          <cell r="A4182" t="str">
            <v>Brazil</v>
          </cell>
          <cell r="B4182">
            <v>76</v>
          </cell>
          <cell r="C4182">
            <v>203</v>
          </cell>
          <cell r="D4182">
            <v>12</v>
          </cell>
          <cell r="E4182" t="str">
            <v>MIXED INCOME, GROSS</v>
          </cell>
          <cell r="F4182">
            <v>12</v>
          </cell>
          <cell r="G4182">
            <v>1997</v>
          </cell>
          <cell r="H4182">
            <v>200</v>
          </cell>
          <cell r="I4182">
            <v>48630000000</v>
          </cell>
        </row>
        <row r="4183">
          <cell r="A4183" t="str">
            <v>Brazil</v>
          </cell>
          <cell r="B4183">
            <v>76</v>
          </cell>
          <cell r="C4183">
            <v>203</v>
          </cell>
          <cell r="D4183">
            <v>12</v>
          </cell>
          <cell r="E4183" t="str">
            <v>MIXED INCOME, GROSS</v>
          </cell>
          <cell r="F4183">
            <v>12</v>
          </cell>
          <cell r="G4183">
            <v>1998</v>
          </cell>
          <cell r="H4183">
            <v>200</v>
          </cell>
          <cell r="I4183">
            <v>51100000000</v>
          </cell>
        </row>
        <row r="4184">
          <cell r="A4184" t="str">
            <v>Brazil</v>
          </cell>
          <cell r="B4184">
            <v>76</v>
          </cell>
          <cell r="C4184">
            <v>203</v>
          </cell>
          <cell r="D4184">
            <v>12</v>
          </cell>
          <cell r="E4184" t="str">
            <v>MIXED INCOME, GROSS</v>
          </cell>
          <cell r="F4184">
            <v>12</v>
          </cell>
          <cell r="G4184">
            <v>1999</v>
          </cell>
          <cell r="H4184">
            <v>200</v>
          </cell>
          <cell r="I4184">
            <v>55358000000</v>
          </cell>
        </row>
        <row r="4185">
          <cell r="A4185" t="str">
            <v>Brazil</v>
          </cell>
          <cell r="B4185">
            <v>76</v>
          </cell>
          <cell r="C4185">
            <v>203</v>
          </cell>
          <cell r="D4185">
            <v>12</v>
          </cell>
          <cell r="E4185" t="str">
            <v>MIXED INCOME, GROSS</v>
          </cell>
          <cell r="F4185">
            <v>12</v>
          </cell>
          <cell r="G4185">
            <v>2000</v>
          </cell>
          <cell r="H4185">
            <v>200</v>
          </cell>
          <cell r="I4185">
            <v>58616000000</v>
          </cell>
        </row>
        <row r="4186">
          <cell r="A4186" t="str">
            <v>Brazil</v>
          </cell>
          <cell r="B4186">
            <v>76</v>
          </cell>
          <cell r="C4186">
            <v>203</v>
          </cell>
          <cell r="D4186">
            <v>12</v>
          </cell>
          <cell r="E4186" t="str">
            <v>MIXED INCOME, GROSS</v>
          </cell>
          <cell r="F4186">
            <v>12</v>
          </cell>
          <cell r="G4186">
            <v>2001</v>
          </cell>
          <cell r="H4186">
            <v>200</v>
          </cell>
          <cell r="I4186">
            <v>60469000000</v>
          </cell>
        </row>
        <row r="4187">
          <cell r="A4187" t="str">
            <v>Brazil</v>
          </cell>
          <cell r="B4187">
            <v>76</v>
          </cell>
          <cell r="C4187">
            <v>203</v>
          </cell>
          <cell r="D4187">
            <v>12</v>
          </cell>
          <cell r="E4187" t="str">
            <v>MIXED INCOME, GROSS</v>
          </cell>
          <cell r="F4187">
            <v>12</v>
          </cell>
          <cell r="G4187">
            <v>2002</v>
          </cell>
          <cell r="H4187">
            <v>200</v>
          </cell>
          <cell r="I4187">
            <v>61618000000</v>
          </cell>
        </row>
        <row r="4188">
          <cell r="A4188" t="str">
            <v>Brazil</v>
          </cell>
          <cell r="B4188">
            <v>76</v>
          </cell>
          <cell r="C4188">
            <v>203</v>
          </cell>
          <cell r="D4188">
            <v>12</v>
          </cell>
          <cell r="E4188" t="str">
            <v>MIXED INCOME, GROSS</v>
          </cell>
          <cell r="F4188">
            <v>12</v>
          </cell>
          <cell r="G4188">
            <v>2003</v>
          </cell>
          <cell r="H4188">
            <v>200</v>
          </cell>
          <cell r="I4188">
            <v>69757000000</v>
          </cell>
        </row>
        <row r="4189">
          <cell r="A4189" t="str">
            <v>El Salvador</v>
          </cell>
          <cell r="B4189">
            <v>222</v>
          </cell>
          <cell r="C4189">
            <v>203</v>
          </cell>
          <cell r="D4189">
            <v>3</v>
          </cell>
          <cell r="E4189" t="str">
            <v>Equals: VALUE ADDED, GROSS, at basic prices</v>
          </cell>
          <cell r="F4189">
            <v>12</v>
          </cell>
          <cell r="G4189">
            <v>1970</v>
          </cell>
          <cell r="H4189">
            <v>10</v>
          </cell>
          <cell r="I4189">
            <v>2571000000</v>
          </cell>
        </row>
        <row r="4190">
          <cell r="A4190" t="str">
            <v>El Salvador</v>
          </cell>
          <cell r="B4190">
            <v>222</v>
          </cell>
          <cell r="C4190">
            <v>203</v>
          </cell>
          <cell r="D4190">
            <v>3</v>
          </cell>
          <cell r="E4190" t="str">
            <v>Equals: VALUE ADDED, GROSS, at basic prices</v>
          </cell>
          <cell r="F4190">
            <v>12</v>
          </cell>
          <cell r="G4190">
            <v>1971</v>
          </cell>
          <cell r="H4190">
            <v>10</v>
          </cell>
          <cell r="I4190">
            <v>2704000000</v>
          </cell>
        </row>
        <row r="4191">
          <cell r="A4191" t="str">
            <v>El Salvador</v>
          </cell>
          <cell r="B4191">
            <v>222</v>
          </cell>
          <cell r="C4191">
            <v>203</v>
          </cell>
          <cell r="D4191">
            <v>3</v>
          </cell>
          <cell r="E4191" t="str">
            <v>Equals: VALUE ADDED, GROSS, at basic prices</v>
          </cell>
          <cell r="F4191">
            <v>12</v>
          </cell>
          <cell r="G4191">
            <v>1972</v>
          </cell>
          <cell r="H4191">
            <v>10</v>
          </cell>
          <cell r="I4191">
            <v>2882000000</v>
          </cell>
        </row>
        <row r="4192">
          <cell r="A4192" t="str">
            <v>El Salvador</v>
          </cell>
          <cell r="B4192">
            <v>222</v>
          </cell>
          <cell r="C4192">
            <v>203</v>
          </cell>
          <cell r="D4192">
            <v>3</v>
          </cell>
          <cell r="E4192" t="str">
            <v>Equals: VALUE ADDED, GROSS, at basic prices</v>
          </cell>
          <cell r="F4192">
            <v>12</v>
          </cell>
          <cell r="G4192">
            <v>1973</v>
          </cell>
          <cell r="H4192">
            <v>10</v>
          </cell>
          <cell r="I4192">
            <v>3332000000</v>
          </cell>
        </row>
        <row r="4193">
          <cell r="A4193" t="str">
            <v>El Salvador</v>
          </cell>
          <cell r="B4193">
            <v>222</v>
          </cell>
          <cell r="C4193">
            <v>203</v>
          </cell>
          <cell r="D4193">
            <v>3</v>
          </cell>
          <cell r="E4193" t="str">
            <v>Equals: VALUE ADDED, GROSS, at basic prices</v>
          </cell>
          <cell r="F4193">
            <v>12</v>
          </cell>
          <cell r="G4193">
            <v>1974</v>
          </cell>
          <cell r="H4193">
            <v>10</v>
          </cell>
          <cell r="I4193">
            <v>3944000000</v>
          </cell>
        </row>
        <row r="4194">
          <cell r="A4194" t="str">
            <v>El Salvador</v>
          </cell>
          <cell r="B4194">
            <v>222</v>
          </cell>
          <cell r="C4194">
            <v>203</v>
          </cell>
          <cell r="D4194">
            <v>3</v>
          </cell>
          <cell r="E4194" t="str">
            <v>Equals: VALUE ADDED, GROSS, at basic prices</v>
          </cell>
          <cell r="F4194">
            <v>12</v>
          </cell>
          <cell r="G4194">
            <v>1975</v>
          </cell>
          <cell r="H4194">
            <v>10</v>
          </cell>
          <cell r="I4194">
            <v>4477000000</v>
          </cell>
        </row>
        <row r="4195">
          <cell r="A4195" t="str">
            <v>El Salvador</v>
          </cell>
          <cell r="B4195">
            <v>222</v>
          </cell>
          <cell r="C4195">
            <v>203</v>
          </cell>
          <cell r="D4195">
            <v>3</v>
          </cell>
          <cell r="E4195" t="str">
            <v>Equals: VALUE ADDED, GROSS, at basic prices</v>
          </cell>
          <cell r="F4195">
            <v>12</v>
          </cell>
          <cell r="G4195">
            <v>1976</v>
          </cell>
          <cell r="H4195">
            <v>10</v>
          </cell>
          <cell r="I4195">
            <v>5706000000</v>
          </cell>
        </row>
        <row r="4196">
          <cell r="A4196" t="str">
            <v>El Salvador</v>
          </cell>
          <cell r="B4196">
            <v>222</v>
          </cell>
          <cell r="C4196">
            <v>203</v>
          </cell>
          <cell r="D4196">
            <v>3</v>
          </cell>
          <cell r="E4196" t="str">
            <v>Equals: VALUE ADDED, GROSS, at basic prices</v>
          </cell>
          <cell r="F4196">
            <v>12</v>
          </cell>
          <cell r="G4196">
            <v>1977</v>
          </cell>
          <cell r="H4196">
            <v>10</v>
          </cell>
          <cell r="I4196">
            <v>7167000000</v>
          </cell>
        </row>
        <row r="4197">
          <cell r="A4197" t="str">
            <v>El Salvador</v>
          </cell>
          <cell r="B4197">
            <v>222</v>
          </cell>
          <cell r="C4197">
            <v>203</v>
          </cell>
          <cell r="D4197">
            <v>3</v>
          </cell>
          <cell r="E4197" t="str">
            <v>Equals: VALUE ADDED, GROSS, at basic prices</v>
          </cell>
          <cell r="F4197">
            <v>12</v>
          </cell>
          <cell r="G4197">
            <v>1978</v>
          </cell>
          <cell r="H4197">
            <v>10</v>
          </cell>
          <cell r="I4197">
            <v>7692000000</v>
          </cell>
        </row>
        <row r="4198">
          <cell r="A4198" t="str">
            <v>El Salvador</v>
          </cell>
          <cell r="B4198">
            <v>222</v>
          </cell>
          <cell r="C4198">
            <v>203</v>
          </cell>
          <cell r="D4198">
            <v>3</v>
          </cell>
          <cell r="E4198" t="str">
            <v>Equals: VALUE ADDED, GROSS, at basic prices</v>
          </cell>
          <cell r="F4198">
            <v>12</v>
          </cell>
          <cell r="G4198">
            <v>1979</v>
          </cell>
          <cell r="H4198">
            <v>10</v>
          </cell>
          <cell r="I4198">
            <v>8607000000</v>
          </cell>
        </row>
        <row r="4199">
          <cell r="A4199" t="str">
            <v>El Salvador</v>
          </cell>
          <cell r="B4199">
            <v>222</v>
          </cell>
          <cell r="C4199">
            <v>203</v>
          </cell>
          <cell r="D4199">
            <v>3</v>
          </cell>
          <cell r="E4199" t="str">
            <v>Equals: VALUE ADDED, GROSS, at basic prices</v>
          </cell>
          <cell r="F4199">
            <v>12</v>
          </cell>
          <cell r="G4199">
            <v>1980</v>
          </cell>
          <cell r="H4199">
            <v>10</v>
          </cell>
          <cell r="I4199">
            <v>8917000000</v>
          </cell>
        </row>
        <row r="4200">
          <cell r="A4200" t="str">
            <v>El Salvador</v>
          </cell>
          <cell r="B4200">
            <v>222</v>
          </cell>
          <cell r="C4200">
            <v>203</v>
          </cell>
          <cell r="D4200">
            <v>3</v>
          </cell>
          <cell r="E4200" t="str">
            <v>Equals: VALUE ADDED, GROSS, at basic prices</v>
          </cell>
          <cell r="F4200">
            <v>12</v>
          </cell>
          <cell r="G4200">
            <v>1981</v>
          </cell>
          <cell r="H4200">
            <v>10</v>
          </cell>
          <cell r="I4200">
            <v>8647000000</v>
          </cell>
        </row>
        <row r="4201">
          <cell r="A4201" t="str">
            <v>El Salvador</v>
          </cell>
          <cell r="B4201">
            <v>222</v>
          </cell>
          <cell r="C4201">
            <v>203</v>
          </cell>
          <cell r="D4201">
            <v>3</v>
          </cell>
          <cell r="E4201" t="str">
            <v>Equals: VALUE ADDED, GROSS, at basic prices</v>
          </cell>
          <cell r="F4201">
            <v>12</v>
          </cell>
          <cell r="G4201">
            <v>1982</v>
          </cell>
          <cell r="H4201">
            <v>10</v>
          </cell>
          <cell r="I4201">
            <v>8966000000</v>
          </cell>
        </row>
        <row r="4202">
          <cell r="A4202" t="str">
            <v>El Salvador</v>
          </cell>
          <cell r="B4202">
            <v>222</v>
          </cell>
          <cell r="C4202">
            <v>203</v>
          </cell>
          <cell r="D4202">
            <v>3</v>
          </cell>
          <cell r="E4202" t="str">
            <v>Equals: VALUE ADDED, GROSS, at basic prices</v>
          </cell>
          <cell r="F4202">
            <v>12</v>
          </cell>
          <cell r="G4202">
            <v>1983</v>
          </cell>
          <cell r="H4202">
            <v>10</v>
          </cell>
          <cell r="I4202">
            <v>10152000000</v>
          </cell>
        </row>
        <row r="4203">
          <cell r="A4203" t="str">
            <v>El Salvador</v>
          </cell>
          <cell r="B4203">
            <v>222</v>
          </cell>
          <cell r="C4203">
            <v>203</v>
          </cell>
          <cell r="D4203">
            <v>3</v>
          </cell>
          <cell r="E4203" t="str">
            <v>Equals: VALUE ADDED, GROSS, at basic prices</v>
          </cell>
          <cell r="F4203">
            <v>12</v>
          </cell>
          <cell r="G4203">
            <v>1984</v>
          </cell>
          <cell r="H4203">
            <v>10</v>
          </cell>
          <cell r="I4203">
            <v>11657000000</v>
          </cell>
        </row>
        <row r="4204">
          <cell r="A4204" t="str">
            <v>El Salvador</v>
          </cell>
          <cell r="B4204">
            <v>222</v>
          </cell>
          <cell r="C4204">
            <v>203</v>
          </cell>
          <cell r="D4204">
            <v>3</v>
          </cell>
          <cell r="E4204" t="str">
            <v>Equals: VALUE ADDED, GROSS, at basic prices</v>
          </cell>
          <cell r="F4204">
            <v>12</v>
          </cell>
          <cell r="G4204">
            <v>1985</v>
          </cell>
          <cell r="H4204">
            <v>10</v>
          </cell>
          <cell r="I4204">
            <v>14331000000</v>
          </cell>
        </row>
        <row r="4205">
          <cell r="A4205" t="str">
            <v>El Salvador</v>
          </cell>
          <cell r="B4205">
            <v>222</v>
          </cell>
          <cell r="C4205">
            <v>203</v>
          </cell>
          <cell r="D4205">
            <v>3</v>
          </cell>
          <cell r="E4205" t="str">
            <v>Equals: VALUE ADDED, GROSS, at basic prices</v>
          </cell>
          <cell r="F4205">
            <v>12</v>
          </cell>
          <cell r="G4205">
            <v>1986</v>
          </cell>
          <cell r="H4205">
            <v>10</v>
          </cell>
          <cell r="I4205">
            <v>19763000000</v>
          </cell>
        </row>
        <row r="4206">
          <cell r="A4206" t="str">
            <v>El Salvador</v>
          </cell>
          <cell r="B4206">
            <v>222</v>
          </cell>
          <cell r="C4206">
            <v>203</v>
          </cell>
          <cell r="D4206">
            <v>3</v>
          </cell>
          <cell r="E4206" t="str">
            <v>Equals: VALUE ADDED, GROSS, at basic prices</v>
          </cell>
          <cell r="F4206">
            <v>12</v>
          </cell>
          <cell r="G4206">
            <v>1987</v>
          </cell>
          <cell r="H4206">
            <v>10</v>
          </cell>
          <cell r="I4206">
            <v>23141000000</v>
          </cell>
        </row>
        <row r="4207">
          <cell r="A4207" t="str">
            <v>El Salvador</v>
          </cell>
          <cell r="B4207">
            <v>222</v>
          </cell>
          <cell r="C4207">
            <v>203</v>
          </cell>
          <cell r="D4207">
            <v>3</v>
          </cell>
          <cell r="E4207" t="str">
            <v>Equals: VALUE ADDED, GROSS, at basic prices</v>
          </cell>
          <cell r="F4207">
            <v>12</v>
          </cell>
          <cell r="G4207">
            <v>1988</v>
          </cell>
          <cell r="H4207">
            <v>10</v>
          </cell>
          <cell r="I4207">
            <v>27366000000</v>
          </cell>
        </row>
        <row r="4208">
          <cell r="A4208" t="str">
            <v>El Salvador</v>
          </cell>
          <cell r="B4208">
            <v>222</v>
          </cell>
          <cell r="C4208">
            <v>203</v>
          </cell>
          <cell r="D4208">
            <v>3</v>
          </cell>
          <cell r="E4208" t="str">
            <v>Equals: VALUE ADDED, GROSS, at basic prices</v>
          </cell>
          <cell r="F4208">
            <v>12</v>
          </cell>
          <cell r="G4208">
            <v>1989</v>
          </cell>
          <cell r="H4208">
            <v>10</v>
          </cell>
          <cell r="I4208">
            <v>32230000000</v>
          </cell>
        </row>
        <row r="4209">
          <cell r="A4209" t="str">
            <v>El Salvador</v>
          </cell>
          <cell r="B4209">
            <v>222</v>
          </cell>
          <cell r="C4209">
            <v>203</v>
          </cell>
          <cell r="D4209">
            <v>3</v>
          </cell>
          <cell r="E4209" t="str">
            <v>Equals: VALUE ADDED, GROSS, at basic prices</v>
          </cell>
          <cell r="F4209">
            <v>12</v>
          </cell>
          <cell r="G4209">
            <v>1990</v>
          </cell>
          <cell r="H4209">
            <v>10</v>
          </cell>
          <cell r="I4209">
            <v>35815000000</v>
          </cell>
        </row>
        <row r="4210">
          <cell r="A4210" t="str">
            <v>El Salvador</v>
          </cell>
          <cell r="B4210">
            <v>222</v>
          </cell>
          <cell r="C4210">
            <v>203</v>
          </cell>
          <cell r="D4210">
            <v>3</v>
          </cell>
          <cell r="E4210" t="str">
            <v>Equals: VALUE ADDED, GROSS, at basic prices</v>
          </cell>
          <cell r="F4210">
            <v>12</v>
          </cell>
          <cell r="G4210">
            <v>1991</v>
          </cell>
          <cell r="H4210">
            <v>10</v>
          </cell>
          <cell r="I4210">
            <v>41622000000</v>
          </cell>
        </row>
        <row r="4211">
          <cell r="A4211" t="str">
            <v>El Salvador</v>
          </cell>
          <cell r="B4211">
            <v>222</v>
          </cell>
          <cell r="C4211">
            <v>203</v>
          </cell>
          <cell r="D4211">
            <v>3</v>
          </cell>
          <cell r="E4211" t="str">
            <v>Equals: VALUE ADDED, GROSS, at basic prices</v>
          </cell>
          <cell r="F4211">
            <v>12</v>
          </cell>
          <cell r="G4211">
            <v>1992</v>
          </cell>
          <cell r="H4211">
            <v>10</v>
          </cell>
          <cell r="I4211">
            <v>48678000000</v>
          </cell>
        </row>
        <row r="4212">
          <cell r="A4212" t="str">
            <v>El Salvador</v>
          </cell>
          <cell r="B4212">
            <v>222</v>
          </cell>
          <cell r="C4212">
            <v>203</v>
          </cell>
          <cell r="D4212">
            <v>3</v>
          </cell>
          <cell r="E4212" t="str">
            <v>Equals: VALUE ADDED, GROSS, at basic prices</v>
          </cell>
          <cell r="F4212">
            <v>12</v>
          </cell>
          <cell r="G4212">
            <v>1993</v>
          </cell>
          <cell r="H4212">
            <v>10</v>
          </cell>
          <cell r="I4212">
            <v>56497000000</v>
          </cell>
        </row>
        <row r="4213">
          <cell r="A4213" t="str">
            <v>El Salvador</v>
          </cell>
          <cell r="B4213">
            <v>222</v>
          </cell>
          <cell r="C4213">
            <v>203</v>
          </cell>
          <cell r="D4213">
            <v>3</v>
          </cell>
          <cell r="E4213" t="str">
            <v>Equals: VALUE ADDED, GROSS, at basic prices</v>
          </cell>
          <cell r="F4213">
            <v>12</v>
          </cell>
          <cell r="G4213">
            <v>1994</v>
          </cell>
          <cell r="H4213">
            <v>10</v>
          </cell>
          <cell r="I4213">
            <v>66023000000</v>
          </cell>
        </row>
        <row r="4214">
          <cell r="A4214" t="str">
            <v>El Salvador</v>
          </cell>
          <cell r="B4214">
            <v>222</v>
          </cell>
          <cell r="C4214">
            <v>203</v>
          </cell>
          <cell r="D4214">
            <v>3</v>
          </cell>
          <cell r="E4214" t="str">
            <v>Equals: VALUE ADDED, GROSS, at basic prices</v>
          </cell>
          <cell r="F4214">
            <v>12</v>
          </cell>
          <cell r="G4214">
            <v>1995</v>
          </cell>
          <cell r="H4214">
            <v>10</v>
          </cell>
          <cell r="I4214">
            <v>76773000000</v>
          </cell>
        </row>
        <row r="4215">
          <cell r="A4215" t="str">
            <v>El Salvador</v>
          </cell>
          <cell r="B4215">
            <v>222</v>
          </cell>
          <cell r="C4215">
            <v>203</v>
          </cell>
          <cell r="D4215">
            <v>3</v>
          </cell>
          <cell r="E4215" t="str">
            <v>Equals: VALUE ADDED, GROSS, at basic prices</v>
          </cell>
          <cell r="F4215">
            <v>12</v>
          </cell>
          <cell r="G4215">
            <v>1996</v>
          </cell>
          <cell r="H4215">
            <v>10</v>
          </cell>
          <cell r="I4215">
            <v>83543000000</v>
          </cell>
        </row>
        <row r="4216">
          <cell r="A4216" t="str">
            <v>El Salvador</v>
          </cell>
          <cell r="B4216">
            <v>222</v>
          </cell>
          <cell r="C4216">
            <v>203</v>
          </cell>
          <cell r="D4216">
            <v>3</v>
          </cell>
          <cell r="E4216" t="str">
            <v>Equals: VALUE ADDED, GROSS, at basic prices</v>
          </cell>
          <cell r="F4216">
            <v>12</v>
          </cell>
          <cell r="G4216">
            <v>1997</v>
          </cell>
          <cell r="H4216">
            <v>10</v>
          </cell>
          <cell r="I4216">
            <v>90928000000</v>
          </cell>
        </row>
        <row r="4217">
          <cell r="A4217" t="str">
            <v>El Salvador</v>
          </cell>
          <cell r="B4217">
            <v>222</v>
          </cell>
          <cell r="C4217">
            <v>203</v>
          </cell>
          <cell r="D4217">
            <v>3</v>
          </cell>
          <cell r="E4217" t="str">
            <v>Equals: VALUE ADDED, GROSS, at basic prices</v>
          </cell>
          <cell r="F4217">
            <v>12</v>
          </cell>
          <cell r="G4217">
            <v>1998</v>
          </cell>
          <cell r="H4217">
            <v>10</v>
          </cell>
          <cell r="I4217">
            <v>98114000000</v>
          </cell>
        </row>
        <row r="4218">
          <cell r="A4218" t="str">
            <v>El Salvador</v>
          </cell>
          <cell r="B4218">
            <v>222</v>
          </cell>
          <cell r="C4218">
            <v>203</v>
          </cell>
          <cell r="D4218">
            <v>3</v>
          </cell>
          <cell r="E4218" t="str">
            <v>Equals: VALUE ADDED, GROSS, at basic prices</v>
          </cell>
          <cell r="F4218">
            <v>12</v>
          </cell>
          <cell r="G4218">
            <v>1999</v>
          </cell>
          <cell r="H4218">
            <v>10</v>
          </cell>
          <cell r="I4218">
            <v>101973000000</v>
          </cell>
        </row>
        <row r="4219">
          <cell r="A4219" t="str">
            <v>El Salvador</v>
          </cell>
          <cell r="B4219">
            <v>222</v>
          </cell>
          <cell r="C4219">
            <v>203</v>
          </cell>
          <cell r="D4219">
            <v>3</v>
          </cell>
          <cell r="E4219" t="str">
            <v>Equals: VALUE ADDED, GROSS, at basic prices</v>
          </cell>
          <cell r="F4219">
            <v>12</v>
          </cell>
          <cell r="G4219">
            <v>2000</v>
          </cell>
          <cell r="H4219">
            <v>10</v>
          </cell>
          <cell r="I4219">
            <v>107382000000</v>
          </cell>
        </row>
        <row r="4220">
          <cell r="A4220" t="str">
            <v>El Salvador</v>
          </cell>
          <cell r="B4220">
            <v>222</v>
          </cell>
          <cell r="C4220">
            <v>203</v>
          </cell>
          <cell r="D4220">
            <v>3</v>
          </cell>
          <cell r="E4220" t="str">
            <v>Equals: VALUE ADDED, GROSS, at basic prices</v>
          </cell>
          <cell r="F4220">
            <v>12</v>
          </cell>
          <cell r="G4220">
            <v>2001</v>
          </cell>
          <cell r="H4220">
            <v>10</v>
          </cell>
          <cell r="I4220">
            <v>112519000000</v>
          </cell>
        </row>
        <row r="4221">
          <cell r="A4221" t="str">
            <v>El Salvador</v>
          </cell>
          <cell r="B4221">
            <v>222</v>
          </cell>
          <cell r="C4221">
            <v>203</v>
          </cell>
          <cell r="D4221">
            <v>3</v>
          </cell>
          <cell r="E4221" t="str">
            <v>Equals: VALUE ADDED, GROSS, at basic prices</v>
          </cell>
          <cell r="F4221">
            <v>12</v>
          </cell>
          <cell r="G4221">
            <v>2002</v>
          </cell>
          <cell r="H4221">
            <v>10</v>
          </cell>
          <cell r="I4221">
            <v>116658000000</v>
          </cell>
        </row>
        <row r="4222">
          <cell r="A4222" t="str">
            <v>El Salvador</v>
          </cell>
          <cell r="B4222">
            <v>222</v>
          </cell>
          <cell r="C4222">
            <v>203</v>
          </cell>
          <cell r="D4222">
            <v>3</v>
          </cell>
          <cell r="E4222" t="str">
            <v>Equals: VALUE ADDED, GROSS, at basic prices</v>
          </cell>
          <cell r="F4222">
            <v>12</v>
          </cell>
          <cell r="G4222">
            <v>2003</v>
          </cell>
          <cell r="H4222">
            <v>10</v>
          </cell>
          <cell r="I4222">
            <v>121289000000</v>
          </cell>
        </row>
        <row r="4223">
          <cell r="A4223" t="str">
            <v>Brazil</v>
          </cell>
          <cell r="B4223">
            <v>76</v>
          </cell>
          <cell r="C4223">
            <v>203</v>
          </cell>
          <cell r="D4223">
            <v>22</v>
          </cell>
          <cell r="E4223" t="str">
            <v>Taxes on production and imports, less Subsidies</v>
          </cell>
          <cell r="F4223">
            <v>12</v>
          </cell>
          <cell r="G4223">
            <v>1992</v>
          </cell>
          <cell r="H4223">
            <v>200</v>
          </cell>
          <cell r="I4223">
            <v>2000000</v>
          </cell>
        </row>
        <row r="4224">
          <cell r="A4224" t="str">
            <v>Brazil</v>
          </cell>
          <cell r="B4224">
            <v>76</v>
          </cell>
          <cell r="C4224">
            <v>203</v>
          </cell>
          <cell r="D4224">
            <v>22</v>
          </cell>
          <cell r="E4224" t="str">
            <v>Taxes on production and imports, less Subsidies</v>
          </cell>
          <cell r="F4224">
            <v>12</v>
          </cell>
          <cell r="G4224">
            <v>1993</v>
          </cell>
          <cell r="H4224">
            <v>200</v>
          </cell>
          <cell r="I4224">
            <v>397000000</v>
          </cell>
        </row>
        <row r="4225">
          <cell r="A4225" t="str">
            <v>Brazil</v>
          </cell>
          <cell r="B4225">
            <v>76</v>
          </cell>
          <cell r="C4225">
            <v>203</v>
          </cell>
          <cell r="D4225">
            <v>22</v>
          </cell>
          <cell r="E4225" t="str">
            <v>Taxes on production and imports, less Subsidies</v>
          </cell>
          <cell r="F4225">
            <v>12</v>
          </cell>
          <cell r="G4225">
            <v>1994</v>
          </cell>
          <cell r="H4225">
            <v>200</v>
          </cell>
          <cell r="I4225">
            <v>15111000000</v>
          </cell>
        </row>
        <row r="4226">
          <cell r="A4226" t="str">
            <v>Brazil</v>
          </cell>
          <cell r="B4226">
            <v>76</v>
          </cell>
          <cell r="C4226">
            <v>203</v>
          </cell>
          <cell r="D4226">
            <v>22</v>
          </cell>
          <cell r="E4226" t="str">
            <v>Taxes on production and imports, less Subsidies</v>
          </cell>
          <cell r="F4226">
            <v>12</v>
          </cell>
          <cell r="G4226">
            <v>1995</v>
          </cell>
          <cell r="H4226">
            <v>200</v>
          </cell>
          <cell r="I4226">
            <v>26167000000</v>
          </cell>
        </row>
        <row r="4227">
          <cell r="A4227" t="str">
            <v>Brazil</v>
          </cell>
          <cell r="B4227">
            <v>76</v>
          </cell>
          <cell r="C4227">
            <v>203</v>
          </cell>
          <cell r="D4227">
            <v>22</v>
          </cell>
          <cell r="E4227" t="str">
            <v>Taxes on production and imports, less Subsidies</v>
          </cell>
          <cell r="F4227">
            <v>12</v>
          </cell>
          <cell r="G4227">
            <v>1996</v>
          </cell>
          <cell r="H4227">
            <v>200</v>
          </cell>
          <cell r="I4227">
            <v>31316000000</v>
          </cell>
        </row>
        <row r="4228">
          <cell r="A4228" t="str">
            <v>Brazil</v>
          </cell>
          <cell r="B4228">
            <v>76</v>
          </cell>
          <cell r="C4228">
            <v>203</v>
          </cell>
          <cell r="D4228">
            <v>22</v>
          </cell>
          <cell r="E4228" t="str">
            <v>Taxes on production and imports, less Subsidies</v>
          </cell>
          <cell r="F4228">
            <v>12</v>
          </cell>
          <cell r="G4228">
            <v>1997</v>
          </cell>
          <cell r="H4228">
            <v>200</v>
          </cell>
          <cell r="I4228">
            <v>33251000000</v>
          </cell>
        </row>
        <row r="4229">
          <cell r="A4229" t="str">
            <v>Brazil</v>
          </cell>
          <cell r="B4229">
            <v>76</v>
          </cell>
          <cell r="C4229">
            <v>203</v>
          </cell>
          <cell r="D4229">
            <v>22</v>
          </cell>
          <cell r="E4229" t="str">
            <v>Taxes on production and imports, less Subsidies</v>
          </cell>
          <cell r="F4229">
            <v>12</v>
          </cell>
          <cell r="G4229">
            <v>1998</v>
          </cell>
          <cell r="H4229">
            <v>200</v>
          </cell>
          <cell r="I4229">
            <v>34400000000</v>
          </cell>
        </row>
        <row r="4230">
          <cell r="A4230" t="str">
            <v>Brazil</v>
          </cell>
          <cell r="B4230">
            <v>76</v>
          </cell>
          <cell r="C4230">
            <v>203</v>
          </cell>
          <cell r="D4230">
            <v>22</v>
          </cell>
          <cell r="E4230" t="str">
            <v>Taxes on production and imports, less Subsidies</v>
          </cell>
          <cell r="F4230">
            <v>12</v>
          </cell>
          <cell r="G4230">
            <v>1999</v>
          </cell>
          <cell r="H4230">
            <v>200</v>
          </cell>
          <cell r="I4230">
            <v>49002000000</v>
          </cell>
        </row>
        <row r="4231">
          <cell r="A4231" t="str">
            <v>Brazil</v>
          </cell>
          <cell r="B4231">
            <v>76</v>
          </cell>
          <cell r="C4231">
            <v>203</v>
          </cell>
          <cell r="D4231">
            <v>22</v>
          </cell>
          <cell r="E4231" t="str">
            <v>Taxes on production and imports, less Subsidies</v>
          </cell>
          <cell r="F4231">
            <v>12</v>
          </cell>
          <cell r="G4231">
            <v>2000</v>
          </cell>
          <cell r="H4231">
            <v>200</v>
          </cell>
          <cell r="I4231">
            <v>58681000000</v>
          </cell>
        </row>
        <row r="4232">
          <cell r="A4232" t="str">
            <v>El Salvador</v>
          </cell>
          <cell r="B4232">
            <v>222</v>
          </cell>
          <cell r="C4232">
            <v>203</v>
          </cell>
          <cell r="D4232">
            <v>22</v>
          </cell>
          <cell r="E4232" t="str">
            <v>Taxes on production and imports, less Subsidies</v>
          </cell>
          <cell r="F4232">
            <v>12</v>
          </cell>
          <cell r="G4232">
            <v>1995</v>
          </cell>
          <cell r="H4232">
            <v>10</v>
          </cell>
          <cell r="I4232">
            <v>6356000000</v>
          </cell>
        </row>
        <row r="4233">
          <cell r="A4233" t="str">
            <v>El Salvador</v>
          </cell>
          <cell r="B4233">
            <v>222</v>
          </cell>
          <cell r="C4233">
            <v>203</v>
          </cell>
          <cell r="D4233">
            <v>22</v>
          </cell>
          <cell r="E4233" t="str">
            <v>Taxes on production and imports, less Subsidies</v>
          </cell>
          <cell r="F4233">
            <v>12</v>
          </cell>
          <cell r="G4233">
            <v>1996</v>
          </cell>
          <cell r="H4233">
            <v>10</v>
          </cell>
          <cell r="I4233">
            <v>6718000000</v>
          </cell>
        </row>
        <row r="4234">
          <cell r="A4234" t="str">
            <v>El Salvador</v>
          </cell>
          <cell r="B4234">
            <v>222</v>
          </cell>
          <cell r="C4234">
            <v>203</v>
          </cell>
          <cell r="D4234">
            <v>22</v>
          </cell>
          <cell r="E4234" t="str">
            <v>Taxes on production and imports, less Subsidies</v>
          </cell>
          <cell r="F4234">
            <v>12</v>
          </cell>
          <cell r="G4234">
            <v>1997</v>
          </cell>
          <cell r="H4234">
            <v>10</v>
          </cell>
          <cell r="I4234">
            <v>6500000000</v>
          </cell>
        </row>
        <row r="4235">
          <cell r="A4235" t="str">
            <v>El Salvador</v>
          </cell>
          <cell r="B4235">
            <v>222</v>
          </cell>
          <cell r="C4235">
            <v>203</v>
          </cell>
          <cell r="D4235">
            <v>22</v>
          </cell>
          <cell r="E4235" t="str">
            <v>Taxes on production and imports, less Subsidies</v>
          </cell>
          <cell r="F4235">
            <v>12</v>
          </cell>
          <cell r="G4235">
            <v>1998</v>
          </cell>
          <cell r="H4235">
            <v>10</v>
          </cell>
          <cell r="I4235">
            <v>6960000000</v>
          </cell>
        </row>
        <row r="4236">
          <cell r="A4236" t="str">
            <v>El Salvador</v>
          </cell>
          <cell r="B4236">
            <v>222</v>
          </cell>
          <cell r="C4236">
            <v>203</v>
          </cell>
          <cell r="D4236">
            <v>22</v>
          </cell>
          <cell r="E4236" t="str">
            <v>Taxes on production and imports, less Subsidies</v>
          </cell>
          <cell r="F4236">
            <v>12</v>
          </cell>
          <cell r="G4236">
            <v>1999</v>
          </cell>
          <cell r="H4236">
            <v>10</v>
          </cell>
          <cell r="I4236">
            <v>7092000000</v>
          </cell>
        </row>
        <row r="4237">
          <cell r="A4237" t="str">
            <v>El Salvador</v>
          </cell>
          <cell r="B4237">
            <v>222</v>
          </cell>
          <cell r="C4237">
            <v>203</v>
          </cell>
          <cell r="D4237">
            <v>22</v>
          </cell>
          <cell r="E4237" t="str">
            <v>Taxes on production and imports, less Subsidies</v>
          </cell>
          <cell r="F4237">
            <v>12</v>
          </cell>
          <cell r="G4237">
            <v>2000</v>
          </cell>
          <cell r="H4237">
            <v>10</v>
          </cell>
          <cell r="I4237">
            <v>7542000000</v>
          </cell>
        </row>
        <row r="4238">
          <cell r="A4238" t="str">
            <v>El Salvador</v>
          </cell>
          <cell r="B4238">
            <v>222</v>
          </cell>
          <cell r="C4238">
            <v>203</v>
          </cell>
          <cell r="D4238">
            <v>22</v>
          </cell>
          <cell r="E4238" t="str">
            <v>Taxes on production and imports, less Subsidies</v>
          </cell>
          <cell r="F4238">
            <v>12</v>
          </cell>
          <cell r="G4238">
            <v>2001</v>
          </cell>
          <cell r="H4238">
            <v>10</v>
          </cell>
          <cell r="I4238">
            <v>8342000000</v>
          </cell>
        </row>
        <row r="4239">
          <cell r="A4239" t="str">
            <v>El Salvador</v>
          </cell>
          <cell r="B4239">
            <v>222</v>
          </cell>
          <cell r="C4239">
            <v>203</v>
          </cell>
          <cell r="D4239">
            <v>22</v>
          </cell>
          <cell r="E4239" t="str">
            <v>Taxes on production and imports, less Subsidies</v>
          </cell>
          <cell r="F4239">
            <v>12</v>
          </cell>
          <cell r="G4239">
            <v>2002</v>
          </cell>
          <cell r="H4239">
            <v>10</v>
          </cell>
          <cell r="I4239">
            <v>8571000000</v>
          </cell>
        </row>
        <row r="4240">
          <cell r="A4240" t="str">
            <v>El Salvador</v>
          </cell>
          <cell r="B4240">
            <v>222</v>
          </cell>
          <cell r="C4240">
            <v>203</v>
          </cell>
          <cell r="D4240">
            <v>22</v>
          </cell>
          <cell r="E4240" t="str">
            <v>Taxes on production and imports, less Subsidies</v>
          </cell>
          <cell r="F4240">
            <v>12</v>
          </cell>
          <cell r="G4240">
            <v>2003</v>
          </cell>
          <cell r="H4240">
            <v>10</v>
          </cell>
          <cell r="I4240">
            <v>9445000000</v>
          </cell>
        </row>
        <row r="4241">
          <cell r="A4241" t="str">
            <v>Algeria</v>
          </cell>
          <cell r="B4241">
            <v>12</v>
          </cell>
          <cell r="C4241">
            <v>201</v>
          </cell>
          <cell r="D4241">
            <v>13</v>
          </cell>
          <cell r="E4241" t="str">
            <v>Less: Financial intermediation services indirectly measured (FISIM) (only to be deducted if FISIM is not distributed to uses)</v>
          </cell>
          <cell r="F4241">
            <v>0</v>
          </cell>
          <cell r="G4241">
            <v>1970</v>
          </cell>
          <cell r="H4241">
            <v>10</v>
          </cell>
          <cell r="I4241">
            <v>243000000</v>
          </cell>
        </row>
        <row r="4242">
          <cell r="A4242" t="str">
            <v>Algeria</v>
          </cell>
          <cell r="B4242">
            <v>12</v>
          </cell>
          <cell r="C4242">
            <v>201</v>
          </cell>
          <cell r="D4242">
            <v>13</v>
          </cell>
          <cell r="E4242" t="str">
            <v>Less: Financial intermediation services indirectly measured (FISIM) (only to be deducted if FISIM is not distributed to uses)</v>
          </cell>
          <cell r="F4242">
            <v>0</v>
          </cell>
          <cell r="G4242">
            <v>1971</v>
          </cell>
          <cell r="H4242">
            <v>10</v>
          </cell>
          <cell r="I4242">
            <v>260000000</v>
          </cell>
        </row>
        <row r="4243">
          <cell r="A4243" t="str">
            <v>Algeria</v>
          </cell>
          <cell r="B4243">
            <v>12</v>
          </cell>
          <cell r="C4243">
            <v>201</v>
          </cell>
          <cell r="D4243">
            <v>13</v>
          </cell>
          <cell r="E4243" t="str">
            <v>Less: Financial intermediation services indirectly measured (FISIM) (only to be deducted if FISIM is not distributed to uses)</v>
          </cell>
          <cell r="F4243">
            <v>0</v>
          </cell>
          <cell r="G4243">
            <v>1973</v>
          </cell>
          <cell r="H4243">
            <v>10</v>
          </cell>
          <cell r="I4243">
            <v>431000000</v>
          </cell>
        </row>
        <row r="4244">
          <cell r="A4244" t="str">
            <v>Algeria</v>
          </cell>
          <cell r="B4244">
            <v>12</v>
          </cell>
          <cell r="C4244">
            <v>201</v>
          </cell>
          <cell r="D4244">
            <v>13</v>
          </cell>
          <cell r="E4244" t="str">
            <v>Less: Financial intermediation services indirectly measured (FISIM) (only to be deducted if FISIM is not distributed to uses)</v>
          </cell>
          <cell r="F4244">
            <v>0</v>
          </cell>
          <cell r="G4244">
            <v>1974</v>
          </cell>
          <cell r="H4244">
            <v>10</v>
          </cell>
          <cell r="I4244">
            <v>630000000</v>
          </cell>
        </row>
        <row r="4245">
          <cell r="A4245" t="str">
            <v>Algeria</v>
          </cell>
          <cell r="B4245">
            <v>12</v>
          </cell>
          <cell r="C4245">
            <v>201</v>
          </cell>
          <cell r="D4245">
            <v>13</v>
          </cell>
          <cell r="E4245" t="str">
            <v>Less: Financial intermediation services indirectly measured (FISIM) (only to be deducted if FISIM is not distributed to uses)</v>
          </cell>
          <cell r="F4245">
            <v>0</v>
          </cell>
          <cell r="G4245">
            <v>1975</v>
          </cell>
          <cell r="H4245">
            <v>10</v>
          </cell>
          <cell r="I4245">
            <v>877000000</v>
          </cell>
        </row>
        <row r="4246">
          <cell r="A4246" t="str">
            <v>Algeria</v>
          </cell>
          <cell r="B4246">
            <v>12</v>
          </cell>
          <cell r="C4246">
            <v>201</v>
          </cell>
          <cell r="D4246">
            <v>13</v>
          </cell>
          <cell r="E4246" t="str">
            <v>Less: Financial intermediation services indirectly measured (FISIM) (only to be deducted if FISIM is not distributed to uses)</v>
          </cell>
          <cell r="F4246">
            <v>0</v>
          </cell>
          <cell r="G4246">
            <v>1976</v>
          </cell>
          <cell r="H4246">
            <v>10</v>
          </cell>
          <cell r="I4246">
            <v>1142000000</v>
          </cell>
        </row>
        <row r="4247">
          <cell r="A4247" t="str">
            <v>Algeria</v>
          </cell>
          <cell r="B4247">
            <v>12</v>
          </cell>
          <cell r="C4247">
            <v>201</v>
          </cell>
          <cell r="D4247">
            <v>13</v>
          </cell>
          <cell r="E4247" t="str">
            <v>Less: Financial intermediation services indirectly measured (FISIM) (only to be deducted if FISIM is not distributed to uses)</v>
          </cell>
          <cell r="F4247">
            <v>0</v>
          </cell>
          <cell r="G4247">
            <v>1977</v>
          </cell>
          <cell r="H4247">
            <v>10</v>
          </cell>
          <cell r="I4247">
            <v>1359000000</v>
          </cell>
        </row>
        <row r="4248">
          <cell r="A4248" t="str">
            <v>Algeria</v>
          </cell>
          <cell r="B4248">
            <v>12</v>
          </cell>
          <cell r="C4248">
            <v>201</v>
          </cell>
          <cell r="D4248">
            <v>13</v>
          </cell>
          <cell r="E4248" t="str">
            <v>Less: Financial intermediation services indirectly measured (FISIM) (only to be deducted if FISIM is not distributed to uses)</v>
          </cell>
          <cell r="F4248">
            <v>0</v>
          </cell>
          <cell r="G4248">
            <v>1978</v>
          </cell>
          <cell r="H4248">
            <v>10</v>
          </cell>
          <cell r="I4248">
            <v>1272000000</v>
          </cell>
        </row>
        <row r="4249">
          <cell r="A4249" t="str">
            <v>Algeria</v>
          </cell>
          <cell r="B4249">
            <v>12</v>
          </cell>
          <cell r="C4249">
            <v>201</v>
          </cell>
          <cell r="D4249">
            <v>13</v>
          </cell>
          <cell r="E4249" t="str">
            <v>Less: Financial intermediation services indirectly measured (FISIM) (only to be deducted if FISIM is not distributed to uses)</v>
          </cell>
          <cell r="F4249">
            <v>0</v>
          </cell>
          <cell r="G4249">
            <v>1989</v>
          </cell>
          <cell r="H4249">
            <v>20</v>
          </cell>
          <cell r="I4249">
            <v>11707800000</v>
          </cell>
        </row>
        <row r="4250">
          <cell r="A4250" t="str">
            <v>Algeria</v>
          </cell>
          <cell r="B4250">
            <v>12</v>
          </cell>
          <cell r="C4250">
            <v>201</v>
          </cell>
          <cell r="D4250">
            <v>13</v>
          </cell>
          <cell r="E4250" t="str">
            <v>Less: Financial intermediation services indirectly measured (FISIM) (only to be deducted if FISIM is not distributed to uses)</v>
          </cell>
          <cell r="F4250">
            <v>0</v>
          </cell>
          <cell r="G4250">
            <v>1990</v>
          </cell>
          <cell r="H4250">
            <v>20</v>
          </cell>
          <cell r="I4250">
            <v>15298300000</v>
          </cell>
        </row>
        <row r="4251">
          <cell r="A4251" t="str">
            <v>Algeria</v>
          </cell>
          <cell r="B4251">
            <v>12</v>
          </cell>
          <cell r="C4251">
            <v>201</v>
          </cell>
          <cell r="D4251">
            <v>13</v>
          </cell>
          <cell r="E4251" t="str">
            <v>Less: Financial intermediation services indirectly measured (FISIM) (only to be deducted if FISIM is not distributed to uses)</v>
          </cell>
          <cell r="F4251">
            <v>0</v>
          </cell>
          <cell r="G4251">
            <v>1991</v>
          </cell>
          <cell r="H4251">
            <v>20</v>
          </cell>
          <cell r="I4251">
            <v>14106600000</v>
          </cell>
        </row>
        <row r="4252">
          <cell r="A4252" t="str">
            <v>Algeria</v>
          </cell>
          <cell r="B4252">
            <v>12</v>
          </cell>
          <cell r="C4252">
            <v>201</v>
          </cell>
          <cell r="D4252">
            <v>13</v>
          </cell>
          <cell r="E4252" t="str">
            <v>Less: Financial intermediation services indirectly measured (FISIM) (only to be deducted if FISIM is not distributed to uses)</v>
          </cell>
          <cell r="F4252">
            <v>0</v>
          </cell>
          <cell r="G4252">
            <v>1992</v>
          </cell>
          <cell r="H4252">
            <v>20</v>
          </cell>
          <cell r="I4252">
            <v>29757000000</v>
          </cell>
        </row>
        <row r="4253">
          <cell r="A4253" t="str">
            <v>Algeria</v>
          </cell>
          <cell r="B4253">
            <v>12</v>
          </cell>
          <cell r="C4253">
            <v>201</v>
          </cell>
          <cell r="D4253">
            <v>13</v>
          </cell>
          <cell r="E4253" t="str">
            <v>Less: Financial intermediation services indirectly measured (FISIM) (only to be deducted if FISIM is not distributed to uses)</v>
          </cell>
          <cell r="F4253">
            <v>0</v>
          </cell>
          <cell r="G4253">
            <v>1993</v>
          </cell>
          <cell r="H4253">
            <v>20</v>
          </cell>
          <cell r="I4253">
            <v>27299000000</v>
          </cell>
        </row>
        <row r="4254">
          <cell r="A4254" t="str">
            <v>Algeria</v>
          </cell>
          <cell r="B4254">
            <v>12</v>
          </cell>
          <cell r="C4254">
            <v>201</v>
          </cell>
          <cell r="D4254">
            <v>13</v>
          </cell>
          <cell r="E4254" t="str">
            <v>Less: Financial intermediation services indirectly measured (FISIM) (only to be deducted if FISIM is not distributed to uses)</v>
          </cell>
          <cell r="F4254">
            <v>0</v>
          </cell>
          <cell r="G4254">
            <v>1994</v>
          </cell>
          <cell r="H4254">
            <v>20</v>
          </cell>
          <cell r="I4254">
            <v>36708000000</v>
          </cell>
        </row>
        <row r="4255">
          <cell r="A4255" t="str">
            <v>Algeria</v>
          </cell>
          <cell r="B4255">
            <v>12</v>
          </cell>
          <cell r="C4255">
            <v>201</v>
          </cell>
          <cell r="D4255">
            <v>13</v>
          </cell>
          <cell r="E4255" t="str">
            <v>Less: Financial intermediation services indirectly measured (FISIM) (only to be deducted if FISIM is not distributed to uses)</v>
          </cell>
          <cell r="F4255">
            <v>0</v>
          </cell>
          <cell r="G4255">
            <v>1995</v>
          </cell>
          <cell r="H4255">
            <v>20</v>
          </cell>
          <cell r="I4255">
            <v>54574000000</v>
          </cell>
        </row>
        <row r="4256">
          <cell r="A4256" t="str">
            <v>Algeria</v>
          </cell>
          <cell r="B4256">
            <v>12</v>
          </cell>
          <cell r="C4256">
            <v>201</v>
          </cell>
          <cell r="D4256">
            <v>13</v>
          </cell>
          <cell r="E4256" t="str">
            <v>Less: Financial intermediation services indirectly measured (FISIM) (only to be deducted if FISIM is not distributed to uses)</v>
          </cell>
          <cell r="F4256">
            <v>0</v>
          </cell>
          <cell r="G4256">
            <v>1996</v>
          </cell>
          <cell r="H4256">
            <v>20</v>
          </cell>
          <cell r="I4256">
            <v>77768000000</v>
          </cell>
        </row>
        <row r="4257">
          <cell r="A4257" t="str">
            <v>Algeria</v>
          </cell>
          <cell r="B4257">
            <v>12</v>
          </cell>
          <cell r="C4257">
            <v>201</v>
          </cell>
          <cell r="D4257">
            <v>13</v>
          </cell>
          <cell r="E4257" t="str">
            <v>Less: Financial intermediation services indirectly measured (FISIM) (only to be deducted if FISIM is not distributed to uses)</v>
          </cell>
          <cell r="F4257">
            <v>0</v>
          </cell>
          <cell r="G4257">
            <v>1997</v>
          </cell>
          <cell r="H4257">
            <v>20</v>
          </cell>
          <cell r="I4257">
            <v>35408000000</v>
          </cell>
        </row>
        <row r="4258">
          <cell r="A4258" t="str">
            <v>Algeria</v>
          </cell>
          <cell r="B4258">
            <v>12</v>
          </cell>
          <cell r="C4258">
            <v>201</v>
          </cell>
          <cell r="D4258">
            <v>13</v>
          </cell>
          <cell r="E4258" t="str">
            <v>Less: Financial intermediation services indirectly measured (FISIM) (only to be deducted if FISIM is not distributed to uses)</v>
          </cell>
          <cell r="F4258">
            <v>0</v>
          </cell>
          <cell r="G4258">
            <v>1998</v>
          </cell>
          <cell r="H4258">
            <v>20</v>
          </cell>
          <cell r="I4258">
            <v>38825000000</v>
          </cell>
        </row>
        <row r="4259">
          <cell r="A4259" t="str">
            <v>Algeria</v>
          </cell>
          <cell r="B4259">
            <v>12</v>
          </cell>
          <cell r="C4259">
            <v>201</v>
          </cell>
          <cell r="D4259">
            <v>13</v>
          </cell>
          <cell r="E4259" t="str">
            <v>Less: Financial intermediation services indirectly measured (FISIM) (only to be deducted if FISIM is not distributed to uses)</v>
          </cell>
          <cell r="F4259">
            <v>0</v>
          </cell>
          <cell r="G4259">
            <v>1999</v>
          </cell>
          <cell r="H4259">
            <v>20</v>
          </cell>
          <cell r="I4259">
            <v>42571000000</v>
          </cell>
        </row>
        <row r="4260">
          <cell r="A4260" t="str">
            <v>Algeria</v>
          </cell>
          <cell r="B4260">
            <v>12</v>
          </cell>
          <cell r="C4260">
            <v>201</v>
          </cell>
          <cell r="D4260">
            <v>13</v>
          </cell>
          <cell r="E4260" t="str">
            <v>Less: Financial intermediation services indirectly measured (FISIM) (only to be deducted if FISIM is not distributed to uses)</v>
          </cell>
          <cell r="F4260">
            <v>0</v>
          </cell>
          <cell r="G4260">
            <v>2000</v>
          </cell>
          <cell r="H4260">
            <v>20</v>
          </cell>
          <cell r="I4260">
            <v>45153000000</v>
          </cell>
        </row>
        <row r="4261">
          <cell r="A4261" t="str">
            <v>Algeria</v>
          </cell>
          <cell r="B4261">
            <v>12</v>
          </cell>
          <cell r="C4261">
            <v>201</v>
          </cell>
          <cell r="D4261">
            <v>13</v>
          </cell>
          <cell r="E4261" t="str">
            <v>Less: Financial intermediation services indirectly measured (FISIM) (only to be deducted if FISIM is not distributed to uses)</v>
          </cell>
          <cell r="F4261">
            <v>0</v>
          </cell>
          <cell r="G4261">
            <v>2001</v>
          </cell>
          <cell r="H4261">
            <v>20</v>
          </cell>
          <cell r="I4261">
            <v>51180000000</v>
          </cell>
        </row>
        <row r="4262">
          <cell r="A4262" t="str">
            <v>Algeria</v>
          </cell>
          <cell r="B4262">
            <v>12</v>
          </cell>
          <cell r="C4262">
            <v>201</v>
          </cell>
          <cell r="D4262">
            <v>13</v>
          </cell>
          <cell r="E4262" t="str">
            <v>Less: Financial intermediation services indirectly measured (FISIM) (only to be deducted if FISIM is not distributed to uses)</v>
          </cell>
          <cell r="F4262">
            <v>0</v>
          </cell>
          <cell r="G4262">
            <v>2002</v>
          </cell>
          <cell r="H4262">
            <v>20</v>
          </cell>
          <cell r="I4262">
            <v>56171000000</v>
          </cell>
        </row>
        <row r="4263">
          <cell r="A4263" t="str">
            <v>Brazil</v>
          </cell>
          <cell r="B4263">
            <v>76</v>
          </cell>
          <cell r="C4263">
            <v>203</v>
          </cell>
          <cell r="D4263">
            <v>22</v>
          </cell>
          <cell r="E4263" t="str">
            <v>Taxes on production and imports, less Subsidies</v>
          </cell>
          <cell r="F4263">
            <v>12</v>
          </cell>
          <cell r="G4263">
            <v>2001</v>
          </cell>
          <cell r="H4263">
            <v>200</v>
          </cell>
          <cell r="I4263">
            <v>68907000000</v>
          </cell>
        </row>
        <row r="4264">
          <cell r="A4264" t="str">
            <v>Brazil</v>
          </cell>
          <cell r="B4264">
            <v>76</v>
          </cell>
          <cell r="C4264">
            <v>203</v>
          </cell>
          <cell r="D4264">
            <v>22</v>
          </cell>
          <cell r="E4264" t="str">
            <v>Taxes on production and imports, less Subsidies</v>
          </cell>
          <cell r="F4264">
            <v>12</v>
          </cell>
          <cell r="G4264">
            <v>2002</v>
          </cell>
          <cell r="H4264">
            <v>200</v>
          </cell>
          <cell r="I4264">
            <v>86748000000</v>
          </cell>
        </row>
        <row r="4265">
          <cell r="A4265" t="str">
            <v>Brazil</v>
          </cell>
          <cell r="B4265">
            <v>76</v>
          </cell>
          <cell r="C4265">
            <v>203</v>
          </cell>
          <cell r="D4265">
            <v>22</v>
          </cell>
          <cell r="E4265" t="str">
            <v>Taxes on production and imports, less Subsidies</v>
          </cell>
          <cell r="F4265">
            <v>12</v>
          </cell>
          <cell r="G4265">
            <v>2003</v>
          </cell>
          <cell r="H4265">
            <v>200</v>
          </cell>
          <cell r="I4265">
            <v>102773000000</v>
          </cell>
        </row>
        <row r="4266">
          <cell r="A4266" t="str">
            <v>Fiji</v>
          </cell>
          <cell r="B4266">
            <v>242</v>
          </cell>
          <cell r="C4266">
            <v>201</v>
          </cell>
          <cell r="D4266">
            <v>13</v>
          </cell>
          <cell r="E4266" t="str">
            <v>Less: Financial intermediation services indirectly measured (FISIM) (only to be deducted if FISIM is not distributed to uses)</v>
          </cell>
          <cell r="F4266">
            <v>0</v>
          </cell>
          <cell r="G4266">
            <v>1970</v>
          </cell>
          <cell r="H4266">
            <v>10</v>
          </cell>
          <cell r="I4266">
            <v>2000000</v>
          </cell>
        </row>
        <row r="4267">
          <cell r="A4267" t="str">
            <v>Fiji</v>
          </cell>
          <cell r="B4267">
            <v>242</v>
          </cell>
          <cell r="C4267">
            <v>201</v>
          </cell>
          <cell r="D4267">
            <v>13</v>
          </cell>
          <cell r="E4267" t="str">
            <v>Less: Financial intermediation services indirectly measured (FISIM) (only to be deducted if FISIM is not distributed to uses)</v>
          </cell>
          <cell r="F4267">
            <v>0</v>
          </cell>
          <cell r="G4267">
            <v>1971</v>
          </cell>
          <cell r="H4267">
            <v>10</v>
          </cell>
          <cell r="I4267">
            <v>2000000</v>
          </cell>
        </row>
        <row r="4268">
          <cell r="A4268" t="str">
            <v>Fiji</v>
          </cell>
          <cell r="B4268">
            <v>242</v>
          </cell>
          <cell r="C4268">
            <v>201</v>
          </cell>
          <cell r="D4268">
            <v>13</v>
          </cell>
          <cell r="E4268" t="str">
            <v>Less: Financial intermediation services indirectly measured (FISIM) (only to be deducted if FISIM is not distributed to uses)</v>
          </cell>
          <cell r="F4268">
            <v>0</v>
          </cell>
          <cell r="G4268">
            <v>1972</v>
          </cell>
          <cell r="H4268">
            <v>10</v>
          </cell>
          <cell r="I4268">
            <v>4000000</v>
          </cell>
        </row>
        <row r="4269">
          <cell r="A4269" t="str">
            <v>Fiji</v>
          </cell>
          <cell r="B4269">
            <v>242</v>
          </cell>
          <cell r="C4269">
            <v>201</v>
          </cell>
          <cell r="D4269">
            <v>13</v>
          </cell>
          <cell r="E4269" t="str">
            <v>Less: Financial intermediation services indirectly measured (FISIM) (only to be deducted if FISIM is not distributed to uses)</v>
          </cell>
          <cell r="F4269">
            <v>0</v>
          </cell>
          <cell r="G4269">
            <v>1973</v>
          </cell>
          <cell r="H4269">
            <v>10</v>
          </cell>
          <cell r="I4269">
            <v>5000000</v>
          </cell>
        </row>
        <row r="4270">
          <cell r="A4270" t="str">
            <v>Fiji</v>
          </cell>
          <cell r="B4270">
            <v>242</v>
          </cell>
          <cell r="C4270">
            <v>201</v>
          </cell>
          <cell r="D4270">
            <v>13</v>
          </cell>
          <cell r="E4270" t="str">
            <v>Less: Financial intermediation services indirectly measured (FISIM) (only to be deducted if FISIM is not distributed to uses)</v>
          </cell>
          <cell r="F4270">
            <v>0</v>
          </cell>
          <cell r="G4270">
            <v>1977</v>
          </cell>
          <cell r="H4270">
            <v>10</v>
          </cell>
          <cell r="I4270">
            <v>16000000</v>
          </cell>
        </row>
        <row r="4271">
          <cell r="A4271" t="str">
            <v>Fiji</v>
          </cell>
          <cell r="B4271">
            <v>242</v>
          </cell>
          <cell r="C4271">
            <v>201</v>
          </cell>
          <cell r="D4271">
            <v>13</v>
          </cell>
          <cell r="E4271" t="str">
            <v>Less: Financial intermediation services indirectly measured (FISIM) (only to be deducted if FISIM is not distributed to uses)</v>
          </cell>
          <cell r="F4271">
            <v>0</v>
          </cell>
          <cell r="G4271">
            <v>1978</v>
          </cell>
          <cell r="H4271">
            <v>10</v>
          </cell>
          <cell r="I4271">
            <v>17000000</v>
          </cell>
        </row>
        <row r="4272">
          <cell r="A4272" t="str">
            <v>Fiji</v>
          </cell>
          <cell r="B4272">
            <v>242</v>
          </cell>
          <cell r="C4272">
            <v>201</v>
          </cell>
          <cell r="D4272">
            <v>13</v>
          </cell>
          <cell r="E4272" t="str">
            <v>Less: Financial intermediation services indirectly measured (FISIM) (only to be deducted if FISIM is not distributed to uses)</v>
          </cell>
          <cell r="F4272">
            <v>0</v>
          </cell>
          <cell r="G4272">
            <v>1979</v>
          </cell>
          <cell r="H4272">
            <v>10</v>
          </cell>
          <cell r="I4272">
            <v>20000000</v>
          </cell>
        </row>
        <row r="4273">
          <cell r="A4273" t="str">
            <v>Fiji</v>
          </cell>
          <cell r="B4273">
            <v>242</v>
          </cell>
          <cell r="C4273">
            <v>201</v>
          </cell>
          <cell r="D4273">
            <v>13</v>
          </cell>
          <cell r="E4273" t="str">
            <v>Less: Financial intermediation services indirectly measured (FISIM) (only to be deducted if FISIM is not distributed to uses)</v>
          </cell>
          <cell r="F4273">
            <v>0</v>
          </cell>
          <cell r="G4273">
            <v>1980</v>
          </cell>
          <cell r="H4273">
            <v>10</v>
          </cell>
          <cell r="I4273">
            <v>31000000</v>
          </cell>
        </row>
        <row r="4274">
          <cell r="A4274" t="str">
            <v>Fiji</v>
          </cell>
          <cell r="B4274">
            <v>242</v>
          </cell>
          <cell r="C4274">
            <v>201</v>
          </cell>
          <cell r="D4274">
            <v>13</v>
          </cell>
          <cell r="E4274" t="str">
            <v>Less: Financial intermediation services indirectly measured (FISIM) (only to be deducted if FISIM is not distributed to uses)</v>
          </cell>
          <cell r="F4274">
            <v>0</v>
          </cell>
          <cell r="G4274">
            <v>1981</v>
          </cell>
          <cell r="H4274">
            <v>10</v>
          </cell>
          <cell r="I4274">
            <v>45000000</v>
          </cell>
        </row>
        <row r="4275">
          <cell r="A4275" t="str">
            <v>Fiji</v>
          </cell>
          <cell r="B4275">
            <v>242</v>
          </cell>
          <cell r="C4275">
            <v>201</v>
          </cell>
          <cell r="D4275">
            <v>13</v>
          </cell>
          <cell r="E4275" t="str">
            <v>Less: Financial intermediation services indirectly measured (FISIM) (only to be deducted if FISIM is not distributed to uses)</v>
          </cell>
          <cell r="F4275">
            <v>0</v>
          </cell>
          <cell r="G4275">
            <v>1982</v>
          </cell>
          <cell r="H4275">
            <v>10</v>
          </cell>
          <cell r="I4275">
            <v>49000000</v>
          </cell>
        </row>
        <row r="4276">
          <cell r="A4276" t="str">
            <v>Fiji</v>
          </cell>
          <cell r="B4276">
            <v>242</v>
          </cell>
          <cell r="C4276">
            <v>201</v>
          </cell>
          <cell r="D4276">
            <v>13</v>
          </cell>
          <cell r="E4276" t="str">
            <v>Less: Financial intermediation services indirectly measured (FISIM) (only to be deducted if FISIM is not distributed to uses)</v>
          </cell>
          <cell r="F4276">
            <v>0</v>
          </cell>
          <cell r="G4276">
            <v>1983</v>
          </cell>
          <cell r="H4276">
            <v>10</v>
          </cell>
          <cell r="I4276">
            <v>47000000</v>
          </cell>
        </row>
        <row r="4277">
          <cell r="A4277" t="str">
            <v>Fiji</v>
          </cell>
          <cell r="B4277">
            <v>242</v>
          </cell>
          <cell r="C4277">
            <v>201</v>
          </cell>
          <cell r="D4277">
            <v>13</v>
          </cell>
          <cell r="E4277" t="str">
            <v>Less: Financial intermediation services indirectly measured (FISIM) (only to be deducted if FISIM is not distributed to uses)</v>
          </cell>
          <cell r="F4277">
            <v>0</v>
          </cell>
          <cell r="G4277">
            <v>1984</v>
          </cell>
          <cell r="H4277">
            <v>10</v>
          </cell>
          <cell r="I4277">
            <v>41000000</v>
          </cell>
        </row>
        <row r="4278">
          <cell r="A4278" t="str">
            <v>Fiji</v>
          </cell>
          <cell r="B4278">
            <v>242</v>
          </cell>
          <cell r="C4278">
            <v>201</v>
          </cell>
          <cell r="D4278">
            <v>13</v>
          </cell>
          <cell r="E4278" t="str">
            <v>Less: Financial intermediation services indirectly measured (FISIM) (only to be deducted if FISIM is not distributed to uses)</v>
          </cell>
          <cell r="F4278">
            <v>0</v>
          </cell>
          <cell r="G4278">
            <v>1985</v>
          </cell>
          <cell r="H4278">
            <v>10</v>
          </cell>
          <cell r="I4278">
            <v>47000000</v>
          </cell>
        </row>
        <row r="4279">
          <cell r="A4279" t="str">
            <v>Fiji</v>
          </cell>
          <cell r="B4279">
            <v>242</v>
          </cell>
          <cell r="C4279">
            <v>201</v>
          </cell>
          <cell r="D4279">
            <v>13</v>
          </cell>
          <cell r="E4279" t="str">
            <v>Less: Financial intermediation services indirectly measured (FISIM) (only to be deducted if FISIM is not distributed to uses)</v>
          </cell>
          <cell r="F4279">
            <v>0</v>
          </cell>
          <cell r="G4279">
            <v>1986</v>
          </cell>
          <cell r="H4279">
            <v>10</v>
          </cell>
          <cell r="I4279">
            <v>65000000</v>
          </cell>
        </row>
        <row r="4280">
          <cell r="A4280" t="str">
            <v>Fiji</v>
          </cell>
          <cell r="B4280">
            <v>242</v>
          </cell>
          <cell r="C4280">
            <v>201</v>
          </cell>
          <cell r="D4280">
            <v>13</v>
          </cell>
          <cell r="E4280" t="str">
            <v>Less: Financial intermediation services indirectly measured (FISIM) (only to be deducted if FISIM is not distributed to uses)</v>
          </cell>
          <cell r="F4280">
            <v>0</v>
          </cell>
          <cell r="G4280">
            <v>1987</v>
          </cell>
          <cell r="H4280">
            <v>10</v>
          </cell>
          <cell r="I4280">
            <v>70000000</v>
          </cell>
        </row>
        <row r="4281">
          <cell r="A4281" t="str">
            <v>Fiji</v>
          </cell>
          <cell r="B4281">
            <v>242</v>
          </cell>
          <cell r="C4281">
            <v>201</v>
          </cell>
          <cell r="D4281">
            <v>13</v>
          </cell>
          <cell r="E4281" t="str">
            <v>Less: Financial intermediation services indirectly measured (FISIM) (only to be deducted if FISIM is not distributed to uses)</v>
          </cell>
          <cell r="F4281">
            <v>0</v>
          </cell>
          <cell r="G4281">
            <v>1988</v>
          </cell>
          <cell r="H4281">
            <v>10</v>
          </cell>
          <cell r="I4281">
            <v>85000000</v>
          </cell>
        </row>
        <row r="4282">
          <cell r="A4282" t="str">
            <v>Fiji</v>
          </cell>
          <cell r="B4282">
            <v>242</v>
          </cell>
          <cell r="C4282">
            <v>201</v>
          </cell>
          <cell r="D4282">
            <v>13</v>
          </cell>
          <cell r="E4282" t="str">
            <v>Less: Financial intermediation services indirectly measured (FISIM) (only to be deducted if FISIM is not distributed to uses)</v>
          </cell>
          <cell r="F4282">
            <v>0</v>
          </cell>
          <cell r="G4282">
            <v>1989</v>
          </cell>
          <cell r="H4282">
            <v>10</v>
          </cell>
          <cell r="I4282">
            <v>98000000</v>
          </cell>
        </row>
        <row r="4283">
          <cell r="A4283" t="str">
            <v>Fiji</v>
          </cell>
          <cell r="B4283">
            <v>242</v>
          </cell>
          <cell r="C4283">
            <v>201</v>
          </cell>
          <cell r="D4283">
            <v>13</v>
          </cell>
          <cell r="E4283" t="str">
            <v>Less: Financial intermediation services indirectly measured (FISIM) (only to be deducted if FISIM is not distributed to uses)</v>
          </cell>
          <cell r="F4283">
            <v>0</v>
          </cell>
          <cell r="G4283">
            <v>1996</v>
          </cell>
          <cell r="H4283">
            <v>10</v>
          </cell>
          <cell r="I4283">
            <v>150233000</v>
          </cell>
        </row>
        <row r="4284">
          <cell r="A4284" t="str">
            <v>Fiji</v>
          </cell>
          <cell r="B4284">
            <v>242</v>
          </cell>
          <cell r="C4284">
            <v>201</v>
          </cell>
          <cell r="D4284">
            <v>13</v>
          </cell>
          <cell r="E4284" t="str">
            <v>Less: Financial intermediation services indirectly measured (FISIM) (only to be deducted if FISIM is not distributed to uses)</v>
          </cell>
          <cell r="F4284">
            <v>0</v>
          </cell>
          <cell r="G4284">
            <v>1997</v>
          </cell>
          <cell r="H4284">
            <v>10</v>
          </cell>
          <cell r="I4284">
            <v>124404000</v>
          </cell>
        </row>
        <row r="4285">
          <cell r="A4285" t="str">
            <v>Fiji</v>
          </cell>
          <cell r="B4285">
            <v>242</v>
          </cell>
          <cell r="C4285">
            <v>201</v>
          </cell>
          <cell r="D4285">
            <v>13</v>
          </cell>
          <cell r="E4285" t="str">
            <v>Less: Financial intermediation services indirectly measured (FISIM) (only to be deducted if FISIM is not distributed to uses)</v>
          </cell>
          <cell r="F4285">
            <v>0</v>
          </cell>
          <cell r="G4285">
            <v>1998</v>
          </cell>
          <cell r="H4285">
            <v>10</v>
          </cell>
          <cell r="I4285">
            <v>133590000</v>
          </cell>
        </row>
        <row r="4286">
          <cell r="A4286" t="str">
            <v>Fiji</v>
          </cell>
          <cell r="B4286">
            <v>242</v>
          </cell>
          <cell r="C4286">
            <v>201</v>
          </cell>
          <cell r="D4286">
            <v>13</v>
          </cell>
          <cell r="E4286" t="str">
            <v>Less: Financial intermediation services indirectly measured (FISIM) (only to be deducted if FISIM is not distributed to uses)</v>
          </cell>
          <cell r="F4286">
            <v>0</v>
          </cell>
          <cell r="G4286">
            <v>1999</v>
          </cell>
          <cell r="H4286">
            <v>10</v>
          </cell>
          <cell r="I4286">
            <v>89022000</v>
          </cell>
        </row>
        <row r="4287">
          <cell r="A4287" t="str">
            <v>Fiji</v>
          </cell>
          <cell r="B4287">
            <v>242</v>
          </cell>
          <cell r="C4287">
            <v>201</v>
          </cell>
          <cell r="D4287">
            <v>13</v>
          </cell>
          <cell r="E4287" t="str">
            <v>Less: Financial intermediation services indirectly measured (FISIM) (only to be deducted if FISIM is not distributed to uses)</v>
          </cell>
          <cell r="F4287">
            <v>0</v>
          </cell>
          <cell r="G4287">
            <v>2000</v>
          </cell>
          <cell r="H4287">
            <v>10</v>
          </cell>
          <cell r="I4287">
            <v>102812000</v>
          </cell>
        </row>
        <row r="4288">
          <cell r="A4288" t="str">
            <v>Fiji</v>
          </cell>
          <cell r="B4288">
            <v>242</v>
          </cell>
          <cell r="C4288">
            <v>201</v>
          </cell>
          <cell r="D4288">
            <v>13</v>
          </cell>
          <cell r="E4288" t="str">
            <v>Less: Financial intermediation services indirectly measured (FISIM) (only to be deducted if FISIM is not distributed to uses)</v>
          </cell>
          <cell r="F4288">
            <v>0</v>
          </cell>
          <cell r="G4288">
            <v>2001</v>
          </cell>
          <cell r="H4288">
            <v>10</v>
          </cell>
          <cell r="I4288">
            <v>110598000</v>
          </cell>
        </row>
        <row r="4289">
          <cell r="A4289" t="str">
            <v>Fiji</v>
          </cell>
          <cell r="B4289">
            <v>242</v>
          </cell>
          <cell r="C4289">
            <v>201</v>
          </cell>
          <cell r="D4289">
            <v>13</v>
          </cell>
          <cell r="E4289" t="str">
            <v>Less: Financial intermediation services indirectly measured (FISIM) (only to be deducted if FISIM is not distributed to uses)</v>
          </cell>
          <cell r="F4289">
            <v>0</v>
          </cell>
          <cell r="G4289">
            <v>2002</v>
          </cell>
          <cell r="H4289">
            <v>10</v>
          </cell>
          <cell r="I4289">
            <v>112587000</v>
          </cell>
        </row>
        <row r="4290">
          <cell r="A4290" t="str">
            <v>British Virgin Islands</v>
          </cell>
          <cell r="B4290">
            <v>92</v>
          </cell>
          <cell r="C4290">
            <v>201</v>
          </cell>
          <cell r="D4290">
            <v>13</v>
          </cell>
          <cell r="E4290" t="str">
            <v>Less: Financial intermediation services indirectly measured (FISIM) (only to be deducted if FISIM is not distributed to uses)</v>
          </cell>
          <cell r="F4290">
            <v>0</v>
          </cell>
          <cell r="G4290">
            <v>1970</v>
          </cell>
          <cell r="H4290">
            <v>10</v>
          </cell>
          <cell r="I4290">
            <v>684000</v>
          </cell>
        </row>
        <row r="4291">
          <cell r="A4291" t="str">
            <v>British Virgin Islands</v>
          </cell>
          <cell r="B4291">
            <v>92</v>
          </cell>
          <cell r="C4291">
            <v>201</v>
          </cell>
          <cell r="D4291">
            <v>13</v>
          </cell>
          <cell r="E4291" t="str">
            <v>Less: Financial intermediation services indirectly measured (FISIM) (only to be deducted if FISIM is not distributed to uses)</v>
          </cell>
          <cell r="F4291">
            <v>0</v>
          </cell>
          <cell r="G4291">
            <v>1971</v>
          </cell>
          <cell r="H4291">
            <v>10</v>
          </cell>
          <cell r="I4291">
            <v>889000</v>
          </cell>
        </row>
        <row r="4292">
          <cell r="A4292" t="str">
            <v>British Virgin Islands</v>
          </cell>
          <cell r="B4292">
            <v>92</v>
          </cell>
          <cell r="C4292">
            <v>201</v>
          </cell>
          <cell r="D4292">
            <v>13</v>
          </cell>
          <cell r="E4292" t="str">
            <v>Less: Financial intermediation services indirectly measured (FISIM) (only to be deducted if FISIM is not distributed to uses)</v>
          </cell>
          <cell r="F4292">
            <v>0</v>
          </cell>
          <cell r="G4292">
            <v>1972</v>
          </cell>
          <cell r="H4292">
            <v>10</v>
          </cell>
          <cell r="I4292">
            <v>794000</v>
          </cell>
        </row>
        <row r="4293">
          <cell r="A4293" t="str">
            <v>British Virgin Islands</v>
          </cell>
          <cell r="B4293">
            <v>92</v>
          </cell>
          <cell r="C4293">
            <v>201</v>
          </cell>
          <cell r="D4293">
            <v>13</v>
          </cell>
          <cell r="E4293" t="str">
            <v>Less: Financial intermediation services indirectly measured (FISIM) (only to be deducted if FISIM is not distributed to uses)</v>
          </cell>
          <cell r="F4293">
            <v>0</v>
          </cell>
          <cell r="G4293">
            <v>1973</v>
          </cell>
          <cell r="H4293">
            <v>10</v>
          </cell>
          <cell r="I4293">
            <v>949000</v>
          </cell>
        </row>
        <row r="4294">
          <cell r="A4294" t="str">
            <v>British Virgin Islands</v>
          </cell>
          <cell r="B4294">
            <v>92</v>
          </cell>
          <cell r="C4294">
            <v>201</v>
          </cell>
          <cell r="D4294">
            <v>13</v>
          </cell>
          <cell r="E4294" t="str">
            <v>Less: Financial intermediation services indirectly measured (FISIM) (only to be deducted if FISIM is not distributed to uses)</v>
          </cell>
          <cell r="F4294">
            <v>0</v>
          </cell>
          <cell r="G4294">
            <v>1974</v>
          </cell>
          <cell r="H4294">
            <v>10</v>
          </cell>
          <cell r="I4294">
            <v>1127000</v>
          </cell>
        </row>
        <row r="4295">
          <cell r="A4295" t="str">
            <v>British Virgin Islands</v>
          </cell>
          <cell r="B4295">
            <v>92</v>
          </cell>
          <cell r="C4295">
            <v>201</v>
          </cell>
          <cell r="D4295">
            <v>13</v>
          </cell>
          <cell r="E4295" t="str">
            <v>Less: Financial intermediation services indirectly measured (FISIM) (only to be deducted if FISIM is not distributed to uses)</v>
          </cell>
          <cell r="F4295">
            <v>0</v>
          </cell>
          <cell r="G4295">
            <v>1975</v>
          </cell>
          <cell r="H4295">
            <v>10</v>
          </cell>
          <cell r="I4295">
            <v>1154000</v>
          </cell>
        </row>
        <row r="4296">
          <cell r="A4296" t="str">
            <v>British Virgin Islands</v>
          </cell>
          <cell r="B4296">
            <v>92</v>
          </cell>
          <cell r="C4296">
            <v>201</v>
          </cell>
          <cell r="D4296">
            <v>13</v>
          </cell>
          <cell r="E4296" t="str">
            <v>Less: Financial intermediation services indirectly measured (FISIM) (only to be deducted if FISIM is not distributed to uses)</v>
          </cell>
          <cell r="F4296">
            <v>0</v>
          </cell>
          <cell r="G4296">
            <v>1976</v>
          </cell>
          <cell r="H4296">
            <v>10</v>
          </cell>
          <cell r="I4296">
            <v>905000</v>
          </cell>
        </row>
        <row r="4297">
          <cell r="A4297" t="str">
            <v>British Virgin Islands</v>
          </cell>
          <cell r="B4297">
            <v>92</v>
          </cell>
          <cell r="C4297">
            <v>201</v>
          </cell>
          <cell r="D4297">
            <v>13</v>
          </cell>
          <cell r="E4297" t="str">
            <v>Less: Financial intermediation services indirectly measured (FISIM) (only to be deducted if FISIM is not distributed to uses)</v>
          </cell>
          <cell r="F4297">
            <v>0</v>
          </cell>
          <cell r="G4297">
            <v>1977</v>
          </cell>
          <cell r="H4297">
            <v>10</v>
          </cell>
          <cell r="I4297">
            <v>1091000</v>
          </cell>
        </row>
        <row r="4298">
          <cell r="A4298" t="str">
            <v>British Virgin Islands</v>
          </cell>
          <cell r="B4298">
            <v>92</v>
          </cell>
          <cell r="C4298">
            <v>201</v>
          </cell>
          <cell r="D4298">
            <v>13</v>
          </cell>
          <cell r="E4298" t="str">
            <v>Less: Financial intermediation services indirectly measured (FISIM) (only to be deducted if FISIM is not distributed to uses)</v>
          </cell>
          <cell r="F4298">
            <v>0</v>
          </cell>
          <cell r="G4298">
            <v>1977</v>
          </cell>
          <cell r="H4298">
            <v>20</v>
          </cell>
          <cell r="I4298">
            <v>840000</v>
          </cell>
        </row>
        <row r="4299">
          <cell r="A4299" t="str">
            <v>British Virgin Islands</v>
          </cell>
          <cell r="B4299">
            <v>92</v>
          </cell>
          <cell r="C4299">
            <v>201</v>
          </cell>
          <cell r="D4299">
            <v>13</v>
          </cell>
          <cell r="E4299" t="str">
            <v>Less: Financial intermediation services indirectly measured (FISIM) (only to be deducted if FISIM is not distributed to uses)</v>
          </cell>
          <cell r="F4299">
            <v>0</v>
          </cell>
          <cell r="G4299">
            <v>1978</v>
          </cell>
          <cell r="H4299">
            <v>20</v>
          </cell>
          <cell r="I4299">
            <v>1370000</v>
          </cell>
        </row>
        <row r="4300">
          <cell r="A4300" t="str">
            <v>British Virgin Islands</v>
          </cell>
          <cell r="B4300">
            <v>92</v>
          </cell>
          <cell r="C4300">
            <v>201</v>
          </cell>
          <cell r="D4300">
            <v>13</v>
          </cell>
          <cell r="E4300" t="str">
            <v>Less: Financial intermediation services indirectly measured (FISIM) (only to be deducted if FISIM is not distributed to uses)</v>
          </cell>
          <cell r="F4300">
            <v>0</v>
          </cell>
          <cell r="G4300">
            <v>1979</v>
          </cell>
          <cell r="H4300">
            <v>20</v>
          </cell>
          <cell r="I4300">
            <v>2100000</v>
          </cell>
        </row>
        <row r="4301">
          <cell r="A4301" t="str">
            <v>British Virgin Islands</v>
          </cell>
          <cell r="B4301">
            <v>92</v>
          </cell>
          <cell r="C4301">
            <v>201</v>
          </cell>
          <cell r="D4301">
            <v>13</v>
          </cell>
          <cell r="E4301" t="str">
            <v>Less: Financial intermediation services indirectly measured (FISIM) (only to be deducted if FISIM is not distributed to uses)</v>
          </cell>
          <cell r="F4301">
            <v>0</v>
          </cell>
          <cell r="G4301">
            <v>1980</v>
          </cell>
          <cell r="H4301">
            <v>20</v>
          </cell>
          <cell r="I4301">
            <v>2140000</v>
          </cell>
        </row>
        <row r="4302">
          <cell r="A4302" t="str">
            <v>British Virgin Islands</v>
          </cell>
          <cell r="B4302">
            <v>92</v>
          </cell>
          <cell r="C4302">
            <v>201</v>
          </cell>
          <cell r="D4302">
            <v>13</v>
          </cell>
          <cell r="E4302" t="str">
            <v>Less: Financial intermediation services indirectly measured (FISIM) (only to be deducted if FISIM is not distributed to uses)</v>
          </cell>
          <cell r="F4302">
            <v>0</v>
          </cell>
          <cell r="G4302">
            <v>1981</v>
          </cell>
          <cell r="H4302">
            <v>20</v>
          </cell>
          <cell r="I4302">
            <v>4400000</v>
          </cell>
        </row>
        <row r="4303">
          <cell r="A4303" t="str">
            <v>British Virgin Islands</v>
          </cell>
          <cell r="B4303">
            <v>92</v>
          </cell>
          <cell r="C4303">
            <v>201</v>
          </cell>
          <cell r="D4303">
            <v>13</v>
          </cell>
          <cell r="E4303" t="str">
            <v>Less: Financial intermediation services indirectly measured (FISIM) (only to be deducted if FISIM is not distributed to uses)</v>
          </cell>
          <cell r="F4303">
            <v>0</v>
          </cell>
          <cell r="G4303">
            <v>1982</v>
          </cell>
          <cell r="H4303">
            <v>20</v>
          </cell>
          <cell r="I4303">
            <v>5020000</v>
          </cell>
        </row>
        <row r="4304">
          <cell r="A4304" t="str">
            <v>British Virgin Islands</v>
          </cell>
          <cell r="B4304">
            <v>92</v>
          </cell>
          <cell r="C4304">
            <v>201</v>
          </cell>
          <cell r="D4304">
            <v>13</v>
          </cell>
          <cell r="E4304" t="str">
            <v>Less: Financial intermediation services indirectly measured (FISIM) (only to be deducted if FISIM is not distributed to uses)</v>
          </cell>
          <cell r="F4304">
            <v>0</v>
          </cell>
          <cell r="G4304">
            <v>1983</v>
          </cell>
          <cell r="H4304">
            <v>20</v>
          </cell>
          <cell r="I4304">
            <v>4690000</v>
          </cell>
        </row>
        <row r="4305">
          <cell r="A4305" t="str">
            <v>British Virgin Islands</v>
          </cell>
          <cell r="B4305">
            <v>92</v>
          </cell>
          <cell r="C4305">
            <v>201</v>
          </cell>
          <cell r="D4305">
            <v>13</v>
          </cell>
          <cell r="E4305" t="str">
            <v>Less: Financial intermediation services indirectly measured (FISIM) (only to be deducted if FISIM is not distributed to uses)</v>
          </cell>
          <cell r="F4305">
            <v>0</v>
          </cell>
          <cell r="G4305">
            <v>1984</v>
          </cell>
          <cell r="H4305">
            <v>20</v>
          </cell>
          <cell r="I4305">
            <v>5160000</v>
          </cell>
        </row>
        <row r="4306">
          <cell r="A4306" t="str">
            <v>British Virgin Islands</v>
          </cell>
          <cell r="B4306">
            <v>92</v>
          </cell>
          <cell r="C4306">
            <v>201</v>
          </cell>
          <cell r="D4306">
            <v>13</v>
          </cell>
          <cell r="E4306" t="str">
            <v>Less: Financial intermediation services indirectly measured (FISIM) (only to be deducted if FISIM is not distributed to uses)</v>
          </cell>
          <cell r="F4306">
            <v>0</v>
          </cell>
          <cell r="G4306">
            <v>1985</v>
          </cell>
          <cell r="H4306">
            <v>20</v>
          </cell>
          <cell r="I4306">
            <v>5210000</v>
          </cell>
        </row>
        <row r="4307">
          <cell r="A4307" t="str">
            <v>British Virgin Islands</v>
          </cell>
          <cell r="B4307">
            <v>92</v>
          </cell>
          <cell r="C4307">
            <v>201</v>
          </cell>
          <cell r="D4307">
            <v>13</v>
          </cell>
          <cell r="E4307" t="str">
            <v>Less: Financial intermediation services indirectly measured (FISIM) (only to be deducted if FISIM is not distributed to uses)</v>
          </cell>
          <cell r="F4307">
            <v>0</v>
          </cell>
          <cell r="G4307">
            <v>1986</v>
          </cell>
          <cell r="H4307">
            <v>20</v>
          </cell>
          <cell r="I4307">
            <v>5270000</v>
          </cell>
        </row>
        <row r="4308">
          <cell r="A4308" t="str">
            <v>British Virgin Islands</v>
          </cell>
          <cell r="B4308">
            <v>92</v>
          </cell>
          <cell r="C4308">
            <v>201</v>
          </cell>
          <cell r="D4308">
            <v>13</v>
          </cell>
          <cell r="E4308" t="str">
            <v>Less: Financial intermediation services indirectly measured (FISIM) (only to be deducted if FISIM is not distributed to uses)</v>
          </cell>
          <cell r="F4308">
            <v>0</v>
          </cell>
          <cell r="G4308">
            <v>1987</v>
          </cell>
          <cell r="H4308">
            <v>20</v>
          </cell>
          <cell r="I4308">
            <v>6520000</v>
          </cell>
        </row>
        <row r="4309">
          <cell r="A4309" t="str">
            <v>British Virgin Islands</v>
          </cell>
          <cell r="B4309">
            <v>92</v>
          </cell>
          <cell r="C4309">
            <v>201</v>
          </cell>
          <cell r="D4309">
            <v>13</v>
          </cell>
          <cell r="E4309" t="str">
            <v>Less: Financial intermediation services indirectly measured (FISIM) (only to be deducted if FISIM is not distributed to uses)</v>
          </cell>
          <cell r="F4309">
            <v>0</v>
          </cell>
          <cell r="G4309">
            <v>1988</v>
          </cell>
          <cell r="H4309">
            <v>20</v>
          </cell>
          <cell r="I4309">
            <v>7180000</v>
          </cell>
        </row>
        <row r="4310">
          <cell r="A4310" t="str">
            <v>British Virgin Islands</v>
          </cell>
          <cell r="B4310">
            <v>92</v>
          </cell>
          <cell r="C4310">
            <v>201</v>
          </cell>
          <cell r="D4310">
            <v>13</v>
          </cell>
          <cell r="E4310" t="str">
            <v>Less: Financial intermediation services indirectly measured (FISIM) (only to be deducted if FISIM is not distributed to uses)</v>
          </cell>
          <cell r="F4310">
            <v>0</v>
          </cell>
          <cell r="G4310">
            <v>1989</v>
          </cell>
          <cell r="H4310">
            <v>20</v>
          </cell>
          <cell r="I4310">
            <v>9010000</v>
          </cell>
        </row>
        <row r="4311">
          <cell r="A4311" t="str">
            <v>British Virgin Islands</v>
          </cell>
          <cell r="B4311">
            <v>92</v>
          </cell>
          <cell r="C4311">
            <v>201</v>
          </cell>
          <cell r="D4311">
            <v>13</v>
          </cell>
          <cell r="E4311" t="str">
            <v>Less: Financial intermediation services indirectly measured (FISIM) (only to be deducted if FISIM is not distributed to uses)</v>
          </cell>
          <cell r="F4311">
            <v>0</v>
          </cell>
          <cell r="G4311">
            <v>1995</v>
          </cell>
          <cell r="H4311">
            <v>100</v>
          </cell>
          <cell r="I4311">
            <v>23000000</v>
          </cell>
        </row>
        <row r="4312">
          <cell r="A4312" t="str">
            <v>British Virgin Islands</v>
          </cell>
          <cell r="B4312">
            <v>92</v>
          </cell>
          <cell r="C4312">
            <v>201</v>
          </cell>
          <cell r="D4312">
            <v>13</v>
          </cell>
          <cell r="E4312" t="str">
            <v>Less: Financial intermediation services indirectly measured (FISIM) (only to be deducted if FISIM is not distributed to uses)</v>
          </cell>
          <cell r="F4312">
            <v>0</v>
          </cell>
          <cell r="G4312">
            <v>1996</v>
          </cell>
          <cell r="H4312">
            <v>100</v>
          </cell>
          <cell r="I4312">
            <v>24000000</v>
          </cell>
        </row>
        <row r="4313">
          <cell r="A4313" t="str">
            <v>British Virgin Islands</v>
          </cell>
          <cell r="B4313">
            <v>92</v>
          </cell>
          <cell r="C4313">
            <v>201</v>
          </cell>
          <cell r="D4313">
            <v>13</v>
          </cell>
          <cell r="E4313" t="str">
            <v>Less: Financial intermediation services indirectly measured (FISIM) (only to be deducted if FISIM is not distributed to uses)</v>
          </cell>
          <cell r="F4313">
            <v>0</v>
          </cell>
          <cell r="G4313">
            <v>1997</v>
          </cell>
          <cell r="H4313">
            <v>100</v>
          </cell>
          <cell r="I4313">
            <v>30000000</v>
          </cell>
        </row>
        <row r="4314">
          <cell r="A4314" t="str">
            <v>British Virgin Islands</v>
          </cell>
          <cell r="B4314">
            <v>92</v>
          </cell>
          <cell r="C4314">
            <v>201</v>
          </cell>
          <cell r="D4314">
            <v>13</v>
          </cell>
          <cell r="E4314" t="str">
            <v>Less: Financial intermediation services indirectly measured (FISIM) (only to be deducted if FISIM is not distributed to uses)</v>
          </cell>
          <cell r="F4314">
            <v>0</v>
          </cell>
          <cell r="G4314">
            <v>1998</v>
          </cell>
          <cell r="H4314">
            <v>100</v>
          </cell>
          <cell r="I4314">
            <v>34000000</v>
          </cell>
        </row>
        <row r="4315">
          <cell r="A4315" t="str">
            <v>British Virgin Islands</v>
          </cell>
          <cell r="B4315">
            <v>92</v>
          </cell>
          <cell r="C4315">
            <v>201</v>
          </cell>
          <cell r="D4315">
            <v>13</v>
          </cell>
          <cell r="E4315" t="str">
            <v>Less: Financial intermediation services indirectly measured (FISIM) (only to be deducted if FISIM is not distributed to uses)</v>
          </cell>
          <cell r="F4315">
            <v>0</v>
          </cell>
          <cell r="G4315">
            <v>1999</v>
          </cell>
          <cell r="H4315">
            <v>100</v>
          </cell>
          <cell r="I4315">
            <v>35000000</v>
          </cell>
        </row>
        <row r="4316">
          <cell r="A4316" t="str">
            <v>British Virgin Islands</v>
          </cell>
          <cell r="B4316">
            <v>92</v>
          </cell>
          <cell r="C4316">
            <v>203</v>
          </cell>
          <cell r="D4316">
            <v>3</v>
          </cell>
          <cell r="E4316" t="str">
            <v>Equals: VALUE ADDED, GROSS, at basic prices</v>
          </cell>
          <cell r="F4316">
            <v>12</v>
          </cell>
          <cell r="G4316">
            <v>1995</v>
          </cell>
          <cell r="H4316">
            <v>100</v>
          </cell>
          <cell r="I4316">
            <v>367503000</v>
          </cell>
        </row>
        <row r="4317">
          <cell r="A4317" t="str">
            <v>British Virgin Islands</v>
          </cell>
          <cell r="B4317">
            <v>92</v>
          </cell>
          <cell r="C4317">
            <v>203</v>
          </cell>
          <cell r="D4317">
            <v>3</v>
          </cell>
          <cell r="E4317" t="str">
            <v>Equals: VALUE ADDED, GROSS, at basic prices</v>
          </cell>
          <cell r="F4317">
            <v>12</v>
          </cell>
          <cell r="G4317">
            <v>1996</v>
          </cell>
          <cell r="H4317">
            <v>100</v>
          </cell>
          <cell r="I4317">
            <v>423176000</v>
          </cell>
        </row>
        <row r="4318">
          <cell r="A4318" t="str">
            <v>British Virgin Islands</v>
          </cell>
          <cell r="B4318">
            <v>92</v>
          </cell>
          <cell r="C4318">
            <v>203</v>
          </cell>
          <cell r="D4318">
            <v>3</v>
          </cell>
          <cell r="E4318" t="str">
            <v>Equals: VALUE ADDED, GROSS, at basic prices</v>
          </cell>
          <cell r="F4318">
            <v>12</v>
          </cell>
          <cell r="G4318">
            <v>1997</v>
          </cell>
          <cell r="H4318">
            <v>100</v>
          </cell>
          <cell r="I4318">
            <v>492741000</v>
          </cell>
        </row>
        <row r="4319">
          <cell r="A4319" t="str">
            <v>British Virgin Islands</v>
          </cell>
          <cell r="B4319">
            <v>92</v>
          </cell>
          <cell r="C4319">
            <v>203</v>
          </cell>
          <cell r="D4319">
            <v>3</v>
          </cell>
          <cell r="E4319" t="str">
            <v>Equals: VALUE ADDED, GROSS, at basic prices</v>
          </cell>
          <cell r="F4319">
            <v>12</v>
          </cell>
          <cell r="G4319">
            <v>1998</v>
          </cell>
          <cell r="H4319">
            <v>100</v>
          </cell>
          <cell r="I4319">
            <v>572801000</v>
          </cell>
        </row>
        <row r="4320">
          <cell r="A4320" t="str">
            <v>British Virgin Islands</v>
          </cell>
          <cell r="B4320">
            <v>92</v>
          </cell>
          <cell r="C4320">
            <v>203</v>
          </cell>
          <cell r="D4320">
            <v>3</v>
          </cell>
          <cell r="E4320" t="str">
            <v>Equals: VALUE ADDED, GROSS, at basic prices</v>
          </cell>
          <cell r="F4320">
            <v>12</v>
          </cell>
          <cell r="G4320">
            <v>1999</v>
          </cell>
          <cell r="H4320">
            <v>100</v>
          </cell>
          <cell r="I4320">
            <v>639025000</v>
          </cell>
        </row>
        <row r="4321">
          <cell r="A4321" t="str">
            <v>Fiji</v>
          </cell>
          <cell r="B4321">
            <v>242</v>
          </cell>
          <cell r="C4321">
            <v>203</v>
          </cell>
          <cell r="D4321">
            <v>3</v>
          </cell>
          <cell r="E4321" t="str">
            <v>Equals: VALUE ADDED, GROSS, at basic prices</v>
          </cell>
          <cell r="F4321">
            <v>12</v>
          </cell>
          <cell r="G4321">
            <v>1977</v>
          </cell>
          <cell r="H4321">
            <v>10</v>
          </cell>
          <cell r="I4321">
            <v>622000000</v>
          </cell>
        </row>
        <row r="4322">
          <cell r="A4322" t="str">
            <v>Fiji</v>
          </cell>
          <cell r="B4322">
            <v>242</v>
          </cell>
          <cell r="C4322">
            <v>203</v>
          </cell>
          <cell r="D4322">
            <v>3</v>
          </cell>
          <cell r="E4322" t="str">
            <v>Equals: VALUE ADDED, GROSS, at basic prices</v>
          </cell>
          <cell r="F4322">
            <v>12</v>
          </cell>
          <cell r="G4322">
            <v>1978</v>
          </cell>
          <cell r="H4322">
            <v>10</v>
          </cell>
          <cell r="I4322">
            <v>660000000</v>
          </cell>
        </row>
        <row r="4323">
          <cell r="A4323" t="str">
            <v>Fiji</v>
          </cell>
          <cell r="B4323">
            <v>242</v>
          </cell>
          <cell r="C4323">
            <v>203</v>
          </cell>
          <cell r="D4323">
            <v>3</v>
          </cell>
          <cell r="E4323" t="str">
            <v>Equals: VALUE ADDED, GROSS, at basic prices</v>
          </cell>
          <cell r="F4323">
            <v>12</v>
          </cell>
          <cell r="G4323">
            <v>1979</v>
          </cell>
          <cell r="H4323">
            <v>10</v>
          </cell>
          <cell r="I4323">
            <v>799000000</v>
          </cell>
        </row>
        <row r="4324">
          <cell r="A4324" t="str">
            <v>Fiji</v>
          </cell>
          <cell r="B4324">
            <v>242</v>
          </cell>
          <cell r="C4324">
            <v>203</v>
          </cell>
          <cell r="D4324">
            <v>3</v>
          </cell>
          <cell r="E4324" t="str">
            <v>Equals: VALUE ADDED, GROSS, at basic prices</v>
          </cell>
          <cell r="F4324">
            <v>12</v>
          </cell>
          <cell r="G4324">
            <v>1980</v>
          </cell>
          <cell r="H4324">
            <v>10</v>
          </cell>
          <cell r="I4324">
            <v>932000000</v>
          </cell>
        </row>
        <row r="4325">
          <cell r="A4325" t="str">
            <v>Fiji</v>
          </cell>
          <cell r="B4325">
            <v>242</v>
          </cell>
          <cell r="C4325">
            <v>203</v>
          </cell>
          <cell r="D4325">
            <v>3</v>
          </cell>
          <cell r="E4325" t="str">
            <v>Equals: VALUE ADDED, GROSS, at basic prices</v>
          </cell>
          <cell r="F4325">
            <v>12</v>
          </cell>
          <cell r="G4325">
            <v>1981</v>
          </cell>
          <cell r="H4325">
            <v>10</v>
          </cell>
          <cell r="I4325">
            <v>999000000</v>
          </cell>
        </row>
        <row r="4326">
          <cell r="A4326" t="str">
            <v>Fiji</v>
          </cell>
          <cell r="B4326">
            <v>242</v>
          </cell>
          <cell r="C4326">
            <v>203</v>
          </cell>
          <cell r="D4326">
            <v>3</v>
          </cell>
          <cell r="E4326" t="str">
            <v>Equals: VALUE ADDED, GROSS, at basic prices</v>
          </cell>
          <cell r="F4326">
            <v>12</v>
          </cell>
          <cell r="G4326">
            <v>1982</v>
          </cell>
          <cell r="H4326">
            <v>10</v>
          </cell>
          <cell r="I4326">
            <v>1069000000</v>
          </cell>
        </row>
        <row r="4327">
          <cell r="A4327" t="str">
            <v>Fiji</v>
          </cell>
          <cell r="B4327">
            <v>242</v>
          </cell>
          <cell r="C4327">
            <v>203</v>
          </cell>
          <cell r="D4327">
            <v>3</v>
          </cell>
          <cell r="E4327" t="str">
            <v>Equals: VALUE ADDED, GROSS, at basic prices</v>
          </cell>
          <cell r="F4327">
            <v>12</v>
          </cell>
          <cell r="G4327">
            <v>1983</v>
          </cell>
          <cell r="H4327">
            <v>10</v>
          </cell>
          <cell r="I4327">
            <v>1079000000</v>
          </cell>
        </row>
        <row r="4328">
          <cell r="A4328" t="str">
            <v>Fiji</v>
          </cell>
          <cell r="B4328">
            <v>242</v>
          </cell>
          <cell r="C4328">
            <v>203</v>
          </cell>
          <cell r="D4328">
            <v>3</v>
          </cell>
          <cell r="E4328" t="str">
            <v>Equals: VALUE ADDED, GROSS, at basic prices</v>
          </cell>
          <cell r="F4328">
            <v>12</v>
          </cell>
          <cell r="G4328">
            <v>1984</v>
          </cell>
          <cell r="H4328">
            <v>10</v>
          </cell>
          <cell r="I4328">
            <v>1193000000</v>
          </cell>
        </row>
        <row r="4329">
          <cell r="A4329" t="str">
            <v>Fiji</v>
          </cell>
          <cell r="B4329">
            <v>242</v>
          </cell>
          <cell r="C4329">
            <v>203</v>
          </cell>
          <cell r="D4329">
            <v>3</v>
          </cell>
          <cell r="E4329" t="str">
            <v>Equals: VALUE ADDED, GROSS, at basic prices</v>
          </cell>
          <cell r="F4329">
            <v>12</v>
          </cell>
          <cell r="G4329">
            <v>1985</v>
          </cell>
          <cell r="H4329">
            <v>10</v>
          </cell>
          <cell r="I4329">
            <v>1225000000</v>
          </cell>
        </row>
        <row r="4330">
          <cell r="A4330" t="str">
            <v>Fiji</v>
          </cell>
          <cell r="B4330">
            <v>242</v>
          </cell>
          <cell r="C4330">
            <v>203</v>
          </cell>
          <cell r="D4330">
            <v>3</v>
          </cell>
          <cell r="E4330" t="str">
            <v>Equals: VALUE ADDED, GROSS, at basic prices</v>
          </cell>
          <cell r="F4330">
            <v>12</v>
          </cell>
          <cell r="G4330">
            <v>1986</v>
          </cell>
          <cell r="H4330">
            <v>10</v>
          </cell>
          <cell r="I4330">
            <v>1390000000</v>
          </cell>
        </row>
        <row r="4331">
          <cell r="A4331" t="str">
            <v>Fiji</v>
          </cell>
          <cell r="B4331">
            <v>242</v>
          </cell>
          <cell r="C4331">
            <v>203</v>
          </cell>
          <cell r="D4331">
            <v>3</v>
          </cell>
          <cell r="E4331" t="str">
            <v>Equals: VALUE ADDED, GROSS, at basic prices</v>
          </cell>
          <cell r="F4331">
            <v>12</v>
          </cell>
          <cell r="G4331">
            <v>1987</v>
          </cell>
          <cell r="H4331">
            <v>10</v>
          </cell>
          <cell r="I4331">
            <v>1399000000</v>
          </cell>
        </row>
        <row r="4332">
          <cell r="A4332" t="str">
            <v>Fiji</v>
          </cell>
          <cell r="B4332">
            <v>242</v>
          </cell>
          <cell r="C4332">
            <v>203</v>
          </cell>
          <cell r="D4332">
            <v>3</v>
          </cell>
          <cell r="E4332" t="str">
            <v>Equals: VALUE ADDED, GROSS, at basic prices</v>
          </cell>
          <cell r="F4332">
            <v>12</v>
          </cell>
          <cell r="G4332">
            <v>1988</v>
          </cell>
          <cell r="H4332">
            <v>10</v>
          </cell>
          <cell r="I4332">
            <v>1517000000</v>
          </cell>
        </row>
        <row r="4333">
          <cell r="A4333" t="str">
            <v>Fiji</v>
          </cell>
          <cell r="B4333">
            <v>242</v>
          </cell>
          <cell r="C4333">
            <v>203</v>
          </cell>
          <cell r="D4333">
            <v>3</v>
          </cell>
          <cell r="E4333" t="str">
            <v>Equals: VALUE ADDED, GROSS, at basic prices</v>
          </cell>
          <cell r="F4333">
            <v>12</v>
          </cell>
          <cell r="G4333">
            <v>1989</v>
          </cell>
          <cell r="H4333">
            <v>10</v>
          </cell>
          <cell r="I4333">
            <v>1759000000</v>
          </cell>
        </row>
        <row r="4334">
          <cell r="A4334" t="str">
            <v>Fiji</v>
          </cell>
          <cell r="B4334">
            <v>242</v>
          </cell>
          <cell r="C4334">
            <v>203</v>
          </cell>
          <cell r="D4334">
            <v>3</v>
          </cell>
          <cell r="E4334" t="str">
            <v>Equals: VALUE ADDED, GROSS, at basic prices</v>
          </cell>
          <cell r="F4334">
            <v>12</v>
          </cell>
          <cell r="G4334">
            <v>1996</v>
          </cell>
          <cell r="H4334">
            <v>10</v>
          </cell>
          <cell r="I4334">
            <v>2725712000</v>
          </cell>
        </row>
        <row r="4335">
          <cell r="A4335" t="str">
            <v>Fiji</v>
          </cell>
          <cell r="B4335">
            <v>242</v>
          </cell>
          <cell r="C4335">
            <v>203</v>
          </cell>
          <cell r="D4335">
            <v>3</v>
          </cell>
          <cell r="E4335" t="str">
            <v>Equals: VALUE ADDED, GROSS, at basic prices</v>
          </cell>
          <cell r="F4335">
            <v>12</v>
          </cell>
          <cell r="G4335">
            <v>1997</v>
          </cell>
          <cell r="H4335">
            <v>10</v>
          </cell>
          <cell r="I4335">
            <v>2695535000</v>
          </cell>
        </row>
        <row r="4336">
          <cell r="A4336" t="str">
            <v>Fiji</v>
          </cell>
          <cell r="B4336">
            <v>242</v>
          </cell>
          <cell r="C4336">
            <v>203</v>
          </cell>
          <cell r="D4336">
            <v>3</v>
          </cell>
          <cell r="E4336" t="str">
            <v>Equals: VALUE ADDED, GROSS, at basic prices</v>
          </cell>
          <cell r="F4336">
            <v>12</v>
          </cell>
          <cell r="G4336">
            <v>1998</v>
          </cell>
          <cell r="H4336">
            <v>10</v>
          </cell>
          <cell r="I4336">
            <v>2926115000</v>
          </cell>
        </row>
        <row r="4337">
          <cell r="A4337" t="str">
            <v>Fiji</v>
          </cell>
          <cell r="B4337">
            <v>242</v>
          </cell>
          <cell r="C4337">
            <v>203</v>
          </cell>
          <cell r="D4337">
            <v>3</v>
          </cell>
          <cell r="E4337" t="str">
            <v>Equals: VALUE ADDED, GROSS, at basic prices</v>
          </cell>
          <cell r="F4337">
            <v>12</v>
          </cell>
          <cell r="G4337">
            <v>1999</v>
          </cell>
          <cell r="H4337">
            <v>10</v>
          </cell>
          <cell r="I4337">
            <v>3327484000</v>
          </cell>
        </row>
        <row r="4338">
          <cell r="A4338" t="str">
            <v>Fiji</v>
          </cell>
          <cell r="B4338">
            <v>242</v>
          </cell>
          <cell r="C4338">
            <v>203</v>
          </cell>
          <cell r="D4338">
            <v>3</v>
          </cell>
          <cell r="E4338" t="str">
            <v>Equals: VALUE ADDED, GROSS, at basic prices</v>
          </cell>
          <cell r="F4338">
            <v>12</v>
          </cell>
          <cell r="G4338">
            <v>2000</v>
          </cell>
          <cell r="H4338">
            <v>10</v>
          </cell>
          <cell r="I4338">
            <v>3151936000</v>
          </cell>
        </row>
        <row r="4339">
          <cell r="A4339" t="str">
            <v>Fiji</v>
          </cell>
          <cell r="B4339">
            <v>242</v>
          </cell>
          <cell r="C4339">
            <v>203</v>
          </cell>
          <cell r="D4339">
            <v>3</v>
          </cell>
          <cell r="E4339" t="str">
            <v>Equals: VALUE ADDED, GROSS, at basic prices</v>
          </cell>
          <cell r="F4339">
            <v>12</v>
          </cell>
          <cell r="G4339">
            <v>2001</v>
          </cell>
          <cell r="H4339">
            <v>10</v>
          </cell>
          <cell r="I4339">
            <v>3310145000</v>
          </cell>
        </row>
        <row r="4340">
          <cell r="A4340" t="str">
            <v>British Virgin Islands</v>
          </cell>
          <cell r="B4340">
            <v>92</v>
          </cell>
          <cell r="C4340">
            <v>203</v>
          </cell>
          <cell r="D4340">
            <v>4</v>
          </cell>
          <cell r="E4340" t="str">
            <v>Compensation of employees</v>
          </cell>
          <cell r="F4340">
            <v>12</v>
          </cell>
          <cell r="G4340">
            <v>1970</v>
          </cell>
          <cell r="H4340">
            <v>10</v>
          </cell>
          <cell r="I4340">
            <v>8860000</v>
          </cell>
        </row>
        <row r="4341">
          <cell r="A4341" t="str">
            <v>British Virgin Islands</v>
          </cell>
          <cell r="B4341">
            <v>92</v>
          </cell>
          <cell r="C4341">
            <v>203</v>
          </cell>
          <cell r="D4341">
            <v>4</v>
          </cell>
          <cell r="E4341" t="str">
            <v>Compensation of employees</v>
          </cell>
          <cell r="F4341">
            <v>12</v>
          </cell>
          <cell r="G4341">
            <v>1971</v>
          </cell>
          <cell r="H4341">
            <v>10</v>
          </cell>
          <cell r="I4341">
            <v>8368000</v>
          </cell>
        </row>
        <row r="4342">
          <cell r="A4342" t="str">
            <v>British Virgin Islands</v>
          </cell>
          <cell r="B4342">
            <v>92</v>
          </cell>
          <cell r="C4342">
            <v>203</v>
          </cell>
          <cell r="D4342">
            <v>4</v>
          </cell>
          <cell r="E4342" t="str">
            <v>Compensation of employees</v>
          </cell>
          <cell r="F4342">
            <v>12</v>
          </cell>
          <cell r="G4342">
            <v>1972</v>
          </cell>
          <cell r="H4342">
            <v>10</v>
          </cell>
          <cell r="I4342">
            <v>8803000</v>
          </cell>
        </row>
        <row r="4343">
          <cell r="A4343" t="str">
            <v>British Virgin Islands</v>
          </cell>
          <cell r="B4343">
            <v>92</v>
          </cell>
          <cell r="C4343">
            <v>203</v>
          </cell>
          <cell r="D4343">
            <v>4</v>
          </cell>
          <cell r="E4343" t="str">
            <v>Compensation of employees</v>
          </cell>
          <cell r="F4343">
            <v>12</v>
          </cell>
          <cell r="G4343">
            <v>1973</v>
          </cell>
          <cell r="H4343">
            <v>10</v>
          </cell>
          <cell r="I4343">
            <v>9210000</v>
          </cell>
        </row>
        <row r="4344">
          <cell r="A4344" t="str">
            <v>British Virgin Islands</v>
          </cell>
          <cell r="B4344">
            <v>92</v>
          </cell>
          <cell r="C4344">
            <v>203</v>
          </cell>
          <cell r="D4344">
            <v>4</v>
          </cell>
          <cell r="E4344" t="str">
            <v>Compensation of employees</v>
          </cell>
          <cell r="F4344">
            <v>12</v>
          </cell>
          <cell r="G4344">
            <v>1974</v>
          </cell>
          <cell r="H4344">
            <v>10</v>
          </cell>
          <cell r="I4344">
            <v>11229000</v>
          </cell>
        </row>
        <row r="4345">
          <cell r="A4345" t="str">
            <v>British Virgin Islands</v>
          </cell>
          <cell r="B4345">
            <v>92</v>
          </cell>
          <cell r="C4345">
            <v>203</v>
          </cell>
          <cell r="D4345">
            <v>4</v>
          </cell>
          <cell r="E4345" t="str">
            <v>Compensation of employees</v>
          </cell>
          <cell r="F4345">
            <v>12</v>
          </cell>
          <cell r="G4345">
            <v>1975</v>
          </cell>
          <cell r="H4345">
            <v>10</v>
          </cell>
          <cell r="I4345">
            <v>11786000</v>
          </cell>
        </row>
        <row r="4346">
          <cell r="A4346" t="str">
            <v>British Virgin Islands</v>
          </cell>
          <cell r="B4346">
            <v>92</v>
          </cell>
          <cell r="C4346">
            <v>203</v>
          </cell>
          <cell r="D4346">
            <v>4</v>
          </cell>
          <cell r="E4346" t="str">
            <v>Compensation of employees</v>
          </cell>
          <cell r="F4346">
            <v>12</v>
          </cell>
          <cell r="G4346">
            <v>1976</v>
          </cell>
          <cell r="H4346">
            <v>10</v>
          </cell>
          <cell r="I4346">
            <v>13286000</v>
          </cell>
        </row>
        <row r="4347">
          <cell r="A4347" t="str">
            <v>British Virgin Islands</v>
          </cell>
          <cell r="B4347">
            <v>92</v>
          </cell>
          <cell r="C4347">
            <v>203</v>
          </cell>
          <cell r="D4347">
            <v>4</v>
          </cell>
          <cell r="E4347" t="str">
            <v>Compensation of employees</v>
          </cell>
          <cell r="F4347">
            <v>12</v>
          </cell>
          <cell r="G4347">
            <v>1977</v>
          </cell>
          <cell r="H4347">
            <v>10</v>
          </cell>
          <cell r="I4347">
            <v>13068000</v>
          </cell>
        </row>
        <row r="4348">
          <cell r="A4348" t="str">
            <v>British Virgin Islands</v>
          </cell>
          <cell r="B4348">
            <v>92</v>
          </cell>
          <cell r="C4348">
            <v>203</v>
          </cell>
          <cell r="D4348">
            <v>4</v>
          </cell>
          <cell r="E4348" t="str">
            <v>Compensation of employees</v>
          </cell>
          <cell r="F4348">
            <v>12</v>
          </cell>
          <cell r="G4348">
            <v>1984</v>
          </cell>
          <cell r="H4348">
            <v>20</v>
          </cell>
          <cell r="I4348">
            <v>41380000</v>
          </cell>
        </row>
        <row r="4349">
          <cell r="A4349" t="str">
            <v>British Virgin Islands</v>
          </cell>
          <cell r="B4349">
            <v>92</v>
          </cell>
          <cell r="C4349">
            <v>203</v>
          </cell>
          <cell r="D4349">
            <v>4</v>
          </cell>
          <cell r="E4349" t="str">
            <v>Compensation of employees</v>
          </cell>
          <cell r="F4349">
            <v>12</v>
          </cell>
          <cell r="G4349">
            <v>1985</v>
          </cell>
          <cell r="H4349">
            <v>20</v>
          </cell>
          <cell r="I4349">
            <v>41550000</v>
          </cell>
        </row>
        <row r="4350">
          <cell r="A4350" t="str">
            <v>British Virgin Islands</v>
          </cell>
          <cell r="B4350">
            <v>92</v>
          </cell>
          <cell r="C4350">
            <v>203</v>
          </cell>
          <cell r="D4350">
            <v>4</v>
          </cell>
          <cell r="E4350" t="str">
            <v>Compensation of employees</v>
          </cell>
          <cell r="F4350">
            <v>12</v>
          </cell>
          <cell r="G4350">
            <v>1986</v>
          </cell>
          <cell r="H4350">
            <v>20</v>
          </cell>
          <cell r="I4350">
            <v>42960000</v>
          </cell>
        </row>
        <row r="4351">
          <cell r="A4351" t="str">
            <v>British Virgin Islands</v>
          </cell>
          <cell r="B4351">
            <v>92</v>
          </cell>
          <cell r="C4351">
            <v>203</v>
          </cell>
          <cell r="D4351">
            <v>4</v>
          </cell>
          <cell r="E4351" t="str">
            <v>Compensation of employees</v>
          </cell>
          <cell r="F4351">
            <v>12</v>
          </cell>
          <cell r="G4351">
            <v>1987</v>
          </cell>
          <cell r="H4351">
            <v>20</v>
          </cell>
          <cell r="I4351">
            <v>53620000</v>
          </cell>
        </row>
        <row r="4352">
          <cell r="A4352" t="str">
            <v>British Virgin Islands</v>
          </cell>
          <cell r="B4352">
            <v>92</v>
          </cell>
          <cell r="C4352">
            <v>203</v>
          </cell>
          <cell r="D4352">
            <v>4</v>
          </cell>
          <cell r="E4352" t="str">
            <v>Compensation of employees</v>
          </cell>
          <cell r="F4352">
            <v>12</v>
          </cell>
          <cell r="G4352">
            <v>1995</v>
          </cell>
          <cell r="H4352">
            <v>100</v>
          </cell>
          <cell r="I4352">
            <v>146571000</v>
          </cell>
        </row>
        <row r="4353">
          <cell r="A4353" t="str">
            <v>British Virgin Islands</v>
          </cell>
          <cell r="B4353">
            <v>92</v>
          </cell>
          <cell r="C4353">
            <v>203</v>
          </cell>
          <cell r="D4353">
            <v>4</v>
          </cell>
          <cell r="E4353" t="str">
            <v>Compensation of employees</v>
          </cell>
          <cell r="F4353">
            <v>12</v>
          </cell>
          <cell r="G4353">
            <v>1996</v>
          </cell>
          <cell r="H4353">
            <v>100</v>
          </cell>
          <cell r="I4353">
            <v>159385000</v>
          </cell>
        </row>
        <row r="4354">
          <cell r="A4354" t="str">
            <v>British Virgin Islands</v>
          </cell>
          <cell r="B4354">
            <v>92</v>
          </cell>
          <cell r="C4354">
            <v>203</v>
          </cell>
          <cell r="D4354">
            <v>4</v>
          </cell>
          <cell r="E4354" t="str">
            <v>Compensation of employees</v>
          </cell>
          <cell r="F4354">
            <v>12</v>
          </cell>
          <cell r="G4354">
            <v>1997</v>
          </cell>
          <cell r="H4354">
            <v>100</v>
          </cell>
          <cell r="I4354">
            <v>201349000</v>
          </cell>
        </row>
        <row r="4355">
          <cell r="A4355" t="str">
            <v>British Virgin Islands</v>
          </cell>
          <cell r="B4355">
            <v>92</v>
          </cell>
          <cell r="C4355">
            <v>203</v>
          </cell>
          <cell r="D4355">
            <v>4</v>
          </cell>
          <cell r="E4355" t="str">
            <v>Compensation of employees</v>
          </cell>
          <cell r="F4355">
            <v>12</v>
          </cell>
          <cell r="G4355">
            <v>1998</v>
          </cell>
          <cell r="H4355">
            <v>100</v>
          </cell>
          <cell r="I4355">
            <v>230059000</v>
          </cell>
        </row>
        <row r="4356">
          <cell r="A4356" t="str">
            <v>British Virgin Islands</v>
          </cell>
          <cell r="B4356">
            <v>92</v>
          </cell>
          <cell r="C4356">
            <v>203</v>
          </cell>
          <cell r="D4356">
            <v>4</v>
          </cell>
          <cell r="E4356" t="str">
            <v>Compensation of employees</v>
          </cell>
          <cell r="F4356">
            <v>12</v>
          </cell>
          <cell r="G4356">
            <v>1999</v>
          </cell>
          <cell r="H4356">
            <v>100</v>
          </cell>
          <cell r="I4356">
            <v>245729000</v>
          </cell>
        </row>
        <row r="4357">
          <cell r="A4357" t="str">
            <v>Fiji</v>
          </cell>
          <cell r="B4357">
            <v>242</v>
          </cell>
          <cell r="C4357">
            <v>203</v>
          </cell>
          <cell r="D4357">
            <v>4</v>
          </cell>
          <cell r="E4357" t="str">
            <v>Compensation of employees</v>
          </cell>
          <cell r="F4357">
            <v>12</v>
          </cell>
          <cell r="G4357">
            <v>1977</v>
          </cell>
          <cell r="H4357">
            <v>10</v>
          </cell>
          <cell r="I4357">
            <v>288000000</v>
          </cell>
        </row>
        <row r="4358">
          <cell r="A4358" t="str">
            <v>Fiji</v>
          </cell>
          <cell r="B4358">
            <v>242</v>
          </cell>
          <cell r="C4358">
            <v>203</v>
          </cell>
          <cell r="D4358">
            <v>4</v>
          </cell>
          <cell r="E4358" t="str">
            <v>Compensation of employees</v>
          </cell>
          <cell r="F4358">
            <v>12</v>
          </cell>
          <cell r="G4358">
            <v>1978</v>
          </cell>
          <cell r="H4358">
            <v>10</v>
          </cell>
          <cell r="I4358">
            <v>313000000</v>
          </cell>
        </row>
        <row r="4359">
          <cell r="A4359" t="str">
            <v>Fiji</v>
          </cell>
          <cell r="B4359">
            <v>242</v>
          </cell>
          <cell r="C4359">
            <v>203</v>
          </cell>
          <cell r="D4359">
            <v>4</v>
          </cell>
          <cell r="E4359" t="str">
            <v>Compensation of employees</v>
          </cell>
          <cell r="F4359">
            <v>12</v>
          </cell>
          <cell r="G4359">
            <v>1979</v>
          </cell>
          <cell r="H4359">
            <v>10</v>
          </cell>
          <cell r="I4359">
            <v>357000000</v>
          </cell>
        </row>
        <row r="4360">
          <cell r="A4360" t="str">
            <v>Fiji</v>
          </cell>
          <cell r="B4360">
            <v>242</v>
          </cell>
          <cell r="C4360">
            <v>203</v>
          </cell>
          <cell r="D4360">
            <v>4</v>
          </cell>
          <cell r="E4360" t="str">
            <v>Compensation of employees</v>
          </cell>
          <cell r="F4360">
            <v>12</v>
          </cell>
          <cell r="G4360">
            <v>1980</v>
          </cell>
          <cell r="H4360">
            <v>10</v>
          </cell>
          <cell r="I4360">
            <v>426000000</v>
          </cell>
        </row>
        <row r="4361">
          <cell r="A4361" t="str">
            <v>Fiji</v>
          </cell>
          <cell r="B4361">
            <v>242</v>
          </cell>
          <cell r="C4361">
            <v>203</v>
          </cell>
          <cell r="D4361">
            <v>4</v>
          </cell>
          <cell r="E4361" t="str">
            <v>Compensation of employees</v>
          </cell>
          <cell r="F4361">
            <v>12</v>
          </cell>
          <cell r="G4361">
            <v>1981</v>
          </cell>
          <cell r="H4361">
            <v>10</v>
          </cell>
          <cell r="I4361">
            <v>483000000</v>
          </cell>
        </row>
        <row r="4362">
          <cell r="A4362" t="str">
            <v>Fiji</v>
          </cell>
          <cell r="B4362">
            <v>242</v>
          </cell>
          <cell r="C4362">
            <v>203</v>
          </cell>
          <cell r="D4362">
            <v>4</v>
          </cell>
          <cell r="E4362" t="str">
            <v>Compensation of employees</v>
          </cell>
          <cell r="F4362">
            <v>12</v>
          </cell>
          <cell r="G4362">
            <v>1982</v>
          </cell>
          <cell r="H4362">
            <v>10</v>
          </cell>
          <cell r="I4362">
            <v>531000000</v>
          </cell>
        </row>
        <row r="4363">
          <cell r="A4363" t="str">
            <v>Fiji</v>
          </cell>
          <cell r="B4363">
            <v>242</v>
          </cell>
          <cell r="C4363">
            <v>203</v>
          </cell>
          <cell r="D4363">
            <v>4</v>
          </cell>
          <cell r="E4363" t="str">
            <v>Compensation of employees</v>
          </cell>
          <cell r="F4363">
            <v>12</v>
          </cell>
          <cell r="G4363">
            <v>1983</v>
          </cell>
          <cell r="H4363">
            <v>10</v>
          </cell>
          <cell r="I4363">
            <v>559000000</v>
          </cell>
        </row>
        <row r="4364">
          <cell r="A4364" t="str">
            <v>Fiji</v>
          </cell>
          <cell r="B4364">
            <v>242</v>
          </cell>
          <cell r="C4364">
            <v>203</v>
          </cell>
          <cell r="D4364">
            <v>4</v>
          </cell>
          <cell r="E4364" t="str">
            <v>Compensation of employees</v>
          </cell>
          <cell r="F4364">
            <v>12</v>
          </cell>
          <cell r="G4364">
            <v>1984</v>
          </cell>
          <cell r="H4364">
            <v>10</v>
          </cell>
          <cell r="I4364">
            <v>608000000</v>
          </cell>
        </row>
        <row r="4365">
          <cell r="A4365" t="str">
            <v>Fiji</v>
          </cell>
          <cell r="B4365">
            <v>242</v>
          </cell>
          <cell r="C4365">
            <v>203</v>
          </cell>
          <cell r="D4365">
            <v>4</v>
          </cell>
          <cell r="E4365" t="str">
            <v>Compensation of employees</v>
          </cell>
          <cell r="F4365">
            <v>12</v>
          </cell>
          <cell r="G4365">
            <v>1985</v>
          </cell>
          <cell r="H4365">
            <v>10</v>
          </cell>
          <cell r="I4365">
            <v>596000000</v>
          </cell>
        </row>
        <row r="4366">
          <cell r="A4366" t="str">
            <v>Fiji</v>
          </cell>
          <cell r="B4366">
            <v>242</v>
          </cell>
          <cell r="C4366">
            <v>203</v>
          </cell>
          <cell r="D4366">
            <v>4</v>
          </cell>
          <cell r="E4366" t="str">
            <v>Compensation of employees</v>
          </cell>
          <cell r="F4366">
            <v>12</v>
          </cell>
          <cell r="G4366">
            <v>1986</v>
          </cell>
          <cell r="H4366">
            <v>10</v>
          </cell>
          <cell r="I4366">
            <v>641000000</v>
          </cell>
        </row>
        <row r="4367">
          <cell r="A4367" t="str">
            <v>Fiji</v>
          </cell>
          <cell r="B4367">
            <v>242</v>
          </cell>
          <cell r="C4367">
            <v>203</v>
          </cell>
          <cell r="D4367">
            <v>4</v>
          </cell>
          <cell r="E4367" t="str">
            <v>Compensation of employees</v>
          </cell>
          <cell r="F4367">
            <v>12</v>
          </cell>
          <cell r="G4367">
            <v>1987</v>
          </cell>
          <cell r="H4367">
            <v>10</v>
          </cell>
          <cell r="I4367">
            <v>612000000</v>
          </cell>
        </row>
        <row r="4368">
          <cell r="A4368" t="str">
            <v>Fiji</v>
          </cell>
          <cell r="B4368">
            <v>242</v>
          </cell>
          <cell r="C4368">
            <v>203</v>
          </cell>
          <cell r="D4368">
            <v>4</v>
          </cell>
          <cell r="E4368" t="str">
            <v>Compensation of employees</v>
          </cell>
          <cell r="F4368">
            <v>12</v>
          </cell>
          <cell r="G4368">
            <v>1988</v>
          </cell>
          <cell r="H4368">
            <v>10</v>
          </cell>
          <cell r="I4368">
            <v>654000000</v>
          </cell>
        </row>
        <row r="4369">
          <cell r="A4369" t="str">
            <v>Fiji</v>
          </cell>
          <cell r="B4369">
            <v>242</v>
          </cell>
          <cell r="C4369">
            <v>203</v>
          </cell>
          <cell r="D4369">
            <v>4</v>
          </cell>
          <cell r="E4369" t="str">
            <v>Compensation of employees</v>
          </cell>
          <cell r="F4369">
            <v>12</v>
          </cell>
          <cell r="G4369">
            <v>1989</v>
          </cell>
          <cell r="H4369">
            <v>10</v>
          </cell>
          <cell r="I4369">
            <v>757000000</v>
          </cell>
        </row>
        <row r="4370">
          <cell r="A4370" t="str">
            <v>Fiji</v>
          </cell>
          <cell r="B4370">
            <v>242</v>
          </cell>
          <cell r="C4370">
            <v>203</v>
          </cell>
          <cell r="D4370">
            <v>4</v>
          </cell>
          <cell r="E4370" t="str">
            <v>Compensation of employees</v>
          </cell>
          <cell r="F4370">
            <v>12</v>
          </cell>
          <cell r="G4370">
            <v>1996</v>
          </cell>
          <cell r="H4370">
            <v>10</v>
          </cell>
          <cell r="I4370">
            <v>1063075000</v>
          </cell>
        </row>
        <row r="4371">
          <cell r="A4371" t="str">
            <v>Fiji</v>
          </cell>
          <cell r="B4371">
            <v>242</v>
          </cell>
          <cell r="C4371">
            <v>203</v>
          </cell>
          <cell r="D4371">
            <v>4</v>
          </cell>
          <cell r="E4371" t="str">
            <v>Compensation of employees</v>
          </cell>
          <cell r="F4371">
            <v>12</v>
          </cell>
          <cell r="G4371">
            <v>1997</v>
          </cell>
          <cell r="H4371">
            <v>10</v>
          </cell>
          <cell r="I4371">
            <v>1172678000</v>
          </cell>
        </row>
        <row r="4372">
          <cell r="A4372" t="str">
            <v>Fiji</v>
          </cell>
          <cell r="B4372">
            <v>242</v>
          </cell>
          <cell r="C4372">
            <v>203</v>
          </cell>
          <cell r="D4372">
            <v>4</v>
          </cell>
          <cell r="E4372" t="str">
            <v>Compensation of employees</v>
          </cell>
          <cell r="F4372">
            <v>12</v>
          </cell>
          <cell r="G4372">
            <v>1998</v>
          </cell>
          <cell r="H4372">
            <v>10</v>
          </cell>
          <cell r="I4372">
            <v>1319497000</v>
          </cell>
        </row>
        <row r="4373">
          <cell r="A4373" t="str">
            <v>Fiji</v>
          </cell>
          <cell r="B4373">
            <v>242</v>
          </cell>
          <cell r="C4373">
            <v>203</v>
          </cell>
          <cell r="D4373">
            <v>4</v>
          </cell>
          <cell r="E4373" t="str">
            <v>Compensation of employees</v>
          </cell>
          <cell r="F4373">
            <v>12</v>
          </cell>
          <cell r="G4373">
            <v>1999</v>
          </cell>
          <cell r="H4373">
            <v>10</v>
          </cell>
          <cell r="I4373">
            <v>1308545000</v>
          </cell>
        </row>
        <row r="4374">
          <cell r="A4374" t="str">
            <v>Fiji</v>
          </cell>
          <cell r="B4374">
            <v>242</v>
          </cell>
          <cell r="C4374">
            <v>203</v>
          </cell>
          <cell r="D4374">
            <v>4</v>
          </cell>
          <cell r="E4374" t="str">
            <v>Compensation of employees</v>
          </cell>
          <cell r="F4374">
            <v>12</v>
          </cell>
          <cell r="G4374">
            <v>2000</v>
          </cell>
          <cell r="H4374">
            <v>10</v>
          </cell>
          <cell r="I4374">
            <v>1266541000</v>
          </cell>
        </row>
        <row r="4375">
          <cell r="A4375" t="str">
            <v>Fiji</v>
          </cell>
          <cell r="B4375">
            <v>242</v>
          </cell>
          <cell r="C4375">
            <v>203</v>
          </cell>
          <cell r="D4375">
            <v>4</v>
          </cell>
          <cell r="E4375" t="str">
            <v>Compensation of employees</v>
          </cell>
          <cell r="F4375">
            <v>12</v>
          </cell>
          <cell r="G4375">
            <v>2001</v>
          </cell>
          <cell r="H4375">
            <v>10</v>
          </cell>
          <cell r="I4375">
            <v>1198021000</v>
          </cell>
        </row>
        <row r="4376">
          <cell r="A4376" t="str">
            <v>Fiji</v>
          </cell>
          <cell r="B4376">
            <v>242</v>
          </cell>
          <cell r="C4376">
            <v>203</v>
          </cell>
          <cell r="D4376">
            <v>11</v>
          </cell>
          <cell r="E4376" t="str">
            <v>OPERATING SURPLUS, GROSS</v>
          </cell>
          <cell r="F4376">
            <v>12</v>
          </cell>
          <cell r="G4376">
            <v>1977</v>
          </cell>
          <cell r="H4376">
            <v>10</v>
          </cell>
          <cell r="I4376">
            <v>334000000</v>
          </cell>
        </row>
        <row r="4377">
          <cell r="A4377" t="str">
            <v>Fiji</v>
          </cell>
          <cell r="B4377">
            <v>242</v>
          </cell>
          <cell r="C4377">
            <v>203</v>
          </cell>
          <cell r="D4377">
            <v>11</v>
          </cell>
          <cell r="E4377" t="str">
            <v>OPERATING SURPLUS, GROSS</v>
          </cell>
          <cell r="F4377">
            <v>12</v>
          </cell>
          <cell r="G4377">
            <v>1978</v>
          </cell>
          <cell r="H4377">
            <v>10</v>
          </cell>
          <cell r="I4377">
            <v>347000000</v>
          </cell>
        </row>
        <row r="4378">
          <cell r="A4378" t="str">
            <v>Fiji</v>
          </cell>
          <cell r="B4378">
            <v>242</v>
          </cell>
          <cell r="C4378">
            <v>203</v>
          </cell>
          <cell r="D4378">
            <v>11</v>
          </cell>
          <cell r="E4378" t="str">
            <v>OPERATING SURPLUS, GROSS</v>
          </cell>
          <cell r="F4378">
            <v>12</v>
          </cell>
          <cell r="G4378">
            <v>1979</v>
          </cell>
          <cell r="H4378">
            <v>10</v>
          </cell>
          <cell r="I4378">
            <v>442000000</v>
          </cell>
        </row>
        <row r="4379">
          <cell r="A4379" t="str">
            <v>Fiji</v>
          </cell>
          <cell r="B4379">
            <v>242</v>
          </cell>
          <cell r="C4379">
            <v>203</v>
          </cell>
          <cell r="D4379">
            <v>11</v>
          </cell>
          <cell r="E4379" t="str">
            <v>OPERATING SURPLUS, GROSS</v>
          </cell>
          <cell r="F4379">
            <v>12</v>
          </cell>
          <cell r="G4379">
            <v>1980</v>
          </cell>
          <cell r="H4379">
            <v>10</v>
          </cell>
          <cell r="I4379">
            <v>506000000</v>
          </cell>
        </row>
        <row r="4380">
          <cell r="A4380" t="str">
            <v>Fiji</v>
          </cell>
          <cell r="B4380">
            <v>242</v>
          </cell>
          <cell r="C4380">
            <v>203</v>
          </cell>
          <cell r="D4380">
            <v>11</v>
          </cell>
          <cell r="E4380" t="str">
            <v>OPERATING SURPLUS, GROSS</v>
          </cell>
          <cell r="F4380">
            <v>12</v>
          </cell>
          <cell r="G4380">
            <v>1981</v>
          </cell>
          <cell r="H4380">
            <v>10</v>
          </cell>
          <cell r="I4380">
            <v>516000000</v>
          </cell>
        </row>
        <row r="4381">
          <cell r="A4381" t="str">
            <v>Fiji</v>
          </cell>
          <cell r="B4381">
            <v>242</v>
          </cell>
          <cell r="C4381">
            <v>203</v>
          </cell>
          <cell r="D4381">
            <v>11</v>
          </cell>
          <cell r="E4381" t="str">
            <v>OPERATING SURPLUS, GROSS</v>
          </cell>
          <cell r="F4381">
            <v>12</v>
          </cell>
          <cell r="G4381">
            <v>1982</v>
          </cell>
          <cell r="H4381">
            <v>10</v>
          </cell>
          <cell r="I4381">
            <v>538000000</v>
          </cell>
        </row>
        <row r="4382">
          <cell r="A4382" t="str">
            <v>Fiji</v>
          </cell>
          <cell r="B4382">
            <v>242</v>
          </cell>
          <cell r="C4382">
            <v>203</v>
          </cell>
          <cell r="D4382">
            <v>11</v>
          </cell>
          <cell r="E4382" t="str">
            <v>OPERATING SURPLUS, GROSS</v>
          </cell>
          <cell r="F4382">
            <v>12</v>
          </cell>
          <cell r="G4382">
            <v>1983</v>
          </cell>
          <cell r="H4382">
            <v>10</v>
          </cell>
          <cell r="I4382">
            <v>520000000</v>
          </cell>
        </row>
        <row r="4383">
          <cell r="A4383" t="str">
            <v>Fiji</v>
          </cell>
          <cell r="B4383">
            <v>242</v>
          </cell>
          <cell r="C4383">
            <v>203</v>
          </cell>
          <cell r="D4383">
            <v>11</v>
          </cell>
          <cell r="E4383" t="str">
            <v>OPERATING SURPLUS, GROSS</v>
          </cell>
          <cell r="F4383">
            <v>12</v>
          </cell>
          <cell r="G4383">
            <v>1984</v>
          </cell>
          <cell r="H4383">
            <v>10</v>
          </cell>
          <cell r="I4383">
            <v>584000000</v>
          </cell>
        </row>
        <row r="4384">
          <cell r="A4384" t="str">
            <v>Fiji</v>
          </cell>
          <cell r="B4384">
            <v>242</v>
          </cell>
          <cell r="C4384">
            <v>203</v>
          </cell>
          <cell r="D4384">
            <v>11</v>
          </cell>
          <cell r="E4384" t="str">
            <v>OPERATING SURPLUS, GROSS</v>
          </cell>
          <cell r="F4384">
            <v>12</v>
          </cell>
          <cell r="G4384">
            <v>1985</v>
          </cell>
          <cell r="H4384">
            <v>10</v>
          </cell>
          <cell r="I4384">
            <v>629000000</v>
          </cell>
        </row>
        <row r="4385">
          <cell r="A4385" t="str">
            <v>Fiji</v>
          </cell>
          <cell r="B4385">
            <v>242</v>
          </cell>
          <cell r="C4385">
            <v>203</v>
          </cell>
          <cell r="D4385">
            <v>11</v>
          </cell>
          <cell r="E4385" t="str">
            <v>OPERATING SURPLUS, GROSS</v>
          </cell>
          <cell r="F4385">
            <v>12</v>
          </cell>
          <cell r="G4385">
            <v>1986</v>
          </cell>
          <cell r="H4385">
            <v>10</v>
          </cell>
          <cell r="I4385">
            <v>749000000</v>
          </cell>
        </row>
        <row r="4386">
          <cell r="A4386" t="str">
            <v>Fiji</v>
          </cell>
          <cell r="B4386">
            <v>242</v>
          </cell>
          <cell r="C4386">
            <v>203</v>
          </cell>
          <cell r="D4386">
            <v>11</v>
          </cell>
          <cell r="E4386" t="str">
            <v>OPERATING SURPLUS, GROSS</v>
          </cell>
          <cell r="F4386">
            <v>12</v>
          </cell>
          <cell r="G4386">
            <v>1987</v>
          </cell>
          <cell r="H4386">
            <v>10</v>
          </cell>
          <cell r="I4386">
            <v>787000000</v>
          </cell>
        </row>
        <row r="4387">
          <cell r="A4387" t="str">
            <v>Fiji</v>
          </cell>
          <cell r="B4387">
            <v>242</v>
          </cell>
          <cell r="C4387">
            <v>203</v>
          </cell>
          <cell r="D4387">
            <v>11</v>
          </cell>
          <cell r="E4387" t="str">
            <v>OPERATING SURPLUS, GROSS</v>
          </cell>
          <cell r="F4387">
            <v>12</v>
          </cell>
          <cell r="G4387">
            <v>1988</v>
          </cell>
          <cell r="H4387">
            <v>10</v>
          </cell>
          <cell r="I4387">
            <v>863000000</v>
          </cell>
        </row>
        <row r="4388">
          <cell r="A4388" t="str">
            <v>Fiji</v>
          </cell>
          <cell r="B4388">
            <v>242</v>
          </cell>
          <cell r="C4388">
            <v>203</v>
          </cell>
          <cell r="D4388">
            <v>11</v>
          </cell>
          <cell r="E4388" t="str">
            <v>OPERATING SURPLUS, GROSS</v>
          </cell>
          <cell r="F4388">
            <v>12</v>
          </cell>
          <cell r="G4388">
            <v>1989</v>
          </cell>
          <cell r="H4388">
            <v>10</v>
          </cell>
          <cell r="I4388">
            <v>1002000000</v>
          </cell>
        </row>
        <row r="4389">
          <cell r="A4389" t="str">
            <v>Fiji</v>
          </cell>
          <cell r="B4389">
            <v>242</v>
          </cell>
          <cell r="C4389">
            <v>203</v>
          </cell>
          <cell r="D4389">
            <v>11</v>
          </cell>
          <cell r="E4389" t="str">
            <v>OPERATING SURPLUS, GROSS</v>
          </cell>
          <cell r="F4389">
            <v>12</v>
          </cell>
          <cell r="G4389">
            <v>1996</v>
          </cell>
          <cell r="H4389">
            <v>10</v>
          </cell>
          <cell r="I4389">
            <v>1285883000</v>
          </cell>
        </row>
        <row r="4390">
          <cell r="A4390" t="str">
            <v>Fiji</v>
          </cell>
          <cell r="B4390">
            <v>242</v>
          </cell>
          <cell r="C4390">
            <v>203</v>
          </cell>
          <cell r="D4390">
            <v>11</v>
          </cell>
          <cell r="E4390" t="str">
            <v>OPERATING SURPLUS, GROSS</v>
          </cell>
          <cell r="F4390">
            <v>12</v>
          </cell>
          <cell r="G4390">
            <v>1997</v>
          </cell>
          <cell r="H4390">
            <v>10</v>
          </cell>
          <cell r="I4390">
            <v>1240623000</v>
          </cell>
        </row>
        <row r="4391">
          <cell r="A4391" t="str">
            <v>Fiji</v>
          </cell>
          <cell r="B4391">
            <v>242</v>
          </cell>
          <cell r="C4391">
            <v>203</v>
          </cell>
          <cell r="D4391">
            <v>11</v>
          </cell>
          <cell r="E4391" t="str">
            <v>OPERATING SURPLUS, GROSS</v>
          </cell>
          <cell r="F4391">
            <v>12</v>
          </cell>
          <cell r="G4391">
            <v>1998</v>
          </cell>
          <cell r="H4391">
            <v>10</v>
          </cell>
          <cell r="I4391">
            <v>1172800000</v>
          </cell>
        </row>
        <row r="4392">
          <cell r="A4392" t="str">
            <v>Fiji</v>
          </cell>
          <cell r="B4392">
            <v>242</v>
          </cell>
          <cell r="C4392">
            <v>203</v>
          </cell>
          <cell r="D4392">
            <v>11</v>
          </cell>
          <cell r="E4392" t="str">
            <v>OPERATING SURPLUS, GROSS</v>
          </cell>
          <cell r="F4392">
            <v>12</v>
          </cell>
          <cell r="G4392">
            <v>1999</v>
          </cell>
          <cell r="H4392">
            <v>10</v>
          </cell>
          <cell r="I4392">
            <v>1497059000</v>
          </cell>
        </row>
        <row r="4393">
          <cell r="A4393" t="str">
            <v>Fiji</v>
          </cell>
          <cell r="B4393">
            <v>242</v>
          </cell>
          <cell r="C4393">
            <v>203</v>
          </cell>
          <cell r="D4393">
            <v>11</v>
          </cell>
          <cell r="E4393" t="str">
            <v>OPERATING SURPLUS, GROSS</v>
          </cell>
          <cell r="F4393">
            <v>12</v>
          </cell>
          <cell r="G4393">
            <v>2000</v>
          </cell>
          <cell r="H4393">
            <v>10</v>
          </cell>
          <cell r="I4393">
            <v>1541135000</v>
          </cell>
        </row>
        <row r="4394">
          <cell r="A4394" t="str">
            <v>Fiji</v>
          </cell>
          <cell r="B4394">
            <v>242</v>
          </cell>
          <cell r="C4394">
            <v>203</v>
          </cell>
          <cell r="D4394">
            <v>11</v>
          </cell>
          <cell r="E4394" t="str">
            <v>OPERATING SURPLUS, GROSS</v>
          </cell>
          <cell r="F4394">
            <v>12</v>
          </cell>
          <cell r="G4394">
            <v>2001</v>
          </cell>
          <cell r="H4394">
            <v>10</v>
          </cell>
          <cell r="I4394">
            <v>1803709000</v>
          </cell>
        </row>
        <row r="4395">
          <cell r="A4395" t="str">
            <v>British Virgin Islands</v>
          </cell>
          <cell r="B4395">
            <v>92</v>
          </cell>
          <cell r="C4395">
            <v>203</v>
          </cell>
          <cell r="D4395">
            <v>11</v>
          </cell>
          <cell r="E4395" t="str">
            <v>OPERATING SURPLUS, GROSS</v>
          </cell>
          <cell r="F4395">
            <v>12</v>
          </cell>
          <cell r="G4395">
            <v>1970</v>
          </cell>
          <cell r="H4395">
            <v>10</v>
          </cell>
          <cell r="I4395">
            <v>5967000</v>
          </cell>
        </row>
        <row r="4396">
          <cell r="A4396" t="str">
            <v>British Virgin Islands</v>
          </cell>
          <cell r="B4396">
            <v>92</v>
          </cell>
          <cell r="C4396">
            <v>203</v>
          </cell>
          <cell r="D4396">
            <v>11</v>
          </cell>
          <cell r="E4396" t="str">
            <v>OPERATING SURPLUS, GROSS</v>
          </cell>
          <cell r="F4396">
            <v>12</v>
          </cell>
          <cell r="G4396">
            <v>1971</v>
          </cell>
          <cell r="H4396">
            <v>10</v>
          </cell>
          <cell r="I4396">
            <v>4963000</v>
          </cell>
        </row>
        <row r="4397">
          <cell r="A4397" t="str">
            <v>British Virgin Islands</v>
          </cell>
          <cell r="B4397">
            <v>92</v>
          </cell>
          <cell r="C4397">
            <v>203</v>
          </cell>
          <cell r="D4397">
            <v>11</v>
          </cell>
          <cell r="E4397" t="str">
            <v>OPERATING SURPLUS, GROSS</v>
          </cell>
          <cell r="F4397">
            <v>12</v>
          </cell>
          <cell r="G4397">
            <v>1972</v>
          </cell>
          <cell r="H4397">
            <v>10</v>
          </cell>
          <cell r="I4397">
            <v>4626000</v>
          </cell>
        </row>
        <row r="4398">
          <cell r="A4398" t="str">
            <v>British Virgin Islands</v>
          </cell>
          <cell r="B4398">
            <v>92</v>
          </cell>
          <cell r="C4398">
            <v>203</v>
          </cell>
          <cell r="D4398">
            <v>11</v>
          </cell>
          <cell r="E4398" t="str">
            <v>OPERATING SURPLUS, GROSS</v>
          </cell>
          <cell r="F4398">
            <v>12</v>
          </cell>
          <cell r="G4398">
            <v>1973</v>
          </cell>
          <cell r="H4398">
            <v>10</v>
          </cell>
          <cell r="I4398">
            <v>5861000</v>
          </cell>
        </row>
        <row r="4399">
          <cell r="A4399" t="str">
            <v>British Virgin Islands</v>
          </cell>
          <cell r="B4399">
            <v>92</v>
          </cell>
          <cell r="C4399">
            <v>203</v>
          </cell>
          <cell r="D4399">
            <v>11</v>
          </cell>
          <cell r="E4399" t="str">
            <v>OPERATING SURPLUS, GROSS</v>
          </cell>
          <cell r="F4399">
            <v>12</v>
          </cell>
          <cell r="G4399">
            <v>1974</v>
          </cell>
          <cell r="H4399">
            <v>10</v>
          </cell>
          <cell r="I4399">
            <v>7134000</v>
          </cell>
        </row>
        <row r="4400">
          <cell r="A4400" t="str">
            <v>British Virgin Islands</v>
          </cell>
          <cell r="B4400">
            <v>92</v>
          </cell>
          <cell r="C4400">
            <v>203</v>
          </cell>
          <cell r="D4400">
            <v>11</v>
          </cell>
          <cell r="E4400" t="str">
            <v>OPERATING SURPLUS, GROSS</v>
          </cell>
          <cell r="F4400">
            <v>12</v>
          </cell>
          <cell r="G4400">
            <v>1975</v>
          </cell>
          <cell r="H4400">
            <v>10</v>
          </cell>
          <cell r="I4400">
            <v>8378000</v>
          </cell>
        </row>
        <row r="4401">
          <cell r="A4401" t="str">
            <v>British Virgin Islands</v>
          </cell>
          <cell r="B4401">
            <v>92</v>
          </cell>
          <cell r="C4401">
            <v>203</v>
          </cell>
          <cell r="D4401">
            <v>11</v>
          </cell>
          <cell r="E4401" t="str">
            <v>OPERATING SURPLUS, GROSS</v>
          </cell>
          <cell r="F4401">
            <v>12</v>
          </cell>
          <cell r="G4401">
            <v>1976</v>
          </cell>
          <cell r="H4401">
            <v>10</v>
          </cell>
          <cell r="I4401">
            <v>8578000</v>
          </cell>
        </row>
        <row r="4402">
          <cell r="A4402" t="str">
            <v>British Virgin Islands</v>
          </cell>
          <cell r="B4402">
            <v>92</v>
          </cell>
          <cell r="C4402">
            <v>203</v>
          </cell>
          <cell r="D4402">
            <v>11</v>
          </cell>
          <cell r="E4402" t="str">
            <v>OPERATING SURPLUS, GROSS</v>
          </cell>
          <cell r="F4402">
            <v>12</v>
          </cell>
          <cell r="G4402">
            <v>1977</v>
          </cell>
          <cell r="H4402">
            <v>10</v>
          </cell>
          <cell r="I4402">
            <v>9479000</v>
          </cell>
        </row>
        <row r="4403">
          <cell r="A4403" t="str">
            <v>British Virgin Islands</v>
          </cell>
          <cell r="B4403">
            <v>92</v>
          </cell>
          <cell r="C4403">
            <v>203</v>
          </cell>
          <cell r="D4403">
            <v>11</v>
          </cell>
          <cell r="E4403" t="str">
            <v>OPERATING SURPLUS, GROSS</v>
          </cell>
          <cell r="F4403">
            <v>12</v>
          </cell>
          <cell r="G4403">
            <v>1984</v>
          </cell>
          <cell r="H4403">
            <v>20</v>
          </cell>
          <cell r="I4403">
            <v>41680000</v>
          </cell>
        </row>
        <row r="4404">
          <cell r="A4404" t="str">
            <v>British Virgin Islands</v>
          </cell>
          <cell r="B4404">
            <v>92</v>
          </cell>
          <cell r="C4404">
            <v>203</v>
          </cell>
          <cell r="D4404">
            <v>11</v>
          </cell>
          <cell r="E4404" t="str">
            <v>OPERATING SURPLUS, GROSS</v>
          </cell>
          <cell r="F4404">
            <v>12</v>
          </cell>
          <cell r="G4404">
            <v>1985</v>
          </cell>
          <cell r="H4404">
            <v>20</v>
          </cell>
          <cell r="I4404">
            <v>44050000</v>
          </cell>
        </row>
        <row r="4405">
          <cell r="A4405" t="str">
            <v>British Virgin Islands</v>
          </cell>
          <cell r="B4405">
            <v>92</v>
          </cell>
          <cell r="C4405">
            <v>203</v>
          </cell>
          <cell r="D4405">
            <v>11</v>
          </cell>
          <cell r="E4405" t="str">
            <v>OPERATING SURPLUS, GROSS</v>
          </cell>
          <cell r="F4405">
            <v>12</v>
          </cell>
          <cell r="G4405">
            <v>1986</v>
          </cell>
          <cell r="H4405">
            <v>20</v>
          </cell>
          <cell r="I4405">
            <v>48870000</v>
          </cell>
        </row>
        <row r="4406">
          <cell r="A4406" t="str">
            <v>British Virgin Islands</v>
          </cell>
          <cell r="B4406">
            <v>92</v>
          </cell>
          <cell r="C4406">
            <v>203</v>
          </cell>
          <cell r="D4406">
            <v>11</v>
          </cell>
          <cell r="E4406" t="str">
            <v>OPERATING SURPLUS, GROSS</v>
          </cell>
          <cell r="F4406">
            <v>12</v>
          </cell>
          <cell r="G4406">
            <v>1987</v>
          </cell>
          <cell r="H4406">
            <v>20</v>
          </cell>
          <cell r="I4406">
            <v>50120000</v>
          </cell>
        </row>
        <row r="4407">
          <cell r="A4407" t="str">
            <v>British Virgin Islands</v>
          </cell>
          <cell r="B4407">
            <v>92</v>
          </cell>
          <cell r="C4407">
            <v>203</v>
          </cell>
          <cell r="D4407">
            <v>11</v>
          </cell>
          <cell r="E4407" t="str">
            <v>OPERATING SURPLUS, GROSS</v>
          </cell>
          <cell r="F4407">
            <v>12</v>
          </cell>
          <cell r="G4407">
            <v>1995</v>
          </cell>
          <cell r="H4407">
            <v>100</v>
          </cell>
          <cell r="I4407">
            <v>203488000</v>
          </cell>
        </row>
        <row r="4408">
          <cell r="A4408" t="str">
            <v>British Virgin Islands</v>
          </cell>
          <cell r="B4408">
            <v>92</v>
          </cell>
          <cell r="C4408">
            <v>203</v>
          </cell>
          <cell r="D4408">
            <v>11</v>
          </cell>
          <cell r="E4408" t="str">
            <v>OPERATING SURPLUS, GROSS</v>
          </cell>
          <cell r="F4408">
            <v>12</v>
          </cell>
          <cell r="G4408">
            <v>1996</v>
          </cell>
          <cell r="H4408">
            <v>100</v>
          </cell>
          <cell r="I4408">
            <v>243875000</v>
          </cell>
        </row>
        <row r="4409">
          <cell r="A4409" t="str">
            <v>British Virgin Islands</v>
          </cell>
          <cell r="B4409">
            <v>92</v>
          </cell>
          <cell r="C4409">
            <v>203</v>
          </cell>
          <cell r="D4409">
            <v>11</v>
          </cell>
          <cell r="E4409" t="str">
            <v>OPERATING SURPLUS, GROSS</v>
          </cell>
          <cell r="F4409">
            <v>12</v>
          </cell>
          <cell r="G4409">
            <v>1997</v>
          </cell>
          <cell r="H4409">
            <v>100</v>
          </cell>
          <cell r="I4409">
            <v>268936000</v>
          </cell>
        </row>
        <row r="4410">
          <cell r="A4410" t="str">
            <v>British Virgin Islands</v>
          </cell>
          <cell r="B4410">
            <v>92</v>
          </cell>
          <cell r="C4410">
            <v>203</v>
          </cell>
          <cell r="D4410">
            <v>11</v>
          </cell>
          <cell r="E4410" t="str">
            <v>OPERATING SURPLUS, GROSS</v>
          </cell>
          <cell r="F4410">
            <v>12</v>
          </cell>
          <cell r="G4410">
            <v>1998</v>
          </cell>
          <cell r="H4410">
            <v>100</v>
          </cell>
          <cell r="I4410">
            <v>321039000</v>
          </cell>
        </row>
        <row r="4411">
          <cell r="A4411" t="str">
            <v>British Virgin Islands</v>
          </cell>
          <cell r="B4411">
            <v>92</v>
          </cell>
          <cell r="C4411">
            <v>203</v>
          </cell>
          <cell r="D4411">
            <v>11</v>
          </cell>
          <cell r="E4411" t="str">
            <v>OPERATING SURPLUS, GROSS</v>
          </cell>
          <cell r="F4411">
            <v>12</v>
          </cell>
          <cell r="G4411">
            <v>1999</v>
          </cell>
          <cell r="H4411">
            <v>100</v>
          </cell>
          <cell r="I4411">
            <v>367121000</v>
          </cell>
        </row>
        <row r="4412">
          <cell r="A4412" t="str">
            <v>British Virgin Islands</v>
          </cell>
          <cell r="B4412">
            <v>92</v>
          </cell>
          <cell r="C4412">
            <v>203</v>
          </cell>
          <cell r="D4412">
            <v>22</v>
          </cell>
          <cell r="E4412" t="str">
            <v>Taxes on production and imports, less Subsidies</v>
          </cell>
          <cell r="F4412">
            <v>12</v>
          </cell>
          <cell r="G4412">
            <v>1995</v>
          </cell>
          <cell r="H4412">
            <v>100</v>
          </cell>
          <cell r="I4412">
            <v>17444000</v>
          </cell>
        </row>
        <row r="4413">
          <cell r="A4413" t="str">
            <v>British Virgin Islands</v>
          </cell>
          <cell r="B4413">
            <v>92</v>
          </cell>
          <cell r="C4413">
            <v>203</v>
          </cell>
          <cell r="D4413">
            <v>22</v>
          </cell>
          <cell r="E4413" t="str">
            <v>Taxes on production and imports, less Subsidies</v>
          </cell>
          <cell r="F4413">
            <v>12</v>
          </cell>
          <cell r="G4413">
            <v>1996</v>
          </cell>
          <cell r="H4413">
            <v>100</v>
          </cell>
          <cell r="I4413">
            <v>19916000</v>
          </cell>
        </row>
        <row r="4414">
          <cell r="A4414" t="str">
            <v>British Virgin Islands</v>
          </cell>
          <cell r="B4414">
            <v>92</v>
          </cell>
          <cell r="C4414">
            <v>203</v>
          </cell>
          <cell r="D4414">
            <v>22</v>
          </cell>
          <cell r="E4414" t="str">
            <v>Taxes on production and imports, less Subsidies</v>
          </cell>
          <cell r="F4414">
            <v>12</v>
          </cell>
          <cell r="G4414">
            <v>1997</v>
          </cell>
          <cell r="H4414">
            <v>100</v>
          </cell>
          <cell r="I4414">
            <v>22456000</v>
          </cell>
        </row>
        <row r="4415">
          <cell r="A4415" t="str">
            <v>British Virgin Islands</v>
          </cell>
          <cell r="B4415">
            <v>92</v>
          </cell>
          <cell r="C4415">
            <v>203</v>
          </cell>
          <cell r="D4415">
            <v>22</v>
          </cell>
          <cell r="E4415" t="str">
            <v>Taxes on production and imports, less Subsidies</v>
          </cell>
          <cell r="F4415">
            <v>12</v>
          </cell>
          <cell r="G4415">
            <v>1998</v>
          </cell>
          <cell r="H4415">
            <v>100</v>
          </cell>
          <cell r="I4415">
            <v>21703000</v>
          </cell>
        </row>
        <row r="4416">
          <cell r="A4416" t="str">
            <v>British Virgin Islands</v>
          </cell>
          <cell r="B4416">
            <v>92</v>
          </cell>
          <cell r="C4416">
            <v>203</v>
          </cell>
          <cell r="D4416">
            <v>22</v>
          </cell>
          <cell r="E4416" t="str">
            <v>Taxes on production and imports, less Subsidies</v>
          </cell>
          <cell r="F4416">
            <v>12</v>
          </cell>
          <cell r="G4416">
            <v>1999</v>
          </cell>
          <cell r="H4416">
            <v>100</v>
          </cell>
          <cell r="I4416">
            <v>26175000</v>
          </cell>
        </row>
        <row r="4417">
          <cell r="A4417" t="str">
            <v>French Guiana</v>
          </cell>
          <cell r="B4417">
            <v>254</v>
          </cell>
          <cell r="C4417">
            <v>201</v>
          </cell>
          <cell r="D4417">
            <v>13</v>
          </cell>
          <cell r="E4417" t="str">
            <v>Less: Financial intermediation services indirectly measured (FISIM) (only to be deducted if FISIM is not distributed to uses)</v>
          </cell>
          <cell r="F4417">
            <v>0</v>
          </cell>
          <cell r="G4417">
            <v>1975</v>
          </cell>
          <cell r="H4417">
            <v>10</v>
          </cell>
          <cell r="I4417">
            <v>16000000</v>
          </cell>
        </row>
        <row r="4418">
          <cell r="A4418" t="str">
            <v>French Guiana</v>
          </cell>
          <cell r="B4418">
            <v>254</v>
          </cell>
          <cell r="C4418">
            <v>201</v>
          </cell>
          <cell r="D4418">
            <v>13</v>
          </cell>
          <cell r="E4418" t="str">
            <v>Less: Financial intermediation services indirectly measured (FISIM) (only to be deducted if FISIM is not distributed to uses)</v>
          </cell>
          <cell r="F4418">
            <v>0</v>
          </cell>
          <cell r="G4418">
            <v>1976</v>
          </cell>
          <cell r="H4418">
            <v>10</v>
          </cell>
          <cell r="I4418">
            <v>19000000</v>
          </cell>
        </row>
        <row r="4419">
          <cell r="A4419" t="str">
            <v>French Guiana</v>
          </cell>
          <cell r="B4419">
            <v>254</v>
          </cell>
          <cell r="C4419">
            <v>201</v>
          </cell>
          <cell r="D4419">
            <v>13</v>
          </cell>
          <cell r="E4419" t="str">
            <v>Less: Financial intermediation services indirectly measured (FISIM) (only to be deducted if FISIM is not distributed to uses)</v>
          </cell>
          <cell r="F4419">
            <v>0</v>
          </cell>
          <cell r="G4419">
            <v>1977</v>
          </cell>
          <cell r="H4419">
            <v>10</v>
          </cell>
          <cell r="I4419">
            <v>29000000</v>
          </cell>
        </row>
        <row r="4420">
          <cell r="A4420" t="str">
            <v>French Guiana</v>
          </cell>
          <cell r="B4420">
            <v>254</v>
          </cell>
          <cell r="C4420">
            <v>201</v>
          </cell>
          <cell r="D4420">
            <v>13</v>
          </cell>
          <cell r="E4420" t="str">
            <v>Less: Financial intermediation services indirectly measured (FISIM) (only to be deducted if FISIM is not distributed to uses)</v>
          </cell>
          <cell r="F4420">
            <v>0</v>
          </cell>
          <cell r="G4420">
            <v>1978</v>
          </cell>
          <cell r="H4420">
            <v>10</v>
          </cell>
          <cell r="I4420">
            <v>43000000</v>
          </cell>
        </row>
        <row r="4421">
          <cell r="A4421" t="str">
            <v>French Guiana</v>
          </cell>
          <cell r="B4421">
            <v>254</v>
          </cell>
          <cell r="C4421">
            <v>201</v>
          </cell>
          <cell r="D4421">
            <v>13</v>
          </cell>
          <cell r="E4421" t="str">
            <v>Less: Financial intermediation services indirectly measured (FISIM) (only to be deducted if FISIM is not distributed to uses)</v>
          </cell>
          <cell r="F4421">
            <v>0</v>
          </cell>
          <cell r="G4421">
            <v>1979</v>
          </cell>
          <cell r="H4421">
            <v>10</v>
          </cell>
          <cell r="I4421">
            <v>62000000</v>
          </cell>
        </row>
        <row r="4422">
          <cell r="A4422" t="str">
            <v>French Guiana</v>
          </cell>
          <cell r="B4422">
            <v>254</v>
          </cell>
          <cell r="C4422">
            <v>201</v>
          </cell>
          <cell r="D4422">
            <v>13</v>
          </cell>
          <cell r="E4422" t="str">
            <v>Less: Financial intermediation services indirectly measured (FISIM) (only to be deducted if FISIM is not distributed to uses)</v>
          </cell>
          <cell r="F4422">
            <v>0</v>
          </cell>
          <cell r="G4422">
            <v>1980</v>
          </cell>
          <cell r="H4422">
            <v>10</v>
          </cell>
          <cell r="I4422">
            <v>95000000</v>
          </cell>
        </row>
        <row r="4423">
          <cell r="A4423" t="str">
            <v>French Guiana</v>
          </cell>
          <cell r="B4423">
            <v>254</v>
          </cell>
          <cell r="C4423">
            <v>201</v>
          </cell>
          <cell r="D4423">
            <v>13</v>
          </cell>
          <cell r="E4423" t="str">
            <v>Less: Financial intermediation services indirectly measured (FISIM) (only to be deducted if FISIM is not distributed to uses)</v>
          </cell>
          <cell r="F4423">
            <v>0</v>
          </cell>
          <cell r="G4423">
            <v>1981</v>
          </cell>
          <cell r="H4423">
            <v>10</v>
          </cell>
          <cell r="I4423">
            <v>144000000</v>
          </cell>
        </row>
        <row r="4424">
          <cell r="A4424" t="str">
            <v>French Guiana</v>
          </cell>
          <cell r="B4424">
            <v>254</v>
          </cell>
          <cell r="C4424">
            <v>201</v>
          </cell>
          <cell r="D4424">
            <v>13</v>
          </cell>
          <cell r="E4424" t="str">
            <v>Less: Financial intermediation services indirectly measured (FISIM) (only to be deducted if FISIM is not distributed to uses)</v>
          </cell>
          <cell r="F4424">
            <v>0</v>
          </cell>
          <cell r="G4424">
            <v>1982</v>
          </cell>
          <cell r="H4424">
            <v>10</v>
          </cell>
          <cell r="I4424">
            <v>180000000</v>
          </cell>
        </row>
        <row r="4425">
          <cell r="A4425" t="str">
            <v>French Guiana</v>
          </cell>
          <cell r="B4425">
            <v>254</v>
          </cell>
          <cell r="C4425">
            <v>201</v>
          </cell>
          <cell r="D4425">
            <v>13</v>
          </cell>
          <cell r="E4425" t="str">
            <v>Less: Financial intermediation services indirectly measured (FISIM) (only to be deducted if FISIM is not distributed to uses)</v>
          </cell>
          <cell r="F4425">
            <v>0</v>
          </cell>
          <cell r="G4425">
            <v>1983</v>
          </cell>
          <cell r="H4425">
            <v>10</v>
          </cell>
          <cell r="I4425">
            <v>171000000</v>
          </cell>
        </row>
        <row r="4426">
          <cell r="A4426" t="str">
            <v>French Guiana</v>
          </cell>
          <cell r="B4426">
            <v>254</v>
          </cell>
          <cell r="C4426">
            <v>201</v>
          </cell>
          <cell r="D4426">
            <v>13</v>
          </cell>
          <cell r="E4426" t="str">
            <v>Less: Financial intermediation services indirectly measured (FISIM) (only to be deducted if FISIM is not distributed to uses)</v>
          </cell>
          <cell r="F4426">
            <v>0</v>
          </cell>
          <cell r="G4426">
            <v>1984</v>
          </cell>
          <cell r="H4426">
            <v>10</v>
          </cell>
          <cell r="I4426">
            <v>205000000</v>
          </cell>
        </row>
        <row r="4427">
          <cell r="A4427" t="str">
            <v>French Guiana</v>
          </cell>
          <cell r="B4427">
            <v>254</v>
          </cell>
          <cell r="C4427">
            <v>201</v>
          </cell>
          <cell r="D4427">
            <v>13</v>
          </cell>
          <cell r="E4427" t="str">
            <v>Less: Financial intermediation services indirectly measured (FISIM) (only to be deducted if FISIM is not distributed to uses)</v>
          </cell>
          <cell r="F4427">
            <v>0</v>
          </cell>
          <cell r="G4427">
            <v>1985</v>
          </cell>
          <cell r="H4427">
            <v>10</v>
          </cell>
          <cell r="I4427">
            <v>228000000</v>
          </cell>
        </row>
        <row r="4428">
          <cell r="A4428" t="str">
            <v>French Guiana</v>
          </cell>
          <cell r="B4428">
            <v>254</v>
          </cell>
          <cell r="C4428">
            <v>201</v>
          </cell>
          <cell r="D4428">
            <v>13</v>
          </cell>
          <cell r="E4428" t="str">
            <v>Less: Financial intermediation services indirectly measured (FISIM) (only to be deducted if FISIM is not distributed to uses)</v>
          </cell>
          <cell r="F4428">
            <v>0</v>
          </cell>
          <cell r="G4428">
            <v>1986</v>
          </cell>
          <cell r="H4428">
            <v>10</v>
          </cell>
          <cell r="I4428">
            <v>274000000</v>
          </cell>
        </row>
        <row r="4429">
          <cell r="A4429" t="str">
            <v>French Guiana</v>
          </cell>
          <cell r="B4429">
            <v>254</v>
          </cell>
          <cell r="C4429">
            <v>201</v>
          </cell>
          <cell r="D4429">
            <v>13</v>
          </cell>
          <cell r="E4429" t="str">
            <v>Less: Financial intermediation services indirectly measured (FISIM) (only to be deducted if FISIM is not distributed to uses)</v>
          </cell>
          <cell r="F4429">
            <v>0</v>
          </cell>
          <cell r="G4429">
            <v>1987</v>
          </cell>
          <cell r="H4429">
            <v>10</v>
          </cell>
          <cell r="I4429">
            <v>295000000</v>
          </cell>
        </row>
        <row r="4430">
          <cell r="A4430" t="str">
            <v>French Guiana</v>
          </cell>
          <cell r="B4430">
            <v>254</v>
          </cell>
          <cell r="C4430">
            <v>201</v>
          </cell>
          <cell r="D4430">
            <v>13</v>
          </cell>
          <cell r="E4430" t="str">
            <v>Less: Financial intermediation services indirectly measured (FISIM) (only to be deducted if FISIM is not distributed to uses)</v>
          </cell>
          <cell r="F4430">
            <v>0</v>
          </cell>
          <cell r="G4430">
            <v>1988</v>
          </cell>
          <cell r="H4430">
            <v>10</v>
          </cell>
          <cell r="I4430">
            <v>347000000</v>
          </cell>
        </row>
        <row r="4431">
          <cell r="A4431" t="str">
            <v>French Guiana</v>
          </cell>
          <cell r="B4431">
            <v>254</v>
          </cell>
          <cell r="C4431">
            <v>201</v>
          </cell>
          <cell r="D4431">
            <v>13</v>
          </cell>
          <cell r="E4431" t="str">
            <v>Less: Financial intermediation services indirectly measured (FISIM) (only to be deducted if FISIM is not distributed to uses)</v>
          </cell>
          <cell r="F4431">
            <v>0</v>
          </cell>
          <cell r="G4431">
            <v>1989</v>
          </cell>
          <cell r="H4431">
            <v>10</v>
          </cell>
          <cell r="I4431">
            <v>371699999.89999998</v>
          </cell>
        </row>
        <row r="4432">
          <cell r="A4432" t="str">
            <v>French Guiana</v>
          </cell>
          <cell r="B4432">
            <v>254</v>
          </cell>
          <cell r="C4432">
            <v>201</v>
          </cell>
          <cell r="D4432">
            <v>13</v>
          </cell>
          <cell r="E4432" t="str">
            <v>Less: Financial intermediation services indirectly measured (FISIM) (only to be deducted if FISIM is not distributed to uses)</v>
          </cell>
          <cell r="F4432">
            <v>0</v>
          </cell>
          <cell r="G4432">
            <v>1990</v>
          </cell>
          <cell r="H4432">
            <v>10</v>
          </cell>
          <cell r="I4432">
            <v>378399999.89999998</v>
          </cell>
        </row>
        <row r="4433">
          <cell r="A4433" t="str">
            <v>French Guiana</v>
          </cell>
          <cell r="B4433">
            <v>254</v>
          </cell>
          <cell r="C4433">
            <v>201</v>
          </cell>
          <cell r="D4433">
            <v>13</v>
          </cell>
          <cell r="E4433" t="str">
            <v>Less: Financial intermediation services indirectly measured (FISIM) (only to be deducted if FISIM is not distributed to uses)</v>
          </cell>
          <cell r="F4433">
            <v>0</v>
          </cell>
          <cell r="G4433">
            <v>1991</v>
          </cell>
          <cell r="H4433">
            <v>10</v>
          </cell>
          <cell r="I4433">
            <v>417199999.89999998</v>
          </cell>
        </row>
        <row r="4434">
          <cell r="A4434" t="str">
            <v>French Guiana</v>
          </cell>
          <cell r="B4434">
            <v>254</v>
          </cell>
          <cell r="C4434">
            <v>201</v>
          </cell>
          <cell r="D4434">
            <v>13</v>
          </cell>
          <cell r="E4434" t="str">
            <v>Less: Financial intermediation services indirectly measured (FISIM) (only to be deducted if FISIM is not distributed to uses)</v>
          </cell>
          <cell r="F4434">
            <v>0</v>
          </cell>
          <cell r="G4434">
            <v>1992</v>
          </cell>
          <cell r="H4434">
            <v>10</v>
          </cell>
          <cell r="I4434">
            <v>458300000</v>
          </cell>
        </row>
        <row r="4435">
          <cell r="A4435" t="str">
            <v>Gabon</v>
          </cell>
          <cell r="B4435">
            <v>266</v>
          </cell>
          <cell r="C4435">
            <v>201</v>
          </cell>
          <cell r="D4435">
            <v>13</v>
          </cell>
          <cell r="E4435" t="str">
            <v>Less: Financial intermediation services indirectly measured (FISIM) (only to be deducted if FISIM is not distributed to uses)</v>
          </cell>
          <cell r="F4435">
            <v>0</v>
          </cell>
          <cell r="G4435">
            <v>1973</v>
          </cell>
          <cell r="H4435">
            <v>20</v>
          </cell>
          <cell r="I4435">
            <v>1584000000</v>
          </cell>
        </row>
        <row r="4436">
          <cell r="A4436" t="str">
            <v>Gabon</v>
          </cell>
          <cell r="B4436">
            <v>266</v>
          </cell>
          <cell r="C4436">
            <v>201</v>
          </cell>
          <cell r="D4436">
            <v>13</v>
          </cell>
          <cell r="E4436" t="str">
            <v>Less: Financial intermediation services indirectly measured (FISIM) (only to be deducted if FISIM is not distributed to uses)</v>
          </cell>
          <cell r="F4436">
            <v>0</v>
          </cell>
          <cell r="G4436">
            <v>1974</v>
          </cell>
          <cell r="H4436">
            <v>20</v>
          </cell>
          <cell r="I4436">
            <v>4001000000</v>
          </cell>
        </row>
        <row r="4437">
          <cell r="A4437" t="str">
            <v>Gabon</v>
          </cell>
          <cell r="B4437">
            <v>266</v>
          </cell>
          <cell r="C4437">
            <v>201</v>
          </cell>
          <cell r="D4437">
            <v>13</v>
          </cell>
          <cell r="E4437" t="str">
            <v>Less: Financial intermediation services indirectly measured (FISIM) (only to be deducted if FISIM is not distributed to uses)</v>
          </cell>
          <cell r="F4437">
            <v>0</v>
          </cell>
          <cell r="G4437">
            <v>1975</v>
          </cell>
          <cell r="H4437">
            <v>20</v>
          </cell>
          <cell r="I4437">
            <v>9007000000</v>
          </cell>
        </row>
        <row r="4438">
          <cell r="A4438" t="str">
            <v>Gabon</v>
          </cell>
          <cell r="B4438">
            <v>266</v>
          </cell>
          <cell r="C4438">
            <v>201</v>
          </cell>
          <cell r="D4438">
            <v>13</v>
          </cell>
          <cell r="E4438" t="str">
            <v>Less: Financial intermediation services indirectly measured (FISIM) (only to be deducted if FISIM is not distributed to uses)</v>
          </cell>
          <cell r="F4438">
            <v>0</v>
          </cell>
          <cell r="G4438">
            <v>1976</v>
          </cell>
          <cell r="H4438">
            <v>20</v>
          </cell>
          <cell r="I4438">
            <v>8982000000</v>
          </cell>
        </row>
        <row r="4439">
          <cell r="A4439" t="str">
            <v>Gabon</v>
          </cell>
          <cell r="B4439">
            <v>266</v>
          </cell>
          <cell r="C4439">
            <v>201</v>
          </cell>
          <cell r="D4439">
            <v>13</v>
          </cell>
          <cell r="E4439" t="str">
            <v>Less: Financial intermediation services indirectly measured (FISIM) (only to be deducted if FISIM is not distributed to uses)</v>
          </cell>
          <cell r="F4439">
            <v>0</v>
          </cell>
          <cell r="G4439">
            <v>1977</v>
          </cell>
          <cell r="H4439">
            <v>20</v>
          </cell>
          <cell r="I4439">
            <v>8595000000</v>
          </cell>
        </row>
        <row r="4440">
          <cell r="A4440" t="str">
            <v>Gabon</v>
          </cell>
          <cell r="B4440">
            <v>266</v>
          </cell>
          <cell r="C4440">
            <v>201</v>
          </cell>
          <cell r="D4440">
            <v>13</v>
          </cell>
          <cell r="E4440" t="str">
            <v>Less: Financial intermediation services indirectly measured (FISIM) (only to be deducted if FISIM is not distributed to uses)</v>
          </cell>
          <cell r="F4440">
            <v>0</v>
          </cell>
          <cell r="G4440">
            <v>1978</v>
          </cell>
          <cell r="H4440">
            <v>20</v>
          </cell>
          <cell r="I4440">
            <v>8721000000</v>
          </cell>
        </row>
        <row r="4441">
          <cell r="A4441" t="str">
            <v>Gabon</v>
          </cell>
          <cell r="B4441">
            <v>266</v>
          </cell>
          <cell r="C4441">
            <v>201</v>
          </cell>
          <cell r="D4441">
            <v>13</v>
          </cell>
          <cell r="E4441" t="str">
            <v>Less: Financial intermediation services indirectly measured (FISIM) (only to be deducted if FISIM is not distributed to uses)</v>
          </cell>
          <cell r="F4441">
            <v>0</v>
          </cell>
          <cell r="G4441">
            <v>1979</v>
          </cell>
          <cell r="H4441">
            <v>20</v>
          </cell>
          <cell r="I4441">
            <v>9282000000</v>
          </cell>
        </row>
        <row r="4442">
          <cell r="A4442" t="str">
            <v>Gabon</v>
          </cell>
          <cell r="B4442">
            <v>266</v>
          </cell>
          <cell r="C4442">
            <v>201</v>
          </cell>
          <cell r="D4442">
            <v>13</v>
          </cell>
          <cell r="E4442" t="str">
            <v>Less: Financial intermediation services indirectly measured (FISIM) (only to be deducted if FISIM is not distributed to uses)</v>
          </cell>
          <cell r="F4442">
            <v>0</v>
          </cell>
          <cell r="G4442">
            <v>1980</v>
          </cell>
          <cell r="H4442">
            <v>20</v>
          </cell>
          <cell r="I4442">
            <v>9574000000</v>
          </cell>
        </row>
        <row r="4443">
          <cell r="A4443" t="str">
            <v>Gabon</v>
          </cell>
          <cell r="B4443">
            <v>266</v>
          </cell>
          <cell r="C4443">
            <v>201</v>
          </cell>
          <cell r="D4443">
            <v>13</v>
          </cell>
          <cell r="E4443" t="str">
            <v>Less: Financial intermediation services indirectly measured (FISIM) (only to be deducted if FISIM is not distributed to uses)</v>
          </cell>
          <cell r="F4443">
            <v>0</v>
          </cell>
          <cell r="G4443">
            <v>1981</v>
          </cell>
          <cell r="H4443">
            <v>20</v>
          </cell>
          <cell r="I4443">
            <v>12586000000</v>
          </cell>
        </row>
        <row r="4444">
          <cell r="A4444" t="str">
            <v>Gabon</v>
          </cell>
          <cell r="B4444">
            <v>266</v>
          </cell>
          <cell r="C4444">
            <v>201</v>
          </cell>
          <cell r="D4444">
            <v>13</v>
          </cell>
          <cell r="E4444" t="str">
            <v>Less: Financial intermediation services indirectly measured (FISIM) (only to be deducted if FISIM is not distributed to uses)</v>
          </cell>
          <cell r="F4444">
            <v>0</v>
          </cell>
          <cell r="G4444">
            <v>1982</v>
          </cell>
          <cell r="H4444">
            <v>20</v>
          </cell>
          <cell r="I4444">
            <v>11156000000</v>
          </cell>
        </row>
        <row r="4445">
          <cell r="A4445" t="str">
            <v>Gabon</v>
          </cell>
          <cell r="B4445">
            <v>266</v>
          </cell>
          <cell r="C4445">
            <v>201</v>
          </cell>
          <cell r="D4445">
            <v>13</v>
          </cell>
          <cell r="E4445" t="str">
            <v>Less: Financial intermediation services indirectly measured (FISIM) (only to be deducted if FISIM is not distributed to uses)</v>
          </cell>
          <cell r="F4445">
            <v>0</v>
          </cell>
          <cell r="G4445">
            <v>1983</v>
          </cell>
          <cell r="H4445">
            <v>20</v>
          </cell>
          <cell r="I4445">
            <v>14900000000</v>
          </cell>
        </row>
        <row r="4446">
          <cell r="A4446" t="str">
            <v>Gabon</v>
          </cell>
          <cell r="B4446">
            <v>266</v>
          </cell>
          <cell r="C4446">
            <v>201</v>
          </cell>
          <cell r="D4446">
            <v>13</v>
          </cell>
          <cell r="E4446" t="str">
            <v>Less: Financial intermediation services indirectly measured (FISIM) (only to be deducted if FISIM is not distributed to uses)</v>
          </cell>
          <cell r="F4446">
            <v>0</v>
          </cell>
          <cell r="G4446">
            <v>1984</v>
          </cell>
          <cell r="H4446">
            <v>20</v>
          </cell>
          <cell r="I4446">
            <v>15600000000</v>
          </cell>
        </row>
        <row r="4447">
          <cell r="A4447" t="str">
            <v>Gabon</v>
          </cell>
          <cell r="B4447">
            <v>266</v>
          </cell>
          <cell r="C4447">
            <v>201</v>
          </cell>
          <cell r="D4447">
            <v>13</v>
          </cell>
          <cell r="E4447" t="str">
            <v>Less: Financial intermediation services indirectly measured (FISIM) (only to be deducted if FISIM is not distributed to uses)</v>
          </cell>
          <cell r="F4447">
            <v>0</v>
          </cell>
          <cell r="G4447">
            <v>1985</v>
          </cell>
          <cell r="H4447">
            <v>20</v>
          </cell>
          <cell r="I4447">
            <v>23000000000</v>
          </cell>
        </row>
        <row r="4448">
          <cell r="A4448" t="str">
            <v>Gabon</v>
          </cell>
          <cell r="B4448">
            <v>266</v>
          </cell>
          <cell r="C4448">
            <v>201</v>
          </cell>
          <cell r="D4448">
            <v>13</v>
          </cell>
          <cell r="E4448" t="str">
            <v>Less: Financial intermediation services indirectly measured (FISIM) (only to be deducted if FISIM is not distributed to uses)</v>
          </cell>
          <cell r="F4448">
            <v>0</v>
          </cell>
          <cell r="G4448">
            <v>1986</v>
          </cell>
          <cell r="H4448">
            <v>20</v>
          </cell>
          <cell r="I4448">
            <v>32800000000</v>
          </cell>
        </row>
        <row r="4449">
          <cell r="A4449" t="str">
            <v>Gabon</v>
          </cell>
          <cell r="B4449">
            <v>266</v>
          </cell>
          <cell r="C4449">
            <v>201</v>
          </cell>
          <cell r="D4449">
            <v>13</v>
          </cell>
          <cell r="E4449" t="str">
            <v>Less: Financial intermediation services indirectly measured (FISIM) (only to be deducted if FISIM is not distributed to uses)</v>
          </cell>
          <cell r="F4449">
            <v>0</v>
          </cell>
          <cell r="G4449">
            <v>1987</v>
          </cell>
          <cell r="H4449">
            <v>20</v>
          </cell>
          <cell r="I4449">
            <v>28600000000</v>
          </cell>
        </row>
        <row r="4450">
          <cell r="A4450" t="str">
            <v>Gabon</v>
          </cell>
          <cell r="B4450">
            <v>266</v>
          </cell>
          <cell r="C4450">
            <v>201</v>
          </cell>
          <cell r="D4450">
            <v>13</v>
          </cell>
          <cell r="E4450" t="str">
            <v>Less: Financial intermediation services indirectly measured (FISIM) (only to be deducted if FISIM is not distributed to uses)</v>
          </cell>
          <cell r="F4450">
            <v>0</v>
          </cell>
          <cell r="G4450">
            <v>1988</v>
          </cell>
          <cell r="H4450">
            <v>20</v>
          </cell>
          <cell r="I4450">
            <v>28030000000</v>
          </cell>
        </row>
        <row r="4451">
          <cell r="A4451" t="str">
            <v>Gabon</v>
          </cell>
          <cell r="B4451">
            <v>266</v>
          </cell>
          <cell r="C4451">
            <v>201</v>
          </cell>
          <cell r="D4451">
            <v>13</v>
          </cell>
          <cell r="E4451" t="str">
            <v>Less: Financial intermediation services indirectly measured (FISIM) (only to be deducted if FISIM is not distributed to uses)</v>
          </cell>
          <cell r="F4451">
            <v>0</v>
          </cell>
          <cell r="G4451">
            <v>1989</v>
          </cell>
          <cell r="H4451">
            <v>20</v>
          </cell>
          <cell r="I4451">
            <v>24836000000</v>
          </cell>
        </row>
        <row r="4452">
          <cell r="A4452" t="str">
            <v>Gabon</v>
          </cell>
          <cell r="B4452">
            <v>266</v>
          </cell>
          <cell r="C4452">
            <v>203</v>
          </cell>
          <cell r="D4452">
            <v>3</v>
          </cell>
          <cell r="E4452" t="str">
            <v>Equals: VALUE ADDED, GROSS, at basic prices</v>
          </cell>
          <cell r="F4452">
            <v>12</v>
          </cell>
          <cell r="G4452">
            <v>1972</v>
          </cell>
          <cell r="H4452">
            <v>20</v>
          </cell>
          <cell r="I4452">
            <v>108452000000</v>
          </cell>
        </row>
        <row r="4453">
          <cell r="A4453" t="str">
            <v>Gabon</v>
          </cell>
          <cell r="B4453">
            <v>266</v>
          </cell>
          <cell r="C4453">
            <v>203</v>
          </cell>
          <cell r="D4453">
            <v>3</v>
          </cell>
          <cell r="E4453" t="str">
            <v>Equals: VALUE ADDED, GROSS, at basic prices</v>
          </cell>
          <cell r="F4453">
            <v>12</v>
          </cell>
          <cell r="G4453">
            <v>1973</v>
          </cell>
          <cell r="H4453">
            <v>20</v>
          </cell>
          <cell r="I4453">
            <v>149182000000</v>
          </cell>
        </row>
        <row r="4454">
          <cell r="A4454" t="str">
            <v>Gabon</v>
          </cell>
          <cell r="B4454">
            <v>266</v>
          </cell>
          <cell r="C4454">
            <v>203</v>
          </cell>
          <cell r="D4454">
            <v>3</v>
          </cell>
          <cell r="E4454" t="str">
            <v>Equals: VALUE ADDED, GROSS, at basic prices</v>
          </cell>
          <cell r="F4454">
            <v>12</v>
          </cell>
          <cell r="G4454">
            <v>1974</v>
          </cell>
          <cell r="H4454">
            <v>20</v>
          </cell>
          <cell r="I4454">
            <v>355398000000</v>
          </cell>
        </row>
        <row r="4455">
          <cell r="A4455" t="str">
            <v>Gabon</v>
          </cell>
          <cell r="B4455">
            <v>266</v>
          </cell>
          <cell r="C4455">
            <v>203</v>
          </cell>
          <cell r="D4455">
            <v>3</v>
          </cell>
          <cell r="E4455" t="str">
            <v>Equals: VALUE ADDED, GROSS, at basic prices</v>
          </cell>
          <cell r="F4455">
            <v>12</v>
          </cell>
          <cell r="G4455">
            <v>1975</v>
          </cell>
          <cell r="H4455">
            <v>20</v>
          </cell>
          <cell r="I4455">
            <v>439611000000</v>
          </cell>
        </row>
        <row r="4456">
          <cell r="A4456" t="str">
            <v>Gabon</v>
          </cell>
          <cell r="B4456">
            <v>266</v>
          </cell>
          <cell r="C4456">
            <v>203</v>
          </cell>
          <cell r="D4456">
            <v>3</v>
          </cell>
          <cell r="E4456" t="str">
            <v>Equals: VALUE ADDED, GROSS, at basic prices</v>
          </cell>
          <cell r="F4456">
            <v>12</v>
          </cell>
          <cell r="G4456">
            <v>1976</v>
          </cell>
          <cell r="H4456">
            <v>20</v>
          </cell>
          <cell r="I4456">
            <v>689590000000</v>
          </cell>
        </row>
        <row r="4457">
          <cell r="A4457" t="str">
            <v>Gabon</v>
          </cell>
          <cell r="B4457">
            <v>266</v>
          </cell>
          <cell r="C4457">
            <v>203</v>
          </cell>
          <cell r="D4457">
            <v>3</v>
          </cell>
          <cell r="E4457" t="str">
            <v>Equals: VALUE ADDED, GROSS, at basic prices</v>
          </cell>
          <cell r="F4457">
            <v>12</v>
          </cell>
          <cell r="G4457">
            <v>1977</v>
          </cell>
          <cell r="H4457">
            <v>20</v>
          </cell>
          <cell r="I4457">
            <v>647936000000</v>
          </cell>
        </row>
        <row r="4458">
          <cell r="A4458" t="str">
            <v>Gabon</v>
          </cell>
          <cell r="B4458">
            <v>266</v>
          </cell>
          <cell r="C4458">
            <v>203</v>
          </cell>
          <cell r="D4458">
            <v>3</v>
          </cell>
          <cell r="E4458" t="str">
            <v>Equals: VALUE ADDED, GROSS, at basic prices</v>
          </cell>
          <cell r="F4458">
            <v>12</v>
          </cell>
          <cell r="G4458">
            <v>1978</v>
          </cell>
          <cell r="H4458">
            <v>20</v>
          </cell>
          <cell r="I4458">
            <v>509170000000</v>
          </cell>
        </row>
        <row r="4459">
          <cell r="A4459" t="str">
            <v>Gabon</v>
          </cell>
          <cell r="B4459">
            <v>266</v>
          </cell>
          <cell r="C4459">
            <v>203</v>
          </cell>
          <cell r="D4459">
            <v>3</v>
          </cell>
          <cell r="E4459" t="str">
            <v>Equals: VALUE ADDED, GROSS, at basic prices</v>
          </cell>
          <cell r="F4459">
            <v>12</v>
          </cell>
          <cell r="G4459">
            <v>1979</v>
          </cell>
          <cell r="H4459">
            <v>20</v>
          </cell>
          <cell r="I4459">
            <v>593646000000</v>
          </cell>
        </row>
        <row r="4460">
          <cell r="A4460" t="str">
            <v>Gabon</v>
          </cell>
          <cell r="B4460">
            <v>266</v>
          </cell>
          <cell r="C4460">
            <v>203</v>
          </cell>
          <cell r="D4460">
            <v>4</v>
          </cell>
          <cell r="E4460" t="str">
            <v>Compensation of employees</v>
          </cell>
          <cell r="F4460">
            <v>12</v>
          </cell>
          <cell r="G4460">
            <v>1972</v>
          </cell>
          <cell r="H4460">
            <v>20</v>
          </cell>
          <cell r="I4460">
            <v>42108000000</v>
          </cell>
        </row>
        <row r="4461">
          <cell r="A4461" t="str">
            <v>Gabon</v>
          </cell>
          <cell r="B4461">
            <v>266</v>
          </cell>
          <cell r="C4461">
            <v>203</v>
          </cell>
          <cell r="D4461">
            <v>4</v>
          </cell>
          <cell r="E4461" t="str">
            <v>Compensation of employees</v>
          </cell>
          <cell r="F4461">
            <v>12</v>
          </cell>
          <cell r="G4461">
            <v>1973</v>
          </cell>
          <cell r="H4461">
            <v>20</v>
          </cell>
          <cell r="I4461">
            <v>50169000000</v>
          </cell>
        </row>
        <row r="4462">
          <cell r="A4462" t="str">
            <v>Gabon</v>
          </cell>
          <cell r="B4462">
            <v>266</v>
          </cell>
          <cell r="C4462">
            <v>203</v>
          </cell>
          <cell r="D4462">
            <v>4</v>
          </cell>
          <cell r="E4462" t="str">
            <v>Compensation of employees</v>
          </cell>
          <cell r="F4462">
            <v>12</v>
          </cell>
          <cell r="G4462">
            <v>1974</v>
          </cell>
          <cell r="H4462">
            <v>20</v>
          </cell>
          <cell r="I4462">
            <v>78035000000</v>
          </cell>
        </row>
        <row r="4463">
          <cell r="A4463" t="str">
            <v>Gabon</v>
          </cell>
          <cell r="B4463">
            <v>266</v>
          </cell>
          <cell r="C4463">
            <v>203</v>
          </cell>
          <cell r="D4463">
            <v>4</v>
          </cell>
          <cell r="E4463" t="str">
            <v>Compensation of employees</v>
          </cell>
          <cell r="F4463">
            <v>12</v>
          </cell>
          <cell r="G4463">
            <v>1975</v>
          </cell>
          <cell r="H4463">
            <v>20</v>
          </cell>
          <cell r="I4463">
            <v>113981000000</v>
          </cell>
        </row>
        <row r="4464">
          <cell r="A4464" t="str">
            <v>Gabon</v>
          </cell>
          <cell r="B4464">
            <v>266</v>
          </cell>
          <cell r="C4464">
            <v>203</v>
          </cell>
          <cell r="D4464">
            <v>4</v>
          </cell>
          <cell r="E4464" t="str">
            <v>Compensation of employees</v>
          </cell>
          <cell r="F4464">
            <v>12</v>
          </cell>
          <cell r="G4464">
            <v>1976</v>
          </cell>
          <cell r="H4464">
            <v>20</v>
          </cell>
          <cell r="I4464">
            <v>163712000000</v>
          </cell>
        </row>
        <row r="4465">
          <cell r="A4465" t="str">
            <v>Gabon</v>
          </cell>
          <cell r="B4465">
            <v>266</v>
          </cell>
          <cell r="C4465">
            <v>203</v>
          </cell>
          <cell r="D4465">
            <v>4</v>
          </cell>
          <cell r="E4465" t="str">
            <v>Compensation of employees</v>
          </cell>
          <cell r="F4465">
            <v>12</v>
          </cell>
          <cell r="G4465">
            <v>1977</v>
          </cell>
          <cell r="H4465">
            <v>20</v>
          </cell>
          <cell r="I4465">
            <v>199749000000</v>
          </cell>
        </row>
        <row r="4466">
          <cell r="A4466" t="str">
            <v>Gabon</v>
          </cell>
          <cell r="B4466">
            <v>266</v>
          </cell>
          <cell r="C4466">
            <v>203</v>
          </cell>
          <cell r="D4466">
            <v>4</v>
          </cell>
          <cell r="E4466" t="str">
            <v>Compensation of employees</v>
          </cell>
          <cell r="F4466">
            <v>12</v>
          </cell>
          <cell r="G4466">
            <v>1978</v>
          </cell>
          <cell r="H4466">
            <v>20</v>
          </cell>
          <cell r="I4466">
            <v>194307000000</v>
          </cell>
        </row>
        <row r="4467">
          <cell r="A4467" t="str">
            <v>Gabon</v>
          </cell>
          <cell r="B4467">
            <v>266</v>
          </cell>
          <cell r="C4467">
            <v>203</v>
          </cell>
          <cell r="D4467">
            <v>11</v>
          </cell>
          <cell r="E4467" t="str">
            <v>OPERATING SURPLUS, GROSS</v>
          </cell>
          <cell r="F4467">
            <v>12</v>
          </cell>
          <cell r="G4467">
            <v>1974</v>
          </cell>
          <cell r="H4467">
            <v>20</v>
          </cell>
          <cell r="I4467">
            <v>230235000000</v>
          </cell>
        </row>
        <row r="4468">
          <cell r="A4468" t="str">
            <v>Gabon</v>
          </cell>
          <cell r="B4468">
            <v>266</v>
          </cell>
          <cell r="C4468">
            <v>203</v>
          </cell>
          <cell r="D4468">
            <v>11</v>
          </cell>
          <cell r="E4468" t="str">
            <v>OPERATING SURPLUS, GROSS</v>
          </cell>
          <cell r="F4468">
            <v>12</v>
          </cell>
          <cell r="G4468">
            <v>1975</v>
          </cell>
          <cell r="H4468">
            <v>20</v>
          </cell>
          <cell r="I4468">
            <v>267282000000</v>
          </cell>
        </row>
        <row r="4469">
          <cell r="A4469" t="str">
            <v>Gabon</v>
          </cell>
          <cell r="B4469">
            <v>266</v>
          </cell>
          <cell r="C4469">
            <v>203</v>
          </cell>
          <cell r="D4469">
            <v>11</v>
          </cell>
          <cell r="E4469" t="str">
            <v>OPERATING SURPLUS, GROSS</v>
          </cell>
          <cell r="F4469">
            <v>12</v>
          </cell>
          <cell r="G4469">
            <v>1976</v>
          </cell>
          <cell r="H4469">
            <v>20</v>
          </cell>
          <cell r="I4469">
            <v>449129000000</v>
          </cell>
        </row>
        <row r="4470">
          <cell r="A4470" t="str">
            <v>Gabon</v>
          </cell>
          <cell r="B4470">
            <v>266</v>
          </cell>
          <cell r="C4470">
            <v>203</v>
          </cell>
          <cell r="D4470">
            <v>11</v>
          </cell>
          <cell r="E4470" t="str">
            <v>OPERATING SURPLUS, GROSS</v>
          </cell>
          <cell r="F4470">
            <v>12</v>
          </cell>
          <cell r="G4470">
            <v>1977</v>
          </cell>
          <cell r="H4470">
            <v>20</v>
          </cell>
          <cell r="I4470">
            <v>360684000000</v>
          </cell>
        </row>
        <row r="4471">
          <cell r="A4471" t="str">
            <v>Gabon</v>
          </cell>
          <cell r="B4471">
            <v>266</v>
          </cell>
          <cell r="C4471">
            <v>203</v>
          </cell>
          <cell r="D4471">
            <v>11</v>
          </cell>
          <cell r="E4471" t="str">
            <v>OPERATING SURPLUS, GROSS</v>
          </cell>
          <cell r="F4471">
            <v>12</v>
          </cell>
          <cell r="G4471">
            <v>1978</v>
          </cell>
          <cell r="H4471">
            <v>20</v>
          </cell>
          <cell r="I4471">
            <v>310731000000</v>
          </cell>
        </row>
        <row r="4472">
          <cell r="A4472" t="str">
            <v>Ghana</v>
          </cell>
          <cell r="B4472">
            <v>288</v>
          </cell>
          <cell r="C4472">
            <v>201</v>
          </cell>
          <cell r="D4472">
            <v>13</v>
          </cell>
          <cell r="E4472" t="str">
            <v>Less: Financial intermediation services indirectly measured (FISIM) (only to be deducted if FISIM is not distributed to uses)</v>
          </cell>
          <cell r="F4472">
            <v>0</v>
          </cell>
          <cell r="G4472">
            <v>1965</v>
          </cell>
          <cell r="H4472">
            <v>20</v>
          </cell>
          <cell r="I4472">
            <v>4600000</v>
          </cell>
        </row>
        <row r="4473">
          <cell r="A4473" t="str">
            <v>Ghana</v>
          </cell>
          <cell r="B4473">
            <v>288</v>
          </cell>
          <cell r="C4473">
            <v>201</v>
          </cell>
          <cell r="D4473">
            <v>13</v>
          </cell>
          <cell r="E4473" t="str">
            <v>Less: Financial intermediation services indirectly measured (FISIM) (only to be deducted if FISIM is not distributed to uses)</v>
          </cell>
          <cell r="F4473">
            <v>0</v>
          </cell>
          <cell r="G4473">
            <v>1966</v>
          </cell>
          <cell r="H4473">
            <v>20</v>
          </cell>
          <cell r="I4473">
            <v>6900000</v>
          </cell>
        </row>
        <row r="4474">
          <cell r="A4474" t="str">
            <v>Ghana</v>
          </cell>
          <cell r="B4474">
            <v>288</v>
          </cell>
          <cell r="C4474">
            <v>201</v>
          </cell>
          <cell r="D4474">
            <v>13</v>
          </cell>
          <cell r="E4474" t="str">
            <v>Less: Financial intermediation services indirectly measured (FISIM) (only to be deducted if FISIM is not distributed to uses)</v>
          </cell>
          <cell r="F4474">
            <v>0</v>
          </cell>
          <cell r="G4474">
            <v>1967</v>
          </cell>
          <cell r="H4474">
            <v>20</v>
          </cell>
          <cell r="I4474">
            <v>10500000</v>
          </cell>
        </row>
        <row r="4475">
          <cell r="A4475" t="str">
            <v>Ghana</v>
          </cell>
          <cell r="B4475">
            <v>288</v>
          </cell>
          <cell r="C4475">
            <v>201</v>
          </cell>
          <cell r="D4475">
            <v>13</v>
          </cell>
          <cell r="E4475" t="str">
            <v>Less: Financial intermediation services indirectly measured (FISIM) (only to be deducted if FISIM is not distributed to uses)</v>
          </cell>
          <cell r="F4475">
            <v>0</v>
          </cell>
          <cell r="G4475">
            <v>1968</v>
          </cell>
          <cell r="H4475">
            <v>20</v>
          </cell>
          <cell r="I4475">
            <v>16200000</v>
          </cell>
        </row>
        <row r="4476">
          <cell r="A4476" t="str">
            <v>Ghana</v>
          </cell>
          <cell r="B4476">
            <v>288</v>
          </cell>
          <cell r="C4476">
            <v>201</v>
          </cell>
          <cell r="D4476">
            <v>13</v>
          </cell>
          <cell r="E4476" t="str">
            <v>Less: Financial intermediation services indirectly measured (FISIM) (only to be deducted if FISIM is not distributed to uses)</v>
          </cell>
          <cell r="F4476">
            <v>0</v>
          </cell>
          <cell r="G4476">
            <v>1969</v>
          </cell>
          <cell r="H4476">
            <v>20</v>
          </cell>
          <cell r="I4476">
            <v>24100000</v>
          </cell>
        </row>
        <row r="4477">
          <cell r="A4477" t="str">
            <v>Ghana</v>
          </cell>
          <cell r="B4477">
            <v>288</v>
          </cell>
          <cell r="C4477">
            <v>201</v>
          </cell>
          <cell r="D4477">
            <v>13</v>
          </cell>
          <cell r="E4477" t="str">
            <v>Less: Financial intermediation services indirectly measured (FISIM) (only to be deducted if FISIM is not distributed to uses)</v>
          </cell>
          <cell r="F4477">
            <v>0</v>
          </cell>
          <cell r="G4477">
            <v>1970</v>
          </cell>
          <cell r="H4477">
            <v>20</v>
          </cell>
          <cell r="I4477">
            <v>26900000</v>
          </cell>
        </row>
        <row r="4478">
          <cell r="A4478" t="str">
            <v>Ghana</v>
          </cell>
          <cell r="B4478">
            <v>288</v>
          </cell>
          <cell r="C4478">
            <v>201</v>
          </cell>
          <cell r="D4478">
            <v>13</v>
          </cell>
          <cell r="E4478" t="str">
            <v>Less: Financial intermediation services indirectly measured (FISIM) (only to be deducted if FISIM is not distributed to uses)</v>
          </cell>
          <cell r="F4478">
            <v>0</v>
          </cell>
          <cell r="G4478">
            <v>1971</v>
          </cell>
          <cell r="H4478">
            <v>20</v>
          </cell>
          <cell r="I4478">
            <v>28000000</v>
          </cell>
        </row>
        <row r="4479">
          <cell r="A4479" t="str">
            <v>Ghana</v>
          </cell>
          <cell r="B4479">
            <v>288</v>
          </cell>
          <cell r="C4479">
            <v>201</v>
          </cell>
          <cell r="D4479">
            <v>13</v>
          </cell>
          <cell r="E4479" t="str">
            <v>Less: Financial intermediation services indirectly measured (FISIM) (only to be deducted if FISIM is not distributed to uses)</v>
          </cell>
          <cell r="F4479">
            <v>0</v>
          </cell>
          <cell r="G4479">
            <v>1972</v>
          </cell>
          <cell r="H4479">
            <v>20</v>
          </cell>
          <cell r="I4479">
            <v>41900000</v>
          </cell>
        </row>
        <row r="4480">
          <cell r="A4480" t="str">
            <v>Ghana</v>
          </cell>
          <cell r="B4480">
            <v>288</v>
          </cell>
          <cell r="C4480">
            <v>201</v>
          </cell>
          <cell r="D4480">
            <v>13</v>
          </cell>
          <cell r="E4480" t="str">
            <v>Less: Financial intermediation services indirectly measured (FISIM) (only to be deducted if FISIM is not distributed to uses)</v>
          </cell>
          <cell r="F4480">
            <v>0</v>
          </cell>
          <cell r="G4480">
            <v>1973</v>
          </cell>
          <cell r="H4480">
            <v>20</v>
          </cell>
          <cell r="I4480">
            <v>58900000</v>
          </cell>
        </row>
        <row r="4481">
          <cell r="A4481" t="str">
            <v>Ghana</v>
          </cell>
          <cell r="B4481">
            <v>288</v>
          </cell>
          <cell r="C4481">
            <v>201</v>
          </cell>
          <cell r="D4481">
            <v>13</v>
          </cell>
          <cell r="E4481" t="str">
            <v>Less: Financial intermediation services indirectly measured (FISIM) (only to be deducted if FISIM is not distributed to uses)</v>
          </cell>
          <cell r="F4481">
            <v>0</v>
          </cell>
          <cell r="G4481">
            <v>1974</v>
          </cell>
          <cell r="H4481">
            <v>20</v>
          </cell>
          <cell r="I4481">
            <v>66500000</v>
          </cell>
        </row>
        <row r="4482">
          <cell r="A4482" t="str">
            <v>Ghana</v>
          </cell>
          <cell r="B4482">
            <v>288</v>
          </cell>
          <cell r="C4482">
            <v>201</v>
          </cell>
          <cell r="D4482">
            <v>13</v>
          </cell>
          <cell r="E4482" t="str">
            <v>Less: Financial intermediation services indirectly measured (FISIM) (only to be deducted if FISIM is not distributed to uses)</v>
          </cell>
          <cell r="F4482">
            <v>0</v>
          </cell>
          <cell r="G4482">
            <v>1975</v>
          </cell>
          <cell r="H4482">
            <v>20</v>
          </cell>
          <cell r="I4482">
            <v>76500000</v>
          </cell>
        </row>
        <row r="4483">
          <cell r="A4483" t="str">
            <v>Ghana</v>
          </cell>
          <cell r="B4483">
            <v>288</v>
          </cell>
          <cell r="C4483">
            <v>201</v>
          </cell>
          <cell r="D4483">
            <v>13</v>
          </cell>
          <cell r="E4483" t="str">
            <v>Less: Financial intermediation services indirectly measured (FISIM) (only to be deducted if FISIM is not distributed to uses)</v>
          </cell>
          <cell r="F4483">
            <v>0</v>
          </cell>
          <cell r="G4483">
            <v>1976</v>
          </cell>
          <cell r="H4483">
            <v>20</v>
          </cell>
          <cell r="I4483">
            <v>127800000</v>
          </cell>
        </row>
        <row r="4484">
          <cell r="A4484" t="str">
            <v>Ghana</v>
          </cell>
          <cell r="B4484">
            <v>288</v>
          </cell>
          <cell r="C4484">
            <v>201</v>
          </cell>
          <cell r="D4484">
            <v>13</v>
          </cell>
          <cell r="E4484" t="str">
            <v>Less: Financial intermediation services indirectly measured (FISIM) (only to be deducted if FISIM is not distributed to uses)</v>
          </cell>
          <cell r="F4484">
            <v>0</v>
          </cell>
          <cell r="G4484">
            <v>1977</v>
          </cell>
          <cell r="H4484">
            <v>20</v>
          </cell>
          <cell r="I4484">
            <v>188300000</v>
          </cell>
        </row>
        <row r="4485">
          <cell r="A4485" t="str">
            <v>Ghana</v>
          </cell>
          <cell r="B4485">
            <v>288</v>
          </cell>
          <cell r="C4485">
            <v>201</v>
          </cell>
          <cell r="D4485">
            <v>13</v>
          </cell>
          <cell r="E4485" t="str">
            <v>Less: Financial intermediation services indirectly measured (FISIM) (only to be deducted if FISIM is not distributed to uses)</v>
          </cell>
          <cell r="F4485">
            <v>0</v>
          </cell>
          <cell r="G4485">
            <v>1978</v>
          </cell>
          <cell r="H4485">
            <v>20</v>
          </cell>
          <cell r="I4485">
            <v>303700000</v>
          </cell>
        </row>
        <row r="4486">
          <cell r="A4486" t="str">
            <v>Ghana</v>
          </cell>
          <cell r="B4486">
            <v>288</v>
          </cell>
          <cell r="C4486">
            <v>201</v>
          </cell>
          <cell r="D4486">
            <v>13</v>
          </cell>
          <cell r="E4486" t="str">
            <v>Less: Financial intermediation services indirectly measured (FISIM) (only to be deducted if FISIM is not distributed to uses)</v>
          </cell>
          <cell r="F4486">
            <v>0</v>
          </cell>
          <cell r="G4486">
            <v>1979</v>
          </cell>
          <cell r="H4486">
            <v>20</v>
          </cell>
          <cell r="I4486">
            <v>521400000</v>
          </cell>
        </row>
        <row r="4487">
          <cell r="A4487" t="str">
            <v>Ghana</v>
          </cell>
          <cell r="B4487">
            <v>288</v>
          </cell>
          <cell r="C4487">
            <v>201</v>
          </cell>
          <cell r="D4487">
            <v>13</v>
          </cell>
          <cell r="E4487" t="str">
            <v>Less: Financial intermediation services indirectly measured (FISIM) (only to be deducted if FISIM is not distributed to uses)</v>
          </cell>
          <cell r="F4487">
            <v>0</v>
          </cell>
          <cell r="G4487">
            <v>1980</v>
          </cell>
          <cell r="H4487">
            <v>20</v>
          </cell>
          <cell r="I4487">
            <v>651300000</v>
          </cell>
        </row>
        <row r="4488">
          <cell r="A4488" t="str">
            <v>Ghana</v>
          </cell>
          <cell r="B4488">
            <v>288</v>
          </cell>
          <cell r="C4488">
            <v>201</v>
          </cell>
          <cell r="D4488">
            <v>13</v>
          </cell>
          <cell r="E4488" t="str">
            <v>Less: Financial intermediation services indirectly measured (FISIM) (only to be deducted if FISIM is not distributed to uses)</v>
          </cell>
          <cell r="F4488">
            <v>0</v>
          </cell>
          <cell r="G4488">
            <v>1981</v>
          </cell>
          <cell r="H4488">
            <v>20</v>
          </cell>
          <cell r="I4488">
            <v>1206900000</v>
          </cell>
        </row>
        <row r="4489">
          <cell r="A4489" t="str">
            <v>Ghana</v>
          </cell>
          <cell r="B4489">
            <v>288</v>
          </cell>
          <cell r="C4489">
            <v>201</v>
          </cell>
          <cell r="D4489">
            <v>13</v>
          </cell>
          <cell r="E4489" t="str">
            <v>Less: Financial intermediation services indirectly measured (FISIM) (only to be deducted if FISIM is not distributed to uses)</v>
          </cell>
          <cell r="F4489">
            <v>0</v>
          </cell>
          <cell r="G4489">
            <v>1982</v>
          </cell>
          <cell r="H4489">
            <v>20</v>
          </cell>
          <cell r="I4489">
            <v>1802300000</v>
          </cell>
        </row>
        <row r="4490">
          <cell r="A4490" t="str">
            <v>Ghana</v>
          </cell>
          <cell r="B4490">
            <v>288</v>
          </cell>
          <cell r="C4490">
            <v>201</v>
          </cell>
          <cell r="D4490">
            <v>13</v>
          </cell>
          <cell r="E4490" t="str">
            <v>Less: Financial intermediation services indirectly measured (FISIM) (only to be deducted if FISIM is not distributed to uses)</v>
          </cell>
          <cell r="F4490">
            <v>0</v>
          </cell>
          <cell r="G4490">
            <v>1983</v>
          </cell>
          <cell r="H4490">
            <v>20</v>
          </cell>
          <cell r="I4490">
            <v>2258900000</v>
          </cell>
        </row>
        <row r="4491">
          <cell r="A4491" t="str">
            <v>Ghana</v>
          </cell>
          <cell r="B4491">
            <v>288</v>
          </cell>
          <cell r="C4491">
            <v>201</v>
          </cell>
          <cell r="D4491">
            <v>13</v>
          </cell>
          <cell r="E4491" t="str">
            <v>Less: Financial intermediation services indirectly measured (FISIM) (only to be deducted if FISIM is not distributed to uses)</v>
          </cell>
          <cell r="F4491">
            <v>0</v>
          </cell>
          <cell r="G4491">
            <v>1984</v>
          </cell>
          <cell r="H4491">
            <v>20</v>
          </cell>
          <cell r="I4491">
            <v>2864500000</v>
          </cell>
        </row>
        <row r="4492">
          <cell r="A4492" t="str">
            <v>Ghana</v>
          </cell>
          <cell r="B4492">
            <v>288</v>
          </cell>
          <cell r="C4492">
            <v>201</v>
          </cell>
          <cell r="D4492">
            <v>13</v>
          </cell>
          <cell r="E4492" t="str">
            <v>Less: Financial intermediation services indirectly measured (FISIM) (only to be deducted if FISIM is not distributed to uses)</v>
          </cell>
          <cell r="F4492">
            <v>0</v>
          </cell>
          <cell r="G4492">
            <v>1985</v>
          </cell>
          <cell r="H4492">
            <v>20</v>
          </cell>
          <cell r="I4492">
            <v>5323000000</v>
          </cell>
        </row>
        <row r="4493">
          <cell r="A4493" t="str">
            <v>Ghana</v>
          </cell>
          <cell r="B4493">
            <v>288</v>
          </cell>
          <cell r="C4493">
            <v>201</v>
          </cell>
          <cell r="D4493">
            <v>13</v>
          </cell>
          <cell r="E4493" t="str">
            <v>Less: Financial intermediation services indirectly measured (FISIM) (only to be deducted if FISIM is not distributed to uses)</v>
          </cell>
          <cell r="F4493">
            <v>0</v>
          </cell>
          <cell r="G4493">
            <v>1986</v>
          </cell>
          <cell r="H4493">
            <v>20</v>
          </cell>
          <cell r="I4493">
            <v>6903000000</v>
          </cell>
        </row>
        <row r="4494">
          <cell r="A4494" t="str">
            <v>Myanmar</v>
          </cell>
          <cell r="B4494">
            <v>104</v>
          </cell>
          <cell r="C4494">
            <v>203</v>
          </cell>
          <cell r="D4494">
            <v>3</v>
          </cell>
          <cell r="E4494" t="str">
            <v>Equals: VALUE ADDED, GROSS, at basic prices</v>
          </cell>
          <cell r="F4494">
            <v>12</v>
          </cell>
          <cell r="G4494">
            <v>1970</v>
          </cell>
          <cell r="H4494">
            <v>10</v>
          </cell>
          <cell r="I4494">
            <v>10260000000</v>
          </cell>
        </row>
        <row r="4495">
          <cell r="A4495" t="str">
            <v>Myanmar</v>
          </cell>
          <cell r="B4495">
            <v>104</v>
          </cell>
          <cell r="C4495">
            <v>203</v>
          </cell>
          <cell r="D4495">
            <v>3</v>
          </cell>
          <cell r="E4495" t="str">
            <v>Equals: VALUE ADDED, GROSS, at basic prices</v>
          </cell>
          <cell r="F4495">
            <v>12</v>
          </cell>
          <cell r="G4495">
            <v>1971</v>
          </cell>
          <cell r="H4495">
            <v>10</v>
          </cell>
          <cell r="I4495">
            <v>10437000000</v>
          </cell>
        </row>
        <row r="4496">
          <cell r="A4496" t="str">
            <v>Myanmar</v>
          </cell>
          <cell r="B4496">
            <v>104</v>
          </cell>
          <cell r="C4496">
            <v>203</v>
          </cell>
          <cell r="D4496">
            <v>3</v>
          </cell>
          <cell r="E4496" t="str">
            <v>Equals: VALUE ADDED, GROSS, at basic prices</v>
          </cell>
          <cell r="F4496">
            <v>12</v>
          </cell>
          <cell r="G4496">
            <v>1972</v>
          </cell>
          <cell r="H4496">
            <v>10</v>
          </cell>
          <cell r="I4496">
            <v>10772000000</v>
          </cell>
        </row>
        <row r="4497">
          <cell r="A4497" t="str">
            <v>Myanmar</v>
          </cell>
          <cell r="B4497">
            <v>104</v>
          </cell>
          <cell r="C4497">
            <v>203</v>
          </cell>
          <cell r="D4497">
            <v>3</v>
          </cell>
          <cell r="E4497" t="str">
            <v>Equals: VALUE ADDED, GROSS, at basic prices</v>
          </cell>
          <cell r="F4497">
            <v>12</v>
          </cell>
          <cell r="G4497">
            <v>1973</v>
          </cell>
          <cell r="H4497">
            <v>10</v>
          </cell>
          <cell r="I4497">
            <v>11735000000</v>
          </cell>
        </row>
        <row r="4498">
          <cell r="A4498" t="str">
            <v>Myanmar</v>
          </cell>
          <cell r="B4498">
            <v>104</v>
          </cell>
          <cell r="C4498">
            <v>203</v>
          </cell>
          <cell r="D4498">
            <v>3</v>
          </cell>
          <cell r="E4498" t="str">
            <v>Equals: VALUE ADDED, GROSS, at basic prices</v>
          </cell>
          <cell r="F4498">
            <v>12</v>
          </cell>
          <cell r="G4498">
            <v>1974</v>
          </cell>
          <cell r="H4498">
            <v>10</v>
          </cell>
          <cell r="I4498">
            <v>14700000000</v>
          </cell>
        </row>
        <row r="4499">
          <cell r="A4499" t="str">
            <v>Myanmar</v>
          </cell>
          <cell r="B4499">
            <v>104</v>
          </cell>
          <cell r="C4499">
            <v>203</v>
          </cell>
          <cell r="D4499">
            <v>3</v>
          </cell>
          <cell r="E4499" t="str">
            <v>Equals: VALUE ADDED, GROSS, at basic prices</v>
          </cell>
          <cell r="F4499">
            <v>12</v>
          </cell>
          <cell r="G4499">
            <v>1974</v>
          </cell>
          <cell r="H4499">
            <v>20</v>
          </cell>
          <cell r="I4499">
            <v>19348000000</v>
          </cell>
        </row>
        <row r="4500">
          <cell r="A4500" t="str">
            <v>Myanmar</v>
          </cell>
          <cell r="B4500">
            <v>104</v>
          </cell>
          <cell r="C4500">
            <v>203</v>
          </cell>
          <cell r="D4500">
            <v>3</v>
          </cell>
          <cell r="E4500" t="str">
            <v>Equals: VALUE ADDED, GROSS, at basic prices</v>
          </cell>
          <cell r="F4500">
            <v>12</v>
          </cell>
          <cell r="G4500">
            <v>1975</v>
          </cell>
          <cell r="H4500">
            <v>20</v>
          </cell>
          <cell r="I4500">
            <v>23477000000</v>
          </cell>
        </row>
        <row r="4501">
          <cell r="A4501" t="str">
            <v>Myanmar</v>
          </cell>
          <cell r="B4501">
            <v>104</v>
          </cell>
          <cell r="C4501">
            <v>203</v>
          </cell>
          <cell r="D4501">
            <v>3</v>
          </cell>
          <cell r="E4501" t="str">
            <v>Equals: VALUE ADDED, GROSS, at basic prices</v>
          </cell>
          <cell r="F4501">
            <v>12</v>
          </cell>
          <cell r="G4501">
            <v>1976</v>
          </cell>
          <cell r="H4501">
            <v>20</v>
          </cell>
          <cell r="I4501">
            <v>27427000000</v>
          </cell>
        </row>
        <row r="4502">
          <cell r="A4502" t="str">
            <v>Myanmar</v>
          </cell>
          <cell r="B4502">
            <v>104</v>
          </cell>
          <cell r="C4502">
            <v>203</v>
          </cell>
          <cell r="D4502">
            <v>3</v>
          </cell>
          <cell r="E4502" t="str">
            <v>Equals: VALUE ADDED, GROSS, at basic prices</v>
          </cell>
          <cell r="F4502">
            <v>12</v>
          </cell>
          <cell r="G4502">
            <v>1977</v>
          </cell>
          <cell r="H4502">
            <v>20</v>
          </cell>
          <cell r="I4502">
            <v>29618000000</v>
          </cell>
        </row>
        <row r="4503">
          <cell r="A4503" t="str">
            <v>Myanmar</v>
          </cell>
          <cell r="B4503">
            <v>104</v>
          </cell>
          <cell r="C4503">
            <v>203</v>
          </cell>
          <cell r="D4503">
            <v>3</v>
          </cell>
          <cell r="E4503" t="str">
            <v>Equals: VALUE ADDED, GROSS, at basic prices</v>
          </cell>
          <cell r="F4503">
            <v>12</v>
          </cell>
          <cell r="G4503">
            <v>1978</v>
          </cell>
          <cell r="H4503">
            <v>20</v>
          </cell>
          <cell r="I4503">
            <v>31800000000</v>
          </cell>
        </row>
        <row r="4504">
          <cell r="A4504" t="str">
            <v>Myanmar</v>
          </cell>
          <cell r="B4504">
            <v>104</v>
          </cell>
          <cell r="C4504">
            <v>203</v>
          </cell>
          <cell r="D4504">
            <v>3</v>
          </cell>
          <cell r="E4504" t="str">
            <v>Equals: VALUE ADDED, GROSS, at basic prices</v>
          </cell>
          <cell r="F4504">
            <v>12</v>
          </cell>
          <cell r="G4504">
            <v>1979</v>
          </cell>
          <cell r="H4504">
            <v>20</v>
          </cell>
          <cell r="I4504">
            <v>35333000000</v>
          </cell>
        </row>
        <row r="4505">
          <cell r="A4505" t="str">
            <v>Myanmar</v>
          </cell>
          <cell r="B4505">
            <v>104</v>
          </cell>
          <cell r="C4505">
            <v>203</v>
          </cell>
          <cell r="D4505">
            <v>3</v>
          </cell>
          <cell r="E4505" t="str">
            <v>Equals: VALUE ADDED, GROSS, at basic prices</v>
          </cell>
          <cell r="F4505">
            <v>12</v>
          </cell>
          <cell r="G4505">
            <v>1980</v>
          </cell>
          <cell r="H4505">
            <v>20</v>
          </cell>
          <cell r="I4505">
            <v>38609000000</v>
          </cell>
        </row>
        <row r="4506">
          <cell r="A4506" t="str">
            <v>Myanmar</v>
          </cell>
          <cell r="B4506">
            <v>104</v>
          </cell>
          <cell r="C4506">
            <v>203</v>
          </cell>
          <cell r="D4506">
            <v>3</v>
          </cell>
          <cell r="E4506" t="str">
            <v>Equals: VALUE ADDED, GROSS, at basic prices</v>
          </cell>
          <cell r="F4506">
            <v>12</v>
          </cell>
          <cell r="G4506">
            <v>1981</v>
          </cell>
          <cell r="H4506">
            <v>20</v>
          </cell>
          <cell r="I4506">
            <v>42879000000</v>
          </cell>
        </row>
        <row r="4507">
          <cell r="A4507" t="str">
            <v>Myanmar</v>
          </cell>
          <cell r="B4507">
            <v>104</v>
          </cell>
          <cell r="C4507">
            <v>203</v>
          </cell>
          <cell r="D4507">
            <v>3</v>
          </cell>
          <cell r="E4507" t="str">
            <v>Equals: VALUE ADDED, GROSS, at basic prices</v>
          </cell>
          <cell r="F4507">
            <v>12</v>
          </cell>
          <cell r="G4507">
            <v>1982</v>
          </cell>
          <cell r="H4507">
            <v>20</v>
          </cell>
          <cell r="I4507">
            <v>46811000000</v>
          </cell>
        </row>
        <row r="4508">
          <cell r="A4508" t="str">
            <v>Myanmar</v>
          </cell>
          <cell r="B4508">
            <v>104</v>
          </cell>
          <cell r="C4508">
            <v>203</v>
          </cell>
          <cell r="D4508">
            <v>3</v>
          </cell>
          <cell r="E4508" t="str">
            <v>Equals: VALUE ADDED, GROSS, at basic prices</v>
          </cell>
          <cell r="F4508">
            <v>12</v>
          </cell>
          <cell r="G4508">
            <v>1983</v>
          </cell>
          <cell r="H4508">
            <v>20</v>
          </cell>
          <cell r="I4508">
            <v>49823000000</v>
          </cell>
        </row>
        <row r="4509">
          <cell r="A4509" t="str">
            <v>Myanmar</v>
          </cell>
          <cell r="B4509">
            <v>104</v>
          </cell>
          <cell r="C4509">
            <v>203</v>
          </cell>
          <cell r="D4509">
            <v>3</v>
          </cell>
          <cell r="E4509" t="str">
            <v>Equals: VALUE ADDED, GROSS, at basic prices</v>
          </cell>
          <cell r="F4509">
            <v>12</v>
          </cell>
          <cell r="G4509">
            <v>1984</v>
          </cell>
          <cell r="H4509">
            <v>20</v>
          </cell>
          <cell r="I4509">
            <v>53597000000</v>
          </cell>
        </row>
        <row r="4510">
          <cell r="A4510" t="str">
            <v>Myanmar</v>
          </cell>
          <cell r="B4510">
            <v>104</v>
          </cell>
          <cell r="C4510">
            <v>203</v>
          </cell>
          <cell r="D4510">
            <v>3</v>
          </cell>
          <cell r="E4510" t="str">
            <v>Equals: VALUE ADDED, GROSS, at basic prices</v>
          </cell>
          <cell r="F4510">
            <v>12</v>
          </cell>
          <cell r="G4510">
            <v>1985</v>
          </cell>
          <cell r="H4510">
            <v>20</v>
          </cell>
          <cell r="I4510">
            <v>55989000000</v>
          </cell>
        </row>
        <row r="4511">
          <cell r="A4511" t="str">
            <v>Myanmar</v>
          </cell>
          <cell r="B4511">
            <v>104</v>
          </cell>
          <cell r="C4511">
            <v>203</v>
          </cell>
          <cell r="D4511">
            <v>3</v>
          </cell>
          <cell r="E4511" t="str">
            <v>Equals: VALUE ADDED, GROSS, at basic prices</v>
          </cell>
          <cell r="F4511">
            <v>12</v>
          </cell>
          <cell r="G4511">
            <v>1986</v>
          </cell>
          <cell r="H4511">
            <v>20</v>
          </cell>
          <cell r="I4511">
            <v>59028000000</v>
          </cell>
        </row>
        <row r="4512">
          <cell r="A4512" t="str">
            <v>Myanmar</v>
          </cell>
          <cell r="B4512">
            <v>104</v>
          </cell>
          <cell r="C4512">
            <v>203</v>
          </cell>
          <cell r="D4512">
            <v>3</v>
          </cell>
          <cell r="E4512" t="str">
            <v>Equals: VALUE ADDED, GROSS, at basic prices</v>
          </cell>
          <cell r="F4512">
            <v>12</v>
          </cell>
          <cell r="G4512">
            <v>1987</v>
          </cell>
          <cell r="H4512">
            <v>20</v>
          </cell>
          <cell r="I4512">
            <v>68698000000</v>
          </cell>
        </row>
        <row r="4513">
          <cell r="A4513" t="str">
            <v>Myanmar</v>
          </cell>
          <cell r="B4513">
            <v>104</v>
          </cell>
          <cell r="C4513">
            <v>203</v>
          </cell>
          <cell r="D4513">
            <v>3</v>
          </cell>
          <cell r="E4513" t="str">
            <v>Equals: VALUE ADDED, GROSS, at basic prices</v>
          </cell>
          <cell r="F4513">
            <v>12</v>
          </cell>
          <cell r="G4513">
            <v>1988</v>
          </cell>
          <cell r="H4513">
            <v>20</v>
          </cell>
          <cell r="I4513">
            <v>76243000000</v>
          </cell>
        </row>
        <row r="4514">
          <cell r="A4514" t="str">
            <v>Myanmar</v>
          </cell>
          <cell r="B4514">
            <v>104</v>
          </cell>
          <cell r="C4514">
            <v>203</v>
          </cell>
          <cell r="D4514">
            <v>3</v>
          </cell>
          <cell r="E4514" t="str">
            <v>Equals: VALUE ADDED, GROSS, at basic prices</v>
          </cell>
          <cell r="F4514">
            <v>12</v>
          </cell>
          <cell r="G4514">
            <v>1989</v>
          </cell>
          <cell r="H4514">
            <v>20</v>
          </cell>
          <cell r="I4514">
            <v>124666000000</v>
          </cell>
        </row>
        <row r="4515">
          <cell r="A4515" t="str">
            <v>Myanmar</v>
          </cell>
          <cell r="B4515">
            <v>104</v>
          </cell>
          <cell r="C4515">
            <v>203</v>
          </cell>
          <cell r="D4515">
            <v>3</v>
          </cell>
          <cell r="E4515" t="str">
            <v>Equals: VALUE ADDED, GROSS, at basic prices</v>
          </cell>
          <cell r="F4515">
            <v>12</v>
          </cell>
          <cell r="G4515">
            <v>1990</v>
          </cell>
          <cell r="H4515">
            <v>20</v>
          </cell>
          <cell r="I4515">
            <v>151941000000</v>
          </cell>
        </row>
        <row r="4516">
          <cell r="A4516" t="str">
            <v>Myanmar</v>
          </cell>
          <cell r="B4516">
            <v>104</v>
          </cell>
          <cell r="C4516">
            <v>203</v>
          </cell>
          <cell r="D4516">
            <v>3</v>
          </cell>
          <cell r="E4516" t="str">
            <v>Equals: VALUE ADDED, GROSS, at basic prices</v>
          </cell>
          <cell r="F4516">
            <v>12</v>
          </cell>
          <cell r="G4516">
            <v>1991</v>
          </cell>
          <cell r="H4516">
            <v>20</v>
          </cell>
          <cell r="I4516">
            <v>186802000000</v>
          </cell>
        </row>
        <row r="4517">
          <cell r="A4517" t="str">
            <v>Myanmar</v>
          </cell>
          <cell r="B4517">
            <v>104</v>
          </cell>
          <cell r="C4517">
            <v>203</v>
          </cell>
          <cell r="D4517">
            <v>3</v>
          </cell>
          <cell r="E4517" t="str">
            <v>Equals: VALUE ADDED, GROSS, at basic prices</v>
          </cell>
          <cell r="F4517">
            <v>12</v>
          </cell>
          <cell r="G4517">
            <v>1992</v>
          </cell>
          <cell r="H4517">
            <v>20</v>
          </cell>
          <cell r="I4517">
            <v>249395000000</v>
          </cell>
        </row>
        <row r="4518">
          <cell r="A4518" t="str">
            <v>Myanmar</v>
          </cell>
          <cell r="B4518">
            <v>104</v>
          </cell>
          <cell r="C4518">
            <v>203</v>
          </cell>
          <cell r="D4518">
            <v>3</v>
          </cell>
          <cell r="E4518" t="str">
            <v>Equals: VALUE ADDED, GROSS, at basic prices</v>
          </cell>
          <cell r="F4518">
            <v>12</v>
          </cell>
          <cell r="G4518">
            <v>1993</v>
          </cell>
          <cell r="H4518">
            <v>20</v>
          </cell>
          <cell r="I4518">
            <v>360321000000</v>
          </cell>
        </row>
        <row r="4519">
          <cell r="A4519" t="str">
            <v>Myanmar</v>
          </cell>
          <cell r="B4519">
            <v>104</v>
          </cell>
          <cell r="C4519">
            <v>203</v>
          </cell>
          <cell r="D4519">
            <v>3</v>
          </cell>
          <cell r="E4519" t="str">
            <v>Equals: VALUE ADDED, GROSS, at basic prices</v>
          </cell>
          <cell r="F4519">
            <v>12</v>
          </cell>
          <cell r="G4519">
            <v>1994</v>
          </cell>
          <cell r="H4519">
            <v>20</v>
          </cell>
          <cell r="I4519">
            <v>472774000000</v>
          </cell>
        </row>
        <row r="4520">
          <cell r="A4520" t="str">
            <v>Myanmar</v>
          </cell>
          <cell r="B4520">
            <v>104</v>
          </cell>
          <cell r="C4520">
            <v>203</v>
          </cell>
          <cell r="D4520">
            <v>3</v>
          </cell>
          <cell r="E4520" t="str">
            <v>Equals: VALUE ADDED, GROSS, at basic prices</v>
          </cell>
          <cell r="F4520">
            <v>12</v>
          </cell>
          <cell r="G4520">
            <v>1995</v>
          </cell>
          <cell r="H4520">
            <v>20</v>
          </cell>
          <cell r="I4520">
            <v>604729000000</v>
          </cell>
        </row>
        <row r="4521">
          <cell r="A4521" t="str">
            <v>Myanmar</v>
          </cell>
          <cell r="B4521">
            <v>104</v>
          </cell>
          <cell r="C4521">
            <v>203</v>
          </cell>
          <cell r="D4521">
            <v>3</v>
          </cell>
          <cell r="E4521" t="str">
            <v>Equals: VALUE ADDED, GROSS, at basic prices</v>
          </cell>
          <cell r="F4521">
            <v>12</v>
          </cell>
          <cell r="G4521">
            <v>1996</v>
          </cell>
          <cell r="H4521">
            <v>20</v>
          </cell>
          <cell r="I4521">
            <v>791980000000</v>
          </cell>
        </row>
        <row r="4522">
          <cell r="A4522" t="str">
            <v>Myanmar</v>
          </cell>
          <cell r="B4522">
            <v>104</v>
          </cell>
          <cell r="C4522">
            <v>203</v>
          </cell>
          <cell r="D4522">
            <v>3</v>
          </cell>
          <cell r="E4522" t="str">
            <v>Equals: VALUE ADDED, GROSS, at basic prices</v>
          </cell>
          <cell r="F4522">
            <v>12</v>
          </cell>
          <cell r="G4522">
            <v>1997</v>
          </cell>
          <cell r="H4522">
            <v>20</v>
          </cell>
          <cell r="I4522">
            <v>1109554000000</v>
          </cell>
        </row>
        <row r="4523">
          <cell r="A4523" t="str">
            <v>Myanmar</v>
          </cell>
          <cell r="B4523">
            <v>104</v>
          </cell>
          <cell r="C4523">
            <v>203</v>
          </cell>
          <cell r="D4523">
            <v>3</v>
          </cell>
          <cell r="E4523" t="str">
            <v>Equals: VALUE ADDED, GROSS, at basic prices</v>
          </cell>
          <cell r="F4523">
            <v>12</v>
          </cell>
          <cell r="G4523">
            <v>1998</v>
          </cell>
          <cell r="H4523">
            <v>20</v>
          </cell>
          <cell r="I4523">
            <v>1559996000000</v>
          </cell>
        </row>
        <row r="4524">
          <cell r="A4524" t="str">
            <v>Cambodia</v>
          </cell>
          <cell r="B4524">
            <v>116</v>
          </cell>
          <cell r="C4524">
            <v>201</v>
          </cell>
          <cell r="D4524">
            <v>13</v>
          </cell>
          <cell r="E4524" t="str">
            <v>Less: Financial intermediation services indirectly measured (FISIM) (only to be deducted if FISIM is not distributed to uses)</v>
          </cell>
          <cell r="F4524">
            <v>0</v>
          </cell>
          <cell r="G4524">
            <v>1993</v>
          </cell>
          <cell r="H4524">
            <v>100</v>
          </cell>
          <cell r="I4524">
            <v>14950000000</v>
          </cell>
        </row>
        <row r="4525">
          <cell r="A4525" t="str">
            <v>Cambodia</v>
          </cell>
          <cell r="B4525">
            <v>116</v>
          </cell>
          <cell r="C4525">
            <v>201</v>
          </cell>
          <cell r="D4525">
            <v>13</v>
          </cell>
          <cell r="E4525" t="str">
            <v>Less: Financial intermediation services indirectly measured (FISIM) (only to be deducted if FISIM is not distributed to uses)</v>
          </cell>
          <cell r="F4525">
            <v>0</v>
          </cell>
          <cell r="G4525">
            <v>1994</v>
          </cell>
          <cell r="H4525">
            <v>100</v>
          </cell>
          <cell r="I4525">
            <v>17220000000</v>
          </cell>
        </row>
        <row r="4526">
          <cell r="A4526" t="str">
            <v>Cambodia</v>
          </cell>
          <cell r="B4526">
            <v>116</v>
          </cell>
          <cell r="C4526">
            <v>201</v>
          </cell>
          <cell r="D4526">
            <v>13</v>
          </cell>
          <cell r="E4526" t="str">
            <v>Less: Financial intermediation services indirectly measured (FISIM) (only to be deducted if FISIM is not distributed to uses)</v>
          </cell>
          <cell r="F4526">
            <v>0</v>
          </cell>
          <cell r="G4526">
            <v>1995</v>
          </cell>
          <cell r="H4526">
            <v>100</v>
          </cell>
          <cell r="I4526">
            <v>72960000000</v>
          </cell>
        </row>
        <row r="4527">
          <cell r="A4527" t="str">
            <v>Cambodia</v>
          </cell>
          <cell r="B4527">
            <v>116</v>
          </cell>
          <cell r="C4527">
            <v>201</v>
          </cell>
          <cell r="D4527">
            <v>13</v>
          </cell>
          <cell r="E4527" t="str">
            <v>Less: Financial intermediation services indirectly measured (FISIM) (only to be deducted if FISIM is not distributed to uses)</v>
          </cell>
          <cell r="F4527">
            <v>0</v>
          </cell>
          <cell r="G4527">
            <v>1996</v>
          </cell>
          <cell r="H4527">
            <v>100</v>
          </cell>
          <cell r="I4527">
            <v>63190000000</v>
          </cell>
        </row>
        <row r="4528">
          <cell r="A4528" t="str">
            <v>Cambodia</v>
          </cell>
          <cell r="B4528">
            <v>116</v>
          </cell>
          <cell r="C4528">
            <v>201</v>
          </cell>
          <cell r="D4528">
            <v>13</v>
          </cell>
          <cell r="E4528" t="str">
            <v>Less: Financial intermediation services indirectly measured (FISIM) (only to be deducted if FISIM is not distributed to uses)</v>
          </cell>
          <cell r="F4528">
            <v>0</v>
          </cell>
          <cell r="G4528">
            <v>1997</v>
          </cell>
          <cell r="H4528">
            <v>100</v>
          </cell>
          <cell r="I4528">
            <v>123060000000</v>
          </cell>
        </row>
        <row r="4529">
          <cell r="A4529" t="str">
            <v>Cambodia</v>
          </cell>
          <cell r="B4529">
            <v>116</v>
          </cell>
          <cell r="C4529">
            <v>201</v>
          </cell>
          <cell r="D4529">
            <v>13</v>
          </cell>
          <cell r="E4529" t="str">
            <v>Less: Financial intermediation services indirectly measured (FISIM) (only to be deducted if FISIM is not distributed to uses)</v>
          </cell>
          <cell r="F4529">
            <v>0</v>
          </cell>
          <cell r="G4529">
            <v>1998</v>
          </cell>
          <cell r="H4529">
            <v>100</v>
          </cell>
          <cell r="I4529">
            <v>124480000000</v>
          </cell>
        </row>
        <row r="4530">
          <cell r="A4530" t="str">
            <v>Cambodia</v>
          </cell>
          <cell r="B4530">
            <v>116</v>
          </cell>
          <cell r="C4530">
            <v>201</v>
          </cell>
          <cell r="D4530">
            <v>13</v>
          </cell>
          <cell r="E4530" t="str">
            <v>Less: Financial intermediation services indirectly measured (FISIM) (only to be deducted if FISIM is not distributed to uses)</v>
          </cell>
          <cell r="F4530">
            <v>0</v>
          </cell>
          <cell r="G4530">
            <v>1999</v>
          </cell>
          <cell r="H4530">
            <v>100</v>
          </cell>
          <cell r="I4530">
            <v>157450000000</v>
          </cell>
        </row>
        <row r="4531">
          <cell r="A4531" t="str">
            <v>Cambodia</v>
          </cell>
          <cell r="B4531">
            <v>116</v>
          </cell>
          <cell r="C4531">
            <v>201</v>
          </cell>
          <cell r="D4531">
            <v>13</v>
          </cell>
          <cell r="E4531" t="str">
            <v>Less: Financial intermediation services indirectly measured (FISIM) (only to be deducted if FISIM is not distributed to uses)</v>
          </cell>
          <cell r="F4531">
            <v>0</v>
          </cell>
          <cell r="G4531">
            <v>2000</v>
          </cell>
          <cell r="H4531">
            <v>100</v>
          </cell>
          <cell r="I4531">
            <v>154780000000</v>
          </cell>
        </row>
        <row r="4532">
          <cell r="A4532" t="str">
            <v>Cambodia</v>
          </cell>
          <cell r="B4532">
            <v>116</v>
          </cell>
          <cell r="C4532">
            <v>201</v>
          </cell>
          <cell r="D4532">
            <v>13</v>
          </cell>
          <cell r="E4532" t="str">
            <v>Less: Financial intermediation services indirectly measured (FISIM) (only to be deducted if FISIM is not distributed to uses)</v>
          </cell>
          <cell r="F4532">
            <v>0</v>
          </cell>
          <cell r="G4532">
            <v>2001</v>
          </cell>
          <cell r="H4532">
            <v>100</v>
          </cell>
          <cell r="I4532">
            <v>128030000000</v>
          </cell>
        </row>
        <row r="4533">
          <cell r="A4533" t="str">
            <v>Ghana</v>
          </cell>
          <cell r="B4533">
            <v>288</v>
          </cell>
          <cell r="C4533">
            <v>203</v>
          </cell>
          <cell r="D4533">
            <v>3</v>
          </cell>
          <cell r="E4533" t="str">
            <v>Equals: VALUE ADDED, GROSS, at basic prices</v>
          </cell>
          <cell r="F4533">
            <v>12</v>
          </cell>
          <cell r="G4533">
            <v>1970</v>
          </cell>
          <cell r="H4533">
            <v>20</v>
          </cell>
          <cell r="I4533">
            <v>2224100000</v>
          </cell>
        </row>
        <row r="4534">
          <cell r="A4534" t="str">
            <v>Ghana</v>
          </cell>
          <cell r="B4534">
            <v>288</v>
          </cell>
          <cell r="C4534">
            <v>203</v>
          </cell>
          <cell r="D4534">
            <v>3</v>
          </cell>
          <cell r="E4534" t="str">
            <v>Equals: VALUE ADDED, GROSS, at basic prices</v>
          </cell>
          <cell r="F4534">
            <v>12</v>
          </cell>
          <cell r="G4534">
            <v>1971</v>
          </cell>
          <cell r="H4534">
            <v>20</v>
          </cell>
          <cell r="I4534">
            <v>2439800000</v>
          </cell>
        </row>
        <row r="4535">
          <cell r="A4535" t="str">
            <v>Ghana</v>
          </cell>
          <cell r="B4535">
            <v>288</v>
          </cell>
          <cell r="C4535">
            <v>203</v>
          </cell>
          <cell r="D4535">
            <v>3</v>
          </cell>
          <cell r="E4535" t="str">
            <v>Equals: VALUE ADDED, GROSS, at basic prices</v>
          </cell>
          <cell r="F4535">
            <v>12</v>
          </cell>
          <cell r="G4535">
            <v>1972</v>
          </cell>
          <cell r="H4535">
            <v>20</v>
          </cell>
          <cell r="I4535">
            <v>2798300000</v>
          </cell>
        </row>
        <row r="4536">
          <cell r="A4536" t="str">
            <v>Ghana</v>
          </cell>
          <cell r="B4536">
            <v>288</v>
          </cell>
          <cell r="C4536">
            <v>203</v>
          </cell>
          <cell r="D4536">
            <v>3</v>
          </cell>
          <cell r="E4536" t="str">
            <v>Equals: VALUE ADDED, GROSS, at basic prices</v>
          </cell>
          <cell r="F4536">
            <v>12</v>
          </cell>
          <cell r="G4536">
            <v>1973</v>
          </cell>
          <cell r="H4536">
            <v>20</v>
          </cell>
          <cell r="I4536">
            <v>3485400000</v>
          </cell>
        </row>
        <row r="4537">
          <cell r="A4537" t="str">
            <v>Ghana</v>
          </cell>
          <cell r="B4537">
            <v>288</v>
          </cell>
          <cell r="C4537">
            <v>203</v>
          </cell>
          <cell r="D4537">
            <v>3</v>
          </cell>
          <cell r="E4537" t="str">
            <v>Equals: VALUE ADDED, GROSS, at basic prices</v>
          </cell>
          <cell r="F4537">
            <v>12</v>
          </cell>
          <cell r="G4537">
            <v>1974</v>
          </cell>
          <cell r="H4537">
            <v>20</v>
          </cell>
          <cell r="I4537">
            <v>4615800000</v>
          </cell>
        </row>
        <row r="4538">
          <cell r="A4538" t="str">
            <v>Ghana</v>
          </cell>
          <cell r="B4538">
            <v>288</v>
          </cell>
          <cell r="C4538">
            <v>203</v>
          </cell>
          <cell r="D4538">
            <v>3</v>
          </cell>
          <cell r="E4538" t="str">
            <v>Equals: VALUE ADDED, GROSS, at basic prices</v>
          </cell>
          <cell r="F4538">
            <v>12</v>
          </cell>
          <cell r="G4538">
            <v>1975</v>
          </cell>
          <cell r="H4538">
            <v>20</v>
          </cell>
          <cell r="I4538">
            <v>5263900000</v>
          </cell>
        </row>
        <row r="4539">
          <cell r="A4539" t="str">
            <v>Ghana</v>
          </cell>
          <cell r="B4539">
            <v>288</v>
          </cell>
          <cell r="C4539">
            <v>203</v>
          </cell>
          <cell r="D4539">
            <v>3</v>
          </cell>
          <cell r="E4539" t="str">
            <v>Equals: VALUE ADDED, GROSS, at basic prices</v>
          </cell>
          <cell r="F4539">
            <v>12</v>
          </cell>
          <cell r="G4539">
            <v>1976</v>
          </cell>
          <cell r="H4539">
            <v>20</v>
          </cell>
          <cell r="I4539">
            <v>6557500000</v>
          </cell>
        </row>
        <row r="4540">
          <cell r="A4540" t="str">
            <v>Ghana</v>
          </cell>
          <cell r="B4540">
            <v>288</v>
          </cell>
          <cell r="C4540">
            <v>203</v>
          </cell>
          <cell r="D4540">
            <v>3</v>
          </cell>
          <cell r="E4540" t="str">
            <v>Equals: VALUE ADDED, GROSS, at basic prices</v>
          </cell>
          <cell r="F4540">
            <v>12</v>
          </cell>
          <cell r="G4540">
            <v>1977</v>
          </cell>
          <cell r="H4540">
            <v>20</v>
          </cell>
          <cell r="I4540">
            <v>11166600000</v>
          </cell>
        </row>
        <row r="4541">
          <cell r="A4541" t="str">
            <v>Ghana</v>
          </cell>
          <cell r="B4541">
            <v>288</v>
          </cell>
          <cell r="C4541">
            <v>203</v>
          </cell>
          <cell r="D4541">
            <v>3</v>
          </cell>
          <cell r="E4541" t="str">
            <v>Equals: VALUE ADDED, GROSS, at basic prices</v>
          </cell>
          <cell r="F4541">
            <v>12</v>
          </cell>
          <cell r="G4541">
            <v>1978</v>
          </cell>
          <cell r="H4541">
            <v>20</v>
          </cell>
          <cell r="I4541">
            <v>20982200000</v>
          </cell>
        </row>
        <row r="4542">
          <cell r="A4542" t="str">
            <v>Ghana</v>
          </cell>
          <cell r="B4542">
            <v>288</v>
          </cell>
          <cell r="C4542">
            <v>203</v>
          </cell>
          <cell r="D4542">
            <v>3</v>
          </cell>
          <cell r="E4542" t="str">
            <v>Equals: VALUE ADDED, GROSS, at basic prices</v>
          </cell>
          <cell r="F4542">
            <v>12</v>
          </cell>
          <cell r="G4542">
            <v>1979</v>
          </cell>
          <cell r="H4542">
            <v>20</v>
          </cell>
          <cell r="I4542">
            <v>28320800000</v>
          </cell>
        </row>
        <row r="4543">
          <cell r="A4543" t="str">
            <v>Ghana</v>
          </cell>
          <cell r="B4543">
            <v>288</v>
          </cell>
          <cell r="C4543">
            <v>203</v>
          </cell>
          <cell r="D4543">
            <v>3</v>
          </cell>
          <cell r="E4543" t="str">
            <v>Equals: VALUE ADDED, GROSS, at basic prices</v>
          </cell>
          <cell r="F4543">
            <v>12</v>
          </cell>
          <cell r="G4543">
            <v>1980</v>
          </cell>
          <cell r="H4543">
            <v>20</v>
          </cell>
          <cell r="I4543">
            <v>43108100000</v>
          </cell>
        </row>
        <row r="4544">
          <cell r="A4544" t="str">
            <v>Ghana</v>
          </cell>
          <cell r="B4544">
            <v>288</v>
          </cell>
          <cell r="C4544">
            <v>203</v>
          </cell>
          <cell r="D4544">
            <v>3</v>
          </cell>
          <cell r="E4544" t="str">
            <v>Equals: VALUE ADDED, GROSS, at basic prices</v>
          </cell>
          <cell r="F4544">
            <v>12</v>
          </cell>
          <cell r="G4544">
            <v>1981</v>
          </cell>
          <cell r="H4544">
            <v>20</v>
          </cell>
          <cell r="I4544">
            <v>73198600000</v>
          </cell>
        </row>
        <row r="4545">
          <cell r="A4545" t="str">
            <v>Ghana</v>
          </cell>
          <cell r="B4545">
            <v>288</v>
          </cell>
          <cell r="C4545">
            <v>203</v>
          </cell>
          <cell r="D4545">
            <v>3</v>
          </cell>
          <cell r="E4545" t="str">
            <v>Equals: VALUE ADDED, GROSS, at basic prices</v>
          </cell>
          <cell r="F4545">
            <v>12</v>
          </cell>
          <cell r="G4545">
            <v>1982</v>
          </cell>
          <cell r="H4545">
            <v>20</v>
          </cell>
          <cell r="I4545">
            <v>87712400000</v>
          </cell>
        </row>
        <row r="4546">
          <cell r="A4546" t="str">
            <v>Ghana</v>
          </cell>
          <cell r="B4546">
            <v>288</v>
          </cell>
          <cell r="C4546">
            <v>203</v>
          </cell>
          <cell r="D4546">
            <v>3</v>
          </cell>
          <cell r="E4546" t="str">
            <v>Equals: VALUE ADDED, GROSS, at basic prices</v>
          </cell>
          <cell r="F4546">
            <v>12</v>
          </cell>
          <cell r="G4546">
            <v>1983</v>
          </cell>
          <cell r="H4546">
            <v>20</v>
          </cell>
          <cell r="I4546">
            <v>184890300000</v>
          </cell>
        </row>
        <row r="4547">
          <cell r="A4547" t="str">
            <v>Ghana</v>
          </cell>
          <cell r="B4547">
            <v>288</v>
          </cell>
          <cell r="C4547">
            <v>203</v>
          </cell>
          <cell r="D4547">
            <v>3</v>
          </cell>
          <cell r="E4547" t="str">
            <v>Equals: VALUE ADDED, GROSS, at basic prices</v>
          </cell>
          <cell r="F4547">
            <v>12</v>
          </cell>
          <cell r="G4547">
            <v>1984</v>
          </cell>
          <cell r="H4547">
            <v>20</v>
          </cell>
          <cell r="I4547">
            <v>270931300000</v>
          </cell>
        </row>
        <row r="4548">
          <cell r="A4548" t="str">
            <v>Ghana</v>
          </cell>
          <cell r="B4548">
            <v>288</v>
          </cell>
          <cell r="C4548">
            <v>203</v>
          </cell>
          <cell r="D4548">
            <v>3</v>
          </cell>
          <cell r="E4548" t="str">
            <v>Equals: VALUE ADDED, GROSS, at basic prices</v>
          </cell>
          <cell r="F4548">
            <v>12</v>
          </cell>
          <cell r="G4548">
            <v>1985</v>
          </cell>
          <cell r="H4548">
            <v>20</v>
          </cell>
          <cell r="I4548">
            <v>343585000000</v>
          </cell>
        </row>
        <row r="4549">
          <cell r="A4549" t="str">
            <v>Ghana</v>
          </cell>
          <cell r="B4549">
            <v>288</v>
          </cell>
          <cell r="C4549">
            <v>203</v>
          </cell>
          <cell r="D4549">
            <v>3</v>
          </cell>
          <cell r="E4549" t="str">
            <v>Equals: VALUE ADDED, GROSS, at basic prices</v>
          </cell>
          <cell r="F4549">
            <v>12</v>
          </cell>
          <cell r="G4549">
            <v>1986</v>
          </cell>
          <cell r="H4549">
            <v>20</v>
          </cell>
          <cell r="I4549">
            <v>547857000000</v>
          </cell>
        </row>
        <row r="4550">
          <cell r="A4550" t="str">
            <v>Cape Verde</v>
          </cell>
          <cell r="B4550">
            <v>132</v>
          </cell>
          <cell r="C4550">
            <v>201</v>
          </cell>
          <cell r="D4550">
            <v>13</v>
          </cell>
          <cell r="E4550" t="str">
            <v>Less: Financial intermediation services indirectly measured (FISIM) (only to be deducted if FISIM is not distributed to uses)</v>
          </cell>
          <cell r="F4550">
            <v>0</v>
          </cell>
          <cell r="G4550">
            <v>1980</v>
          </cell>
          <cell r="H4550">
            <v>10</v>
          </cell>
          <cell r="I4550">
            <v>109000000</v>
          </cell>
        </row>
        <row r="4551">
          <cell r="A4551" t="str">
            <v>Cape Verde</v>
          </cell>
          <cell r="B4551">
            <v>132</v>
          </cell>
          <cell r="C4551">
            <v>201</v>
          </cell>
          <cell r="D4551">
            <v>13</v>
          </cell>
          <cell r="E4551" t="str">
            <v>Less: Financial intermediation services indirectly measured (FISIM) (only to be deducted if FISIM is not distributed to uses)</v>
          </cell>
          <cell r="F4551">
            <v>0</v>
          </cell>
          <cell r="G4551">
            <v>1981</v>
          </cell>
          <cell r="H4551">
            <v>10</v>
          </cell>
          <cell r="I4551">
            <v>124000000</v>
          </cell>
        </row>
        <row r="4552">
          <cell r="A4552" t="str">
            <v>Cape Verde</v>
          </cell>
          <cell r="B4552">
            <v>132</v>
          </cell>
          <cell r="C4552">
            <v>201</v>
          </cell>
          <cell r="D4552">
            <v>13</v>
          </cell>
          <cell r="E4552" t="str">
            <v>Less: Financial intermediation services indirectly measured (FISIM) (only to be deducted if FISIM is not distributed to uses)</v>
          </cell>
          <cell r="F4552">
            <v>0</v>
          </cell>
          <cell r="G4552">
            <v>1982</v>
          </cell>
          <cell r="H4552">
            <v>10</v>
          </cell>
          <cell r="I4552">
            <v>151000000</v>
          </cell>
        </row>
        <row r="4553">
          <cell r="A4553" t="str">
            <v>Cape Verde</v>
          </cell>
          <cell r="B4553">
            <v>132</v>
          </cell>
          <cell r="C4553">
            <v>201</v>
          </cell>
          <cell r="D4553">
            <v>13</v>
          </cell>
          <cell r="E4553" t="str">
            <v>Less: Financial intermediation services indirectly measured (FISIM) (only to be deducted if FISIM is not distributed to uses)</v>
          </cell>
          <cell r="F4553">
            <v>0</v>
          </cell>
          <cell r="G4553">
            <v>1983</v>
          </cell>
          <cell r="H4553">
            <v>10</v>
          </cell>
          <cell r="I4553">
            <v>177000000</v>
          </cell>
        </row>
        <row r="4554">
          <cell r="A4554" t="str">
            <v>Cape Verde</v>
          </cell>
          <cell r="B4554">
            <v>132</v>
          </cell>
          <cell r="C4554">
            <v>201</v>
          </cell>
          <cell r="D4554">
            <v>13</v>
          </cell>
          <cell r="E4554" t="str">
            <v>Less: Financial intermediation services indirectly measured (FISIM) (only to be deducted if FISIM is not distributed to uses)</v>
          </cell>
          <cell r="F4554">
            <v>0</v>
          </cell>
          <cell r="G4554">
            <v>1984</v>
          </cell>
          <cell r="H4554">
            <v>10</v>
          </cell>
          <cell r="I4554">
            <v>212000000</v>
          </cell>
        </row>
        <row r="4555">
          <cell r="A4555" t="str">
            <v>Cape Verde</v>
          </cell>
          <cell r="B4555">
            <v>132</v>
          </cell>
          <cell r="C4555">
            <v>201</v>
          </cell>
          <cell r="D4555">
            <v>13</v>
          </cell>
          <cell r="E4555" t="str">
            <v>Less: Financial intermediation services indirectly measured (FISIM) (only to be deducted if FISIM is not distributed to uses)</v>
          </cell>
          <cell r="F4555">
            <v>0</v>
          </cell>
          <cell r="G4555">
            <v>1985</v>
          </cell>
          <cell r="H4555">
            <v>10</v>
          </cell>
          <cell r="I4555">
            <v>235600000</v>
          </cell>
        </row>
        <row r="4556">
          <cell r="A4556" t="str">
            <v>Cape Verde</v>
          </cell>
          <cell r="B4556">
            <v>132</v>
          </cell>
          <cell r="C4556">
            <v>201</v>
          </cell>
          <cell r="D4556">
            <v>13</v>
          </cell>
          <cell r="E4556" t="str">
            <v>Less: Financial intermediation services indirectly measured (FISIM) (only to be deducted if FISIM is not distributed to uses)</v>
          </cell>
          <cell r="F4556">
            <v>0</v>
          </cell>
          <cell r="G4556">
            <v>1986</v>
          </cell>
          <cell r="H4556">
            <v>10</v>
          </cell>
          <cell r="I4556">
            <v>285300000</v>
          </cell>
        </row>
        <row r="4557">
          <cell r="A4557" t="str">
            <v>Cape Verde</v>
          </cell>
          <cell r="B4557">
            <v>132</v>
          </cell>
          <cell r="C4557">
            <v>201</v>
          </cell>
          <cell r="D4557">
            <v>13</v>
          </cell>
          <cell r="E4557" t="str">
            <v>Less: Financial intermediation services indirectly measured (FISIM) (only to be deducted if FISIM is not distributed to uses)</v>
          </cell>
          <cell r="F4557">
            <v>0</v>
          </cell>
          <cell r="G4557">
            <v>1987</v>
          </cell>
          <cell r="H4557">
            <v>10</v>
          </cell>
          <cell r="I4557">
            <v>347800000</v>
          </cell>
        </row>
        <row r="4558">
          <cell r="A4558" t="str">
            <v>Cape Verde</v>
          </cell>
          <cell r="B4558">
            <v>132</v>
          </cell>
          <cell r="C4558">
            <v>201</v>
          </cell>
          <cell r="D4558">
            <v>13</v>
          </cell>
          <cell r="E4558" t="str">
            <v>Less: Financial intermediation services indirectly measured (FISIM) (only to be deducted if FISIM is not distributed to uses)</v>
          </cell>
          <cell r="F4558">
            <v>0</v>
          </cell>
          <cell r="G4558">
            <v>1988</v>
          </cell>
          <cell r="H4558">
            <v>10</v>
          </cell>
          <cell r="I4558">
            <v>281000000</v>
          </cell>
        </row>
        <row r="4559">
          <cell r="A4559" t="str">
            <v>Cape Verde</v>
          </cell>
          <cell r="B4559">
            <v>132</v>
          </cell>
          <cell r="C4559">
            <v>201</v>
          </cell>
          <cell r="D4559">
            <v>13</v>
          </cell>
          <cell r="E4559" t="str">
            <v>Less: Financial intermediation services indirectly measured (FISIM) (only to be deducted if FISIM is not distributed to uses)</v>
          </cell>
          <cell r="F4559">
            <v>0</v>
          </cell>
          <cell r="G4559">
            <v>1989</v>
          </cell>
          <cell r="H4559">
            <v>10</v>
          </cell>
          <cell r="I4559">
            <v>511600000</v>
          </cell>
        </row>
        <row r="4560">
          <cell r="A4560" t="str">
            <v>Cape Verde</v>
          </cell>
          <cell r="B4560">
            <v>132</v>
          </cell>
          <cell r="C4560">
            <v>201</v>
          </cell>
          <cell r="D4560">
            <v>13</v>
          </cell>
          <cell r="E4560" t="str">
            <v>Less: Financial intermediation services indirectly measured (FISIM) (only to be deducted if FISIM is not distributed to uses)</v>
          </cell>
          <cell r="F4560">
            <v>0</v>
          </cell>
          <cell r="G4560">
            <v>1990</v>
          </cell>
          <cell r="H4560">
            <v>10</v>
          </cell>
          <cell r="I4560">
            <v>369000000</v>
          </cell>
        </row>
        <row r="4561">
          <cell r="A4561" t="str">
            <v>Cape Verde</v>
          </cell>
          <cell r="B4561">
            <v>132</v>
          </cell>
          <cell r="C4561">
            <v>201</v>
          </cell>
          <cell r="D4561">
            <v>13</v>
          </cell>
          <cell r="E4561" t="str">
            <v>Less: Financial intermediation services indirectly measured (FISIM) (only to be deducted if FISIM is not distributed to uses)</v>
          </cell>
          <cell r="F4561">
            <v>0</v>
          </cell>
          <cell r="G4561">
            <v>1991</v>
          </cell>
          <cell r="H4561">
            <v>10</v>
          </cell>
          <cell r="I4561">
            <v>404000000</v>
          </cell>
        </row>
        <row r="4562">
          <cell r="A4562" t="str">
            <v>Cape Verde</v>
          </cell>
          <cell r="B4562">
            <v>132</v>
          </cell>
          <cell r="C4562">
            <v>201</v>
          </cell>
          <cell r="D4562">
            <v>13</v>
          </cell>
          <cell r="E4562" t="str">
            <v>Less: Financial intermediation services indirectly measured (FISIM) (only to be deducted if FISIM is not distributed to uses)</v>
          </cell>
          <cell r="F4562">
            <v>0</v>
          </cell>
          <cell r="G4562">
            <v>1992</v>
          </cell>
          <cell r="H4562">
            <v>10</v>
          </cell>
          <cell r="I4562">
            <v>380000000</v>
          </cell>
        </row>
        <row r="4563">
          <cell r="A4563" t="str">
            <v>Cape Verde</v>
          </cell>
          <cell r="B4563">
            <v>132</v>
          </cell>
          <cell r="C4563">
            <v>201</v>
          </cell>
          <cell r="D4563">
            <v>13</v>
          </cell>
          <cell r="E4563" t="str">
            <v>Less: Financial intermediation services indirectly measured (FISIM) (only to be deducted if FISIM is not distributed to uses)</v>
          </cell>
          <cell r="F4563">
            <v>0</v>
          </cell>
          <cell r="G4563">
            <v>1993</v>
          </cell>
          <cell r="H4563">
            <v>10</v>
          </cell>
          <cell r="I4563">
            <v>718000000</v>
          </cell>
        </row>
        <row r="4564">
          <cell r="A4564" t="str">
            <v>Cape Verde</v>
          </cell>
          <cell r="B4564">
            <v>132</v>
          </cell>
          <cell r="C4564">
            <v>201</v>
          </cell>
          <cell r="D4564">
            <v>13</v>
          </cell>
          <cell r="E4564" t="str">
            <v>Less: Financial intermediation services indirectly measured (FISIM) (only to be deducted if FISIM is not distributed to uses)</v>
          </cell>
          <cell r="F4564">
            <v>0</v>
          </cell>
          <cell r="G4564">
            <v>1994</v>
          </cell>
          <cell r="H4564">
            <v>10</v>
          </cell>
          <cell r="I4564">
            <v>536000000</v>
          </cell>
        </row>
        <row r="4565">
          <cell r="A4565" t="str">
            <v>Cape Verde</v>
          </cell>
          <cell r="B4565">
            <v>132</v>
          </cell>
          <cell r="C4565">
            <v>201</v>
          </cell>
          <cell r="D4565">
            <v>13</v>
          </cell>
          <cell r="E4565" t="str">
            <v>Less: Financial intermediation services indirectly measured (FISIM) (only to be deducted if FISIM is not distributed to uses)</v>
          </cell>
          <cell r="F4565">
            <v>0</v>
          </cell>
          <cell r="G4565">
            <v>1995</v>
          </cell>
          <cell r="H4565">
            <v>10</v>
          </cell>
          <cell r="I4565">
            <v>998000000</v>
          </cell>
        </row>
        <row r="4566">
          <cell r="A4566" t="str">
            <v>Cape Verde</v>
          </cell>
          <cell r="B4566">
            <v>132</v>
          </cell>
          <cell r="C4566">
            <v>201</v>
          </cell>
          <cell r="D4566">
            <v>13</v>
          </cell>
          <cell r="E4566" t="str">
            <v>Less: Financial intermediation services indirectly measured (FISIM) (only to be deducted if FISIM is not distributed to uses)</v>
          </cell>
          <cell r="F4566">
            <v>0</v>
          </cell>
          <cell r="G4566">
            <v>1996</v>
          </cell>
          <cell r="H4566">
            <v>10</v>
          </cell>
          <cell r="I4566">
            <v>1195500000</v>
          </cell>
        </row>
        <row r="4567">
          <cell r="A4567" t="str">
            <v>Cape Verde</v>
          </cell>
          <cell r="B4567">
            <v>132</v>
          </cell>
          <cell r="C4567">
            <v>201</v>
          </cell>
          <cell r="D4567">
            <v>13</v>
          </cell>
          <cell r="E4567" t="str">
            <v>Less: Financial intermediation services indirectly measured (FISIM) (only to be deducted if FISIM is not distributed to uses)</v>
          </cell>
          <cell r="F4567">
            <v>0</v>
          </cell>
          <cell r="G4567">
            <v>1997</v>
          </cell>
          <cell r="H4567">
            <v>10</v>
          </cell>
          <cell r="I4567">
            <v>1988000000</v>
          </cell>
        </row>
        <row r="4568">
          <cell r="A4568" t="str">
            <v>Cape Verde</v>
          </cell>
          <cell r="B4568">
            <v>132</v>
          </cell>
          <cell r="C4568">
            <v>201</v>
          </cell>
          <cell r="D4568">
            <v>13</v>
          </cell>
          <cell r="E4568" t="str">
            <v>Less: Financial intermediation services indirectly measured (FISIM) (only to be deducted if FISIM is not distributed to uses)</v>
          </cell>
          <cell r="F4568">
            <v>0</v>
          </cell>
          <cell r="G4568">
            <v>1998</v>
          </cell>
          <cell r="H4568">
            <v>10</v>
          </cell>
          <cell r="I4568">
            <v>2406500000</v>
          </cell>
        </row>
        <row r="4569">
          <cell r="A4569" t="str">
            <v>Cape Verde</v>
          </cell>
          <cell r="B4569">
            <v>132</v>
          </cell>
          <cell r="C4569">
            <v>201</v>
          </cell>
          <cell r="D4569">
            <v>13</v>
          </cell>
          <cell r="E4569" t="str">
            <v>Less: Financial intermediation services indirectly measured (FISIM) (only to be deducted if FISIM is not distributed to uses)</v>
          </cell>
          <cell r="F4569">
            <v>0</v>
          </cell>
          <cell r="G4569">
            <v>1999</v>
          </cell>
          <cell r="H4569">
            <v>10</v>
          </cell>
          <cell r="I4569">
            <v>2110800000</v>
          </cell>
        </row>
        <row r="4570">
          <cell r="A4570" t="str">
            <v>Cape Verde</v>
          </cell>
          <cell r="B4570">
            <v>132</v>
          </cell>
          <cell r="C4570">
            <v>201</v>
          </cell>
          <cell r="D4570">
            <v>13</v>
          </cell>
          <cell r="E4570" t="str">
            <v>Less: Financial intermediation services indirectly measured (FISIM) (only to be deducted if FISIM is not distributed to uses)</v>
          </cell>
          <cell r="F4570">
            <v>0</v>
          </cell>
          <cell r="G4570">
            <v>2000</v>
          </cell>
          <cell r="H4570">
            <v>10</v>
          </cell>
          <cell r="I4570">
            <v>1765900000</v>
          </cell>
        </row>
        <row r="4571">
          <cell r="A4571" t="str">
            <v>Grenada</v>
          </cell>
          <cell r="B4571">
            <v>308</v>
          </cell>
          <cell r="C4571">
            <v>201</v>
          </cell>
          <cell r="D4571">
            <v>13</v>
          </cell>
          <cell r="E4571" t="str">
            <v>Less: Financial intermediation services indirectly measured (FISIM) (only to be deducted if FISIM is not distributed to uses)</v>
          </cell>
          <cell r="F4571">
            <v>0</v>
          </cell>
          <cell r="G4571">
            <v>1980</v>
          </cell>
          <cell r="H4571">
            <v>20</v>
          </cell>
          <cell r="I4571">
            <v>6000000</v>
          </cell>
        </row>
        <row r="4572">
          <cell r="A4572" t="str">
            <v>Grenada</v>
          </cell>
          <cell r="B4572">
            <v>308</v>
          </cell>
          <cell r="C4572">
            <v>201</v>
          </cell>
          <cell r="D4572">
            <v>13</v>
          </cell>
          <cell r="E4572" t="str">
            <v>Less: Financial intermediation services indirectly measured (FISIM) (only to be deducted if FISIM is not distributed to uses)</v>
          </cell>
          <cell r="F4572">
            <v>0</v>
          </cell>
          <cell r="G4572">
            <v>1981</v>
          </cell>
          <cell r="H4572">
            <v>20</v>
          </cell>
          <cell r="I4572">
            <v>7800000</v>
          </cell>
        </row>
        <row r="4573">
          <cell r="A4573" t="str">
            <v>Grenada</v>
          </cell>
          <cell r="B4573">
            <v>308</v>
          </cell>
          <cell r="C4573">
            <v>201</v>
          </cell>
          <cell r="D4573">
            <v>13</v>
          </cell>
          <cell r="E4573" t="str">
            <v>Less: Financial intermediation services indirectly measured (FISIM) (only to be deducted if FISIM is not distributed to uses)</v>
          </cell>
          <cell r="F4573">
            <v>0</v>
          </cell>
          <cell r="G4573">
            <v>1982</v>
          </cell>
          <cell r="H4573">
            <v>20</v>
          </cell>
          <cell r="I4573">
            <v>8700000</v>
          </cell>
        </row>
        <row r="4574">
          <cell r="A4574" t="str">
            <v>Grenada</v>
          </cell>
          <cell r="B4574">
            <v>308</v>
          </cell>
          <cell r="C4574">
            <v>201</v>
          </cell>
          <cell r="D4574">
            <v>13</v>
          </cell>
          <cell r="E4574" t="str">
            <v>Less: Financial intermediation services indirectly measured (FISIM) (only to be deducted if FISIM is not distributed to uses)</v>
          </cell>
          <cell r="F4574">
            <v>0</v>
          </cell>
          <cell r="G4574">
            <v>1983</v>
          </cell>
          <cell r="H4574">
            <v>20</v>
          </cell>
          <cell r="I4574">
            <v>8900000</v>
          </cell>
        </row>
        <row r="4575">
          <cell r="A4575" t="str">
            <v>Grenada</v>
          </cell>
          <cell r="B4575">
            <v>308</v>
          </cell>
          <cell r="C4575">
            <v>201</v>
          </cell>
          <cell r="D4575">
            <v>13</v>
          </cell>
          <cell r="E4575" t="str">
            <v>Less: Financial intermediation services indirectly measured (FISIM) (only to be deducted if FISIM is not distributed to uses)</v>
          </cell>
          <cell r="F4575">
            <v>0</v>
          </cell>
          <cell r="G4575">
            <v>1984</v>
          </cell>
          <cell r="H4575">
            <v>20</v>
          </cell>
          <cell r="I4575">
            <v>10000000</v>
          </cell>
        </row>
        <row r="4576">
          <cell r="A4576" t="str">
            <v>Grenada</v>
          </cell>
          <cell r="B4576">
            <v>308</v>
          </cell>
          <cell r="C4576">
            <v>201</v>
          </cell>
          <cell r="D4576">
            <v>13</v>
          </cell>
          <cell r="E4576" t="str">
            <v>Less: Financial intermediation services indirectly measured (FISIM) (only to be deducted if FISIM is not distributed to uses)</v>
          </cell>
          <cell r="F4576">
            <v>0</v>
          </cell>
          <cell r="G4576">
            <v>1985</v>
          </cell>
          <cell r="H4576">
            <v>20</v>
          </cell>
          <cell r="I4576">
            <v>11300000</v>
          </cell>
        </row>
        <row r="4577">
          <cell r="A4577" t="str">
            <v>Grenada</v>
          </cell>
          <cell r="B4577">
            <v>308</v>
          </cell>
          <cell r="C4577">
            <v>201</v>
          </cell>
          <cell r="D4577">
            <v>13</v>
          </cell>
          <cell r="E4577" t="str">
            <v>Less: Financial intermediation services indirectly measured (FISIM) (only to be deducted if FISIM is not distributed to uses)</v>
          </cell>
          <cell r="F4577">
            <v>0</v>
          </cell>
          <cell r="G4577">
            <v>1986</v>
          </cell>
          <cell r="H4577">
            <v>20</v>
          </cell>
          <cell r="I4577">
            <v>13300000</v>
          </cell>
        </row>
        <row r="4578">
          <cell r="A4578" t="str">
            <v>Grenada</v>
          </cell>
          <cell r="B4578">
            <v>308</v>
          </cell>
          <cell r="C4578">
            <v>201</v>
          </cell>
          <cell r="D4578">
            <v>13</v>
          </cell>
          <cell r="E4578" t="str">
            <v>Less: Financial intermediation services indirectly measured (FISIM) (only to be deducted if FISIM is not distributed to uses)</v>
          </cell>
          <cell r="F4578">
            <v>0</v>
          </cell>
          <cell r="G4578">
            <v>1987</v>
          </cell>
          <cell r="H4578">
            <v>20</v>
          </cell>
          <cell r="I4578">
            <v>14700000</v>
          </cell>
        </row>
        <row r="4579">
          <cell r="A4579" t="str">
            <v>Grenada</v>
          </cell>
          <cell r="B4579">
            <v>308</v>
          </cell>
          <cell r="C4579">
            <v>201</v>
          </cell>
          <cell r="D4579">
            <v>13</v>
          </cell>
          <cell r="E4579" t="str">
            <v>Less: Financial intermediation services indirectly measured (FISIM) (only to be deducted if FISIM is not distributed to uses)</v>
          </cell>
          <cell r="F4579">
            <v>0</v>
          </cell>
          <cell r="G4579">
            <v>1988</v>
          </cell>
          <cell r="H4579">
            <v>20</v>
          </cell>
          <cell r="I4579">
            <v>15900000</v>
          </cell>
        </row>
        <row r="4580">
          <cell r="A4580" t="str">
            <v>Grenada</v>
          </cell>
          <cell r="B4580">
            <v>308</v>
          </cell>
          <cell r="C4580">
            <v>201</v>
          </cell>
          <cell r="D4580">
            <v>13</v>
          </cell>
          <cell r="E4580" t="str">
            <v>Less: Financial intermediation services indirectly measured (FISIM) (only to be deducted if FISIM is not distributed to uses)</v>
          </cell>
          <cell r="F4580">
            <v>0</v>
          </cell>
          <cell r="G4580">
            <v>1989</v>
          </cell>
          <cell r="H4580">
            <v>20</v>
          </cell>
          <cell r="I4580">
            <v>16800000</v>
          </cell>
        </row>
        <row r="4581">
          <cell r="A4581" t="str">
            <v>Grenada</v>
          </cell>
          <cell r="B4581">
            <v>308</v>
          </cell>
          <cell r="C4581">
            <v>201</v>
          </cell>
          <cell r="D4581">
            <v>13</v>
          </cell>
          <cell r="E4581" t="str">
            <v>Less: Financial intermediation services indirectly measured (FISIM) (only to be deducted if FISIM is not distributed to uses)</v>
          </cell>
          <cell r="F4581">
            <v>0</v>
          </cell>
          <cell r="G4581">
            <v>1990</v>
          </cell>
          <cell r="H4581">
            <v>20</v>
          </cell>
          <cell r="I4581">
            <v>18000000</v>
          </cell>
        </row>
        <row r="4582">
          <cell r="A4582" t="str">
            <v>Grenada</v>
          </cell>
          <cell r="B4582">
            <v>308</v>
          </cell>
          <cell r="C4582">
            <v>201</v>
          </cell>
          <cell r="D4582">
            <v>13</v>
          </cell>
          <cell r="E4582" t="str">
            <v>Less: Financial intermediation services indirectly measured (FISIM) (only to be deducted if FISIM is not distributed to uses)</v>
          </cell>
          <cell r="F4582">
            <v>0</v>
          </cell>
          <cell r="G4582">
            <v>1991</v>
          </cell>
          <cell r="H4582">
            <v>20</v>
          </cell>
          <cell r="I4582">
            <v>18900000</v>
          </cell>
        </row>
        <row r="4583">
          <cell r="A4583" t="str">
            <v>Cape Verde</v>
          </cell>
          <cell r="B4583">
            <v>132</v>
          </cell>
          <cell r="C4583">
            <v>203</v>
          </cell>
          <cell r="D4583">
            <v>3</v>
          </cell>
          <cell r="E4583" t="str">
            <v>Equals: VALUE ADDED, GROSS, at basic prices</v>
          </cell>
          <cell r="F4583">
            <v>12</v>
          </cell>
          <cell r="G4583">
            <v>1980</v>
          </cell>
          <cell r="H4583">
            <v>10</v>
          </cell>
          <cell r="I4583">
            <v>5560000000</v>
          </cell>
        </row>
        <row r="4584">
          <cell r="A4584" t="str">
            <v>Cape Verde</v>
          </cell>
          <cell r="B4584">
            <v>132</v>
          </cell>
          <cell r="C4584">
            <v>203</v>
          </cell>
          <cell r="D4584">
            <v>3</v>
          </cell>
          <cell r="E4584" t="str">
            <v>Equals: VALUE ADDED, GROSS, at basic prices</v>
          </cell>
          <cell r="F4584">
            <v>12</v>
          </cell>
          <cell r="G4584">
            <v>1981</v>
          </cell>
          <cell r="H4584">
            <v>10</v>
          </cell>
          <cell r="I4584">
            <v>6625000000</v>
          </cell>
        </row>
        <row r="4585">
          <cell r="A4585" t="str">
            <v>Cape Verde</v>
          </cell>
          <cell r="B4585">
            <v>132</v>
          </cell>
          <cell r="C4585">
            <v>203</v>
          </cell>
          <cell r="D4585">
            <v>3</v>
          </cell>
          <cell r="E4585" t="str">
            <v>Equals: VALUE ADDED, GROSS, at basic prices</v>
          </cell>
          <cell r="F4585">
            <v>12</v>
          </cell>
          <cell r="G4585">
            <v>1982</v>
          </cell>
          <cell r="H4585">
            <v>10</v>
          </cell>
          <cell r="I4585">
            <v>7973000000</v>
          </cell>
        </row>
        <row r="4586">
          <cell r="A4586" t="str">
            <v>Cape Verde</v>
          </cell>
          <cell r="B4586">
            <v>132</v>
          </cell>
          <cell r="C4586">
            <v>203</v>
          </cell>
          <cell r="D4586">
            <v>3</v>
          </cell>
          <cell r="E4586" t="str">
            <v>Equals: VALUE ADDED, GROSS, at basic prices</v>
          </cell>
          <cell r="F4586">
            <v>12</v>
          </cell>
          <cell r="G4586">
            <v>1983</v>
          </cell>
          <cell r="H4586">
            <v>10</v>
          </cell>
          <cell r="I4586">
            <v>9602000000</v>
          </cell>
        </row>
        <row r="4587">
          <cell r="A4587" t="str">
            <v>Cape Verde</v>
          </cell>
          <cell r="B4587">
            <v>132</v>
          </cell>
          <cell r="C4587">
            <v>203</v>
          </cell>
          <cell r="D4587">
            <v>3</v>
          </cell>
          <cell r="E4587" t="str">
            <v>Equals: VALUE ADDED, GROSS, at basic prices</v>
          </cell>
          <cell r="F4587">
            <v>12</v>
          </cell>
          <cell r="G4587">
            <v>1984</v>
          </cell>
          <cell r="H4587">
            <v>10</v>
          </cell>
          <cell r="I4587">
            <v>10926000000</v>
          </cell>
        </row>
        <row r="4588">
          <cell r="A4588" t="str">
            <v>Cape Verde</v>
          </cell>
          <cell r="B4588">
            <v>132</v>
          </cell>
          <cell r="C4588">
            <v>203</v>
          </cell>
          <cell r="D4588">
            <v>3</v>
          </cell>
          <cell r="E4588" t="str">
            <v>Equals: VALUE ADDED, GROSS, at basic prices</v>
          </cell>
          <cell r="F4588">
            <v>12</v>
          </cell>
          <cell r="G4588">
            <v>1985</v>
          </cell>
          <cell r="H4588">
            <v>10</v>
          </cell>
          <cell r="I4588">
            <v>12433000000</v>
          </cell>
        </row>
        <row r="4589">
          <cell r="A4589" t="str">
            <v>Cape Verde</v>
          </cell>
          <cell r="B4589">
            <v>132</v>
          </cell>
          <cell r="C4589">
            <v>203</v>
          </cell>
          <cell r="D4589">
            <v>3</v>
          </cell>
          <cell r="E4589" t="str">
            <v>Equals: VALUE ADDED, GROSS, at basic prices</v>
          </cell>
          <cell r="F4589">
            <v>12</v>
          </cell>
          <cell r="G4589">
            <v>1986</v>
          </cell>
          <cell r="H4589">
            <v>10</v>
          </cell>
          <cell r="I4589">
            <v>14732000000</v>
          </cell>
        </row>
        <row r="4590">
          <cell r="A4590" t="str">
            <v>Cape Verde</v>
          </cell>
          <cell r="B4590">
            <v>132</v>
          </cell>
          <cell r="C4590">
            <v>203</v>
          </cell>
          <cell r="D4590">
            <v>3</v>
          </cell>
          <cell r="E4590" t="str">
            <v>Equals: VALUE ADDED, GROSS, at basic prices</v>
          </cell>
          <cell r="F4590">
            <v>12</v>
          </cell>
          <cell r="G4590">
            <v>1987</v>
          </cell>
          <cell r="H4590">
            <v>10</v>
          </cell>
          <cell r="I4590">
            <v>17204000000</v>
          </cell>
        </row>
        <row r="4591">
          <cell r="A4591" t="str">
            <v>Cape Verde</v>
          </cell>
          <cell r="B4591">
            <v>132</v>
          </cell>
          <cell r="C4591">
            <v>203</v>
          </cell>
          <cell r="D4591">
            <v>3</v>
          </cell>
          <cell r="E4591" t="str">
            <v>Equals: VALUE ADDED, GROSS, at basic prices</v>
          </cell>
          <cell r="F4591">
            <v>12</v>
          </cell>
          <cell r="G4591">
            <v>1988</v>
          </cell>
          <cell r="H4591">
            <v>10</v>
          </cell>
          <cell r="I4591">
            <v>19728000000</v>
          </cell>
        </row>
        <row r="4592">
          <cell r="A4592" t="str">
            <v>Cape Verde</v>
          </cell>
          <cell r="B4592">
            <v>132</v>
          </cell>
          <cell r="C4592">
            <v>203</v>
          </cell>
          <cell r="D4592">
            <v>3</v>
          </cell>
          <cell r="E4592" t="str">
            <v>Equals: VALUE ADDED, GROSS, at basic prices</v>
          </cell>
          <cell r="F4592">
            <v>12</v>
          </cell>
          <cell r="G4592">
            <v>1989</v>
          </cell>
          <cell r="H4592">
            <v>10</v>
          </cell>
          <cell r="I4592">
            <v>20039000000</v>
          </cell>
        </row>
        <row r="4593">
          <cell r="A4593" t="str">
            <v>Honduras</v>
          </cell>
          <cell r="B4593">
            <v>340</v>
          </cell>
          <cell r="C4593">
            <v>203</v>
          </cell>
          <cell r="D4593">
            <v>3</v>
          </cell>
          <cell r="E4593" t="str">
            <v>Equals: VALUE ADDED, GROSS, at basic prices</v>
          </cell>
          <cell r="F4593">
            <v>12</v>
          </cell>
          <cell r="G4593">
            <v>1990</v>
          </cell>
          <cell r="H4593">
            <v>20</v>
          </cell>
          <cell r="I4593">
            <v>11156000000</v>
          </cell>
        </row>
        <row r="4594">
          <cell r="A4594" t="str">
            <v>Honduras</v>
          </cell>
          <cell r="B4594">
            <v>340</v>
          </cell>
          <cell r="C4594">
            <v>203</v>
          </cell>
          <cell r="D4594">
            <v>3</v>
          </cell>
          <cell r="E4594" t="str">
            <v>Equals: VALUE ADDED, GROSS, at basic prices</v>
          </cell>
          <cell r="F4594">
            <v>12</v>
          </cell>
          <cell r="G4594">
            <v>1991</v>
          </cell>
          <cell r="H4594">
            <v>20</v>
          </cell>
          <cell r="I4594">
            <v>13975000000</v>
          </cell>
        </row>
        <row r="4595">
          <cell r="A4595" t="str">
            <v>Honduras</v>
          </cell>
          <cell r="B4595">
            <v>340</v>
          </cell>
          <cell r="C4595">
            <v>203</v>
          </cell>
          <cell r="D4595">
            <v>3</v>
          </cell>
          <cell r="E4595" t="str">
            <v>Equals: VALUE ADDED, GROSS, at basic prices</v>
          </cell>
          <cell r="F4595">
            <v>12</v>
          </cell>
          <cell r="G4595">
            <v>1992</v>
          </cell>
          <cell r="H4595">
            <v>20</v>
          </cell>
          <cell r="I4595">
            <v>16131000000</v>
          </cell>
        </row>
        <row r="4596">
          <cell r="A4596" t="str">
            <v>Honduras</v>
          </cell>
          <cell r="B4596">
            <v>340</v>
          </cell>
          <cell r="C4596">
            <v>203</v>
          </cell>
          <cell r="D4596">
            <v>3</v>
          </cell>
          <cell r="E4596" t="str">
            <v>Equals: VALUE ADDED, GROSS, at basic prices</v>
          </cell>
          <cell r="F4596">
            <v>12</v>
          </cell>
          <cell r="G4596">
            <v>1993</v>
          </cell>
          <cell r="H4596">
            <v>20</v>
          </cell>
          <cell r="I4596">
            <v>19495000000</v>
          </cell>
        </row>
        <row r="4597">
          <cell r="A4597" t="str">
            <v>Honduras</v>
          </cell>
          <cell r="B4597">
            <v>340</v>
          </cell>
          <cell r="C4597">
            <v>203</v>
          </cell>
          <cell r="D4597">
            <v>3</v>
          </cell>
          <cell r="E4597" t="str">
            <v>Equals: VALUE ADDED, GROSS, at basic prices</v>
          </cell>
          <cell r="F4597">
            <v>12</v>
          </cell>
          <cell r="G4597">
            <v>1994</v>
          </cell>
          <cell r="H4597">
            <v>20</v>
          </cell>
          <cell r="I4597">
            <v>24770000000</v>
          </cell>
        </row>
        <row r="4598">
          <cell r="A4598" t="str">
            <v>Honduras</v>
          </cell>
          <cell r="B4598">
            <v>340</v>
          </cell>
          <cell r="C4598">
            <v>203</v>
          </cell>
          <cell r="D4598">
            <v>3</v>
          </cell>
          <cell r="E4598" t="str">
            <v>Equals: VALUE ADDED, GROSS, at basic prices</v>
          </cell>
          <cell r="F4598">
            <v>12</v>
          </cell>
          <cell r="G4598">
            <v>1995</v>
          </cell>
          <cell r="H4598">
            <v>20</v>
          </cell>
          <cell r="I4598">
            <v>32626000000</v>
          </cell>
        </row>
        <row r="4599">
          <cell r="A4599" t="str">
            <v>Honduras</v>
          </cell>
          <cell r="B4599">
            <v>340</v>
          </cell>
          <cell r="C4599">
            <v>203</v>
          </cell>
          <cell r="D4599">
            <v>3</v>
          </cell>
          <cell r="E4599" t="str">
            <v>Equals: VALUE ADDED, GROSS, at basic prices</v>
          </cell>
          <cell r="F4599">
            <v>12</v>
          </cell>
          <cell r="G4599">
            <v>1996</v>
          </cell>
          <cell r="H4599">
            <v>20</v>
          </cell>
          <cell r="I4599">
            <v>41160000000</v>
          </cell>
        </row>
        <row r="4600">
          <cell r="A4600" t="str">
            <v>Honduras</v>
          </cell>
          <cell r="B4600">
            <v>340</v>
          </cell>
          <cell r="C4600">
            <v>203</v>
          </cell>
          <cell r="D4600">
            <v>3</v>
          </cell>
          <cell r="E4600" t="str">
            <v>Equals: VALUE ADDED, GROSS, at basic prices</v>
          </cell>
          <cell r="F4600">
            <v>12</v>
          </cell>
          <cell r="G4600">
            <v>1997</v>
          </cell>
          <cell r="H4600">
            <v>20</v>
          </cell>
          <cell r="I4600">
            <v>53110000000</v>
          </cell>
        </row>
        <row r="4601">
          <cell r="A4601" t="str">
            <v>Honduras</v>
          </cell>
          <cell r="B4601">
            <v>340</v>
          </cell>
          <cell r="C4601">
            <v>203</v>
          </cell>
          <cell r="D4601">
            <v>3</v>
          </cell>
          <cell r="E4601" t="str">
            <v>Equals: VALUE ADDED, GROSS, at basic prices</v>
          </cell>
          <cell r="F4601">
            <v>12</v>
          </cell>
          <cell r="G4601">
            <v>1998</v>
          </cell>
          <cell r="H4601">
            <v>20</v>
          </cell>
          <cell r="I4601">
            <v>60068000000</v>
          </cell>
        </row>
        <row r="4602">
          <cell r="A4602" t="str">
            <v>Honduras</v>
          </cell>
          <cell r="B4602">
            <v>340</v>
          </cell>
          <cell r="C4602">
            <v>203</v>
          </cell>
          <cell r="D4602">
            <v>3</v>
          </cell>
          <cell r="E4602" t="str">
            <v>Equals: VALUE ADDED, GROSS, at basic prices</v>
          </cell>
          <cell r="F4602">
            <v>12</v>
          </cell>
          <cell r="G4602">
            <v>1999</v>
          </cell>
          <cell r="H4602">
            <v>20</v>
          </cell>
          <cell r="I4602">
            <v>65881000000</v>
          </cell>
        </row>
        <row r="4603">
          <cell r="A4603" t="str">
            <v>Honduras</v>
          </cell>
          <cell r="B4603">
            <v>340</v>
          </cell>
          <cell r="C4603">
            <v>203</v>
          </cell>
          <cell r="D4603">
            <v>3</v>
          </cell>
          <cell r="E4603" t="str">
            <v>Equals: VALUE ADDED, GROSS, at basic prices</v>
          </cell>
          <cell r="F4603">
            <v>12</v>
          </cell>
          <cell r="G4603">
            <v>2000</v>
          </cell>
          <cell r="H4603">
            <v>20</v>
          </cell>
          <cell r="I4603">
            <v>75924000000</v>
          </cell>
        </row>
        <row r="4604">
          <cell r="A4604" t="str">
            <v>Honduras</v>
          </cell>
          <cell r="B4604">
            <v>340</v>
          </cell>
          <cell r="C4604">
            <v>203</v>
          </cell>
          <cell r="D4604">
            <v>4</v>
          </cell>
          <cell r="E4604" t="str">
            <v>Compensation of employees</v>
          </cell>
          <cell r="F4604">
            <v>12</v>
          </cell>
          <cell r="G4604">
            <v>1992</v>
          </cell>
          <cell r="H4604">
            <v>20</v>
          </cell>
          <cell r="I4604">
            <v>8861000000</v>
          </cell>
        </row>
        <row r="4605">
          <cell r="A4605" t="str">
            <v>Honduras</v>
          </cell>
          <cell r="B4605">
            <v>340</v>
          </cell>
          <cell r="C4605">
            <v>203</v>
          </cell>
          <cell r="D4605">
            <v>4</v>
          </cell>
          <cell r="E4605" t="str">
            <v>Compensation of employees</v>
          </cell>
          <cell r="F4605">
            <v>12</v>
          </cell>
          <cell r="G4605">
            <v>1993</v>
          </cell>
          <cell r="H4605">
            <v>20</v>
          </cell>
          <cell r="I4605">
            <v>10164000000</v>
          </cell>
        </row>
        <row r="4606">
          <cell r="A4606" t="str">
            <v>Honduras</v>
          </cell>
          <cell r="B4606">
            <v>340</v>
          </cell>
          <cell r="C4606">
            <v>203</v>
          </cell>
          <cell r="D4606">
            <v>4</v>
          </cell>
          <cell r="E4606" t="str">
            <v>Compensation of employees</v>
          </cell>
          <cell r="F4606">
            <v>12</v>
          </cell>
          <cell r="G4606">
            <v>1994</v>
          </cell>
          <cell r="H4606">
            <v>20</v>
          </cell>
          <cell r="I4606">
            <v>12461000000</v>
          </cell>
        </row>
        <row r="4607">
          <cell r="A4607" t="str">
            <v>Honduras</v>
          </cell>
          <cell r="B4607">
            <v>340</v>
          </cell>
          <cell r="C4607">
            <v>203</v>
          </cell>
          <cell r="D4607">
            <v>4</v>
          </cell>
          <cell r="E4607" t="str">
            <v>Compensation of employees</v>
          </cell>
          <cell r="F4607">
            <v>12</v>
          </cell>
          <cell r="G4607">
            <v>1995</v>
          </cell>
          <cell r="H4607">
            <v>20</v>
          </cell>
          <cell r="I4607">
            <v>15571000000</v>
          </cell>
        </row>
        <row r="4608">
          <cell r="A4608" t="str">
            <v>Honduras</v>
          </cell>
          <cell r="B4608">
            <v>340</v>
          </cell>
          <cell r="C4608">
            <v>203</v>
          </cell>
          <cell r="D4608">
            <v>4</v>
          </cell>
          <cell r="E4608" t="str">
            <v>Compensation of employees</v>
          </cell>
          <cell r="F4608">
            <v>12</v>
          </cell>
          <cell r="G4608">
            <v>1996</v>
          </cell>
          <cell r="H4608">
            <v>20</v>
          </cell>
          <cell r="I4608">
            <v>19701000000</v>
          </cell>
        </row>
        <row r="4609">
          <cell r="A4609" t="str">
            <v>Honduras</v>
          </cell>
          <cell r="B4609">
            <v>340</v>
          </cell>
          <cell r="C4609">
            <v>203</v>
          </cell>
          <cell r="D4609">
            <v>4</v>
          </cell>
          <cell r="E4609" t="str">
            <v>Compensation of employees</v>
          </cell>
          <cell r="F4609">
            <v>12</v>
          </cell>
          <cell r="G4609">
            <v>1997</v>
          </cell>
          <cell r="H4609">
            <v>20</v>
          </cell>
          <cell r="I4609">
            <v>25659000000</v>
          </cell>
        </row>
        <row r="4610">
          <cell r="A4610" t="str">
            <v>Honduras</v>
          </cell>
          <cell r="B4610">
            <v>340</v>
          </cell>
          <cell r="C4610">
            <v>203</v>
          </cell>
          <cell r="D4610">
            <v>4</v>
          </cell>
          <cell r="E4610" t="str">
            <v>Compensation of employees</v>
          </cell>
          <cell r="F4610">
            <v>12</v>
          </cell>
          <cell r="G4610">
            <v>1998</v>
          </cell>
          <cell r="H4610">
            <v>20</v>
          </cell>
          <cell r="I4610">
            <v>29064000000</v>
          </cell>
        </row>
        <row r="4611">
          <cell r="A4611" t="str">
            <v>Honduras</v>
          </cell>
          <cell r="B4611">
            <v>340</v>
          </cell>
          <cell r="C4611">
            <v>203</v>
          </cell>
          <cell r="D4611">
            <v>4</v>
          </cell>
          <cell r="E4611" t="str">
            <v>Compensation of employees</v>
          </cell>
          <cell r="F4611">
            <v>12</v>
          </cell>
          <cell r="G4611">
            <v>1999</v>
          </cell>
          <cell r="H4611">
            <v>20</v>
          </cell>
          <cell r="I4611">
            <v>33038000000</v>
          </cell>
        </row>
        <row r="4612">
          <cell r="A4612" t="str">
            <v>Honduras</v>
          </cell>
          <cell r="B4612">
            <v>340</v>
          </cell>
          <cell r="C4612">
            <v>203</v>
          </cell>
          <cell r="D4612">
            <v>4</v>
          </cell>
          <cell r="E4612" t="str">
            <v>Compensation of employees</v>
          </cell>
          <cell r="F4612">
            <v>12</v>
          </cell>
          <cell r="G4612">
            <v>2000</v>
          </cell>
          <cell r="H4612">
            <v>20</v>
          </cell>
          <cell r="I4612">
            <v>39674000000</v>
          </cell>
        </row>
        <row r="4613">
          <cell r="A4613" t="str">
            <v>Honduras</v>
          </cell>
          <cell r="B4613">
            <v>340</v>
          </cell>
          <cell r="C4613">
            <v>203</v>
          </cell>
          <cell r="D4613">
            <v>11</v>
          </cell>
          <cell r="E4613" t="str">
            <v>OPERATING SURPLUS, GROSS</v>
          </cell>
          <cell r="F4613">
            <v>12</v>
          </cell>
          <cell r="G4613">
            <v>1992</v>
          </cell>
          <cell r="H4613">
            <v>20</v>
          </cell>
          <cell r="I4613">
            <v>7270000000</v>
          </cell>
        </row>
        <row r="4614">
          <cell r="A4614" t="str">
            <v>Honduras</v>
          </cell>
          <cell r="B4614">
            <v>340</v>
          </cell>
          <cell r="C4614">
            <v>203</v>
          </cell>
          <cell r="D4614">
            <v>11</v>
          </cell>
          <cell r="E4614" t="str">
            <v>OPERATING SURPLUS, GROSS</v>
          </cell>
          <cell r="F4614">
            <v>12</v>
          </cell>
          <cell r="G4614">
            <v>1993</v>
          </cell>
          <cell r="H4614">
            <v>20</v>
          </cell>
          <cell r="I4614">
            <v>9331000000</v>
          </cell>
        </row>
        <row r="4615">
          <cell r="A4615" t="str">
            <v>Honduras</v>
          </cell>
          <cell r="B4615">
            <v>340</v>
          </cell>
          <cell r="C4615">
            <v>203</v>
          </cell>
          <cell r="D4615">
            <v>11</v>
          </cell>
          <cell r="E4615" t="str">
            <v>OPERATING SURPLUS, GROSS</v>
          </cell>
          <cell r="F4615">
            <v>12</v>
          </cell>
          <cell r="G4615">
            <v>1994</v>
          </cell>
          <cell r="H4615">
            <v>20</v>
          </cell>
          <cell r="I4615">
            <v>12309000000</v>
          </cell>
        </row>
        <row r="4616">
          <cell r="A4616" t="str">
            <v>Honduras</v>
          </cell>
          <cell r="B4616">
            <v>340</v>
          </cell>
          <cell r="C4616">
            <v>203</v>
          </cell>
          <cell r="D4616">
            <v>11</v>
          </cell>
          <cell r="E4616" t="str">
            <v>OPERATING SURPLUS, GROSS</v>
          </cell>
          <cell r="F4616">
            <v>12</v>
          </cell>
          <cell r="G4616">
            <v>1995</v>
          </cell>
          <cell r="H4616">
            <v>20</v>
          </cell>
          <cell r="I4616">
            <v>17055000000</v>
          </cell>
        </row>
        <row r="4617">
          <cell r="A4617" t="str">
            <v>Honduras</v>
          </cell>
          <cell r="B4617">
            <v>340</v>
          </cell>
          <cell r="C4617">
            <v>203</v>
          </cell>
          <cell r="D4617">
            <v>11</v>
          </cell>
          <cell r="E4617" t="str">
            <v>OPERATING SURPLUS, GROSS</v>
          </cell>
          <cell r="F4617">
            <v>12</v>
          </cell>
          <cell r="G4617">
            <v>1996</v>
          </cell>
          <cell r="H4617">
            <v>20</v>
          </cell>
          <cell r="I4617">
            <v>21459000000</v>
          </cell>
        </row>
        <row r="4618">
          <cell r="A4618" t="str">
            <v>Honduras</v>
          </cell>
          <cell r="B4618">
            <v>340</v>
          </cell>
          <cell r="C4618">
            <v>203</v>
          </cell>
          <cell r="D4618">
            <v>11</v>
          </cell>
          <cell r="E4618" t="str">
            <v>OPERATING SURPLUS, GROSS</v>
          </cell>
          <cell r="F4618">
            <v>12</v>
          </cell>
          <cell r="G4618">
            <v>1997</v>
          </cell>
          <cell r="H4618">
            <v>20</v>
          </cell>
          <cell r="I4618">
            <v>27451000000</v>
          </cell>
        </row>
        <row r="4619">
          <cell r="A4619" t="str">
            <v>Honduras</v>
          </cell>
          <cell r="B4619">
            <v>340</v>
          </cell>
          <cell r="C4619">
            <v>203</v>
          </cell>
          <cell r="D4619">
            <v>11</v>
          </cell>
          <cell r="E4619" t="str">
            <v>OPERATING SURPLUS, GROSS</v>
          </cell>
          <cell r="F4619">
            <v>12</v>
          </cell>
          <cell r="G4619">
            <v>1998</v>
          </cell>
          <cell r="H4619">
            <v>20</v>
          </cell>
          <cell r="I4619">
            <v>31004000000</v>
          </cell>
        </row>
        <row r="4620">
          <cell r="A4620" t="str">
            <v>Honduras</v>
          </cell>
          <cell r="B4620">
            <v>340</v>
          </cell>
          <cell r="C4620">
            <v>203</v>
          </cell>
          <cell r="D4620">
            <v>11</v>
          </cell>
          <cell r="E4620" t="str">
            <v>OPERATING SURPLUS, GROSS</v>
          </cell>
          <cell r="F4620">
            <v>12</v>
          </cell>
          <cell r="G4620">
            <v>1999</v>
          </cell>
          <cell r="H4620">
            <v>20</v>
          </cell>
          <cell r="I4620">
            <v>32843000000</v>
          </cell>
        </row>
        <row r="4621">
          <cell r="A4621" t="str">
            <v>Honduras</v>
          </cell>
          <cell r="B4621">
            <v>340</v>
          </cell>
          <cell r="C4621">
            <v>203</v>
          </cell>
          <cell r="D4621">
            <v>11</v>
          </cell>
          <cell r="E4621" t="str">
            <v>OPERATING SURPLUS, GROSS</v>
          </cell>
          <cell r="F4621">
            <v>12</v>
          </cell>
          <cell r="G4621">
            <v>2000</v>
          </cell>
          <cell r="H4621">
            <v>20</v>
          </cell>
          <cell r="I4621">
            <v>36250000000</v>
          </cell>
        </row>
        <row r="4622">
          <cell r="A4622" t="str">
            <v>Sri Lanka</v>
          </cell>
          <cell r="B4622">
            <v>144</v>
          </cell>
          <cell r="C4622">
            <v>203</v>
          </cell>
          <cell r="D4622">
            <v>3</v>
          </cell>
          <cell r="E4622" t="str">
            <v>Equals: VALUE ADDED, GROSS, at basic prices</v>
          </cell>
          <cell r="F4622">
            <v>12</v>
          </cell>
          <cell r="G4622">
            <v>1981</v>
          </cell>
          <cell r="H4622">
            <v>20</v>
          </cell>
          <cell r="I4622">
            <v>81301500000</v>
          </cell>
        </row>
        <row r="4623">
          <cell r="A4623" t="str">
            <v>Sri Lanka</v>
          </cell>
          <cell r="B4623">
            <v>144</v>
          </cell>
          <cell r="C4623">
            <v>203</v>
          </cell>
          <cell r="D4623">
            <v>3</v>
          </cell>
          <cell r="E4623" t="str">
            <v>Equals: VALUE ADDED, GROSS, at basic prices</v>
          </cell>
          <cell r="F4623">
            <v>12</v>
          </cell>
          <cell r="G4623">
            <v>1982</v>
          </cell>
          <cell r="H4623">
            <v>20</v>
          </cell>
          <cell r="I4623">
            <v>94305100000</v>
          </cell>
        </row>
        <row r="4624">
          <cell r="A4624" t="str">
            <v>Sri Lanka</v>
          </cell>
          <cell r="B4624">
            <v>144</v>
          </cell>
          <cell r="C4624">
            <v>203</v>
          </cell>
          <cell r="D4624">
            <v>3</v>
          </cell>
          <cell r="E4624" t="str">
            <v>Equals: VALUE ADDED, GROSS, at basic prices</v>
          </cell>
          <cell r="F4624">
            <v>12</v>
          </cell>
          <cell r="G4624">
            <v>1983</v>
          </cell>
          <cell r="H4624">
            <v>20</v>
          </cell>
          <cell r="I4624">
            <v>114365700000</v>
          </cell>
        </row>
        <row r="4625">
          <cell r="A4625" t="str">
            <v>Sri Lanka</v>
          </cell>
          <cell r="B4625">
            <v>144</v>
          </cell>
          <cell r="C4625">
            <v>203</v>
          </cell>
          <cell r="D4625">
            <v>3</v>
          </cell>
          <cell r="E4625" t="str">
            <v>Equals: VALUE ADDED, GROSS, at basic prices</v>
          </cell>
          <cell r="F4625">
            <v>12</v>
          </cell>
          <cell r="G4625">
            <v>1984</v>
          </cell>
          <cell r="H4625">
            <v>20</v>
          </cell>
          <cell r="I4625">
            <v>139399000000</v>
          </cell>
        </row>
        <row r="4626">
          <cell r="A4626" t="str">
            <v>Sri Lanka</v>
          </cell>
          <cell r="B4626">
            <v>144</v>
          </cell>
          <cell r="C4626">
            <v>203</v>
          </cell>
          <cell r="D4626">
            <v>3</v>
          </cell>
          <cell r="E4626" t="str">
            <v>Equals: VALUE ADDED, GROSS, at basic prices</v>
          </cell>
          <cell r="F4626">
            <v>12</v>
          </cell>
          <cell r="G4626">
            <v>1985</v>
          </cell>
          <cell r="H4626">
            <v>20</v>
          </cell>
          <cell r="I4626">
            <v>149366000000</v>
          </cell>
        </row>
        <row r="4627">
          <cell r="A4627" t="str">
            <v>Sri Lanka</v>
          </cell>
          <cell r="B4627">
            <v>144</v>
          </cell>
          <cell r="C4627">
            <v>203</v>
          </cell>
          <cell r="D4627">
            <v>3</v>
          </cell>
          <cell r="E4627" t="str">
            <v>Equals: VALUE ADDED, GROSS, at basic prices</v>
          </cell>
          <cell r="F4627">
            <v>12</v>
          </cell>
          <cell r="G4627">
            <v>1986</v>
          </cell>
          <cell r="H4627">
            <v>20</v>
          </cell>
          <cell r="I4627">
            <v>162426000000</v>
          </cell>
        </row>
        <row r="4628">
          <cell r="A4628" t="str">
            <v>Sri Lanka</v>
          </cell>
          <cell r="B4628">
            <v>144</v>
          </cell>
          <cell r="C4628">
            <v>203</v>
          </cell>
          <cell r="D4628">
            <v>3</v>
          </cell>
          <cell r="E4628" t="str">
            <v>Equals: VALUE ADDED, GROSS, at basic prices</v>
          </cell>
          <cell r="F4628">
            <v>12</v>
          </cell>
          <cell r="G4628">
            <v>1987</v>
          </cell>
          <cell r="H4628">
            <v>20</v>
          </cell>
          <cell r="I4628">
            <v>177139000000</v>
          </cell>
        </row>
        <row r="4629">
          <cell r="A4629" t="str">
            <v>Sri Lanka</v>
          </cell>
          <cell r="B4629">
            <v>144</v>
          </cell>
          <cell r="C4629">
            <v>203</v>
          </cell>
          <cell r="D4629">
            <v>3</v>
          </cell>
          <cell r="E4629" t="str">
            <v>Equals: VALUE ADDED, GROSS, at basic prices</v>
          </cell>
          <cell r="F4629">
            <v>12</v>
          </cell>
          <cell r="G4629">
            <v>1988</v>
          </cell>
          <cell r="H4629">
            <v>20</v>
          </cell>
          <cell r="I4629">
            <v>207175000000</v>
          </cell>
        </row>
        <row r="4630">
          <cell r="A4630" t="str">
            <v>Sri Lanka</v>
          </cell>
          <cell r="B4630">
            <v>144</v>
          </cell>
          <cell r="C4630">
            <v>203</v>
          </cell>
          <cell r="D4630">
            <v>3</v>
          </cell>
          <cell r="E4630" t="str">
            <v>Equals: VALUE ADDED, GROSS, at basic prices</v>
          </cell>
          <cell r="F4630">
            <v>12</v>
          </cell>
          <cell r="G4630">
            <v>1989</v>
          </cell>
          <cell r="H4630">
            <v>20</v>
          </cell>
          <cell r="I4630">
            <v>232522000000</v>
          </cell>
        </row>
        <row r="4631">
          <cell r="A4631" t="str">
            <v>Sri Lanka</v>
          </cell>
          <cell r="B4631">
            <v>144</v>
          </cell>
          <cell r="C4631">
            <v>203</v>
          </cell>
          <cell r="D4631">
            <v>3</v>
          </cell>
          <cell r="E4631" t="str">
            <v>Equals: VALUE ADDED, GROSS, at basic prices</v>
          </cell>
          <cell r="F4631">
            <v>12</v>
          </cell>
          <cell r="G4631">
            <v>1990</v>
          </cell>
          <cell r="H4631">
            <v>20</v>
          </cell>
          <cell r="I4631">
            <v>300374000000</v>
          </cell>
        </row>
        <row r="4632">
          <cell r="A4632" t="str">
            <v>Sri Lanka</v>
          </cell>
          <cell r="B4632">
            <v>144</v>
          </cell>
          <cell r="C4632">
            <v>203</v>
          </cell>
          <cell r="D4632">
            <v>3</v>
          </cell>
          <cell r="E4632" t="str">
            <v>Equals: VALUE ADDED, GROSS, at basic prices</v>
          </cell>
          <cell r="F4632">
            <v>12</v>
          </cell>
          <cell r="G4632">
            <v>1991</v>
          </cell>
          <cell r="H4632">
            <v>20</v>
          </cell>
          <cell r="I4632">
            <v>350560000000</v>
          </cell>
        </row>
        <row r="4633">
          <cell r="A4633" t="str">
            <v>Sri Lanka</v>
          </cell>
          <cell r="B4633">
            <v>144</v>
          </cell>
          <cell r="C4633">
            <v>203</v>
          </cell>
          <cell r="D4633">
            <v>3</v>
          </cell>
          <cell r="E4633" t="str">
            <v>Equals: VALUE ADDED, GROSS, at basic prices</v>
          </cell>
          <cell r="F4633">
            <v>12</v>
          </cell>
          <cell r="G4633">
            <v>1992</v>
          </cell>
          <cell r="H4633">
            <v>20</v>
          </cell>
          <cell r="I4633">
            <v>400261000000</v>
          </cell>
        </row>
        <row r="4634">
          <cell r="A4634" t="str">
            <v>Sri Lanka</v>
          </cell>
          <cell r="B4634">
            <v>144</v>
          </cell>
          <cell r="C4634">
            <v>203</v>
          </cell>
          <cell r="D4634">
            <v>3</v>
          </cell>
          <cell r="E4634" t="str">
            <v>Equals: VALUE ADDED, GROSS, at basic prices</v>
          </cell>
          <cell r="F4634">
            <v>12</v>
          </cell>
          <cell r="G4634">
            <v>1993</v>
          </cell>
          <cell r="H4634">
            <v>20</v>
          </cell>
          <cell r="I4634">
            <v>476181000000</v>
          </cell>
        </row>
        <row r="4635">
          <cell r="A4635" t="str">
            <v>Sri Lanka</v>
          </cell>
          <cell r="B4635">
            <v>144</v>
          </cell>
          <cell r="C4635">
            <v>203</v>
          </cell>
          <cell r="D4635">
            <v>3</v>
          </cell>
          <cell r="E4635" t="str">
            <v>Equals: VALUE ADDED, GROSS, at basic prices</v>
          </cell>
          <cell r="F4635">
            <v>12</v>
          </cell>
          <cell r="G4635">
            <v>1994</v>
          </cell>
          <cell r="H4635">
            <v>20</v>
          </cell>
          <cell r="I4635">
            <v>553995000000</v>
          </cell>
        </row>
        <row r="4636">
          <cell r="A4636" t="str">
            <v>Sri Lanka</v>
          </cell>
          <cell r="B4636">
            <v>144</v>
          </cell>
          <cell r="C4636">
            <v>203</v>
          </cell>
          <cell r="D4636">
            <v>3</v>
          </cell>
          <cell r="E4636" t="str">
            <v>Equals: VALUE ADDED, GROSS, at basic prices</v>
          </cell>
          <cell r="F4636">
            <v>12</v>
          </cell>
          <cell r="G4636">
            <v>1995</v>
          </cell>
          <cell r="H4636">
            <v>20</v>
          </cell>
          <cell r="I4636">
            <v>636822000000</v>
          </cell>
        </row>
        <row r="4637">
          <cell r="A4637" t="str">
            <v>Sri Lanka</v>
          </cell>
          <cell r="B4637">
            <v>144</v>
          </cell>
          <cell r="C4637">
            <v>203</v>
          </cell>
          <cell r="D4637">
            <v>3</v>
          </cell>
          <cell r="E4637" t="str">
            <v>Equals: VALUE ADDED, GROSS, at basic prices</v>
          </cell>
          <cell r="F4637">
            <v>12</v>
          </cell>
          <cell r="G4637">
            <v>1996</v>
          </cell>
          <cell r="H4637">
            <v>20</v>
          </cell>
          <cell r="I4637">
            <v>744865000000</v>
          </cell>
        </row>
        <row r="4638">
          <cell r="A4638" t="str">
            <v>Sri Lanka</v>
          </cell>
          <cell r="B4638">
            <v>144</v>
          </cell>
          <cell r="C4638">
            <v>203</v>
          </cell>
          <cell r="D4638">
            <v>3</v>
          </cell>
          <cell r="E4638" t="str">
            <v>Equals: VALUE ADDED, GROSS, at basic prices</v>
          </cell>
          <cell r="F4638">
            <v>12</v>
          </cell>
          <cell r="G4638">
            <v>1997</v>
          </cell>
          <cell r="H4638">
            <v>20</v>
          </cell>
          <cell r="I4638">
            <v>863283000000</v>
          </cell>
        </row>
        <row r="4639">
          <cell r="A4639" t="str">
            <v>Sri Lanka</v>
          </cell>
          <cell r="B4639">
            <v>144</v>
          </cell>
          <cell r="C4639">
            <v>203</v>
          </cell>
          <cell r="D4639">
            <v>3</v>
          </cell>
          <cell r="E4639" t="str">
            <v>Equals: VALUE ADDED, GROSS, at basic prices</v>
          </cell>
          <cell r="F4639">
            <v>12</v>
          </cell>
          <cell r="G4639">
            <v>1998</v>
          </cell>
          <cell r="H4639">
            <v>20</v>
          </cell>
          <cell r="I4639">
            <v>985609000000</v>
          </cell>
        </row>
        <row r="4640">
          <cell r="A4640" t="str">
            <v>Sri Lanka</v>
          </cell>
          <cell r="B4640">
            <v>144</v>
          </cell>
          <cell r="C4640">
            <v>203</v>
          </cell>
          <cell r="D4640">
            <v>3</v>
          </cell>
          <cell r="E4640" t="str">
            <v>Equals: VALUE ADDED, GROSS, at basic prices</v>
          </cell>
          <cell r="F4640">
            <v>12</v>
          </cell>
          <cell r="G4640">
            <v>1998</v>
          </cell>
          <cell r="H4640">
            <v>100</v>
          </cell>
          <cell r="I4640">
            <v>905922000000</v>
          </cell>
        </row>
        <row r="4641">
          <cell r="A4641" t="str">
            <v>Sri Lanka</v>
          </cell>
          <cell r="B4641">
            <v>144</v>
          </cell>
          <cell r="C4641">
            <v>203</v>
          </cell>
          <cell r="D4641">
            <v>3</v>
          </cell>
          <cell r="E4641" t="str">
            <v>Equals: VALUE ADDED, GROSS, at basic prices</v>
          </cell>
          <cell r="F4641">
            <v>12</v>
          </cell>
          <cell r="G4641">
            <v>1999</v>
          </cell>
          <cell r="H4641">
            <v>100</v>
          </cell>
          <cell r="I4641">
            <v>987176000000</v>
          </cell>
        </row>
        <row r="4642">
          <cell r="A4642" t="str">
            <v>Sri Lanka</v>
          </cell>
          <cell r="B4642">
            <v>144</v>
          </cell>
          <cell r="C4642">
            <v>203</v>
          </cell>
          <cell r="D4642">
            <v>3</v>
          </cell>
          <cell r="E4642" t="str">
            <v>Equals: VALUE ADDED, GROSS, at basic prices</v>
          </cell>
          <cell r="F4642">
            <v>12</v>
          </cell>
          <cell r="G4642">
            <v>2000</v>
          </cell>
          <cell r="H4642">
            <v>100</v>
          </cell>
          <cell r="I4642">
            <v>1116455000000</v>
          </cell>
        </row>
        <row r="4643">
          <cell r="A4643" t="str">
            <v>Sri Lanka</v>
          </cell>
          <cell r="B4643">
            <v>144</v>
          </cell>
          <cell r="C4643">
            <v>203</v>
          </cell>
          <cell r="D4643">
            <v>3</v>
          </cell>
          <cell r="E4643" t="str">
            <v>Equals: VALUE ADDED, GROSS, at basic prices</v>
          </cell>
          <cell r="F4643">
            <v>12</v>
          </cell>
          <cell r="G4643">
            <v>2001</v>
          </cell>
          <cell r="H4643">
            <v>100</v>
          </cell>
          <cell r="I4643">
            <v>1242839000000</v>
          </cell>
        </row>
        <row r="4644">
          <cell r="A4644" t="str">
            <v>Sri Lanka</v>
          </cell>
          <cell r="B4644">
            <v>144</v>
          </cell>
          <cell r="C4644">
            <v>203</v>
          </cell>
          <cell r="D4644">
            <v>3</v>
          </cell>
          <cell r="E4644" t="str">
            <v>Equals: VALUE ADDED, GROSS, at basic prices</v>
          </cell>
          <cell r="F4644">
            <v>12</v>
          </cell>
          <cell r="G4644">
            <v>2002</v>
          </cell>
          <cell r="H4644">
            <v>100</v>
          </cell>
          <cell r="I4644">
            <v>1398302000000</v>
          </cell>
        </row>
        <row r="4645">
          <cell r="A4645" t="str">
            <v>Sri Lanka</v>
          </cell>
          <cell r="B4645">
            <v>144</v>
          </cell>
          <cell r="C4645">
            <v>203</v>
          </cell>
          <cell r="D4645">
            <v>3</v>
          </cell>
          <cell r="E4645" t="str">
            <v>Equals: VALUE ADDED, GROSS, at basic prices</v>
          </cell>
          <cell r="F4645">
            <v>12</v>
          </cell>
          <cell r="G4645">
            <v>2003</v>
          </cell>
          <cell r="H4645">
            <v>100</v>
          </cell>
          <cell r="I4645">
            <v>1568742000000</v>
          </cell>
        </row>
        <row r="4646">
          <cell r="A4646" t="str">
            <v>Sri Lanka</v>
          </cell>
          <cell r="B4646">
            <v>144</v>
          </cell>
          <cell r="C4646">
            <v>203</v>
          </cell>
          <cell r="D4646">
            <v>4</v>
          </cell>
          <cell r="E4646" t="str">
            <v>Compensation of employees</v>
          </cell>
          <cell r="F4646">
            <v>12</v>
          </cell>
          <cell r="G4646">
            <v>1983</v>
          </cell>
          <cell r="H4646">
            <v>20</v>
          </cell>
          <cell r="I4646">
            <v>53728900000</v>
          </cell>
        </row>
        <row r="4647">
          <cell r="A4647" t="str">
            <v>Sri Lanka</v>
          </cell>
          <cell r="B4647">
            <v>144</v>
          </cell>
          <cell r="C4647">
            <v>203</v>
          </cell>
          <cell r="D4647">
            <v>4</v>
          </cell>
          <cell r="E4647" t="str">
            <v>Compensation of employees</v>
          </cell>
          <cell r="F4647">
            <v>12</v>
          </cell>
          <cell r="G4647">
            <v>1984</v>
          </cell>
          <cell r="H4647">
            <v>20</v>
          </cell>
          <cell r="I4647">
            <v>64265000000</v>
          </cell>
        </row>
        <row r="4648">
          <cell r="A4648" t="str">
            <v>Sri Lanka</v>
          </cell>
          <cell r="B4648">
            <v>144</v>
          </cell>
          <cell r="C4648">
            <v>203</v>
          </cell>
          <cell r="D4648">
            <v>4</v>
          </cell>
          <cell r="E4648" t="str">
            <v>Compensation of employees</v>
          </cell>
          <cell r="F4648">
            <v>12</v>
          </cell>
          <cell r="G4648">
            <v>1985</v>
          </cell>
          <cell r="H4648">
            <v>20</v>
          </cell>
          <cell r="I4648">
            <v>70750000000</v>
          </cell>
        </row>
        <row r="4649">
          <cell r="A4649" t="str">
            <v>Sri Lanka</v>
          </cell>
          <cell r="B4649">
            <v>144</v>
          </cell>
          <cell r="C4649">
            <v>203</v>
          </cell>
          <cell r="D4649">
            <v>4</v>
          </cell>
          <cell r="E4649" t="str">
            <v>Compensation of employees</v>
          </cell>
          <cell r="F4649">
            <v>12</v>
          </cell>
          <cell r="G4649">
            <v>1986</v>
          </cell>
          <cell r="H4649">
            <v>20</v>
          </cell>
          <cell r="I4649">
            <v>78741000000</v>
          </cell>
        </row>
        <row r="4650">
          <cell r="A4650" t="str">
            <v>Sri Lanka</v>
          </cell>
          <cell r="B4650">
            <v>144</v>
          </cell>
          <cell r="C4650">
            <v>203</v>
          </cell>
          <cell r="D4650">
            <v>4</v>
          </cell>
          <cell r="E4650" t="str">
            <v>Compensation of employees</v>
          </cell>
          <cell r="F4650">
            <v>12</v>
          </cell>
          <cell r="G4650">
            <v>1987</v>
          </cell>
          <cell r="H4650">
            <v>20</v>
          </cell>
          <cell r="I4650">
            <v>86388000000</v>
          </cell>
        </row>
        <row r="4651">
          <cell r="A4651" t="str">
            <v>Sri Lanka</v>
          </cell>
          <cell r="B4651">
            <v>144</v>
          </cell>
          <cell r="C4651">
            <v>203</v>
          </cell>
          <cell r="D4651">
            <v>4</v>
          </cell>
          <cell r="E4651" t="str">
            <v>Compensation of employees</v>
          </cell>
          <cell r="F4651">
            <v>12</v>
          </cell>
          <cell r="G4651">
            <v>1988</v>
          </cell>
          <cell r="H4651">
            <v>20</v>
          </cell>
          <cell r="I4651">
            <v>98695000000</v>
          </cell>
        </row>
        <row r="4652">
          <cell r="A4652" t="str">
            <v>Sri Lanka</v>
          </cell>
          <cell r="B4652">
            <v>144</v>
          </cell>
          <cell r="C4652">
            <v>203</v>
          </cell>
          <cell r="D4652">
            <v>4</v>
          </cell>
          <cell r="E4652" t="str">
            <v>Compensation of employees</v>
          </cell>
          <cell r="F4652">
            <v>12</v>
          </cell>
          <cell r="G4652">
            <v>1989</v>
          </cell>
          <cell r="H4652">
            <v>20</v>
          </cell>
          <cell r="I4652">
            <v>110033000000</v>
          </cell>
        </row>
        <row r="4653">
          <cell r="A4653" t="str">
            <v>Sri Lanka</v>
          </cell>
          <cell r="B4653">
            <v>144</v>
          </cell>
          <cell r="C4653">
            <v>203</v>
          </cell>
          <cell r="D4653">
            <v>4</v>
          </cell>
          <cell r="E4653" t="str">
            <v>Compensation of employees</v>
          </cell>
          <cell r="F4653">
            <v>12</v>
          </cell>
          <cell r="G4653">
            <v>1990</v>
          </cell>
          <cell r="H4653">
            <v>20</v>
          </cell>
          <cell r="I4653">
            <v>141644000000</v>
          </cell>
        </row>
        <row r="4654">
          <cell r="A4654" t="str">
            <v>Sri Lanka</v>
          </cell>
          <cell r="B4654">
            <v>144</v>
          </cell>
          <cell r="C4654">
            <v>203</v>
          </cell>
          <cell r="D4654">
            <v>4</v>
          </cell>
          <cell r="E4654" t="str">
            <v>Compensation of employees</v>
          </cell>
          <cell r="F4654">
            <v>12</v>
          </cell>
          <cell r="G4654">
            <v>1991</v>
          </cell>
          <cell r="H4654">
            <v>20</v>
          </cell>
          <cell r="I4654">
            <v>167472000000</v>
          </cell>
        </row>
        <row r="4655">
          <cell r="A4655" t="str">
            <v>Sri Lanka</v>
          </cell>
          <cell r="B4655">
            <v>144</v>
          </cell>
          <cell r="C4655">
            <v>203</v>
          </cell>
          <cell r="D4655">
            <v>4</v>
          </cell>
          <cell r="E4655" t="str">
            <v>Compensation of employees</v>
          </cell>
          <cell r="F4655">
            <v>12</v>
          </cell>
          <cell r="G4655">
            <v>1992</v>
          </cell>
          <cell r="H4655">
            <v>20</v>
          </cell>
          <cell r="I4655">
            <v>188552000000</v>
          </cell>
        </row>
        <row r="4656">
          <cell r="A4656" t="str">
            <v>Sri Lanka</v>
          </cell>
          <cell r="B4656">
            <v>144</v>
          </cell>
          <cell r="C4656">
            <v>203</v>
          </cell>
          <cell r="D4656">
            <v>4</v>
          </cell>
          <cell r="E4656" t="str">
            <v>Compensation of employees</v>
          </cell>
          <cell r="F4656">
            <v>12</v>
          </cell>
          <cell r="G4656">
            <v>1993</v>
          </cell>
          <cell r="H4656">
            <v>20</v>
          </cell>
          <cell r="I4656">
            <v>222111000000</v>
          </cell>
        </row>
        <row r="4657">
          <cell r="A4657" t="str">
            <v>Sri Lanka</v>
          </cell>
          <cell r="B4657">
            <v>144</v>
          </cell>
          <cell r="C4657">
            <v>203</v>
          </cell>
          <cell r="D4657">
            <v>4</v>
          </cell>
          <cell r="E4657" t="str">
            <v>Compensation of employees</v>
          </cell>
          <cell r="F4657">
            <v>12</v>
          </cell>
          <cell r="G4657">
            <v>1994</v>
          </cell>
          <cell r="H4657">
            <v>20</v>
          </cell>
          <cell r="I4657">
            <v>261060000000</v>
          </cell>
        </row>
        <row r="4658">
          <cell r="A4658" t="str">
            <v>Sri Lanka</v>
          </cell>
          <cell r="B4658">
            <v>144</v>
          </cell>
          <cell r="C4658">
            <v>203</v>
          </cell>
          <cell r="D4658">
            <v>4</v>
          </cell>
          <cell r="E4658" t="str">
            <v>Compensation of employees</v>
          </cell>
          <cell r="F4658">
            <v>12</v>
          </cell>
          <cell r="G4658">
            <v>1995</v>
          </cell>
          <cell r="H4658">
            <v>20</v>
          </cell>
          <cell r="I4658">
            <v>295610000000</v>
          </cell>
        </row>
        <row r="4659">
          <cell r="A4659" t="str">
            <v>Sri Lanka</v>
          </cell>
          <cell r="B4659">
            <v>144</v>
          </cell>
          <cell r="C4659">
            <v>203</v>
          </cell>
          <cell r="D4659">
            <v>4</v>
          </cell>
          <cell r="E4659" t="str">
            <v>Compensation of employees</v>
          </cell>
          <cell r="F4659">
            <v>12</v>
          </cell>
          <cell r="G4659">
            <v>1996</v>
          </cell>
          <cell r="H4659">
            <v>20</v>
          </cell>
          <cell r="I4659">
            <v>348221000000</v>
          </cell>
        </row>
        <row r="4660">
          <cell r="A4660" t="str">
            <v>Sri Lanka</v>
          </cell>
          <cell r="B4660">
            <v>144</v>
          </cell>
          <cell r="C4660">
            <v>203</v>
          </cell>
          <cell r="D4660">
            <v>4</v>
          </cell>
          <cell r="E4660" t="str">
            <v>Compensation of employees</v>
          </cell>
          <cell r="F4660">
            <v>12</v>
          </cell>
          <cell r="G4660">
            <v>1997</v>
          </cell>
          <cell r="H4660">
            <v>20</v>
          </cell>
          <cell r="I4660">
            <v>404472000000</v>
          </cell>
        </row>
        <row r="4661">
          <cell r="A4661" t="str">
            <v>Sri Lanka</v>
          </cell>
          <cell r="B4661">
            <v>144</v>
          </cell>
          <cell r="C4661">
            <v>203</v>
          </cell>
          <cell r="D4661">
            <v>4</v>
          </cell>
          <cell r="E4661" t="str">
            <v>Compensation of employees</v>
          </cell>
          <cell r="F4661">
            <v>12</v>
          </cell>
          <cell r="G4661">
            <v>1998</v>
          </cell>
          <cell r="H4661">
            <v>20</v>
          </cell>
          <cell r="I4661">
            <v>465651000000</v>
          </cell>
        </row>
        <row r="4662">
          <cell r="A4662" t="str">
            <v>Sri Lanka</v>
          </cell>
          <cell r="B4662">
            <v>144</v>
          </cell>
          <cell r="C4662">
            <v>203</v>
          </cell>
          <cell r="D4662">
            <v>4</v>
          </cell>
          <cell r="E4662" t="str">
            <v>Compensation of employees</v>
          </cell>
          <cell r="F4662">
            <v>12</v>
          </cell>
          <cell r="G4662">
            <v>1998</v>
          </cell>
          <cell r="H4662">
            <v>100</v>
          </cell>
          <cell r="I4662">
            <v>469267000000</v>
          </cell>
        </row>
        <row r="4663">
          <cell r="A4663" t="str">
            <v>Sri Lanka</v>
          </cell>
          <cell r="B4663">
            <v>144</v>
          </cell>
          <cell r="C4663">
            <v>203</v>
          </cell>
          <cell r="D4663">
            <v>4</v>
          </cell>
          <cell r="E4663" t="str">
            <v>Compensation of employees</v>
          </cell>
          <cell r="F4663">
            <v>12</v>
          </cell>
          <cell r="G4663">
            <v>1999</v>
          </cell>
          <cell r="H4663">
            <v>100</v>
          </cell>
          <cell r="I4663">
            <v>511358000000</v>
          </cell>
        </row>
        <row r="4664">
          <cell r="A4664" t="str">
            <v>Sri Lanka</v>
          </cell>
          <cell r="B4664">
            <v>144</v>
          </cell>
          <cell r="C4664">
            <v>203</v>
          </cell>
          <cell r="D4664">
            <v>4</v>
          </cell>
          <cell r="E4664" t="str">
            <v>Compensation of employees</v>
          </cell>
          <cell r="F4664">
            <v>12</v>
          </cell>
          <cell r="G4664">
            <v>2000</v>
          </cell>
          <cell r="H4664">
            <v>100</v>
          </cell>
          <cell r="I4664">
            <v>578324000000</v>
          </cell>
        </row>
        <row r="4665">
          <cell r="A4665" t="str">
            <v>Sri Lanka</v>
          </cell>
          <cell r="B4665">
            <v>144</v>
          </cell>
          <cell r="C4665">
            <v>203</v>
          </cell>
          <cell r="D4665">
            <v>4</v>
          </cell>
          <cell r="E4665" t="str">
            <v>Compensation of employees</v>
          </cell>
          <cell r="F4665">
            <v>12</v>
          </cell>
          <cell r="G4665">
            <v>2001</v>
          </cell>
          <cell r="H4665">
            <v>100</v>
          </cell>
          <cell r="I4665">
            <v>643791000000</v>
          </cell>
        </row>
        <row r="4666">
          <cell r="A4666" t="str">
            <v>Sri Lanka</v>
          </cell>
          <cell r="B4666">
            <v>144</v>
          </cell>
          <cell r="C4666">
            <v>203</v>
          </cell>
          <cell r="D4666">
            <v>4</v>
          </cell>
          <cell r="E4666" t="str">
            <v>Compensation of employees</v>
          </cell>
          <cell r="F4666">
            <v>12</v>
          </cell>
          <cell r="G4666">
            <v>2002</v>
          </cell>
          <cell r="H4666">
            <v>100</v>
          </cell>
          <cell r="I4666">
            <v>724321000000</v>
          </cell>
        </row>
        <row r="4667">
          <cell r="A4667" t="str">
            <v>Sri Lanka</v>
          </cell>
          <cell r="B4667">
            <v>144</v>
          </cell>
          <cell r="C4667">
            <v>203</v>
          </cell>
          <cell r="D4667">
            <v>4</v>
          </cell>
          <cell r="E4667" t="str">
            <v>Compensation of employees</v>
          </cell>
          <cell r="F4667">
            <v>12</v>
          </cell>
          <cell r="G4667">
            <v>2003</v>
          </cell>
          <cell r="H4667">
            <v>100</v>
          </cell>
          <cell r="I4667">
            <v>812609000000</v>
          </cell>
        </row>
        <row r="4668">
          <cell r="A4668" t="str">
            <v>Iceland</v>
          </cell>
          <cell r="B4668">
            <v>352</v>
          </cell>
          <cell r="C4668">
            <v>201</v>
          </cell>
          <cell r="D4668">
            <v>13</v>
          </cell>
          <cell r="E4668" t="str">
            <v>Less: Financial intermediation services indirectly measured (FISIM) (only to be deducted if FISIM is not distributed to uses)</v>
          </cell>
          <cell r="F4668">
            <v>0</v>
          </cell>
          <cell r="G4668">
            <v>1973</v>
          </cell>
          <cell r="H4668">
            <v>200</v>
          </cell>
          <cell r="I4668">
            <v>26228395.4780952</v>
          </cell>
        </row>
        <row r="4669">
          <cell r="A4669" t="str">
            <v>Iceland</v>
          </cell>
          <cell r="B4669">
            <v>352</v>
          </cell>
          <cell r="C4669">
            <v>201</v>
          </cell>
          <cell r="D4669">
            <v>13</v>
          </cell>
          <cell r="E4669" t="str">
            <v>Less: Financial intermediation services indirectly measured (FISIM) (only to be deducted if FISIM is not distributed to uses)</v>
          </cell>
          <cell r="F4669">
            <v>0</v>
          </cell>
          <cell r="G4669">
            <v>1974</v>
          </cell>
          <cell r="H4669">
            <v>200</v>
          </cell>
          <cell r="I4669">
            <v>35836323.412506796</v>
          </cell>
        </row>
        <row r="4670">
          <cell r="A4670" t="str">
            <v>Iceland</v>
          </cell>
          <cell r="B4670">
            <v>352</v>
          </cell>
          <cell r="C4670">
            <v>201</v>
          </cell>
          <cell r="D4670">
            <v>13</v>
          </cell>
          <cell r="E4670" t="str">
            <v>Less: Financial intermediation services indirectly measured (FISIM) (only to be deducted if FISIM is not distributed to uses)</v>
          </cell>
          <cell r="F4670">
            <v>0</v>
          </cell>
          <cell r="G4670">
            <v>1975</v>
          </cell>
          <cell r="H4670">
            <v>200</v>
          </cell>
          <cell r="I4670">
            <v>59731364.963673398</v>
          </cell>
        </row>
        <row r="4671">
          <cell r="A4671" t="str">
            <v>Iceland</v>
          </cell>
          <cell r="B4671">
            <v>352</v>
          </cell>
          <cell r="C4671">
            <v>201</v>
          </cell>
          <cell r="D4671">
            <v>13</v>
          </cell>
          <cell r="E4671" t="str">
            <v>Less: Financial intermediation services indirectly measured (FISIM) (only to be deducted if FISIM is not distributed to uses)</v>
          </cell>
          <cell r="F4671">
            <v>0</v>
          </cell>
          <cell r="G4671">
            <v>1976</v>
          </cell>
          <cell r="H4671">
            <v>200</v>
          </cell>
          <cell r="I4671">
            <v>80444560.250846595</v>
          </cell>
        </row>
        <row r="4672">
          <cell r="A4672" t="str">
            <v>Iceland</v>
          </cell>
          <cell r="B4672">
            <v>352</v>
          </cell>
          <cell r="C4672">
            <v>201</v>
          </cell>
          <cell r="D4672">
            <v>13</v>
          </cell>
          <cell r="E4672" t="str">
            <v>Less: Financial intermediation services indirectly measured (FISIM) (only to be deducted if FISIM is not distributed to uses)</v>
          </cell>
          <cell r="F4672">
            <v>0</v>
          </cell>
          <cell r="G4672">
            <v>1977</v>
          </cell>
          <cell r="H4672">
            <v>200</v>
          </cell>
          <cell r="I4672">
            <v>117141853.828904</v>
          </cell>
        </row>
        <row r="4673">
          <cell r="A4673" t="str">
            <v>Iceland</v>
          </cell>
          <cell r="B4673">
            <v>352</v>
          </cell>
          <cell r="C4673">
            <v>201</v>
          </cell>
          <cell r="D4673">
            <v>13</v>
          </cell>
          <cell r="E4673" t="str">
            <v>Less: Financial intermediation services indirectly measured (FISIM) (only to be deducted if FISIM is not distributed to uses)</v>
          </cell>
          <cell r="F4673">
            <v>0</v>
          </cell>
          <cell r="G4673">
            <v>1978</v>
          </cell>
          <cell r="H4673">
            <v>200</v>
          </cell>
          <cell r="I4673">
            <v>208442124.86278799</v>
          </cell>
        </row>
        <row r="4674">
          <cell r="A4674" t="str">
            <v>Iceland</v>
          </cell>
          <cell r="B4674">
            <v>352</v>
          </cell>
          <cell r="C4674">
            <v>201</v>
          </cell>
          <cell r="D4674">
            <v>13</v>
          </cell>
          <cell r="E4674" t="str">
            <v>Less: Financial intermediation services indirectly measured (FISIM) (only to be deducted if FISIM is not distributed to uses)</v>
          </cell>
          <cell r="F4674">
            <v>0</v>
          </cell>
          <cell r="G4674">
            <v>1979</v>
          </cell>
          <cell r="H4674">
            <v>200</v>
          </cell>
          <cell r="I4674">
            <v>377429356.05205601</v>
          </cell>
        </row>
        <row r="4675">
          <cell r="A4675" t="str">
            <v>Iceland</v>
          </cell>
          <cell r="B4675">
            <v>352</v>
          </cell>
          <cell r="C4675">
            <v>201</v>
          </cell>
          <cell r="D4675">
            <v>13</v>
          </cell>
          <cell r="E4675" t="str">
            <v>Less: Financial intermediation services indirectly measured (FISIM) (only to be deducted if FISIM is not distributed to uses)</v>
          </cell>
          <cell r="F4675">
            <v>0</v>
          </cell>
          <cell r="G4675">
            <v>1980</v>
          </cell>
          <cell r="H4675">
            <v>200</v>
          </cell>
          <cell r="I4675">
            <v>652340873.26109195</v>
          </cell>
        </row>
        <row r="4676">
          <cell r="A4676" t="str">
            <v>Iceland</v>
          </cell>
          <cell r="B4676">
            <v>352</v>
          </cell>
          <cell r="C4676">
            <v>201</v>
          </cell>
          <cell r="D4676">
            <v>13</v>
          </cell>
          <cell r="E4676" t="str">
            <v>Less: Financial intermediation services indirectly measured (FISIM) (only to be deducted if FISIM is not distributed to uses)</v>
          </cell>
          <cell r="F4676">
            <v>0</v>
          </cell>
          <cell r="G4676">
            <v>1981</v>
          </cell>
          <cell r="H4676">
            <v>200</v>
          </cell>
          <cell r="I4676">
            <v>850519747.33356297</v>
          </cell>
        </row>
        <row r="4677">
          <cell r="A4677" t="str">
            <v>Iceland</v>
          </cell>
          <cell r="B4677">
            <v>352</v>
          </cell>
          <cell r="C4677">
            <v>201</v>
          </cell>
          <cell r="D4677">
            <v>13</v>
          </cell>
          <cell r="E4677" t="str">
            <v>Less: Financial intermediation services indirectly measured (FISIM) (only to be deducted if FISIM is not distributed to uses)</v>
          </cell>
          <cell r="F4677">
            <v>0</v>
          </cell>
          <cell r="G4677">
            <v>1982</v>
          </cell>
          <cell r="H4677">
            <v>200</v>
          </cell>
          <cell r="I4677">
            <v>2017222384.7920699</v>
          </cell>
        </row>
        <row r="4678">
          <cell r="A4678" t="str">
            <v>Iceland</v>
          </cell>
          <cell r="B4678">
            <v>352</v>
          </cell>
          <cell r="C4678">
            <v>201</v>
          </cell>
          <cell r="D4678">
            <v>13</v>
          </cell>
          <cell r="E4678" t="str">
            <v>Less: Financial intermediation services indirectly measured (FISIM) (only to be deducted if FISIM is not distributed to uses)</v>
          </cell>
          <cell r="F4678">
            <v>0</v>
          </cell>
          <cell r="G4678">
            <v>1983</v>
          </cell>
          <cell r="H4678">
            <v>200</v>
          </cell>
          <cell r="I4678">
            <v>4326398034.0827398</v>
          </cell>
        </row>
        <row r="4679">
          <cell r="A4679" t="str">
            <v>Iceland</v>
          </cell>
          <cell r="B4679">
            <v>352</v>
          </cell>
          <cell r="C4679">
            <v>201</v>
          </cell>
          <cell r="D4679">
            <v>13</v>
          </cell>
          <cell r="E4679" t="str">
            <v>Less: Financial intermediation services indirectly measured (FISIM) (only to be deducted if FISIM is not distributed to uses)</v>
          </cell>
          <cell r="F4679">
            <v>0</v>
          </cell>
          <cell r="G4679">
            <v>1984</v>
          </cell>
          <cell r="H4679">
            <v>200</v>
          </cell>
          <cell r="I4679">
            <v>4154969065.9540701</v>
          </cell>
        </row>
        <row r="4680">
          <cell r="A4680" t="str">
            <v>Iceland</v>
          </cell>
          <cell r="B4680">
            <v>352</v>
          </cell>
          <cell r="C4680">
            <v>201</v>
          </cell>
          <cell r="D4680">
            <v>13</v>
          </cell>
          <cell r="E4680" t="str">
            <v>Less: Financial intermediation services indirectly measured (FISIM) (only to be deducted if FISIM is not distributed to uses)</v>
          </cell>
          <cell r="F4680">
            <v>0</v>
          </cell>
          <cell r="G4680">
            <v>1985</v>
          </cell>
          <cell r="H4680">
            <v>200</v>
          </cell>
          <cell r="I4680">
            <v>6015983977.6041498</v>
          </cell>
        </row>
        <row r="4681">
          <cell r="A4681" t="str">
            <v>Iceland</v>
          </cell>
          <cell r="B4681">
            <v>352</v>
          </cell>
          <cell r="C4681">
            <v>201</v>
          </cell>
          <cell r="D4681">
            <v>13</v>
          </cell>
          <cell r="E4681" t="str">
            <v>Less: Financial intermediation services indirectly measured (FISIM) (only to be deducted if FISIM is not distributed to uses)</v>
          </cell>
          <cell r="F4681">
            <v>0</v>
          </cell>
          <cell r="G4681">
            <v>1986</v>
          </cell>
          <cell r="H4681">
            <v>200</v>
          </cell>
          <cell r="I4681">
            <v>5605253145.6685104</v>
          </cell>
        </row>
        <row r="4682">
          <cell r="A4682" t="str">
            <v>Iceland</v>
          </cell>
          <cell r="B4682">
            <v>352</v>
          </cell>
          <cell r="C4682">
            <v>201</v>
          </cell>
          <cell r="D4682">
            <v>13</v>
          </cell>
          <cell r="E4682" t="str">
            <v>Less: Financial intermediation services indirectly measured (FISIM) (only to be deducted if FISIM is not distributed to uses)</v>
          </cell>
          <cell r="F4682">
            <v>0</v>
          </cell>
          <cell r="G4682">
            <v>1987</v>
          </cell>
          <cell r="H4682">
            <v>200</v>
          </cell>
          <cell r="I4682">
            <v>10087609120.188499</v>
          </cell>
        </row>
        <row r="4683">
          <cell r="A4683" t="str">
            <v>Iceland</v>
          </cell>
          <cell r="B4683">
            <v>352</v>
          </cell>
          <cell r="C4683">
            <v>201</v>
          </cell>
          <cell r="D4683">
            <v>13</v>
          </cell>
          <cell r="E4683" t="str">
            <v>Less: Financial intermediation services indirectly measured (FISIM) (only to be deducted if FISIM is not distributed to uses)</v>
          </cell>
          <cell r="F4683">
            <v>0</v>
          </cell>
          <cell r="G4683">
            <v>1988</v>
          </cell>
          <cell r="H4683">
            <v>200</v>
          </cell>
          <cell r="I4683">
            <v>14418873042.012899</v>
          </cell>
        </row>
        <row r="4684">
          <cell r="A4684" t="str">
            <v>Iceland</v>
          </cell>
          <cell r="B4684">
            <v>352</v>
          </cell>
          <cell r="C4684">
            <v>201</v>
          </cell>
          <cell r="D4684">
            <v>13</v>
          </cell>
          <cell r="E4684" t="str">
            <v>Less: Financial intermediation services indirectly measured (FISIM) (only to be deducted if FISIM is not distributed to uses)</v>
          </cell>
          <cell r="F4684">
            <v>0</v>
          </cell>
          <cell r="G4684">
            <v>1989</v>
          </cell>
          <cell r="H4684">
            <v>200</v>
          </cell>
          <cell r="I4684">
            <v>15848071608.180201</v>
          </cell>
        </row>
        <row r="4685">
          <cell r="A4685" t="str">
            <v>Iceland</v>
          </cell>
          <cell r="B4685">
            <v>352</v>
          </cell>
          <cell r="C4685">
            <v>201</v>
          </cell>
          <cell r="D4685">
            <v>13</v>
          </cell>
          <cell r="E4685" t="str">
            <v>Less: Financial intermediation services indirectly measured (FISIM) (only to be deducted if FISIM is not distributed to uses)</v>
          </cell>
          <cell r="F4685">
            <v>0</v>
          </cell>
          <cell r="G4685">
            <v>1997</v>
          </cell>
          <cell r="H4685">
            <v>200</v>
          </cell>
          <cell r="I4685">
            <v>22915848070</v>
          </cell>
        </row>
        <row r="4686">
          <cell r="A4686" t="str">
            <v>Iceland</v>
          </cell>
          <cell r="B4686">
            <v>352</v>
          </cell>
          <cell r="C4686">
            <v>201</v>
          </cell>
          <cell r="D4686">
            <v>13</v>
          </cell>
          <cell r="E4686" t="str">
            <v>Less: Financial intermediation services indirectly measured (FISIM) (only to be deducted if FISIM is not distributed to uses)</v>
          </cell>
          <cell r="F4686">
            <v>0</v>
          </cell>
          <cell r="G4686">
            <v>1998</v>
          </cell>
          <cell r="H4686">
            <v>200</v>
          </cell>
          <cell r="I4686">
            <v>22298670930</v>
          </cell>
        </row>
        <row r="4687">
          <cell r="A4687" t="str">
            <v>Iceland</v>
          </cell>
          <cell r="B4687">
            <v>352</v>
          </cell>
          <cell r="C4687">
            <v>201</v>
          </cell>
          <cell r="D4687">
            <v>13</v>
          </cell>
          <cell r="E4687" t="str">
            <v>Less: Financial intermediation services indirectly measured (FISIM) (only to be deducted if FISIM is not distributed to uses)</v>
          </cell>
          <cell r="F4687">
            <v>0</v>
          </cell>
          <cell r="G4687">
            <v>1999</v>
          </cell>
          <cell r="H4687">
            <v>200</v>
          </cell>
          <cell r="I4687">
            <v>28618834030</v>
          </cell>
        </row>
        <row r="4688">
          <cell r="A4688" t="str">
            <v>Iceland</v>
          </cell>
          <cell r="B4688">
            <v>352</v>
          </cell>
          <cell r="C4688">
            <v>201</v>
          </cell>
          <cell r="D4688">
            <v>13</v>
          </cell>
          <cell r="E4688" t="str">
            <v>Less: Financial intermediation services indirectly measured (FISIM) (only to be deducted if FISIM is not distributed to uses)</v>
          </cell>
          <cell r="F4688">
            <v>0</v>
          </cell>
          <cell r="G4688">
            <v>2000</v>
          </cell>
          <cell r="H4688">
            <v>200</v>
          </cell>
          <cell r="I4688">
            <v>35993817530</v>
          </cell>
        </row>
        <row r="4689">
          <cell r="A4689" t="str">
            <v>Iceland</v>
          </cell>
          <cell r="B4689">
            <v>352</v>
          </cell>
          <cell r="C4689">
            <v>201</v>
          </cell>
          <cell r="D4689">
            <v>13</v>
          </cell>
          <cell r="E4689" t="str">
            <v>Less: Financial intermediation services indirectly measured (FISIM) (only to be deducted if FISIM is not distributed to uses)</v>
          </cell>
          <cell r="F4689">
            <v>0</v>
          </cell>
          <cell r="G4689">
            <v>2001</v>
          </cell>
          <cell r="H4689">
            <v>200</v>
          </cell>
          <cell r="I4689">
            <v>44271382580</v>
          </cell>
        </row>
        <row r="4690">
          <cell r="A4690" t="str">
            <v>Sri Lanka</v>
          </cell>
          <cell r="B4690">
            <v>144</v>
          </cell>
          <cell r="C4690">
            <v>203</v>
          </cell>
          <cell r="D4690">
            <v>11</v>
          </cell>
          <cell r="E4690" t="str">
            <v>OPERATING SURPLUS, GROSS</v>
          </cell>
          <cell r="F4690">
            <v>12</v>
          </cell>
          <cell r="G4690">
            <v>1983</v>
          </cell>
          <cell r="H4690">
            <v>20</v>
          </cell>
          <cell r="I4690">
            <v>50262200000</v>
          </cell>
        </row>
        <row r="4691">
          <cell r="A4691" t="str">
            <v>Sri Lanka</v>
          </cell>
          <cell r="B4691">
            <v>144</v>
          </cell>
          <cell r="C4691">
            <v>203</v>
          </cell>
          <cell r="D4691">
            <v>11</v>
          </cell>
          <cell r="E4691" t="str">
            <v>OPERATING SURPLUS, GROSS</v>
          </cell>
          <cell r="F4691">
            <v>12</v>
          </cell>
          <cell r="G4691">
            <v>1984</v>
          </cell>
          <cell r="H4691">
            <v>20</v>
          </cell>
          <cell r="I4691">
            <v>59978000000</v>
          </cell>
        </row>
        <row r="4692">
          <cell r="A4692" t="str">
            <v>Sri Lanka</v>
          </cell>
          <cell r="B4692">
            <v>144</v>
          </cell>
          <cell r="C4692">
            <v>203</v>
          </cell>
          <cell r="D4692">
            <v>11</v>
          </cell>
          <cell r="E4692" t="str">
            <v>OPERATING SURPLUS, GROSS</v>
          </cell>
          <cell r="F4692">
            <v>12</v>
          </cell>
          <cell r="G4692">
            <v>1985</v>
          </cell>
          <cell r="H4692">
            <v>20</v>
          </cell>
          <cell r="I4692">
            <v>64534000000</v>
          </cell>
        </row>
        <row r="4693">
          <cell r="A4693" t="str">
            <v>Sri Lanka</v>
          </cell>
          <cell r="B4693">
            <v>144</v>
          </cell>
          <cell r="C4693">
            <v>203</v>
          </cell>
          <cell r="D4693">
            <v>11</v>
          </cell>
          <cell r="E4693" t="str">
            <v>OPERATING SURPLUS, GROSS</v>
          </cell>
          <cell r="F4693">
            <v>12</v>
          </cell>
          <cell r="G4693">
            <v>1986</v>
          </cell>
          <cell r="H4693">
            <v>20</v>
          </cell>
          <cell r="I4693">
            <v>69381000000</v>
          </cell>
        </row>
        <row r="4694">
          <cell r="A4694" t="str">
            <v>Sri Lanka</v>
          </cell>
          <cell r="B4694">
            <v>144</v>
          </cell>
          <cell r="C4694">
            <v>203</v>
          </cell>
          <cell r="D4694">
            <v>11</v>
          </cell>
          <cell r="E4694" t="str">
            <v>OPERATING SURPLUS, GROSS</v>
          </cell>
          <cell r="F4694">
            <v>12</v>
          </cell>
          <cell r="G4694">
            <v>1987</v>
          </cell>
          <cell r="H4694">
            <v>20</v>
          </cell>
          <cell r="I4694">
            <v>75211000000</v>
          </cell>
        </row>
        <row r="4695">
          <cell r="A4695" t="str">
            <v>Sri Lanka</v>
          </cell>
          <cell r="B4695">
            <v>144</v>
          </cell>
          <cell r="C4695">
            <v>203</v>
          </cell>
          <cell r="D4695">
            <v>11</v>
          </cell>
          <cell r="E4695" t="str">
            <v>OPERATING SURPLUS, GROSS</v>
          </cell>
          <cell r="F4695">
            <v>12</v>
          </cell>
          <cell r="G4695">
            <v>1988</v>
          </cell>
          <cell r="H4695">
            <v>20</v>
          </cell>
          <cell r="I4695">
            <v>91837000000</v>
          </cell>
        </row>
        <row r="4696">
          <cell r="A4696" t="str">
            <v>Sri Lanka</v>
          </cell>
          <cell r="B4696">
            <v>144</v>
          </cell>
          <cell r="C4696">
            <v>203</v>
          </cell>
          <cell r="D4696">
            <v>11</v>
          </cell>
          <cell r="E4696" t="str">
            <v>OPERATING SURPLUS, GROSS</v>
          </cell>
          <cell r="F4696">
            <v>12</v>
          </cell>
          <cell r="G4696">
            <v>1989</v>
          </cell>
          <cell r="H4696">
            <v>20</v>
          </cell>
          <cell r="I4696">
            <v>102386000000</v>
          </cell>
        </row>
        <row r="4697">
          <cell r="A4697" t="str">
            <v>Sri Lanka</v>
          </cell>
          <cell r="B4697">
            <v>144</v>
          </cell>
          <cell r="C4697">
            <v>203</v>
          </cell>
          <cell r="D4697">
            <v>11</v>
          </cell>
          <cell r="E4697" t="str">
            <v>OPERATING SURPLUS, GROSS</v>
          </cell>
          <cell r="F4697">
            <v>12</v>
          </cell>
          <cell r="G4697">
            <v>1990</v>
          </cell>
          <cell r="H4697">
            <v>20</v>
          </cell>
          <cell r="I4697">
            <v>131800000000</v>
          </cell>
        </row>
        <row r="4698">
          <cell r="A4698" t="str">
            <v>Sri Lanka</v>
          </cell>
          <cell r="B4698">
            <v>144</v>
          </cell>
          <cell r="C4698">
            <v>203</v>
          </cell>
          <cell r="D4698">
            <v>11</v>
          </cell>
          <cell r="E4698" t="str">
            <v>OPERATING SURPLUS, GROSS</v>
          </cell>
          <cell r="F4698">
            <v>12</v>
          </cell>
          <cell r="G4698">
            <v>1991</v>
          </cell>
          <cell r="H4698">
            <v>20</v>
          </cell>
          <cell r="I4698">
            <v>155832000000</v>
          </cell>
        </row>
        <row r="4699">
          <cell r="A4699" t="str">
            <v>Sri Lanka</v>
          </cell>
          <cell r="B4699">
            <v>144</v>
          </cell>
          <cell r="C4699">
            <v>203</v>
          </cell>
          <cell r="D4699">
            <v>11</v>
          </cell>
          <cell r="E4699" t="str">
            <v>OPERATING SURPLUS, GROSS</v>
          </cell>
          <cell r="F4699">
            <v>12</v>
          </cell>
          <cell r="G4699">
            <v>1992</v>
          </cell>
          <cell r="H4699">
            <v>20</v>
          </cell>
          <cell r="I4699">
            <v>175447000000</v>
          </cell>
        </row>
        <row r="4700">
          <cell r="A4700" t="str">
            <v>Sri Lanka</v>
          </cell>
          <cell r="B4700">
            <v>144</v>
          </cell>
          <cell r="C4700">
            <v>203</v>
          </cell>
          <cell r="D4700">
            <v>11</v>
          </cell>
          <cell r="E4700" t="str">
            <v>OPERATING SURPLUS, GROSS</v>
          </cell>
          <cell r="F4700">
            <v>12</v>
          </cell>
          <cell r="G4700">
            <v>1993</v>
          </cell>
          <cell r="H4700">
            <v>20</v>
          </cell>
          <cell r="I4700">
            <v>206674000000</v>
          </cell>
        </row>
        <row r="4701">
          <cell r="A4701" t="str">
            <v>Sri Lanka</v>
          </cell>
          <cell r="B4701">
            <v>144</v>
          </cell>
          <cell r="C4701">
            <v>203</v>
          </cell>
          <cell r="D4701">
            <v>11</v>
          </cell>
          <cell r="E4701" t="str">
            <v>OPERATING SURPLUS, GROSS</v>
          </cell>
          <cell r="F4701">
            <v>12</v>
          </cell>
          <cell r="G4701">
            <v>1994</v>
          </cell>
          <cell r="H4701">
            <v>20</v>
          </cell>
          <cell r="I4701">
            <v>242917000000</v>
          </cell>
        </row>
        <row r="4702">
          <cell r="A4702" t="str">
            <v>Sri Lanka</v>
          </cell>
          <cell r="B4702">
            <v>144</v>
          </cell>
          <cell r="C4702">
            <v>203</v>
          </cell>
          <cell r="D4702">
            <v>11</v>
          </cell>
          <cell r="E4702" t="str">
            <v>OPERATING SURPLUS, GROSS</v>
          </cell>
          <cell r="F4702">
            <v>12</v>
          </cell>
          <cell r="G4702">
            <v>1995</v>
          </cell>
          <cell r="H4702">
            <v>20</v>
          </cell>
          <cell r="I4702">
            <v>275066000000</v>
          </cell>
        </row>
        <row r="4703">
          <cell r="A4703" t="str">
            <v>Sri Lanka</v>
          </cell>
          <cell r="B4703">
            <v>144</v>
          </cell>
          <cell r="C4703">
            <v>203</v>
          </cell>
          <cell r="D4703">
            <v>11</v>
          </cell>
          <cell r="E4703" t="str">
            <v>OPERATING SURPLUS, GROSS</v>
          </cell>
          <cell r="F4703">
            <v>12</v>
          </cell>
          <cell r="G4703">
            <v>1996</v>
          </cell>
          <cell r="H4703">
            <v>20</v>
          </cell>
          <cell r="I4703">
            <v>324021000000</v>
          </cell>
        </row>
        <row r="4704">
          <cell r="A4704" t="str">
            <v>Sri Lanka</v>
          </cell>
          <cell r="B4704">
            <v>144</v>
          </cell>
          <cell r="C4704">
            <v>203</v>
          </cell>
          <cell r="D4704">
            <v>11</v>
          </cell>
          <cell r="E4704" t="str">
            <v>OPERATING SURPLUS, GROSS</v>
          </cell>
          <cell r="F4704">
            <v>12</v>
          </cell>
          <cell r="G4704">
            <v>1997</v>
          </cell>
          <cell r="H4704">
            <v>20</v>
          </cell>
          <cell r="I4704">
            <v>376362000000</v>
          </cell>
        </row>
        <row r="4705">
          <cell r="A4705" t="str">
            <v>Sri Lanka</v>
          </cell>
          <cell r="B4705">
            <v>144</v>
          </cell>
          <cell r="C4705">
            <v>203</v>
          </cell>
          <cell r="D4705">
            <v>11</v>
          </cell>
          <cell r="E4705" t="str">
            <v>OPERATING SURPLUS, GROSS</v>
          </cell>
          <cell r="F4705">
            <v>12</v>
          </cell>
          <cell r="G4705">
            <v>1998</v>
          </cell>
          <cell r="H4705">
            <v>20</v>
          </cell>
          <cell r="I4705">
            <v>433289000000</v>
          </cell>
        </row>
        <row r="4706">
          <cell r="A4706" t="str">
            <v>Sri Lanka</v>
          </cell>
          <cell r="B4706">
            <v>144</v>
          </cell>
          <cell r="C4706">
            <v>203</v>
          </cell>
          <cell r="D4706">
            <v>11</v>
          </cell>
          <cell r="E4706" t="str">
            <v>OPERATING SURPLUS, GROSS</v>
          </cell>
          <cell r="F4706">
            <v>12</v>
          </cell>
          <cell r="G4706">
            <v>1998</v>
          </cell>
          <cell r="H4706">
            <v>100</v>
          </cell>
          <cell r="I4706">
            <v>436656000000</v>
          </cell>
        </row>
        <row r="4707">
          <cell r="A4707" t="str">
            <v>Sri Lanka</v>
          </cell>
          <cell r="B4707">
            <v>144</v>
          </cell>
          <cell r="C4707">
            <v>203</v>
          </cell>
          <cell r="D4707">
            <v>11</v>
          </cell>
          <cell r="E4707" t="str">
            <v>OPERATING SURPLUS, GROSS</v>
          </cell>
          <cell r="F4707">
            <v>12</v>
          </cell>
          <cell r="G4707">
            <v>1999</v>
          </cell>
          <cell r="H4707">
            <v>100</v>
          </cell>
          <cell r="I4707">
            <v>475819000000</v>
          </cell>
        </row>
        <row r="4708">
          <cell r="A4708" t="str">
            <v>Sri Lanka</v>
          </cell>
          <cell r="B4708">
            <v>144</v>
          </cell>
          <cell r="C4708">
            <v>203</v>
          </cell>
          <cell r="D4708">
            <v>11</v>
          </cell>
          <cell r="E4708" t="str">
            <v>OPERATING SURPLUS, GROSS</v>
          </cell>
          <cell r="F4708">
            <v>12</v>
          </cell>
          <cell r="G4708">
            <v>2000</v>
          </cell>
          <cell r="H4708">
            <v>100</v>
          </cell>
          <cell r="I4708">
            <v>538132000000</v>
          </cell>
        </row>
        <row r="4709">
          <cell r="A4709" t="str">
            <v>Sri Lanka</v>
          </cell>
          <cell r="B4709">
            <v>144</v>
          </cell>
          <cell r="C4709">
            <v>203</v>
          </cell>
          <cell r="D4709">
            <v>11</v>
          </cell>
          <cell r="E4709" t="str">
            <v>OPERATING SURPLUS, GROSS</v>
          </cell>
          <cell r="F4709">
            <v>12</v>
          </cell>
          <cell r="G4709">
            <v>2001</v>
          </cell>
          <cell r="H4709">
            <v>100</v>
          </cell>
          <cell r="I4709">
            <v>599048000000</v>
          </cell>
        </row>
        <row r="4710">
          <cell r="A4710" t="str">
            <v>Sri Lanka</v>
          </cell>
          <cell r="B4710">
            <v>144</v>
          </cell>
          <cell r="C4710">
            <v>203</v>
          </cell>
          <cell r="D4710">
            <v>11</v>
          </cell>
          <cell r="E4710" t="str">
            <v>OPERATING SURPLUS, GROSS</v>
          </cell>
          <cell r="F4710">
            <v>12</v>
          </cell>
          <cell r="G4710">
            <v>2002</v>
          </cell>
          <cell r="H4710">
            <v>100</v>
          </cell>
          <cell r="I4710">
            <v>673982000000</v>
          </cell>
        </row>
        <row r="4711">
          <cell r="A4711" t="str">
            <v>Sri Lanka</v>
          </cell>
          <cell r="B4711">
            <v>144</v>
          </cell>
          <cell r="C4711">
            <v>203</v>
          </cell>
          <cell r="D4711">
            <v>11</v>
          </cell>
          <cell r="E4711" t="str">
            <v>OPERATING SURPLUS, GROSS</v>
          </cell>
          <cell r="F4711">
            <v>12</v>
          </cell>
          <cell r="G4711">
            <v>2003</v>
          </cell>
          <cell r="H4711">
            <v>100</v>
          </cell>
          <cell r="I4711">
            <v>756134000000</v>
          </cell>
        </row>
        <row r="4712">
          <cell r="A4712" t="str">
            <v>Sri Lanka</v>
          </cell>
          <cell r="B4712">
            <v>144</v>
          </cell>
          <cell r="C4712">
            <v>203</v>
          </cell>
          <cell r="D4712">
            <v>22</v>
          </cell>
          <cell r="E4712" t="str">
            <v>Taxes on production and imports, less Subsidies</v>
          </cell>
          <cell r="F4712">
            <v>12</v>
          </cell>
          <cell r="G4712">
            <v>1983</v>
          </cell>
          <cell r="H4712">
            <v>20</v>
          </cell>
          <cell r="I4712">
            <v>15210400000</v>
          </cell>
        </row>
        <row r="4713">
          <cell r="A4713" t="str">
            <v>Sri Lanka</v>
          </cell>
          <cell r="B4713">
            <v>144</v>
          </cell>
          <cell r="C4713">
            <v>203</v>
          </cell>
          <cell r="D4713">
            <v>22</v>
          </cell>
          <cell r="E4713" t="str">
            <v>Taxes on production and imports, less Subsidies</v>
          </cell>
          <cell r="F4713">
            <v>12</v>
          </cell>
          <cell r="G4713">
            <v>1984</v>
          </cell>
          <cell r="H4713">
            <v>20</v>
          </cell>
          <cell r="I4713">
            <v>23101000000</v>
          </cell>
        </row>
        <row r="4714">
          <cell r="A4714" t="str">
            <v>Sri Lanka</v>
          </cell>
          <cell r="B4714">
            <v>144</v>
          </cell>
          <cell r="C4714">
            <v>203</v>
          </cell>
          <cell r="D4714">
            <v>22</v>
          </cell>
          <cell r="E4714" t="str">
            <v>Taxes on production and imports, less Subsidies</v>
          </cell>
          <cell r="F4714">
            <v>12</v>
          </cell>
          <cell r="G4714">
            <v>1985</v>
          </cell>
          <cell r="H4714">
            <v>20</v>
          </cell>
          <cell r="I4714">
            <v>22481000000</v>
          </cell>
        </row>
        <row r="4715">
          <cell r="A4715" t="str">
            <v>Sri Lanka</v>
          </cell>
          <cell r="B4715">
            <v>144</v>
          </cell>
          <cell r="C4715">
            <v>203</v>
          </cell>
          <cell r="D4715">
            <v>22</v>
          </cell>
          <cell r="E4715" t="str">
            <v>Taxes on production and imports, less Subsidies</v>
          </cell>
          <cell r="F4715">
            <v>12</v>
          </cell>
          <cell r="G4715">
            <v>1986</v>
          </cell>
          <cell r="H4715">
            <v>20</v>
          </cell>
          <cell r="I4715">
            <v>24318000000</v>
          </cell>
        </row>
        <row r="4716">
          <cell r="A4716" t="str">
            <v>Sri Lanka</v>
          </cell>
          <cell r="B4716">
            <v>144</v>
          </cell>
          <cell r="C4716">
            <v>203</v>
          </cell>
          <cell r="D4716">
            <v>22</v>
          </cell>
          <cell r="E4716" t="str">
            <v>Taxes on production and imports, less Subsidies</v>
          </cell>
          <cell r="F4716">
            <v>12</v>
          </cell>
          <cell r="G4716">
            <v>1987</v>
          </cell>
          <cell r="H4716">
            <v>20</v>
          </cell>
          <cell r="I4716">
            <v>27223000000</v>
          </cell>
        </row>
        <row r="4717">
          <cell r="A4717" t="str">
            <v>Sri Lanka</v>
          </cell>
          <cell r="B4717">
            <v>144</v>
          </cell>
          <cell r="C4717">
            <v>203</v>
          </cell>
          <cell r="D4717">
            <v>22</v>
          </cell>
          <cell r="E4717" t="str">
            <v>Taxes on production and imports, less Subsidies</v>
          </cell>
          <cell r="F4717">
            <v>12</v>
          </cell>
          <cell r="G4717">
            <v>1988</v>
          </cell>
          <cell r="H4717">
            <v>20</v>
          </cell>
          <cell r="I4717">
            <v>28242000000</v>
          </cell>
        </row>
        <row r="4718">
          <cell r="A4718" t="str">
            <v>Sri Lanka</v>
          </cell>
          <cell r="B4718">
            <v>144</v>
          </cell>
          <cell r="C4718">
            <v>203</v>
          </cell>
          <cell r="D4718">
            <v>22</v>
          </cell>
          <cell r="E4718" t="str">
            <v>Taxes on production and imports, less Subsidies</v>
          </cell>
          <cell r="F4718">
            <v>12</v>
          </cell>
          <cell r="G4718">
            <v>1989</v>
          </cell>
          <cell r="H4718">
            <v>20</v>
          </cell>
          <cell r="I4718">
            <v>20103000000</v>
          </cell>
        </row>
        <row r="4719">
          <cell r="A4719" t="str">
            <v>Sri Lanka</v>
          </cell>
          <cell r="B4719">
            <v>144</v>
          </cell>
          <cell r="C4719">
            <v>203</v>
          </cell>
          <cell r="D4719">
            <v>22</v>
          </cell>
          <cell r="E4719" t="str">
            <v>Taxes on production and imports, less Subsidies</v>
          </cell>
          <cell r="F4719">
            <v>12</v>
          </cell>
          <cell r="G4719">
            <v>1990</v>
          </cell>
          <cell r="H4719">
            <v>20</v>
          </cell>
          <cell r="I4719">
            <v>26930000000</v>
          </cell>
        </row>
        <row r="4720">
          <cell r="A4720" t="str">
            <v>Sri Lanka</v>
          </cell>
          <cell r="B4720">
            <v>144</v>
          </cell>
          <cell r="C4720">
            <v>203</v>
          </cell>
          <cell r="D4720">
            <v>22</v>
          </cell>
          <cell r="E4720" t="str">
            <v>Taxes on production and imports, less Subsidies</v>
          </cell>
          <cell r="F4720">
            <v>12</v>
          </cell>
          <cell r="G4720">
            <v>1991</v>
          </cell>
          <cell r="H4720">
            <v>20</v>
          </cell>
          <cell r="I4720">
            <v>27256000000</v>
          </cell>
        </row>
        <row r="4721">
          <cell r="A4721" t="str">
            <v>Sri Lanka</v>
          </cell>
          <cell r="B4721">
            <v>144</v>
          </cell>
          <cell r="C4721">
            <v>203</v>
          </cell>
          <cell r="D4721">
            <v>22</v>
          </cell>
          <cell r="E4721" t="str">
            <v>Taxes on production and imports, less Subsidies</v>
          </cell>
          <cell r="F4721">
            <v>12</v>
          </cell>
          <cell r="G4721">
            <v>1992</v>
          </cell>
          <cell r="H4721">
            <v>20</v>
          </cell>
          <cell r="I4721">
            <v>36262000000</v>
          </cell>
        </row>
        <row r="4722">
          <cell r="A4722" t="str">
            <v>Sri Lanka</v>
          </cell>
          <cell r="B4722">
            <v>144</v>
          </cell>
          <cell r="C4722">
            <v>203</v>
          </cell>
          <cell r="D4722">
            <v>22</v>
          </cell>
          <cell r="E4722" t="str">
            <v>Taxes on production and imports, less Subsidies</v>
          </cell>
          <cell r="F4722">
            <v>12</v>
          </cell>
          <cell r="G4722">
            <v>1993</v>
          </cell>
          <cell r="H4722">
            <v>20</v>
          </cell>
          <cell r="I4722">
            <v>47396000000</v>
          </cell>
        </row>
        <row r="4723">
          <cell r="A4723" t="str">
            <v>Sri Lanka</v>
          </cell>
          <cell r="B4723">
            <v>144</v>
          </cell>
          <cell r="C4723">
            <v>203</v>
          </cell>
          <cell r="D4723">
            <v>22</v>
          </cell>
          <cell r="E4723" t="str">
            <v>Taxes on production and imports, less Subsidies</v>
          </cell>
          <cell r="F4723">
            <v>12</v>
          </cell>
          <cell r="G4723">
            <v>1994</v>
          </cell>
          <cell r="H4723">
            <v>20</v>
          </cell>
          <cell r="I4723">
            <v>50018000000</v>
          </cell>
        </row>
        <row r="4724">
          <cell r="A4724" t="str">
            <v>Sri Lanka</v>
          </cell>
          <cell r="B4724">
            <v>144</v>
          </cell>
          <cell r="C4724">
            <v>203</v>
          </cell>
          <cell r="D4724">
            <v>22</v>
          </cell>
          <cell r="E4724" t="str">
            <v>Taxes on production and imports, less Subsidies</v>
          </cell>
          <cell r="F4724">
            <v>12</v>
          </cell>
          <cell r="G4724">
            <v>1995</v>
          </cell>
          <cell r="H4724">
            <v>20</v>
          </cell>
          <cell r="I4724">
            <v>66146000000</v>
          </cell>
        </row>
        <row r="4725">
          <cell r="A4725" t="str">
            <v>Sri Lanka</v>
          </cell>
          <cell r="B4725">
            <v>144</v>
          </cell>
          <cell r="C4725">
            <v>203</v>
          </cell>
          <cell r="D4725">
            <v>22</v>
          </cell>
          <cell r="E4725" t="str">
            <v>Taxes on production and imports, less Subsidies</v>
          </cell>
          <cell r="F4725">
            <v>12</v>
          </cell>
          <cell r="G4725">
            <v>1996</v>
          </cell>
          <cell r="H4725">
            <v>20</v>
          </cell>
          <cell r="I4725">
            <v>72623000000</v>
          </cell>
        </row>
        <row r="4726">
          <cell r="A4726" t="str">
            <v>Sri Lanka</v>
          </cell>
          <cell r="B4726">
            <v>144</v>
          </cell>
          <cell r="C4726">
            <v>203</v>
          </cell>
          <cell r="D4726">
            <v>22</v>
          </cell>
          <cell r="E4726" t="str">
            <v>Taxes on production and imports, less Subsidies</v>
          </cell>
          <cell r="F4726">
            <v>12</v>
          </cell>
          <cell r="G4726">
            <v>1997</v>
          </cell>
          <cell r="H4726">
            <v>20</v>
          </cell>
          <cell r="I4726">
            <v>82449000000</v>
          </cell>
        </row>
        <row r="4727">
          <cell r="A4727" t="str">
            <v>Sri Lanka</v>
          </cell>
          <cell r="B4727">
            <v>144</v>
          </cell>
          <cell r="C4727">
            <v>203</v>
          </cell>
          <cell r="D4727">
            <v>22</v>
          </cell>
          <cell r="E4727" t="str">
            <v>Taxes on production and imports, less Subsidies</v>
          </cell>
          <cell r="F4727">
            <v>12</v>
          </cell>
          <cell r="G4727">
            <v>1998</v>
          </cell>
          <cell r="H4727">
            <v>20</v>
          </cell>
          <cell r="I4727">
            <v>85668000000</v>
          </cell>
        </row>
        <row r="4728">
          <cell r="A4728" t="str">
            <v>Sri Lanka</v>
          </cell>
          <cell r="B4728">
            <v>144</v>
          </cell>
          <cell r="C4728">
            <v>203</v>
          </cell>
          <cell r="D4728">
            <v>22</v>
          </cell>
          <cell r="E4728" t="str">
            <v>Taxes on production and imports, less Subsidies</v>
          </cell>
          <cell r="F4728">
            <v>12</v>
          </cell>
          <cell r="G4728">
            <v>1998</v>
          </cell>
          <cell r="H4728">
            <v>100</v>
          </cell>
          <cell r="I4728">
            <v>112408000000</v>
          </cell>
        </row>
        <row r="4729">
          <cell r="A4729" t="str">
            <v>Sri Lanka</v>
          </cell>
          <cell r="B4729">
            <v>144</v>
          </cell>
          <cell r="C4729">
            <v>203</v>
          </cell>
          <cell r="D4729">
            <v>22</v>
          </cell>
          <cell r="E4729" t="str">
            <v>Taxes on production and imports, less Subsidies</v>
          </cell>
          <cell r="F4729">
            <v>12</v>
          </cell>
          <cell r="G4729">
            <v>1999</v>
          </cell>
          <cell r="H4729">
            <v>100</v>
          </cell>
          <cell r="I4729">
            <v>121669000000</v>
          </cell>
        </row>
        <row r="4730">
          <cell r="A4730" t="str">
            <v>Sri Lanka</v>
          </cell>
          <cell r="B4730">
            <v>144</v>
          </cell>
          <cell r="C4730">
            <v>203</v>
          </cell>
          <cell r="D4730">
            <v>22</v>
          </cell>
          <cell r="E4730" t="str">
            <v>Taxes on production and imports, less Subsidies</v>
          </cell>
          <cell r="F4730">
            <v>12</v>
          </cell>
          <cell r="G4730">
            <v>2000</v>
          </cell>
          <cell r="H4730">
            <v>100</v>
          </cell>
          <cell r="I4730">
            <v>137167000000</v>
          </cell>
        </row>
        <row r="4731">
          <cell r="A4731" t="str">
            <v>Sri Lanka</v>
          </cell>
          <cell r="B4731">
            <v>144</v>
          </cell>
          <cell r="C4731">
            <v>203</v>
          </cell>
          <cell r="D4731">
            <v>22</v>
          </cell>
          <cell r="E4731" t="str">
            <v>Taxes on production and imports, less Subsidies</v>
          </cell>
          <cell r="F4731">
            <v>12</v>
          </cell>
          <cell r="G4731">
            <v>2001</v>
          </cell>
          <cell r="H4731">
            <v>100</v>
          </cell>
          <cell r="I4731">
            <v>153475000000</v>
          </cell>
        </row>
        <row r="4732">
          <cell r="A4732" t="str">
            <v>Sri Lanka</v>
          </cell>
          <cell r="B4732">
            <v>144</v>
          </cell>
          <cell r="C4732">
            <v>203</v>
          </cell>
          <cell r="D4732">
            <v>22</v>
          </cell>
          <cell r="E4732" t="str">
            <v>Taxes on production and imports, less Subsidies</v>
          </cell>
          <cell r="F4732">
            <v>12</v>
          </cell>
          <cell r="G4732">
            <v>2002</v>
          </cell>
          <cell r="H4732">
            <v>100</v>
          </cell>
          <cell r="I4732">
            <v>171914000000</v>
          </cell>
        </row>
        <row r="4733">
          <cell r="A4733" t="str">
            <v>Sri Lanka</v>
          </cell>
          <cell r="B4733">
            <v>144</v>
          </cell>
          <cell r="C4733">
            <v>203</v>
          </cell>
          <cell r="D4733">
            <v>22</v>
          </cell>
          <cell r="E4733" t="str">
            <v>Taxes on production and imports, less Subsidies</v>
          </cell>
          <cell r="F4733">
            <v>12</v>
          </cell>
          <cell r="G4733">
            <v>2003</v>
          </cell>
          <cell r="H4733">
            <v>100</v>
          </cell>
          <cell r="I4733">
            <v>180032000000</v>
          </cell>
        </row>
        <row r="4734">
          <cell r="A4734" t="str">
            <v>Congo</v>
          </cell>
          <cell r="B4734">
            <v>178</v>
          </cell>
          <cell r="C4734">
            <v>201</v>
          </cell>
          <cell r="D4734">
            <v>13</v>
          </cell>
          <cell r="E4734" t="str">
            <v>Less: Financial intermediation services indirectly measured (FISIM) (only to be deducted if FISIM is not distributed to uses)</v>
          </cell>
          <cell r="F4734">
            <v>0</v>
          </cell>
          <cell r="G4734">
            <v>1978</v>
          </cell>
          <cell r="H4734">
            <v>10</v>
          </cell>
          <cell r="I4734">
            <v>2024000000</v>
          </cell>
        </row>
        <row r="4735">
          <cell r="A4735" t="str">
            <v>Congo</v>
          </cell>
          <cell r="B4735">
            <v>178</v>
          </cell>
          <cell r="C4735">
            <v>201</v>
          </cell>
          <cell r="D4735">
            <v>13</v>
          </cell>
          <cell r="E4735" t="str">
            <v>Less: Financial intermediation services indirectly measured (FISIM) (only to be deducted if FISIM is not distributed to uses)</v>
          </cell>
          <cell r="F4735">
            <v>0</v>
          </cell>
          <cell r="G4735">
            <v>1979</v>
          </cell>
          <cell r="H4735">
            <v>10</v>
          </cell>
          <cell r="I4735">
            <v>2429000000</v>
          </cell>
        </row>
        <row r="4736">
          <cell r="A4736" t="str">
            <v>Congo</v>
          </cell>
          <cell r="B4736">
            <v>178</v>
          </cell>
          <cell r="C4736">
            <v>201</v>
          </cell>
          <cell r="D4736">
            <v>13</v>
          </cell>
          <cell r="E4736" t="str">
            <v>Less: Financial intermediation services indirectly measured (FISIM) (only to be deducted if FISIM is not distributed to uses)</v>
          </cell>
          <cell r="F4736">
            <v>0</v>
          </cell>
          <cell r="G4736">
            <v>1980</v>
          </cell>
          <cell r="H4736">
            <v>10</v>
          </cell>
          <cell r="I4736">
            <v>7178000000</v>
          </cell>
        </row>
        <row r="4737">
          <cell r="A4737" t="str">
            <v>Congo</v>
          </cell>
          <cell r="B4737">
            <v>178</v>
          </cell>
          <cell r="C4737">
            <v>201</v>
          </cell>
          <cell r="D4737">
            <v>13</v>
          </cell>
          <cell r="E4737" t="str">
            <v>Less: Financial intermediation services indirectly measured (FISIM) (only to be deducted if FISIM is not distributed to uses)</v>
          </cell>
          <cell r="F4737">
            <v>0</v>
          </cell>
          <cell r="G4737">
            <v>1981</v>
          </cell>
          <cell r="H4737">
            <v>10</v>
          </cell>
          <cell r="I4737">
            <v>10286000000</v>
          </cell>
        </row>
        <row r="4738">
          <cell r="A4738" t="str">
            <v>Congo</v>
          </cell>
          <cell r="B4738">
            <v>178</v>
          </cell>
          <cell r="C4738">
            <v>201</v>
          </cell>
          <cell r="D4738">
            <v>13</v>
          </cell>
          <cell r="E4738" t="str">
            <v>Less: Financial intermediation services indirectly measured (FISIM) (only to be deducted if FISIM is not distributed to uses)</v>
          </cell>
          <cell r="F4738">
            <v>0</v>
          </cell>
          <cell r="G4738">
            <v>1982</v>
          </cell>
          <cell r="H4738">
            <v>10</v>
          </cell>
          <cell r="I4738">
            <v>15501000000</v>
          </cell>
        </row>
        <row r="4739">
          <cell r="A4739" t="str">
            <v>Congo</v>
          </cell>
          <cell r="B4739">
            <v>178</v>
          </cell>
          <cell r="C4739">
            <v>201</v>
          </cell>
          <cell r="D4739">
            <v>13</v>
          </cell>
          <cell r="E4739" t="str">
            <v>Less: Financial intermediation services indirectly measured (FISIM) (only to be deducted if FISIM is not distributed to uses)</v>
          </cell>
          <cell r="F4739">
            <v>0</v>
          </cell>
          <cell r="G4739">
            <v>1983</v>
          </cell>
          <cell r="H4739">
            <v>10</v>
          </cell>
          <cell r="I4739">
            <v>14711000000</v>
          </cell>
        </row>
        <row r="4740">
          <cell r="A4740" t="str">
            <v>Congo</v>
          </cell>
          <cell r="B4740">
            <v>178</v>
          </cell>
          <cell r="C4740">
            <v>201</v>
          </cell>
          <cell r="D4740">
            <v>13</v>
          </cell>
          <cell r="E4740" t="str">
            <v>Less: Financial intermediation services indirectly measured (FISIM) (only to be deducted if FISIM is not distributed to uses)</v>
          </cell>
          <cell r="F4740">
            <v>0</v>
          </cell>
          <cell r="G4740">
            <v>1984</v>
          </cell>
          <cell r="H4740">
            <v>10</v>
          </cell>
          <cell r="I4740">
            <v>13730000000</v>
          </cell>
        </row>
        <row r="4741">
          <cell r="A4741" t="str">
            <v>Congo</v>
          </cell>
          <cell r="B4741">
            <v>178</v>
          </cell>
          <cell r="C4741">
            <v>201</v>
          </cell>
          <cell r="D4741">
            <v>13</v>
          </cell>
          <cell r="E4741" t="str">
            <v>Less: Financial intermediation services indirectly measured (FISIM) (only to be deducted if FISIM is not distributed to uses)</v>
          </cell>
          <cell r="F4741">
            <v>0</v>
          </cell>
          <cell r="G4741">
            <v>1985</v>
          </cell>
          <cell r="H4741">
            <v>10</v>
          </cell>
          <cell r="I4741">
            <v>16054000000</v>
          </cell>
        </row>
        <row r="4742">
          <cell r="A4742" t="str">
            <v>Congo</v>
          </cell>
          <cell r="B4742">
            <v>178</v>
          </cell>
          <cell r="C4742">
            <v>201</v>
          </cell>
          <cell r="D4742">
            <v>13</v>
          </cell>
          <cell r="E4742" t="str">
            <v>Less: Financial intermediation services indirectly measured (FISIM) (only to be deducted if FISIM is not distributed to uses)</v>
          </cell>
          <cell r="F4742">
            <v>0</v>
          </cell>
          <cell r="G4742">
            <v>1986</v>
          </cell>
          <cell r="H4742">
            <v>10</v>
          </cell>
          <cell r="I4742">
            <v>16466000000</v>
          </cell>
        </row>
        <row r="4743">
          <cell r="A4743" t="str">
            <v>Congo</v>
          </cell>
          <cell r="B4743">
            <v>178</v>
          </cell>
          <cell r="C4743">
            <v>201</v>
          </cell>
          <cell r="D4743">
            <v>13</v>
          </cell>
          <cell r="E4743" t="str">
            <v>Less: Financial intermediation services indirectly measured (FISIM) (only to be deducted if FISIM is not distributed to uses)</v>
          </cell>
          <cell r="F4743">
            <v>0</v>
          </cell>
          <cell r="G4743">
            <v>1987</v>
          </cell>
          <cell r="H4743">
            <v>10</v>
          </cell>
          <cell r="I4743">
            <v>13116000000</v>
          </cell>
        </row>
        <row r="4744">
          <cell r="A4744" t="str">
            <v>Congo</v>
          </cell>
          <cell r="B4744">
            <v>178</v>
          </cell>
          <cell r="C4744">
            <v>201</v>
          </cell>
          <cell r="D4744">
            <v>13</v>
          </cell>
          <cell r="E4744" t="str">
            <v>Less: Financial intermediation services indirectly measured (FISIM) (only to be deducted if FISIM is not distributed to uses)</v>
          </cell>
          <cell r="F4744">
            <v>0</v>
          </cell>
          <cell r="G4744">
            <v>1988</v>
          </cell>
          <cell r="H4744">
            <v>10</v>
          </cell>
          <cell r="I4744">
            <v>13054000000</v>
          </cell>
        </row>
        <row r="4745">
          <cell r="A4745" t="str">
            <v>Congo</v>
          </cell>
          <cell r="B4745">
            <v>178</v>
          </cell>
          <cell r="C4745">
            <v>201</v>
          </cell>
          <cell r="D4745">
            <v>13</v>
          </cell>
          <cell r="E4745" t="str">
            <v>Less: Financial intermediation services indirectly measured (FISIM) (only to be deducted if FISIM is not distributed to uses)</v>
          </cell>
          <cell r="F4745">
            <v>0</v>
          </cell>
          <cell r="G4745">
            <v>1989</v>
          </cell>
          <cell r="H4745">
            <v>10</v>
          </cell>
          <cell r="I4745">
            <v>12500000000</v>
          </cell>
        </row>
        <row r="4746">
          <cell r="A4746" t="str">
            <v>Iceland</v>
          </cell>
          <cell r="B4746">
            <v>352</v>
          </cell>
          <cell r="C4746">
            <v>203</v>
          </cell>
          <cell r="D4746">
            <v>3</v>
          </cell>
          <cell r="E4746" t="str">
            <v>Equals: VALUE ADDED, GROSS, at basic prices</v>
          </cell>
          <cell r="F4746">
            <v>12</v>
          </cell>
          <cell r="G4746">
            <v>1973</v>
          </cell>
          <cell r="H4746">
            <v>30</v>
          </cell>
          <cell r="I4746">
            <v>889000000</v>
          </cell>
        </row>
        <row r="4747">
          <cell r="A4747" t="str">
            <v>Iceland</v>
          </cell>
          <cell r="B4747">
            <v>352</v>
          </cell>
          <cell r="C4747">
            <v>203</v>
          </cell>
          <cell r="D4747">
            <v>3</v>
          </cell>
          <cell r="E4747" t="str">
            <v>Equals: VALUE ADDED, GROSS, at basic prices</v>
          </cell>
          <cell r="F4747">
            <v>12</v>
          </cell>
          <cell r="G4747">
            <v>1974</v>
          </cell>
          <cell r="H4747">
            <v>30</v>
          </cell>
          <cell r="I4747">
            <v>1282000000</v>
          </cell>
        </row>
        <row r="4748">
          <cell r="A4748" t="str">
            <v>Iceland</v>
          </cell>
          <cell r="B4748">
            <v>352</v>
          </cell>
          <cell r="C4748">
            <v>203</v>
          </cell>
          <cell r="D4748">
            <v>3</v>
          </cell>
          <cell r="E4748" t="str">
            <v>Equals: VALUE ADDED, GROSS, at basic prices</v>
          </cell>
          <cell r="F4748">
            <v>12</v>
          </cell>
          <cell r="G4748">
            <v>1975</v>
          </cell>
          <cell r="H4748">
            <v>30</v>
          </cell>
          <cell r="I4748">
            <v>1826000000</v>
          </cell>
        </row>
        <row r="4749">
          <cell r="A4749" t="str">
            <v>Iceland</v>
          </cell>
          <cell r="B4749">
            <v>352</v>
          </cell>
          <cell r="C4749">
            <v>203</v>
          </cell>
          <cell r="D4749">
            <v>3</v>
          </cell>
          <cell r="E4749" t="str">
            <v>Equals: VALUE ADDED, GROSS, at basic prices</v>
          </cell>
          <cell r="F4749">
            <v>12</v>
          </cell>
          <cell r="G4749">
            <v>1976</v>
          </cell>
          <cell r="H4749">
            <v>30</v>
          </cell>
          <cell r="I4749">
            <v>2558000000</v>
          </cell>
        </row>
        <row r="4750">
          <cell r="A4750" t="str">
            <v>Iceland</v>
          </cell>
          <cell r="B4750">
            <v>352</v>
          </cell>
          <cell r="C4750">
            <v>203</v>
          </cell>
          <cell r="D4750">
            <v>3</v>
          </cell>
          <cell r="E4750" t="str">
            <v>Equals: VALUE ADDED, GROSS, at basic prices</v>
          </cell>
          <cell r="F4750">
            <v>12</v>
          </cell>
          <cell r="G4750">
            <v>1977</v>
          </cell>
          <cell r="H4750">
            <v>30</v>
          </cell>
          <cell r="I4750">
            <v>3625000000</v>
          </cell>
        </row>
        <row r="4751">
          <cell r="A4751" t="str">
            <v>Iceland</v>
          </cell>
          <cell r="B4751">
            <v>352</v>
          </cell>
          <cell r="C4751">
            <v>203</v>
          </cell>
          <cell r="D4751">
            <v>3</v>
          </cell>
          <cell r="E4751" t="str">
            <v>Equals: VALUE ADDED, GROSS, at basic prices</v>
          </cell>
          <cell r="F4751">
            <v>12</v>
          </cell>
          <cell r="G4751">
            <v>1978</v>
          </cell>
          <cell r="H4751">
            <v>30</v>
          </cell>
          <cell r="I4751">
            <v>5618000000</v>
          </cell>
        </row>
        <row r="4752">
          <cell r="A4752" t="str">
            <v>Iceland</v>
          </cell>
          <cell r="B4752">
            <v>352</v>
          </cell>
          <cell r="C4752">
            <v>203</v>
          </cell>
          <cell r="D4752">
            <v>3</v>
          </cell>
          <cell r="E4752" t="str">
            <v>Equals: VALUE ADDED, GROSS, at basic prices</v>
          </cell>
          <cell r="F4752">
            <v>12</v>
          </cell>
          <cell r="G4752">
            <v>1979</v>
          </cell>
          <cell r="H4752">
            <v>30</v>
          </cell>
          <cell r="I4752">
            <v>8421000000</v>
          </cell>
        </row>
        <row r="4753">
          <cell r="A4753" t="str">
            <v>Iceland</v>
          </cell>
          <cell r="B4753">
            <v>352</v>
          </cell>
          <cell r="C4753">
            <v>203</v>
          </cell>
          <cell r="D4753">
            <v>3</v>
          </cell>
          <cell r="E4753" t="str">
            <v>Equals: VALUE ADDED, GROSS, at basic prices</v>
          </cell>
          <cell r="F4753">
            <v>12</v>
          </cell>
          <cell r="G4753">
            <v>1980</v>
          </cell>
          <cell r="H4753">
            <v>30</v>
          </cell>
          <cell r="I4753">
            <v>13825000000</v>
          </cell>
        </row>
        <row r="4754">
          <cell r="A4754" t="str">
            <v>Iceland</v>
          </cell>
          <cell r="B4754">
            <v>352</v>
          </cell>
          <cell r="C4754">
            <v>203</v>
          </cell>
          <cell r="D4754">
            <v>3</v>
          </cell>
          <cell r="E4754" t="str">
            <v>Equals: VALUE ADDED, GROSS, at basic prices</v>
          </cell>
          <cell r="F4754">
            <v>12</v>
          </cell>
          <cell r="G4754">
            <v>1980</v>
          </cell>
          <cell r="H4754">
            <v>40</v>
          </cell>
          <cell r="I4754">
            <v>14045210000</v>
          </cell>
        </row>
        <row r="4755">
          <cell r="A4755" t="str">
            <v>Iceland</v>
          </cell>
          <cell r="B4755">
            <v>352</v>
          </cell>
          <cell r="C4755">
            <v>203</v>
          </cell>
          <cell r="D4755">
            <v>3</v>
          </cell>
          <cell r="E4755" t="str">
            <v>Equals: VALUE ADDED, GROSS, at basic prices</v>
          </cell>
          <cell r="F4755">
            <v>12</v>
          </cell>
          <cell r="G4755">
            <v>1981</v>
          </cell>
          <cell r="H4755">
            <v>40</v>
          </cell>
          <cell r="I4755">
            <v>21690990000</v>
          </cell>
        </row>
        <row r="4756">
          <cell r="A4756" t="str">
            <v>Iceland</v>
          </cell>
          <cell r="B4756">
            <v>352</v>
          </cell>
          <cell r="C4756">
            <v>203</v>
          </cell>
          <cell r="D4756">
            <v>3</v>
          </cell>
          <cell r="E4756" t="str">
            <v>Equals: VALUE ADDED, GROSS, at basic prices</v>
          </cell>
          <cell r="F4756">
            <v>12</v>
          </cell>
          <cell r="G4756">
            <v>1982</v>
          </cell>
          <cell r="H4756">
            <v>40</v>
          </cell>
          <cell r="I4756">
            <v>34565260000</v>
          </cell>
        </row>
        <row r="4757">
          <cell r="A4757" t="str">
            <v>Iceland</v>
          </cell>
          <cell r="B4757">
            <v>352</v>
          </cell>
          <cell r="C4757">
            <v>203</v>
          </cell>
          <cell r="D4757">
            <v>3</v>
          </cell>
          <cell r="E4757" t="str">
            <v>Equals: VALUE ADDED, GROSS, at basic prices</v>
          </cell>
          <cell r="F4757">
            <v>12</v>
          </cell>
          <cell r="G4757">
            <v>1983</v>
          </cell>
          <cell r="H4757">
            <v>40</v>
          </cell>
          <cell r="I4757">
            <v>60617540000</v>
          </cell>
        </row>
        <row r="4758">
          <cell r="A4758" t="str">
            <v>Iceland</v>
          </cell>
          <cell r="B4758">
            <v>352</v>
          </cell>
          <cell r="C4758">
            <v>203</v>
          </cell>
          <cell r="D4758">
            <v>3</v>
          </cell>
          <cell r="E4758" t="str">
            <v>Equals: VALUE ADDED, GROSS, at basic prices</v>
          </cell>
          <cell r="F4758">
            <v>12</v>
          </cell>
          <cell r="G4758">
            <v>1984</v>
          </cell>
          <cell r="H4758">
            <v>40</v>
          </cell>
          <cell r="I4758">
            <v>80956630000</v>
          </cell>
        </row>
        <row r="4759">
          <cell r="A4759" t="str">
            <v>Iceland</v>
          </cell>
          <cell r="B4759">
            <v>352</v>
          </cell>
          <cell r="C4759">
            <v>203</v>
          </cell>
          <cell r="D4759">
            <v>3</v>
          </cell>
          <cell r="E4759" t="str">
            <v>Equals: VALUE ADDED, GROSS, at basic prices</v>
          </cell>
          <cell r="F4759">
            <v>12</v>
          </cell>
          <cell r="G4759">
            <v>1985</v>
          </cell>
          <cell r="H4759">
            <v>40</v>
          </cell>
          <cell r="I4759">
            <v>110357730000</v>
          </cell>
        </row>
        <row r="4760">
          <cell r="A4760" t="str">
            <v>Iceland</v>
          </cell>
          <cell r="B4760">
            <v>352</v>
          </cell>
          <cell r="C4760">
            <v>203</v>
          </cell>
          <cell r="D4760">
            <v>3</v>
          </cell>
          <cell r="E4760" t="str">
            <v>Equals: VALUE ADDED, GROSS, at basic prices</v>
          </cell>
          <cell r="F4760">
            <v>12</v>
          </cell>
          <cell r="G4760">
            <v>1986</v>
          </cell>
          <cell r="H4760">
            <v>40</v>
          </cell>
          <cell r="I4760">
            <v>143182850000</v>
          </cell>
        </row>
        <row r="4761">
          <cell r="A4761" t="str">
            <v>Iceland</v>
          </cell>
          <cell r="B4761">
            <v>352</v>
          </cell>
          <cell r="C4761">
            <v>203</v>
          </cell>
          <cell r="D4761">
            <v>3</v>
          </cell>
          <cell r="E4761" t="str">
            <v>Equals: VALUE ADDED, GROSS, at basic prices</v>
          </cell>
          <cell r="F4761">
            <v>12</v>
          </cell>
          <cell r="G4761">
            <v>1987</v>
          </cell>
          <cell r="H4761">
            <v>40</v>
          </cell>
          <cell r="I4761">
            <v>199317970000</v>
          </cell>
        </row>
        <row r="4762">
          <cell r="A4762" t="str">
            <v>Iceland</v>
          </cell>
          <cell r="B4762">
            <v>352</v>
          </cell>
          <cell r="C4762">
            <v>203</v>
          </cell>
          <cell r="D4762">
            <v>3</v>
          </cell>
          <cell r="E4762" t="str">
            <v>Equals: VALUE ADDED, GROSS, at basic prices</v>
          </cell>
          <cell r="F4762">
            <v>12</v>
          </cell>
          <cell r="G4762">
            <v>1988</v>
          </cell>
          <cell r="H4762">
            <v>40</v>
          </cell>
          <cell r="I4762">
            <v>245897033000</v>
          </cell>
        </row>
        <row r="4763">
          <cell r="A4763" t="str">
            <v>Iceland</v>
          </cell>
          <cell r="B4763">
            <v>352</v>
          </cell>
          <cell r="C4763">
            <v>203</v>
          </cell>
          <cell r="D4763">
            <v>3</v>
          </cell>
          <cell r="E4763" t="str">
            <v>Equals: VALUE ADDED, GROSS, at basic prices</v>
          </cell>
          <cell r="F4763">
            <v>12</v>
          </cell>
          <cell r="G4763">
            <v>1989</v>
          </cell>
          <cell r="H4763">
            <v>40</v>
          </cell>
          <cell r="I4763">
            <v>292716359000</v>
          </cell>
        </row>
        <row r="4764">
          <cell r="A4764" t="str">
            <v>Iceland</v>
          </cell>
          <cell r="B4764">
            <v>352</v>
          </cell>
          <cell r="C4764">
            <v>203</v>
          </cell>
          <cell r="D4764">
            <v>3</v>
          </cell>
          <cell r="E4764" t="str">
            <v>Equals: VALUE ADDED, GROSS, at basic prices</v>
          </cell>
          <cell r="F4764">
            <v>12</v>
          </cell>
          <cell r="G4764">
            <v>1990</v>
          </cell>
          <cell r="H4764">
            <v>40</v>
          </cell>
          <cell r="I4764">
            <v>310881000000</v>
          </cell>
        </row>
        <row r="4765">
          <cell r="A4765" t="str">
            <v>Iceland</v>
          </cell>
          <cell r="B4765">
            <v>352</v>
          </cell>
          <cell r="C4765">
            <v>203</v>
          </cell>
          <cell r="D4765">
            <v>3</v>
          </cell>
          <cell r="E4765" t="str">
            <v>Equals: VALUE ADDED, GROSS, at basic prices</v>
          </cell>
          <cell r="F4765">
            <v>12</v>
          </cell>
          <cell r="G4765">
            <v>1990</v>
          </cell>
          <cell r="H4765">
            <v>100</v>
          </cell>
          <cell r="I4765">
            <v>318835090700</v>
          </cell>
        </row>
        <row r="4766">
          <cell r="A4766" t="str">
            <v>Iceland</v>
          </cell>
          <cell r="B4766">
            <v>352</v>
          </cell>
          <cell r="C4766">
            <v>203</v>
          </cell>
          <cell r="D4766">
            <v>3</v>
          </cell>
          <cell r="E4766" t="str">
            <v>Equals: VALUE ADDED, GROSS, at basic prices</v>
          </cell>
          <cell r="F4766">
            <v>12</v>
          </cell>
          <cell r="G4766">
            <v>1991</v>
          </cell>
          <cell r="H4766">
            <v>100</v>
          </cell>
          <cell r="I4766">
            <v>345129042700</v>
          </cell>
        </row>
        <row r="4767">
          <cell r="A4767" t="str">
            <v>Iceland</v>
          </cell>
          <cell r="B4767">
            <v>352</v>
          </cell>
          <cell r="C4767">
            <v>203</v>
          </cell>
          <cell r="D4767">
            <v>3</v>
          </cell>
          <cell r="E4767" t="str">
            <v>Equals: VALUE ADDED, GROSS, at basic prices</v>
          </cell>
          <cell r="F4767">
            <v>12</v>
          </cell>
          <cell r="G4767">
            <v>1992</v>
          </cell>
          <cell r="H4767">
            <v>100</v>
          </cell>
          <cell r="I4767">
            <v>350145267900</v>
          </cell>
        </row>
        <row r="4768">
          <cell r="A4768" t="str">
            <v>Iceland</v>
          </cell>
          <cell r="B4768">
            <v>352</v>
          </cell>
          <cell r="C4768">
            <v>203</v>
          </cell>
          <cell r="D4768">
            <v>3</v>
          </cell>
          <cell r="E4768" t="str">
            <v>Equals: VALUE ADDED, GROSS, at basic prices</v>
          </cell>
          <cell r="F4768">
            <v>12</v>
          </cell>
          <cell r="G4768">
            <v>1993</v>
          </cell>
          <cell r="H4768">
            <v>100</v>
          </cell>
          <cell r="I4768">
            <v>355393624000</v>
          </cell>
        </row>
        <row r="4769">
          <cell r="A4769" t="str">
            <v>Iceland</v>
          </cell>
          <cell r="B4769">
            <v>352</v>
          </cell>
          <cell r="C4769">
            <v>203</v>
          </cell>
          <cell r="D4769">
            <v>3</v>
          </cell>
          <cell r="E4769" t="str">
            <v>Equals: VALUE ADDED, GROSS, at basic prices</v>
          </cell>
          <cell r="F4769">
            <v>12</v>
          </cell>
          <cell r="G4769">
            <v>1994</v>
          </cell>
          <cell r="H4769">
            <v>100</v>
          </cell>
          <cell r="I4769">
            <v>378029953300</v>
          </cell>
        </row>
        <row r="4770">
          <cell r="A4770" t="str">
            <v>Iceland</v>
          </cell>
          <cell r="B4770">
            <v>352</v>
          </cell>
          <cell r="C4770">
            <v>203</v>
          </cell>
          <cell r="D4770">
            <v>3</v>
          </cell>
          <cell r="E4770" t="str">
            <v>Equals: VALUE ADDED, GROSS, at basic prices</v>
          </cell>
          <cell r="F4770">
            <v>12</v>
          </cell>
          <cell r="G4770">
            <v>1995</v>
          </cell>
          <cell r="H4770">
            <v>100</v>
          </cell>
          <cell r="I4770">
            <v>389573046000</v>
          </cell>
        </row>
        <row r="4771">
          <cell r="A4771" t="str">
            <v>Iceland</v>
          </cell>
          <cell r="B4771">
            <v>352</v>
          </cell>
          <cell r="C4771">
            <v>203</v>
          </cell>
          <cell r="D4771">
            <v>3</v>
          </cell>
          <cell r="E4771" t="str">
            <v>Equals: VALUE ADDED, GROSS, at basic prices</v>
          </cell>
          <cell r="F4771">
            <v>12</v>
          </cell>
          <cell r="G4771">
            <v>1996</v>
          </cell>
          <cell r="H4771">
            <v>100</v>
          </cell>
          <cell r="I4771">
            <v>416366241300</v>
          </cell>
        </row>
        <row r="4772">
          <cell r="A4772" t="str">
            <v>Iceland</v>
          </cell>
          <cell r="B4772">
            <v>352</v>
          </cell>
          <cell r="C4772">
            <v>203</v>
          </cell>
          <cell r="D4772">
            <v>3</v>
          </cell>
          <cell r="E4772" t="str">
            <v>Equals: VALUE ADDED, GROSS, at basic prices</v>
          </cell>
          <cell r="F4772">
            <v>12</v>
          </cell>
          <cell r="G4772">
            <v>1997</v>
          </cell>
          <cell r="H4772">
            <v>100</v>
          </cell>
          <cell r="I4772">
            <v>444893035900</v>
          </cell>
        </row>
        <row r="4773">
          <cell r="A4773" t="str">
            <v>Iceland</v>
          </cell>
          <cell r="B4773">
            <v>352</v>
          </cell>
          <cell r="C4773">
            <v>203</v>
          </cell>
          <cell r="D4773">
            <v>3</v>
          </cell>
          <cell r="E4773" t="str">
            <v>Equals: VALUE ADDED, GROSS, at basic prices</v>
          </cell>
          <cell r="F4773">
            <v>12</v>
          </cell>
          <cell r="G4773">
            <v>1997</v>
          </cell>
          <cell r="H4773">
            <v>200</v>
          </cell>
          <cell r="I4773">
            <v>454308949000</v>
          </cell>
        </row>
        <row r="4774">
          <cell r="A4774" t="str">
            <v>Iceland</v>
          </cell>
          <cell r="B4774">
            <v>352</v>
          </cell>
          <cell r="C4774">
            <v>203</v>
          </cell>
          <cell r="D4774">
            <v>3</v>
          </cell>
          <cell r="E4774" t="str">
            <v>Equals: VALUE ADDED, GROSS, at basic prices</v>
          </cell>
          <cell r="F4774">
            <v>12</v>
          </cell>
          <cell r="G4774">
            <v>1998</v>
          </cell>
          <cell r="H4774">
            <v>200</v>
          </cell>
          <cell r="I4774">
            <v>496710858500</v>
          </cell>
        </row>
        <row r="4775">
          <cell r="A4775" t="str">
            <v>Iceland</v>
          </cell>
          <cell r="B4775">
            <v>352</v>
          </cell>
          <cell r="C4775">
            <v>203</v>
          </cell>
          <cell r="D4775">
            <v>3</v>
          </cell>
          <cell r="E4775" t="str">
            <v>Equals: VALUE ADDED, GROSS, at basic prices</v>
          </cell>
          <cell r="F4775">
            <v>12</v>
          </cell>
          <cell r="G4775">
            <v>1999</v>
          </cell>
          <cell r="H4775">
            <v>200</v>
          </cell>
          <cell r="I4775">
            <v>529698674100</v>
          </cell>
        </row>
        <row r="4776">
          <cell r="A4776" t="str">
            <v>Iceland</v>
          </cell>
          <cell r="B4776">
            <v>352</v>
          </cell>
          <cell r="C4776">
            <v>203</v>
          </cell>
          <cell r="D4776">
            <v>3</v>
          </cell>
          <cell r="E4776" t="str">
            <v>Equals: VALUE ADDED, GROSS, at basic prices</v>
          </cell>
          <cell r="F4776">
            <v>12</v>
          </cell>
          <cell r="G4776">
            <v>2000</v>
          </cell>
          <cell r="H4776">
            <v>200</v>
          </cell>
          <cell r="I4776">
            <v>584320880100</v>
          </cell>
        </row>
        <row r="4777">
          <cell r="A4777" t="str">
            <v>Iceland</v>
          </cell>
          <cell r="B4777">
            <v>352</v>
          </cell>
          <cell r="C4777">
            <v>203</v>
          </cell>
          <cell r="D4777">
            <v>3</v>
          </cell>
          <cell r="E4777" t="str">
            <v>Equals: VALUE ADDED, GROSS, at basic prices</v>
          </cell>
          <cell r="F4777">
            <v>12</v>
          </cell>
          <cell r="G4777">
            <v>2001</v>
          </cell>
          <cell r="H4777">
            <v>200</v>
          </cell>
          <cell r="I4777">
            <v>676471235900</v>
          </cell>
        </row>
        <row r="4778">
          <cell r="A4778" t="str">
            <v>Costa Rica</v>
          </cell>
          <cell r="B4778">
            <v>188</v>
          </cell>
          <cell r="C4778">
            <v>201</v>
          </cell>
          <cell r="D4778">
            <v>13</v>
          </cell>
          <cell r="E4778" t="str">
            <v>Less: Financial intermediation services indirectly measured (FISIM) (only to be deducted if FISIM is not distributed to uses)</v>
          </cell>
          <cell r="F4778">
            <v>0</v>
          </cell>
          <cell r="G4778">
            <v>1991</v>
          </cell>
          <cell r="H4778">
            <v>100</v>
          </cell>
          <cell r="I4778">
            <v>14999000000</v>
          </cell>
        </row>
        <row r="4779">
          <cell r="A4779" t="str">
            <v>Costa Rica</v>
          </cell>
          <cell r="B4779">
            <v>188</v>
          </cell>
          <cell r="C4779">
            <v>201</v>
          </cell>
          <cell r="D4779">
            <v>13</v>
          </cell>
          <cell r="E4779" t="str">
            <v>Less: Financial intermediation services indirectly measured (FISIM) (only to be deducted if FISIM is not distributed to uses)</v>
          </cell>
          <cell r="F4779">
            <v>0</v>
          </cell>
          <cell r="G4779">
            <v>1992</v>
          </cell>
          <cell r="H4779">
            <v>100</v>
          </cell>
          <cell r="I4779">
            <v>21452000000</v>
          </cell>
        </row>
        <row r="4780">
          <cell r="A4780" t="str">
            <v>Costa Rica</v>
          </cell>
          <cell r="B4780">
            <v>188</v>
          </cell>
          <cell r="C4780">
            <v>201</v>
          </cell>
          <cell r="D4780">
            <v>13</v>
          </cell>
          <cell r="E4780" t="str">
            <v>Less: Financial intermediation services indirectly measured (FISIM) (only to be deducted if FISIM is not distributed to uses)</v>
          </cell>
          <cell r="F4780">
            <v>0</v>
          </cell>
          <cell r="G4780">
            <v>1993</v>
          </cell>
          <cell r="H4780">
            <v>100</v>
          </cell>
          <cell r="I4780">
            <v>34180000000</v>
          </cell>
        </row>
        <row r="4781">
          <cell r="A4781" t="str">
            <v>Costa Rica</v>
          </cell>
          <cell r="B4781">
            <v>188</v>
          </cell>
          <cell r="C4781">
            <v>201</v>
          </cell>
          <cell r="D4781">
            <v>13</v>
          </cell>
          <cell r="E4781" t="str">
            <v>Less: Financial intermediation services indirectly measured (FISIM) (only to be deducted if FISIM is not distributed to uses)</v>
          </cell>
          <cell r="F4781">
            <v>0</v>
          </cell>
          <cell r="G4781">
            <v>1994</v>
          </cell>
          <cell r="H4781">
            <v>100</v>
          </cell>
          <cell r="I4781">
            <v>45656000000</v>
          </cell>
        </row>
        <row r="4782">
          <cell r="A4782" t="str">
            <v>Costa Rica</v>
          </cell>
          <cell r="B4782">
            <v>188</v>
          </cell>
          <cell r="C4782">
            <v>201</v>
          </cell>
          <cell r="D4782">
            <v>13</v>
          </cell>
          <cell r="E4782" t="str">
            <v>Less: Financial intermediation services indirectly measured (FISIM) (only to be deducted if FISIM is not distributed to uses)</v>
          </cell>
          <cell r="F4782">
            <v>0</v>
          </cell>
          <cell r="G4782">
            <v>1995</v>
          </cell>
          <cell r="H4782">
            <v>100</v>
          </cell>
          <cell r="I4782">
            <v>59978000000</v>
          </cell>
        </row>
        <row r="4783">
          <cell r="A4783" t="str">
            <v>Costa Rica</v>
          </cell>
          <cell r="B4783">
            <v>188</v>
          </cell>
          <cell r="C4783">
            <v>201</v>
          </cell>
          <cell r="D4783">
            <v>13</v>
          </cell>
          <cell r="E4783" t="str">
            <v>Less: Financial intermediation services indirectly measured (FISIM) (only to be deducted if FISIM is not distributed to uses)</v>
          </cell>
          <cell r="F4783">
            <v>0</v>
          </cell>
          <cell r="G4783">
            <v>1996</v>
          </cell>
          <cell r="H4783">
            <v>100</v>
          </cell>
          <cell r="I4783">
            <v>68771000000</v>
          </cell>
        </row>
        <row r="4784">
          <cell r="A4784" t="str">
            <v>Costa Rica</v>
          </cell>
          <cell r="B4784">
            <v>188</v>
          </cell>
          <cell r="C4784">
            <v>201</v>
          </cell>
          <cell r="D4784">
            <v>13</v>
          </cell>
          <cell r="E4784" t="str">
            <v>Less: Financial intermediation services indirectly measured (FISIM) (only to be deducted if FISIM is not distributed to uses)</v>
          </cell>
          <cell r="F4784">
            <v>0</v>
          </cell>
          <cell r="G4784">
            <v>1997</v>
          </cell>
          <cell r="H4784">
            <v>100</v>
          </cell>
          <cell r="I4784">
            <v>83176000000</v>
          </cell>
        </row>
        <row r="4785">
          <cell r="A4785" t="str">
            <v>Costa Rica</v>
          </cell>
          <cell r="B4785">
            <v>188</v>
          </cell>
          <cell r="C4785">
            <v>201</v>
          </cell>
          <cell r="D4785">
            <v>13</v>
          </cell>
          <cell r="E4785" t="str">
            <v>Less: Financial intermediation services indirectly measured (FISIM) (only to be deducted if FISIM is not distributed to uses)</v>
          </cell>
          <cell r="F4785">
            <v>0</v>
          </cell>
          <cell r="G4785">
            <v>1998</v>
          </cell>
          <cell r="H4785">
            <v>100</v>
          </cell>
          <cell r="I4785">
            <v>99427000000</v>
          </cell>
        </row>
        <row r="4786">
          <cell r="A4786" t="str">
            <v>Costa Rica</v>
          </cell>
          <cell r="B4786">
            <v>188</v>
          </cell>
          <cell r="C4786">
            <v>201</v>
          </cell>
          <cell r="D4786">
            <v>13</v>
          </cell>
          <cell r="E4786" t="str">
            <v>Less: Financial intermediation services indirectly measured (FISIM) (only to be deducted if FISIM is not distributed to uses)</v>
          </cell>
          <cell r="F4786">
            <v>0</v>
          </cell>
          <cell r="G4786">
            <v>1999</v>
          </cell>
          <cell r="H4786">
            <v>100</v>
          </cell>
          <cell r="I4786">
            <v>128910000000</v>
          </cell>
        </row>
        <row r="4787">
          <cell r="A4787" t="str">
            <v>Costa Rica</v>
          </cell>
          <cell r="B4787">
            <v>188</v>
          </cell>
          <cell r="C4787">
            <v>201</v>
          </cell>
          <cell r="D4787">
            <v>13</v>
          </cell>
          <cell r="E4787" t="str">
            <v>Less: Financial intermediation services indirectly measured (FISIM) (only to be deducted if FISIM is not distributed to uses)</v>
          </cell>
          <cell r="F4787">
            <v>0</v>
          </cell>
          <cell r="G4787">
            <v>2000</v>
          </cell>
          <cell r="H4787">
            <v>100</v>
          </cell>
          <cell r="I4787">
            <v>158701000000</v>
          </cell>
        </row>
        <row r="4788">
          <cell r="A4788" t="str">
            <v>Costa Rica</v>
          </cell>
          <cell r="B4788">
            <v>188</v>
          </cell>
          <cell r="C4788">
            <v>201</v>
          </cell>
          <cell r="D4788">
            <v>13</v>
          </cell>
          <cell r="E4788" t="str">
            <v>Less: Financial intermediation services indirectly measured (FISIM) (only to be deducted if FISIM is not distributed to uses)</v>
          </cell>
          <cell r="F4788">
            <v>0</v>
          </cell>
          <cell r="G4788">
            <v>2001</v>
          </cell>
          <cell r="H4788">
            <v>100</v>
          </cell>
          <cell r="I4788">
            <v>185670000000</v>
          </cell>
        </row>
        <row r="4789">
          <cell r="A4789" t="str">
            <v>Costa Rica</v>
          </cell>
          <cell r="B4789">
            <v>188</v>
          </cell>
          <cell r="C4789">
            <v>201</v>
          </cell>
          <cell r="D4789">
            <v>13</v>
          </cell>
          <cell r="E4789" t="str">
            <v>Less: Financial intermediation services indirectly measured (FISIM) (only to be deducted if FISIM is not distributed to uses)</v>
          </cell>
          <cell r="F4789">
            <v>0</v>
          </cell>
          <cell r="G4789">
            <v>2002</v>
          </cell>
          <cell r="H4789">
            <v>100</v>
          </cell>
          <cell r="I4789">
            <v>239214000000</v>
          </cell>
        </row>
        <row r="4790">
          <cell r="A4790" t="str">
            <v>Costa Rica</v>
          </cell>
          <cell r="B4790">
            <v>188</v>
          </cell>
          <cell r="C4790">
            <v>201</v>
          </cell>
          <cell r="D4790">
            <v>13</v>
          </cell>
          <cell r="E4790" t="str">
            <v>Less: Financial intermediation services indirectly measured (FISIM) (only to be deducted if FISIM is not distributed to uses)</v>
          </cell>
          <cell r="F4790">
            <v>0</v>
          </cell>
          <cell r="G4790">
            <v>2003</v>
          </cell>
          <cell r="H4790">
            <v>100</v>
          </cell>
          <cell r="I4790">
            <v>274698000000</v>
          </cell>
        </row>
        <row r="4791">
          <cell r="A4791" t="str">
            <v>Costa Rica</v>
          </cell>
          <cell r="B4791">
            <v>188</v>
          </cell>
          <cell r="C4791">
            <v>201</v>
          </cell>
          <cell r="D4791">
            <v>13</v>
          </cell>
          <cell r="E4791" t="str">
            <v>Less: Financial intermediation services indirectly measured (FISIM) (only to be deducted if FISIM is not distributed to uses)</v>
          </cell>
          <cell r="F4791">
            <v>0</v>
          </cell>
          <cell r="G4791">
            <v>2004</v>
          </cell>
          <cell r="H4791">
            <v>100</v>
          </cell>
          <cell r="I4791">
            <v>325393000000</v>
          </cell>
        </row>
        <row r="4792">
          <cell r="A4792" t="str">
            <v>Iceland</v>
          </cell>
          <cell r="B4792">
            <v>352</v>
          </cell>
          <cell r="C4792">
            <v>203</v>
          </cell>
          <cell r="D4792">
            <v>4</v>
          </cell>
          <cell r="E4792" t="str">
            <v>Compensation of employees</v>
          </cell>
          <cell r="F4792">
            <v>12</v>
          </cell>
          <cell r="G4792">
            <v>1973</v>
          </cell>
          <cell r="H4792">
            <v>30</v>
          </cell>
          <cell r="I4792">
            <v>501000000</v>
          </cell>
        </row>
        <row r="4793">
          <cell r="A4793" t="str">
            <v>Iceland</v>
          </cell>
          <cell r="B4793">
            <v>352</v>
          </cell>
          <cell r="C4793">
            <v>203</v>
          </cell>
          <cell r="D4793">
            <v>4</v>
          </cell>
          <cell r="E4793" t="str">
            <v>Compensation of employees</v>
          </cell>
          <cell r="F4793">
            <v>12</v>
          </cell>
          <cell r="G4793">
            <v>1974</v>
          </cell>
          <cell r="H4793">
            <v>30</v>
          </cell>
          <cell r="I4793">
            <v>754000000</v>
          </cell>
        </row>
        <row r="4794">
          <cell r="A4794" t="str">
            <v>Iceland</v>
          </cell>
          <cell r="B4794">
            <v>352</v>
          </cell>
          <cell r="C4794">
            <v>203</v>
          </cell>
          <cell r="D4794">
            <v>4</v>
          </cell>
          <cell r="E4794" t="str">
            <v>Compensation of employees</v>
          </cell>
          <cell r="F4794">
            <v>12</v>
          </cell>
          <cell r="G4794">
            <v>1975</v>
          </cell>
          <cell r="H4794">
            <v>30</v>
          </cell>
          <cell r="I4794">
            <v>1008000000</v>
          </cell>
        </row>
        <row r="4795">
          <cell r="A4795" t="str">
            <v>Iceland</v>
          </cell>
          <cell r="B4795">
            <v>352</v>
          </cell>
          <cell r="C4795">
            <v>203</v>
          </cell>
          <cell r="D4795">
            <v>4</v>
          </cell>
          <cell r="E4795" t="str">
            <v>Compensation of employees</v>
          </cell>
          <cell r="F4795">
            <v>12</v>
          </cell>
          <cell r="G4795">
            <v>1976</v>
          </cell>
          <cell r="H4795">
            <v>30</v>
          </cell>
          <cell r="I4795">
            <v>1369000000</v>
          </cell>
        </row>
        <row r="4796">
          <cell r="A4796" t="str">
            <v>Iceland</v>
          </cell>
          <cell r="B4796">
            <v>352</v>
          </cell>
          <cell r="C4796">
            <v>203</v>
          </cell>
          <cell r="D4796">
            <v>4</v>
          </cell>
          <cell r="E4796" t="str">
            <v>Compensation of employees</v>
          </cell>
          <cell r="F4796">
            <v>12</v>
          </cell>
          <cell r="G4796">
            <v>1977</v>
          </cell>
          <cell r="H4796">
            <v>30</v>
          </cell>
          <cell r="I4796">
            <v>2021000000</v>
          </cell>
        </row>
        <row r="4797">
          <cell r="A4797" t="str">
            <v>Iceland</v>
          </cell>
          <cell r="B4797">
            <v>352</v>
          </cell>
          <cell r="C4797">
            <v>203</v>
          </cell>
          <cell r="D4797">
            <v>4</v>
          </cell>
          <cell r="E4797" t="str">
            <v>Compensation of employees</v>
          </cell>
          <cell r="F4797">
            <v>12</v>
          </cell>
          <cell r="G4797">
            <v>1978</v>
          </cell>
          <cell r="H4797">
            <v>30</v>
          </cell>
          <cell r="I4797">
            <v>3223000000</v>
          </cell>
        </row>
        <row r="4798">
          <cell r="A4798" t="str">
            <v>Iceland</v>
          </cell>
          <cell r="B4798">
            <v>352</v>
          </cell>
          <cell r="C4798">
            <v>203</v>
          </cell>
          <cell r="D4798">
            <v>4</v>
          </cell>
          <cell r="E4798" t="str">
            <v>Compensation of employees</v>
          </cell>
          <cell r="F4798">
            <v>12</v>
          </cell>
          <cell r="G4798">
            <v>1979</v>
          </cell>
          <cell r="H4798">
            <v>30</v>
          </cell>
          <cell r="I4798">
            <v>4899000000</v>
          </cell>
        </row>
        <row r="4799">
          <cell r="A4799" t="str">
            <v>Iceland</v>
          </cell>
          <cell r="B4799">
            <v>352</v>
          </cell>
          <cell r="C4799">
            <v>203</v>
          </cell>
          <cell r="D4799">
            <v>4</v>
          </cell>
          <cell r="E4799" t="str">
            <v>Compensation of employees</v>
          </cell>
          <cell r="F4799">
            <v>12</v>
          </cell>
          <cell r="G4799">
            <v>1980</v>
          </cell>
          <cell r="H4799">
            <v>30</v>
          </cell>
          <cell r="I4799">
            <v>7825000000</v>
          </cell>
        </row>
        <row r="4800">
          <cell r="A4800" t="str">
            <v>Iceland</v>
          </cell>
          <cell r="B4800">
            <v>352</v>
          </cell>
          <cell r="C4800">
            <v>203</v>
          </cell>
          <cell r="D4800">
            <v>4</v>
          </cell>
          <cell r="E4800" t="str">
            <v>Compensation of employees</v>
          </cell>
          <cell r="F4800">
            <v>12</v>
          </cell>
          <cell r="G4800">
            <v>1980</v>
          </cell>
          <cell r="H4800">
            <v>40</v>
          </cell>
          <cell r="I4800">
            <v>7725070000</v>
          </cell>
        </row>
        <row r="4801">
          <cell r="A4801" t="str">
            <v>Iceland</v>
          </cell>
          <cell r="B4801">
            <v>352</v>
          </cell>
          <cell r="C4801">
            <v>203</v>
          </cell>
          <cell r="D4801">
            <v>4</v>
          </cell>
          <cell r="E4801" t="str">
            <v>Compensation of employees</v>
          </cell>
          <cell r="F4801">
            <v>12</v>
          </cell>
          <cell r="G4801">
            <v>1981</v>
          </cell>
          <cell r="H4801">
            <v>40</v>
          </cell>
          <cell r="I4801">
            <v>11989670000</v>
          </cell>
        </row>
        <row r="4802">
          <cell r="A4802" t="str">
            <v>Iceland</v>
          </cell>
          <cell r="B4802">
            <v>352</v>
          </cell>
          <cell r="C4802">
            <v>203</v>
          </cell>
          <cell r="D4802">
            <v>4</v>
          </cell>
          <cell r="E4802" t="str">
            <v>Compensation of employees</v>
          </cell>
          <cell r="F4802">
            <v>12</v>
          </cell>
          <cell r="G4802">
            <v>1982</v>
          </cell>
          <cell r="H4802">
            <v>40</v>
          </cell>
          <cell r="I4802">
            <v>18780820000</v>
          </cell>
        </row>
        <row r="4803">
          <cell r="A4803" t="str">
            <v>Iceland</v>
          </cell>
          <cell r="B4803">
            <v>352</v>
          </cell>
          <cell r="C4803">
            <v>203</v>
          </cell>
          <cell r="D4803">
            <v>4</v>
          </cell>
          <cell r="E4803" t="str">
            <v>Compensation of employees</v>
          </cell>
          <cell r="F4803">
            <v>12</v>
          </cell>
          <cell r="G4803">
            <v>1983</v>
          </cell>
          <cell r="H4803">
            <v>40</v>
          </cell>
          <cell r="I4803">
            <v>29518860000</v>
          </cell>
        </row>
        <row r="4804">
          <cell r="A4804" t="str">
            <v>Iceland</v>
          </cell>
          <cell r="B4804">
            <v>352</v>
          </cell>
          <cell r="C4804">
            <v>203</v>
          </cell>
          <cell r="D4804">
            <v>4</v>
          </cell>
          <cell r="E4804" t="str">
            <v>Compensation of employees</v>
          </cell>
          <cell r="F4804">
            <v>12</v>
          </cell>
          <cell r="G4804">
            <v>1984</v>
          </cell>
          <cell r="H4804">
            <v>40</v>
          </cell>
          <cell r="I4804">
            <v>38359260000</v>
          </cell>
        </row>
        <row r="4805">
          <cell r="A4805" t="str">
            <v>Iceland</v>
          </cell>
          <cell r="B4805">
            <v>352</v>
          </cell>
          <cell r="C4805">
            <v>203</v>
          </cell>
          <cell r="D4805">
            <v>4</v>
          </cell>
          <cell r="E4805" t="str">
            <v>Compensation of employees</v>
          </cell>
          <cell r="F4805">
            <v>12</v>
          </cell>
          <cell r="G4805">
            <v>1985</v>
          </cell>
          <cell r="H4805">
            <v>40</v>
          </cell>
          <cell r="I4805">
            <v>56229870000</v>
          </cell>
        </row>
        <row r="4806">
          <cell r="A4806" t="str">
            <v>Iceland</v>
          </cell>
          <cell r="B4806">
            <v>352</v>
          </cell>
          <cell r="C4806">
            <v>203</v>
          </cell>
          <cell r="D4806">
            <v>4</v>
          </cell>
          <cell r="E4806" t="str">
            <v>Compensation of employees</v>
          </cell>
          <cell r="F4806">
            <v>12</v>
          </cell>
          <cell r="G4806">
            <v>1986</v>
          </cell>
          <cell r="H4806">
            <v>40</v>
          </cell>
          <cell r="I4806">
            <v>74424500000</v>
          </cell>
        </row>
        <row r="4807">
          <cell r="A4807" t="str">
            <v>Iceland</v>
          </cell>
          <cell r="B4807">
            <v>352</v>
          </cell>
          <cell r="C4807">
            <v>203</v>
          </cell>
          <cell r="D4807">
            <v>4</v>
          </cell>
          <cell r="E4807" t="str">
            <v>Compensation of employees</v>
          </cell>
          <cell r="F4807">
            <v>12</v>
          </cell>
          <cell r="G4807">
            <v>1987</v>
          </cell>
          <cell r="H4807">
            <v>40</v>
          </cell>
          <cell r="I4807">
            <v>109929560000</v>
          </cell>
        </row>
        <row r="4808">
          <cell r="A4808" t="str">
            <v>Iceland</v>
          </cell>
          <cell r="B4808">
            <v>352</v>
          </cell>
          <cell r="C4808">
            <v>203</v>
          </cell>
          <cell r="D4808">
            <v>4</v>
          </cell>
          <cell r="E4808" t="str">
            <v>Compensation of employees</v>
          </cell>
          <cell r="F4808">
            <v>12</v>
          </cell>
          <cell r="G4808">
            <v>1988</v>
          </cell>
          <cell r="H4808">
            <v>40</v>
          </cell>
          <cell r="I4808">
            <v>136181128999.99998</v>
          </cell>
        </row>
        <row r="4809">
          <cell r="A4809" t="str">
            <v>Iceland</v>
          </cell>
          <cell r="B4809">
            <v>352</v>
          </cell>
          <cell r="C4809">
            <v>203</v>
          </cell>
          <cell r="D4809">
            <v>4</v>
          </cell>
          <cell r="E4809" t="str">
            <v>Compensation of employees</v>
          </cell>
          <cell r="F4809">
            <v>12</v>
          </cell>
          <cell r="G4809">
            <v>1989</v>
          </cell>
          <cell r="H4809">
            <v>40</v>
          </cell>
          <cell r="I4809">
            <v>153447262000</v>
          </cell>
        </row>
        <row r="4810">
          <cell r="A4810" t="str">
            <v>Iceland</v>
          </cell>
          <cell r="B4810">
            <v>352</v>
          </cell>
          <cell r="C4810">
            <v>203</v>
          </cell>
          <cell r="D4810">
            <v>4</v>
          </cell>
          <cell r="E4810" t="str">
            <v>Compensation of employees</v>
          </cell>
          <cell r="F4810">
            <v>12</v>
          </cell>
          <cell r="G4810">
            <v>1990</v>
          </cell>
          <cell r="H4810">
            <v>40</v>
          </cell>
          <cell r="I4810">
            <v>175062000000</v>
          </cell>
        </row>
        <row r="4811">
          <cell r="A4811" t="str">
            <v>Iceland</v>
          </cell>
          <cell r="B4811">
            <v>352</v>
          </cell>
          <cell r="C4811">
            <v>203</v>
          </cell>
          <cell r="D4811">
            <v>4</v>
          </cell>
          <cell r="E4811" t="str">
            <v>Compensation of employees</v>
          </cell>
          <cell r="F4811">
            <v>12</v>
          </cell>
          <cell r="G4811">
            <v>1990</v>
          </cell>
          <cell r="H4811">
            <v>100</v>
          </cell>
          <cell r="I4811">
            <v>176426852300</v>
          </cell>
        </row>
        <row r="4812">
          <cell r="A4812" t="str">
            <v>Iceland</v>
          </cell>
          <cell r="B4812">
            <v>352</v>
          </cell>
          <cell r="C4812">
            <v>203</v>
          </cell>
          <cell r="D4812">
            <v>4</v>
          </cell>
          <cell r="E4812" t="str">
            <v>Compensation of employees</v>
          </cell>
          <cell r="F4812">
            <v>12</v>
          </cell>
          <cell r="G4812">
            <v>1991</v>
          </cell>
          <cell r="H4812">
            <v>100</v>
          </cell>
          <cell r="I4812">
            <v>202238438000</v>
          </cell>
        </row>
        <row r="4813">
          <cell r="A4813" t="str">
            <v>Iceland</v>
          </cell>
          <cell r="B4813">
            <v>352</v>
          </cell>
          <cell r="C4813">
            <v>203</v>
          </cell>
          <cell r="D4813">
            <v>4</v>
          </cell>
          <cell r="E4813" t="str">
            <v>Compensation of employees</v>
          </cell>
          <cell r="F4813">
            <v>12</v>
          </cell>
          <cell r="G4813">
            <v>1992</v>
          </cell>
          <cell r="H4813">
            <v>100</v>
          </cell>
          <cell r="I4813">
            <v>204808475500</v>
          </cell>
        </row>
        <row r="4814">
          <cell r="A4814" t="str">
            <v>Iceland</v>
          </cell>
          <cell r="B4814">
            <v>352</v>
          </cell>
          <cell r="C4814">
            <v>203</v>
          </cell>
          <cell r="D4814">
            <v>4</v>
          </cell>
          <cell r="E4814" t="str">
            <v>Compensation of employees</v>
          </cell>
          <cell r="F4814">
            <v>12</v>
          </cell>
          <cell r="G4814">
            <v>1993</v>
          </cell>
          <cell r="H4814">
            <v>100</v>
          </cell>
          <cell r="I4814">
            <v>203908888300</v>
          </cell>
        </row>
        <row r="4815">
          <cell r="A4815" t="str">
            <v>Iceland</v>
          </cell>
          <cell r="B4815">
            <v>352</v>
          </cell>
          <cell r="C4815">
            <v>203</v>
          </cell>
          <cell r="D4815">
            <v>4</v>
          </cell>
          <cell r="E4815" t="str">
            <v>Compensation of employees</v>
          </cell>
          <cell r="F4815">
            <v>12</v>
          </cell>
          <cell r="G4815">
            <v>1994</v>
          </cell>
          <cell r="H4815">
            <v>100</v>
          </cell>
          <cell r="I4815">
            <v>211938122800</v>
          </cell>
        </row>
        <row r="4816">
          <cell r="A4816" t="str">
            <v>Iceland</v>
          </cell>
          <cell r="B4816">
            <v>352</v>
          </cell>
          <cell r="C4816">
            <v>203</v>
          </cell>
          <cell r="D4816">
            <v>4</v>
          </cell>
          <cell r="E4816" t="str">
            <v>Compensation of employees</v>
          </cell>
          <cell r="F4816">
            <v>12</v>
          </cell>
          <cell r="G4816">
            <v>1995</v>
          </cell>
          <cell r="H4816">
            <v>100</v>
          </cell>
          <cell r="I4816">
            <v>225062670800</v>
          </cell>
        </row>
        <row r="4817">
          <cell r="A4817" t="str">
            <v>Iceland</v>
          </cell>
          <cell r="B4817">
            <v>352</v>
          </cell>
          <cell r="C4817">
            <v>203</v>
          </cell>
          <cell r="D4817">
            <v>4</v>
          </cell>
          <cell r="E4817" t="str">
            <v>Compensation of employees</v>
          </cell>
          <cell r="F4817">
            <v>12</v>
          </cell>
          <cell r="G4817">
            <v>1996</v>
          </cell>
          <cell r="H4817">
            <v>100</v>
          </cell>
          <cell r="I4817">
            <v>248711395500</v>
          </cell>
        </row>
        <row r="4818">
          <cell r="A4818" t="str">
            <v>Iceland</v>
          </cell>
          <cell r="B4818">
            <v>352</v>
          </cell>
          <cell r="C4818">
            <v>203</v>
          </cell>
          <cell r="D4818">
            <v>4</v>
          </cell>
          <cell r="E4818" t="str">
            <v>Compensation of employees</v>
          </cell>
          <cell r="F4818">
            <v>12</v>
          </cell>
          <cell r="G4818">
            <v>1997</v>
          </cell>
          <cell r="H4818">
            <v>100</v>
          </cell>
          <cell r="I4818">
            <v>266788686800</v>
          </cell>
        </row>
        <row r="4819">
          <cell r="A4819" t="str">
            <v>Iceland</v>
          </cell>
          <cell r="B4819">
            <v>352</v>
          </cell>
          <cell r="C4819">
            <v>203</v>
          </cell>
          <cell r="D4819">
            <v>4</v>
          </cell>
          <cell r="E4819" t="str">
            <v>Compensation of employees</v>
          </cell>
          <cell r="F4819">
            <v>12</v>
          </cell>
          <cell r="G4819">
            <v>1997</v>
          </cell>
          <cell r="H4819">
            <v>200</v>
          </cell>
          <cell r="I4819">
            <v>268961211900</v>
          </cell>
        </row>
        <row r="4820">
          <cell r="A4820" t="str">
            <v>Iceland</v>
          </cell>
          <cell r="B4820">
            <v>352</v>
          </cell>
          <cell r="C4820">
            <v>203</v>
          </cell>
          <cell r="D4820">
            <v>4</v>
          </cell>
          <cell r="E4820" t="str">
            <v>Compensation of employees</v>
          </cell>
          <cell r="F4820">
            <v>12</v>
          </cell>
          <cell r="G4820">
            <v>1998</v>
          </cell>
          <cell r="H4820">
            <v>200</v>
          </cell>
          <cell r="I4820">
            <v>308638364200</v>
          </cell>
        </row>
        <row r="4821">
          <cell r="A4821" t="str">
            <v>Iceland</v>
          </cell>
          <cell r="B4821">
            <v>352</v>
          </cell>
          <cell r="C4821">
            <v>203</v>
          </cell>
          <cell r="D4821">
            <v>4</v>
          </cell>
          <cell r="E4821" t="str">
            <v>Compensation of employees</v>
          </cell>
          <cell r="F4821">
            <v>12</v>
          </cell>
          <cell r="G4821">
            <v>1999</v>
          </cell>
          <cell r="H4821">
            <v>200</v>
          </cell>
          <cell r="I4821">
            <v>345057226700</v>
          </cell>
        </row>
        <row r="4822">
          <cell r="A4822" t="str">
            <v>Iceland</v>
          </cell>
          <cell r="B4822">
            <v>352</v>
          </cell>
          <cell r="C4822">
            <v>203</v>
          </cell>
          <cell r="D4822">
            <v>4</v>
          </cell>
          <cell r="E4822" t="str">
            <v>Compensation of employees</v>
          </cell>
          <cell r="F4822">
            <v>12</v>
          </cell>
          <cell r="G4822">
            <v>2000</v>
          </cell>
          <cell r="H4822">
            <v>200</v>
          </cell>
          <cell r="I4822">
            <v>381250173700</v>
          </cell>
        </row>
        <row r="4823">
          <cell r="A4823" t="str">
            <v>Iceland</v>
          </cell>
          <cell r="B4823">
            <v>352</v>
          </cell>
          <cell r="C4823">
            <v>203</v>
          </cell>
          <cell r="D4823">
            <v>4</v>
          </cell>
          <cell r="E4823" t="str">
            <v>Compensation of employees</v>
          </cell>
          <cell r="F4823">
            <v>12</v>
          </cell>
          <cell r="G4823">
            <v>2001</v>
          </cell>
          <cell r="H4823">
            <v>200</v>
          </cell>
          <cell r="I4823">
            <v>426882277200</v>
          </cell>
        </row>
        <row r="4824">
          <cell r="A4824" t="str">
            <v>Iceland</v>
          </cell>
          <cell r="B4824">
            <v>352</v>
          </cell>
          <cell r="C4824">
            <v>203</v>
          </cell>
          <cell r="D4824">
            <v>4</v>
          </cell>
          <cell r="E4824" t="str">
            <v>Compensation of employees</v>
          </cell>
          <cell r="F4824">
            <v>12</v>
          </cell>
          <cell r="G4824">
            <v>2002</v>
          </cell>
          <cell r="H4824">
            <v>200</v>
          </cell>
          <cell r="I4824">
            <v>455910000000</v>
          </cell>
        </row>
        <row r="4825">
          <cell r="A4825" t="str">
            <v>Iceland</v>
          </cell>
          <cell r="B4825">
            <v>352</v>
          </cell>
          <cell r="C4825">
            <v>203</v>
          </cell>
          <cell r="D4825">
            <v>4</v>
          </cell>
          <cell r="E4825" t="str">
            <v>Compensation of employees</v>
          </cell>
          <cell r="F4825">
            <v>12</v>
          </cell>
          <cell r="G4825">
            <v>2003</v>
          </cell>
          <cell r="H4825">
            <v>200</v>
          </cell>
          <cell r="I4825">
            <v>477046000000</v>
          </cell>
        </row>
        <row r="4826">
          <cell r="A4826" t="str">
            <v>Costa Rica</v>
          </cell>
          <cell r="B4826">
            <v>188</v>
          </cell>
          <cell r="C4826">
            <v>203</v>
          </cell>
          <cell r="D4826">
            <v>3</v>
          </cell>
          <cell r="E4826" t="str">
            <v>Equals: VALUE ADDED, GROSS, at basic prices</v>
          </cell>
          <cell r="F4826">
            <v>12</v>
          </cell>
          <cell r="G4826">
            <v>1970</v>
          </cell>
          <cell r="H4826">
            <v>10</v>
          </cell>
          <cell r="I4826">
            <v>6525000000</v>
          </cell>
        </row>
        <row r="4827">
          <cell r="A4827" t="str">
            <v>Costa Rica</v>
          </cell>
          <cell r="B4827">
            <v>188</v>
          </cell>
          <cell r="C4827">
            <v>203</v>
          </cell>
          <cell r="D4827">
            <v>3</v>
          </cell>
          <cell r="E4827" t="str">
            <v>Equals: VALUE ADDED, GROSS, at basic prices</v>
          </cell>
          <cell r="F4827">
            <v>12</v>
          </cell>
          <cell r="G4827">
            <v>1971</v>
          </cell>
          <cell r="H4827">
            <v>10</v>
          </cell>
          <cell r="I4827">
            <v>7137000000</v>
          </cell>
        </row>
        <row r="4828">
          <cell r="A4828" t="str">
            <v>Costa Rica</v>
          </cell>
          <cell r="B4828">
            <v>188</v>
          </cell>
          <cell r="C4828">
            <v>203</v>
          </cell>
          <cell r="D4828">
            <v>3</v>
          </cell>
          <cell r="E4828" t="str">
            <v>Equals: VALUE ADDED, GROSS, at basic prices</v>
          </cell>
          <cell r="F4828">
            <v>12</v>
          </cell>
          <cell r="G4828">
            <v>1972</v>
          </cell>
          <cell r="H4828">
            <v>10</v>
          </cell>
          <cell r="I4828">
            <v>8216000000</v>
          </cell>
        </row>
        <row r="4829">
          <cell r="A4829" t="str">
            <v>Costa Rica</v>
          </cell>
          <cell r="B4829">
            <v>188</v>
          </cell>
          <cell r="C4829">
            <v>203</v>
          </cell>
          <cell r="D4829">
            <v>3</v>
          </cell>
          <cell r="E4829" t="str">
            <v>Equals: VALUE ADDED, GROSS, at basic prices</v>
          </cell>
          <cell r="F4829">
            <v>12</v>
          </cell>
          <cell r="G4829">
            <v>1973</v>
          </cell>
          <cell r="H4829">
            <v>10</v>
          </cell>
          <cell r="I4829">
            <v>10162000000</v>
          </cell>
        </row>
        <row r="4830">
          <cell r="A4830" t="str">
            <v>Costa Rica</v>
          </cell>
          <cell r="B4830">
            <v>188</v>
          </cell>
          <cell r="C4830">
            <v>203</v>
          </cell>
          <cell r="D4830">
            <v>3</v>
          </cell>
          <cell r="E4830" t="str">
            <v>Equals: VALUE ADDED, GROSS, at basic prices</v>
          </cell>
          <cell r="F4830">
            <v>12</v>
          </cell>
          <cell r="G4830">
            <v>1974</v>
          </cell>
          <cell r="H4830">
            <v>10</v>
          </cell>
          <cell r="I4830">
            <v>13216000000</v>
          </cell>
        </row>
        <row r="4831">
          <cell r="A4831" t="str">
            <v>Costa Rica</v>
          </cell>
          <cell r="B4831">
            <v>188</v>
          </cell>
          <cell r="C4831">
            <v>203</v>
          </cell>
          <cell r="D4831">
            <v>3</v>
          </cell>
          <cell r="E4831" t="str">
            <v>Equals: VALUE ADDED, GROSS, at basic prices</v>
          </cell>
          <cell r="F4831">
            <v>12</v>
          </cell>
          <cell r="G4831">
            <v>1975</v>
          </cell>
          <cell r="H4831">
            <v>10</v>
          </cell>
          <cell r="I4831">
            <v>16805000000</v>
          </cell>
        </row>
        <row r="4832">
          <cell r="A4832" t="str">
            <v>Costa Rica</v>
          </cell>
          <cell r="B4832">
            <v>188</v>
          </cell>
          <cell r="C4832">
            <v>203</v>
          </cell>
          <cell r="D4832">
            <v>3</v>
          </cell>
          <cell r="E4832" t="str">
            <v>Equals: VALUE ADDED, GROSS, at basic prices</v>
          </cell>
          <cell r="F4832">
            <v>12</v>
          </cell>
          <cell r="G4832">
            <v>1976</v>
          </cell>
          <cell r="H4832">
            <v>10</v>
          </cell>
          <cell r="I4832">
            <v>20676000000</v>
          </cell>
        </row>
        <row r="4833">
          <cell r="A4833" t="str">
            <v>Costa Rica</v>
          </cell>
          <cell r="B4833">
            <v>188</v>
          </cell>
          <cell r="C4833">
            <v>203</v>
          </cell>
          <cell r="D4833">
            <v>3</v>
          </cell>
          <cell r="E4833" t="str">
            <v>Equals: VALUE ADDED, GROSS, at basic prices</v>
          </cell>
          <cell r="F4833">
            <v>12</v>
          </cell>
          <cell r="G4833">
            <v>1977</v>
          </cell>
          <cell r="H4833">
            <v>10</v>
          </cell>
          <cell r="I4833">
            <v>26331000000</v>
          </cell>
        </row>
        <row r="4834">
          <cell r="A4834" t="str">
            <v>Costa Rica</v>
          </cell>
          <cell r="B4834">
            <v>188</v>
          </cell>
          <cell r="C4834">
            <v>203</v>
          </cell>
          <cell r="D4834">
            <v>3</v>
          </cell>
          <cell r="E4834" t="str">
            <v>Equals: VALUE ADDED, GROSS, at basic prices</v>
          </cell>
          <cell r="F4834">
            <v>12</v>
          </cell>
          <cell r="G4834">
            <v>1978</v>
          </cell>
          <cell r="H4834">
            <v>10</v>
          </cell>
          <cell r="I4834">
            <v>30194000000</v>
          </cell>
        </row>
        <row r="4835">
          <cell r="A4835" t="str">
            <v>Costa Rica</v>
          </cell>
          <cell r="B4835">
            <v>188</v>
          </cell>
          <cell r="C4835">
            <v>203</v>
          </cell>
          <cell r="D4835">
            <v>3</v>
          </cell>
          <cell r="E4835" t="str">
            <v>Equals: VALUE ADDED, GROSS, at basic prices</v>
          </cell>
          <cell r="F4835">
            <v>12</v>
          </cell>
          <cell r="G4835">
            <v>1979</v>
          </cell>
          <cell r="H4835">
            <v>10</v>
          </cell>
          <cell r="I4835">
            <v>34584000000</v>
          </cell>
        </row>
        <row r="4836">
          <cell r="A4836" t="str">
            <v>Costa Rica</v>
          </cell>
          <cell r="B4836">
            <v>188</v>
          </cell>
          <cell r="C4836">
            <v>203</v>
          </cell>
          <cell r="D4836">
            <v>3</v>
          </cell>
          <cell r="E4836" t="str">
            <v>Equals: VALUE ADDED, GROSS, at basic prices</v>
          </cell>
          <cell r="F4836">
            <v>12</v>
          </cell>
          <cell r="G4836">
            <v>1980</v>
          </cell>
          <cell r="H4836">
            <v>10</v>
          </cell>
          <cell r="I4836">
            <v>41406000000</v>
          </cell>
        </row>
        <row r="4837">
          <cell r="A4837" t="str">
            <v>Costa Rica</v>
          </cell>
          <cell r="B4837">
            <v>188</v>
          </cell>
          <cell r="C4837">
            <v>203</v>
          </cell>
          <cell r="D4837">
            <v>3</v>
          </cell>
          <cell r="E4837" t="str">
            <v>Equals: VALUE ADDED, GROSS, at basic prices</v>
          </cell>
          <cell r="F4837">
            <v>12</v>
          </cell>
          <cell r="G4837">
            <v>1981</v>
          </cell>
          <cell r="H4837">
            <v>10</v>
          </cell>
          <cell r="I4837">
            <v>57103000000</v>
          </cell>
        </row>
        <row r="4838">
          <cell r="A4838" t="str">
            <v>Costa Rica</v>
          </cell>
          <cell r="B4838">
            <v>188</v>
          </cell>
          <cell r="C4838">
            <v>203</v>
          </cell>
          <cell r="D4838">
            <v>3</v>
          </cell>
          <cell r="E4838" t="str">
            <v>Equals: VALUE ADDED, GROSS, at basic prices</v>
          </cell>
          <cell r="F4838">
            <v>12</v>
          </cell>
          <cell r="G4838">
            <v>1982</v>
          </cell>
          <cell r="H4838">
            <v>10</v>
          </cell>
          <cell r="I4838">
            <v>97505000000</v>
          </cell>
        </row>
        <row r="4839">
          <cell r="A4839" t="str">
            <v>Costa Rica</v>
          </cell>
          <cell r="B4839">
            <v>188</v>
          </cell>
          <cell r="C4839">
            <v>203</v>
          </cell>
          <cell r="D4839">
            <v>3</v>
          </cell>
          <cell r="E4839" t="str">
            <v>Equals: VALUE ADDED, GROSS, at basic prices</v>
          </cell>
          <cell r="F4839">
            <v>12</v>
          </cell>
          <cell r="G4839">
            <v>1983</v>
          </cell>
          <cell r="H4839">
            <v>10</v>
          </cell>
          <cell r="I4839">
            <v>129314000000</v>
          </cell>
        </row>
        <row r="4840">
          <cell r="A4840" t="str">
            <v>Costa Rica</v>
          </cell>
          <cell r="B4840">
            <v>188</v>
          </cell>
          <cell r="C4840">
            <v>203</v>
          </cell>
          <cell r="D4840">
            <v>3</v>
          </cell>
          <cell r="E4840" t="str">
            <v>Equals: VALUE ADDED, GROSS, at basic prices</v>
          </cell>
          <cell r="F4840">
            <v>12</v>
          </cell>
          <cell r="G4840">
            <v>1984</v>
          </cell>
          <cell r="H4840">
            <v>10</v>
          </cell>
          <cell r="I4840">
            <v>163011000000</v>
          </cell>
        </row>
        <row r="4841">
          <cell r="A4841" t="str">
            <v>Costa Rica</v>
          </cell>
          <cell r="B4841">
            <v>188</v>
          </cell>
          <cell r="C4841">
            <v>203</v>
          </cell>
          <cell r="D4841">
            <v>3</v>
          </cell>
          <cell r="E4841" t="str">
            <v>Equals: VALUE ADDED, GROSS, at basic prices</v>
          </cell>
          <cell r="F4841">
            <v>12</v>
          </cell>
          <cell r="G4841">
            <v>1985</v>
          </cell>
          <cell r="H4841">
            <v>10</v>
          </cell>
          <cell r="I4841">
            <v>197920000000</v>
          </cell>
        </row>
        <row r="4842">
          <cell r="A4842" t="str">
            <v>Costa Rica</v>
          </cell>
          <cell r="B4842">
            <v>188</v>
          </cell>
          <cell r="C4842">
            <v>203</v>
          </cell>
          <cell r="D4842">
            <v>3</v>
          </cell>
          <cell r="E4842" t="str">
            <v>Equals: VALUE ADDED, GROSS, at basic prices</v>
          </cell>
          <cell r="F4842">
            <v>12</v>
          </cell>
          <cell r="G4842">
            <v>1986</v>
          </cell>
          <cell r="H4842">
            <v>10</v>
          </cell>
          <cell r="I4842">
            <v>246580000000</v>
          </cell>
        </row>
        <row r="4843">
          <cell r="A4843" t="str">
            <v>Costa Rica</v>
          </cell>
          <cell r="B4843">
            <v>188</v>
          </cell>
          <cell r="C4843">
            <v>203</v>
          </cell>
          <cell r="D4843">
            <v>3</v>
          </cell>
          <cell r="E4843" t="str">
            <v>Equals: VALUE ADDED, GROSS, at basic prices</v>
          </cell>
          <cell r="F4843">
            <v>12</v>
          </cell>
          <cell r="G4843">
            <v>1987</v>
          </cell>
          <cell r="H4843">
            <v>10</v>
          </cell>
          <cell r="I4843">
            <v>284533000000</v>
          </cell>
        </row>
        <row r="4844">
          <cell r="A4844" t="str">
            <v>Costa Rica</v>
          </cell>
          <cell r="B4844">
            <v>188</v>
          </cell>
          <cell r="C4844">
            <v>203</v>
          </cell>
          <cell r="D4844">
            <v>3</v>
          </cell>
          <cell r="E4844" t="str">
            <v>Equals: VALUE ADDED, GROSS, at basic prices</v>
          </cell>
          <cell r="F4844">
            <v>12</v>
          </cell>
          <cell r="G4844">
            <v>1988</v>
          </cell>
          <cell r="H4844">
            <v>10</v>
          </cell>
          <cell r="I4844">
            <v>349743000000</v>
          </cell>
        </row>
        <row r="4845">
          <cell r="A4845" t="str">
            <v>Costa Rica</v>
          </cell>
          <cell r="B4845">
            <v>188</v>
          </cell>
          <cell r="C4845">
            <v>203</v>
          </cell>
          <cell r="D4845">
            <v>3</v>
          </cell>
          <cell r="E4845" t="str">
            <v>Equals: VALUE ADDED, GROSS, at basic prices</v>
          </cell>
          <cell r="F4845">
            <v>12</v>
          </cell>
          <cell r="G4845">
            <v>1989</v>
          </cell>
          <cell r="H4845">
            <v>10</v>
          </cell>
          <cell r="I4845">
            <v>425911000000</v>
          </cell>
        </row>
        <row r="4846">
          <cell r="A4846" t="str">
            <v>Costa Rica</v>
          </cell>
          <cell r="B4846">
            <v>188</v>
          </cell>
          <cell r="C4846">
            <v>203</v>
          </cell>
          <cell r="D4846">
            <v>3</v>
          </cell>
          <cell r="E4846" t="str">
            <v>Equals: VALUE ADDED, GROSS, at basic prices</v>
          </cell>
          <cell r="F4846">
            <v>12</v>
          </cell>
          <cell r="G4846">
            <v>1990</v>
          </cell>
          <cell r="H4846">
            <v>10</v>
          </cell>
          <cell r="I4846">
            <v>522848000000</v>
          </cell>
        </row>
        <row r="4847">
          <cell r="A4847" t="str">
            <v>Costa Rica</v>
          </cell>
          <cell r="B4847">
            <v>188</v>
          </cell>
          <cell r="C4847">
            <v>203</v>
          </cell>
          <cell r="D4847">
            <v>3</v>
          </cell>
          <cell r="E4847" t="str">
            <v>Equals: VALUE ADDED, GROSS, at basic prices</v>
          </cell>
          <cell r="F4847">
            <v>12</v>
          </cell>
          <cell r="G4847">
            <v>1991</v>
          </cell>
          <cell r="H4847">
            <v>10</v>
          </cell>
          <cell r="I4847">
            <v>690164000000</v>
          </cell>
        </row>
        <row r="4848">
          <cell r="A4848" t="str">
            <v>Costa Rica</v>
          </cell>
          <cell r="B4848">
            <v>188</v>
          </cell>
          <cell r="C4848">
            <v>203</v>
          </cell>
          <cell r="D4848">
            <v>3</v>
          </cell>
          <cell r="E4848" t="str">
            <v>Equals: VALUE ADDED, GROSS, at basic prices</v>
          </cell>
          <cell r="F4848">
            <v>12</v>
          </cell>
          <cell r="G4848">
            <v>1991</v>
          </cell>
          <cell r="H4848">
            <v>100</v>
          </cell>
          <cell r="I4848">
            <v>806552000000</v>
          </cell>
        </row>
        <row r="4849">
          <cell r="A4849" t="str">
            <v>Costa Rica</v>
          </cell>
          <cell r="B4849">
            <v>188</v>
          </cell>
          <cell r="C4849">
            <v>203</v>
          </cell>
          <cell r="D4849">
            <v>3</v>
          </cell>
          <cell r="E4849" t="str">
            <v>Equals: VALUE ADDED, GROSS, at basic prices</v>
          </cell>
          <cell r="F4849">
            <v>12</v>
          </cell>
          <cell r="G4849">
            <v>1992</v>
          </cell>
          <cell r="H4849">
            <v>100</v>
          </cell>
          <cell r="I4849">
            <v>1049023000000</v>
          </cell>
        </row>
        <row r="4850">
          <cell r="A4850" t="str">
            <v>Costa Rica</v>
          </cell>
          <cell r="B4850">
            <v>188</v>
          </cell>
          <cell r="C4850">
            <v>203</v>
          </cell>
          <cell r="D4850">
            <v>3</v>
          </cell>
          <cell r="E4850" t="str">
            <v>Equals: VALUE ADDED, GROSS, at basic prices</v>
          </cell>
          <cell r="F4850">
            <v>12</v>
          </cell>
          <cell r="G4850">
            <v>1993</v>
          </cell>
          <cell r="H4850">
            <v>100</v>
          </cell>
          <cell r="I4850">
            <v>1256085000000</v>
          </cell>
        </row>
        <row r="4851">
          <cell r="A4851" t="str">
            <v>Costa Rica</v>
          </cell>
          <cell r="B4851">
            <v>188</v>
          </cell>
          <cell r="C4851">
            <v>203</v>
          </cell>
          <cell r="D4851">
            <v>3</v>
          </cell>
          <cell r="E4851" t="str">
            <v>Equals: VALUE ADDED, GROSS, at basic prices</v>
          </cell>
          <cell r="F4851">
            <v>12</v>
          </cell>
          <cell r="G4851">
            <v>1994</v>
          </cell>
          <cell r="H4851">
            <v>100</v>
          </cell>
          <cell r="I4851">
            <v>1520313000000</v>
          </cell>
        </row>
        <row r="4852">
          <cell r="A4852" t="str">
            <v>Costa Rica</v>
          </cell>
          <cell r="B4852">
            <v>188</v>
          </cell>
          <cell r="C4852">
            <v>203</v>
          </cell>
          <cell r="D4852">
            <v>3</v>
          </cell>
          <cell r="E4852" t="str">
            <v>Equals: VALUE ADDED, GROSS, at basic prices</v>
          </cell>
          <cell r="F4852">
            <v>12</v>
          </cell>
          <cell r="G4852">
            <v>1995</v>
          </cell>
          <cell r="H4852">
            <v>100</v>
          </cell>
          <cell r="I4852">
            <v>1923745000000</v>
          </cell>
        </row>
        <row r="4853">
          <cell r="A4853" t="str">
            <v>Costa Rica</v>
          </cell>
          <cell r="B4853">
            <v>188</v>
          </cell>
          <cell r="C4853">
            <v>203</v>
          </cell>
          <cell r="D4853">
            <v>3</v>
          </cell>
          <cell r="E4853" t="str">
            <v>Equals: VALUE ADDED, GROSS, at basic prices</v>
          </cell>
          <cell r="F4853">
            <v>12</v>
          </cell>
          <cell r="G4853">
            <v>1996</v>
          </cell>
          <cell r="H4853">
            <v>100</v>
          </cell>
          <cell r="I4853">
            <v>2235901000000</v>
          </cell>
        </row>
        <row r="4854">
          <cell r="A4854" t="str">
            <v>Costa Rica</v>
          </cell>
          <cell r="B4854">
            <v>188</v>
          </cell>
          <cell r="C4854">
            <v>203</v>
          </cell>
          <cell r="D4854">
            <v>3</v>
          </cell>
          <cell r="E4854" t="str">
            <v>Equals: VALUE ADDED, GROSS, at basic prices</v>
          </cell>
          <cell r="F4854">
            <v>12</v>
          </cell>
          <cell r="G4854">
            <v>1997</v>
          </cell>
          <cell r="H4854">
            <v>100</v>
          </cell>
          <cell r="I4854">
            <v>2719156000000</v>
          </cell>
        </row>
        <row r="4855">
          <cell r="A4855" t="str">
            <v>Costa Rica</v>
          </cell>
          <cell r="B4855">
            <v>188</v>
          </cell>
          <cell r="C4855">
            <v>203</v>
          </cell>
          <cell r="D4855">
            <v>3</v>
          </cell>
          <cell r="E4855" t="str">
            <v>Equals: VALUE ADDED, GROSS, at basic prices</v>
          </cell>
          <cell r="F4855">
            <v>12</v>
          </cell>
          <cell r="G4855">
            <v>1998</v>
          </cell>
          <cell r="H4855">
            <v>100</v>
          </cell>
          <cell r="I4855">
            <v>3318749000000</v>
          </cell>
        </row>
        <row r="4856">
          <cell r="A4856" t="str">
            <v>Costa Rica</v>
          </cell>
          <cell r="B4856">
            <v>188</v>
          </cell>
          <cell r="C4856">
            <v>203</v>
          </cell>
          <cell r="D4856">
            <v>3</v>
          </cell>
          <cell r="E4856" t="str">
            <v>Equals: VALUE ADDED, GROSS, at basic prices</v>
          </cell>
          <cell r="F4856">
            <v>12</v>
          </cell>
          <cell r="G4856">
            <v>1999</v>
          </cell>
          <cell r="H4856">
            <v>100</v>
          </cell>
          <cell r="I4856">
            <v>4137063000000</v>
          </cell>
        </row>
        <row r="4857">
          <cell r="A4857" t="str">
            <v>Costa Rica</v>
          </cell>
          <cell r="B4857">
            <v>188</v>
          </cell>
          <cell r="C4857">
            <v>203</v>
          </cell>
          <cell r="D4857">
            <v>3</v>
          </cell>
          <cell r="E4857" t="str">
            <v>Equals: VALUE ADDED, GROSS, at basic prices</v>
          </cell>
          <cell r="F4857">
            <v>12</v>
          </cell>
          <cell r="G4857">
            <v>2000</v>
          </cell>
          <cell r="H4857">
            <v>100</v>
          </cell>
          <cell r="I4857">
            <v>4473652000000</v>
          </cell>
        </row>
        <row r="4858">
          <cell r="A4858" t="str">
            <v>Costa Rica</v>
          </cell>
          <cell r="B4858">
            <v>188</v>
          </cell>
          <cell r="C4858">
            <v>203</v>
          </cell>
          <cell r="D4858">
            <v>3</v>
          </cell>
          <cell r="E4858" t="str">
            <v>Equals: VALUE ADDED, GROSS, at basic prices</v>
          </cell>
          <cell r="F4858">
            <v>12</v>
          </cell>
          <cell r="G4858">
            <v>2001</v>
          </cell>
          <cell r="H4858">
            <v>100</v>
          </cell>
          <cell r="I4858">
            <v>4875722000000</v>
          </cell>
        </row>
        <row r="4859">
          <cell r="A4859" t="str">
            <v>Costa Rica</v>
          </cell>
          <cell r="B4859">
            <v>188</v>
          </cell>
          <cell r="C4859">
            <v>203</v>
          </cell>
          <cell r="D4859">
            <v>3</v>
          </cell>
          <cell r="E4859" t="str">
            <v>Equals: VALUE ADDED, GROSS, at basic prices</v>
          </cell>
          <cell r="F4859">
            <v>12</v>
          </cell>
          <cell r="G4859">
            <v>2002</v>
          </cell>
          <cell r="H4859">
            <v>100</v>
          </cell>
          <cell r="I4859">
            <v>5477206000000</v>
          </cell>
        </row>
        <row r="4860">
          <cell r="A4860" t="str">
            <v>Costa Rica</v>
          </cell>
          <cell r="B4860">
            <v>188</v>
          </cell>
          <cell r="C4860">
            <v>203</v>
          </cell>
          <cell r="D4860">
            <v>3</v>
          </cell>
          <cell r="E4860" t="str">
            <v>Equals: VALUE ADDED, GROSS, at basic prices</v>
          </cell>
          <cell r="F4860">
            <v>12</v>
          </cell>
          <cell r="G4860">
            <v>2003</v>
          </cell>
          <cell r="H4860">
            <v>100</v>
          </cell>
          <cell r="I4860">
            <v>6321453000000</v>
          </cell>
        </row>
        <row r="4861">
          <cell r="A4861" t="str">
            <v>Costa Rica</v>
          </cell>
          <cell r="B4861">
            <v>188</v>
          </cell>
          <cell r="C4861">
            <v>203</v>
          </cell>
          <cell r="D4861">
            <v>4</v>
          </cell>
          <cell r="E4861" t="str">
            <v>Compensation of employees</v>
          </cell>
          <cell r="F4861">
            <v>12</v>
          </cell>
          <cell r="G4861">
            <v>1970</v>
          </cell>
          <cell r="H4861">
            <v>10</v>
          </cell>
          <cell r="I4861">
            <v>3058000000</v>
          </cell>
        </row>
        <row r="4862">
          <cell r="A4862" t="str">
            <v>Costa Rica</v>
          </cell>
          <cell r="B4862">
            <v>188</v>
          </cell>
          <cell r="C4862">
            <v>203</v>
          </cell>
          <cell r="D4862">
            <v>4</v>
          </cell>
          <cell r="E4862" t="str">
            <v>Compensation of employees</v>
          </cell>
          <cell r="F4862">
            <v>12</v>
          </cell>
          <cell r="G4862">
            <v>1971</v>
          </cell>
          <cell r="H4862">
            <v>10</v>
          </cell>
          <cell r="I4862">
            <v>3424000000</v>
          </cell>
        </row>
        <row r="4863">
          <cell r="A4863" t="str">
            <v>Costa Rica</v>
          </cell>
          <cell r="B4863">
            <v>188</v>
          </cell>
          <cell r="C4863">
            <v>203</v>
          </cell>
          <cell r="D4863">
            <v>4</v>
          </cell>
          <cell r="E4863" t="str">
            <v>Compensation of employees</v>
          </cell>
          <cell r="F4863">
            <v>12</v>
          </cell>
          <cell r="G4863">
            <v>1972</v>
          </cell>
          <cell r="H4863">
            <v>10</v>
          </cell>
          <cell r="I4863">
            <v>3913000000</v>
          </cell>
        </row>
        <row r="4864">
          <cell r="A4864" t="str">
            <v>Costa Rica</v>
          </cell>
          <cell r="B4864">
            <v>188</v>
          </cell>
          <cell r="C4864">
            <v>203</v>
          </cell>
          <cell r="D4864">
            <v>4</v>
          </cell>
          <cell r="E4864" t="str">
            <v>Compensation of employees</v>
          </cell>
          <cell r="F4864">
            <v>12</v>
          </cell>
          <cell r="G4864">
            <v>1973</v>
          </cell>
          <cell r="H4864">
            <v>10</v>
          </cell>
          <cell r="I4864">
            <v>4597000000</v>
          </cell>
        </row>
        <row r="4865">
          <cell r="A4865" t="str">
            <v>Costa Rica</v>
          </cell>
          <cell r="B4865">
            <v>188</v>
          </cell>
          <cell r="C4865">
            <v>203</v>
          </cell>
          <cell r="D4865">
            <v>4</v>
          </cell>
          <cell r="E4865" t="str">
            <v>Compensation of employees</v>
          </cell>
          <cell r="F4865">
            <v>12</v>
          </cell>
          <cell r="G4865">
            <v>1974</v>
          </cell>
          <cell r="H4865">
            <v>10</v>
          </cell>
          <cell r="I4865">
            <v>5992000000</v>
          </cell>
        </row>
        <row r="4866">
          <cell r="A4866" t="str">
            <v>Costa Rica</v>
          </cell>
          <cell r="B4866">
            <v>188</v>
          </cell>
          <cell r="C4866">
            <v>203</v>
          </cell>
          <cell r="D4866">
            <v>4</v>
          </cell>
          <cell r="E4866" t="str">
            <v>Compensation of employees</v>
          </cell>
          <cell r="F4866">
            <v>12</v>
          </cell>
          <cell r="G4866">
            <v>1975</v>
          </cell>
          <cell r="H4866">
            <v>10</v>
          </cell>
          <cell r="I4866">
            <v>7693000000</v>
          </cell>
        </row>
        <row r="4867">
          <cell r="A4867" t="str">
            <v>Costa Rica</v>
          </cell>
          <cell r="B4867">
            <v>188</v>
          </cell>
          <cell r="C4867">
            <v>203</v>
          </cell>
          <cell r="D4867">
            <v>4</v>
          </cell>
          <cell r="E4867" t="str">
            <v>Compensation of employees</v>
          </cell>
          <cell r="F4867">
            <v>12</v>
          </cell>
          <cell r="G4867">
            <v>1976</v>
          </cell>
          <cell r="H4867">
            <v>10</v>
          </cell>
          <cell r="I4867">
            <v>9620000000</v>
          </cell>
        </row>
        <row r="4868">
          <cell r="A4868" t="str">
            <v>Costa Rica</v>
          </cell>
          <cell r="B4868">
            <v>188</v>
          </cell>
          <cell r="C4868">
            <v>203</v>
          </cell>
          <cell r="D4868">
            <v>4</v>
          </cell>
          <cell r="E4868" t="str">
            <v>Compensation of employees</v>
          </cell>
          <cell r="F4868">
            <v>12</v>
          </cell>
          <cell r="G4868">
            <v>1977</v>
          </cell>
          <cell r="H4868">
            <v>10</v>
          </cell>
          <cell r="I4868">
            <v>11801000000</v>
          </cell>
        </row>
        <row r="4869">
          <cell r="A4869" t="str">
            <v>Costa Rica</v>
          </cell>
          <cell r="B4869">
            <v>188</v>
          </cell>
          <cell r="C4869">
            <v>203</v>
          </cell>
          <cell r="D4869">
            <v>4</v>
          </cell>
          <cell r="E4869" t="str">
            <v>Compensation of employees</v>
          </cell>
          <cell r="F4869">
            <v>12</v>
          </cell>
          <cell r="G4869">
            <v>1978</v>
          </cell>
          <cell r="H4869">
            <v>10</v>
          </cell>
          <cell r="I4869">
            <v>14340000000</v>
          </cell>
        </row>
        <row r="4870">
          <cell r="A4870" t="str">
            <v>Costa Rica</v>
          </cell>
          <cell r="B4870">
            <v>188</v>
          </cell>
          <cell r="C4870">
            <v>203</v>
          </cell>
          <cell r="D4870">
            <v>4</v>
          </cell>
          <cell r="E4870" t="str">
            <v>Compensation of employees</v>
          </cell>
          <cell r="F4870">
            <v>12</v>
          </cell>
          <cell r="G4870">
            <v>1979</v>
          </cell>
          <cell r="H4870">
            <v>10</v>
          </cell>
          <cell r="I4870">
            <v>17148000000</v>
          </cell>
        </row>
        <row r="4871">
          <cell r="A4871" t="str">
            <v>Costa Rica</v>
          </cell>
          <cell r="B4871">
            <v>188</v>
          </cell>
          <cell r="C4871">
            <v>203</v>
          </cell>
          <cell r="D4871">
            <v>4</v>
          </cell>
          <cell r="E4871" t="str">
            <v>Compensation of employees</v>
          </cell>
          <cell r="F4871">
            <v>12</v>
          </cell>
          <cell r="G4871">
            <v>1980</v>
          </cell>
          <cell r="H4871">
            <v>10</v>
          </cell>
          <cell r="I4871">
            <v>20495000000</v>
          </cell>
        </row>
        <row r="4872">
          <cell r="A4872" t="str">
            <v>Costa Rica</v>
          </cell>
          <cell r="B4872">
            <v>188</v>
          </cell>
          <cell r="C4872">
            <v>203</v>
          </cell>
          <cell r="D4872">
            <v>4</v>
          </cell>
          <cell r="E4872" t="str">
            <v>Compensation of employees</v>
          </cell>
          <cell r="F4872">
            <v>12</v>
          </cell>
          <cell r="G4872">
            <v>1981</v>
          </cell>
          <cell r="H4872">
            <v>10</v>
          </cell>
          <cell r="I4872">
            <v>24785000000</v>
          </cell>
        </row>
        <row r="4873">
          <cell r="A4873" t="str">
            <v>Costa Rica</v>
          </cell>
          <cell r="B4873">
            <v>188</v>
          </cell>
          <cell r="C4873">
            <v>203</v>
          </cell>
          <cell r="D4873">
            <v>4</v>
          </cell>
          <cell r="E4873" t="str">
            <v>Compensation of employees</v>
          </cell>
          <cell r="F4873">
            <v>12</v>
          </cell>
          <cell r="G4873">
            <v>1982</v>
          </cell>
          <cell r="H4873">
            <v>10</v>
          </cell>
          <cell r="I4873">
            <v>38123000000</v>
          </cell>
        </row>
        <row r="4874">
          <cell r="A4874" t="str">
            <v>Costa Rica</v>
          </cell>
          <cell r="B4874">
            <v>188</v>
          </cell>
          <cell r="C4874">
            <v>203</v>
          </cell>
          <cell r="D4874">
            <v>4</v>
          </cell>
          <cell r="E4874" t="str">
            <v>Compensation of employees</v>
          </cell>
          <cell r="F4874">
            <v>12</v>
          </cell>
          <cell r="G4874">
            <v>1983</v>
          </cell>
          <cell r="H4874">
            <v>10</v>
          </cell>
          <cell r="I4874">
            <v>56432000000</v>
          </cell>
        </row>
        <row r="4875">
          <cell r="A4875" t="str">
            <v>Costa Rica</v>
          </cell>
          <cell r="B4875">
            <v>188</v>
          </cell>
          <cell r="C4875">
            <v>203</v>
          </cell>
          <cell r="D4875">
            <v>4</v>
          </cell>
          <cell r="E4875" t="str">
            <v>Compensation of employees</v>
          </cell>
          <cell r="F4875">
            <v>12</v>
          </cell>
          <cell r="G4875">
            <v>1984</v>
          </cell>
          <cell r="H4875">
            <v>10</v>
          </cell>
          <cell r="I4875">
            <v>73431000000</v>
          </cell>
        </row>
        <row r="4876">
          <cell r="A4876" t="str">
            <v>Costa Rica</v>
          </cell>
          <cell r="B4876">
            <v>188</v>
          </cell>
          <cell r="C4876">
            <v>203</v>
          </cell>
          <cell r="D4876">
            <v>4</v>
          </cell>
          <cell r="E4876" t="str">
            <v>Compensation of employees</v>
          </cell>
          <cell r="F4876">
            <v>12</v>
          </cell>
          <cell r="G4876">
            <v>1985</v>
          </cell>
          <cell r="H4876">
            <v>10</v>
          </cell>
          <cell r="I4876">
            <v>92641000000</v>
          </cell>
        </row>
        <row r="4877">
          <cell r="A4877" t="str">
            <v>Costa Rica</v>
          </cell>
          <cell r="B4877">
            <v>188</v>
          </cell>
          <cell r="C4877">
            <v>203</v>
          </cell>
          <cell r="D4877">
            <v>4</v>
          </cell>
          <cell r="E4877" t="str">
            <v>Compensation of employees</v>
          </cell>
          <cell r="F4877">
            <v>12</v>
          </cell>
          <cell r="G4877">
            <v>1986</v>
          </cell>
          <cell r="H4877">
            <v>10</v>
          </cell>
          <cell r="I4877">
            <v>112753000000</v>
          </cell>
        </row>
        <row r="4878">
          <cell r="A4878" t="str">
            <v>Costa Rica</v>
          </cell>
          <cell r="B4878">
            <v>188</v>
          </cell>
          <cell r="C4878">
            <v>203</v>
          </cell>
          <cell r="D4878">
            <v>4</v>
          </cell>
          <cell r="E4878" t="str">
            <v>Compensation of employees</v>
          </cell>
          <cell r="F4878">
            <v>12</v>
          </cell>
          <cell r="G4878">
            <v>1987</v>
          </cell>
          <cell r="H4878">
            <v>10</v>
          </cell>
          <cell r="I4878">
            <v>134065000000</v>
          </cell>
        </row>
        <row r="4879">
          <cell r="A4879" t="str">
            <v>Costa Rica</v>
          </cell>
          <cell r="B4879">
            <v>188</v>
          </cell>
          <cell r="C4879">
            <v>203</v>
          </cell>
          <cell r="D4879">
            <v>4</v>
          </cell>
          <cell r="E4879" t="str">
            <v>Compensation of employees</v>
          </cell>
          <cell r="F4879">
            <v>12</v>
          </cell>
          <cell r="G4879">
            <v>1988</v>
          </cell>
          <cell r="H4879">
            <v>10</v>
          </cell>
          <cell r="I4879">
            <v>166356000000</v>
          </cell>
        </row>
        <row r="4880">
          <cell r="A4880" t="str">
            <v>Costa Rica</v>
          </cell>
          <cell r="B4880">
            <v>188</v>
          </cell>
          <cell r="C4880">
            <v>203</v>
          </cell>
          <cell r="D4880">
            <v>4</v>
          </cell>
          <cell r="E4880" t="str">
            <v>Compensation of employees</v>
          </cell>
          <cell r="F4880">
            <v>12</v>
          </cell>
          <cell r="G4880">
            <v>1989</v>
          </cell>
          <cell r="H4880">
            <v>10</v>
          </cell>
          <cell r="I4880">
            <v>209002000000</v>
          </cell>
        </row>
        <row r="4881">
          <cell r="A4881" t="str">
            <v>Costa Rica</v>
          </cell>
          <cell r="B4881">
            <v>188</v>
          </cell>
          <cell r="C4881">
            <v>203</v>
          </cell>
          <cell r="D4881">
            <v>4</v>
          </cell>
          <cell r="E4881" t="str">
            <v>Compensation of employees</v>
          </cell>
          <cell r="F4881">
            <v>12</v>
          </cell>
          <cell r="G4881">
            <v>1990</v>
          </cell>
          <cell r="H4881">
            <v>10</v>
          </cell>
          <cell r="I4881">
            <v>264395000000</v>
          </cell>
        </row>
        <row r="4882">
          <cell r="A4882" t="str">
            <v>Costa Rica</v>
          </cell>
          <cell r="B4882">
            <v>188</v>
          </cell>
          <cell r="C4882">
            <v>203</v>
          </cell>
          <cell r="D4882">
            <v>4</v>
          </cell>
          <cell r="E4882" t="str">
            <v>Compensation of employees</v>
          </cell>
          <cell r="F4882">
            <v>12</v>
          </cell>
          <cell r="G4882">
            <v>1991</v>
          </cell>
          <cell r="H4882">
            <v>10</v>
          </cell>
          <cell r="I4882">
            <v>326928000000</v>
          </cell>
        </row>
        <row r="4883">
          <cell r="A4883" t="str">
            <v>Costa Rica</v>
          </cell>
          <cell r="B4883">
            <v>188</v>
          </cell>
          <cell r="C4883">
            <v>203</v>
          </cell>
          <cell r="D4883">
            <v>4</v>
          </cell>
          <cell r="E4883" t="str">
            <v>Compensation of employees</v>
          </cell>
          <cell r="F4883">
            <v>12</v>
          </cell>
          <cell r="G4883">
            <v>1991</v>
          </cell>
          <cell r="H4883">
            <v>100</v>
          </cell>
          <cell r="I4883">
            <v>380871000000</v>
          </cell>
        </row>
        <row r="4884">
          <cell r="A4884" t="str">
            <v>Costa Rica</v>
          </cell>
          <cell r="B4884">
            <v>188</v>
          </cell>
          <cell r="C4884">
            <v>203</v>
          </cell>
          <cell r="D4884">
            <v>4</v>
          </cell>
          <cell r="E4884" t="str">
            <v>Compensation of employees</v>
          </cell>
          <cell r="F4884">
            <v>12</v>
          </cell>
          <cell r="G4884">
            <v>1992</v>
          </cell>
          <cell r="H4884">
            <v>100</v>
          </cell>
          <cell r="I4884">
            <v>503588000000</v>
          </cell>
        </row>
        <row r="4885">
          <cell r="A4885" t="str">
            <v>Costa Rica</v>
          </cell>
          <cell r="B4885">
            <v>188</v>
          </cell>
          <cell r="C4885">
            <v>203</v>
          </cell>
          <cell r="D4885">
            <v>4</v>
          </cell>
          <cell r="E4885" t="str">
            <v>Compensation of employees</v>
          </cell>
          <cell r="F4885">
            <v>12</v>
          </cell>
          <cell r="G4885">
            <v>1993</v>
          </cell>
          <cell r="H4885">
            <v>100</v>
          </cell>
          <cell r="I4885">
            <v>624129000000</v>
          </cell>
        </row>
        <row r="4886">
          <cell r="A4886" t="str">
            <v>Costa Rica</v>
          </cell>
          <cell r="B4886">
            <v>188</v>
          </cell>
          <cell r="C4886">
            <v>203</v>
          </cell>
          <cell r="D4886">
            <v>4</v>
          </cell>
          <cell r="E4886" t="str">
            <v>Compensation of employees</v>
          </cell>
          <cell r="F4886">
            <v>12</v>
          </cell>
          <cell r="G4886">
            <v>1994</v>
          </cell>
          <cell r="H4886">
            <v>100</v>
          </cell>
          <cell r="I4886">
            <v>771482000000</v>
          </cell>
        </row>
        <row r="4887">
          <cell r="A4887" t="str">
            <v>Costa Rica</v>
          </cell>
          <cell r="B4887">
            <v>188</v>
          </cell>
          <cell r="C4887">
            <v>203</v>
          </cell>
          <cell r="D4887">
            <v>4</v>
          </cell>
          <cell r="E4887" t="str">
            <v>Compensation of employees</v>
          </cell>
          <cell r="F4887">
            <v>12</v>
          </cell>
          <cell r="G4887">
            <v>1995</v>
          </cell>
          <cell r="H4887">
            <v>100</v>
          </cell>
          <cell r="I4887">
            <v>961517000000</v>
          </cell>
        </row>
        <row r="4888">
          <cell r="A4888" t="str">
            <v>Costa Rica</v>
          </cell>
          <cell r="B4888">
            <v>188</v>
          </cell>
          <cell r="C4888">
            <v>203</v>
          </cell>
          <cell r="D4888">
            <v>4</v>
          </cell>
          <cell r="E4888" t="str">
            <v>Compensation of employees</v>
          </cell>
          <cell r="F4888">
            <v>12</v>
          </cell>
          <cell r="G4888">
            <v>1996</v>
          </cell>
          <cell r="H4888">
            <v>100</v>
          </cell>
          <cell r="I4888">
            <v>1124140000000</v>
          </cell>
        </row>
        <row r="4889">
          <cell r="A4889" t="str">
            <v>Costa Rica</v>
          </cell>
          <cell r="B4889">
            <v>188</v>
          </cell>
          <cell r="C4889">
            <v>203</v>
          </cell>
          <cell r="D4889">
            <v>4</v>
          </cell>
          <cell r="E4889" t="str">
            <v>Compensation of employees</v>
          </cell>
          <cell r="F4889">
            <v>12</v>
          </cell>
          <cell r="G4889">
            <v>1997</v>
          </cell>
          <cell r="H4889">
            <v>100</v>
          </cell>
          <cell r="I4889">
            <v>1345053000000</v>
          </cell>
        </row>
        <row r="4890">
          <cell r="A4890" t="str">
            <v>Costa Rica</v>
          </cell>
          <cell r="B4890">
            <v>188</v>
          </cell>
          <cell r="C4890">
            <v>203</v>
          </cell>
          <cell r="D4890">
            <v>4</v>
          </cell>
          <cell r="E4890" t="str">
            <v>Compensation of employees</v>
          </cell>
          <cell r="F4890">
            <v>12</v>
          </cell>
          <cell r="G4890">
            <v>1998</v>
          </cell>
          <cell r="H4890">
            <v>100</v>
          </cell>
          <cell r="I4890">
            <v>1629599000000</v>
          </cell>
        </row>
        <row r="4891">
          <cell r="A4891" t="str">
            <v>Costa Rica</v>
          </cell>
          <cell r="B4891">
            <v>188</v>
          </cell>
          <cell r="C4891">
            <v>203</v>
          </cell>
          <cell r="D4891">
            <v>4</v>
          </cell>
          <cell r="E4891" t="str">
            <v>Compensation of employees</v>
          </cell>
          <cell r="F4891">
            <v>12</v>
          </cell>
          <cell r="G4891">
            <v>1999</v>
          </cell>
          <cell r="H4891">
            <v>100</v>
          </cell>
          <cell r="I4891">
            <v>1938463000000</v>
          </cell>
        </row>
        <row r="4892">
          <cell r="A4892" t="str">
            <v>Costa Rica</v>
          </cell>
          <cell r="B4892">
            <v>188</v>
          </cell>
          <cell r="C4892">
            <v>203</v>
          </cell>
          <cell r="D4892">
            <v>4</v>
          </cell>
          <cell r="E4892" t="str">
            <v>Compensation of employees</v>
          </cell>
          <cell r="F4892">
            <v>12</v>
          </cell>
          <cell r="G4892">
            <v>2000</v>
          </cell>
          <cell r="H4892">
            <v>100</v>
          </cell>
          <cell r="I4892">
            <v>2205362000000</v>
          </cell>
        </row>
        <row r="4893">
          <cell r="A4893" t="str">
            <v>Costa Rica</v>
          </cell>
          <cell r="B4893">
            <v>188</v>
          </cell>
          <cell r="C4893">
            <v>203</v>
          </cell>
          <cell r="D4893">
            <v>4</v>
          </cell>
          <cell r="E4893" t="str">
            <v>Compensation of employees</v>
          </cell>
          <cell r="F4893">
            <v>12</v>
          </cell>
          <cell r="G4893">
            <v>2001</v>
          </cell>
          <cell r="H4893">
            <v>100</v>
          </cell>
          <cell r="I4893">
            <v>2564312000000</v>
          </cell>
        </row>
        <row r="4894">
          <cell r="A4894" t="str">
            <v>Costa Rica</v>
          </cell>
          <cell r="B4894">
            <v>188</v>
          </cell>
          <cell r="C4894">
            <v>203</v>
          </cell>
          <cell r="D4894">
            <v>4</v>
          </cell>
          <cell r="E4894" t="str">
            <v>Compensation of employees</v>
          </cell>
          <cell r="F4894">
            <v>12</v>
          </cell>
          <cell r="G4894">
            <v>2002</v>
          </cell>
          <cell r="H4894">
            <v>100</v>
          </cell>
          <cell r="I4894">
            <v>2903696000000</v>
          </cell>
        </row>
        <row r="4895">
          <cell r="A4895" t="str">
            <v>Costa Rica</v>
          </cell>
          <cell r="B4895">
            <v>188</v>
          </cell>
          <cell r="C4895">
            <v>203</v>
          </cell>
          <cell r="D4895">
            <v>4</v>
          </cell>
          <cell r="E4895" t="str">
            <v>Compensation of employees</v>
          </cell>
          <cell r="F4895">
            <v>12</v>
          </cell>
          <cell r="G4895">
            <v>2003</v>
          </cell>
          <cell r="H4895">
            <v>100</v>
          </cell>
          <cell r="I4895">
            <v>3291455000000</v>
          </cell>
        </row>
        <row r="4896">
          <cell r="A4896" t="str">
            <v>Iceland</v>
          </cell>
          <cell r="B4896">
            <v>352</v>
          </cell>
          <cell r="C4896">
            <v>203</v>
          </cell>
          <cell r="D4896">
            <v>11</v>
          </cell>
          <cell r="E4896" t="str">
            <v>OPERATING SURPLUS, GROSS</v>
          </cell>
          <cell r="F4896">
            <v>12</v>
          </cell>
          <cell r="G4896">
            <v>1973</v>
          </cell>
          <cell r="H4896">
            <v>30</v>
          </cell>
          <cell r="I4896">
            <v>299000000</v>
          </cell>
        </row>
        <row r="4897">
          <cell r="A4897" t="str">
            <v>Iceland</v>
          </cell>
          <cell r="B4897">
            <v>352</v>
          </cell>
          <cell r="C4897">
            <v>203</v>
          </cell>
          <cell r="D4897">
            <v>11</v>
          </cell>
          <cell r="E4897" t="str">
            <v>OPERATING SURPLUS, GROSS</v>
          </cell>
          <cell r="F4897">
            <v>12</v>
          </cell>
          <cell r="G4897">
            <v>1974</v>
          </cell>
          <cell r="H4897">
            <v>30</v>
          </cell>
          <cell r="I4897">
            <v>375000000</v>
          </cell>
        </row>
        <row r="4898">
          <cell r="A4898" t="str">
            <v>Iceland</v>
          </cell>
          <cell r="B4898">
            <v>352</v>
          </cell>
          <cell r="C4898">
            <v>203</v>
          </cell>
          <cell r="D4898">
            <v>11</v>
          </cell>
          <cell r="E4898" t="str">
            <v>OPERATING SURPLUS, GROSS</v>
          </cell>
          <cell r="F4898">
            <v>12</v>
          </cell>
          <cell r="G4898">
            <v>1975</v>
          </cell>
          <cell r="H4898">
            <v>30</v>
          </cell>
          <cell r="I4898">
            <v>579000000</v>
          </cell>
        </row>
        <row r="4899">
          <cell r="A4899" t="str">
            <v>Iceland</v>
          </cell>
          <cell r="B4899">
            <v>352</v>
          </cell>
          <cell r="C4899">
            <v>203</v>
          </cell>
          <cell r="D4899">
            <v>11</v>
          </cell>
          <cell r="E4899" t="str">
            <v>OPERATING SURPLUS, GROSS</v>
          </cell>
          <cell r="F4899">
            <v>12</v>
          </cell>
          <cell r="G4899">
            <v>1976</v>
          </cell>
          <cell r="H4899">
            <v>30</v>
          </cell>
          <cell r="I4899">
            <v>847000000</v>
          </cell>
        </row>
        <row r="4900">
          <cell r="A4900" t="str">
            <v>Iceland</v>
          </cell>
          <cell r="B4900">
            <v>352</v>
          </cell>
          <cell r="C4900">
            <v>203</v>
          </cell>
          <cell r="D4900">
            <v>11</v>
          </cell>
          <cell r="E4900" t="str">
            <v>OPERATING SURPLUS, GROSS</v>
          </cell>
          <cell r="F4900">
            <v>12</v>
          </cell>
          <cell r="G4900">
            <v>1977</v>
          </cell>
          <cell r="H4900">
            <v>30</v>
          </cell>
          <cell r="I4900">
            <v>1142000000</v>
          </cell>
        </row>
        <row r="4901">
          <cell r="A4901" t="str">
            <v>Iceland</v>
          </cell>
          <cell r="B4901">
            <v>352</v>
          </cell>
          <cell r="C4901">
            <v>203</v>
          </cell>
          <cell r="D4901">
            <v>11</v>
          </cell>
          <cell r="E4901" t="str">
            <v>OPERATING SURPLUS, GROSS</v>
          </cell>
          <cell r="F4901">
            <v>12</v>
          </cell>
          <cell r="G4901">
            <v>1978</v>
          </cell>
          <cell r="H4901">
            <v>30</v>
          </cell>
          <cell r="I4901">
            <v>1690000000</v>
          </cell>
        </row>
        <row r="4902">
          <cell r="A4902" t="str">
            <v>Iceland</v>
          </cell>
          <cell r="B4902">
            <v>352</v>
          </cell>
          <cell r="C4902">
            <v>203</v>
          </cell>
          <cell r="D4902">
            <v>11</v>
          </cell>
          <cell r="E4902" t="str">
            <v>OPERATING SURPLUS, GROSS</v>
          </cell>
          <cell r="F4902">
            <v>12</v>
          </cell>
          <cell r="G4902">
            <v>1979</v>
          </cell>
          <cell r="H4902">
            <v>30</v>
          </cell>
          <cell r="I4902">
            <v>2491000000</v>
          </cell>
        </row>
        <row r="4903">
          <cell r="A4903" t="str">
            <v>Iceland</v>
          </cell>
          <cell r="B4903">
            <v>352</v>
          </cell>
          <cell r="C4903">
            <v>203</v>
          </cell>
          <cell r="D4903">
            <v>11</v>
          </cell>
          <cell r="E4903" t="str">
            <v>OPERATING SURPLUS, GROSS</v>
          </cell>
          <cell r="F4903">
            <v>12</v>
          </cell>
          <cell r="G4903">
            <v>1980</v>
          </cell>
          <cell r="H4903">
            <v>30</v>
          </cell>
          <cell r="I4903">
            <v>4135000000</v>
          </cell>
        </row>
        <row r="4904">
          <cell r="A4904" t="str">
            <v>Iceland</v>
          </cell>
          <cell r="B4904">
            <v>352</v>
          </cell>
          <cell r="C4904">
            <v>203</v>
          </cell>
          <cell r="D4904">
            <v>11</v>
          </cell>
          <cell r="E4904" t="str">
            <v>OPERATING SURPLUS, GROSS</v>
          </cell>
          <cell r="F4904">
            <v>12</v>
          </cell>
          <cell r="G4904">
            <v>1980</v>
          </cell>
          <cell r="H4904">
            <v>40</v>
          </cell>
          <cell r="I4904">
            <v>4458820000</v>
          </cell>
        </row>
        <row r="4905">
          <cell r="A4905" t="str">
            <v>Iceland</v>
          </cell>
          <cell r="B4905">
            <v>352</v>
          </cell>
          <cell r="C4905">
            <v>203</v>
          </cell>
          <cell r="D4905">
            <v>11</v>
          </cell>
          <cell r="E4905" t="str">
            <v>OPERATING SURPLUS, GROSS</v>
          </cell>
          <cell r="F4905">
            <v>12</v>
          </cell>
          <cell r="G4905">
            <v>1981</v>
          </cell>
          <cell r="H4905">
            <v>40</v>
          </cell>
          <cell r="I4905">
            <v>6774013000</v>
          </cell>
        </row>
        <row r="4906">
          <cell r="A4906" t="str">
            <v>Iceland</v>
          </cell>
          <cell r="B4906">
            <v>352</v>
          </cell>
          <cell r="C4906">
            <v>203</v>
          </cell>
          <cell r="D4906">
            <v>11</v>
          </cell>
          <cell r="E4906" t="str">
            <v>OPERATING SURPLUS, GROSS</v>
          </cell>
          <cell r="F4906">
            <v>12</v>
          </cell>
          <cell r="G4906">
            <v>1982</v>
          </cell>
          <cell r="H4906">
            <v>40</v>
          </cell>
          <cell r="I4906">
            <v>10947130000</v>
          </cell>
        </row>
        <row r="4907">
          <cell r="A4907" t="str">
            <v>Iceland</v>
          </cell>
          <cell r="B4907">
            <v>352</v>
          </cell>
          <cell r="C4907">
            <v>203</v>
          </cell>
          <cell r="D4907">
            <v>11</v>
          </cell>
          <cell r="E4907" t="str">
            <v>OPERATING SURPLUS, GROSS</v>
          </cell>
          <cell r="F4907">
            <v>12</v>
          </cell>
          <cell r="G4907">
            <v>1983</v>
          </cell>
          <cell r="H4907">
            <v>40</v>
          </cell>
          <cell r="I4907">
            <v>23290890000</v>
          </cell>
        </row>
        <row r="4908">
          <cell r="A4908" t="str">
            <v>Iceland</v>
          </cell>
          <cell r="B4908">
            <v>352</v>
          </cell>
          <cell r="C4908">
            <v>203</v>
          </cell>
          <cell r="D4908">
            <v>11</v>
          </cell>
          <cell r="E4908" t="str">
            <v>OPERATING SURPLUS, GROSS</v>
          </cell>
          <cell r="F4908">
            <v>12</v>
          </cell>
          <cell r="G4908">
            <v>1984</v>
          </cell>
          <cell r="H4908">
            <v>40</v>
          </cell>
          <cell r="I4908">
            <v>30977651000</v>
          </cell>
        </row>
        <row r="4909">
          <cell r="A4909" t="str">
            <v>Iceland</v>
          </cell>
          <cell r="B4909">
            <v>352</v>
          </cell>
          <cell r="C4909">
            <v>203</v>
          </cell>
          <cell r="D4909">
            <v>11</v>
          </cell>
          <cell r="E4909" t="str">
            <v>OPERATING SURPLUS, GROSS</v>
          </cell>
          <cell r="F4909">
            <v>12</v>
          </cell>
          <cell r="G4909">
            <v>1985</v>
          </cell>
          <cell r="H4909">
            <v>40</v>
          </cell>
          <cell r="I4909">
            <v>38587143000</v>
          </cell>
        </row>
        <row r="4910">
          <cell r="A4910" t="str">
            <v>Iceland</v>
          </cell>
          <cell r="B4910">
            <v>352</v>
          </cell>
          <cell r="C4910">
            <v>203</v>
          </cell>
          <cell r="D4910">
            <v>11</v>
          </cell>
          <cell r="E4910" t="str">
            <v>OPERATING SURPLUS, GROSS</v>
          </cell>
          <cell r="F4910">
            <v>12</v>
          </cell>
          <cell r="G4910">
            <v>1986</v>
          </cell>
          <cell r="H4910">
            <v>40</v>
          </cell>
          <cell r="I4910">
            <v>49505601000</v>
          </cell>
        </row>
        <row r="4911">
          <cell r="A4911" t="str">
            <v>Iceland</v>
          </cell>
          <cell r="B4911">
            <v>352</v>
          </cell>
          <cell r="C4911">
            <v>203</v>
          </cell>
          <cell r="D4911">
            <v>11</v>
          </cell>
          <cell r="E4911" t="str">
            <v>OPERATING SURPLUS, GROSS</v>
          </cell>
          <cell r="F4911">
            <v>12</v>
          </cell>
          <cell r="G4911">
            <v>1987</v>
          </cell>
          <cell r="H4911">
            <v>40</v>
          </cell>
          <cell r="I4911">
            <v>61158983000</v>
          </cell>
        </row>
        <row r="4912">
          <cell r="A4912" t="str">
            <v>Iceland</v>
          </cell>
          <cell r="B4912">
            <v>352</v>
          </cell>
          <cell r="C4912">
            <v>203</v>
          </cell>
          <cell r="D4912">
            <v>11</v>
          </cell>
          <cell r="E4912" t="str">
            <v>OPERATING SURPLUS, GROSS</v>
          </cell>
          <cell r="F4912">
            <v>12</v>
          </cell>
          <cell r="G4912">
            <v>1988</v>
          </cell>
          <cell r="H4912">
            <v>40</v>
          </cell>
          <cell r="I4912">
            <v>73292342000</v>
          </cell>
        </row>
        <row r="4913">
          <cell r="A4913" t="str">
            <v>Iceland</v>
          </cell>
          <cell r="B4913">
            <v>352</v>
          </cell>
          <cell r="C4913">
            <v>203</v>
          </cell>
          <cell r="D4913">
            <v>11</v>
          </cell>
          <cell r="E4913" t="str">
            <v>OPERATING SURPLUS, GROSS</v>
          </cell>
          <cell r="F4913">
            <v>12</v>
          </cell>
          <cell r="G4913">
            <v>1989</v>
          </cell>
          <cell r="H4913">
            <v>40</v>
          </cell>
          <cell r="I4913">
            <v>95293374000</v>
          </cell>
        </row>
        <row r="4914">
          <cell r="A4914" t="str">
            <v>Iceland</v>
          </cell>
          <cell r="B4914">
            <v>352</v>
          </cell>
          <cell r="C4914">
            <v>203</v>
          </cell>
          <cell r="D4914">
            <v>11</v>
          </cell>
          <cell r="E4914" t="str">
            <v>OPERATING SURPLUS, GROSS</v>
          </cell>
          <cell r="F4914">
            <v>12</v>
          </cell>
          <cell r="G4914">
            <v>1990</v>
          </cell>
          <cell r="H4914">
            <v>40</v>
          </cell>
          <cell r="I4914">
            <v>115949000000</v>
          </cell>
        </row>
        <row r="4915">
          <cell r="A4915" t="str">
            <v>Iceland</v>
          </cell>
          <cell r="B4915">
            <v>352</v>
          </cell>
          <cell r="C4915">
            <v>203</v>
          </cell>
          <cell r="D4915">
            <v>11</v>
          </cell>
          <cell r="E4915" t="str">
            <v>OPERATING SURPLUS, GROSS</v>
          </cell>
          <cell r="F4915">
            <v>12</v>
          </cell>
          <cell r="G4915">
            <v>1990</v>
          </cell>
          <cell r="H4915">
            <v>100</v>
          </cell>
          <cell r="I4915">
            <v>128805159860</v>
          </cell>
        </row>
        <row r="4916">
          <cell r="A4916" t="str">
            <v>Iceland</v>
          </cell>
          <cell r="B4916">
            <v>352</v>
          </cell>
          <cell r="C4916">
            <v>203</v>
          </cell>
          <cell r="D4916">
            <v>11</v>
          </cell>
          <cell r="E4916" t="str">
            <v>OPERATING SURPLUS, GROSS</v>
          </cell>
          <cell r="F4916">
            <v>12</v>
          </cell>
          <cell r="G4916">
            <v>1991</v>
          </cell>
          <cell r="H4916">
            <v>100</v>
          </cell>
          <cell r="I4916">
            <v>132926548610</v>
          </cell>
        </row>
        <row r="4917">
          <cell r="A4917" t="str">
            <v>Iceland</v>
          </cell>
          <cell r="B4917">
            <v>352</v>
          </cell>
          <cell r="C4917">
            <v>203</v>
          </cell>
          <cell r="D4917">
            <v>11</v>
          </cell>
          <cell r="E4917" t="str">
            <v>OPERATING SURPLUS, GROSS</v>
          </cell>
          <cell r="F4917">
            <v>12</v>
          </cell>
          <cell r="G4917">
            <v>1992</v>
          </cell>
          <cell r="H4917">
            <v>100</v>
          </cell>
          <cell r="I4917">
            <v>140536670220</v>
          </cell>
        </row>
        <row r="4918">
          <cell r="A4918" t="str">
            <v>Iceland</v>
          </cell>
          <cell r="B4918">
            <v>352</v>
          </cell>
          <cell r="C4918">
            <v>203</v>
          </cell>
          <cell r="D4918">
            <v>11</v>
          </cell>
          <cell r="E4918" t="str">
            <v>OPERATING SURPLUS, GROSS</v>
          </cell>
          <cell r="F4918">
            <v>12</v>
          </cell>
          <cell r="G4918">
            <v>1993</v>
          </cell>
          <cell r="H4918">
            <v>100</v>
          </cell>
          <cell r="I4918">
            <v>147474444260</v>
          </cell>
        </row>
        <row r="4919">
          <cell r="A4919" t="str">
            <v>Iceland</v>
          </cell>
          <cell r="B4919">
            <v>352</v>
          </cell>
          <cell r="C4919">
            <v>203</v>
          </cell>
          <cell r="D4919">
            <v>11</v>
          </cell>
          <cell r="E4919" t="str">
            <v>OPERATING SURPLUS, GROSS</v>
          </cell>
          <cell r="F4919">
            <v>12</v>
          </cell>
          <cell r="G4919">
            <v>1994</v>
          </cell>
          <cell r="H4919">
            <v>100</v>
          </cell>
          <cell r="I4919">
            <v>159717529570</v>
          </cell>
        </row>
        <row r="4920">
          <cell r="A4920" t="str">
            <v>Iceland</v>
          </cell>
          <cell r="B4920">
            <v>352</v>
          </cell>
          <cell r="C4920">
            <v>203</v>
          </cell>
          <cell r="D4920">
            <v>11</v>
          </cell>
          <cell r="E4920" t="str">
            <v>OPERATING SURPLUS, GROSS</v>
          </cell>
          <cell r="F4920">
            <v>12</v>
          </cell>
          <cell r="G4920">
            <v>1995</v>
          </cell>
          <cell r="H4920">
            <v>100</v>
          </cell>
          <cell r="I4920">
            <v>157694021920</v>
          </cell>
        </row>
        <row r="4921">
          <cell r="A4921" t="str">
            <v>Iceland</v>
          </cell>
          <cell r="B4921">
            <v>352</v>
          </cell>
          <cell r="C4921">
            <v>203</v>
          </cell>
          <cell r="D4921">
            <v>11</v>
          </cell>
          <cell r="E4921" t="str">
            <v>OPERATING SURPLUS, GROSS</v>
          </cell>
          <cell r="F4921">
            <v>12</v>
          </cell>
          <cell r="G4921">
            <v>1996</v>
          </cell>
          <cell r="H4921">
            <v>100</v>
          </cell>
          <cell r="I4921">
            <v>163150110810</v>
          </cell>
        </row>
        <row r="4922">
          <cell r="A4922" t="str">
            <v>Iceland</v>
          </cell>
          <cell r="B4922">
            <v>352</v>
          </cell>
          <cell r="C4922">
            <v>203</v>
          </cell>
          <cell r="D4922">
            <v>11</v>
          </cell>
          <cell r="E4922" t="str">
            <v>OPERATING SURPLUS, GROSS</v>
          </cell>
          <cell r="F4922">
            <v>12</v>
          </cell>
          <cell r="G4922">
            <v>1997</v>
          </cell>
          <cell r="H4922">
            <v>100</v>
          </cell>
          <cell r="I4922">
            <v>177638135090</v>
          </cell>
        </row>
        <row r="4923">
          <cell r="A4923" t="str">
            <v>Iceland</v>
          </cell>
          <cell r="B4923">
            <v>352</v>
          </cell>
          <cell r="C4923">
            <v>203</v>
          </cell>
          <cell r="D4923">
            <v>11</v>
          </cell>
          <cell r="E4923" t="str">
            <v>OPERATING SURPLUS, GROSS</v>
          </cell>
          <cell r="F4923">
            <v>12</v>
          </cell>
          <cell r="G4923">
            <v>1997</v>
          </cell>
          <cell r="H4923">
            <v>200</v>
          </cell>
          <cell r="I4923">
            <v>184321365600</v>
          </cell>
        </row>
        <row r="4924">
          <cell r="A4924" t="str">
            <v>Iceland</v>
          </cell>
          <cell r="B4924">
            <v>352</v>
          </cell>
          <cell r="C4924">
            <v>203</v>
          </cell>
          <cell r="D4924">
            <v>11</v>
          </cell>
          <cell r="E4924" t="str">
            <v>OPERATING SURPLUS, GROSS</v>
          </cell>
          <cell r="F4924">
            <v>12</v>
          </cell>
          <cell r="G4924">
            <v>1998</v>
          </cell>
          <cell r="H4924">
            <v>200</v>
          </cell>
          <cell r="I4924">
            <v>187054057250</v>
          </cell>
        </row>
        <row r="4925">
          <cell r="A4925" t="str">
            <v>Iceland</v>
          </cell>
          <cell r="B4925">
            <v>352</v>
          </cell>
          <cell r="C4925">
            <v>203</v>
          </cell>
          <cell r="D4925">
            <v>11</v>
          </cell>
          <cell r="E4925" t="str">
            <v>OPERATING SURPLUS, GROSS</v>
          </cell>
          <cell r="F4925">
            <v>12</v>
          </cell>
          <cell r="G4925">
            <v>1999</v>
          </cell>
          <cell r="H4925">
            <v>200</v>
          </cell>
          <cell r="I4925">
            <v>183528047580</v>
          </cell>
        </row>
        <row r="4926">
          <cell r="A4926" t="str">
            <v>Iceland</v>
          </cell>
          <cell r="B4926">
            <v>352</v>
          </cell>
          <cell r="C4926">
            <v>203</v>
          </cell>
          <cell r="D4926">
            <v>11</v>
          </cell>
          <cell r="E4926" t="str">
            <v>OPERATING SURPLUS, GROSS</v>
          </cell>
          <cell r="F4926">
            <v>12</v>
          </cell>
          <cell r="G4926">
            <v>2000</v>
          </cell>
          <cell r="H4926">
            <v>200</v>
          </cell>
          <cell r="I4926">
            <v>202328548710</v>
          </cell>
        </row>
        <row r="4927">
          <cell r="A4927" t="str">
            <v>Iceland</v>
          </cell>
          <cell r="B4927">
            <v>352</v>
          </cell>
          <cell r="C4927">
            <v>203</v>
          </cell>
          <cell r="D4927">
            <v>11</v>
          </cell>
          <cell r="E4927" t="str">
            <v>OPERATING SURPLUS, GROSS</v>
          </cell>
          <cell r="F4927">
            <v>12</v>
          </cell>
          <cell r="G4927">
            <v>2001</v>
          </cell>
          <cell r="H4927">
            <v>200</v>
          </cell>
          <cell r="I4927">
            <v>247275879800</v>
          </cell>
        </row>
        <row r="4928">
          <cell r="A4928" t="str">
            <v>Costa Rica</v>
          </cell>
          <cell r="B4928">
            <v>188</v>
          </cell>
          <cell r="C4928">
            <v>203</v>
          </cell>
          <cell r="D4928">
            <v>11</v>
          </cell>
          <cell r="E4928" t="str">
            <v>OPERATING SURPLUS, GROSS</v>
          </cell>
          <cell r="F4928">
            <v>12</v>
          </cell>
          <cell r="G4928">
            <v>1970</v>
          </cell>
          <cell r="H4928">
            <v>10</v>
          </cell>
          <cell r="I4928">
            <v>2741000000</v>
          </cell>
        </row>
        <row r="4929">
          <cell r="A4929" t="str">
            <v>Costa Rica</v>
          </cell>
          <cell r="B4929">
            <v>188</v>
          </cell>
          <cell r="C4929">
            <v>203</v>
          </cell>
          <cell r="D4929">
            <v>11</v>
          </cell>
          <cell r="E4929" t="str">
            <v>OPERATING SURPLUS, GROSS</v>
          </cell>
          <cell r="F4929">
            <v>12</v>
          </cell>
          <cell r="G4929">
            <v>1971</v>
          </cell>
          <cell r="H4929">
            <v>10</v>
          </cell>
          <cell r="I4929">
            <v>2944000000</v>
          </cell>
        </row>
        <row r="4930">
          <cell r="A4930" t="str">
            <v>Costa Rica</v>
          </cell>
          <cell r="B4930">
            <v>188</v>
          </cell>
          <cell r="C4930">
            <v>203</v>
          </cell>
          <cell r="D4930">
            <v>11</v>
          </cell>
          <cell r="E4930" t="str">
            <v>OPERATING SURPLUS, GROSS</v>
          </cell>
          <cell r="F4930">
            <v>12</v>
          </cell>
          <cell r="G4930">
            <v>1972</v>
          </cell>
          <cell r="H4930">
            <v>10</v>
          </cell>
          <cell r="I4930">
            <v>3420000000</v>
          </cell>
        </row>
        <row r="4931">
          <cell r="A4931" t="str">
            <v>Costa Rica</v>
          </cell>
          <cell r="B4931">
            <v>188</v>
          </cell>
          <cell r="C4931">
            <v>203</v>
          </cell>
          <cell r="D4931">
            <v>11</v>
          </cell>
          <cell r="E4931" t="str">
            <v>OPERATING SURPLUS, GROSS</v>
          </cell>
          <cell r="F4931">
            <v>12</v>
          </cell>
          <cell r="G4931">
            <v>1973</v>
          </cell>
          <cell r="H4931">
            <v>10</v>
          </cell>
          <cell r="I4931">
            <v>4399000000</v>
          </cell>
        </row>
        <row r="4932">
          <cell r="A4932" t="str">
            <v>Costa Rica</v>
          </cell>
          <cell r="B4932">
            <v>188</v>
          </cell>
          <cell r="C4932">
            <v>203</v>
          </cell>
          <cell r="D4932">
            <v>11</v>
          </cell>
          <cell r="E4932" t="str">
            <v>OPERATING SURPLUS, GROSS</v>
          </cell>
          <cell r="F4932">
            <v>12</v>
          </cell>
          <cell r="G4932">
            <v>1974</v>
          </cell>
          <cell r="H4932">
            <v>10</v>
          </cell>
          <cell r="I4932">
            <v>5561000000</v>
          </cell>
        </row>
        <row r="4933">
          <cell r="A4933" t="str">
            <v>Costa Rica</v>
          </cell>
          <cell r="B4933">
            <v>188</v>
          </cell>
          <cell r="C4933">
            <v>203</v>
          </cell>
          <cell r="D4933">
            <v>11</v>
          </cell>
          <cell r="E4933" t="str">
            <v>OPERATING SURPLUS, GROSS</v>
          </cell>
          <cell r="F4933">
            <v>12</v>
          </cell>
          <cell r="G4933">
            <v>1975</v>
          </cell>
          <cell r="H4933">
            <v>10</v>
          </cell>
          <cell r="I4933">
            <v>6994000000</v>
          </cell>
        </row>
        <row r="4934">
          <cell r="A4934" t="str">
            <v>Costa Rica</v>
          </cell>
          <cell r="B4934">
            <v>188</v>
          </cell>
          <cell r="C4934">
            <v>203</v>
          </cell>
          <cell r="D4934">
            <v>11</v>
          </cell>
          <cell r="E4934" t="str">
            <v>OPERATING SURPLUS, GROSS</v>
          </cell>
          <cell r="F4934">
            <v>12</v>
          </cell>
          <cell r="G4934">
            <v>1976</v>
          </cell>
          <cell r="H4934">
            <v>10</v>
          </cell>
          <cell r="I4934">
            <v>8491000000</v>
          </cell>
        </row>
        <row r="4935">
          <cell r="A4935" t="str">
            <v>Costa Rica</v>
          </cell>
          <cell r="B4935">
            <v>188</v>
          </cell>
          <cell r="C4935">
            <v>203</v>
          </cell>
          <cell r="D4935">
            <v>11</v>
          </cell>
          <cell r="E4935" t="str">
            <v>OPERATING SURPLUS, GROSS</v>
          </cell>
          <cell r="F4935">
            <v>12</v>
          </cell>
          <cell r="G4935">
            <v>1977</v>
          </cell>
          <cell r="H4935">
            <v>10</v>
          </cell>
          <cell r="I4935">
            <v>11120000000</v>
          </cell>
        </row>
        <row r="4936">
          <cell r="A4936" t="str">
            <v>Costa Rica</v>
          </cell>
          <cell r="B4936">
            <v>188</v>
          </cell>
          <cell r="C4936">
            <v>203</v>
          </cell>
          <cell r="D4936">
            <v>11</v>
          </cell>
          <cell r="E4936" t="str">
            <v>OPERATING SURPLUS, GROSS</v>
          </cell>
          <cell r="F4936">
            <v>12</v>
          </cell>
          <cell r="G4936">
            <v>1978</v>
          </cell>
          <cell r="H4936">
            <v>10</v>
          </cell>
          <cell r="I4936">
            <v>11854000000</v>
          </cell>
        </row>
        <row r="4937">
          <cell r="A4937" t="str">
            <v>Costa Rica</v>
          </cell>
          <cell r="B4937">
            <v>188</v>
          </cell>
          <cell r="C4937">
            <v>203</v>
          </cell>
          <cell r="D4937">
            <v>11</v>
          </cell>
          <cell r="E4937" t="str">
            <v>OPERATING SURPLUS, GROSS</v>
          </cell>
          <cell r="F4937">
            <v>12</v>
          </cell>
          <cell r="G4937">
            <v>1979</v>
          </cell>
          <cell r="H4937">
            <v>10</v>
          </cell>
          <cell r="I4937">
            <v>13221000000</v>
          </cell>
        </row>
        <row r="4938">
          <cell r="A4938" t="str">
            <v>Costa Rica</v>
          </cell>
          <cell r="B4938">
            <v>188</v>
          </cell>
          <cell r="C4938">
            <v>203</v>
          </cell>
          <cell r="D4938">
            <v>11</v>
          </cell>
          <cell r="E4938" t="str">
            <v>OPERATING SURPLUS, GROSS</v>
          </cell>
          <cell r="F4938">
            <v>12</v>
          </cell>
          <cell r="G4938">
            <v>1980</v>
          </cell>
          <cell r="H4938">
            <v>10</v>
          </cell>
          <cell r="I4938">
            <v>16048000000</v>
          </cell>
        </row>
        <row r="4939">
          <cell r="A4939" t="str">
            <v>Costa Rica</v>
          </cell>
          <cell r="B4939">
            <v>188</v>
          </cell>
          <cell r="C4939">
            <v>203</v>
          </cell>
          <cell r="D4939">
            <v>11</v>
          </cell>
          <cell r="E4939" t="str">
            <v>OPERATING SURPLUS, GROSS</v>
          </cell>
          <cell r="F4939">
            <v>12</v>
          </cell>
          <cell r="G4939">
            <v>1981</v>
          </cell>
          <cell r="H4939">
            <v>10</v>
          </cell>
          <cell r="I4939">
            <v>25535000000</v>
          </cell>
        </row>
        <row r="4940">
          <cell r="A4940" t="str">
            <v>Costa Rica</v>
          </cell>
          <cell r="B4940">
            <v>188</v>
          </cell>
          <cell r="C4940">
            <v>203</v>
          </cell>
          <cell r="D4940">
            <v>11</v>
          </cell>
          <cell r="E4940" t="str">
            <v>OPERATING SURPLUS, GROSS</v>
          </cell>
          <cell r="F4940">
            <v>12</v>
          </cell>
          <cell r="G4940">
            <v>1982</v>
          </cell>
          <cell r="H4940">
            <v>10</v>
          </cell>
          <cell r="I4940">
            <v>48068000000</v>
          </cell>
        </row>
        <row r="4941">
          <cell r="A4941" t="str">
            <v>Costa Rica</v>
          </cell>
          <cell r="B4941">
            <v>188</v>
          </cell>
          <cell r="C4941">
            <v>203</v>
          </cell>
          <cell r="D4941">
            <v>11</v>
          </cell>
          <cell r="E4941" t="str">
            <v>OPERATING SURPLUS, GROSS</v>
          </cell>
          <cell r="F4941">
            <v>12</v>
          </cell>
          <cell r="G4941">
            <v>1983</v>
          </cell>
          <cell r="H4941">
            <v>10</v>
          </cell>
          <cell r="I4941">
            <v>54258000000</v>
          </cell>
        </row>
        <row r="4942">
          <cell r="A4942" t="str">
            <v>Costa Rica</v>
          </cell>
          <cell r="B4942">
            <v>188</v>
          </cell>
          <cell r="C4942">
            <v>203</v>
          </cell>
          <cell r="D4942">
            <v>11</v>
          </cell>
          <cell r="E4942" t="str">
            <v>OPERATING SURPLUS, GROSS</v>
          </cell>
          <cell r="F4942">
            <v>12</v>
          </cell>
          <cell r="G4942">
            <v>1984</v>
          </cell>
          <cell r="H4942">
            <v>10</v>
          </cell>
          <cell r="I4942">
            <v>65668000000</v>
          </cell>
        </row>
        <row r="4943">
          <cell r="A4943" t="str">
            <v>Costa Rica</v>
          </cell>
          <cell r="B4943">
            <v>188</v>
          </cell>
          <cell r="C4943">
            <v>203</v>
          </cell>
          <cell r="D4943">
            <v>11</v>
          </cell>
          <cell r="E4943" t="str">
            <v>OPERATING SURPLUS, GROSS</v>
          </cell>
          <cell r="F4943">
            <v>12</v>
          </cell>
          <cell r="G4943">
            <v>1985</v>
          </cell>
          <cell r="H4943">
            <v>10</v>
          </cell>
          <cell r="I4943">
            <v>78608000000</v>
          </cell>
        </row>
        <row r="4944">
          <cell r="A4944" t="str">
            <v>Costa Rica</v>
          </cell>
          <cell r="B4944">
            <v>188</v>
          </cell>
          <cell r="C4944">
            <v>203</v>
          </cell>
          <cell r="D4944">
            <v>11</v>
          </cell>
          <cell r="E4944" t="str">
            <v>OPERATING SURPLUS, GROSS</v>
          </cell>
          <cell r="F4944">
            <v>12</v>
          </cell>
          <cell r="G4944">
            <v>1986</v>
          </cell>
          <cell r="H4944">
            <v>10</v>
          </cell>
          <cell r="I4944">
            <v>100184000000</v>
          </cell>
        </row>
        <row r="4945">
          <cell r="A4945" t="str">
            <v>Costa Rica</v>
          </cell>
          <cell r="B4945">
            <v>188</v>
          </cell>
          <cell r="C4945">
            <v>203</v>
          </cell>
          <cell r="D4945">
            <v>11</v>
          </cell>
          <cell r="E4945" t="str">
            <v>OPERATING SURPLUS, GROSS</v>
          </cell>
          <cell r="F4945">
            <v>12</v>
          </cell>
          <cell r="G4945">
            <v>1987</v>
          </cell>
          <cell r="H4945">
            <v>10</v>
          </cell>
          <cell r="I4945">
            <v>111342000000</v>
          </cell>
        </row>
        <row r="4946">
          <cell r="A4946" t="str">
            <v>Costa Rica</v>
          </cell>
          <cell r="B4946">
            <v>188</v>
          </cell>
          <cell r="C4946">
            <v>203</v>
          </cell>
          <cell r="D4946">
            <v>11</v>
          </cell>
          <cell r="E4946" t="str">
            <v>OPERATING SURPLUS, GROSS</v>
          </cell>
          <cell r="F4946">
            <v>12</v>
          </cell>
          <cell r="G4946">
            <v>1988</v>
          </cell>
          <cell r="H4946">
            <v>10</v>
          </cell>
          <cell r="I4946">
            <v>138803000000</v>
          </cell>
        </row>
        <row r="4947">
          <cell r="A4947" t="str">
            <v>Costa Rica</v>
          </cell>
          <cell r="B4947">
            <v>188</v>
          </cell>
          <cell r="C4947">
            <v>203</v>
          </cell>
          <cell r="D4947">
            <v>11</v>
          </cell>
          <cell r="E4947" t="str">
            <v>OPERATING SURPLUS, GROSS</v>
          </cell>
          <cell r="F4947">
            <v>12</v>
          </cell>
          <cell r="G4947">
            <v>1989</v>
          </cell>
          <cell r="H4947">
            <v>10</v>
          </cell>
          <cell r="I4947">
            <v>162062000000</v>
          </cell>
        </row>
        <row r="4948">
          <cell r="A4948" t="str">
            <v>Costa Rica</v>
          </cell>
          <cell r="B4948">
            <v>188</v>
          </cell>
          <cell r="C4948">
            <v>203</v>
          </cell>
          <cell r="D4948">
            <v>11</v>
          </cell>
          <cell r="E4948" t="str">
            <v>OPERATING SURPLUS, GROSS</v>
          </cell>
          <cell r="F4948">
            <v>12</v>
          </cell>
          <cell r="G4948">
            <v>1990</v>
          </cell>
          <cell r="H4948">
            <v>10</v>
          </cell>
          <cell r="I4948">
            <v>193866000000</v>
          </cell>
        </row>
        <row r="4949">
          <cell r="A4949" t="str">
            <v>Costa Rica</v>
          </cell>
          <cell r="B4949">
            <v>188</v>
          </cell>
          <cell r="C4949">
            <v>203</v>
          </cell>
          <cell r="D4949">
            <v>11</v>
          </cell>
          <cell r="E4949" t="str">
            <v>OPERATING SURPLUS, GROSS</v>
          </cell>
          <cell r="F4949">
            <v>12</v>
          </cell>
          <cell r="G4949">
            <v>1991</v>
          </cell>
          <cell r="H4949">
            <v>10</v>
          </cell>
          <cell r="I4949">
            <v>273897000000</v>
          </cell>
        </row>
        <row r="4950">
          <cell r="A4950" t="str">
            <v>Costa Rica</v>
          </cell>
          <cell r="B4950">
            <v>188</v>
          </cell>
          <cell r="C4950">
            <v>203</v>
          </cell>
          <cell r="D4950">
            <v>11</v>
          </cell>
          <cell r="E4950" t="str">
            <v>OPERATING SURPLUS, GROSS</v>
          </cell>
          <cell r="F4950">
            <v>12</v>
          </cell>
          <cell r="G4950">
            <v>1991</v>
          </cell>
          <cell r="H4950">
            <v>100</v>
          </cell>
          <cell r="I4950">
            <v>407998000000</v>
          </cell>
        </row>
        <row r="4951">
          <cell r="A4951" t="str">
            <v>Costa Rica</v>
          </cell>
          <cell r="B4951">
            <v>188</v>
          </cell>
          <cell r="C4951">
            <v>203</v>
          </cell>
          <cell r="D4951">
            <v>11</v>
          </cell>
          <cell r="E4951" t="str">
            <v>OPERATING SURPLUS, GROSS</v>
          </cell>
          <cell r="F4951">
            <v>12</v>
          </cell>
          <cell r="G4951">
            <v>1992</v>
          </cell>
          <cell r="H4951">
            <v>100</v>
          </cell>
          <cell r="I4951">
            <v>520497000000</v>
          </cell>
        </row>
        <row r="4952">
          <cell r="A4952" t="str">
            <v>Costa Rica</v>
          </cell>
          <cell r="B4952">
            <v>188</v>
          </cell>
          <cell r="C4952">
            <v>203</v>
          </cell>
          <cell r="D4952">
            <v>11</v>
          </cell>
          <cell r="E4952" t="str">
            <v>OPERATING SURPLUS, GROSS</v>
          </cell>
          <cell r="F4952">
            <v>12</v>
          </cell>
          <cell r="G4952">
            <v>1993</v>
          </cell>
          <cell r="H4952">
            <v>100</v>
          </cell>
          <cell r="I4952">
            <v>600155000000</v>
          </cell>
        </row>
        <row r="4953">
          <cell r="A4953" t="str">
            <v>Costa Rica</v>
          </cell>
          <cell r="B4953">
            <v>188</v>
          </cell>
          <cell r="C4953">
            <v>203</v>
          </cell>
          <cell r="D4953">
            <v>11</v>
          </cell>
          <cell r="E4953" t="str">
            <v>OPERATING SURPLUS, GROSS</v>
          </cell>
          <cell r="F4953">
            <v>12</v>
          </cell>
          <cell r="G4953">
            <v>1994</v>
          </cell>
          <cell r="H4953">
            <v>100</v>
          </cell>
          <cell r="I4953">
            <v>710908000000</v>
          </cell>
        </row>
        <row r="4954">
          <cell r="A4954" t="str">
            <v>Costa Rica</v>
          </cell>
          <cell r="B4954">
            <v>188</v>
          </cell>
          <cell r="C4954">
            <v>203</v>
          </cell>
          <cell r="D4954">
            <v>11</v>
          </cell>
          <cell r="E4954" t="str">
            <v>OPERATING SURPLUS, GROSS</v>
          </cell>
          <cell r="F4954">
            <v>12</v>
          </cell>
          <cell r="G4954">
            <v>1995</v>
          </cell>
          <cell r="H4954">
            <v>100</v>
          </cell>
          <cell r="I4954">
            <v>915488000000</v>
          </cell>
        </row>
        <row r="4955">
          <cell r="A4955" t="str">
            <v>Costa Rica</v>
          </cell>
          <cell r="B4955">
            <v>188</v>
          </cell>
          <cell r="C4955">
            <v>203</v>
          </cell>
          <cell r="D4955">
            <v>11</v>
          </cell>
          <cell r="E4955" t="str">
            <v>OPERATING SURPLUS, GROSS</v>
          </cell>
          <cell r="F4955">
            <v>12</v>
          </cell>
          <cell r="G4955">
            <v>1996</v>
          </cell>
          <cell r="H4955">
            <v>100</v>
          </cell>
          <cell r="I4955">
            <v>1055649000000</v>
          </cell>
        </row>
        <row r="4956">
          <cell r="A4956" t="str">
            <v>Costa Rica</v>
          </cell>
          <cell r="B4956">
            <v>188</v>
          </cell>
          <cell r="C4956">
            <v>203</v>
          </cell>
          <cell r="D4956">
            <v>11</v>
          </cell>
          <cell r="E4956" t="str">
            <v>OPERATING SURPLUS, GROSS</v>
          </cell>
          <cell r="F4956">
            <v>12</v>
          </cell>
          <cell r="G4956">
            <v>1997</v>
          </cell>
          <cell r="H4956">
            <v>100</v>
          </cell>
          <cell r="I4956">
            <v>1303294000000</v>
          </cell>
        </row>
        <row r="4957">
          <cell r="A4957" t="str">
            <v>Costa Rica</v>
          </cell>
          <cell r="B4957">
            <v>188</v>
          </cell>
          <cell r="C4957">
            <v>203</v>
          </cell>
          <cell r="D4957">
            <v>11</v>
          </cell>
          <cell r="E4957" t="str">
            <v>OPERATING SURPLUS, GROSS</v>
          </cell>
          <cell r="F4957">
            <v>12</v>
          </cell>
          <cell r="G4957">
            <v>1998</v>
          </cell>
          <cell r="H4957">
            <v>100</v>
          </cell>
          <cell r="I4957">
            <v>1605786000000</v>
          </cell>
        </row>
        <row r="4958">
          <cell r="A4958" t="str">
            <v>Costa Rica</v>
          </cell>
          <cell r="B4958">
            <v>188</v>
          </cell>
          <cell r="C4958">
            <v>203</v>
          </cell>
          <cell r="D4958">
            <v>11</v>
          </cell>
          <cell r="E4958" t="str">
            <v>OPERATING SURPLUS, GROSS</v>
          </cell>
          <cell r="F4958">
            <v>12</v>
          </cell>
          <cell r="G4958">
            <v>1999</v>
          </cell>
          <cell r="H4958">
            <v>100</v>
          </cell>
          <cell r="I4958">
            <v>2103797000000</v>
          </cell>
        </row>
        <row r="4959">
          <cell r="A4959" t="str">
            <v>Costa Rica</v>
          </cell>
          <cell r="B4959">
            <v>188</v>
          </cell>
          <cell r="C4959">
            <v>203</v>
          </cell>
          <cell r="D4959">
            <v>11</v>
          </cell>
          <cell r="E4959" t="str">
            <v>OPERATING SURPLUS, GROSS</v>
          </cell>
          <cell r="F4959">
            <v>12</v>
          </cell>
          <cell r="G4959">
            <v>2000</v>
          </cell>
          <cell r="H4959">
            <v>100</v>
          </cell>
          <cell r="I4959">
            <v>2152835000000</v>
          </cell>
        </row>
        <row r="4960">
          <cell r="A4960" t="str">
            <v>Costa Rica</v>
          </cell>
          <cell r="B4960">
            <v>188</v>
          </cell>
          <cell r="C4960">
            <v>203</v>
          </cell>
          <cell r="D4960">
            <v>11</v>
          </cell>
          <cell r="E4960" t="str">
            <v>OPERATING SURPLUS, GROSS</v>
          </cell>
          <cell r="F4960">
            <v>12</v>
          </cell>
          <cell r="G4960">
            <v>2001</v>
          </cell>
          <cell r="H4960">
            <v>100</v>
          </cell>
          <cell r="I4960">
            <v>2189813000000</v>
          </cell>
        </row>
        <row r="4961">
          <cell r="A4961" t="str">
            <v>Costa Rica</v>
          </cell>
          <cell r="B4961">
            <v>188</v>
          </cell>
          <cell r="C4961">
            <v>203</v>
          </cell>
          <cell r="D4961">
            <v>11</v>
          </cell>
          <cell r="E4961" t="str">
            <v>OPERATING SURPLUS, GROSS</v>
          </cell>
          <cell r="F4961">
            <v>12</v>
          </cell>
          <cell r="G4961">
            <v>2002</v>
          </cell>
          <cell r="H4961">
            <v>100</v>
          </cell>
          <cell r="I4961">
            <v>2436510000000</v>
          </cell>
        </row>
        <row r="4962">
          <cell r="A4962" t="str">
            <v>Costa Rica</v>
          </cell>
          <cell r="B4962">
            <v>188</v>
          </cell>
          <cell r="C4962">
            <v>203</v>
          </cell>
          <cell r="D4962">
            <v>11</v>
          </cell>
          <cell r="E4962" t="str">
            <v>OPERATING SURPLUS, GROSS</v>
          </cell>
          <cell r="F4962">
            <v>12</v>
          </cell>
          <cell r="G4962">
            <v>2003</v>
          </cell>
          <cell r="H4962">
            <v>100</v>
          </cell>
          <cell r="I4962">
            <v>2870135000000</v>
          </cell>
        </row>
        <row r="4963">
          <cell r="A4963" t="str">
            <v>Costa Rica</v>
          </cell>
          <cell r="B4963">
            <v>188</v>
          </cell>
          <cell r="C4963">
            <v>203</v>
          </cell>
          <cell r="D4963">
            <v>22</v>
          </cell>
          <cell r="E4963" t="str">
            <v>Taxes on production and imports, less Subsidies</v>
          </cell>
          <cell r="F4963">
            <v>12</v>
          </cell>
          <cell r="G4963">
            <v>1985</v>
          </cell>
          <cell r="H4963">
            <v>10</v>
          </cell>
          <cell r="I4963">
            <v>26671000000</v>
          </cell>
        </row>
        <row r="4964">
          <cell r="A4964" t="str">
            <v>Costa Rica</v>
          </cell>
          <cell r="B4964">
            <v>188</v>
          </cell>
          <cell r="C4964">
            <v>203</v>
          </cell>
          <cell r="D4964">
            <v>22</v>
          </cell>
          <cell r="E4964" t="str">
            <v>Taxes on production and imports, less Subsidies</v>
          </cell>
          <cell r="F4964">
            <v>12</v>
          </cell>
          <cell r="G4964">
            <v>1986</v>
          </cell>
          <cell r="H4964">
            <v>10</v>
          </cell>
          <cell r="I4964">
            <v>33642000000</v>
          </cell>
        </row>
        <row r="4965">
          <cell r="A4965" t="str">
            <v>Costa Rica</v>
          </cell>
          <cell r="B4965">
            <v>188</v>
          </cell>
          <cell r="C4965">
            <v>203</v>
          </cell>
          <cell r="D4965">
            <v>22</v>
          </cell>
          <cell r="E4965" t="str">
            <v>Taxes on production and imports, less Subsidies</v>
          </cell>
          <cell r="F4965">
            <v>12</v>
          </cell>
          <cell r="G4965">
            <v>1987</v>
          </cell>
          <cell r="H4965">
            <v>10</v>
          </cell>
          <cell r="I4965">
            <v>39127000000</v>
          </cell>
        </row>
        <row r="4966">
          <cell r="A4966" t="str">
            <v>Costa Rica</v>
          </cell>
          <cell r="B4966">
            <v>188</v>
          </cell>
          <cell r="C4966">
            <v>203</v>
          </cell>
          <cell r="D4966">
            <v>22</v>
          </cell>
          <cell r="E4966" t="str">
            <v>Taxes on production and imports, less Subsidies</v>
          </cell>
          <cell r="F4966">
            <v>12</v>
          </cell>
          <cell r="G4966">
            <v>1988</v>
          </cell>
          <cell r="H4966">
            <v>10</v>
          </cell>
          <cell r="I4966">
            <v>44584000000</v>
          </cell>
        </row>
        <row r="4967">
          <cell r="A4967" t="str">
            <v>Costa Rica</v>
          </cell>
          <cell r="B4967">
            <v>188</v>
          </cell>
          <cell r="C4967">
            <v>203</v>
          </cell>
          <cell r="D4967">
            <v>22</v>
          </cell>
          <cell r="E4967" t="str">
            <v>Taxes on production and imports, less Subsidies</v>
          </cell>
          <cell r="F4967">
            <v>12</v>
          </cell>
          <cell r="G4967">
            <v>1989</v>
          </cell>
          <cell r="H4967">
            <v>10</v>
          </cell>
          <cell r="I4967">
            <v>54846000000</v>
          </cell>
        </row>
        <row r="4968">
          <cell r="A4968" t="str">
            <v>Costa Rica</v>
          </cell>
          <cell r="B4968">
            <v>188</v>
          </cell>
          <cell r="C4968">
            <v>203</v>
          </cell>
          <cell r="D4968">
            <v>22</v>
          </cell>
          <cell r="E4968" t="str">
            <v>Taxes on production and imports, less Subsidies</v>
          </cell>
          <cell r="F4968">
            <v>12</v>
          </cell>
          <cell r="G4968">
            <v>1990</v>
          </cell>
          <cell r="H4968">
            <v>10</v>
          </cell>
          <cell r="I4968">
            <v>64587000000</v>
          </cell>
        </row>
        <row r="4969">
          <cell r="A4969" t="str">
            <v>Costa Rica</v>
          </cell>
          <cell r="B4969">
            <v>188</v>
          </cell>
          <cell r="C4969">
            <v>203</v>
          </cell>
          <cell r="D4969">
            <v>22</v>
          </cell>
          <cell r="E4969" t="str">
            <v>Taxes on production and imports, less Subsidies</v>
          </cell>
          <cell r="F4969">
            <v>12</v>
          </cell>
          <cell r="G4969">
            <v>1991</v>
          </cell>
          <cell r="H4969">
            <v>10</v>
          </cell>
          <cell r="I4969">
            <v>89339000000</v>
          </cell>
        </row>
        <row r="4970">
          <cell r="A4970" t="str">
            <v>Costa Rica</v>
          </cell>
          <cell r="B4970">
            <v>188</v>
          </cell>
          <cell r="C4970">
            <v>203</v>
          </cell>
          <cell r="D4970">
            <v>22</v>
          </cell>
          <cell r="E4970" t="str">
            <v>Taxes on production and imports, less Subsidies</v>
          </cell>
          <cell r="F4970">
            <v>12</v>
          </cell>
          <cell r="G4970">
            <v>1991</v>
          </cell>
          <cell r="H4970">
            <v>100</v>
          </cell>
          <cell r="I4970">
            <v>17683000000</v>
          </cell>
        </row>
        <row r="4971">
          <cell r="A4971" t="str">
            <v>Costa Rica</v>
          </cell>
          <cell r="B4971">
            <v>188</v>
          </cell>
          <cell r="C4971">
            <v>203</v>
          </cell>
          <cell r="D4971">
            <v>22</v>
          </cell>
          <cell r="E4971" t="str">
            <v>Taxes on production and imports, less Subsidies</v>
          </cell>
          <cell r="F4971">
            <v>12</v>
          </cell>
          <cell r="G4971">
            <v>1992</v>
          </cell>
          <cell r="H4971">
            <v>100</v>
          </cell>
          <cell r="I4971">
            <v>24938000000</v>
          </cell>
        </row>
        <row r="4972">
          <cell r="A4972" t="str">
            <v>Costa Rica</v>
          </cell>
          <cell r="B4972">
            <v>188</v>
          </cell>
          <cell r="C4972">
            <v>203</v>
          </cell>
          <cell r="D4972">
            <v>22</v>
          </cell>
          <cell r="E4972" t="str">
            <v>Taxes on production and imports, less Subsidies</v>
          </cell>
          <cell r="F4972">
            <v>12</v>
          </cell>
          <cell r="G4972">
            <v>1993</v>
          </cell>
          <cell r="H4972">
            <v>100</v>
          </cell>
          <cell r="I4972">
            <v>31801000000</v>
          </cell>
        </row>
        <row r="4973">
          <cell r="A4973" t="str">
            <v>Costa Rica</v>
          </cell>
          <cell r="B4973">
            <v>188</v>
          </cell>
          <cell r="C4973">
            <v>203</v>
          </cell>
          <cell r="D4973">
            <v>22</v>
          </cell>
          <cell r="E4973" t="str">
            <v>Taxes on production and imports, less Subsidies</v>
          </cell>
          <cell r="F4973">
            <v>12</v>
          </cell>
          <cell r="G4973">
            <v>1994</v>
          </cell>
          <cell r="H4973">
            <v>100</v>
          </cell>
          <cell r="I4973">
            <v>37923000000</v>
          </cell>
        </row>
        <row r="4974">
          <cell r="A4974" t="str">
            <v>Costa Rica</v>
          </cell>
          <cell r="B4974">
            <v>188</v>
          </cell>
          <cell r="C4974">
            <v>203</v>
          </cell>
          <cell r="D4974">
            <v>22</v>
          </cell>
          <cell r="E4974" t="str">
            <v>Taxes on production and imports, less Subsidies</v>
          </cell>
          <cell r="F4974">
            <v>12</v>
          </cell>
          <cell r="G4974">
            <v>1995</v>
          </cell>
          <cell r="H4974">
            <v>100</v>
          </cell>
          <cell r="I4974">
            <v>46740000000</v>
          </cell>
        </row>
        <row r="4975">
          <cell r="A4975" t="str">
            <v>Costa Rica</v>
          </cell>
          <cell r="B4975">
            <v>188</v>
          </cell>
          <cell r="C4975">
            <v>203</v>
          </cell>
          <cell r="D4975">
            <v>22</v>
          </cell>
          <cell r="E4975" t="str">
            <v>Taxes on production and imports, less Subsidies</v>
          </cell>
          <cell r="F4975">
            <v>12</v>
          </cell>
          <cell r="G4975">
            <v>1996</v>
          </cell>
          <cell r="H4975">
            <v>100</v>
          </cell>
          <cell r="I4975">
            <v>56112000000</v>
          </cell>
        </row>
        <row r="4976">
          <cell r="A4976" t="str">
            <v>Costa Rica</v>
          </cell>
          <cell r="B4976">
            <v>188</v>
          </cell>
          <cell r="C4976">
            <v>203</v>
          </cell>
          <cell r="D4976">
            <v>22</v>
          </cell>
          <cell r="E4976" t="str">
            <v>Taxes on production and imports, less Subsidies</v>
          </cell>
          <cell r="F4976">
            <v>12</v>
          </cell>
          <cell r="G4976">
            <v>1997</v>
          </cell>
          <cell r="H4976">
            <v>100</v>
          </cell>
          <cell r="I4976">
            <v>70809000000</v>
          </cell>
        </row>
        <row r="4977">
          <cell r="A4977" t="str">
            <v>Costa Rica</v>
          </cell>
          <cell r="B4977">
            <v>188</v>
          </cell>
          <cell r="C4977">
            <v>203</v>
          </cell>
          <cell r="D4977">
            <v>22</v>
          </cell>
          <cell r="E4977" t="str">
            <v>Taxes on production and imports, less Subsidies</v>
          </cell>
          <cell r="F4977">
            <v>12</v>
          </cell>
          <cell r="G4977">
            <v>1998</v>
          </cell>
          <cell r="H4977">
            <v>100</v>
          </cell>
          <cell r="I4977">
            <v>83364000000</v>
          </cell>
        </row>
        <row r="4978">
          <cell r="A4978" t="str">
            <v>Costa Rica</v>
          </cell>
          <cell r="B4978">
            <v>188</v>
          </cell>
          <cell r="C4978">
            <v>203</v>
          </cell>
          <cell r="D4978">
            <v>22</v>
          </cell>
          <cell r="E4978" t="str">
            <v>Taxes on production and imports, less Subsidies</v>
          </cell>
          <cell r="F4978">
            <v>12</v>
          </cell>
          <cell r="G4978">
            <v>1999</v>
          </cell>
          <cell r="H4978">
            <v>100</v>
          </cell>
          <cell r="I4978">
            <v>94803000000</v>
          </cell>
        </row>
        <row r="4979">
          <cell r="A4979" t="str">
            <v>Costa Rica</v>
          </cell>
          <cell r="B4979">
            <v>188</v>
          </cell>
          <cell r="C4979">
            <v>203</v>
          </cell>
          <cell r="D4979">
            <v>22</v>
          </cell>
          <cell r="E4979" t="str">
            <v>Taxes on production and imports, less Subsidies</v>
          </cell>
          <cell r="F4979">
            <v>12</v>
          </cell>
          <cell r="G4979">
            <v>2000</v>
          </cell>
          <cell r="H4979">
            <v>100</v>
          </cell>
          <cell r="I4979">
            <v>115456000000</v>
          </cell>
        </row>
        <row r="4980">
          <cell r="A4980" t="str">
            <v>Costa Rica</v>
          </cell>
          <cell r="B4980">
            <v>188</v>
          </cell>
          <cell r="C4980">
            <v>203</v>
          </cell>
          <cell r="D4980">
            <v>22</v>
          </cell>
          <cell r="E4980" t="str">
            <v>Taxes on production and imports, less Subsidies</v>
          </cell>
          <cell r="F4980">
            <v>12</v>
          </cell>
          <cell r="G4980">
            <v>2001</v>
          </cell>
          <cell r="H4980">
            <v>100</v>
          </cell>
          <cell r="I4980">
            <v>121597000000</v>
          </cell>
        </row>
        <row r="4981">
          <cell r="A4981" t="str">
            <v>Costa Rica</v>
          </cell>
          <cell r="B4981">
            <v>188</v>
          </cell>
          <cell r="C4981">
            <v>203</v>
          </cell>
          <cell r="D4981">
            <v>22</v>
          </cell>
          <cell r="E4981" t="str">
            <v>Taxes on production and imports, less Subsidies</v>
          </cell>
          <cell r="F4981">
            <v>12</v>
          </cell>
          <cell r="G4981">
            <v>2002</v>
          </cell>
          <cell r="H4981">
            <v>100</v>
          </cell>
          <cell r="I4981">
            <v>136999000000</v>
          </cell>
        </row>
        <row r="4982">
          <cell r="A4982" t="str">
            <v>Costa Rica</v>
          </cell>
          <cell r="B4982">
            <v>188</v>
          </cell>
          <cell r="C4982">
            <v>203</v>
          </cell>
          <cell r="D4982">
            <v>22</v>
          </cell>
          <cell r="E4982" t="str">
            <v>Taxes on production and imports, less Subsidies</v>
          </cell>
          <cell r="F4982">
            <v>12</v>
          </cell>
          <cell r="G4982">
            <v>2003</v>
          </cell>
          <cell r="H4982">
            <v>100</v>
          </cell>
          <cell r="I4982">
            <v>159863000000</v>
          </cell>
        </row>
        <row r="4983">
          <cell r="A4983" t="str">
            <v>Iceland</v>
          </cell>
          <cell r="B4983">
            <v>352</v>
          </cell>
          <cell r="C4983">
            <v>203</v>
          </cell>
          <cell r="D4983">
            <v>22</v>
          </cell>
          <cell r="E4983" t="str">
            <v>Taxes on production and imports, less Subsidies</v>
          </cell>
          <cell r="F4983">
            <v>12</v>
          </cell>
          <cell r="G4983">
            <v>1973</v>
          </cell>
          <cell r="H4983">
            <v>30</v>
          </cell>
          <cell r="I4983">
            <v>89000000</v>
          </cell>
        </row>
        <row r="4984">
          <cell r="A4984" t="str">
            <v>Iceland</v>
          </cell>
          <cell r="B4984">
            <v>352</v>
          </cell>
          <cell r="C4984">
            <v>203</v>
          </cell>
          <cell r="D4984">
            <v>22</v>
          </cell>
          <cell r="E4984" t="str">
            <v>Taxes on production and imports, less Subsidies</v>
          </cell>
          <cell r="F4984">
            <v>12</v>
          </cell>
          <cell r="G4984">
            <v>1974</v>
          </cell>
          <cell r="H4984">
            <v>30</v>
          </cell>
          <cell r="I4984">
            <v>154000000</v>
          </cell>
        </row>
        <row r="4985">
          <cell r="A4985" t="str">
            <v>Iceland</v>
          </cell>
          <cell r="B4985">
            <v>352</v>
          </cell>
          <cell r="C4985">
            <v>203</v>
          </cell>
          <cell r="D4985">
            <v>22</v>
          </cell>
          <cell r="E4985" t="str">
            <v>Taxes on production and imports, less Subsidies</v>
          </cell>
          <cell r="F4985">
            <v>12</v>
          </cell>
          <cell r="G4985">
            <v>1975</v>
          </cell>
          <cell r="H4985">
            <v>30</v>
          </cell>
          <cell r="I4985">
            <v>238000000</v>
          </cell>
        </row>
        <row r="4986">
          <cell r="A4986" t="str">
            <v>Iceland</v>
          </cell>
          <cell r="B4986">
            <v>352</v>
          </cell>
          <cell r="C4986">
            <v>203</v>
          </cell>
          <cell r="D4986">
            <v>22</v>
          </cell>
          <cell r="E4986" t="str">
            <v>Taxes on production and imports, less Subsidies</v>
          </cell>
          <cell r="F4986">
            <v>12</v>
          </cell>
          <cell r="G4986">
            <v>1976</v>
          </cell>
          <cell r="H4986">
            <v>30</v>
          </cell>
          <cell r="I4986">
            <v>343000000</v>
          </cell>
        </row>
        <row r="4987">
          <cell r="A4987" t="str">
            <v>Iceland</v>
          </cell>
          <cell r="B4987">
            <v>352</v>
          </cell>
          <cell r="C4987">
            <v>203</v>
          </cell>
          <cell r="D4987">
            <v>22</v>
          </cell>
          <cell r="E4987" t="str">
            <v>Taxes on production and imports, less Subsidies</v>
          </cell>
          <cell r="F4987">
            <v>12</v>
          </cell>
          <cell r="G4987">
            <v>1977</v>
          </cell>
          <cell r="H4987">
            <v>30</v>
          </cell>
          <cell r="I4987">
            <v>462000000</v>
          </cell>
        </row>
        <row r="4988">
          <cell r="A4988" t="str">
            <v>Iceland</v>
          </cell>
          <cell r="B4988">
            <v>352</v>
          </cell>
          <cell r="C4988">
            <v>203</v>
          </cell>
          <cell r="D4988">
            <v>22</v>
          </cell>
          <cell r="E4988" t="str">
            <v>Taxes on production and imports, less Subsidies</v>
          </cell>
          <cell r="F4988">
            <v>12</v>
          </cell>
          <cell r="G4988">
            <v>1978</v>
          </cell>
          <cell r="H4988">
            <v>30</v>
          </cell>
          <cell r="I4988">
            <v>705000000</v>
          </cell>
        </row>
        <row r="4989">
          <cell r="A4989" t="str">
            <v>Iceland</v>
          </cell>
          <cell r="B4989">
            <v>352</v>
          </cell>
          <cell r="C4989">
            <v>203</v>
          </cell>
          <cell r="D4989">
            <v>22</v>
          </cell>
          <cell r="E4989" t="str">
            <v>Taxes on production and imports, less Subsidies</v>
          </cell>
          <cell r="F4989">
            <v>12</v>
          </cell>
          <cell r="G4989">
            <v>1979</v>
          </cell>
          <cell r="H4989">
            <v>30</v>
          </cell>
          <cell r="I4989">
            <v>1030000000</v>
          </cell>
        </row>
        <row r="4990">
          <cell r="A4990" t="str">
            <v>Iceland</v>
          </cell>
          <cell r="B4990">
            <v>352</v>
          </cell>
          <cell r="C4990">
            <v>203</v>
          </cell>
          <cell r="D4990">
            <v>22</v>
          </cell>
          <cell r="E4990" t="str">
            <v>Taxes on production and imports, less Subsidies</v>
          </cell>
          <cell r="F4990">
            <v>12</v>
          </cell>
          <cell r="G4990">
            <v>1980</v>
          </cell>
          <cell r="H4990">
            <v>30</v>
          </cell>
          <cell r="I4990">
            <v>1864000000</v>
          </cell>
        </row>
        <row r="4991">
          <cell r="A4991" t="str">
            <v>Iceland</v>
          </cell>
          <cell r="B4991">
            <v>352</v>
          </cell>
          <cell r="C4991">
            <v>203</v>
          </cell>
          <cell r="D4991">
            <v>22</v>
          </cell>
          <cell r="E4991" t="str">
            <v>Taxes on production and imports, less Subsidies</v>
          </cell>
          <cell r="F4991">
            <v>12</v>
          </cell>
          <cell r="G4991">
            <v>1980</v>
          </cell>
          <cell r="H4991">
            <v>40</v>
          </cell>
          <cell r="I4991">
            <v>1860890000</v>
          </cell>
        </row>
        <row r="4992">
          <cell r="A4992" t="str">
            <v>Iceland</v>
          </cell>
          <cell r="B4992">
            <v>352</v>
          </cell>
          <cell r="C4992">
            <v>203</v>
          </cell>
          <cell r="D4992">
            <v>22</v>
          </cell>
          <cell r="E4992" t="str">
            <v>Taxes on production and imports, less Subsidies</v>
          </cell>
          <cell r="F4992">
            <v>12</v>
          </cell>
          <cell r="G4992">
            <v>1981</v>
          </cell>
          <cell r="H4992">
            <v>40</v>
          </cell>
          <cell r="I4992">
            <v>2927250000</v>
          </cell>
        </row>
        <row r="4993">
          <cell r="A4993" t="str">
            <v>Iceland</v>
          </cell>
          <cell r="B4993">
            <v>352</v>
          </cell>
          <cell r="C4993">
            <v>203</v>
          </cell>
          <cell r="D4993">
            <v>22</v>
          </cell>
          <cell r="E4993" t="str">
            <v>Taxes on production and imports, less Subsidies</v>
          </cell>
          <cell r="F4993">
            <v>12</v>
          </cell>
          <cell r="G4993">
            <v>1982</v>
          </cell>
          <cell r="H4993">
            <v>40</v>
          </cell>
          <cell r="I4993">
            <v>4837470000</v>
          </cell>
        </row>
        <row r="4994">
          <cell r="A4994" t="str">
            <v>Iceland</v>
          </cell>
          <cell r="B4994">
            <v>352</v>
          </cell>
          <cell r="C4994">
            <v>203</v>
          </cell>
          <cell r="D4994">
            <v>22</v>
          </cell>
          <cell r="E4994" t="str">
            <v>Taxes on production and imports, less Subsidies</v>
          </cell>
          <cell r="F4994">
            <v>12</v>
          </cell>
          <cell r="G4994">
            <v>1983</v>
          </cell>
          <cell r="H4994">
            <v>40</v>
          </cell>
          <cell r="I4994">
            <v>7807230000</v>
          </cell>
        </row>
        <row r="4995">
          <cell r="A4995" t="str">
            <v>Iceland</v>
          </cell>
          <cell r="B4995">
            <v>352</v>
          </cell>
          <cell r="C4995">
            <v>203</v>
          </cell>
          <cell r="D4995">
            <v>22</v>
          </cell>
          <cell r="E4995" t="str">
            <v>Taxes on production and imports, less Subsidies</v>
          </cell>
          <cell r="F4995">
            <v>12</v>
          </cell>
          <cell r="G4995">
            <v>1984</v>
          </cell>
          <cell r="H4995">
            <v>40</v>
          </cell>
          <cell r="I4995">
            <v>11619890000</v>
          </cell>
        </row>
        <row r="4996">
          <cell r="A4996" t="str">
            <v>Iceland</v>
          </cell>
          <cell r="B4996">
            <v>352</v>
          </cell>
          <cell r="C4996">
            <v>203</v>
          </cell>
          <cell r="D4996">
            <v>22</v>
          </cell>
          <cell r="E4996" t="str">
            <v>Taxes on production and imports, less Subsidies</v>
          </cell>
          <cell r="F4996">
            <v>12</v>
          </cell>
          <cell r="G4996">
            <v>1985</v>
          </cell>
          <cell r="H4996">
            <v>40</v>
          </cell>
          <cell r="I4996">
            <v>15541070000</v>
          </cell>
        </row>
        <row r="4997">
          <cell r="A4997" t="str">
            <v>Iceland</v>
          </cell>
          <cell r="B4997">
            <v>352</v>
          </cell>
          <cell r="C4997">
            <v>203</v>
          </cell>
          <cell r="D4997">
            <v>22</v>
          </cell>
          <cell r="E4997" t="str">
            <v>Taxes on production and imports, less Subsidies</v>
          </cell>
          <cell r="F4997">
            <v>12</v>
          </cell>
          <cell r="G4997">
            <v>1986</v>
          </cell>
          <cell r="H4997">
            <v>40</v>
          </cell>
          <cell r="I4997">
            <v>19252690000</v>
          </cell>
        </row>
        <row r="4998">
          <cell r="A4998" t="str">
            <v>Iceland</v>
          </cell>
          <cell r="B4998">
            <v>352</v>
          </cell>
          <cell r="C4998">
            <v>203</v>
          </cell>
          <cell r="D4998">
            <v>22</v>
          </cell>
          <cell r="E4998" t="str">
            <v>Taxes on production and imports, less Subsidies</v>
          </cell>
          <cell r="F4998">
            <v>12</v>
          </cell>
          <cell r="G4998">
            <v>1987</v>
          </cell>
          <cell r="H4998">
            <v>40</v>
          </cell>
          <cell r="I4998">
            <v>28229430000</v>
          </cell>
        </row>
        <row r="4999">
          <cell r="A4999" t="str">
            <v>Iceland</v>
          </cell>
          <cell r="B4999">
            <v>352</v>
          </cell>
          <cell r="C4999">
            <v>203</v>
          </cell>
          <cell r="D4999">
            <v>22</v>
          </cell>
          <cell r="E4999" t="str">
            <v>Taxes on production and imports, less Subsidies</v>
          </cell>
          <cell r="F4999">
            <v>12</v>
          </cell>
          <cell r="G4999">
            <v>1988</v>
          </cell>
          <cell r="H4999">
            <v>40</v>
          </cell>
          <cell r="I4999">
            <v>36423570000</v>
          </cell>
        </row>
        <row r="5000">
          <cell r="A5000" t="str">
            <v>Iceland</v>
          </cell>
          <cell r="B5000">
            <v>352</v>
          </cell>
          <cell r="C5000">
            <v>203</v>
          </cell>
          <cell r="D5000">
            <v>22</v>
          </cell>
          <cell r="E5000" t="str">
            <v>Taxes on production and imports, less Subsidies</v>
          </cell>
          <cell r="F5000">
            <v>12</v>
          </cell>
          <cell r="G5000">
            <v>1989</v>
          </cell>
          <cell r="H5000">
            <v>40</v>
          </cell>
          <cell r="I5000">
            <v>43975730000</v>
          </cell>
        </row>
        <row r="5001">
          <cell r="A5001" t="str">
            <v>Iceland</v>
          </cell>
          <cell r="B5001">
            <v>352</v>
          </cell>
          <cell r="C5001">
            <v>203</v>
          </cell>
          <cell r="D5001">
            <v>22</v>
          </cell>
          <cell r="E5001" t="str">
            <v>Taxes on production and imports, less Subsidies</v>
          </cell>
          <cell r="F5001">
            <v>12</v>
          </cell>
          <cell r="G5001">
            <v>1990</v>
          </cell>
          <cell r="H5001">
            <v>40</v>
          </cell>
          <cell r="I5001">
            <v>19869000000</v>
          </cell>
        </row>
        <row r="5002">
          <cell r="A5002" t="str">
            <v>Iceland</v>
          </cell>
          <cell r="B5002">
            <v>352</v>
          </cell>
          <cell r="C5002">
            <v>203</v>
          </cell>
          <cell r="D5002">
            <v>22</v>
          </cell>
          <cell r="E5002" t="str">
            <v>Taxes on production and imports, less Subsidies</v>
          </cell>
          <cell r="F5002">
            <v>12</v>
          </cell>
          <cell r="G5002">
            <v>1990</v>
          </cell>
          <cell r="H5002">
            <v>100</v>
          </cell>
          <cell r="I5002">
            <v>13603078550</v>
          </cell>
        </row>
        <row r="5003">
          <cell r="A5003" t="str">
            <v>Iceland</v>
          </cell>
          <cell r="B5003">
            <v>352</v>
          </cell>
          <cell r="C5003">
            <v>203</v>
          </cell>
          <cell r="D5003">
            <v>22</v>
          </cell>
          <cell r="E5003" t="str">
            <v>Taxes on production and imports, less Subsidies</v>
          </cell>
          <cell r="F5003">
            <v>12</v>
          </cell>
          <cell r="G5003">
            <v>1991</v>
          </cell>
          <cell r="H5003">
            <v>100</v>
          </cell>
          <cell r="I5003">
            <v>9964056024</v>
          </cell>
        </row>
        <row r="5004">
          <cell r="A5004" t="str">
            <v>Iceland</v>
          </cell>
          <cell r="B5004">
            <v>352</v>
          </cell>
          <cell r="C5004">
            <v>203</v>
          </cell>
          <cell r="D5004">
            <v>22</v>
          </cell>
          <cell r="E5004" t="str">
            <v>Taxes on production and imports, less Subsidies</v>
          </cell>
          <cell r="F5004">
            <v>12</v>
          </cell>
          <cell r="G5004">
            <v>1992</v>
          </cell>
          <cell r="H5004">
            <v>100</v>
          </cell>
          <cell r="I5004">
            <v>4800122174</v>
          </cell>
        </row>
        <row r="5005">
          <cell r="A5005" t="str">
            <v>Iceland</v>
          </cell>
          <cell r="B5005">
            <v>352</v>
          </cell>
          <cell r="C5005">
            <v>203</v>
          </cell>
          <cell r="D5005">
            <v>22</v>
          </cell>
          <cell r="E5005" t="str">
            <v>Taxes on production and imports, less Subsidies</v>
          </cell>
          <cell r="F5005">
            <v>12</v>
          </cell>
          <cell r="G5005">
            <v>1993</v>
          </cell>
          <cell r="H5005">
            <v>100</v>
          </cell>
          <cell r="I5005">
            <v>4010291402</v>
          </cell>
        </row>
        <row r="5006">
          <cell r="A5006" t="str">
            <v>Iceland</v>
          </cell>
          <cell r="B5006">
            <v>352</v>
          </cell>
          <cell r="C5006">
            <v>203</v>
          </cell>
          <cell r="D5006">
            <v>22</v>
          </cell>
          <cell r="E5006" t="str">
            <v>Taxes on production and imports, less Subsidies</v>
          </cell>
          <cell r="F5006">
            <v>12</v>
          </cell>
          <cell r="G5006">
            <v>1994</v>
          </cell>
          <cell r="H5006">
            <v>100</v>
          </cell>
          <cell r="I5006">
            <v>6374300945</v>
          </cell>
        </row>
        <row r="5007">
          <cell r="A5007" t="str">
            <v>Iceland</v>
          </cell>
          <cell r="B5007">
            <v>352</v>
          </cell>
          <cell r="C5007">
            <v>203</v>
          </cell>
          <cell r="D5007">
            <v>22</v>
          </cell>
          <cell r="E5007" t="str">
            <v>Taxes on production and imports, less Subsidies</v>
          </cell>
          <cell r="F5007">
            <v>12</v>
          </cell>
          <cell r="G5007">
            <v>1995</v>
          </cell>
          <cell r="H5007">
            <v>100</v>
          </cell>
          <cell r="I5007">
            <v>6816353337</v>
          </cell>
        </row>
        <row r="5008">
          <cell r="A5008" t="str">
            <v>Iceland</v>
          </cell>
          <cell r="B5008">
            <v>352</v>
          </cell>
          <cell r="C5008">
            <v>203</v>
          </cell>
          <cell r="D5008">
            <v>22</v>
          </cell>
          <cell r="E5008" t="str">
            <v>Taxes on production and imports, less Subsidies</v>
          </cell>
          <cell r="F5008">
            <v>12</v>
          </cell>
          <cell r="G5008">
            <v>1996</v>
          </cell>
          <cell r="H5008">
            <v>100</v>
          </cell>
          <cell r="I5008">
            <v>4504734902</v>
          </cell>
        </row>
        <row r="5009">
          <cell r="A5009" t="str">
            <v>Iceland</v>
          </cell>
          <cell r="B5009">
            <v>352</v>
          </cell>
          <cell r="C5009">
            <v>203</v>
          </cell>
          <cell r="D5009">
            <v>22</v>
          </cell>
          <cell r="E5009" t="str">
            <v>Taxes on production and imports, less Subsidies</v>
          </cell>
          <cell r="F5009">
            <v>12</v>
          </cell>
          <cell r="G5009">
            <v>1997</v>
          </cell>
          <cell r="H5009">
            <v>100</v>
          </cell>
          <cell r="I5009">
            <v>466214098.10000002</v>
          </cell>
        </row>
        <row r="5010">
          <cell r="A5010" t="str">
            <v>Iceland</v>
          </cell>
          <cell r="B5010">
            <v>352</v>
          </cell>
          <cell r="C5010">
            <v>203</v>
          </cell>
          <cell r="D5010">
            <v>22</v>
          </cell>
          <cell r="E5010" t="str">
            <v>Taxes on production and imports, less Subsidies</v>
          </cell>
          <cell r="F5010">
            <v>12</v>
          </cell>
          <cell r="G5010">
            <v>1997</v>
          </cell>
          <cell r="H5010">
            <v>200</v>
          </cell>
          <cell r="I5010">
            <v>1026371474</v>
          </cell>
        </row>
        <row r="5011">
          <cell r="A5011" t="str">
            <v>Iceland</v>
          </cell>
          <cell r="B5011">
            <v>352</v>
          </cell>
          <cell r="C5011">
            <v>203</v>
          </cell>
          <cell r="D5011">
            <v>22</v>
          </cell>
          <cell r="E5011" t="str">
            <v>Taxes on production and imports, less Subsidies</v>
          </cell>
          <cell r="F5011">
            <v>12</v>
          </cell>
          <cell r="G5011">
            <v>1998</v>
          </cell>
          <cell r="H5011">
            <v>200</v>
          </cell>
          <cell r="I5011">
            <v>1018487126</v>
          </cell>
        </row>
        <row r="5012">
          <cell r="A5012" t="str">
            <v>Iceland</v>
          </cell>
          <cell r="B5012">
            <v>352</v>
          </cell>
          <cell r="C5012">
            <v>203</v>
          </cell>
          <cell r="D5012">
            <v>22</v>
          </cell>
          <cell r="E5012" t="str">
            <v>Taxes on production and imports, less Subsidies</v>
          </cell>
          <cell r="F5012">
            <v>12</v>
          </cell>
          <cell r="G5012">
            <v>1999</v>
          </cell>
          <cell r="H5012">
            <v>200</v>
          </cell>
          <cell r="I5012">
            <v>1113399752</v>
          </cell>
        </row>
        <row r="5013">
          <cell r="A5013" t="str">
            <v>Iceland</v>
          </cell>
          <cell r="B5013">
            <v>352</v>
          </cell>
          <cell r="C5013">
            <v>203</v>
          </cell>
          <cell r="D5013">
            <v>22</v>
          </cell>
          <cell r="E5013" t="str">
            <v>Taxes on production and imports, less Subsidies</v>
          </cell>
          <cell r="F5013">
            <v>12</v>
          </cell>
          <cell r="G5013">
            <v>2000</v>
          </cell>
          <cell r="H5013">
            <v>200</v>
          </cell>
          <cell r="I5013">
            <v>742157666.79999995</v>
          </cell>
        </row>
        <row r="5014">
          <cell r="A5014" t="str">
            <v>Iceland</v>
          </cell>
          <cell r="B5014">
            <v>352</v>
          </cell>
          <cell r="C5014">
            <v>203</v>
          </cell>
          <cell r="D5014">
            <v>22</v>
          </cell>
          <cell r="E5014" t="str">
            <v>Taxes on production and imports, less Subsidies</v>
          </cell>
          <cell r="F5014">
            <v>12</v>
          </cell>
          <cell r="G5014">
            <v>2001</v>
          </cell>
          <cell r="H5014">
            <v>200</v>
          </cell>
          <cell r="I5014">
            <v>2313078892</v>
          </cell>
        </row>
        <row r="5015">
          <cell r="A5015" t="str">
            <v>Cyprus</v>
          </cell>
          <cell r="B5015">
            <v>196</v>
          </cell>
          <cell r="C5015">
            <v>201</v>
          </cell>
          <cell r="D5015">
            <v>13</v>
          </cell>
          <cell r="E5015" t="str">
            <v>Less: Financial intermediation services indirectly measured (FISIM) (only to be deducted if FISIM is not distributed to uses)</v>
          </cell>
          <cell r="F5015">
            <v>0</v>
          </cell>
          <cell r="G5015">
            <v>1976</v>
          </cell>
          <cell r="H5015">
            <v>10</v>
          </cell>
          <cell r="I5015">
            <v>8900000</v>
          </cell>
        </row>
        <row r="5016">
          <cell r="A5016" t="str">
            <v>Cyprus</v>
          </cell>
          <cell r="B5016">
            <v>196</v>
          </cell>
          <cell r="C5016">
            <v>201</v>
          </cell>
          <cell r="D5016">
            <v>13</v>
          </cell>
          <cell r="E5016" t="str">
            <v>Less: Financial intermediation services indirectly measured (FISIM) (only to be deducted if FISIM is not distributed to uses)</v>
          </cell>
          <cell r="F5016">
            <v>0</v>
          </cell>
          <cell r="G5016">
            <v>1976</v>
          </cell>
          <cell r="H5016">
            <v>20</v>
          </cell>
          <cell r="I5016">
            <v>8900000</v>
          </cell>
        </row>
        <row r="5017">
          <cell r="A5017" t="str">
            <v>Cyprus</v>
          </cell>
          <cell r="B5017">
            <v>196</v>
          </cell>
          <cell r="C5017">
            <v>201</v>
          </cell>
          <cell r="D5017">
            <v>13</v>
          </cell>
          <cell r="E5017" t="str">
            <v>Less: Financial intermediation services indirectly measured (FISIM) (only to be deducted if FISIM is not distributed to uses)</v>
          </cell>
          <cell r="F5017">
            <v>0</v>
          </cell>
          <cell r="G5017">
            <v>1977</v>
          </cell>
          <cell r="H5017">
            <v>20</v>
          </cell>
          <cell r="I5017">
            <v>11900000</v>
          </cell>
        </row>
        <row r="5018">
          <cell r="A5018" t="str">
            <v>Cyprus</v>
          </cell>
          <cell r="B5018">
            <v>196</v>
          </cell>
          <cell r="C5018">
            <v>201</v>
          </cell>
          <cell r="D5018">
            <v>13</v>
          </cell>
          <cell r="E5018" t="str">
            <v>Less: Financial intermediation services indirectly measured (FISIM) (only to be deducted if FISIM is not distributed to uses)</v>
          </cell>
          <cell r="F5018">
            <v>0</v>
          </cell>
          <cell r="G5018">
            <v>1978</v>
          </cell>
          <cell r="H5018">
            <v>20</v>
          </cell>
          <cell r="I5018">
            <v>13100000</v>
          </cell>
        </row>
        <row r="5019">
          <cell r="A5019" t="str">
            <v>Cyprus</v>
          </cell>
          <cell r="B5019">
            <v>196</v>
          </cell>
          <cell r="C5019">
            <v>201</v>
          </cell>
          <cell r="D5019">
            <v>13</v>
          </cell>
          <cell r="E5019" t="str">
            <v>Less: Financial intermediation services indirectly measured (FISIM) (only to be deducted if FISIM is not distributed to uses)</v>
          </cell>
          <cell r="F5019">
            <v>0</v>
          </cell>
          <cell r="G5019">
            <v>1979</v>
          </cell>
          <cell r="H5019">
            <v>20</v>
          </cell>
          <cell r="I5019">
            <v>18300000</v>
          </cell>
        </row>
        <row r="5020">
          <cell r="A5020" t="str">
            <v>Cyprus</v>
          </cell>
          <cell r="B5020">
            <v>196</v>
          </cell>
          <cell r="C5020">
            <v>201</v>
          </cell>
          <cell r="D5020">
            <v>13</v>
          </cell>
          <cell r="E5020" t="str">
            <v>Less: Financial intermediation services indirectly measured (FISIM) (only to be deducted if FISIM is not distributed to uses)</v>
          </cell>
          <cell r="F5020">
            <v>0</v>
          </cell>
          <cell r="G5020">
            <v>1980</v>
          </cell>
          <cell r="H5020">
            <v>20</v>
          </cell>
          <cell r="I5020">
            <v>23000000</v>
          </cell>
        </row>
        <row r="5021">
          <cell r="A5021" t="str">
            <v>Cyprus</v>
          </cell>
          <cell r="B5021">
            <v>196</v>
          </cell>
          <cell r="C5021">
            <v>201</v>
          </cell>
          <cell r="D5021">
            <v>13</v>
          </cell>
          <cell r="E5021" t="str">
            <v>Less: Financial intermediation services indirectly measured (FISIM) (only to be deducted if FISIM is not distributed to uses)</v>
          </cell>
          <cell r="F5021">
            <v>0</v>
          </cell>
          <cell r="G5021">
            <v>1981</v>
          </cell>
          <cell r="H5021">
            <v>20</v>
          </cell>
          <cell r="I5021">
            <v>33400000</v>
          </cell>
        </row>
        <row r="5022">
          <cell r="A5022" t="str">
            <v>Cyprus</v>
          </cell>
          <cell r="B5022">
            <v>196</v>
          </cell>
          <cell r="C5022">
            <v>201</v>
          </cell>
          <cell r="D5022">
            <v>13</v>
          </cell>
          <cell r="E5022" t="str">
            <v>Less: Financial intermediation services indirectly measured (FISIM) (only to be deducted if FISIM is not distributed to uses)</v>
          </cell>
          <cell r="F5022">
            <v>0</v>
          </cell>
          <cell r="G5022">
            <v>1982</v>
          </cell>
          <cell r="H5022">
            <v>20</v>
          </cell>
          <cell r="I5022">
            <v>36800000</v>
          </cell>
        </row>
        <row r="5023">
          <cell r="A5023" t="str">
            <v>Cyprus</v>
          </cell>
          <cell r="B5023">
            <v>196</v>
          </cell>
          <cell r="C5023">
            <v>201</v>
          </cell>
          <cell r="D5023">
            <v>13</v>
          </cell>
          <cell r="E5023" t="str">
            <v>Less: Financial intermediation services indirectly measured (FISIM) (only to be deducted if FISIM is not distributed to uses)</v>
          </cell>
          <cell r="F5023">
            <v>0</v>
          </cell>
          <cell r="G5023">
            <v>1983</v>
          </cell>
          <cell r="H5023">
            <v>20</v>
          </cell>
          <cell r="I5023">
            <v>31100000</v>
          </cell>
        </row>
        <row r="5024">
          <cell r="A5024" t="str">
            <v>Cyprus</v>
          </cell>
          <cell r="B5024">
            <v>196</v>
          </cell>
          <cell r="C5024">
            <v>201</v>
          </cell>
          <cell r="D5024">
            <v>13</v>
          </cell>
          <cell r="E5024" t="str">
            <v>Less: Financial intermediation services indirectly measured (FISIM) (only to be deducted if FISIM is not distributed to uses)</v>
          </cell>
          <cell r="F5024">
            <v>0</v>
          </cell>
          <cell r="G5024">
            <v>1984</v>
          </cell>
          <cell r="H5024">
            <v>20</v>
          </cell>
          <cell r="I5024">
            <v>37800000</v>
          </cell>
        </row>
        <row r="5025">
          <cell r="A5025" t="str">
            <v>Cyprus</v>
          </cell>
          <cell r="B5025">
            <v>196</v>
          </cell>
          <cell r="C5025">
            <v>201</v>
          </cell>
          <cell r="D5025">
            <v>13</v>
          </cell>
          <cell r="E5025" t="str">
            <v>Less: Financial intermediation services indirectly measured (FISIM) (only to be deducted if FISIM is not distributed to uses)</v>
          </cell>
          <cell r="F5025">
            <v>0</v>
          </cell>
          <cell r="G5025">
            <v>1985</v>
          </cell>
          <cell r="H5025">
            <v>20</v>
          </cell>
          <cell r="I5025">
            <v>39900000</v>
          </cell>
        </row>
        <row r="5026">
          <cell r="A5026" t="str">
            <v>Cyprus</v>
          </cell>
          <cell r="B5026">
            <v>196</v>
          </cell>
          <cell r="C5026">
            <v>201</v>
          </cell>
          <cell r="D5026">
            <v>13</v>
          </cell>
          <cell r="E5026" t="str">
            <v>Less: Financial intermediation services indirectly measured (FISIM) (only to be deducted if FISIM is not distributed to uses)</v>
          </cell>
          <cell r="F5026">
            <v>0</v>
          </cell>
          <cell r="G5026">
            <v>1986</v>
          </cell>
          <cell r="H5026">
            <v>20</v>
          </cell>
          <cell r="I5026">
            <v>40800000</v>
          </cell>
        </row>
        <row r="5027">
          <cell r="A5027" t="str">
            <v>Cyprus</v>
          </cell>
          <cell r="B5027">
            <v>196</v>
          </cell>
          <cell r="C5027">
            <v>201</v>
          </cell>
          <cell r="D5027">
            <v>13</v>
          </cell>
          <cell r="E5027" t="str">
            <v>Less: Financial intermediation services indirectly measured (FISIM) (only to be deducted if FISIM is not distributed to uses)</v>
          </cell>
          <cell r="F5027">
            <v>0</v>
          </cell>
          <cell r="G5027">
            <v>1987</v>
          </cell>
          <cell r="H5027">
            <v>20</v>
          </cell>
          <cell r="I5027">
            <v>42700000</v>
          </cell>
        </row>
        <row r="5028">
          <cell r="A5028" t="str">
            <v>Cyprus</v>
          </cell>
          <cell r="B5028">
            <v>196</v>
          </cell>
          <cell r="C5028">
            <v>201</v>
          </cell>
          <cell r="D5028">
            <v>13</v>
          </cell>
          <cell r="E5028" t="str">
            <v>Less: Financial intermediation services indirectly measured (FISIM) (only to be deducted if FISIM is not distributed to uses)</v>
          </cell>
          <cell r="F5028">
            <v>0</v>
          </cell>
          <cell r="G5028">
            <v>1988</v>
          </cell>
          <cell r="H5028">
            <v>20</v>
          </cell>
          <cell r="I5028">
            <v>47900000</v>
          </cell>
        </row>
        <row r="5029">
          <cell r="A5029" t="str">
            <v>Cyprus</v>
          </cell>
          <cell r="B5029">
            <v>196</v>
          </cell>
          <cell r="C5029">
            <v>201</v>
          </cell>
          <cell r="D5029">
            <v>13</v>
          </cell>
          <cell r="E5029" t="str">
            <v>Less: Financial intermediation services indirectly measured (FISIM) (only to be deducted if FISIM is not distributed to uses)</v>
          </cell>
          <cell r="F5029">
            <v>0</v>
          </cell>
          <cell r="G5029">
            <v>1989</v>
          </cell>
          <cell r="H5029">
            <v>20</v>
          </cell>
          <cell r="I5029">
            <v>57600000</v>
          </cell>
        </row>
        <row r="5030">
          <cell r="A5030" t="str">
            <v>Cyprus</v>
          </cell>
          <cell r="B5030">
            <v>196</v>
          </cell>
          <cell r="C5030">
            <v>201</v>
          </cell>
          <cell r="D5030">
            <v>13</v>
          </cell>
          <cell r="E5030" t="str">
            <v>Less: Financial intermediation services indirectly measured (FISIM) (only to be deducted if FISIM is not distributed to uses)</v>
          </cell>
          <cell r="F5030">
            <v>0</v>
          </cell>
          <cell r="G5030">
            <v>1990</v>
          </cell>
          <cell r="H5030">
            <v>20</v>
          </cell>
          <cell r="I5030">
            <v>74700000</v>
          </cell>
        </row>
        <row r="5031">
          <cell r="A5031" t="str">
            <v>Cyprus</v>
          </cell>
          <cell r="B5031">
            <v>196</v>
          </cell>
          <cell r="C5031">
            <v>201</v>
          </cell>
          <cell r="D5031">
            <v>13</v>
          </cell>
          <cell r="E5031" t="str">
            <v>Less: Financial intermediation services indirectly measured (FISIM) (only to be deducted if FISIM is not distributed to uses)</v>
          </cell>
          <cell r="F5031">
            <v>0</v>
          </cell>
          <cell r="G5031">
            <v>1991</v>
          </cell>
          <cell r="H5031">
            <v>20</v>
          </cell>
          <cell r="I5031">
            <v>81300000</v>
          </cell>
        </row>
        <row r="5032">
          <cell r="A5032" t="str">
            <v>Cyprus</v>
          </cell>
          <cell r="B5032">
            <v>196</v>
          </cell>
          <cell r="C5032">
            <v>201</v>
          </cell>
          <cell r="D5032">
            <v>13</v>
          </cell>
          <cell r="E5032" t="str">
            <v>Less: Financial intermediation services indirectly measured (FISIM) (only to be deducted if FISIM is not distributed to uses)</v>
          </cell>
          <cell r="F5032">
            <v>0</v>
          </cell>
          <cell r="G5032">
            <v>1992</v>
          </cell>
          <cell r="H5032">
            <v>20</v>
          </cell>
          <cell r="I5032">
            <v>96100000</v>
          </cell>
        </row>
        <row r="5033">
          <cell r="A5033" t="str">
            <v>Cyprus</v>
          </cell>
          <cell r="B5033">
            <v>196</v>
          </cell>
          <cell r="C5033">
            <v>201</v>
          </cell>
          <cell r="D5033">
            <v>13</v>
          </cell>
          <cell r="E5033" t="str">
            <v>Less: Financial intermediation services indirectly measured (FISIM) (only to be deducted if FISIM is not distributed to uses)</v>
          </cell>
          <cell r="F5033">
            <v>0</v>
          </cell>
          <cell r="G5033">
            <v>1993</v>
          </cell>
          <cell r="H5033">
            <v>20</v>
          </cell>
          <cell r="I5033">
            <v>89000000</v>
          </cell>
        </row>
        <row r="5034">
          <cell r="A5034" t="str">
            <v>Cyprus</v>
          </cell>
          <cell r="B5034">
            <v>196</v>
          </cell>
          <cell r="C5034">
            <v>201</v>
          </cell>
          <cell r="D5034">
            <v>13</v>
          </cell>
          <cell r="E5034" t="str">
            <v>Less: Financial intermediation services indirectly measured (FISIM) (only to be deducted if FISIM is not distributed to uses)</v>
          </cell>
          <cell r="F5034">
            <v>0</v>
          </cell>
          <cell r="G5034">
            <v>1994</v>
          </cell>
          <cell r="H5034">
            <v>20</v>
          </cell>
          <cell r="I5034">
            <v>103000000</v>
          </cell>
        </row>
        <row r="5035">
          <cell r="A5035" t="str">
            <v>Cyprus</v>
          </cell>
          <cell r="B5035">
            <v>196</v>
          </cell>
          <cell r="C5035">
            <v>201</v>
          </cell>
          <cell r="D5035">
            <v>13</v>
          </cell>
          <cell r="E5035" t="str">
            <v>Less: Financial intermediation services indirectly measured (FISIM) (only to be deducted if FISIM is not distributed to uses)</v>
          </cell>
          <cell r="F5035">
            <v>0</v>
          </cell>
          <cell r="G5035">
            <v>1995</v>
          </cell>
          <cell r="H5035">
            <v>20</v>
          </cell>
          <cell r="I5035">
            <v>121600000</v>
          </cell>
        </row>
        <row r="5036">
          <cell r="A5036" t="str">
            <v>Cyprus</v>
          </cell>
          <cell r="B5036">
            <v>196</v>
          </cell>
          <cell r="C5036">
            <v>201</v>
          </cell>
          <cell r="D5036">
            <v>13</v>
          </cell>
          <cell r="E5036" t="str">
            <v>Less: Financial intermediation services indirectly measured (FISIM) (only to be deducted if FISIM is not distributed to uses)</v>
          </cell>
          <cell r="F5036">
            <v>0</v>
          </cell>
          <cell r="G5036">
            <v>1995</v>
          </cell>
          <cell r="H5036">
            <v>100</v>
          </cell>
          <cell r="I5036">
            <v>122000000</v>
          </cell>
        </row>
        <row r="5037">
          <cell r="A5037" t="str">
            <v>Cyprus</v>
          </cell>
          <cell r="B5037">
            <v>196</v>
          </cell>
          <cell r="C5037">
            <v>201</v>
          </cell>
          <cell r="D5037">
            <v>13</v>
          </cell>
          <cell r="E5037" t="str">
            <v>Less: Financial intermediation services indirectly measured (FISIM) (only to be deducted if FISIM is not distributed to uses)</v>
          </cell>
          <cell r="F5037">
            <v>0</v>
          </cell>
          <cell r="G5037">
            <v>1996</v>
          </cell>
          <cell r="H5037">
            <v>100</v>
          </cell>
          <cell r="I5037">
            <v>135000000</v>
          </cell>
        </row>
        <row r="5038">
          <cell r="A5038" t="str">
            <v>Cyprus</v>
          </cell>
          <cell r="B5038">
            <v>196</v>
          </cell>
          <cell r="C5038">
            <v>201</v>
          </cell>
          <cell r="D5038">
            <v>13</v>
          </cell>
          <cell r="E5038" t="str">
            <v>Less: Financial intermediation services indirectly measured (FISIM) (only to be deducted if FISIM is not distributed to uses)</v>
          </cell>
          <cell r="F5038">
            <v>0</v>
          </cell>
          <cell r="G5038">
            <v>1997</v>
          </cell>
          <cell r="H5038">
            <v>100</v>
          </cell>
          <cell r="I5038">
            <v>149000000</v>
          </cell>
        </row>
        <row r="5039">
          <cell r="A5039" t="str">
            <v>Cyprus</v>
          </cell>
          <cell r="B5039">
            <v>196</v>
          </cell>
          <cell r="C5039">
            <v>201</v>
          </cell>
          <cell r="D5039">
            <v>13</v>
          </cell>
          <cell r="E5039" t="str">
            <v>Less: Financial intermediation services indirectly measured (FISIM) (only to be deducted if FISIM is not distributed to uses)</v>
          </cell>
          <cell r="F5039">
            <v>0</v>
          </cell>
          <cell r="G5039">
            <v>1998</v>
          </cell>
          <cell r="H5039">
            <v>100</v>
          </cell>
          <cell r="I5039">
            <v>166000000</v>
          </cell>
        </row>
        <row r="5040">
          <cell r="A5040" t="str">
            <v>Cyprus</v>
          </cell>
          <cell r="B5040">
            <v>196</v>
          </cell>
          <cell r="C5040">
            <v>201</v>
          </cell>
          <cell r="D5040">
            <v>13</v>
          </cell>
          <cell r="E5040" t="str">
            <v>Less: Financial intermediation services indirectly measured (FISIM) (only to be deducted if FISIM is not distributed to uses)</v>
          </cell>
          <cell r="F5040">
            <v>0</v>
          </cell>
          <cell r="G5040">
            <v>1999</v>
          </cell>
          <cell r="H5040">
            <v>100</v>
          </cell>
          <cell r="I5040">
            <v>189000000</v>
          </cell>
        </row>
        <row r="5041">
          <cell r="A5041" t="str">
            <v>Cyprus</v>
          </cell>
          <cell r="B5041">
            <v>196</v>
          </cell>
          <cell r="C5041">
            <v>201</v>
          </cell>
          <cell r="D5041">
            <v>13</v>
          </cell>
          <cell r="E5041" t="str">
            <v>Less: Financial intermediation services indirectly measured (FISIM) (only to be deducted if FISIM is not distributed to uses)</v>
          </cell>
          <cell r="F5041">
            <v>0</v>
          </cell>
          <cell r="G5041">
            <v>2000</v>
          </cell>
          <cell r="H5041">
            <v>100</v>
          </cell>
          <cell r="I5041">
            <v>223000000</v>
          </cell>
        </row>
        <row r="5042">
          <cell r="A5042" t="str">
            <v>Cyprus</v>
          </cell>
          <cell r="B5042">
            <v>196</v>
          </cell>
          <cell r="C5042">
            <v>201</v>
          </cell>
          <cell r="D5042">
            <v>13</v>
          </cell>
          <cell r="E5042" t="str">
            <v>Less: Financial intermediation services indirectly measured (FISIM) (only to be deducted if FISIM is not distributed to uses)</v>
          </cell>
          <cell r="F5042">
            <v>0</v>
          </cell>
          <cell r="G5042">
            <v>2001</v>
          </cell>
          <cell r="H5042">
            <v>100</v>
          </cell>
          <cell r="I5042">
            <v>265000000</v>
          </cell>
        </row>
        <row r="5043">
          <cell r="A5043" t="str">
            <v>Cyprus</v>
          </cell>
          <cell r="B5043">
            <v>196</v>
          </cell>
          <cell r="C5043">
            <v>201</v>
          </cell>
          <cell r="D5043">
            <v>13</v>
          </cell>
          <cell r="E5043" t="str">
            <v>Less: Financial intermediation services indirectly measured (FISIM) (only to be deducted if FISIM is not distributed to uses)</v>
          </cell>
          <cell r="F5043">
            <v>0</v>
          </cell>
          <cell r="G5043">
            <v>2002</v>
          </cell>
          <cell r="H5043">
            <v>100</v>
          </cell>
          <cell r="I5043">
            <v>273000000</v>
          </cell>
        </row>
        <row r="5044">
          <cell r="A5044" t="str">
            <v>Cyprus</v>
          </cell>
          <cell r="B5044">
            <v>196</v>
          </cell>
          <cell r="C5044">
            <v>201</v>
          </cell>
          <cell r="D5044">
            <v>13</v>
          </cell>
          <cell r="E5044" t="str">
            <v>Less: Financial intermediation services indirectly measured (FISIM) (only to be deducted if FISIM is not distributed to uses)</v>
          </cell>
          <cell r="F5044">
            <v>0</v>
          </cell>
          <cell r="G5044">
            <v>2003</v>
          </cell>
          <cell r="H5044">
            <v>100</v>
          </cell>
          <cell r="I5044">
            <v>277000000</v>
          </cell>
        </row>
        <row r="5045">
          <cell r="A5045" t="str">
            <v>Cyprus</v>
          </cell>
          <cell r="B5045">
            <v>196</v>
          </cell>
          <cell r="C5045">
            <v>203</v>
          </cell>
          <cell r="D5045">
            <v>3</v>
          </cell>
          <cell r="E5045" t="str">
            <v>Equals: VALUE ADDED, GROSS, at basic prices</v>
          </cell>
          <cell r="F5045">
            <v>12</v>
          </cell>
          <cell r="G5045">
            <v>1970</v>
          </cell>
          <cell r="H5045">
            <v>10</v>
          </cell>
          <cell r="I5045">
            <v>209000000</v>
          </cell>
        </row>
        <row r="5046">
          <cell r="A5046" t="str">
            <v>Cyprus</v>
          </cell>
          <cell r="B5046">
            <v>196</v>
          </cell>
          <cell r="C5046">
            <v>203</v>
          </cell>
          <cell r="D5046">
            <v>3</v>
          </cell>
          <cell r="E5046" t="str">
            <v>Equals: VALUE ADDED, GROSS, at basic prices</v>
          </cell>
          <cell r="F5046">
            <v>12</v>
          </cell>
          <cell r="G5046">
            <v>1971</v>
          </cell>
          <cell r="H5046">
            <v>10</v>
          </cell>
          <cell r="I5046">
            <v>241600000</v>
          </cell>
        </row>
        <row r="5047">
          <cell r="A5047" t="str">
            <v>Cyprus</v>
          </cell>
          <cell r="B5047">
            <v>196</v>
          </cell>
          <cell r="C5047">
            <v>203</v>
          </cell>
          <cell r="D5047">
            <v>3</v>
          </cell>
          <cell r="E5047" t="str">
            <v>Equals: VALUE ADDED, GROSS, at basic prices</v>
          </cell>
          <cell r="F5047">
            <v>12</v>
          </cell>
          <cell r="G5047">
            <v>1972</v>
          </cell>
          <cell r="H5047">
            <v>10</v>
          </cell>
          <cell r="I5047">
            <v>274200000</v>
          </cell>
        </row>
        <row r="5048">
          <cell r="A5048" t="str">
            <v>Cyprus</v>
          </cell>
          <cell r="B5048">
            <v>196</v>
          </cell>
          <cell r="C5048">
            <v>203</v>
          </cell>
          <cell r="D5048">
            <v>3</v>
          </cell>
          <cell r="E5048" t="str">
            <v>Equals: VALUE ADDED, GROSS, at basic prices</v>
          </cell>
          <cell r="F5048">
            <v>12</v>
          </cell>
          <cell r="G5048">
            <v>1973</v>
          </cell>
          <cell r="H5048">
            <v>10</v>
          </cell>
          <cell r="I5048">
            <v>310900000</v>
          </cell>
        </row>
        <row r="5049">
          <cell r="A5049" t="str">
            <v>Cyprus</v>
          </cell>
          <cell r="B5049">
            <v>196</v>
          </cell>
          <cell r="C5049">
            <v>203</v>
          </cell>
          <cell r="D5049">
            <v>3</v>
          </cell>
          <cell r="E5049" t="str">
            <v>Equals: VALUE ADDED, GROSS, at basic prices</v>
          </cell>
          <cell r="F5049">
            <v>12</v>
          </cell>
          <cell r="G5049">
            <v>1974</v>
          </cell>
          <cell r="H5049">
            <v>10</v>
          </cell>
          <cell r="I5049">
            <v>285900000</v>
          </cell>
        </row>
        <row r="5050">
          <cell r="A5050" t="str">
            <v>Cyprus</v>
          </cell>
          <cell r="B5050">
            <v>196</v>
          </cell>
          <cell r="C5050">
            <v>203</v>
          </cell>
          <cell r="D5050">
            <v>3</v>
          </cell>
          <cell r="E5050" t="str">
            <v>Equals: VALUE ADDED, GROSS, at basic prices</v>
          </cell>
          <cell r="F5050">
            <v>12</v>
          </cell>
          <cell r="G5050">
            <v>1975</v>
          </cell>
          <cell r="H5050">
            <v>10</v>
          </cell>
          <cell r="I5050">
            <v>240500000</v>
          </cell>
        </row>
        <row r="5051">
          <cell r="A5051" t="str">
            <v>Cyprus</v>
          </cell>
          <cell r="B5051">
            <v>196</v>
          </cell>
          <cell r="C5051">
            <v>203</v>
          </cell>
          <cell r="D5051">
            <v>3</v>
          </cell>
          <cell r="E5051" t="str">
            <v>Equals: VALUE ADDED, GROSS, at basic prices</v>
          </cell>
          <cell r="F5051">
            <v>12</v>
          </cell>
          <cell r="G5051">
            <v>1976</v>
          </cell>
          <cell r="H5051">
            <v>10</v>
          </cell>
          <cell r="I5051">
            <v>320600000</v>
          </cell>
        </row>
        <row r="5052">
          <cell r="A5052" t="str">
            <v>Cyprus</v>
          </cell>
          <cell r="B5052">
            <v>196</v>
          </cell>
          <cell r="C5052">
            <v>203</v>
          </cell>
          <cell r="D5052">
            <v>3</v>
          </cell>
          <cell r="E5052" t="str">
            <v>Equals: VALUE ADDED, GROSS, at basic prices</v>
          </cell>
          <cell r="F5052">
            <v>12</v>
          </cell>
          <cell r="G5052">
            <v>1976</v>
          </cell>
          <cell r="H5052">
            <v>20</v>
          </cell>
          <cell r="I5052">
            <v>329100000</v>
          </cell>
        </row>
        <row r="5053">
          <cell r="A5053" t="str">
            <v>Cyprus</v>
          </cell>
          <cell r="B5053">
            <v>196</v>
          </cell>
          <cell r="C5053">
            <v>203</v>
          </cell>
          <cell r="D5053">
            <v>3</v>
          </cell>
          <cell r="E5053" t="str">
            <v>Equals: VALUE ADDED, GROSS, at basic prices</v>
          </cell>
          <cell r="F5053">
            <v>12</v>
          </cell>
          <cell r="G5053">
            <v>1977</v>
          </cell>
          <cell r="H5053">
            <v>20</v>
          </cell>
          <cell r="I5053">
            <v>409600000</v>
          </cell>
        </row>
        <row r="5054">
          <cell r="A5054" t="str">
            <v>Cyprus</v>
          </cell>
          <cell r="B5054">
            <v>196</v>
          </cell>
          <cell r="C5054">
            <v>203</v>
          </cell>
          <cell r="D5054">
            <v>3</v>
          </cell>
          <cell r="E5054" t="str">
            <v>Equals: VALUE ADDED, GROSS, at basic prices</v>
          </cell>
          <cell r="F5054">
            <v>12</v>
          </cell>
          <cell r="G5054">
            <v>1978</v>
          </cell>
          <cell r="H5054">
            <v>20</v>
          </cell>
          <cell r="I5054">
            <v>487200000</v>
          </cell>
        </row>
        <row r="5055">
          <cell r="A5055" t="str">
            <v>Cyprus</v>
          </cell>
          <cell r="B5055">
            <v>196</v>
          </cell>
          <cell r="C5055">
            <v>203</v>
          </cell>
          <cell r="D5055">
            <v>3</v>
          </cell>
          <cell r="E5055" t="str">
            <v>Equals: VALUE ADDED, GROSS, at basic prices</v>
          </cell>
          <cell r="F5055">
            <v>12</v>
          </cell>
          <cell r="G5055">
            <v>1979</v>
          </cell>
          <cell r="H5055">
            <v>20</v>
          </cell>
          <cell r="I5055">
            <v>604100000</v>
          </cell>
        </row>
        <row r="5056">
          <cell r="A5056" t="str">
            <v>Cyprus</v>
          </cell>
          <cell r="B5056">
            <v>196</v>
          </cell>
          <cell r="C5056">
            <v>203</v>
          </cell>
          <cell r="D5056">
            <v>3</v>
          </cell>
          <cell r="E5056" t="str">
            <v>Equals: VALUE ADDED, GROSS, at basic prices</v>
          </cell>
          <cell r="F5056">
            <v>12</v>
          </cell>
          <cell r="G5056">
            <v>1980</v>
          </cell>
          <cell r="H5056">
            <v>20</v>
          </cell>
          <cell r="I5056">
            <v>732100000</v>
          </cell>
        </row>
        <row r="5057">
          <cell r="A5057" t="str">
            <v>Cyprus</v>
          </cell>
          <cell r="B5057">
            <v>196</v>
          </cell>
          <cell r="C5057">
            <v>203</v>
          </cell>
          <cell r="D5057">
            <v>3</v>
          </cell>
          <cell r="E5057" t="str">
            <v>Equals: VALUE ADDED, GROSS, at basic prices</v>
          </cell>
          <cell r="F5057">
            <v>12</v>
          </cell>
          <cell r="G5057">
            <v>1981</v>
          </cell>
          <cell r="H5057">
            <v>20</v>
          </cell>
          <cell r="I5057">
            <v>853500000</v>
          </cell>
        </row>
        <row r="5058">
          <cell r="A5058" t="str">
            <v>Cyprus</v>
          </cell>
          <cell r="B5058">
            <v>196</v>
          </cell>
          <cell r="C5058">
            <v>203</v>
          </cell>
          <cell r="D5058">
            <v>3</v>
          </cell>
          <cell r="E5058" t="str">
            <v>Equals: VALUE ADDED, GROSS, at basic prices</v>
          </cell>
          <cell r="F5058">
            <v>12</v>
          </cell>
          <cell r="G5058">
            <v>1982</v>
          </cell>
          <cell r="H5058">
            <v>20</v>
          </cell>
          <cell r="I5058">
            <v>990900000</v>
          </cell>
        </row>
        <row r="5059">
          <cell r="A5059" t="str">
            <v>Cyprus</v>
          </cell>
          <cell r="B5059">
            <v>196</v>
          </cell>
          <cell r="C5059">
            <v>203</v>
          </cell>
          <cell r="D5059">
            <v>3</v>
          </cell>
          <cell r="E5059" t="str">
            <v>Equals: VALUE ADDED, GROSS, at basic prices</v>
          </cell>
          <cell r="F5059">
            <v>12</v>
          </cell>
          <cell r="G5059">
            <v>1983</v>
          </cell>
          <cell r="H5059">
            <v>20</v>
          </cell>
          <cell r="I5059">
            <v>1084500000</v>
          </cell>
        </row>
        <row r="5060">
          <cell r="A5060" t="str">
            <v>Cyprus</v>
          </cell>
          <cell r="B5060">
            <v>196</v>
          </cell>
          <cell r="C5060">
            <v>203</v>
          </cell>
          <cell r="D5060">
            <v>3</v>
          </cell>
          <cell r="E5060" t="str">
            <v>Equals: VALUE ADDED, GROSS, at basic prices</v>
          </cell>
          <cell r="F5060">
            <v>12</v>
          </cell>
          <cell r="G5060">
            <v>1984</v>
          </cell>
          <cell r="H5060">
            <v>20</v>
          </cell>
          <cell r="I5060">
            <v>1280400000</v>
          </cell>
        </row>
        <row r="5061">
          <cell r="A5061" t="str">
            <v>Cyprus</v>
          </cell>
          <cell r="B5061">
            <v>196</v>
          </cell>
          <cell r="C5061">
            <v>203</v>
          </cell>
          <cell r="D5061">
            <v>3</v>
          </cell>
          <cell r="E5061" t="str">
            <v>Equals: VALUE ADDED, GROSS, at basic prices</v>
          </cell>
          <cell r="F5061">
            <v>12</v>
          </cell>
          <cell r="G5061">
            <v>1985</v>
          </cell>
          <cell r="H5061">
            <v>20</v>
          </cell>
          <cell r="I5061">
            <v>1415700000</v>
          </cell>
        </row>
        <row r="5062">
          <cell r="A5062" t="str">
            <v>Cyprus</v>
          </cell>
          <cell r="B5062">
            <v>196</v>
          </cell>
          <cell r="C5062">
            <v>203</v>
          </cell>
          <cell r="D5062">
            <v>3</v>
          </cell>
          <cell r="E5062" t="str">
            <v>Equals: VALUE ADDED, GROSS, at basic prices</v>
          </cell>
          <cell r="F5062">
            <v>12</v>
          </cell>
          <cell r="G5062">
            <v>1986</v>
          </cell>
          <cell r="H5062">
            <v>20</v>
          </cell>
          <cell r="I5062">
            <v>1538300000</v>
          </cell>
        </row>
        <row r="5063">
          <cell r="A5063" t="str">
            <v>Cyprus</v>
          </cell>
          <cell r="B5063">
            <v>196</v>
          </cell>
          <cell r="C5063">
            <v>203</v>
          </cell>
          <cell r="D5063">
            <v>3</v>
          </cell>
          <cell r="E5063" t="str">
            <v>Equals: VALUE ADDED, GROSS, at basic prices</v>
          </cell>
          <cell r="F5063">
            <v>12</v>
          </cell>
          <cell r="G5063">
            <v>1987</v>
          </cell>
          <cell r="H5063">
            <v>20</v>
          </cell>
          <cell r="I5063">
            <v>1708600000</v>
          </cell>
        </row>
        <row r="5064">
          <cell r="A5064" t="str">
            <v>Cyprus</v>
          </cell>
          <cell r="B5064">
            <v>196</v>
          </cell>
          <cell r="C5064">
            <v>203</v>
          </cell>
          <cell r="D5064">
            <v>3</v>
          </cell>
          <cell r="E5064" t="str">
            <v>Equals: VALUE ADDED, GROSS, at basic prices</v>
          </cell>
          <cell r="F5064">
            <v>12</v>
          </cell>
          <cell r="G5064">
            <v>1988</v>
          </cell>
          <cell r="H5064">
            <v>20</v>
          </cell>
          <cell r="I5064">
            <v>1903000000</v>
          </cell>
        </row>
        <row r="5065">
          <cell r="A5065" t="str">
            <v>Cyprus</v>
          </cell>
          <cell r="B5065">
            <v>196</v>
          </cell>
          <cell r="C5065">
            <v>203</v>
          </cell>
          <cell r="D5065">
            <v>3</v>
          </cell>
          <cell r="E5065" t="str">
            <v>Equals: VALUE ADDED, GROSS, at basic prices</v>
          </cell>
          <cell r="F5065">
            <v>12</v>
          </cell>
          <cell r="G5065">
            <v>1989</v>
          </cell>
          <cell r="H5065">
            <v>20</v>
          </cell>
          <cell r="I5065">
            <v>2150800000</v>
          </cell>
        </row>
        <row r="5066">
          <cell r="A5066" t="str">
            <v>Cyprus</v>
          </cell>
          <cell r="B5066">
            <v>196</v>
          </cell>
          <cell r="C5066">
            <v>203</v>
          </cell>
          <cell r="D5066">
            <v>3</v>
          </cell>
          <cell r="E5066" t="str">
            <v>Equals: VALUE ADDED, GROSS, at basic prices</v>
          </cell>
          <cell r="F5066">
            <v>12</v>
          </cell>
          <cell r="G5066">
            <v>1990</v>
          </cell>
          <cell r="H5066">
            <v>20</v>
          </cell>
          <cell r="I5066">
            <v>2459000000</v>
          </cell>
        </row>
        <row r="5067">
          <cell r="A5067" t="str">
            <v>Cyprus</v>
          </cell>
          <cell r="B5067">
            <v>196</v>
          </cell>
          <cell r="C5067">
            <v>203</v>
          </cell>
          <cell r="D5067">
            <v>3</v>
          </cell>
          <cell r="E5067" t="str">
            <v>Equals: VALUE ADDED, GROSS, at basic prices</v>
          </cell>
          <cell r="F5067">
            <v>12</v>
          </cell>
          <cell r="G5067">
            <v>1991</v>
          </cell>
          <cell r="H5067">
            <v>20</v>
          </cell>
          <cell r="I5067">
            <v>2585000000</v>
          </cell>
        </row>
        <row r="5068">
          <cell r="A5068" t="str">
            <v>Cyprus</v>
          </cell>
          <cell r="B5068">
            <v>196</v>
          </cell>
          <cell r="C5068">
            <v>203</v>
          </cell>
          <cell r="D5068">
            <v>3</v>
          </cell>
          <cell r="E5068" t="str">
            <v>Equals: VALUE ADDED, GROSS, at basic prices</v>
          </cell>
          <cell r="F5068">
            <v>12</v>
          </cell>
          <cell r="G5068">
            <v>1992</v>
          </cell>
          <cell r="H5068">
            <v>20</v>
          </cell>
          <cell r="I5068">
            <v>2970000000</v>
          </cell>
        </row>
        <row r="5069">
          <cell r="A5069" t="str">
            <v>Cyprus</v>
          </cell>
          <cell r="B5069">
            <v>196</v>
          </cell>
          <cell r="C5069">
            <v>203</v>
          </cell>
          <cell r="D5069">
            <v>3</v>
          </cell>
          <cell r="E5069" t="str">
            <v>Equals: VALUE ADDED, GROSS, at basic prices</v>
          </cell>
          <cell r="F5069">
            <v>12</v>
          </cell>
          <cell r="G5069">
            <v>1993</v>
          </cell>
          <cell r="H5069">
            <v>20</v>
          </cell>
          <cell r="I5069">
            <v>3091000000</v>
          </cell>
        </row>
        <row r="5070">
          <cell r="A5070" t="str">
            <v>Cyprus</v>
          </cell>
          <cell r="B5070">
            <v>196</v>
          </cell>
          <cell r="C5070">
            <v>203</v>
          </cell>
          <cell r="D5070">
            <v>3</v>
          </cell>
          <cell r="E5070" t="str">
            <v>Equals: VALUE ADDED, GROSS, at basic prices</v>
          </cell>
          <cell r="F5070">
            <v>12</v>
          </cell>
          <cell r="G5070">
            <v>1994</v>
          </cell>
          <cell r="H5070">
            <v>20</v>
          </cell>
          <cell r="I5070">
            <v>3415000000</v>
          </cell>
        </row>
        <row r="5071">
          <cell r="A5071" t="str">
            <v>Cyprus</v>
          </cell>
          <cell r="B5071">
            <v>196</v>
          </cell>
          <cell r="C5071">
            <v>203</v>
          </cell>
          <cell r="D5071">
            <v>3</v>
          </cell>
          <cell r="E5071" t="str">
            <v>Equals: VALUE ADDED, GROSS, at basic prices</v>
          </cell>
          <cell r="F5071">
            <v>12</v>
          </cell>
          <cell r="G5071">
            <v>1995</v>
          </cell>
          <cell r="H5071">
            <v>20</v>
          </cell>
          <cell r="I5071">
            <v>3710000000</v>
          </cell>
        </row>
        <row r="5072">
          <cell r="A5072" t="str">
            <v>Cyprus</v>
          </cell>
          <cell r="B5072">
            <v>196</v>
          </cell>
          <cell r="C5072">
            <v>203</v>
          </cell>
          <cell r="D5072">
            <v>3</v>
          </cell>
          <cell r="E5072" t="str">
            <v>Equals: VALUE ADDED, GROSS, at basic prices</v>
          </cell>
          <cell r="F5072">
            <v>12</v>
          </cell>
          <cell r="G5072">
            <v>1995</v>
          </cell>
          <cell r="H5072">
            <v>100</v>
          </cell>
          <cell r="I5072">
            <v>3909000000</v>
          </cell>
        </row>
        <row r="5073">
          <cell r="A5073" t="str">
            <v>Cyprus</v>
          </cell>
          <cell r="B5073">
            <v>196</v>
          </cell>
          <cell r="C5073">
            <v>203</v>
          </cell>
          <cell r="D5073">
            <v>3</v>
          </cell>
          <cell r="E5073" t="str">
            <v>Equals: VALUE ADDED, GROSS, at basic prices</v>
          </cell>
          <cell r="F5073">
            <v>12</v>
          </cell>
          <cell r="G5073">
            <v>1996</v>
          </cell>
          <cell r="H5073">
            <v>100</v>
          </cell>
          <cell r="I5073">
            <v>4082000000</v>
          </cell>
        </row>
        <row r="5074">
          <cell r="A5074" t="str">
            <v>Cyprus</v>
          </cell>
          <cell r="B5074">
            <v>196</v>
          </cell>
          <cell r="C5074">
            <v>203</v>
          </cell>
          <cell r="D5074">
            <v>3</v>
          </cell>
          <cell r="E5074" t="str">
            <v>Equals: VALUE ADDED, GROSS, at basic prices</v>
          </cell>
          <cell r="F5074">
            <v>12</v>
          </cell>
          <cell r="G5074">
            <v>1997</v>
          </cell>
          <cell r="H5074">
            <v>100</v>
          </cell>
          <cell r="I5074">
            <v>4337000000</v>
          </cell>
        </row>
        <row r="5075">
          <cell r="A5075" t="str">
            <v>Cyprus</v>
          </cell>
          <cell r="B5075">
            <v>196</v>
          </cell>
          <cell r="C5075">
            <v>203</v>
          </cell>
          <cell r="D5075">
            <v>3</v>
          </cell>
          <cell r="E5075" t="str">
            <v>Equals: VALUE ADDED, GROSS, at basic prices</v>
          </cell>
          <cell r="F5075">
            <v>12</v>
          </cell>
          <cell r="G5075">
            <v>1998</v>
          </cell>
          <cell r="H5075">
            <v>100</v>
          </cell>
          <cell r="I5075">
            <v>4691000000</v>
          </cell>
        </row>
        <row r="5076">
          <cell r="A5076" t="str">
            <v>Cyprus</v>
          </cell>
          <cell r="B5076">
            <v>196</v>
          </cell>
          <cell r="C5076">
            <v>203</v>
          </cell>
          <cell r="D5076">
            <v>3</v>
          </cell>
          <cell r="E5076" t="str">
            <v>Equals: VALUE ADDED, GROSS, at basic prices</v>
          </cell>
          <cell r="F5076">
            <v>12</v>
          </cell>
          <cell r="G5076">
            <v>1999</v>
          </cell>
          <cell r="H5076">
            <v>100</v>
          </cell>
          <cell r="I5076">
            <v>5054000000</v>
          </cell>
        </row>
        <row r="5077">
          <cell r="A5077" t="str">
            <v>Cyprus</v>
          </cell>
          <cell r="B5077">
            <v>196</v>
          </cell>
          <cell r="C5077">
            <v>203</v>
          </cell>
          <cell r="D5077">
            <v>3</v>
          </cell>
          <cell r="E5077" t="str">
            <v>Equals: VALUE ADDED, GROSS, at basic prices</v>
          </cell>
          <cell r="F5077">
            <v>12</v>
          </cell>
          <cell r="G5077">
            <v>2000</v>
          </cell>
          <cell r="H5077">
            <v>100</v>
          </cell>
          <cell r="I5077">
            <v>5471000000</v>
          </cell>
        </row>
        <row r="5078">
          <cell r="A5078" t="str">
            <v>Cyprus</v>
          </cell>
          <cell r="B5078">
            <v>196</v>
          </cell>
          <cell r="C5078">
            <v>203</v>
          </cell>
          <cell r="D5078">
            <v>3</v>
          </cell>
          <cell r="E5078" t="str">
            <v>Equals: VALUE ADDED, GROSS, at basic prices</v>
          </cell>
          <cell r="F5078">
            <v>12</v>
          </cell>
          <cell r="G5078">
            <v>2001</v>
          </cell>
          <cell r="H5078">
            <v>100</v>
          </cell>
          <cell r="I5078">
            <v>5872000000</v>
          </cell>
        </row>
        <row r="5079">
          <cell r="A5079" t="str">
            <v>Cyprus</v>
          </cell>
          <cell r="B5079">
            <v>196</v>
          </cell>
          <cell r="C5079">
            <v>203</v>
          </cell>
          <cell r="D5079">
            <v>3</v>
          </cell>
          <cell r="E5079" t="str">
            <v>Equals: VALUE ADDED, GROSS, at basic prices</v>
          </cell>
          <cell r="F5079">
            <v>12</v>
          </cell>
          <cell r="G5079">
            <v>2002</v>
          </cell>
          <cell r="H5079">
            <v>100</v>
          </cell>
          <cell r="I5079">
            <v>6090000000</v>
          </cell>
        </row>
        <row r="5080">
          <cell r="A5080" t="str">
            <v>Cyprus</v>
          </cell>
          <cell r="B5080">
            <v>196</v>
          </cell>
          <cell r="C5080">
            <v>203</v>
          </cell>
          <cell r="D5080">
            <v>3</v>
          </cell>
          <cell r="E5080" t="str">
            <v>Equals: VALUE ADDED, GROSS, at basic prices</v>
          </cell>
          <cell r="F5080">
            <v>12</v>
          </cell>
          <cell r="G5080">
            <v>2003</v>
          </cell>
          <cell r="H5080">
            <v>100</v>
          </cell>
          <cell r="I5080">
            <v>6421000000</v>
          </cell>
        </row>
        <row r="5081">
          <cell r="A5081" t="str">
            <v>Iran (Islamic Republic of)</v>
          </cell>
          <cell r="B5081">
            <v>364</v>
          </cell>
          <cell r="C5081">
            <v>201</v>
          </cell>
          <cell r="D5081">
            <v>13</v>
          </cell>
          <cell r="E5081" t="str">
            <v>Less: Financial intermediation services indirectly measured (FISIM) (only to be deducted if FISIM is not distributed to uses)</v>
          </cell>
          <cell r="F5081">
            <v>0</v>
          </cell>
          <cell r="G5081">
            <v>1959</v>
          </cell>
          <cell r="H5081">
            <v>10</v>
          </cell>
          <cell r="I5081">
            <v>3000000000</v>
          </cell>
        </row>
        <row r="5082">
          <cell r="A5082" t="str">
            <v>Iran (Islamic Republic of)</v>
          </cell>
          <cell r="B5082">
            <v>364</v>
          </cell>
          <cell r="C5082">
            <v>201</v>
          </cell>
          <cell r="D5082">
            <v>13</v>
          </cell>
          <cell r="E5082" t="str">
            <v>Less: Financial intermediation services indirectly measured (FISIM) (only to be deducted if FISIM is not distributed to uses)</v>
          </cell>
          <cell r="F5082">
            <v>0</v>
          </cell>
          <cell r="G5082">
            <v>1960</v>
          </cell>
          <cell r="H5082">
            <v>10</v>
          </cell>
          <cell r="I5082">
            <v>3000000000</v>
          </cell>
        </row>
        <row r="5083">
          <cell r="A5083" t="str">
            <v>Iran (Islamic Republic of)</v>
          </cell>
          <cell r="B5083">
            <v>364</v>
          </cell>
          <cell r="C5083">
            <v>201</v>
          </cell>
          <cell r="D5083">
            <v>13</v>
          </cell>
          <cell r="E5083" t="str">
            <v>Less: Financial intermediation services indirectly measured (FISIM) (only to be deducted if FISIM is not distributed to uses)</v>
          </cell>
          <cell r="F5083">
            <v>0</v>
          </cell>
          <cell r="G5083">
            <v>1961</v>
          </cell>
          <cell r="H5083">
            <v>10</v>
          </cell>
          <cell r="I5083">
            <v>4000000000</v>
          </cell>
        </row>
        <row r="5084">
          <cell r="A5084" t="str">
            <v>Iran (Islamic Republic of)</v>
          </cell>
          <cell r="B5084">
            <v>364</v>
          </cell>
          <cell r="C5084">
            <v>201</v>
          </cell>
          <cell r="D5084">
            <v>13</v>
          </cell>
          <cell r="E5084" t="str">
            <v>Less: Financial intermediation services indirectly measured (FISIM) (only to be deducted if FISIM is not distributed to uses)</v>
          </cell>
          <cell r="F5084">
            <v>0</v>
          </cell>
          <cell r="G5084">
            <v>1962</v>
          </cell>
          <cell r="H5084">
            <v>10</v>
          </cell>
          <cell r="I5084">
            <v>4000000000</v>
          </cell>
        </row>
        <row r="5085">
          <cell r="A5085" t="str">
            <v>Iran (Islamic Republic of)</v>
          </cell>
          <cell r="B5085">
            <v>364</v>
          </cell>
          <cell r="C5085">
            <v>201</v>
          </cell>
          <cell r="D5085">
            <v>13</v>
          </cell>
          <cell r="E5085" t="str">
            <v>Less: Financial intermediation services indirectly measured (FISIM) (only to be deducted if FISIM is not distributed to uses)</v>
          </cell>
          <cell r="F5085">
            <v>0</v>
          </cell>
          <cell r="G5085">
            <v>1963</v>
          </cell>
          <cell r="H5085">
            <v>10</v>
          </cell>
          <cell r="I5085">
            <v>5000000000</v>
          </cell>
        </row>
        <row r="5086">
          <cell r="A5086" t="str">
            <v>Iran (Islamic Republic of)</v>
          </cell>
          <cell r="B5086">
            <v>364</v>
          </cell>
          <cell r="C5086">
            <v>201</v>
          </cell>
          <cell r="D5086">
            <v>13</v>
          </cell>
          <cell r="E5086" t="str">
            <v>Less: Financial intermediation services indirectly measured (FISIM) (only to be deducted if FISIM is not distributed to uses)</v>
          </cell>
          <cell r="F5086">
            <v>0</v>
          </cell>
          <cell r="G5086">
            <v>1964</v>
          </cell>
          <cell r="H5086">
            <v>10</v>
          </cell>
          <cell r="I5086">
            <v>6000000000</v>
          </cell>
        </row>
        <row r="5087">
          <cell r="A5087" t="str">
            <v>Iran (Islamic Republic of)</v>
          </cell>
          <cell r="B5087">
            <v>364</v>
          </cell>
          <cell r="C5087">
            <v>201</v>
          </cell>
          <cell r="D5087">
            <v>13</v>
          </cell>
          <cell r="E5087" t="str">
            <v>Less: Financial intermediation services indirectly measured (FISIM) (only to be deducted if FISIM is not distributed to uses)</v>
          </cell>
          <cell r="F5087">
            <v>0</v>
          </cell>
          <cell r="G5087">
            <v>1965</v>
          </cell>
          <cell r="H5087">
            <v>10</v>
          </cell>
          <cell r="I5087">
            <v>7000000000</v>
          </cell>
        </row>
        <row r="5088">
          <cell r="A5088" t="str">
            <v>Iran (Islamic Republic of)</v>
          </cell>
          <cell r="B5088">
            <v>364</v>
          </cell>
          <cell r="C5088">
            <v>201</v>
          </cell>
          <cell r="D5088">
            <v>13</v>
          </cell>
          <cell r="E5088" t="str">
            <v>Less: Financial intermediation services indirectly measured (FISIM) (only to be deducted if FISIM is not distributed to uses)</v>
          </cell>
          <cell r="F5088">
            <v>0</v>
          </cell>
          <cell r="G5088">
            <v>1966</v>
          </cell>
          <cell r="H5088">
            <v>10</v>
          </cell>
          <cell r="I5088">
            <v>9000000000</v>
          </cell>
        </row>
        <row r="5089">
          <cell r="A5089" t="str">
            <v>Iran (Islamic Republic of)</v>
          </cell>
          <cell r="B5089">
            <v>364</v>
          </cell>
          <cell r="C5089">
            <v>201</v>
          </cell>
          <cell r="D5089">
            <v>13</v>
          </cell>
          <cell r="E5089" t="str">
            <v>Less: Financial intermediation services indirectly measured (FISIM) (only to be deducted if FISIM is not distributed to uses)</v>
          </cell>
          <cell r="F5089">
            <v>0</v>
          </cell>
          <cell r="G5089">
            <v>1967</v>
          </cell>
          <cell r="H5089">
            <v>10</v>
          </cell>
          <cell r="I5089">
            <v>10000000000</v>
          </cell>
        </row>
        <row r="5090">
          <cell r="A5090" t="str">
            <v>Iran (Islamic Republic of)</v>
          </cell>
          <cell r="B5090">
            <v>364</v>
          </cell>
          <cell r="C5090">
            <v>201</v>
          </cell>
          <cell r="D5090">
            <v>13</v>
          </cell>
          <cell r="E5090" t="str">
            <v>Less: Financial intermediation services indirectly measured (FISIM) (only to be deducted if FISIM is not distributed to uses)</v>
          </cell>
          <cell r="F5090">
            <v>0</v>
          </cell>
          <cell r="G5090">
            <v>1968</v>
          </cell>
          <cell r="H5090">
            <v>10</v>
          </cell>
          <cell r="I5090">
            <v>14000000000</v>
          </cell>
        </row>
        <row r="5091">
          <cell r="A5091" t="str">
            <v>Iran (Islamic Republic of)</v>
          </cell>
          <cell r="B5091">
            <v>364</v>
          </cell>
          <cell r="C5091">
            <v>201</v>
          </cell>
          <cell r="D5091">
            <v>13</v>
          </cell>
          <cell r="E5091" t="str">
            <v>Less: Financial intermediation services indirectly measured (FISIM) (only to be deducted if FISIM is not distributed to uses)</v>
          </cell>
          <cell r="F5091">
            <v>0</v>
          </cell>
          <cell r="G5091">
            <v>1969</v>
          </cell>
          <cell r="H5091">
            <v>10</v>
          </cell>
          <cell r="I5091">
            <v>18000000000</v>
          </cell>
        </row>
        <row r="5092">
          <cell r="A5092" t="str">
            <v>Iran (Islamic Republic of)</v>
          </cell>
          <cell r="B5092">
            <v>364</v>
          </cell>
          <cell r="C5092">
            <v>201</v>
          </cell>
          <cell r="D5092">
            <v>13</v>
          </cell>
          <cell r="E5092" t="str">
            <v>Less: Financial intermediation services indirectly measured (FISIM) (only to be deducted if FISIM is not distributed to uses)</v>
          </cell>
          <cell r="F5092">
            <v>0</v>
          </cell>
          <cell r="G5092">
            <v>1970</v>
          </cell>
          <cell r="H5092">
            <v>20</v>
          </cell>
          <cell r="I5092">
            <v>16000000000</v>
          </cell>
        </row>
        <row r="5093">
          <cell r="A5093" t="str">
            <v>Iran (Islamic Republic of)</v>
          </cell>
          <cell r="B5093">
            <v>364</v>
          </cell>
          <cell r="C5093">
            <v>201</v>
          </cell>
          <cell r="D5093">
            <v>13</v>
          </cell>
          <cell r="E5093" t="str">
            <v>Less: Financial intermediation services indirectly measured (FISIM) (only to be deducted if FISIM is not distributed to uses)</v>
          </cell>
          <cell r="F5093">
            <v>0</v>
          </cell>
          <cell r="G5093">
            <v>1971</v>
          </cell>
          <cell r="H5093">
            <v>20</v>
          </cell>
          <cell r="I5093">
            <v>19000000000</v>
          </cell>
        </row>
        <row r="5094">
          <cell r="A5094" t="str">
            <v>Iran (Islamic Republic of)</v>
          </cell>
          <cell r="B5094">
            <v>364</v>
          </cell>
          <cell r="C5094">
            <v>201</v>
          </cell>
          <cell r="D5094">
            <v>13</v>
          </cell>
          <cell r="E5094" t="str">
            <v>Less: Financial intermediation services indirectly measured (FISIM) (only to be deducted if FISIM is not distributed to uses)</v>
          </cell>
          <cell r="F5094">
            <v>0</v>
          </cell>
          <cell r="G5094">
            <v>1972</v>
          </cell>
          <cell r="H5094">
            <v>20</v>
          </cell>
          <cell r="I5094">
            <v>29000000000</v>
          </cell>
        </row>
        <row r="5095">
          <cell r="A5095" t="str">
            <v>Iran (Islamic Republic of)</v>
          </cell>
          <cell r="B5095">
            <v>364</v>
          </cell>
          <cell r="C5095">
            <v>201</v>
          </cell>
          <cell r="D5095">
            <v>13</v>
          </cell>
          <cell r="E5095" t="str">
            <v>Less: Financial intermediation services indirectly measured (FISIM) (only to be deducted if FISIM is not distributed to uses)</v>
          </cell>
          <cell r="F5095">
            <v>0</v>
          </cell>
          <cell r="G5095">
            <v>1973</v>
          </cell>
          <cell r="H5095">
            <v>20</v>
          </cell>
          <cell r="I5095">
            <v>40000000000</v>
          </cell>
        </row>
        <row r="5096">
          <cell r="A5096" t="str">
            <v>Iran (Islamic Republic of)</v>
          </cell>
          <cell r="B5096">
            <v>364</v>
          </cell>
          <cell r="C5096">
            <v>201</v>
          </cell>
          <cell r="D5096">
            <v>13</v>
          </cell>
          <cell r="E5096" t="str">
            <v>Less: Financial intermediation services indirectly measured (FISIM) (only to be deducted if FISIM is not distributed to uses)</v>
          </cell>
          <cell r="F5096">
            <v>0</v>
          </cell>
          <cell r="G5096">
            <v>1974</v>
          </cell>
          <cell r="H5096">
            <v>20</v>
          </cell>
          <cell r="I5096">
            <v>77000000000</v>
          </cell>
        </row>
        <row r="5097">
          <cell r="A5097" t="str">
            <v>Iran (Islamic Republic of)</v>
          </cell>
          <cell r="B5097">
            <v>364</v>
          </cell>
          <cell r="C5097">
            <v>201</v>
          </cell>
          <cell r="D5097">
            <v>13</v>
          </cell>
          <cell r="E5097" t="str">
            <v>Less: Financial intermediation services indirectly measured (FISIM) (only to be deducted if FISIM is not distributed to uses)</v>
          </cell>
          <cell r="F5097">
            <v>0</v>
          </cell>
          <cell r="G5097">
            <v>1975</v>
          </cell>
          <cell r="H5097">
            <v>20</v>
          </cell>
          <cell r="I5097">
            <v>103000000000</v>
          </cell>
        </row>
        <row r="5098">
          <cell r="A5098" t="str">
            <v>Iran (Islamic Republic of)</v>
          </cell>
          <cell r="B5098">
            <v>364</v>
          </cell>
          <cell r="C5098">
            <v>201</v>
          </cell>
          <cell r="D5098">
            <v>13</v>
          </cell>
          <cell r="E5098" t="str">
            <v>Less: Financial intermediation services indirectly measured (FISIM) (only to be deducted if FISIM is not distributed to uses)</v>
          </cell>
          <cell r="F5098">
            <v>0</v>
          </cell>
          <cell r="G5098">
            <v>1976</v>
          </cell>
          <cell r="H5098">
            <v>20</v>
          </cell>
          <cell r="I5098">
            <v>124000000000</v>
          </cell>
        </row>
        <row r="5099">
          <cell r="A5099" t="str">
            <v>Iran (Islamic Republic of)</v>
          </cell>
          <cell r="B5099">
            <v>364</v>
          </cell>
          <cell r="C5099">
            <v>201</v>
          </cell>
          <cell r="D5099">
            <v>13</v>
          </cell>
          <cell r="E5099" t="str">
            <v>Less: Financial intermediation services indirectly measured (FISIM) (only to be deducted if FISIM is not distributed to uses)</v>
          </cell>
          <cell r="F5099">
            <v>0</v>
          </cell>
          <cell r="G5099">
            <v>1977</v>
          </cell>
          <cell r="H5099">
            <v>20</v>
          </cell>
          <cell r="I5099">
            <v>156000000000</v>
          </cell>
        </row>
        <row r="5100">
          <cell r="A5100" t="str">
            <v>Iran (Islamic Republic of)</v>
          </cell>
          <cell r="B5100">
            <v>364</v>
          </cell>
          <cell r="C5100">
            <v>201</v>
          </cell>
          <cell r="D5100">
            <v>13</v>
          </cell>
          <cell r="E5100" t="str">
            <v>Less: Financial intermediation services indirectly measured (FISIM) (only to be deducted if FISIM is not distributed to uses)</v>
          </cell>
          <cell r="F5100">
            <v>0</v>
          </cell>
          <cell r="G5100">
            <v>1978</v>
          </cell>
          <cell r="H5100">
            <v>20</v>
          </cell>
          <cell r="I5100">
            <v>196000000000</v>
          </cell>
        </row>
        <row r="5101">
          <cell r="A5101" t="str">
            <v>Iran (Islamic Republic of)</v>
          </cell>
          <cell r="B5101">
            <v>364</v>
          </cell>
          <cell r="C5101">
            <v>201</v>
          </cell>
          <cell r="D5101">
            <v>13</v>
          </cell>
          <cell r="E5101" t="str">
            <v>Less: Financial intermediation services indirectly measured (FISIM) (only to be deducted if FISIM is not distributed to uses)</v>
          </cell>
          <cell r="F5101">
            <v>0</v>
          </cell>
          <cell r="G5101">
            <v>1979</v>
          </cell>
          <cell r="H5101">
            <v>20</v>
          </cell>
          <cell r="I5101">
            <v>157000000000</v>
          </cell>
        </row>
        <row r="5102">
          <cell r="A5102" t="str">
            <v>Iran (Islamic Republic of)</v>
          </cell>
          <cell r="B5102">
            <v>364</v>
          </cell>
          <cell r="C5102">
            <v>201</v>
          </cell>
          <cell r="D5102">
            <v>13</v>
          </cell>
          <cell r="E5102" t="str">
            <v>Less: Financial intermediation services indirectly measured (FISIM) (only to be deducted if FISIM is not distributed to uses)</v>
          </cell>
          <cell r="F5102">
            <v>0</v>
          </cell>
          <cell r="G5102">
            <v>1980</v>
          </cell>
          <cell r="H5102">
            <v>20</v>
          </cell>
          <cell r="I5102">
            <v>193000000000</v>
          </cell>
        </row>
        <row r="5103">
          <cell r="A5103" t="str">
            <v>Iran (Islamic Republic of)</v>
          </cell>
          <cell r="B5103">
            <v>364</v>
          </cell>
          <cell r="C5103">
            <v>201</v>
          </cell>
          <cell r="D5103">
            <v>13</v>
          </cell>
          <cell r="E5103" t="str">
            <v>Less: Financial intermediation services indirectly measured (FISIM) (only to be deducted if FISIM is not distributed to uses)</v>
          </cell>
          <cell r="F5103">
            <v>0</v>
          </cell>
          <cell r="G5103">
            <v>1981</v>
          </cell>
          <cell r="H5103">
            <v>20</v>
          </cell>
          <cell r="I5103">
            <v>156000000000</v>
          </cell>
        </row>
        <row r="5104">
          <cell r="A5104" t="str">
            <v>Iran (Islamic Republic of)</v>
          </cell>
          <cell r="B5104">
            <v>364</v>
          </cell>
          <cell r="C5104">
            <v>201</v>
          </cell>
          <cell r="D5104">
            <v>13</v>
          </cell>
          <cell r="E5104" t="str">
            <v>Less: Financial intermediation services indirectly measured (FISIM) (only to be deducted if FISIM is not distributed to uses)</v>
          </cell>
          <cell r="F5104">
            <v>0</v>
          </cell>
          <cell r="G5104">
            <v>1982</v>
          </cell>
          <cell r="H5104">
            <v>20</v>
          </cell>
          <cell r="I5104">
            <v>131000000000</v>
          </cell>
        </row>
        <row r="5105">
          <cell r="A5105" t="str">
            <v>Iran (Islamic Republic of)</v>
          </cell>
          <cell r="B5105">
            <v>364</v>
          </cell>
          <cell r="C5105">
            <v>201</v>
          </cell>
          <cell r="D5105">
            <v>13</v>
          </cell>
          <cell r="E5105" t="str">
            <v>Less: Financial intermediation services indirectly measured (FISIM) (only to be deducted if FISIM is not distributed to uses)</v>
          </cell>
          <cell r="F5105">
            <v>0</v>
          </cell>
          <cell r="G5105">
            <v>1983</v>
          </cell>
          <cell r="H5105">
            <v>20</v>
          </cell>
          <cell r="I5105">
            <v>83000000000</v>
          </cell>
        </row>
        <row r="5106">
          <cell r="A5106" t="str">
            <v>Iran (Islamic Republic of)</v>
          </cell>
          <cell r="B5106">
            <v>364</v>
          </cell>
          <cell r="C5106">
            <v>201</v>
          </cell>
          <cell r="D5106">
            <v>13</v>
          </cell>
          <cell r="E5106" t="str">
            <v>Less: Financial intermediation services indirectly measured (FISIM) (only to be deducted if FISIM is not distributed to uses)</v>
          </cell>
          <cell r="F5106">
            <v>0</v>
          </cell>
          <cell r="G5106">
            <v>1984</v>
          </cell>
          <cell r="H5106">
            <v>20</v>
          </cell>
          <cell r="I5106">
            <v>104000000000</v>
          </cell>
        </row>
        <row r="5107">
          <cell r="A5107" t="str">
            <v>Iran (Islamic Republic of)</v>
          </cell>
          <cell r="B5107">
            <v>364</v>
          </cell>
          <cell r="C5107">
            <v>201</v>
          </cell>
          <cell r="D5107">
            <v>13</v>
          </cell>
          <cell r="E5107" t="str">
            <v>Less: Financial intermediation services indirectly measured (FISIM) (only to be deducted if FISIM is not distributed to uses)</v>
          </cell>
          <cell r="F5107">
            <v>0</v>
          </cell>
          <cell r="G5107">
            <v>1985</v>
          </cell>
          <cell r="H5107">
            <v>20</v>
          </cell>
          <cell r="I5107">
            <v>86000000000</v>
          </cell>
        </row>
        <row r="5108">
          <cell r="A5108" t="str">
            <v>Iran (Islamic Republic of)</v>
          </cell>
          <cell r="B5108">
            <v>364</v>
          </cell>
          <cell r="C5108">
            <v>201</v>
          </cell>
          <cell r="D5108">
            <v>13</v>
          </cell>
          <cell r="E5108" t="str">
            <v>Less: Financial intermediation services indirectly measured (FISIM) (only to be deducted if FISIM is not distributed to uses)</v>
          </cell>
          <cell r="F5108">
            <v>0</v>
          </cell>
          <cell r="G5108">
            <v>1986</v>
          </cell>
          <cell r="H5108">
            <v>20</v>
          </cell>
          <cell r="I5108">
            <v>81000000000</v>
          </cell>
        </row>
        <row r="5109">
          <cell r="A5109" t="str">
            <v>Iran (Islamic Republic of)</v>
          </cell>
          <cell r="B5109">
            <v>364</v>
          </cell>
          <cell r="C5109">
            <v>201</v>
          </cell>
          <cell r="D5109">
            <v>13</v>
          </cell>
          <cell r="E5109" t="str">
            <v>Less: Financial intermediation services indirectly measured (FISIM) (only to be deducted if FISIM is not distributed to uses)</v>
          </cell>
          <cell r="F5109">
            <v>0</v>
          </cell>
          <cell r="G5109">
            <v>1987</v>
          </cell>
          <cell r="H5109">
            <v>20</v>
          </cell>
          <cell r="I5109">
            <v>6000000000</v>
          </cell>
        </row>
        <row r="5110">
          <cell r="A5110" t="str">
            <v>Iran (Islamic Republic of)</v>
          </cell>
          <cell r="B5110">
            <v>364</v>
          </cell>
          <cell r="C5110">
            <v>201</v>
          </cell>
          <cell r="D5110">
            <v>13</v>
          </cell>
          <cell r="E5110" t="str">
            <v>Less: Financial intermediation services indirectly measured (FISIM) (only to be deducted if FISIM is not distributed to uses)</v>
          </cell>
          <cell r="F5110">
            <v>0</v>
          </cell>
          <cell r="G5110">
            <v>1988</v>
          </cell>
          <cell r="H5110">
            <v>20</v>
          </cell>
          <cell r="I5110">
            <v>137000000000</v>
          </cell>
        </row>
        <row r="5111">
          <cell r="A5111" t="str">
            <v>Iran (Islamic Republic of)</v>
          </cell>
          <cell r="B5111">
            <v>364</v>
          </cell>
          <cell r="C5111">
            <v>201</v>
          </cell>
          <cell r="D5111">
            <v>13</v>
          </cell>
          <cell r="E5111" t="str">
            <v>Less: Financial intermediation services indirectly measured (FISIM) (only to be deducted if FISIM is not distributed to uses)</v>
          </cell>
          <cell r="F5111">
            <v>0</v>
          </cell>
          <cell r="G5111">
            <v>1989</v>
          </cell>
          <cell r="H5111">
            <v>20</v>
          </cell>
          <cell r="I5111">
            <v>148000000000</v>
          </cell>
        </row>
        <row r="5112">
          <cell r="A5112" t="str">
            <v>Iran (Islamic Republic of)</v>
          </cell>
          <cell r="B5112">
            <v>364</v>
          </cell>
          <cell r="C5112">
            <v>201</v>
          </cell>
          <cell r="D5112">
            <v>13</v>
          </cell>
          <cell r="E5112" t="str">
            <v>Less: Financial intermediation services indirectly measured (FISIM) (only to be deducted if FISIM is not distributed to uses)</v>
          </cell>
          <cell r="F5112">
            <v>0</v>
          </cell>
          <cell r="G5112">
            <v>1990</v>
          </cell>
          <cell r="H5112">
            <v>20</v>
          </cell>
          <cell r="I5112">
            <v>277000000000</v>
          </cell>
        </row>
        <row r="5113">
          <cell r="A5113" t="str">
            <v>Iran (Islamic Republic of)</v>
          </cell>
          <cell r="B5113">
            <v>364</v>
          </cell>
          <cell r="C5113">
            <v>201</v>
          </cell>
          <cell r="D5113">
            <v>13</v>
          </cell>
          <cell r="E5113" t="str">
            <v>Less: Financial intermediation services indirectly measured (FISIM) (only to be deducted if FISIM is not distributed to uses)</v>
          </cell>
          <cell r="F5113">
            <v>0</v>
          </cell>
          <cell r="G5113">
            <v>1991</v>
          </cell>
          <cell r="H5113">
            <v>20</v>
          </cell>
          <cell r="I5113">
            <v>510000000000</v>
          </cell>
        </row>
        <row r="5114">
          <cell r="A5114" t="str">
            <v>Iran (Islamic Republic of)</v>
          </cell>
          <cell r="B5114">
            <v>364</v>
          </cell>
          <cell r="C5114">
            <v>201</v>
          </cell>
          <cell r="D5114">
            <v>13</v>
          </cell>
          <cell r="E5114" t="str">
            <v>Less: Financial intermediation services indirectly measured (FISIM) (only to be deducted if FISIM is not distributed to uses)</v>
          </cell>
          <cell r="F5114">
            <v>0</v>
          </cell>
          <cell r="G5114">
            <v>1992</v>
          </cell>
          <cell r="H5114">
            <v>20</v>
          </cell>
          <cell r="I5114">
            <v>674000000000</v>
          </cell>
        </row>
        <row r="5115">
          <cell r="A5115" t="str">
            <v>Denmark</v>
          </cell>
          <cell r="B5115">
            <v>208</v>
          </cell>
          <cell r="C5115">
            <v>201</v>
          </cell>
          <cell r="D5115">
            <v>13</v>
          </cell>
          <cell r="E5115" t="str">
            <v>Less: Financial intermediation services indirectly measured (FISIM) (only to be deducted if FISIM is not distributed to uses)</v>
          </cell>
          <cell r="F5115">
            <v>0</v>
          </cell>
          <cell r="G5115">
            <v>1966</v>
          </cell>
          <cell r="H5115">
            <v>100</v>
          </cell>
          <cell r="I5115">
            <v>2114000000</v>
          </cell>
        </row>
        <row r="5116">
          <cell r="A5116" t="str">
            <v>Denmark</v>
          </cell>
          <cell r="B5116">
            <v>208</v>
          </cell>
          <cell r="C5116">
            <v>201</v>
          </cell>
          <cell r="D5116">
            <v>13</v>
          </cell>
          <cell r="E5116" t="str">
            <v>Less: Financial intermediation services indirectly measured (FISIM) (only to be deducted if FISIM is not distributed to uses)</v>
          </cell>
          <cell r="F5116">
            <v>0</v>
          </cell>
          <cell r="G5116">
            <v>1967</v>
          </cell>
          <cell r="H5116">
            <v>100</v>
          </cell>
          <cell r="I5116">
            <v>2425000000</v>
          </cell>
        </row>
        <row r="5117">
          <cell r="A5117" t="str">
            <v>Denmark</v>
          </cell>
          <cell r="B5117">
            <v>208</v>
          </cell>
          <cell r="C5117">
            <v>201</v>
          </cell>
          <cell r="D5117">
            <v>13</v>
          </cell>
          <cell r="E5117" t="str">
            <v>Less: Financial intermediation services indirectly measured (FISIM) (only to be deducted if FISIM is not distributed to uses)</v>
          </cell>
          <cell r="F5117">
            <v>0</v>
          </cell>
          <cell r="G5117">
            <v>1968</v>
          </cell>
          <cell r="H5117">
            <v>100</v>
          </cell>
          <cell r="I5117">
            <v>2764000000</v>
          </cell>
        </row>
        <row r="5118">
          <cell r="A5118" t="str">
            <v>Denmark</v>
          </cell>
          <cell r="B5118">
            <v>208</v>
          </cell>
          <cell r="C5118">
            <v>201</v>
          </cell>
          <cell r="D5118">
            <v>13</v>
          </cell>
          <cell r="E5118" t="str">
            <v>Less: Financial intermediation services indirectly measured (FISIM) (only to be deducted if FISIM is not distributed to uses)</v>
          </cell>
          <cell r="F5118">
            <v>0</v>
          </cell>
          <cell r="G5118">
            <v>1969</v>
          </cell>
          <cell r="H5118">
            <v>100</v>
          </cell>
          <cell r="I5118">
            <v>3446000000</v>
          </cell>
        </row>
        <row r="5119">
          <cell r="A5119" t="str">
            <v>Denmark</v>
          </cell>
          <cell r="B5119">
            <v>208</v>
          </cell>
          <cell r="C5119">
            <v>201</v>
          </cell>
          <cell r="D5119">
            <v>13</v>
          </cell>
          <cell r="E5119" t="str">
            <v>Less: Financial intermediation services indirectly measured (FISIM) (only to be deducted if FISIM is not distributed to uses)</v>
          </cell>
          <cell r="F5119">
            <v>0</v>
          </cell>
          <cell r="G5119">
            <v>1970</v>
          </cell>
          <cell r="H5119">
            <v>100</v>
          </cell>
          <cell r="I5119">
            <v>3864000000</v>
          </cell>
        </row>
        <row r="5120">
          <cell r="A5120" t="str">
            <v>Denmark</v>
          </cell>
          <cell r="B5120">
            <v>208</v>
          </cell>
          <cell r="C5120">
            <v>201</v>
          </cell>
          <cell r="D5120">
            <v>13</v>
          </cell>
          <cell r="E5120" t="str">
            <v>Less: Financial intermediation services indirectly measured (FISIM) (only to be deducted if FISIM is not distributed to uses)</v>
          </cell>
          <cell r="F5120">
            <v>0</v>
          </cell>
          <cell r="G5120">
            <v>1971</v>
          </cell>
          <cell r="H5120">
            <v>100</v>
          </cell>
          <cell r="I5120">
            <v>4327000000</v>
          </cell>
        </row>
        <row r="5121">
          <cell r="A5121" t="str">
            <v>Denmark</v>
          </cell>
          <cell r="B5121">
            <v>208</v>
          </cell>
          <cell r="C5121">
            <v>201</v>
          </cell>
          <cell r="D5121">
            <v>13</v>
          </cell>
          <cell r="E5121" t="str">
            <v>Less: Financial intermediation services indirectly measured (FISIM) (only to be deducted if FISIM is not distributed to uses)</v>
          </cell>
          <cell r="F5121">
            <v>0</v>
          </cell>
          <cell r="G5121">
            <v>1972</v>
          </cell>
          <cell r="H5121">
            <v>100</v>
          </cell>
          <cell r="I5121">
            <v>5111000000</v>
          </cell>
        </row>
        <row r="5122">
          <cell r="A5122" t="str">
            <v>Denmark</v>
          </cell>
          <cell r="B5122">
            <v>208</v>
          </cell>
          <cell r="C5122">
            <v>201</v>
          </cell>
          <cell r="D5122">
            <v>13</v>
          </cell>
          <cell r="E5122" t="str">
            <v>Less: Financial intermediation services indirectly measured (FISIM) (only to be deducted if FISIM is not distributed to uses)</v>
          </cell>
          <cell r="F5122">
            <v>0</v>
          </cell>
          <cell r="G5122">
            <v>1973</v>
          </cell>
          <cell r="H5122">
            <v>100</v>
          </cell>
          <cell r="I5122">
            <v>6625000000</v>
          </cell>
        </row>
        <row r="5123">
          <cell r="A5123" t="str">
            <v>Denmark</v>
          </cell>
          <cell r="B5123">
            <v>208</v>
          </cell>
          <cell r="C5123">
            <v>201</v>
          </cell>
          <cell r="D5123">
            <v>13</v>
          </cell>
          <cell r="E5123" t="str">
            <v>Less: Financial intermediation services indirectly measured (FISIM) (only to be deducted if FISIM is not distributed to uses)</v>
          </cell>
          <cell r="F5123">
            <v>0</v>
          </cell>
          <cell r="G5123">
            <v>1974</v>
          </cell>
          <cell r="H5123">
            <v>100</v>
          </cell>
          <cell r="I5123">
            <v>7855000000</v>
          </cell>
        </row>
        <row r="5124">
          <cell r="A5124" t="str">
            <v>Denmark</v>
          </cell>
          <cell r="B5124">
            <v>208</v>
          </cell>
          <cell r="C5124">
            <v>201</v>
          </cell>
          <cell r="D5124">
            <v>13</v>
          </cell>
          <cell r="E5124" t="str">
            <v>Less: Financial intermediation services indirectly measured (FISIM) (only to be deducted if FISIM is not distributed to uses)</v>
          </cell>
          <cell r="F5124">
            <v>0</v>
          </cell>
          <cell r="G5124">
            <v>1975</v>
          </cell>
          <cell r="H5124">
            <v>100</v>
          </cell>
          <cell r="I5124">
            <v>8818000000</v>
          </cell>
        </row>
        <row r="5125">
          <cell r="A5125" t="str">
            <v>Denmark</v>
          </cell>
          <cell r="B5125">
            <v>208</v>
          </cell>
          <cell r="C5125">
            <v>201</v>
          </cell>
          <cell r="D5125">
            <v>13</v>
          </cell>
          <cell r="E5125" t="str">
            <v>Less: Financial intermediation services indirectly measured (FISIM) (only to be deducted if FISIM is not distributed to uses)</v>
          </cell>
          <cell r="F5125">
            <v>0</v>
          </cell>
          <cell r="G5125">
            <v>1976</v>
          </cell>
          <cell r="H5125">
            <v>100</v>
          </cell>
          <cell r="I5125">
            <v>9550000000</v>
          </cell>
        </row>
        <row r="5126">
          <cell r="A5126" t="str">
            <v>Denmark</v>
          </cell>
          <cell r="B5126">
            <v>208</v>
          </cell>
          <cell r="C5126">
            <v>201</v>
          </cell>
          <cell r="D5126">
            <v>13</v>
          </cell>
          <cell r="E5126" t="str">
            <v>Less: Financial intermediation services indirectly measured (FISIM) (only to be deducted if FISIM is not distributed to uses)</v>
          </cell>
          <cell r="F5126">
            <v>0</v>
          </cell>
          <cell r="G5126">
            <v>1977</v>
          </cell>
          <cell r="H5126">
            <v>100</v>
          </cell>
          <cell r="I5126">
            <v>10529000000</v>
          </cell>
        </row>
        <row r="5127">
          <cell r="A5127" t="str">
            <v>Denmark</v>
          </cell>
          <cell r="B5127">
            <v>208</v>
          </cell>
          <cell r="C5127">
            <v>201</v>
          </cell>
          <cell r="D5127">
            <v>13</v>
          </cell>
          <cell r="E5127" t="str">
            <v>Less: Financial intermediation services indirectly measured (FISIM) (only to be deducted if FISIM is not distributed to uses)</v>
          </cell>
          <cell r="F5127">
            <v>0</v>
          </cell>
          <cell r="G5127">
            <v>1978</v>
          </cell>
          <cell r="H5127">
            <v>100</v>
          </cell>
          <cell r="I5127">
            <v>11898000000</v>
          </cell>
        </row>
        <row r="5128">
          <cell r="A5128" t="str">
            <v>Denmark</v>
          </cell>
          <cell r="B5128">
            <v>208</v>
          </cell>
          <cell r="C5128">
            <v>201</v>
          </cell>
          <cell r="D5128">
            <v>13</v>
          </cell>
          <cell r="E5128" t="str">
            <v>Less: Financial intermediation services indirectly measured (FISIM) (only to be deducted if FISIM is not distributed to uses)</v>
          </cell>
          <cell r="F5128">
            <v>0</v>
          </cell>
          <cell r="G5128">
            <v>1979</v>
          </cell>
          <cell r="H5128">
            <v>100</v>
          </cell>
          <cell r="I5128">
            <v>13176000000</v>
          </cell>
        </row>
        <row r="5129">
          <cell r="A5129" t="str">
            <v>Denmark</v>
          </cell>
          <cell r="B5129">
            <v>208</v>
          </cell>
          <cell r="C5129">
            <v>201</v>
          </cell>
          <cell r="D5129">
            <v>13</v>
          </cell>
          <cell r="E5129" t="str">
            <v>Less: Financial intermediation services indirectly measured (FISIM) (only to be deducted if FISIM is not distributed to uses)</v>
          </cell>
          <cell r="F5129">
            <v>0</v>
          </cell>
          <cell r="G5129">
            <v>1980</v>
          </cell>
          <cell r="H5129">
            <v>100</v>
          </cell>
          <cell r="I5129">
            <v>13168000000</v>
          </cell>
        </row>
        <row r="5130">
          <cell r="A5130" t="str">
            <v>Denmark</v>
          </cell>
          <cell r="B5130">
            <v>208</v>
          </cell>
          <cell r="C5130">
            <v>201</v>
          </cell>
          <cell r="D5130">
            <v>13</v>
          </cell>
          <cell r="E5130" t="str">
            <v>Less: Financial intermediation services indirectly measured (FISIM) (only to be deducted if FISIM is not distributed to uses)</v>
          </cell>
          <cell r="F5130">
            <v>0</v>
          </cell>
          <cell r="G5130">
            <v>1981</v>
          </cell>
          <cell r="H5130">
            <v>100</v>
          </cell>
          <cell r="I5130">
            <v>13160000000</v>
          </cell>
        </row>
        <row r="5131">
          <cell r="A5131" t="str">
            <v>Denmark</v>
          </cell>
          <cell r="B5131">
            <v>208</v>
          </cell>
          <cell r="C5131">
            <v>201</v>
          </cell>
          <cell r="D5131">
            <v>13</v>
          </cell>
          <cell r="E5131" t="str">
            <v>Less: Financial intermediation services indirectly measured (FISIM) (only to be deducted if FISIM is not distributed to uses)</v>
          </cell>
          <cell r="F5131">
            <v>0</v>
          </cell>
          <cell r="G5131">
            <v>1982</v>
          </cell>
          <cell r="H5131">
            <v>100</v>
          </cell>
          <cell r="I5131">
            <v>14027000000</v>
          </cell>
        </row>
        <row r="5132">
          <cell r="A5132" t="str">
            <v>Denmark</v>
          </cell>
          <cell r="B5132">
            <v>208</v>
          </cell>
          <cell r="C5132">
            <v>201</v>
          </cell>
          <cell r="D5132">
            <v>13</v>
          </cell>
          <cell r="E5132" t="str">
            <v>Less: Financial intermediation services indirectly measured (FISIM) (only to be deducted if FISIM is not distributed to uses)</v>
          </cell>
          <cell r="F5132">
            <v>0</v>
          </cell>
          <cell r="G5132">
            <v>1983</v>
          </cell>
          <cell r="H5132">
            <v>100</v>
          </cell>
          <cell r="I5132">
            <v>15119000000</v>
          </cell>
        </row>
        <row r="5133">
          <cell r="A5133" t="str">
            <v>Denmark</v>
          </cell>
          <cell r="B5133">
            <v>208</v>
          </cell>
          <cell r="C5133">
            <v>201</v>
          </cell>
          <cell r="D5133">
            <v>13</v>
          </cell>
          <cell r="E5133" t="str">
            <v>Less: Financial intermediation services indirectly measured (FISIM) (only to be deducted if FISIM is not distributed to uses)</v>
          </cell>
          <cell r="F5133">
            <v>0</v>
          </cell>
          <cell r="G5133">
            <v>1984</v>
          </cell>
          <cell r="H5133">
            <v>100</v>
          </cell>
          <cell r="I5133">
            <v>20660000000</v>
          </cell>
        </row>
        <row r="5134">
          <cell r="A5134" t="str">
            <v>Denmark</v>
          </cell>
          <cell r="B5134">
            <v>208</v>
          </cell>
          <cell r="C5134">
            <v>201</v>
          </cell>
          <cell r="D5134">
            <v>13</v>
          </cell>
          <cell r="E5134" t="str">
            <v>Less: Financial intermediation services indirectly measured (FISIM) (only to be deducted if FISIM is not distributed to uses)</v>
          </cell>
          <cell r="F5134">
            <v>0</v>
          </cell>
          <cell r="G5134">
            <v>1985</v>
          </cell>
          <cell r="H5134">
            <v>100</v>
          </cell>
          <cell r="I5134">
            <v>22412000000</v>
          </cell>
        </row>
        <row r="5135">
          <cell r="A5135" t="str">
            <v>Denmark</v>
          </cell>
          <cell r="B5135">
            <v>208</v>
          </cell>
          <cell r="C5135">
            <v>201</v>
          </cell>
          <cell r="D5135">
            <v>13</v>
          </cell>
          <cell r="E5135" t="str">
            <v>Less: Financial intermediation services indirectly measured (FISIM) (only to be deducted if FISIM is not distributed to uses)</v>
          </cell>
          <cell r="F5135">
            <v>0</v>
          </cell>
          <cell r="G5135">
            <v>1986</v>
          </cell>
          <cell r="H5135">
            <v>100</v>
          </cell>
          <cell r="I5135">
            <v>31088000000</v>
          </cell>
        </row>
        <row r="5136">
          <cell r="A5136" t="str">
            <v>Denmark</v>
          </cell>
          <cell r="B5136">
            <v>208</v>
          </cell>
          <cell r="C5136">
            <v>201</v>
          </cell>
          <cell r="D5136">
            <v>13</v>
          </cell>
          <cell r="E5136" t="str">
            <v>Less: Financial intermediation services indirectly measured (FISIM) (only to be deducted if FISIM is not distributed to uses)</v>
          </cell>
          <cell r="F5136">
            <v>0</v>
          </cell>
          <cell r="G5136">
            <v>1987</v>
          </cell>
          <cell r="H5136">
            <v>100</v>
          </cell>
          <cell r="I5136">
            <v>30597000000</v>
          </cell>
        </row>
        <row r="5137">
          <cell r="A5137" t="str">
            <v>Denmark</v>
          </cell>
          <cell r="B5137">
            <v>208</v>
          </cell>
          <cell r="C5137">
            <v>201</v>
          </cell>
          <cell r="D5137">
            <v>13</v>
          </cell>
          <cell r="E5137" t="str">
            <v>Less: Financial intermediation services indirectly measured (FISIM) (only to be deducted if FISIM is not distributed to uses)</v>
          </cell>
          <cell r="F5137">
            <v>0</v>
          </cell>
          <cell r="G5137">
            <v>1988</v>
          </cell>
          <cell r="H5137">
            <v>100</v>
          </cell>
          <cell r="I5137">
            <v>28733000000</v>
          </cell>
        </row>
        <row r="5138">
          <cell r="A5138" t="str">
            <v>Denmark</v>
          </cell>
          <cell r="B5138">
            <v>208</v>
          </cell>
          <cell r="C5138">
            <v>201</v>
          </cell>
          <cell r="D5138">
            <v>13</v>
          </cell>
          <cell r="E5138" t="str">
            <v>Less: Financial intermediation services indirectly measured (FISIM) (only to be deducted if FISIM is not distributed to uses)</v>
          </cell>
          <cell r="F5138">
            <v>0</v>
          </cell>
          <cell r="G5138">
            <v>1989</v>
          </cell>
          <cell r="H5138">
            <v>100</v>
          </cell>
          <cell r="I5138">
            <v>33117000000</v>
          </cell>
        </row>
        <row r="5139">
          <cell r="A5139" t="str">
            <v>Denmark</v>
          </cell>
          <cell r="B5139">
            <v>208</v>
          </cell>
          <cell r="C5139">
            <v>201</v>
          </cell>
          <cell r="D5139">
            <v>13</v>
          </cell>
          <cell r="E5139" t="str">
            <v>Less: Financial intermediation services indirectly measured (FISIM) (only to be deducted if FISIM is not distributed to uses)</v>
          </cell>
          <cell r="F5139">
            <v>0</v>
          </cell>
          <cell r="G5139">
            <v>1990</v>
          </cell>
          <cell r="H5139">
            <v>100</v>
          </cell>
          <cell r="I5139">
            <v>33800000000</v>
          </cell>
        </row>
        <row r="5140">
          <cell r="A5140" t="str">
            <v>Denmark</v>
          </cell>
          <cell r="B5140">
            <v>208</v>
          </cell>
          <cell r="C5140">
            <v>201</v>
          </cell>
          <cell r="D5140">
            <v>13</v>
          </cell>
          <cell r="E5140" t="str">
            <v>Less: Financial intermediation services indirectly measured (FISIM) (only to be deducted if FISIM is not distributed to uses)</v>
          </cell>
          <cell r="F5140">
            <v>0</v>
          </cell>
          <cell r="G5140">
            <v>1991</v>
          </cell>
          <cell r="H5140">
            <v>100</v>
          </cell>
          <cell r="I5140">
            <v>31680000000</v>
          </cell>
        </row>
        <row r="5141">
          <cell r="A5141" t="str">
            <v>Denmark</v>
          </cell>
          <cell r="B5141">
            <v>208</v>
          </cell>
          <cell r="C5141">
            <v>201</v>
          </cell>
          <cell r="D5141">
            <v>13</v>
          </cell>
          <cell r="E5141" t="str">
            <v>Less: Financial intermediation services indirectly measured (FISIM) (only to be deducted if FISIM is not distributed to uses)</v>
          </cell>
          <cell r="F5141">
            <v>0</v>
          </cell>
          <cell r="G5141">
            <v>1992</v>
          </cell>
          <cell r="H5141">
            <v>100</v>
          </cell>
          <cell r="I5141">
            <v>30415000000</v>
          </cell>
        </row>
        <row r="5142">
          <cell r="A5142" t="str">
            <v>Denmark</v>
          </cell>
          <cell r="B5142">
            <v>208</v>
          </cell>
          <cell r="C5142">
            <v>201</v>
          </cell>
          <cell r="D5142">
            <v>13</v>
          </cell>
          <cell r="E5142" t="str">
            <v>Less: Financial intermediation services indirectly measured (FISIM) (only to be deducted if FISIM is not distributed to uses)</v>
          </cell>
          <cell r="F5142">
            <v>0</v>
          </cell>
          <cell r="G5142">
            <v>1993</v>
          </cell>
          <cell r="H5142">
            <v>100</v>
          </cell>
          <cell r="I5142">
            <v>31961000000</v>
          </cell>
        </row>
        <row r="5143">
          <cell r="A5143" t="str">
            <v>Denmark</v>
          </cell>
          <cell r="B5143">
            <v>208</v>
          </cell>
          <cell r="C5143">
            <v>201</v>
          </cell>
          <cell r="D5143">
            <v>13</v>
          </cell>
          <cell r="E5143" t="str">
            <v>Less: Financial intermediation services indirectly measured (FISIM) (only to be deducted if FISIM is not distributed to uses)</v>
          </cell>
          <cell r="F5143">
            <v>0</v>
          </cell>
          <cell r="G5143">
            <v>1994</v>
          </cell>
          <cell r="H5143">
            <v>100</v>
          </cell>
          <cell r="I5143">
            <v>32203000000</v>
          </cell>
        </row>
        <row r="5144">
          <cell r="A5144" t="str">
            <v>Denmark</v>
          </cell>
          <cell r="B5144">
            <v>208</v>
          </cell>
          <cell r="C5144">
            <v>201</v>
          </cell>
          <cell r="D5144">
            <v>13</v>
          </cell>
          <cell r="E5144" t="str">
            <v>Less: Financial intermediation services indirectly measured (FISIM) (only to be deducted if FISIM is not distributed to uses)</v>
          </cell>
          <cell r="F5144">
            <v>0</v>
          </cell>
          <cell r="G5144">
            <v>1995</v>
          </cell>
          <cell r="H5144">
            <v>100</v>
          </cell>
          <cell r="I5144">
            <v>31438000000</v>
          </cell>
        </row>
        <row r="5145">
          <cell r="A5145" t="str">
            <v>Denmark</v>
          </cell>
          <cell r="B5145">
            <v>208</v>
          </cell>
          <cell r="C5145">
            <v>201</v>
          </cell>
          <cell r="D5145">
            <v>13</v>
          </cell>
          <cell r="E5145" t="str">
            <v>Less: Financial intermediation services indirectly measured (FISIM) (only to be deducted if FISIM is not distributed to uses)</v>
          </cell>
          <cell r="F5145">
            <v>0</v>
          </cell>
          <cell r="G5145">
            <v>1996</v>
          </cell>
          <cell r="H5145">
            <v>100</v>
          </cell>
          <cell r="I5145">
            <v>31212000000</v>
          </cell>
        </row>
        <row r="5146">
          <cell r="A5146" t="str">
            <v>Denmark</v>
          </cell>
          <cell r="B5146">
            <v>208</v>
          </cell>
          <cell r="C5146">
            <v>201</v>
          </cell>
          <cell r="D5146">
            <v>13</v>
          </cell>
          <cell r="E5146" t="str">
            <v>Less: Financial intermediation services indirectly measured (FISIM) (only to be deducted if FISIM is not distributed to uses)</v>
          </cell>
          <cell r="F5146">
            <v>0</v>
          </cell>
          <cell r="G5146">
            <v>1997</v>
          </cell>
          <cell r="H5146">
            <v>100</v>
          </cell>
          <cell r="I5146">
            <v>31051000000</v>
          </cell>
        </row>
        <row r="5147">
          <cell r="A5147" t="str">
            <v>Denmark</v>
          </cell>
          <cell r="B5147">
            <v>208</v>
          </cell>
          <cell r="C5147">
            <v>201</v>
          </cell>
          <cell r="D5147">
            <v>13</v>
          </cell>
          <cell r="E5147" t="str">
            <v>Less: Financial intermediation services indirectly measured (FISIM) (only to be deducted if FISIM is not distributed to uses)</v>
          </cell>
          <cell r="F5147">
            <v>0</v>
          </cell>
          <cell r="G5147">
            <v>1998</v>
          </cell>
          <cell r="H5147">
            <v>100</v>
          </cell>
          <cell r="I5147">
            <v>32563000000</v>
          </cell>
        </row>
        <row r="5148">
          <cell r="A5148" t="str">
            <v>Denmark</v>
          </cell>
          <cell r="B5148">
            <v>208</v>
          </cell>
          <cell r="C5148">
            <v>201</v>
          </cell>
          <cell r="D5148">
            <v>13</v>
          </cell>
          <cell r="E5148" t="str">
            <v>Less: Financial intermediation services indirectly measured (FISIM) (only to be deducted if FISIM is not distributed to uses)</v>
          </cell>
          <cell r="F5148">
            <v>0</v>
          </cell>
          <cell r="G5148">
            <v>1999</v>
          </cell>
          <cell r="H5148">
            <v>100</v>
          </cell>
          <cell r="I5148">
            <v>33493000000</v>
          </cell>
        </row>
        <row r="5149">
          <cell r="A5149" t="str">
            <v>Denmark</v>
          </cell>
          <cell r="B5149">
            <v>208</v>
          </cell>
          <cell r="C5149">
            <v>201</v>
          </cell>
          <cell r="D5149">
            <v>13</v>
          </cell>
          <cell r="E5149" t="str">
            <v>Less: Financial intermediation services indirectly measured (FISIM) (only to be deducted if FISIM is not distributed to uses)</v>
          </cell>
          <cell r="F5149">
            <v>0</v>
          </cell>
          <cell r="G5149">
            <v>2000</v>
          </cell>
          <cell r="H5149">
            <v>100</v>
          </cell>
          <cell r="I5149">
            <v>36813000000</v>
          </cell>
        </row>
        <row r="5150">
          <cell r="A5150" t="str">
            <v>Denmark</v>
          </cell>
          <cell r="B5150">
            <v>208</v>
          </cell>
          <cell r="C5150">
            <v>201</v>
          </cell>
          <cell r="D5150">
            <v>13</v>
          </cell>
          <cell r="E5150" t="str">
            <v>Less: Financial intermediation services indirectly measured (FISIM) (only to be deducted if FISIM is not distributed to uses)</v>
          </cell>
          <cell r="F5150">
            <v>0</v>
          </cell>
          <cell r="G5150">
            <v>2001</v>
          </cell>
          <cell r="H5150">
            <v>100</v>
          </cell>
          <cell r="I5150">
            <v>40157000000</v>
          </cell>
        </row>
        <row r="5151">
          <cell r="A5151" t="str">
            <v>Denmark</v>
          </cell>
          <cell r="B5151">
            <v>208</v>
          </cell>
          <cell r="C5151">
            <v>201</v>
          </cell>
          <cell r="D5151">
            <v>13</v>
          </cell>
          <cell r="E5151" t="str">
            <v>Less: Financial intermediation services indirectly measured (FISIM) (only to be deducted if FISIM is not distributed to uses)</v>
          </cell>
          <cell r="F5151">
            <v>0</v>
          </cell>
          <cell r="G5151">
            <v>2002</v>
          </cell>
          <cell r="H5151">
            <v>100</v>
          </cell>
          <cell r="I5151">
            <v>42002000000</v>
          </cell>
        </row>
        <row r="5152">
          <cell r="A5152" t="str">
            <v>Denmark</v>
          </cell>
          <cell r="B5152">
            <v>208</v>
          </cell>
          <cell r="C5152">
            <v>201</v>
          </cell>
          <cell r="D5152">
            <v>13</v>
          </cell>
          <cell r="E5152" t="str">
            <v>Less: Financial intermediation services indirectly measured (FISIM) (only to be deducted if FISIM is not distributed to uses)</v>
          </cell>
          <cell r="F5152">
            <v>0</v>
          </cell>
          <cell r="G5152">
            <v>2003</v>
          </cell>
          <cell r="H5152">
            <v>100</v>
          </cell>
          <cell r="I5152">
            <v>42615000000</v>
          </cell>
        </row>
        <row r="5153">
          <cell r="A5153" t="str">
            <v>Iran (Islamic Republic of)</v>
          </cell>
          <cell r="B5153">
            <v>364</v>
          </cell>
          <cell r="C5153">
            <v>203</v>
          </cell>
          <cell r="D5153">
            <v>3</v>
          </cell>
          <cell r="E5153" t="str">
            <v>Equals: VALUE ADDED, GROSS, at basic prices</v>
          </cell>
          <cell r="F5153">
            <v>12</v>
          </cell>
          <cell r="G5153">
            <v>1992</v>
          </cell>
          <cell r="H5153">
            <v>100</v>
          </cell>
          <cell r="I5153">
            <v>62549200000000</v>
          </cell>
        </row>
        <row r="5154">
          <cell r="A5154" t="str">
            <v>Iran (Islamic Republic of)</v>
          </cell>
          <cell r="B5154">
            <v>364</v>
          </cell>
          <cell r="C5154">
            <v>203</v>
          </cell>
          <cell r="D5154">
            <v>3</v>
          </cell>
          <cell r="E5154" t="str">
            <v>Equals: VALUE ADDED, GROSS, at basic prices</v>
          </cell>
          <cell r="F5154">
            <v>12</v>
          </cell>
          <cell r="G5154">
            <v>1993</v>
          </cell>
          <cell r="H5154">
            <v>100</v>
          </cell>
          <cell r="I5154">
            <v>96409200000000</v>
          </cell>
        </row>
        <row r="5155">
          <cell r="A5155" t="str">
            <v>Iran (Islamic Republic of)</v>
          </cell>
          <cell r="B5155">
            <v>364</v>
          </cell>
          <cell r="C5155">
            <v>203</v>
          </cell>
          <cell r="D5155">
            <v>3</v>
          </cell>
          <cell r="E5155" t="str">
            <v>Equals: VALUE ADDED, GROSS, at basic prices</v>
          </cell>
          <cell r="F5155">
            <v>12</v>
          </cell>
          <cell r="G5155">
            <v>1994</v>
          </cell>
          <cell r="H5155">
            <v>100</v>
          </cell>
          <cell r="I5155">
            <v>131688800000000</v>
          </cell>
        </row>
        <row r="5156">
          <cell r="A5156" t="str">
            <v>Iran (Islamic Republic of)</v>
          </cell>
          <cell r="B5156">
            <v>364</v>
          </cell>
          <cell r="C5156">
            <v>203</v>
          </cell>
          <cell r="D5156">
            <v>3</v>
          </cell>
          <cell r="E5156" t="str">
            <v>Equals: VALUE ADDED, GROSS, at basic prices</v>
          </cell>
          <cell r="F5156">
            <v>12</v>
          </cell>
          <cell r="G5156">
            <v>1995</v>
          </cell>
          <cell r="H5156">
            <v>100</v>
          </cell>
          <cell r="I5156">
            <v>187841300000000</v>
          </cell>
        </row>
        <row r="5157">
          <cell r="A5157" t="str">
            <v>Iran (Islamic Republic of)</v>
          </cell>
          <cell r="B5157">
            <v>364</v>
          </cell>
          <cell r="C5157">
            <v>203</v>
          </cell>
          <cell r="D5157">
            <v>3</v>
          </cell>
          <cell r="E5157" t="str">
            <v>Equals: VALUE ADDED, GROSS, at basic prices</v>
          </cell>
          <cell r="F5157">
            <v>12</v>
          </cell>
          <cell r="G5157">
            <v>1996</v>
          </cell>
          <cell r="H5157">
            <v>100</v>
          </cell>
          <cell r="I5157">
            <v>248724400000000</v>
          </cell>
        </row>
        <row r="5158">
          <cell r="A5158" t="str">
            <v>Iran (Islamic Republic of)</v>
          </cell>
          <cell r="B5158">
            <v>364</v>
          </cell>
          <cell r="C5158">
            <v>203</v>
          </cell>
          <cell r="D5158">
            <v>3</v>
          </cell>
          <cell r="E5158" t="str">
            <v>Equals: VALUE ADDED, GROSS, at basic prices</v>
          </cell>
          <cell r="F5158">
            <v>12</v>
          </cell>
          <cell r="G5158">
            <v>1997</v>
          </cell>
          <cell r="H5158">
            <v>100</v>
          </cell>
          <cell r="I5158">
            <v>292474700000000</v>
          </cell>
        </row>
        <row r="5159">
          <cell r="A5159" t="str">
            <v>Iran (Islamic Republic of)</v>
          </cell>
          <cell r="B5159">
            <v>364</v>
          </cell>
          <cell r="C5159">
            <v>203</v>
          </cell>
          <cell r="D5159">
            <v>3</v>
          </cell>
          <cell r="E5159" t="str">
            <v>Equals: VALUE ADDED, GROSS, at basic prices</v>
          </cell>
          <cell r="F5159">
            <v>12</v>
          </cell>
          <cell r="G5159">
            <v>1998</v>
          </cell>
          <cell r="H5159">
            <v>100</v>
          </cell>
          <cell r="I5159">
            <v>329060300000000</v>
          </cell>
        </row>
        <row r="5160">
          <cell r="A5160" t="str">
            <v>Iran (Islamic Republic of)</v>
          </cell>
          <cell r="B5160">
            <v>364</v>
          </cell>
          <cell r="C5160">
            <v>203</v>
          </cell>
          <cell r="D5160">
            <v>3</v>
          </cell>
          <cell r="E5160" t="str">
            <v>Equals: VALUE ADDED, GROSS, at basic prices</v>
          </cell>
          <cell r="F5160">
            <v>12</v>
          </cell>
          <cell r="G5160">
            <v>1999</v>
          </cell>
          <cell r="H5160">
            <v>100</v>
          </cell>
          <cell r="I5160">
            <v>437837500000000</v>
          </cell>
        </row>
        <row r="5161">
          <cell r="A5161" t="str">
            <v>Iran (Islamic Republic of)</v>
          </cell>
          <cell r="B5161">
            <v>364</v>
          </cell>
          <cell r="C5161">
            <v>203</v>
          </cell>
          <cell r="D5161">
            <v>3</v>
          </cell>
          <cell r="E5161" t="str">
            <v>Equals: VALUE ADDED, GROSS, at basic prices</v>
          </cell>
          <cell r="F5161">
            <v>12</v>
          </cell>
          <cell r="G5161">
            <v>2000</v>
          </cell>
          <cell r="H5161">
            <v>100</v>
          </cell>
          <cell r="I5161">
            <v>579776100000000</v>
          </cell>
        </row>
        <row r="5162">
          <cell r="A5162" t="str">
            <v>Iran (Islamic Republic of)</v>
          </cell>
          <cell r="B5162">
            <v>364</v>
          </cell>
          <cell r="C5162">
            <v>203</v>
          </cell>
          <cell r="D5162">
            <v>3</v>
          </cell>
          <cell r="E5162" t="str">
            <v>Equals: VALUE ADDED, GROSS, at basic prices</v>
          </cell>
          <cell r="F5162">
            <v>12</v>
          </cell>
          <cell r="G5162">
            <v>2001</v>
          </cell>
          <cell r="H5162">
            <v>100</v>
          </cell>
          <cell r="I5162">
            <v>670228913000000</v>
          </cell>
        </row>
        <row r="5163">
          <cell r="A5163" t="str">
            <v>Iran (Islamic Republic of)</v>
          </cell>
          <cell r="B5163">
            <v>364</v>
          </cell>
          <cell r="C5163">
            <v>203</v>
          </cell>
          <cell r="D5163">
            <v>3</v>
          </cell>
          <cell r="E5163" t="str">
            <v>Equals: VALUE ADDED, GROSS, at basic prices</v>
          </cell>
          <cell r="F5163">
            <v>12</v>
          </cell>
          <cell r="G5163">
            <v>2002</v>
          </cell>
          <cell r="H5163">
            <v>100</v>
          </cell>
          <cell r="I5163">
            <v>922846158000000</v>
          </cell>
        </row>
        <row r="5164">
          <cell r="A5164" t="str">
            <v>Iran (Islamic Republic of)</v>
          </cell>
          <cell r="B5164">
            <v>364</v>
          </cell>
          <cell r="C5164">
            <v>203</v>
          </cell>
          <cell r="D5164">
            <v>3</v>
          </cell>
          <cell r="E5164" t="str">
            <v>Equals: VALUE ADDED, GROSS, at basic prices</v>
          </cell>
          <cell r="F5164">
            <v>12</v>
          </cell>
          <cell r="G5164">
            <v>2003</v>
          </cell>
          <cell r="H5164">
            <v>100</v>
          </cell>
          <cell r="I5164">
            <v>1108299001000000</v>
          </cell>
        </row>
        <row r="5165">
          <cell r="A5165" t="str">
            <v>Iran (Islamic Republic of)</v>
          </cell>
          <cell r="B5165">
            <v>364</v>
          </cell>
          <cell r="C5165">
            <v>203</v>
          </cell>
          <cell r="D5165">
            <v>4</v>
          </cell>
          <cell r="E5165" t="str">
            <v>Compensation of employees</v>
          </cell>
          <cell r="F5165">
            <v>12</v>
          </cell>
          <cell r="G5165">
            <v>1994</v>
          </cell>
          <cell r="H5165">
            <v>100</v>
          </cell>
          <cell r="I5165">
            <v>30143700000000</v>
          </cell>
        </row>
        <row r="5166">
          <cell r="A5166" t="str">
            <v>Iran (Islamic Republic of)</v>
          </cell>
          <cell r="B5166">
            <v>364</v>
          </cell>
          <cell r="C5166">
            <v>203</v>
          </cell>
          <cell r="D5166">
            <v>4</v>
          </cell>
          <cell r="E5166" t="str">
            <v>Compensation of employees</v>
          </cell>
          <cell r="F5166">
            <v>12</v>
          </cell>
          <cell r="G5166">
            <v>1995</v>
          </cell>
          <cell r="H5166">
            <v>100</v>
          </cell>
          <cell r="I5166">
            <v>44032400000000</v>
          </cell>
        </row>
        <row r="5167">
          <cell r="A5167" t="str">
            <v>Iran (Islamic Republic of)</v>
          </cell>
          <cell r="B5167">
            <v>364</v>
          </cell>
          <cell r="C5167">
            <v>203</v>
          </cell>
          <cell r="D5167">
            <v>4</v>
          </cell>
          <cell r="E5167" t="str">
            <v>Compensation of employees</v>
          </cell>
          <cell r="F5167">
            <v>12</v>
          </cell>
          <cell r="G5167">
            <v>1996</v>
          </cell>
          <cell r="H5167">
            <v>100</v>
          </cell>
          <cell r="I5167">
            <v>57546100000000</v>
          </cell>
        </row>
        <row r="5168">
          <cell r="A5168" t="str">
            <v>Iran (Islamic Republic of)</v>
          </cell>
          <cell r="B5168">
            <v>364</v>
          </cell>
          <cell r="C5168">
            <v>203</v>
          </cell>
          <cell r="D5168">
            <v>4</v>
          </cell>
          <cell r="E5168" t="str">
            <v>Compensation of employees</v>
          </cell>
          <cell r="F5168">
            <v>12</v>
          </cell>
          <cell r="G5168">
            <v>1997</v>
          </cell>
          <cell r="H5168">
            <v>100</v>
          </cell>
          <cell r="I5168">
            <v>70402200000000</v>
          </cell>
        </row>
        <row r="5169">
          <cell r="A5169" t="str">
            <v>Iran (Islamic Republic of)</v>
          </cell>
          <cell r="B5169">
            <v>364</v>
          </cell>
          <cell r="C5169">
            <v>203</v>
          </cell>
          <cell r="D5169">
            <v>4</v>
          </cell>
          <cell r="E5169" t="str">
            <v>Compensation of employees</v>
          </cell>
          <cell r="F5169">
            <v>12</v>
          </cell>
          <cell r="G5169">
            <v>1998</v>
          </cell>
          <cell r="H5169">
            <v>100</v>
          </cell>
          <cell r="I5169">
            <v>85978400000000</v>
          </cell>
        </row>
        <row r="5170">
          <cell r="A5170" t="str">
            <v>Iran (Islamic Republic of)</v>
          </cell>
          <cell r="B5170">
            <v>364</v>
          </cell>
          <cell r="C5170">
            <v>203</v>
          </cell>
          <cell r="D5170">
            <v>4</v>
          </cell>
          <cell r="E5170" t="str">
            <v>Compensation of employees</v>
          </cell>
          <cell r="F5170">
            <v>12</v>
          </cell>
          <cell r="G5170">
            <v>1999</v>
          </cell>
          <cell r="H5170">
            <v>100</v>
          </cell>
          <cell r="I5170">
            <v>107089500000000</v>
          </cell>
        </row>
        <row r="5171">
          <cell r="A5171" t="str">
            <v>Iran (Islamic Republic of)</v>
          </cell>
          <cell r="B5171">
            <v>364</v>
          </cell>
          <cell r="C5171">
            <v>203</v>
          </cell>
          <cell r="D5171">
            <v>4</v>
          </cell>
          <cell r="E5171" t="str">
            <v>Compensation of employees</v>
          </cell>
          <cell r="F5171">
            <v>12</v>
          </cell>
          <cell r="G5171">
            <v>2000</v>
          </cell>
          <cell r="H5171">
            <v>100</v>
          </cell>
          <cell r="I5171">
            <v>138210800000000</v>
          </cell>
        </row>
        <row r="5172">
          <cell r="A5172" t="str">
            <v>Iran (Islamic Republic of)</v>
          </cell>
          <cell r="B5172">
            <v>364</v>
          </cell>
          <cell r="C5172">
            <v>203</v>
          </cell>
          <cell r="D5172">
            <v>4</v>
          </cell>
          <cell r="E5172" t="str">
            <v>Compensation of employees</v>
          </cell>
          <cell r="F5172">
            <v>12</v>
          </cell>
          <cell r="G5172">
            <v>2001</v>
          </cell>
          <cell r="H5172">
            <v>100</v>
          </cell>
          <cell r="I5172">
            <v>163519276000000</v>
          </cell>
        </row>
        <row r="5173">
          <cell r="A5173" t="str">
            <v>Iran (Islamic Republic of)</v>
          </cell>
          <cell r="B5173">
            <v>364</v>
          </cell>
          <cell r="C5173">
            <v>203</v>
          </cell>
          <cell r="D5173">
            <v>4</v>
          </cell>
          <cell r="E5173" t="str">
            <v>Compensation of employees</v>
          </cell>
          <cell r="F5173">
            <v>12</v>
          </cell>
          <cell r="G5173">
            <v>2002</v>
          </cell>
          <cell r="H5173">
            <v>100</v>
          </cell>
          <cell r="I5173">
            <v>209398841000000</v>
          </cell>
        </row>
        <row r="5174">
          <cell r="A5174" t="str">
            <v>Iran (Islamic Republic of)</v>
          </cell>
          <cell r="B5174">
            <v>364</v>
          </cell>
          <cell r="C5174">
            <v>203</v>
          </cell>
          <cell r="D5174">
            <v>4</v>
          </cell>
          <cell r="E5174" t="str">
            <v>Compensation of employees</v>
          </cell>
          <cell r="F5174">
            <v>12</v>
          </cell>
          <cell r="G5174">
            <v>2003</v>
          </cell>
          <cell r="H5174">
            <v>100</v>
          </cell>
          <cell r="I5174">
            <v>267104480000000</v>
          </cell>
        </row>
        <row r="5175">
          <cell r="A5175" t="str">
            <v>Iran (Islamic Republic of)</v>
          </cell>
          <cell r="B5175">
            <v>364</v>
          </cell>
          <cell r="C5175">
            <v>203</v>
          </cell>
          <cell r="D5175">
            <v>11</v>
          </cell>
          <cell r="E5175" t="str">
            <v>OPERATING SURPLUS, GROSS</v>
          </cell>
          <cell r="F5175">
            <v>12</v>
          </cell>
          <cell r="G5175">
            <v>1994</v>
          </cell>
          <cell r="H5175">
            <v>100</v>
          </cell>
          <cell r="I5175">
            <v>60522100000000</v>
          </cell>
        </row>
        <row r="5176">
          <cell r="A5176" t="str">
            <v>Iran (Islamic Republic of)</v>
          </cell>
          <cell r="B5176">
            <v>364</v>
          </cell>
          <cell r="C5176">
            <v>203</v>
          </cell>
          <cell r="D5176">
            <v>11</v>
          </cell>
          <cell r="E5176" t="str">
            <v>OPERATING SURPLUS, GROSS</v>
          </cell>
          <cell r="F5176">
            <v>12</v>
          </cell>
          <cell r="G5176">
            <v>1995</v>
          </cell>
          <cell r="H5176">
            <v>100</v>
          </cell>
          <cell r="I5176">
            <v>79808600000000</v>
          </cell>
        </row>
        <row r="5177">
          <cell r="A5177" t="str">
            <v>Iran (Islamic Republic of)</v>
          </cell>
          <cell r="B5177">
            <v>364</v>
          </cell>
          <cell r="C5177">
            <v>203</v>
          </cell>
          <cell r="D5177">
            <v>11</v>
          </cell>
          <cell r="E5177" t="str">
            <v>OPERATING SURPLUS, GROSS</v>
          </cell>
          <cell r="F5177">
            <v>12</v>
          </cell>
          <cell r="G5177">
            <v>1996</v>
          </cell>
          <cell r="H5177">
            <v>100</v>
          </cell>
          <cell r="I5177">
            <v>108332200000000</v>
          </cell>
        </row>
        <row r="5178">
          <cell r="A5178" t="str">
            <v>Iran (Islamic Republic of)</v>
          </cell>
          <cell r="B5178">
            <v>364</v>
          </cell>
          <cell r="C5178">
            <v>203</v>
          </cell>
          <cell r="D5178">
            <v>11</v>
          </cell>
          <cell r="E5178" t="str">
            <v>OPERATING SURPLUS, GROSS</v>
          </cell>
          <cell r="F5178">
            <v>12</v>
          </cell>
          <cell r="G5178">
            <v>1997</v>
          </cell>
          <cell r="H5178">
            <v>100</v>
          </cell>
          <cell r="I5178">
            <v>119733900000000</v>
          </cell>
        </row>
        <row r="5179">
          <cell r="A5179" t="str">
            <v>Iran (Islamic Republic of)</v>
          </cell>
          <cell r="B5179">
            <v>364</v>
          </cell>
          <cell r="C5179">
            <v>203</v>
          </cell>
          <cell r="D5179">
            <v>11</v>
          </cell>
          <cell r="E5179" t="str">
            <v>OPERATING SURPLUS, GROSS</v>
          </cell>
          <cell r="F5179">
            <v>12</v>
          </cell>
          <cell r="G5179">
            <v>1998</v>
          </cell>
          <cell r="H5179">
            <v>100</v>
          </cell>
          <cell r="I5179">
            <v>123015200000000</v>
          </cell>
        </row>
        <row r="5180">
          <cell r="A5180" t="str">
            <v>Iran (Islamic Republic of)</v>
          </cell>
          <cell r="B5180">
            <v>364</v>
          </cell>
          <cell r="C5180">
            <v>203</v>
          </cell>
          <cell r="D5180">
            <v>11</v>
          </cell>
          <cell r="E5180" t="str">
            <v>OPERATING SURPLUS, GROSS</v>
          </cell>
          <cell r="F5180">
            <v>12</v>
          </cell>
          <cell r="G5180">
            <v>1999</v>
          </cell>
          <cell r="H5180">
            <v>100</v>
          </cell>
          <cell r="I5180">
            <v>184488400000000</v>
          </cell>
        </row>
        <row r="5181">
          <cell r="A5181" t="str">
            <v>Iran (Islamic Republic of)</v>
          </cell>
          <cell r="B5181">
            <v>364</v>
          </cell>
          <cell r="C5181">
            <v>203</v>
          </cell>
          <cell r="D5181">
            <v>11</v>
          </cell>
          <cell r="E5181" t="str">
            <v>OPERATING SURPLUS, GROSS</v>
          </cell>
          <cell r="F5181">
            <v>12</v>
          </cell>
          <cell r="G5181">
            <v>2000</v>
          </cell>
          <cell r="H5181">
            <v>100</v>
          </cell>
          <cell r="I5181">
            <v>257253800000000</v>
          </cell>
        </row>
        <row r="5182">
          <cell r="A5182" t="str">
            <v>Iran (Islamic Republic of)</v>
          </cell>
          <cell r="B5182">
            <v>364</v>
          </cell>
          <cell r="C5182">
            <v>203</v>
          </cell>
          <cell r="D5182">
            <v>11</v>
          </cell>
          <cell r="E5182" t="str">
            <v>OPERATING SURPLUS, GROSS</v>
          </cell>
          <cell r="F5182">
            <v>12</v>
          </cell>
          <cell r="G5182">
            <v>2001</v>
          </cell>
          <cell r="H5182">
            <v>100</v>
          </cell>
          <cell r="I5182">
            <v>294638063000000</v>
          </cell>
        </row>
        <row r="5183">
          <cell r="A5183" t="str">
            <v>Iran (Islamic Republic of)</v>
          </cell>
          <cell r="B5183">
            <v>364</v>
          </cell>
          <cell r="C5183">
            <v>203</v>
          </cell>
          <cell r="D5183">
            <v>11</v>
          </cell>
          <cell r="E5183" t="str">
            <v>OPERATING SURPLUS, GROSS</v>
          </cell>
          <cell r="F5183">
            <v>12</v>
          </cell>
          <cell r="G5183">
            <v>2002</v>
          </cell>
          <cell r="H5183">
            <v>100</v>
          </cell>
          <cell r="I5183">
            <v>463660003000000</v>
          </cell>
        </row>
        <row r="5184">
          <cell r="A5184" t="str">
            <v>Iran (Islamic Republic of)</v>
          </cell>
          <cell r="B5184">
            <v>364</v>
          </cell>
          <cell r="C5184">
            <v>203</v>
          </cell>
          <cell r="D5184">
            <v>11</v>
          </cell>
          <cell r="E5184" t="str">
            <v>OPERATING SURPLUS, GROSS</v>
          </cell>
          <cell r="F5184">
            <v>12</v>
          </cell>
          <cell r="G5184">
            <v>2003</v>
          </cell>
          <cell r="H5184">
            <v>100</v>
          </cell>
          <cell r="I5184">
            <v>560561620000000</v>
          </cell>
        </row>
        <row r="5185">
          <cell r="A5185" t="str">
            <v>Iran (Islamic Republic of)</v>
          </cell>
          <cell r="B5185">
            <v>364</v>
          </cell>
          <cell r="C5185">
            <v>203</v>
          </cell>
          <cell r="D5185">
            <v>12</v>
          </cell>
          <cell r="E5185" t="str">
            <v>MIXED INCOME, GROSS</v>
          </cell>
          <cell r="F5185">
            <v>12</v>
          </cell>
          <cell r="G5185">
            <v>1994</v>
          </cell>
          <cell r="H5185">
            <v>100</v>
          </cell>
          <cell r="I5185">
            <v>40779300000000</v>
          </cell>
        </row>
        <row r="5186">
          <cell r="A5186" t="str">
            <v>Iran (Islamic Republic of)</v>
          </cell>
          <cell r="B5186">
            <v>364</v>
          </cell>
          <cell r="C5186">
            <v>203</v>
          </cell>
          <cell r="D5186">
            <v>12</v>
          </cell>
          <cell r="E5186" t="str">
            <v>MIXED INCOME, GROSS</v>
          </cell>
          <cell r="F5186">
            <v>12</v>
          </cell>
          <cell r="G5186">
            <v>1995</v>
          </cell>
          <cell r="H5186">
            <v>100</v>
          </cell>
          <cell r="I5186">
            <v>63680400000000</v>
          </cell>
        </row>
        <row r="5187">
          <cell r="A5187" t="str">
            <v>Iran (Islamic Republic of)</v>
          </cell>
          <cell r="B5187">
            <v>364</v>
          </cell>
          <cell r="C5187">
            <v>203</v>
          </cell>
          <cell r="D5187">
            <v>12</v>
          </cell>
          <cell r="E5187" t="str">
            <v>MIXED INCOME, GROSS</v>
          </cell>
          <cell r="F5187">
            <v>12</v>
          </cell>
          <cell r="G5187">
            <v>1996</v>
          </cell>
          <cell r="H5187">
            <v>100</v>
          </cell>
          <cell r="I5187">
            <v>82408200000000</v>
          </cell>
        </row>
        <row r="5188">
          <cell r="A5188" t="str">
            <v>Iran (Islamic Republic of)</v>
          </cell>
          <cell r="B5188">
            <v>364</v>
          </cell>
          <cell r="C5188">
            <v>203</v>
          </cell>
          <cell r="D5188">
            <v>12</v>
          </cell>
          <cell r="E5188" t="str">
            <v>MIXED INCOME, GROSS</v>
          </cell>
          <cell r="F5188">
            <v>12</v>
          </cell>
          <cell r="G5188">
            <v>1997</v>
          </cell>
          <cell r="H5188">
            <v>100</v>
          </cell>
          <cell r="I5188">
            <v>99447200000000</v>
          </cell>
        </row>
        <row r="5189">
          <cell r="A5189" t="str">
            <v>Iran (Islamic Republic of)</v>
          </cell>
          <cell r="B5189">
            <v>364</v>
          </cell>
          <cell r="C5189">
            <v>203</v>
          </cell>
          <cell r="D5189">
            <v>12</v>
          </cell>
          <cell r="E5189" t="str">
            <v>MIXED INCOME, GROSS</v>
          </cell>
          <cell r="F5189">
            <v>12</v>
          </cell>
          <cell r="G5189">
            <v>1998</v>
          </cell>
          <cell r="H5189">
            <v>100</v>
          </cell>
          <cell r="I5189">
            <v>116992900000000</v>
          </cell>
        </row>
        <row r="5190">
          <cell r="A5190" t="str">
            <v>Iran (Islamic Republic of)</v>
          </cell>
          <cell r="B5190">
            <v>364</v>
          </cell>
          <cell r="C5190">
            <v>203</v>
          </cell>
          <cell r="D5190">
            <v>12</v>
          </cell>
          <cell r="E5190" t="str">
            <v>MIXED INCOME, GROSS</v>
          </cell>
          <cell r="F5190">
            <v>12</v>
          </cell>
          <cell r="G5190">
            <v>1999</v>
          </cell>
          <cell r="H5190">
            <v>100</v>
          </cell>
          <cell r="I5190">
            <v>142951700000000</v>
          </cell>
        </row>
        <row r="5191">
          <cell r="A5191" t="str">
            <v>Iran (Islamic Republic of)</v>
          </cell>
          <cell r="B5191">
            <v>364</v>
          </cell>
          <cell r="C5191">
            <v>203</v>
          </cell>
          <cell r="D5191">
            <v>12</v>
          </cell>
          <cell r="E5191" t="str">
            <v>MIXED INCOME, GROSS</v>
          </cell>
          <cell r="F5191">
            <v>12</v>
          </cell>
          <cell r="G5191">
            <v>2000</v>
          </cell>
          <cell r="H5191">
            <v>100</v>
          </cell>
          <cell r="I5191">
            <v>177798300000000</v>
          </cell>
        </row>
        <row r="5192">
          <cell r="A5192" t="str">
            <v>Iran (Islamic Republic of)</v>
          </cell>
          <cell r="B5192">
            <v>364</v>
          </cell>
          <cell r="C5192">
            <v>203</v>
          </cell>
          <cell r="D5192">
            <v>12</v>
          </cell>
          <cell r="E5192" t="str">
            <v>MIXED INCOME, GROSS</v>
          </cell>
          <cell r="F5192">
            <v>12</v>
          </cell>
          <cell r="G5192">
            <v>2001</v>
          </cell>
          <cell r="H5192">
            <v>100</v>
          </cell>
          <cell r="I5192">
            <v>204680622000000</v>
          </cell>
        </row>
        <row r="5193">
          <cell r="A5193" t="str">
            <v>Iran (Islamic Republic of)</v>
          </cell>
          <cell r="B5193">
            <v>364</v>
          </cell>
          <cell r="C5193">
            <v>203</v>
          </cell>
          <cell r="D5193">
            <v>12</v>
          </cell>
          <cell r="E5193" t="str">
            <v>MIXED INCOME, GROSS</v>
          </cell>
          <cell r="F5193">
            <v>12</v>
          </cell>
          <cell r="G5193">
            <v>2002</v>
          </cell>
          <cell r="H5193">
            <v>100</v>
          </cell>
          <cell r="I5193">
            <v>240508601000000</v>
          </cell>
        </row>
        <row r="5194">
          <cell r="A5194" t="str">
            <v>Iran (Islamic Republic of)</v>
          </cell>
          <cell r="B5194">
            <v>364</v>
          </cell>
          <cell r="C5194">
            <v>203</v>
          </cell>
          <cell r="D5194">
            <v>12</v>
          </cell>
          <cell r="E5194" t="str">
            <v>MIXED INCOME, GROSS</v>
          </cell>
          <cell r="F5194">
            <v>12</v>
          </cell>
          <cell r="G5194">
            <v>2003</v>
          </cell>
          <cell r="H5194">
            <v>100</v>
          </cell>
          <cell r="I5194">
            <v>269623144000000</v>
          </cell>
        </row>
        <row r="5195">
          <cell r="A5195" t="str">
            <v>Iran (Islamic Republic of)</v>
          </cell>
          <cell r="B5195">
            <v>364</v>
          </cell>
          <cell r="C5195">
            <v>203</v>
          </cell>
          <cell r="D5195">
            <v>22</v>
          </cell>
          <cell r="E5195" t="str">
            <v>Taxes on production and imports, less Subsidies</v>
          </cell>
          <cell r="F5195">
            <v>12</v>
          </cell>
          <cell r="G5195">
            <v>1994</v>
          </cell>
          <cell r="H5195">
            <v>100</v>
          </cell>
          <cell r="I5195">
            <v>243700000000</v>
          </cell>
        </row>
        <row r="5196">
          <cell r="A5196" t="str">
            <v>Iran (Islamic Republic of)</v>
          </cell>
          <cell r="B5196">
            <v>364</v>
          </cell>
          <cell r="C5196">
            <v>203</v>
          </cell>
          <cell r="D5196">
            <v>22</v>
          </cell>
          <cell r="E5196" t="str">
            <v>Taxes on production and imports, less Subsidies</v>
          </cell>
          <cell r="F5196">
            <v>12</v>
          </cell>
          <cell r="G5196">
            <v>1995</v>
          </cell>
          <cell r="H5196">
            <v>100</v>
          </cell>
          <cell r="I5196">
            <v>319900000000</v>
          </cell>
        </row>
        <row r="5197">
          <cell r="A5197" t="str">
            <v>Iran (Islamic Republic of)</v>
          </cell>
          <cell r="B5197">
            <v>364</v>
          </cell>
          <cell r="C5197">
            <v>203</v>
          </cell>
          <cell r="D5197">
            <v>22</v>
          </cell>
          <cell r="E5197" t="str">
            <v>Taxes on production and imports, less Subsidies</v>
          </cell>
          <cell r="F5197">
            <v>12</v>
          </cell>
          <cell r="G5197">
            <v>1996</v>
          </cell>
          <cell r="H5197">
            <v>100</v>
          </cell>
          <cell r="I5197">
            <v>437800000000</v>
          </cell>
        </row>
        <row r="5198">
          <cell r="A5198" t="str">
            <v>Iran (Islamic Republic of)</v>
          </cell>
          <cell r="B5198">
            <v>364</v>
          </cell>
          <cell r="C5198">
            <v>203</v>
          </cell>
          <cell r="D5198">
            <v>22</v>
          </cell>
          <cell r="E5198" t="str">
            <v>Taxes on production and imports, less Subsidies</v>
          </cell>
          <cell r="F5198">
            <v>12</v>
          </cell>
          <cell r="G5198">
            <v>1997</v>
          </cell>
          <cell r="H5198">
            <v>100</v>
          </cell>
          <cell r="I5198">
            <v>2891400000000</v>
          </cell>
        </row>
        <row r="5199">
          <cell r="A5199" t="str">
            <v>Iran (Islamic Republic of)</v>
          </cell>
          <cell r="B5199">
            <v>364</v>
          </cell>
          <cell r="C5199">
            <v>203</v>
          </cell>
          <cell r="D5199">
            <v>22</v>
          </cell>
          <cell r="E5199" t="str">
            <v>Taxes on production and imports, less Subsidies</v>
          </cell>
          <cell r="F5199">
            <v>12</v>
          </cell>
          <cell r="G5199">
            <v>1998</v>
          </cell>
          <cell r="H5199">
            <v>100</v>
          </cell>
          <cell r="I5199">
            <v>3073800000000</v>
          </cell>
        </row>
        <row r="5200">
          <cell r="A5200" t="str">
            <v>Iran (Islamic Republic of)</v>
          </cell>
          <cell r="B5200">
            <v>364</v>
          </cell>
          <cell r="C5200">
            <v>203</v>
          </cell>
          <cell r="D5200">
            <v>22</v>
          </cell>
          <cell r="E5200" t="str">
            <v>Taxes on production and imports, less Subsidies</v>
          </cell>
          <cell r="F5200">
            <v>12</v>
          </cell>
          <cell r="G5200">
            <v>1999</v>
          </cell>
          <cell r="H5200">
            <v>100</v>
          </cell>
          <cell r="I5200">
            <v>3307800000000</v>
          </cell>
        </row>
        <row r="5201">
          <cell r="A5201" t="str">
            <v>Iran (Islamic Republic of)</v>
          </cell>
          <cell r="B5201">
            <v>364</v>
          </cell>
          <cell r="C5201">
            <v>203</v>
          </cell>
          <cell r="D5201">
            <v>22</v>
          </cell>
          <cell r="E5201" t="str">
            <v>Taxes on production and imports, less Subsidies</v>
          </cell>
          <cell r="F5201">
            <v>12</v>
          </cell>
          <cell r="G5201">
            <v>2000</v>
          </cell>
          <cell r="H5201">
            <v>100</v>
          </cell>
          <cell r="I5201">
            <v>6513200000000</v>
          </cell>
        </row>
        <row r="5202">
          <cell r="A5202" t="str">
            <v>Iran (Islamic Republic of)</v>
          </cell>
          <cell r="B5202">
            <v>364</v>
          </cell>
          <cell r="C5202">
            <v>203</v>
          </cell>
          <cell r="D5202">
            <v>22</v>
          </cell>
          <cell r="E5202" t="str">
            <v>Taxes on production and imports, less Subsidies</v>
          </cell>
          <cell r="F5202">
            <v>12</v>
          </cell>
          <cell r="G5202">
            <v>2001</v>
          </cell>
          <cell r="H5202">
            <v>100</v>
          </cell>
          <cell r="I5202">
            <v>7391000000000</v>
          </cell>
        </row>
        <row r="5203">
          <cell r="A5203" t="str">
            <v>Iran (Islamic Republic of)</v>
          </cell>
          <cell r="B5203">
            <v>364</v>
          </cell>
          <cell r="C5203">
            <v>203</v>
          </cell>
          <cell r="D5203">
            <v>22</v>
          </cell>
          <cell r="E5203" t="str">
            <v>Taxes on production and imports, less Subsidies</v>
          </cell>
          <cell r="F5203">
            <v>12</v>
          </cell>
          <cell r="G5203">
            <v>2002</v>
          </cell>
          <cell r="H5203">
            <v>100</v>
          </cell>
          <cell r="I5203">
            <v>9278700000000</v>
          </cell>
        </row>
        <row r="5204">
          <cell r="A5204" t="str">
            <v>Iran (Islamic Republic of)</v>
          </cell>
          <cell r="B5204">
            <v>364</v>
          </cell>
          <cell r="C5204">
            <v>203</v>
          </cell>
          <cell r="D5204">
            <v>22</v>
          </cell>
          <cell r="E5204" t="str">
            <v>Taxes on production and imports, less Subsidies</v>
          </cell>
          <cell r="F5204">
            <v>12</v>
          </cell>
          <cell r="G5204">
            <v>2003</v>
          </cell>
          <cell r="H5204">
            <v>100</v>
          </cell>
          <cell r="I5204">
            <v>11009800000000</v>
          </cell>
        </row>
        <row r="5205">
          <cell r="A5205" t="str">
            <v>Israel</v>
          </cell>
          <cell r="B5205">
            <v>376</v>
          </cell>
          <cell r="C5205">
            <v>201</v>
          </cell>
          <cell r="D5205">
            <v>13</v>
          </cell>
          <cell r="E5205" t="str">
            <v>Less: Financial intermediation services indirectly measured (FISIM) (only to be deducted if FISIM is not distributed to uses)</v>
          </cell>
          <cell r="F5205">
            <v>0</v>
          </cell>
          <cell r="G5205">
            <v>1970</v>
          </cell>
          <cell r="H5205">
            <v>20</v>
          </cell>
          <cell r="I5205">
            <v>50000</v>
          </cell>
        </row>
        <row r="5206">
          <cell r="A5206" t="str">
            <v>Israel</v>
          </cell>
          <cell r="B5206">
            <v>376</v>
          </cell>
          <cell r="C5206">
            <v>201</v>
          </cell>
          <cell r="D5206">
            <v>13</v>
          </cell>
          <cell r="E5206" t="str">
            <v>Less: Financial intermediation services indirectly measured (FISIM) (only to be deducted if FISIM is not distributed to uses)</v>
          </cell>
          <cell r="F5206">
            <v>0</v>
          </cell>
          <cell r="G5206">
            <v>1971</v>
          </cell>
          <cell r="H5206">
            <v>20</v>
          </cell>
          <cell r="I5206">
            <v>66000</v>
          </cell>
        </row>
        <row r="5207">
          <cell r="A5207" t="str">
            <v>Israel</v>
          </cell>
          <cell r="B5207">
            <v>376</v>
          </cell>
          <cell r="C5207">
            <v>201</v>
          </cell>
          <cell r="D5207">
            <v>13</v>
          </cell>
          <cell r="E5207" t="str">
            <v>Less: Financial intermediation services indirectly measured (FISIM) (only to be deducted if FISIM is not distributed to uses)</v>
          </cell>
          <cell r="F5207">
            <v>0</v>
          </cell>
          <cell r="G5207">
            <v>1972</v>
          </cell>
          <cell r="H5207">
            <v>20</v>
          </cell>
          <cell r="I5207">
            <v>87000</v>
          </cell>
        </row>
        <row r="5208">
          <cell r="A5208" t="str">
            <v>Israel</v>
          </cell>
          <cell r="B5208">
            <v>376</v>
          </cell>
          <cell r="C5208">
            <v>201</v>
          </cell>
          <cell r="D5208">
            <v>13</v>
          </cell>
          <cell r="E5208" t="str">
            <v>Less: Financial intermediation services indirectly measured (FISIM) (only to be deducted if FISIM is not distributed to uses)</v>
          </cell>
          <cell r="F5208">
            <v>0</v>
          </cell>
          <cell r="G5208">
            <v>1973</v>
          </cell>
          <cell r="H5208">
            <v>20</v>
          </cell>
          <cell r="I5208">
            <v>127000</v>
          </cell>
        </row>
        <row r="5209">
          <cell r="A5209" t="str">
            <v>Israel</v>
          </cell>
          <cell r="B5209">
            <v>376</v>
          </cell>
          <cell r="C5209">
            <v>201</v>
          </cell>
          <cell r="D5209">
            <v>13</v>
          </cell>
          <cell r="E5209" t="str">
            <v>Less: Financial intermediation services indirectly measured (FISIM) (only to be deducted if FISIM is not distributed to uses)</v>
          </cell>
          <cell r="F5209">
            <v>0</v>
          </cell>
          <cell r="G5209">
            <v>1974</v>
          </cell>
          <cell r="H5209">
            <v>20</v>
          </cell>
          <cell r="I5209">
            <v>208000</v>
          </cell>
        </row>
        <row r="5210">
          <cell r="A5210" t="str">
            <v>Israel</v>
          </cell>
          <cell r="B5210">
            <v>376</v>
          </cell>
          <cell r="C5210">
            <v>201</v>
          </cell>
          <cell r="D5210">
            <v>13</v>
          </cell>
          <cell r="E5210" t="str">
            <v>Less: Financial intermediation services indirectly measured (FISIM) (only to be deducted if FISIM is not distributed to uses)</v>
          </cell>
          <cell r="F5210">
            <v>0</v>
          </cell>
          <cell r="G5210">
            <v>1975</v>
          </cell>
          <cell r="H5210">
            <v>20</v>
          </cell>
          <cell r="I5210">
            <v>310000</v>
          </cell>
        </row>
        <row r="5211">
          <cell r="A5211" t="str">
            <v>Israel</v>
          </cell>
          <cell r="B5211">
            <v>376</v>
          </cell>
          <cell r="C5211">
            <v>201</v>
          </cell>
          <cell r="D5211">
            <v>13</v>
          </cell>
          <cell r="E5211" t="str">
            <v>Less: Financial intermediation services indirectly measured (FISIM) (only to be deducted if FISIM is not distributed to uses)</v>
          </cell>
          <cell r="F5211">
            <v>0</v>
          </cell>
          <cell r="G5211">
            <v>1976</v>
          </cell>
          <cell r="H5211">
            <v>20</v>
          </cell>
          <cell r="I5211">
            <v>427000</v>
          </cell>
        </row>
        <row r="5212">
          <cell r="A5212" t="str">
            <v>Israel</v>
          </cell>
          <cell r="B5212">
            <v>376</v>
          </cell>
          <cell r="C5212">
            <v>201</v>
          </cell>
          <cell r="D5212">
            <v>13</v>
          </cell>
          <cell r="E5212" t="str">
            <v>Less: Financial intermediation services indirectly measured (FISIM) (only to be deducted if FISIM is not distributed to uses)</v>
          </cell>
          <cell r="F5212">
            <v>0</v>
          </cell>
          <cell r="G5212">
            <v>1977</v>
          </cell>
          <cell r="H5212">
            <v>20</v>
          </cell>
          <cell r="I5212">
            <v>667000</v>
          </cell>
        </row>
        <row r="5213">
          <cell r="A5213" t="str">
            <v>Israel</v>
          </cell>
          <cell r="B5213">
            <v>376</v>
          </cell>
          <cell r="C5213">
            <v>201</v>
          </cell>
          <cell r="D5213">
            <v>13</v>
          </cell>
          <cell r="E5213" t="str">
            <v>Less: Financial intermediation services indirectly measured (FISIM) (only to be deducted if FISIM is not distributed to uses)</v>
          </cell>
          <cell r="F5213">
            <v>0</v>
          </cell>
          <cell r="G5213">
            <v>1978</v>
          </cell>
          <cell r="H5213">
            <v>20</v>
          </cell>
          <cell r="I5213">
            <v>1153000</v>
          </cell>
        </row>
        <row r="5214">
          <cell r="A5214" t="str">
            <v>Israel</v>
          </cell>
          <cell r="B5214">
            <v>376</v>
          </cell>
          <cell r="C5214">
            <v>201</v>
          </cell>
          <cell r="D5214">
            <v>13</v>
          </cell>
          <cell r="E5214" t="str">
            <v>Less: Financial intermediation services indirectly measured (FISIM) (only to be deducted if FISIM is not distributed to uses)</v>
          </cell>
          <cell r="F5214">
            <v>0</v>
          </cell>
          <cell r="G5214">
            <v>1979</v>
          </cell>
          <cell r="H5214">
            <v>20</v>
          </cell>
          <cell r="I5214">
            <v>2649000</v>
          </cell>
        </row>
        <row r="5215">
          <cell r="A5215" t="str">
            <v>Israel</v>
          </cell>
          <cell r="B5215">
            <v>376</v>
          </cell>
          <cell r="C5215">
            <v>201</v>
          </cell>
          <cell r="D5215">
            <v>13</v>
          </cell>
          <cell r="E5215" t="str">
            <v>Less: Financial intermediation services indirectly measured (FISIM) (only to be deducted if FISIM is not distributed to uses)</v>
          </cell>
          <cell r="F5215">
            <v>0</v>
          </cell>
          <cell r="G5215">
            <v>1980</v>
          </cell>
          <cell r="H5215">
            <v>20</v>
          </cell>
          <cell r="I5215">
            <v>7000000</v>
          </cell>
        </row>
        <row r="5216">
          <cell r="A5216" t="str">
            <v>Israel</v>
          </cell>
          <cell r="B5216">
            <v>376</v>
          </cell>
          <cell r="C5216">
            <v>201</v>
          </cell>
          <cell r="D5216">
            <v>13</v>
          </cell>
          <cell r="E5216" t="str">
            <v>Less: Financial intermediation services indirectly measured (FISIM) (only to be deducted if FISIM is not distributed to uses)</v>
          </cell>
          <cell r="F5216">
            <v>0</v>
          </cell>
          <cell r="G5216">
            <v>1980</v>
          </cell>
          <cell r="H5216">
            <v>30</v>
          </cell>
          <cell r="I5216">
            <v>7000000</v>
          </cell>
        </row>
        <row r="5217">
          <cell r="A5217" t="str">
            <v>Israel</v>
          </cell>
          <cell r="B5217">
            <v>376</v>
          </cell>
          <cell r="C5217">
            <v>201</v>
          </cell>
          <cell r="D5217">
            <v>13</v>
          </cell>
          <cell r="E5217" t="str">
            <v>Less: Financial intermediation services indirectly measured (FISIM) (only to be deducted if FISIM is not distributed to uses)</v>
          </cell>
          <cell r="F5217">
            <v>0</v>
          </cell>
          <cell r="G5217">
            <v>1981</v>
          </cell>
          <cell r="H5217">
            <v>30</v>
          </cell>
          <cell r="I5217">
            <v>14000000</v>
          </cell>
        </row>
        <row r="5218">
          <cell r="A5218" t="str">
            <v>Israel</v>
          </cell>
          <cell r="B5218">
            <v>376</v>
          </cell>
          <cell r="C5218">
            <v>201</v>
          </cell>
          <cell r="D5218">
            <v>13</v>
          </cell>
          <cell r="E5218" t="str">
            <v>Less: Financial intermediation services indirectly measured (FISIM) (only to be deducted if FISIM is not distributed to uses)</v>
          </cell>
          <cell r="F5218">
            <v>0</v>
          </cell>
          <cell r="G5218">
            <v>1982</v>
          </cell>
          <cell r="H5218">
            <v>30</v>
          </cell>
          <cell r="I5218">
            <v>30000000</v>
          </cell>
        </row>
        <row r="5219">
          <cell r="A5219" t="str">
            <v>Israel</v>
          </cell>
          <cell r="B5219">
            <v>376</v>
          </cell>
          <cell r="C5219">
            <v>201</v>
          </cell>
          <cell r="D5219">
            <v>13</v>
          </cell>
          <cell r="E5219" t="str">
            <v>Less: Financial intermediation services indirectly measured (FISIM) (only to be deducted if FISIM is not distributed to uses)</v>
          </cell>
          <cell r="F5219">
            <v>0</v>
          </cell>
          <cell r="G5219">
            <v>1983</v>
          </cell>
          <cell r="H5219">
            <v>30</v>
          </cell>
          <cell r="I5219">
            <v>68000000</v>
          </cell>
        </row>
        <row r="5220">
          <cell r="A5220" t="str">
            <v>Israel</v>
          </cell>
          <cell r="B5220">
            <v>376</v>
          </cell>
          <cell r="C5220">
            <v>201</v>
          </cell>
          <cell r="D5220">
            <v>13</v>
          </cell>
          <cell r="E5220" t="str">
            <v>Less: Financial intermediation services indirectly measured (FISIM) (only to be deducted if FISIM is not distributed to uses)</v>
          </cell>
          <cell r="F5220">
            <v>0</v>
          </cell>
          <cell r="G5220">
            <v>1984</v>
          </cell>
          <cell r="H5220">
            <v>30</v>
          </cell>
          <cell r="I5220">
            <v>243000000</v>
          </cell>
        </row>
        <row r="5221">
          <cell r="A5221" t="str">
            <v>Israel</v>
          </cell>
          <cell r="B5221">
            <v>376</v>
          </cell>
          <cell r="C5221">
            <v>201</v>
          </cell>
          <cell r="D5221">
            <v>13</v>
          </cell>
          <cell r="E5221" t="str">
            <v>Less: Financial intermediation services indirectly measured (FISIM) (only to be deducted if FISIM is not distributed to uses)</v>
          </cell>
          <cell r="F5221">
            <v>0</v>
          </cell>
          <cell r="G5221">
            <v>1985</v>
          </cell>
          <cell r="H5221">
            <v>30</v>
          </cell>
          <cell r="I5221">
            <v>1414000000</v>
          </cell>
        </row>
        <row r="5222">
          <cell r="A5222" t="str">
            <v>Israel</v>
          </cell>
          <cell r="B5222">
            <v>376</v>
          </cell>
          <cell r="C5222">
            <v>201</v>
          </cell>
          <cell r="D5222">
            <v>13</v>
          </cell>
          <cell r="E5222" t="str">
            <v>Less: Financial intermediation services indirectly measured (FISIM) (only to be deducted if FISIM is not distributed to uses)</v>
          </cell>
          <cell r="F5222">
            <v>0</v>
          </cell>
          <cell r="G5222">
            <v>1986</v>
          </cell>
          <cell r="H5222">
            <v>30</v>
          </cell>
          <cell r="I5222">
            <v>1600000000</v>
          </cell>
        </row>
        <row r="5223">
          <cell r="A5223" t="str">
            <v>Israel</v>
          </cell>
          <cell r="B5223">
            <v>376</v>
          </cell>
          <cell r="C5223">
            <v>201</v>
          </cell>
          <cell r="D5223">
            <v>13</v>
          </cell>
          <cell r="E5223" t="str">
            <v>Less: Financial intermediation services indirectly measured (FISIM) (only to be deducted if FISIM is not distributed to uses)</v>
          </cell>
          <cell r="F5223">
            <v>0</v>
          </cell>
          <cell r="G5223">
            <v>1987</v>
          </cell>
          <cell r="H5223">
            <v>30</v>
          </cell>
          <cell r="I5223">
            <v>2614000000</v>
          </cell>
        </row>
        <row r="5224">
          <cell r="A5224" t="str">
            <v>Israel</v>
          </cell>
          <cell r="B5224">
            <v>376</v>
          </cell>
          <cell r="C5224">
            <v>201</v>
          </cell>
          <cell r="D5224">
            <v>13</v>
          </cell>
          <cell r="E5224" t="str">
            <v>Less: Financial intermediation services indirectly measured (FISIM) (only to be deducted if FISIM is not distributed to uses)</v>
          </cell>
          <cell r="F5224">
            <v>0</v>
          </cell>
          <cell r="G5224">
            <v>1988</v>
          </cell>
          <cell r="H5224">
            <v>30</v>
          </cell>
          <cell r="I5224">
            <v>3289000000</v>
          </cell>
        </row>
        <row r="5225">
          <cell r="A5225" t="str">
            <v>Israel</v>
          </cell>
          <cell r="B5225">
            <v>376</v>
          </cell>
          <cell r="C5225">
            <v>201</v>
          </cell>
          <cell r="D5225">
            <v>13</v>
          </cell>
          <cell r="E5225" t="str">
            <v>Less: Financial intermediation services indirectly measured (FISIM) (only to be deducted if FISIM is not distributed to uses)</v>
          </cell>
          <cell r="F5225">
            <v>0</v>
          </cell>
          <cell r="G5225">
            <v>1989</v>
          </cell>
          <cell r="H5225">
            <v>30</v>
          </cell>
          <cell r="I5225">
            <v>3915000000</v>
          </cell>
        </row>
        <row r="5226">
          <cell r="A5226" t="str">
            <v>Israel</v>
          </cell>
          <cell r="B5226">
            <v>376</v>
          </cell>
          <cell r="C5226">
            <v>201</v>
          </cell>
          <cell r="D5226">
            <v>13</v>
          </cell>
          <cell r="E5226" t="str">
            <v>Less: Financial intermediation services indirectly measured (FISIM) (only to be deducted if FISIM is not distributed to uses)</v>
          </cell>
          <cell r="F5226">
            <v>0</v>
          </cell>
          <cell r="G5226">
            <v>1990</v>
          </cell>
          <cell r="H5226">
            <v>30</v>
          </cell>
          <cell r="I5226">
            <v>4164000000</v>
          </cell>
        </row>
        <row r="5227">
          <cell r="A5227" t="str">
            <v>Israel</v>
          </cell>
          <cell r="B5227">
            <v>376</v>
          </cell>
          <cell r="C5227">
            <v>201</v>
          </cell>
          <cell r="D5227">
            <v>13</v>
          </cell>
          <cell r="E5227" t="str">
            <v>Less: Financial intermediation services indirectly measured (FISIM) (only to be deducted if FISIM is not distributed to uses)</v>
          </cell>
          <cell r="F5227">
            <v>0</v>
          </cell>
          <cell r="G5227">
            <v>1991</v>
          </cell>
          <cell r="H5227">
            <v>30</v>
          </cell>
          <cell r="I5227">
            <v>5382000000</v>
          </cell>
        </row>
        <row r="5228">
          <cell r="A5228" t="str">
            <v>Israel</v>
          </cell>
          <cell r="B5228">
            <v>376</v>
          </cell>
          <cell r="C5228">
            <v>201</v>
          </cell>
          <cell r="D5228">
            <v>13</v>
          </cell>
          <cell r="E5228" t="str">
            <v>Less: Financial intermediation services indirectly measured (FISIM) (only to be deducted if FISIM is not distributed to uses)</v>
          </cell>
          <cell r="F5228">
            <v>0</v>
          </cell>
          <cell r="G5228">
            <v>1992</v>
          </cell>
          <cell r="H5228">
            <v>30</v>
          </cell>
          <cell r="I5228">
            <v>5835000000</v>
          </cell>
        </row>
        <row r="5229">
          <cell r="A5229" t="str">
            <v>Israel</v>
          </cell>
          <cell r="B5229">
            <v>376</v>
          </cell>
          <cell r="C5229">
            <v>201</v>
          </cell>
          <cell r="D5229">
            <v>13</v>
          </cell>
          <cell r="E5229" t="str">
            <v>Less: Financial intermediation services indirectly measured (FISIM) (only to be deducted if FISIM is not distributed to uses)</v>
          </cell>
          <cell r="F5229">
            <v>0</v>
          </cell>
          <cell r="G5229">
            <v>1993</v>
          </cell>
          <cell r="H5229">
            <v>30</v>
          </cell>
          <cell r="I5229">
            <v>6064000000</v>
          </cell>
        </row>
        <row r="5230">
          <cell r="A5230" t="str">
            <v>Israel</v>
          </cell>
          <cell r="B5230">
            <v>376</v>
          </cell>
          <cell r="C5230">
            <v>201</v>
          </cell>
          <cell r="D5230">
            <v>13</v>
          </cell>
          <cell r="E5230" t="str">
            <v>Less: Financial intermediation services indirectly measured (FISIM) (only to be deducted if FISIM is not distributed to uses)</v>
          </cell>
          <cell r="F5230">
            <v>0</v>
          </cell>
          <cell r="G5230">
            <v>1994</v>
          </cell>
          <cell r="H5230">
            <v>30</v>
          </cell>
          <cell r="I5230">
            <v>6611000000</v>
          </cell>
        </row>
        <row r="5231">
          <cell r="A5231" t="str">
            <v>Israel</v>
          </cell>
          <cell r="B5231">
            <v>376</v>
          </cell>
          <cell r="C5231">
            <v>201</v>
          </cell>
          <cell r="D5231">
            <v>13</v>
          </cell>
          <cell r="E5231" t="str">
            <v>Less: Financial intermediation services indirectly measured (FISIM) (only to be deducted if FISIM is not distributed to uses)</v>
          </cell>
          <cell r="F5231">
            <v>0</v>
          </cell>
          <cell r="G5231">
            <v>1995</v>
          </cell>
          <cell r="H5231">
            <v>30</v>
          </cell>
          <cell r="I5231">
            <v>8757000000</v>
          </cell>
        </row>
        <row r="5232">
          <cell r="A5232" t="str">
            <v>Israel</v>
          </cell>
          <cell r="B5232">
            <v>376</v>
          </cell>
          <cell r="C5232">
            <v>201</v>
          </cell>
          <cell r="D5232">
            <v>13</v>
          </cell>
          <cell r="E5232" t="str">
            <v>Less: Financial intermediation services indirectly measured (FISIM) (only to be deducted if FISIM is not distributed to uses)</v>
          </cell>
          <cell r="F5232">
            <v>0</v>
          </cell>
          <cell r="G5232">
            <v>1995</v>
          </cell>
          <cell r="H5232">
            <v>100</v>
          </cell>
          <cell r="I5232">
            <v>8005000000</v>
          </cell>
        </row>
        <row r="5233">
          <cell r="A5233" t="str">
            <v>Israel</v>
          </cell>
          <cell r="B5233">
            <v>376</v>
          </cell>
          <cell r="C5233">
            <v>201</v>
          </cell>
          <cell r="D5233">
            <v>13</v>
          </cell>
          <cell r="E5233" t="str">
            <v>Less: Financial intermediation services indirectly measured (FISIM) (only to be deducted if FISIM is not distributed to uses)</v>
          </cell>
          <cell r="F5233">
            <v>0</v>
          </cell>
          <cell r="G5233">
            <v>1996</v>
          </cell>
          <cell r="H5233">
            <v>100</v>
          </cell>
          <cell r="I5233">
            <v>9500000000</v>
          </cell>
        </row>
        <row r="5234">
          <cell r="A5234" t="str">
            <v>Israel</v>
          </cell>
          <cell r="B5234">
            <v>376</v>
          </cell>
          <cell r="C5234">
            <v>201</v>
          </cell>
          <cell r="D5234">
            <v>13</v>
          </cell>
          <cell r="E5234" t="str">
            <v>Less: Financial intermediation services indirectly measured (FISIM) (only to be deducted if FISIM is not distributed to uses)</v>
          </cell>
          <cell r="F5234">
            <v>0</v>
          </cell>
          <cell r="G5234">
            <v>1997</v>
          </cell>
          <cell r="H5234">
            <v>100</v>
          </cell>
          <cell r="I5234">
            <v>8520000000</v>
          </cell>
        </row>
        <row r="5235">
          <cell r="A5235" t="str">
            <v>Israel</v>
          </cell>
          <cell r="B5235">
            <v>376</v>
          </cell>
          <cell r="C5235">
            <v>201</v>
          </cell>
          <cell r="D5235">
            <v>13</v>
          </cell>
          <cell r="E5235" t="str">
            <v>Less: Financial intermediation services indirectly measured (FISIM) (only to be deducted if FISIM is not distributed to uses)</v>
          </cell>
          <cell r="F5235">
            <v>0</v>
          </cell>
          <cell r="G5235">
            <v>1998</v>
          </cell>
          <cell r="H5235">
            <v>100</v>
          </cell>
          <cell r="I5235">
            <v>9554000000</v>
          </cell>
        </row>
        <row r="5236">
          <cell r="A5236" t="str">
            <v>Israel</v>
          </cell>
          <cell r="B5236">
            <v>376</v>
          </cell>
          <cell r="C5236">
            <v>201</v>
          </cell>
          <cell r="D5236">
            <v>13</v>
          </cell>
          <cell r="E5236" t="str">
            <v>Less: Financial intermediation services indirectly measured (FISIM) (only to be deducted if FISIM is not distributed to uses)</v>
          </cell>
          <cell r="F5236">
            <v>0</v>
          </cell>
          <cell r="G5236">
            <v>1999</v>
          </cell>
          <cell r="H5236">
            <v>100</v>
          </cell>
          <cell r="I5236">
            <v>6825000000</v>
          </cell>
        </row>
        <row r="5237">
          <cell r="A5237" t="str">
            <v>Israel</v>
          </cell>
          <cell r="B5237">
            <v>376</v>
          </cell>
          <cell r="C5237">
            <v>201</v>
          </cell>
          <cell r="D5237">
            <v>13</v>
          </cell>
          <cell r="E5237" t="str">
            <v>Less: Financial intermediation services indirectly measured (FISIM) (only to be deducted if FISIM is not distributed to uses)</v>
          </cell>
          <cell r="F5237">
            <v>0</v>
          </cell>
          <cell r="G5237">
            <v>2000</v>
          </cell>
          <cell r="H5237">
            <v>100</v>
          </cell>
          <cell r="I5237">
            <v>4867000000</v>
          </cell>
        </row>
        <row r="5238">
          <cell r="A5238" t="str">
            <v>Israel</v>
          </cell>
          <cell r="B5238">
            <v>376</v>
          </cell>
          <cell r="C5238">
            <v>201</v>
          </cell>
          <cell r="D5238">
            <v>13</v>
          </cell>
          <cell r="E5238" t="str">
            <v>Less: Financial intermediation services indirectly measured (FISIM) (only to be deducted if FISIM is not distributed to uses)</v>
          </cell>
          <cell r="F5238">
            <v>0</v>
          </cell>
          <cell r="G5238">
            <v>2001</v>
          </cell>
          <cell r="H5238">
            <v>100</v>
          </cell>
          <cell r="I5238">
            <v>7720000000</v>
          </cell>
        </row>
        <row r="5239">
          <cell r="A5239" t="str">
            <v>Israel</v>
          </cell>
          <cell r="B5239">
            <v>376</v>
          </cell>
          <cell r="C5239">
            <v>201</v>
          </cell>
          <cell r="D5239">
            <v>13</v>
          </cell>
          <cell r="E5239" t="str">
            <v>Less: Financial intermediation services indirectly measured (FISIM) (only to be deducted if FISIM is not distributed to uses)</v>
          </cell>
          <cell r="F5239">
            <v>0</v>
          </cell>
          <cell r="G5239">
            <v>2002</v>
          </cell>
          <cell r="H5239">
            <v>100</v>
          </cell>
          <cell r="I5239">
            <v>12637000000</v>
          </cell>
        </row>
        <row r="5240">
          <cell r="A5240" t="str">
            <v>Israel</v>
          </cell>
          <cell r="B5240">
            <v>376</v>
          </cell>
          <cell r="C5240">
            <v>201</v>
          </cell>
          <cell r="D5240">
            <v>13</v>
          </cell>
          <cell r="E5240" t="str">
            <v>Less: Financial intermediation services indirectly measured (FISIM) (only to be deducted if FISIM is not distributed to uses)</v>
          </cell>
          <cell r="F5240">
            <v>0</v>
          </cell>
          <cell r="G5240">
            <v>2003</v>
          </cell>
          <cell r="H5240">
            <v>100</v>
          </cell>
          <cell r="I5240">
            <v>7013000000</v>
          </cell>
        </row>
        <row r="5241">
          <cell r="A5241" t="str">
            <v>Israel</v>
          </cell>
          <cell r="B5241">
            <v>376</v>
          </cell>
          <cell r="C5241">
            <v>203</v>
          </cell>
          <cell r="D5241">
            <v>3</v>
          </cell>
          <cell r="E5241" t="str">
            <v>Equals: VALUE ADDED, GROSS, at basic prices</v>
          </cell>
          <cell r="F5241">
            <v>12</v>
          </cell>
          <cell r="G5241">
            <v>1995</v>
          </cell>
          <cell r="H5241">
            <v>100</v>
          </cell>
          <cell r="I5241">
            <v>257022000000</v>
          </cell>
        </row>
        <row r="5242">
          <cell r="A5242" t="str">
            <v>Israel</v>
          </cell>
          <cell r="B5242">
            <v>376</v>
          </cell>
          <cell r="C5242">
            <v>203</v>
          </cell>
          <cell r="D5242">
            <v>3</v>
          </cell>
          <cell r="E5242" t="str">
            <v>Equals: VALUE ADDED, GROSS, at basic prices</v>
          </cell>
          <cell r="F5242">
            <v>12</v>
          </cell>
          <cell r="G5242">
            <v>1996</v>
          </cell>
          <cell r="H5242">
            <v>100</v>
          </cell>
          <cell r="I5242">
            <v>300254000000</v>
          </cell>
        </row>
        <row r="5243">
          <cell r="A5243" t="str">
            <v>Israel</v>
          </cell>
          <cell r="B5243">
            <v>376</v>
          </cell>
          <cell r="C5243">
            <v>203</v>
          </cell>
          <cell r="D5243">
            <v>3</v>
          </cell>
          <cell r="E5243" t="str">
            <v>Equals: VALUE ADDED, GROSS, at basic prices</v>
          </cell>
          <cell r="F5243">
            <v>12</v>
          </cell>
          <cell r="G5243">
            <v>1997</v>
          </cell>
          <cell r="H5243">
            <v>100</v>
          </cell>
          <cell r="I5243">
            <v>336611000000</v>
          </cell>
        </row>
        <row r="5244">
          <cell r="A5244" t="str">
            <v>Israel</v>
          </cell>
          <cell r="B5244">
            <v>376</v>
          </cell>
          <cell r="C5244">
            <v>203</v>
          </cell>
          <cell r="D5244">
            <v>3</v>
          </cell>
          <cell r="E5244" t="str">
            <v>Equals: VALUE ADDED, GROSS, at basic prices</v>
          </cell>
          <cell r="F5244">
            <v>12</v>
          </cell>
          <cell r="G5244">
            <v>1998</v>
          </cell>
          <cell r="H5244">
            <v>100</v>
          </cell>
          <cell r="I5244">
            <v>372765000000</v>
          </cell>
        </row>
        <row r="5245">
          <cell r="A5245" t="str">
            <v>Israel</v>
          </cell>
          <cell r="B5245">
            <v>376</v>
          </cell>
          <cell r="C5245">
            <v>203</v>
          </cell>
          <cell r="D5245">
            <v>3</v>
          </cell>
          <cell r="E5245" t="str">
            <v>Equals: VALUE ADDED, GROSS, at basic prices</v>
          </cell>
          <cell r="F5245">
            <v>12</v>
          </cell>
          <cell r="G5245">
            <v>1999</v>
          </cell>
          <cell r="H5245">
            <v>100</v>
          </cell>
          <cell r="I5245">
            <v>403046000000</v>
          </cell>
        </row>
        <row r="5246">
          <cell r="A5246" t="str">
            <v>Israel</v>
          </cell>
          <cell r="B5246">
            <v>376</v>
          </cell>
          <cell r="C5246">
            <v>203</v>
          </cell>
          <cell r="D5246">
            <v>3</v>
          </cell>
          <cell r="E5246" t="str">
            <v>Equals: VALUE ADDED, GROSS, at basic prices</v>
          </cell>
          <cell r="F5246">
            <v>12</v>
          </cell>
          <cell r="G5246">
            <v>2000</v>
          </cell>
          <cell r="H5246">
            <v>100</v>
          </cell>
          <cell r="I5246">
            <v>441726000000</v>
          </cell>
        </row>
        <row r="5247">
          <cell r="A5247" t="str">
            <v>Israel</v>
          </cell>
          <cell r="B5247">
            <v>376</v>
          </cell>
          <cell r="C5247">
            <v>203</v>
          </cell>
          <cell r="D5247">
            <v>3</v>
          </cell>
          <cell r="E5247" t="str">
            <v>Equals: VALUE ADDED, GROSS, at basic prices</v>
          </cell>
          <cell r="F5247">
            <v>12</v>
          </cell>
          <cell r="G5247">
            <v>2001</v>
          </cell>
          <cell r="H5247">
            <v>100</v>
          </cell>
          <cell r="I5247">
            <v>450198000000</v>
          </cell>
        </row>
        <row r="5248">
          <cell r="A5248" t="str">
            <v>Israel</v>
          </cell>
          <cell r="B5248">
            <v>376</v>
          </cell>
          <cell r="C5248">
            <v>203</v>
          </cell>
          <cell r="D5248">
            <v>3</v>
          </cell>
          <cell r="E5248" t="str">
            <v>Equals: VALUE ADDED, GROSS, at basic prices</v>
          </cell>
          <cell r="F5248">
            <v>12</v>
          </cell>
          <cell r="G5248">
            <v>2002</v>
          </cell>
          <cell r="H5248">
            <v>100</v>
          </cell>
          <cell r="I5248">
            <v>466601000000</v>
          </cell>
        </row>
        <row r="5249">
          <cell r="A5249" t="str">
            <v>Israel</v>
          </cell>
          <cell r="B5249">
            <v>376</v>
          </cell>
          <cell r="C5249">
            <v>203</v>
          </cell>
          <cell r="D5249">
            <v>3</v>
          </cell>
          <cell r="E5249" t="str">
            <v>Equals: VALUE ADDED, GROSS, at basic prices</v>
          </cell>
          <cell r="F5249">
            <v>12</v>
          </cell>
          <cell r="G5249">
            <v>2003</v>
          </cell>
          <cell r="H5249">
            <v>100</v>
          </cell>
          <cell r="I5249">
            <v>467736000000</v>
          </cell>
        </row>
        <row r="5250">
          <cell r="A5250" t="str">
            <v>Israel</v>
          </cell>
          <cell r="B5250">
            <v>376</v>
          </cell>
          <cell r="C5250">
            <v>203</v>
          </cell>
          <cell r="D5250">
            <v>4</v>
          </cell>
          <cell r="E5250" t="str">
            <v>Compensation of employees</v>
          </cell>
          <cell r="F5250">
            <v>12</v>
          </cell>
          <cell r="G5250">
            <v>1995</v>
          </cell>
          <cell r="H5250">
            <v>100</v>
          </cell>
          <cell r="I5250">
            <v>145595000000</v>
          </cell>
        </row>
        <row r="5251">
          <cell r="A5251" t="str">
            <v>Israel</v>
          </cell>
          <cell r="B5251">
            <v>376</v>
          </cell>
          <cell r="C5251">
            <v>203</v>
          </cell>
          <cell r="D5251">
            <v>4</v>
          </cell>
          <cell r="E5251" t="str">
            <v>Compensation of employees</v>
          </cell>
          <cell r="F5251">
            <v>12</v>
          </cell>
          <cell r="G5251">
            <v>1996</v>
          </cell>
          <cell r="H5251">
            <v>100</v>
          </cell>
          <cell r="I5251">
            <v>171554000000</v>
          </cell>
        </row>
        <row r="5252">
          <cell r="A5252" t="str">
            <v>Israel</v>
          </cell>
          <cell r="B5252">
            <v>376</v>
          </cell>
          <cell r="C5252">
            <v>203</v>
          </cell>
          <cell r="D5252">
            <v>4</v>
          </cell>
          <cell r="E5252" t="str">
            <v>Compensation of employees</v>
          </cell>
          <cell r="F5252">
            <v>12</v>
          </cell>
          <cell r="G5252">
            <v>1997</v>
          </cell>
          <cell r="H5252">
            <v>100</v>
          </cell>
          <cell r="I5252">
            <v>194233000000</v>
          </cell>
        </row>
        <row r="5253">
          <cell r="A5253" t="str">
            <v>Israel</v>
          </cell>
          <cell r="B5253">
            <v>376</v>
          </cell>
          <cell r="C5253">
            <v>203</v>
          </cell>
          <cell r="D5253">
            <v>4</v>
          </cell>
          <cell r="E5253" t="str">
            <v>Compensation of employees</v>
          </cell>
          <cell r="F5253">
            <v>12</v>
          </cell>
          <cell r="G5253">
            <v>1998</v>
          </cell>
          <cell r="H5253">
            <v>100</v>
          </cell>
          <cell r="I5253">
            <v>214447000000</v>
          </cell>
        </row>
        <row r="5254">
          <cell r="A5254" t="str">
            <v>Israel</v>
          </cell>
          <cell r="B5254">
            <v>376</v>
          </cell>
          <cell r="C5254">
            <v>203</v>
          </cell>
          <cell r="D5254">
            <v>4</v>
          </cell>
          <cell r="E5254" t="str">
            <v>Compensation of employees</v>
          </cell>
          <cell r="F5254">
            <v>12</v>
          </cell>
          <cell r="G5254">
            <v>1999</v>
          </cell>
          <cell r="H5254">
            <v>100</v>
          </cell>
          <cell r="I5254">
            <v>235211000000</v>
          </cell>
        </row>
        <row r="5255">
          <cell r="A5255" t="str">
            <v>Israel</v>
          </cell>
          <cell r="B5255">
            <v>376</v>
          </cell>
          <cell r="C5255">
            <v>203</v>
          </cell>
          <cell r="D5255">
            <v>4</v>
          </cell>
          <cell r="E5255" t="str">
            <v>Compensation of employees</v>
          </cell>
          <cell r="F5255">
            <v>12</v>
          </cell>
          <cell r="G5255">
            <v>2000</v>
          </cell>
          <cell r="H5255">
            <v>100</v>
          </cell>
          <cell r="I5255">
            <v>259471000000</v>
          </cell>
        </row>
        <row r="5256">
          <cell r="A5256" t="str">
            <v>Israel</v>
          </cell>
          <cell r="B5256">
            <v>376</v>
          </cell>
          <cell r="C5256">
            <v>203</v>
          </cell>
          <cell r="D5256">
            <v>4</v>
          </cell>
          <cell r="E5256" t="str">
            <v>Compensation of employees</v>
          </cell>
          <cell r="F5256">
            <v>12</v>
          </cell>
          <cell r="G5256">
            <v>2001</v>
          </cell>
          <cell r="H5256">
            <v>100</v>
          </cell>
          <cell r="I5256">
            <v>271091000000</v>
          </cell>
        </row>
        <row r="5257">
          <cell r="A5257" t="str">
            <v>Israel</v>
          </cell>
          <cell r="B5257">
            <v>376</v>
          </cell>
          <cell r="C5257">
            <v>203</v>
          </cell>
          <cell r="D5257">
            <v>4</v>
          </cell>
          <cell r="E5257" t="str">
            <v>Compensation of employees</v>
          </cell>
          <cell r="F5257">
            <v>12</v>
          </cell>
          <cell r="G5257">
            <v>2002</v>
          </cell>
          <cell r="H5257">
            <v>100</v>
          </cell>
          <cell r="I5257">
            <v>273160000000</v>
          </cell>
        </row>
        <row r="5258">
          <cell r="A5258" t="str">
            <v>Israel</v>
          </cell>
          <cell r="B5258">
            <v>376</v>
          </cell>
          <cell r="C5258">
            <v>203</v>
          </cell>
          <cell r="D5258">
            <v>4</v>
          </cell>
          <cell r="E5258" t="str">
            <v>Compensation of employees</v>
          </cell>
          <cell r="F5258">
            <v>12</v>
          </cell>
          <cell r="G5258">
            <v>2003</v>
          </cell>
          <cell r="H5258">
            <v>100</v>
          </cell>
          <cell r="I5258">
            <v>267310000000</v>
          </cell>
        </row>
        <row r="5259">
          <cell r="A5259" t="str">
            <v>Denmark</v>
          </cell>
          <cell r="B5259">
            <v>208</v>
          </cell>
          <cell r="C5259">
            <v>203</v>
          </cell>
          <cell r="D5259">
            <v>3</v>
          </cell>
          <cell r="E5259" t="str">
            <v>Equals: VALUE ADDED, GROSS, at basic prices</v>
          </cell>
          <cell r="F5259">
            <v>12</v>
          </cell>
          <cell r="G5259">
            <v>1966</v>
          </cell>
          <cell r="H5259">
            <v>100</v>
          </cell>
          <cell r="I5259">
            <v>71939000000</v>
          </cell>
        </row>
        <row r="5260">
          <cell r="A5260" t="str">
            <v>Denmark</v>
          </cell>
          <cell r="B5260">
            <v>208</v>
          </cell>
          <cell r="C5260">
            <v>203</v>
          </cell>
          <cell r="D5260">
            <v>3</v>
          </cell>
          <cell r="E5260" t="str">
            <v>Equals: VALUE ADDED, GROSS, at basic prices</v>
          </cell>
          <cell r="F5260">
            <v>12</v>
          </cell>
          <cell r="G5260">
            <v>1967</v>
          </cell>
          <cell r="H5260">
            <v>100</v>
          </cell>
          <cell r="I5260">
            <v>78809000000</v>
          </cell>
        </row>
        <row r="5261">
          <cell r="A5261" t="str">
            <v>Denmark</v>
          </cell>
          <cell r="B5261">
            <v>208</v>
          </cell>
          <cell r="C5261">
            <v>203</v>
          </cell>
          <cell r="D5261">
            <v>3</v>
          </cell>
          <cell r="E5261" t="str">
            <v>Equals: VALUE ADDED, GROSS, at basic prices</v>
          </cell>
          <cell r="F5261">
            <v>12</v>
          </cell>
          <cell r="G5261">
            <v>1968</v>
          </cell>
          <cell r="H5261">
            <v>100</v>
          </cell>
          <cell r="I5261">
            <v>86890000000</v>
          </cell>
        </row>
        <row r="5262">
          <cell r="A5262" t="str">
            <v>Denmark</v>
          </cell>
          <cell r="B5262">
            <v>208</v>
          </cell>
          <cell r="C5262">
            <v>203</v>
          </cell>
          <cell r="D5262">
            <v>3</v>
          </cell>
          <cell r="E5262" t="str">
            <v>Equals: VALUE ADDED, GROSS, at basic prices</v>
          </cell>
          <cell r="F5262">
            <v>12</v>
          </cell>
          <cell r="G5262">
            <v>1969</v>
          </cell>
          <cell r="H5262">
            <v>100</v>
          </cell>
          <cell r="I5262">
            <v>99316000000</v>
          </cell>
        </row>
        <row r="5263">
          <cell r="A5263" t="str">
            <v>Denmark</v>
          </cell>
          <cell r="B5263">
            <v>208</v>
          </cell>
          <cell r="C5263">
            <v>203</v>
          </cell>
          <cell r="D5263">
            <v>3</v>
          </cell>
          <cell r="E5263" t="str">
            <v>Equals: VALUE ADDED, GROSS, at basic prices</v>
          </cell>
          <cell r="F5263">
            <v>12</v>
          </cell>
          <cell r="G5263">
            <v>1970</v>
          </cell>
          <cell r="H5263">
            <v>100</v>
          </cell>
          <cell r="I5263">
            <v>110154000000</v>
          </cell>
        </row>
        <row r="5264">
          <cell r="A5264" t="str">
            <v>Denmark</v>
          </cell>
          <cell r="B5264">
            <v>208</v>
          </cell>
          <cell r="C5264">
            <v>203</v>
          </cell>
          <cell r="D5264">
            <v>3</v>
          </cell>
          <cell r="E5264" t="str">
            <v>Equals: VALUE ADDED, GROSS, at basic prices</v>
          </cell>
          <cell r="F5264">
            <v>12</v>
          </cell>
          <cell r="G5264">
            <v>1971</v>
          </cell>
          <cell r="H5264">
            <v>100</v>
          </cell>
          <cell r="I5264">
            <v>121928000000</v>
          </cell>
        </row>
        <row r="5265">
          <cell r="A5265" t="str">
            <v>Denmark</v>
          </cell>
          <cell r="B5265">
            <v>208</v>
          </cell>
          <cell r="C5265">
            <v>203</v>
          </cell>
          <cell r="D5265">
            <v>3</v>
          </cell>
          <cell r="E5265" t="str">
            <v>Equals: VALUE ADDED, GROSS, at basic prices</v>
          </cell>
          <cell r="F5265">
            <v>12</v>
          </cell>
          <cell r="G5265">
            <v>1972</v>
          </cell>
          <cell r="H5265">
            <v>100</v>
          </cell>
          <cell r="I5265">
            <v>140119000000</v>
          </cell>
        </row>
        <row r="5266">
          <cell r="A5266" t="str">
            <v>Denmark</v>
          </cell>
          <cell r="B5266">
            <v>208</v>
          </cell>
          <cell r="C5266">
            <v>203</v>
          </cell>
          <cell r="D5266">
            <v>3</v>
          </cell>
          <cell r="E5266" t="str">
            <v>Equals: VALUE ADDED, GROSS, at basic prices</v>
          </cell>
          <cell r="F5266">
            <v>12</v>
          </cell>
          <cell r="G5266">
            <v>1973</v>
          </cell>
          <cell r="H5266">
            <v>100</v>
          </cell>
          <cell r="I5266">
            <v>162978000000</v>
          </cell>
        </row>
        <row r="5267">
          <cell r="A5267" t="str">
            <v>Denmark</v>
          </cell>
          <cell r="B5267">
            <v>208</v>
          </cell>
          <cell r="C5267">
            <v>203</v>
          </cell>
          <cell r="D5267">
            <v>3</v>
          </cell>
          <cell r="E5267" t="str">
            <v>Equals: VALUE ADDED, GROSS, at basic prices</v>
          </cell>
          <cell r="F5267">
            <v>12</v>
          </cell>
          <cell r="G5267">
            <v>1974</v>
          </cell>
          <cell r="H5267">
            <v>100</v>
          </cell>
          <cell r="I5267">
            <v>184456000000</v>
          </cell>
        </row>
        <row r="5268">
          <cell r="A5268" t="str">
            <v>Denmark</v>
          </cell>
          <cell r="B5268">
            <v>208</v>
          </cell>
          <cell r="C5268">
            <v>203</v>
          </cell>
          <cell r="D5268">
            <v>3</v>
          </cell>
          <cell r="E5268" t="str">
            <v>Equals: VALUE ADDED, GROSS, at basic prices</v>
          </cell>
          <cell r="F5268">
            <v>12</v>
          </cell>
          <cell r="G5268">
            <v>1975</v>
          </cell>
          <cell r="H5268">
            <v>100</v>
          </cell>
          <cell r="I5268">
            <v>206740000000</v>
          </cell>
        </row>
        <row r="5269">
          <cell r="A5269" t="str">
            <v>Denmark</v>
          </cell>
          <cell r="B5269">
            <v>208</v>
          </cell>
          <cell r="C5269">
            <v>203</v>
          </cell>
          <cell r="D5269">
            <v>3</v>
          </cell>
          <cell r="E5269" t="str">
            <v>Equals: VALUE ADDED, GROSS, at basic prices</v>
          </cell>
          <cell r="F5269">
            <v>12</v>
          </cell>
          <cell r="G5269">
            <v>1976</v>
          </cell>
          <cell r="H5269">
            <v>100</v>
          </cell>
          <cell r="I5269">
            <v>237104000000</v>
          </cell>
        </row>
        <row r="5270">
          <cell r="A5270" t="str">
            <v>Denmark</v>
          </cell>
          <cell r="B5270">
            <v>208</v>
          </cell>
          <cell r="C5270">
            <v>203</v>
          </cell>
          <cell r="D5270">
            <v>3</v>
          </cell>
          <cell r="E5270" t="str">
            <v>Equals: VALUE ADDED, GROSS, at basic prices</v>
          </cell>
          <cell r="F5270">
            <v>12</v>
          </cell>
          <cell r="G5270">
            <v>1977</v>
          </cell>
          <cell r="H5270">
            <v>100</v>
          </cell>
          <cell r="I5270">
            <v>261635000000</v>
          </cell>
        </row>
        <row r="5271">
          <cell r="A5271" t="str">
            <v>Denmark</v>
          </cell>
          <cell r="B5271">
            <v>208</v>
          </cell>
          <cell r="C5271">
            <v>203</v>
          </cell>
          <cell r="D5271">
            <v>3</v>
          </cell>
          <cell r="E5271" t="str">
            <v>Equals: VALUE ADDED, GROSS, at basic prices</v>
          </cell>
          <cell r="F5271">
            <v>12</v>
          </cell>
          <cell r="G5271">
            <v>1978</v>
          </cell>
          <cell r="H5271">
            <v>100</v>
          </cell>
          <cell r="I5271">
            <v>289376000000</v>
          </cell>
        </row>
        <row r="5272">
          <cell r="A5272" t="str">
            <v>Denmark</v>
          </cell>
          <cell r="B5272">
            <v>208</v>
          </cell>
          <cell r="C5272">
            <v>203</v>
          </cell>
          <cell r="D5272">
            <v>3</v>
          </cell>
          <cell r="E5272" t="str">
            <v>Equals: VALUE ADDED, GROSS, at basic prices</v>
          </cell>
          <cell r="F5272">
            <v>12</v>
          </cell>
          <cell r="G5272">
            <v>1979</v>
          </cell>
          <cell r="H5272">
            <v>100</v>
          </cell>
          <cell r="I5272">
            <v>318697000000</v>
          </cell>
        </row>
        <row r="5273">
          <cell r="A5273" t="str">
            <v>Denmark</v>
          </cell>
          <cell r="B5273">
            <v>208</v>
          </cell>
          <cell r="C5273">
            <v>203</v>
          </cell>
          <cell r="D5273">
            <v>3</v>
          </cell>
          <cell r="E5273" t="str">
            <v>Equals: VALUE ADDED, GROSS, at basic prices</v>
          </cell>
          <cell r="F5273">
            <v>12</v>
          </cell>
          <cell r="G5273">
            <v>1980</v>
          </cell>
          <cell r="H5273">
            <v>100</v>
          </cell>
          <cell r="I5273">
            <v>343359000000</v>
          </cell>
        </row>
        <row r="5274">
          <cell r="A5274" t="str">
            <v>Denmark</v>
          </cell>
          <cell r="B5274">
            <v>208</v>
          </cell>
          <cell r="C5274">
            <v>203</v>
          </cell>
          <cell r="D5274">
            <v>3</v>
          </cell>
          <cell r="E5274" t="str">
            <v>Equals: VALUE ADDED, GROSS, at basic prices</v>
          </cell>
          <cell r="F5274">
            <v>12</v>
          </cell>
          <cell r="G5274">
            <v>1981</v>
          </cell>
          <cell r="H5274">
            <v>100</v>
          </cell>
          <cell r="I5274">
            <v>374312000000</v>
          </cell>
        </row>
        <row r="5275">
          <cell r="A5275" t="str">
            <v>Denmark</v>
          </cell>
          <cell r="B5275">
            <v>208</v>
          </cell>
          <cell r="C5275">
            <v>203</v>
          </cell>
          <cell r="D5275">
            <v>3</v>
          </cell>
          <cell r="E5275" t="str">
            <v>Equals: VALUE ADDED, GROSS, at basic prices</v>
          </cell>
          <cell r="F5275">
            <v>12</v>
          </cell>
          <cell r="G5275">
            <v>1982</v>
          </cell>
          <cell r="H5275">
            <v>100</v>
          </cell>
          <cell r="I5275">
            <v>429107000000</v>
          </cell>
        </row>
        <row r="5276">
          <cell r="A5276" t="str">
            <v>Denmark</v>
          </cell>
          <cell r="B5276">
            <v>208</v>
          </cell>
          <cell r="C5276">
            <v>203</v>
          </cell>
          <cell r="D5276">
            <v>3</v>
          </cell>
          <cell r="E5276" t="str">
            <v>Equals: VALUE ADDED, GROSS, at basic prices</v>
          </cell>
          <cell r="F5276">
            <v>12</v>
          </cell>
          <cell r="G5276">
            <v>1983</v>
          </cell>
          <cell r="H5276">
            <v>100</v>
          </cell>
          <cell r="I5276">
            <v>470299000000</v>
          </cell>
        </row>
        <row r="5277">
          <cell r="A5277" t="str">
            <v>Denmark</v>
          </cell>
          <cell r="B5277">
            <v>208</v>
          </cell>
          <cell r="C5277">
            <v>203</v>
          </cell>
          <cell r="D5277">
            <v>3</v>
          </cell>
          <cell r="E5277" t="str">
            <v>Equals: VALUE ADDED, GROSS, at basic prices</v>
          </cell>
          <cell r="F5277">
            <v>12</v>
          </cell>
          <cell r="G5277">
            <v>1984</v>
          </cell>
          <cell r="H5277">
            <v>100</v>
          </cell>
          <cell r="I5277">
            <v>518809000000</v>
          </cell>
        </row>
        <row r="5278">
          <cell r="A5278" t="str">
            <v>Denmark</v>
          </cell>
          <cell r="B5278">
            <v>208</v>
          </cell>
          <cell r="C5278">
            <v>203</v>
          </cell>
          <cell r="D5278">
            <v>3</v>
          </cell>
          <cell r="E5278" t="str">
            <v>Equals: VALUE ADDED, GROSS, at basic prices</v>
          </cell>
          <cell r="F5278">
            <v>12</v>
          </cell>
          <cell r="G5278">
            <v>1985</v>
          </cell>
          <cell r="H5278">
            <v>100</v>
          </cell>
          <cell r="I5278">
            <v>561222000000</v>
          </cell>
        </row>
        <row r="5279">
          <cell r="A5279" t="str">
            <v>Denmark</v>
          </cell>
          <cell r="B5279">
            <v>208</v>
          </cell>
          <cell r="C5279">
            <v>203</v>
          </cell>
          <cell r="D5279">
            <v>3</v>
          </cell>
          <cell r="E5279" t="str">
            <v>Equals: VALUE ADDED, GROSS, at basic prices</v>
          </cell>
          <cell r="F5279">
            <v>12</v>
          </cell>
          <cell r="G5279">
            <v>1986</v>
          </cell>
          <cell r="H5279">
            <v>100</v>
          </cell>
          <cell r="I5279">
            <v>606028000000</v>
          </cell>
        </row>
        <row r="5280">
          <cell r="A5280" t="str">
            <v>Denmark</v>
          </cell>
          <cell r="B5280">
            <v>208</v>
          </cell>
          <cell r="C5280">
            <v>203</v>
          </cell>
          <cell r="D5280">
            <v>3</v>
          </cell>
          <cell r="E5280" t="str">
            <v>Equals: VALUE ADDED, GROSS, at basic prices</v>
          </cell>
          <cell r="F5280">
            <v>12</v>
          </cell>
          <cell r="G5280">
            <v>1987</v>
          </cell>
          <cell r="H5280">
            <v>100</v>
          </cell>
          <cell r="I5280">
            <v>640675000000</v>
          </cell>
        </row>
        <row r="5281">
          <cell r="A5281" t="str">
            <v>Denmark</v>
          </cell>
          <cell r="B5281">
            <v>208</v>
          </cell>
          <cell r="C5281">
            <v>203</v>
          </cell>
          <cell r="D5281">
            <v>3</v>
          </cell>
          <cell r="E5281" t="str">
            <v>Equals: VALUE ADDED, GROSS, at basic prices</v>
          </cell>
          <cell r="F5281">
            <v>12</v>
          </cell>
          <cell r="G5281">
            <v>1988</v>
          </cell>
          <cell r="H5281">
            <v>100</v>
          </cell>
          <cell r="I5281">
            <v>662492000000</v>
          </cell>
        </row>
        <row r="5282">
          <cell r="A5282" t="str">
            <v>Denmark</v>
          </cell>
          <cell r="B5282">
            <v>208</v>
          </cell>
          <cell r="C5282">
            <v>203</v>
          </cell>
          <cell r="D5282">
            <v>3</v>
          </cell>
          <cell r="E5282" t="str">
            <v>Equals: VALUE ADDED, GROSS, at basic prices</v>
          </cell>
          <cell r="F5282">
            <v>12</v>
          </cell>
          <cell r="G5282">
            <v>1989</v>
          </cell>
          <cell r="H5282">
            <v>100</v>
          </cell>
          <cell r="I5282">
            <v>706864000000</v>
          </cell>
        </row>
        <row r="5283">
          <cell r="A5283" t="str">
            <v>Denmark</v>
          </cell>
          <cell r="B5283">
            <v>208</v>
          </cell>
          <cell r="C5283">
            <v>203</v>
          </cell>
          <cell r="D5283">
            <v>3</v>
          </cell>
          <cell r="E5283" t="str">
            <v>Equals: VALUE ADDED, GROSS, at basic prices</v>
          </cell>
          <cell r="F5283">
            <v>12</v>
          </cell>
          <cell r="G5283">
            <v>1990</v>
          </cell>
          <cell r="H5283">
            <v>100</v>
          </cell>
          <cell r="I5283">
            <v>743916000000</v>
          </cell>
        </row>
        <row r="5284">
          <cell r="A5284" t="str">
            <v>Denmark</v>
          </cell>
          <cell r="B5284">
            <v>208</v>
          </cell>
          <cell r="C5284">
            <v>203</v>
          </cell>
          <cell r="D5284">
            <v>3</v>
          </cell>
          <cell r="E5284" t="str">
            <v>Equals: VALUE ADDED, GROSS, at basic prices</v>
          </cell>
          <cell r="F5284">
            <v>12</v>
          </cell>
          <cell r="G5284">
            <v>1991</v>
          </cell>
          <cell r="H5284">
            <v>100</v>
          </cell>
          <cell r="I5284">
            <v>772454000000</v>
          </cell>
        </row>
        <row r="5285">
          <cell r="A5285" t="str">
            <v>Denmark</v>
          </cell>
          <cell r="B5285">
            <v>208</v>
          </cell>
          <cell r="C5285">
            <v>203</v>
          </cell>
          <cell r="D5285">
            <v>3</v>
          </cell>
          <cell r="E5285" t="str">
            <v>Equals: VALUE ADDED, GROSS, at basic prices</v>
          </cell>
          <cell r="F5285">
            <v>12</v>
          </cell>
          <cell r="G5285">
            <v>1992</v>
          </cell>
          <cell r="H5285">
            <v>100</v>
          </cell>
          <cell r="I5285">
            <v>798623000000</v>
          </cell>
        </row>
        <row r="5286">
          <cell r="A5286" t="str">
            <v>Denmark</v>
          </cell>
          <cell r="B5286">
            <v>208</v>
          </cell>
          <cell r="C5286">
            <v>203</v>
          </cell>
          <cell r="D5286">
            <v>3</v>
          </cell>
          <cell r="E5286" t="str">
            <v>Equals: VALUE ADDED, GROSS, at basic prices</v>
          </cell>
          <cell r="F5286">
            <v>12</v>
          </cell>
          <cell r="G5286">
            <v>1993</v>
          </cell>
          <cell r="H5286">
            <v>100</v>
          </cell>
          <cell r="I5286">
            <v>815527000000</v>
          </cell>
        </row>
        <row r="5287">
          <cell r="A5287" t="str">
            <v>Denmark</v>
          </cell>
          <cell r="B5287">
            <v>208</v>
          </cell>
          <cell r="C5287">
            <v>203</v>
          </cell>
          <cell r="D5287">
            <v>3</v>
          </cell>
          <cell r="E5287" t="str">
            <v>Equals: VALUE ADDED, GROSS, at basic prices</v>
          </cell>
          <cell r="F5287">
            <v>12</v>
          </cell>
          <cell r="G5287">
            <v>1994</v>
          </cell>
          <cell r="H5287">
            <v>100</v>
          </cell>
          <cell r="I5287">
            <v>866609000000</v>
          </cell>
        </row>
        <row r="5288">
          <cell r="A5288" t="str">
            <v>Denmark</v>
          </cell>
          <cell r="B5288">
            <v>208</v>
          </cell>
          <cell r="C5288">
            <v>203</v>
          </cell>
          <cell r="D5288">
            <v>3</v>
          </cell>
          <cell r="E5288" t="str">
            <v>Equals: VALUE ADDED, GROSS, at basic prices</v>
          </cell>
          <cell r="F5288">
            <v>12</v>
          </cell>
          <cell r="G5288">
            <v>1995</v>
          </cell>
          <cell r="H5288">
            <v>100</v>
          </cell>
          <cell r="I5288">
            <v>902780000000</v>
          </cell>
        </row>
        <row r="5289">
          <cell r="A5289" t="str">
            <v>Denmark</v>
          </cell>
          <cell r="B5289">
            <v>208</v>
          </cell>
          <cell r="C5289">
            <v>203</v>
          </cell>
          <cell r="D5289">
            <v>3</v>
          </cell>
          <cell r="E5289" t="str">
            <v>Equals: VALUE ADDED, GROSS, at basic prices</v>
          </cell>
          <cell r="F5289">
            <v>12</v>
          </cell>
          <cell r="G5289">
            <v>1996</v>
          </cell>
          <cell r="H5289">
            <v>100</v>
          </cell>
          <cell r="I5289">
            <v>941049000000</v>
          </cell>
        </row>
        <row r="5290">
          <cell r="A5290" t="str">
            <v>Denmark</v>
          </cell>
          <cell r="B5290">
            <v>208</v>
          </cell>
          <cell r="C5290">
            <v>203</v>
          </cell>
          <cell r="D5290">
            <v>3</v>
          </cell>
          <cell r="E5290" t="str">
            <v>Equals: VALUE ADDED, GROSS, at basic prices</v>
          </cell>
          <cell r="F5290">
            <v>12</v>
          </cell>
          <cell r="G5290">
            <v>1997</v>
          </cell>
          <cell r="H5290">
            <v>100</v>
          </cell>
          <cell r="I5290">
            <v>985673000000</v>
          </cell>
        </row>
        <row r="5291">
          <cell r="A5291" t="str">
            <v>Denmark</v>
          </cell>
          <cell r="B5291">
            <v>208</v>
          </cell>
          <cell r="C5291">
            <v>203</v>
          </cell>
          <cell r="D5291">
            <v>3</v>
          </cell>
          <cell r="E5291" t="str">
            <v>Equals: VALUE ADDED, GROSS, at basic prices</v>
          </cell>
          <cell r="F5291">
            <v>12</v>
          </cell>
          <cell r="G5291">
            <v>1998</v>
          </cell>
          <cell r="H5291">
            <v>100</v>
          </cell>
          <cell r="I5291">
            <v>1013189000000</v>
          </cell>
        </row>
        <row r="5292">
          <cell r="A5292" t="str">
            <v>Denmark</v>
          </cell>
          <cell r="B5292">
            <v>208</v>
          </cell>
          <cell r="C5292">
            <v>203</v>
          </cell>
          <cell r="D5292">
            <v>3</v>
          </cell>
          <cell r="E5292" t="str">
            <v>Equals: VALUE ADDED, GROSS, at basic prices</v>
          </cell>
          <cell r="F5292">
            <v>12</v>
          </cell>
          <cell r="G5292">
            <v>1999</v>
          </cell>
          <cell r="H5292">
            <v>100</v>
          </cell>
          <cell r="I5292">
            <v>1060122000000</v>
          </cell>
        </row>
        <row r="5293">
          <cell r="A5293" t="str">
            <v>Denmark</v>
          </cell>
          <cell r="B5293">
            <v>208</v>
          </cell>
          <cell r="C5293">
            <v>203</v>
          </cell>
          <cell r="D5293">
            <v>3</v>
          </cell>
          <cell r="E5293" t="str">
            <v>Equals: VALUE ADDED, GROSS, at basic prices</v>
          </cell>
          <cell r="F5293">
            <v>12</v>
          </cell>
          <cell r="G5293">
            <v>2000</v>
          </cell>
          <cell r="H5293">
            <v>100</v>
          </cell>
          <cell r="I5293">
            <v>1132704000000</v>
          </cell>
        </row>
        <row r="5294">
          <cell r="A5294" t="str">
            <v>Denmark</v>
          </cell>
          <cell r="B5294">
            <v>208</v>
          </cell>
          <cell r="C5294">
            <v>203</v>
          </cell>
          <cell r="D5294">
            <v>3</v>
          </cell>
          <cell r="E5294" t="str">
            <v>Equals: VALUE ADDED, GROSS, at basic prices</v>
          </cell>
          <cell r="F5294">
            <v>12</v>
          </cell>
          <cell r="G5294">
            <v>2001</v>
          </cell>
          <cell r="H5294">
            <v>100</v>
          </cell>
          <cell r="I5294">
            <v>1176595000000</v>
          </cell>
        </row>
        <row r="5295">
          <cell r="A5295" t="str">
            <v>Denmark</v>
          </cell>
          <cell r="B5295">
            <v>208</v>
          </cell>
          <cell r="C5295">
            <v>203</v>
          </cell>
          <cell r="D5295">
            <v>3</v>
          </cell>
          <cell r="E5295" t="str">
            <v>Equals: VALUE ADDED, GROSS, at basic prices</v>
          </cell>
          <cell r="F5295">
            <v>12</v>
          </cell>
          <cell r="G5295">
            <v>2002</v>
          </cell>
          <cell r="H5295">
            <v>100</v>
          </cell>
          <cell r="I5295">
            <v>1205465000000</v>
          </cell>
        </row>
        <row r="5296">
          <cell r="A5296" t="str">
            <v>Israel</v>
          </cell>
          <cell r="B5296">
            <v>376</v>
          </cell>
          <cell r="C5296">
            <v>203</v>
          </cell>
          <cell r="D5296">
            <v>11</v>
          </cell>
          <cell r="E5296" t="str">
            <v>OPERATING SURPLUS, GROSS</v>
          </cell>
          <cell r="F5296">
            <v>12</v>
          </cell>
          <cell r="G5296">
            <v>1995</v>
          </cell>
          <cell r="H5296">
            <v>100</v>
          </cell>
          <cell r="I5296">
            <v>98893000000</v>
          </cell>
        </row>
        <row r="5297">
          <cell r="A5297" t="str">
            <v>Israel</v>
          </cell>
          <cell r="B5297">
            <v>376</v>
          </cell>
          <cell r="C5297">
            <v>203</v>
          </cell>
          <cell r="D5297">
            <v>11</v>
          </cell>
          <cell r="E5297" t="str">
            <v>OPERATING SURPLUS, GROSS</v>
          </cell>
          <cell r="F5297">
            <v>12</v>
          </cell>
          <cell r="G5297">
            <v>1996</v>
          </cell>
          <cell r="H5297">
            <v>100</v>
          </cell>
          <cell r="I5297">
            <v>113496000000</v>
          </cell>
        </row>
        <row r="5298">
          <cell r="A5298" t="str">
            <v>Israel</v>
          </cell>
          <cell r="B5298">
            <v>376</v>
          </cell>
          <cell r="C5298">
            <v>203</v>
          </cell>
          <cell r="D5298">
            <v>11</v>
          </cell>
          <cell r="E5298" t="str">
            <v>OPERATING SURPLUS, GROSS</v>
          </cell>
          <cell r="F5298">
            <v>12</v>
          </cell>
          <cell r="G5298">
            <v>1997</v>
          </cell>
          <cell r="H5298">
            <v>100</v>
          </cell>
          <cell r="I5298">
            <v>124861000000</v>
          </cell>
        </row>
        <row r="5299">
          <cell r="A5299" t="str">
            <v>Israel</v>
          </cell>
          <cell r="B5299">
            <v>376</v>
          </cell>
          <cell r="C5299">
            <v>203</v>
          </cell>
          <cell r="D5299">
            <v>11</v>
          </cell>
          <cell r="E5299" t="str">
            <v>OPERATING SURPLUS, GROSS</v>
          </cell>
          <cell r="F5299">
            <v>12</v>
          </cell>
          <cell r="G5299">
            <v>1998</v>
          </cell>
          <cell r="H5299">
            <v>100</v>
          </cell>
          <cell r="I5299">
            <v>138936000000</v>
          </cell>
        </row>
        <row r="5300">
          <cell r="A5300" t="str">
            <v>Israel</v>
          </cell>
          <cell r="B5300">
            <v>376</v>
          </cell>
          <cell r="C5300">
            <v>203</v>
          </cell>
          <cell r="D5300">
            <v>11</v>
          </cell>
          <cell r="E5300" t="str">
            <v>OPERATING SURPLUS, GROSS</v>
          </cell>
          <cell r="F5300">
            <v>12</v>
          </cell>
          <cell r="G5300">
            <v>1999</v>
          </cell>
          <cell r="H5300">
            <v>100</v>
          </cell>
          <cell r="I5300">
            <v>146144000000</v>
          </cell>
        </row>
        <row r="5301">
          <cell r="A5301" t="str">
            <v>Israel</v>
          </cell>
          <cell r="B5301">
            <v>376</v>
          </cell>
          <cell r="C5301">
            <v>203</v>
          </cell>
          <cell r="D5301">
            <v>11</v>
          </cell>
          <cell r="E5301" t="str">
            <v>OPERATING SURPLUS, GROSS</v>
          </cell>
          <cell r="F5301">
            <v>12</v>
          </cell>
          <cell r="G5301">
            <v>2000</v>
          </cell>
          <cell r="H5301">
            <v>100</v>
          </cell>
          <cell r="I5301">
            <v>159727000000</v>
          </cell>
        </row>
        <row r="5302">
          <cell r="A5302" t="str">
            <v>Israel</v>
          </cell>
          <cell r="B5302">
            <v>376</v>
          </cell>
          <cell r="C5302">
            <v>203</v>
          </cell>
          <cell r="D5302">
            <v>11</v>
          </cell>
          <cell r="E5302" t="str">
            <v>OPERATING SURPLUS, GROSS</v>
          </cell>
          <cell r="F5302">
            <v>12</v>
          </cell>
          <cell r="G5302">
            <v>2001</v>
          </cell>
          <cell r="H5302">
            <v>100</v>
          </cell>
          <cell r="I5302">
            <v>156052000000</v>
          </cell>
        </row>
        <row r="5303">
          <cell r="A5303" t="str">
            <v>Israel</v>
          </cell>
          <cell r="B5303">
            <v>376</v>
          </cell>
          <cell r="C5303">
            <v>203</v>
          </cell>
          <cell r="D5303">
            <v>11</v>
          </cell>
          <cell r="E5303" t="str">
            <v>OPERATING SURPLUS, GROSS</v>
          </cell>
          <cell r="F5303">
            <v>12</v>
          </cell>
          <cell r="G5303">
            <v>2002</v>
          </cell>
          <cell r="H5303">
            <v>100</v>
          </cell>
          <cell r="I5303">
            <v>169001000000</v>
          </cell>
        </row>
        <row r="5304">
          <cell r="A5304" t="str">
            <v>Israel</v>
          </cell>
          <cell r="B5304">
            <v>376</v>
          </cell>
          <cell r="C5304">
            <v>203</v>
          </cell>
          <cell r="D5304">
            <v>11</v>
          </cell>
          <cell r="E5304" t="str">
            <v>OPERATING SURPLUS, GROSS</v>
          </cell>
          <cell r="F5304">
            <v>12</v>
          </cell>
          <cell r="G5304">
            <v>2003</v>
          </cell>
          <cell r="H5304">
            <v>100</v>
          </cell>
          <cell r="I5304">
            <v>176174000000</v>
          </cell>
        </row>
        <row r="5305">
          <cell r="A5305" t="str">
            <v>Denmark</v>
          </cell>
          <cell r="B5305">
            <v>208</v>
          </cell>
          <cell r="C5305">
            <v>203</v>
          </cell>
          <cell r="D5305">
            <v>4</v>
          </cell>
          <cell r="E5305" t="str">
            <v>Compensation of employees</v>
          </cell>
          <cell r="F5305">
            <v>12</v>
          </cell>
          <cell r="G5305">
            <v>1966</v>
          </cell>
          <cell r="H5305">
            <v>100</v>
          </cell>
          <cell r="I5305">
            <v>41223000000</v>
          </cell>
        </row>
        <row r="5306">
          <cell r="A5306" t="str">
            <v>Denmark</v>
          </cell>
          <cell r="B5306">
            <v>208</v>
          </cell>
          <cell r="C5306">
            <v>203</v>
          </cell>
          <cell r="D5306">
            <v>4</v>
          </cell>
          <cell r="E5306" t="str">
            <v>Compensation of employees</v>
          </cell>
          <cell r="F5306">
            <v>12</v>
          </cell>
          <cell r="G5306">
            <v>1967</v>
          </cell>
          <cell r="H5306">
            <v>100</v>
          </cell>
          <cell r="I5306">
            <v>45830000000</v>
          </cell>
        </row>
        <row r="5307">
          <cell r="A5307" t="str">
            <v>Denmark</v>
          </cell>
          <cell r="B5307">
            <v>208</v>
          </cell>
          <cell r="C5307">
            <v>203</v>
          </cell>
          <cell r="D5307">
            <v>4</v>
          </cell>
          <cell r="E5307" t="str">
            <v>Compensation of employees</v>
          </cell>
          <cell r="F5307">
            <v>12</v>
          </cell>
          <cell r="G5307">
            <v>1968</v>
          </cell>
          <cell r="H5307">
            <v>100</v>
          </cell>
          <cell r="I5307">
            <v>50982000000</v>
          </cell>
        </row>
        <row r="5308">
          <cell r="A5308" t="str">
            <v>Denmark</v>
          </cell>
          <cell r="B5308">
            <v>208</v>
          </cell>
          <cell r="C5308">
            <v>203</v>
          </cell>
          <cell r="D5308">
            <v>4</v>
          </cell>
          <cell r="E5308" t="str">
            <v>Compensation of employees</v>
          </cell>
          <cell r="F5308">
            <v>12</v>
          </cell>
          <cell r="G5308">
            <v>1969</v>
          </cell>
          <cell r="H5308">
            <v>100</v>
          </cell>
          <cell r="I5308">
            <v>58106000000</v>
          </cell>
        </row>
        <row r="5309">
          <cell r="A5309" t="str">
            <v>Denmark</v>
          </cell>
          <cell r="B5309">
            <v>208</v>
          </cell>
          <cell r="C5309">
            <v>203</v>
          </cell>
          <cell r="D5309">
            <v>4</v>
          </cell>
          <cell r="E5309" t="str">
            <v>Compensation of employees</v>
          </cell>
          <cell r="F5309">
            <v>12</v>
          </cell>
          <cell r="G5309">
            <v>1970</v>
          </cell>
          <cell r="H5309">
            <v>100</v>
          </cell>
          <cell r="I5309">
            <v>65710000000</v>
          </cell>
        </row>
        <row r="5310">
          <cell r="A5310" t="str">
            <v>Denmark</v>
          </cell>
          <cell r="B5310">
            <v>208</v>
          </cell>
          <cell r="C5310">
            <v>203</v>
          </cell>
          <cell r="D5310">
            <v>4</v>
          </cell>
          <cell r="E5310" t="str">
            <v>Compensation of employees</v>
          </cell>
          <cell r="F5310">
            <v>12</v>
          </cell>
          <cell r="G5310">
            <v>1971</v>
          </cell>
          <cell r="H5310">
            <v>100</v>
          </cell>
          <cell r="I5310">
            <v>73779000000</v>
          </cell>
        </row>
        <row r="5311">
          <cell r="A5311" t="str">
            <v>Denmark</v>
          </cell>
          <cell r="B5311">
            <v>208</v>
          </cell>
          <cell r="C5311">
            <v>203</v>
          </cell>
          <cell r="D5311">
            <v>4</v>
          </cell>
          <cell r="E5311" t="str">
            <v>Compensation of employees</v>
          </cell>
          <cell r="F5311">
            <v>12</v>
          </cell>
          <cell r="G5311">
            <v>1972</v>
          </cell>
          <cell r="H5311">
            <v>100</v>
          </cell>
          <cell r="I5311">
            <v>82020000000</v>
          </cell>
        </row>
        <row r="5312">
          <cell r="A5312" t="str">
            <v>Denmark</v>
          </cell>
          <cell r="B5312">
            <v>208</v>
          </cell>
          <cell r="C5312">
            <v>203</v>
          </cell>
          <cell r="D5312">
            <v>4</v>
          </cell>
          <cell r="E5312" t="str">
            <v>Compensation of employees</v>
          </cell>
          <cell r="F5312">
            <v>12</v>
          </cell>
          <cell r="G5312">
            <v>1973</v>
          </cell>
          <cell r="H5312">
            <v>100</v>
          </cell>
          <cell r="I5312">
            <v>94649000000</v>
          </cell>
        </row>
        <row r="5313">
          <cell r="A5313" t="str">
            <v>Denmark</v>
          </cell>
          <cell r="B5313">
            <v>208</v>
          </cell>
          <cell r="C5313">
            <v>203</v>
          </cell>
          <cell r="D5313">
            <v>4</v>
          </cell>
          <cell r="E5313" t="str">
            <v>Compensation of employees</v>
          </cell>
          <cell r="F5313">
            <v>12</v>
          </cell>
          <cell r="G5313">
            <v>1974</v>
          </cell>
          <cell r="H5313">
            <v>100</v>
          </cell>
          <cell r="I5313">
            <v>111608000000</v>
          </cell>
        </row>
        <row r="5314">
          <cell r="A5314" t="str">
            <v>Denmark</v>
          </cell>
          <cell r="B5314">
            <v>208</v>
          </cell>
          <cell r="C5314">
            <v>203</v>
          </cell>
          <cell r="D5314">
            <v>4</v>
          </cell>
          <cell r="E5314" t="str">
            <v>Compensation of employees</v>
          </cell>
          <cell r="F5314">
            <v>12</v>
          </cell>
          <cell r="G5314">
            <v>1975</v>
          </cell>
          <cell r="H5314">
            <v>100</v>
          </cell>
          <cell r="I5314">
            <v>126287000000</v>
          </cell>
        </row>
        <row r="5315">
          <cell r="A5315" t="str">
            <v>Denmark</v>
          </cell>
          <cell r="B5315">
            <v>208</v>
          </cell>
          <cell r="C5315">
            <v>203</v>
          </cell>
          <cell r="D5315">
            <v>4</v>
          </cell>
          <cell r="E5315" t="str">
            <v>Compensation of employees</v>
          </cell>
          <cell r="F5315">
            <v>12</v>
          </cell>
          <cell r="G5315">
            <v>1976</v>
          </cell>
          <cell r="H5315">
            <v>100</v>
          </cell>
          <cell r="I5315">
            <v>144663000000</v>
          </cell>
        </row>
        <row r="5316">
          <cell r="A5316" t="str">
            <v>Denmark</v>
          </cell>
          <cell r="B5316">
            <v>208</v>
          </cell>
          <cell r="C5316">
            <v>203</v>
          </cell>
          <cell r="D5316">
            <v>4</v>
          </cell>
          <cell r="E5316" t="str">
            <v>Compensation of employees</v>
          </cell>
          <cell r="F5316">
            <v>12</v>
          </cell>
          <cell r="G5316">
            <v>1977</v>
          </cell>
          <cell r="H5316">
            <v>100</v>
          </cell>
          <cell r="I5316">
            <v>159246000000</v>
          </cell>
        </row>
        <row r="5317">
          <cell r="A5317" t="str">
            <v>Denmark</v>
          </cell>
          <cell r="B5317">
            <v>208</v>
          </cell>
          <cell r="C5317">
            <v>203</v>
          </cell>
          <cell r="D5317">
            <v>4</v>
          </cell>
          <cell r="E5317" t="str">
            <v>Compensation of employees</v>
          </cell>
          <cell r="F5317">
            <v>12</v>
          </cell>
          <cell r="G5317">
            <v>1978</v>
          </cell>
          <cell r="H5317">
            <v>100</v>
          </cell>
          <cell r="I5317">
            <v>176908000000</v>
          </cell>
        </row>
        <row r="5318">
          <cell r="A5318" t="str">
            <v>Denmark</v>
          </cell>
          <cell r="B5318">
            <v>208</v>
          </cell>
          <cell r="C5318">
            <v>203</v>
          </cell>
          <cell r="D5318">
            <v>4</v>
          </cell>
          <cell r="E5318" t="str">
            <v>Compensation of employees</v>
          </cell>
          <cell r="F5318">
            <v>12</v>
          </cell>
          <cell r="G5318">
            <v>1979</v>
          </cell>
          <cell r="H5318">
            <v>100</v>
          </cell>
          <cell r="I5318">
            <v>198019000000</v>
          </cell>
        </row>
        <row r="5319">
          <cell r="A5319" t="str">
            <v>Denmark</v>
          </cell>
          <cell r="B5319">
            <v>208</v>
          </cell>
          <cell r="C5319">
            <v>203</v>
          </cell>
          <cell r="D5319">
            <v>4</v>
          </cell>
          <cell r="E5319" t="str">
            <v>Compensation of employees</v>
          </cell>
          <cell r="F5319">
            <v>12</v>
          </cell>
          <cell r="G5319">
            <v>1980</v>
          </cell>
          <cell r="H5319">
            <v>100</v>
          </cell>
          <cell r="I5319">
            <v>218580000000</v>
          </cell>
        </row>
        <row r="5320">
          <cell r="A5320" t="str">
            <v>Denmark</v>
          </cell>
          <cell r="B5320">
            <v>208</v>
          </cell>
          <cell r="C5320">
            <v>203</v>
          </cell>
          <cell r="D5320">
            <v>4</v>
          </cell>
          <cell r="E5320" t="str">
            <v>Compensation of employees</v>
          </cell>
          <cell r="F5320">
            <v>12</v>
          </cell>
          <cell r="G5320">
            <v>1981</v>
          </cell>
          <cell r="H5320">
            <v>100</v>
          </cell>
          <cell r="I5320">
            <v>236917000000</v>
          </cell>
        </row>
        <row r="5321">
          <cell r="A5321" t="str">
            <v>Denmark</v>
          </cell>
          <cell r="B5321">
            <v>208</v>
          </cell>
          <cell r="C5321">
            <v>203</v>
          </cell>
          <cell r="D5321">
            <v>4</v>
          </cell>
          <cell r="E5321" t="str">
            <v>Compensation of employees</v>
          </cell>
          <cell r="F5321">
            <v>12</v>
          </cell>
          <cell r="G5321">
            <v>1982</v>
          </cell>
          <cell r="H5321">
            <v>100</v>
          </cell>
          <cell r="I5321">
            <v>267885000000</v>
          </cell>
        </row>
        <row r="5322">
          <cell r="A5322" t="str">
            <v>Denmark</v>
          </cell>
          <cell r="B5322">
            <v>208</v>
          </cell>
          <cell r="C5322">
            <v>203</v>
          </cell>
          <cell r="D5322">
            <v>4</v>
          </cell>
          <cell r="E5322" t="str">
            <v>Compensation of employees</v>
          </cell>
          <cell r="F5322">
            <v>12</v>
          </cell>
          <cell r="G5322">
            <v>1983</v>
          </cell>
          <cell r="H5322">
            <v>100</v>
          </cell>
          <cell r="I5322">
            <v>292801000000</v>
          </cell>
        </row>
        <row r="5323">
          <cell r="A5323" t="str">
            <v>Denmark</v>
          </cell>
          <cell r="B5323">
            <v>208</v>
          </cell>
          <cell r="C5323">
            <v>203</v>
          </cell>
          <cell r="D5323">
            <v>4</v>
          </cell>
          <cell r="E5323" t="str">
            <v>Compensation of employees</v>
          </cell>
          <cell r="F5323">
            <v>12</v>
          </cell>
          <cell r="G5323">
            <v>1984</v>
          </cell>
          <cell r="H5323">
            <v>100</v>
          </cell>
          <cell r="I5323">
            <v>317034000000</v>
          </cell>
        </row>
        <row r="5324">
          <cell r="A5324" t="str">
            <v>Denmark</v>
          </cell>
          <cell r="B5324">
            <v>208</v>
          </cell>
          <cell r="C5324">
            <v>203</v>
          </cell>
          <cell r="D5324">
            <v>4</v>
          </cell>
          <cell r="E5324" t="str">
            <v>Compensation of employees</v>
          </cell>
          <cell r="F5324">
            <v>12</v>
          </cell>
          <cell r="G5324">
            <v>1985</v>
          </cell>
          <cell r="H5324">
            <v>100</v>
          </cell>
          <cell r="I5324">
            <v>343406000000</v>
          </cell>
        </row>
        <row r="5325">
          <cell r="A5325" t="str">
            <v>Denmark</v>
          </cell>
          <cell r="B5325">
            <v>208</v>
          </cell>
          <cell r="C5325">
            <v>203</v>
          </cell>
          <cell r="D5325">
            <v>4</v>
          </cell>
          <cell r="E5325" t="str">
            <v>Compensation of employees</v>
          </cell>
          <cell r="F5325">
            <v>12</v>
          </cell>
          <cell r="G5325">
            <v>1986</v>
          </cell>
          <cell r="H5325">
            <v>100</v>
          </cell>
          <cell r="I5325">
            <v>370534000000</v>
          </cell>
        </row>
        <row r="5326">
          <cell r="A5326" t="str">
            <v>Denmark</v>
          </cell>
          <cell r="B5326">
            <v>208</v>
          </cell>
          <cell r="C5326">
            <v>203</v>
          </cell>
          <cell r="D5326">
            <v>4</v>
          </cell>
          <cell r="E5326" t="str">
            <v>Compensation of employees</v>
          </cell>
          <cell r="F5326">
            <v>12</v>
          </cell>
          <cell r="G5326">
            <v>1987</v>
          </cell>
          <cell r="H5326">
            <v>100</v>
          </cell>
          <cell r="I5326">
            <v>404526000000</v>
          </cell>
        </row>
        <row r="5327">
          <cell r="A5327" t="str">
            <v>Denmark</v>
          </cell>
          <cell r="B5327">
            <v>208</v>
          </cell>
          <cell r="C5327">
            <v>203</v>
          </cell>
          <cell r="D5327">
            <v>4</v>
          </cell>
          <cell r="E5327" t="str">
            <v>Compensation of employees</v>
          </cell>
          <cell r="F5327">
            <v>12</v>
          </cell>
          <cell r="G5327">
            <v>1988</v>
          </cell>
          <cell r="H5327">
            <v>100</v>
          </cell>
          <cell r="I5327">
            <v>424999000000</v>
          </cell>
        </row>
        <row r="5328">
          <cell r="A5328" t="str">
            <v>Denmark</v>
          </cell>
          <cell r="B5328">
            <v>208</v>
          </cell>
          <cell r="C5328">
            <v>203</v>
          </cell>
          <cell r="D5328">
            <v>4</v>
          </cell>
          <cell r="E5328" t="str">
            <v>Compensation of employees</v>
          </cell>
          <cell r="F5328">
            <v>12</v>
          </cell>
          <cell r="G5328">
            <v>1989</v>
          </cell>
          <cell r="H5328">
            <v>100</v>
          </cell>
          <cell r="I5328">
            <v>441382000000</v>
          </cell>
        </row>
        <row r="5329">
          <cell r="A5329" t="str">
            <v>Denmark</v>
          </cell>
          <cell r="B5329">
            <v>208</v>
          </cell>
          <cell r="C5329">
            <v>203</v>
          </cell>
          <cell r="D5329">
            <v>4</v>
          </cell>
          <cell r="E5329" t="str">
            <v>Compensation of employees</v>
          </cell>
          <cell r="F5329">
            <v>12</v>
          </cell>
          <cell r="G5329">
            <v>1990</v>
          </cell>
          <cell r="H5329">
            <v>100</v>
          </cell>
          <cell r="I5329">
            <v>458389000000</v>
          </cell>
        </row>
        <row r="5330">
          <cell r="A5330" t="str">
            <v>Denmark</v>
          </cell>
          <cell r="B5330">
            <v>208</v>
          </cell>
          <cell r="C5330">
            <v>203</v>
          </cell>
          <cell r="D5330">
            <v>4</v>
          </cell>
          <cell r="E5330" t="str">
            <v>Compensation of employees</v>
          </cell>
          <cell r="F5330">
            <v>12</v>
          </cell>
          <cell r="G5330">
            <v>1991</v>
          </cell>
          <cell r="H5330">
            <v>100</v>
          </cell>
          <cell r="I5330">
            <v>473555000000</v>
          </cell>
        </row>
        <row r="5331">
          <cell r="A5331" t="str">
            <v>Denmark</v>
          </cell>
          <cell r="B5331">
            <v>208</v>
          </cell>
          <cell r="C5331">
            <v>203</v>
          </cell>
          <cell r="D5331">
            <v>4</v>
          </cell>
          <cell r="E5331" t="str">
            <v>Compensation of employees</v>
          </cell>
          <cell r="F5331">
            <v>12</v>
          </cell>
          <cell r="G5331">
            <v>1992</v>
          </cell>
          <cell r="H5331">
            <v>100</v>
          </cell>
          <cell r="I5331">
            <v>487620000000</v>
          </cell>
        </row>
        <row r="5332">
          <cell r="A5332" t="str">
            <v>Denmark</v>
          </cell>
          <cell r="B5332">
            <v>208</v>
          </cell>
          <cell r="C5332">
            <v>203</v>
          </cell>
          <cell r="D5332">
            <v>4</v>
          </cell>
          <cell r="E5332" t="str">
            <v>Compensation of employees</v>
          </cell>
          <cell r="F5332">
            <v>12</v>
          </cell>
          <cell r="G5332">
            <v>1993</v>
          </cell>
          <cell r="H5332">
            <v>100</v>
          </cell>
          <cell r="I5332">
            <v>492177000000</v>
          </cell>
        </row>
        <row r="5333">
          <cell r="A5333" t="str">
            <v>Denmark</v>
          </cell>
          <cell r="B5333">
            <v>208</v>
          </cell>
          <cell r="C5333">
            <v>203</v>
          </cell>
          <cell r="D5333">
            <v>4</v>
          </cell>
          <cell r="E5333" t="str">
            <v>Compensation of employees</v>
          </cell>
          <cell r="F5333">
            <v>12</v>
          </cell>
          <cell r="G5333">
            <v>1994</v>
          </cell>
          <cell r="H5333">
            <v>100</v>
          </cell>
          <cell r="I5333">
            <v>509916000000</v>
          </cell>
        </row>
        <row r="5334">
          <cell r="A5334" t="str">
            <v>Denmark</v>
          </cell>
          <cell r="B5334">
            <v>208</v>
          </cell>
          <cell r="C5334">
            <v>203</v>
          </cell>
          <cell r="D5334">
            <v>4</v>
          </cell>
          <cell r="E5334" t="str">
            <v>Compensation of employees</v>
          </cell>
          <cell r="F5334">
            <v>12</v>
          </cell>
          <cell r="G5334">
            <v>1995</v>
          </cell>
          <cell r="H5334">
            <v>100</v>
          </cell>
          <cell r="I5334">
            <v>534094000000</v>
          </cell>
        </row>
        <row r="5335">
          <cell r="A5335" t="str">
            <v>Denmark</v>
          </cell>
          <cell r="B5335">
            <v>208</v>
          </cell>
          <cell r="C5335">
            <v>203</v>
          </cell>
          <cell r="D5335">
            <v>4</v>
          </cell>
          <cell r="E5335" t="str">
            <v>Compensation of employees</v>
          </cell>
          <cell r="F5335">
            <v>12</v>
          </cell>
          <cell r="G5335">
            <v>1996</v>
          </cell>
          <cell r="H5335">
            <v>100</v>
          </cell>
          <cell r="I5335">
            <v>560676000000</v>
          </cell>
        </row>
        <row r="5336">
          <cell r="A5336" t="str">
            <v>Denmark</v>
          </cell>
          <cell r="B5336">
            <v>208</v>
          </cell>
          <cell r="C5336">
            <v>203</v>
          </cell>
          <cell r="D5336">
            <v>4</v>
          </cell>
          <cell r="E5336" t="str">
            <v>Compensation of employees</v>
          </cell>
          <cell r="F5336">
            <v>12</v>
          </cell>
          <cell r="G5336">
            <v>1997</v>
          </cell>
          <cell r="H5336">
            <v>100</v>
          </cell>
          <cell r="I5336">
            <v>590122000000</v>
          </cell>
        </row>
        <row r="5337">
          <cell r="A5337" t="str">
            <v>Denmark</v>
          </cell>
          <cell r="B5337">
            <v>208</v>
          </cell>
          <cell r="C5337">
            <v>203</v>
          </cell>
          <cell r="D5337">
            <v>4</v>
          </cell>
          <cell r="E5337" t="str">
            <v>Compensation of employees</v>
          </cell>
          <cell r="F5337">
            <v>12</v>
          </cell>
          <cell r="G5337">
            <v>1998</v>
          </cell>
          <cell r="H5337">
            <v>100</v>
          </cell>
          <cell r="I5337">
            <v>624862000000</v>
          </cell>
        </row>
        <row r="5338">
          <cell r="A5338" t="str">
            <v>Denmark</v>
          </cell>
          <cell r="B5338">
            <v>208</v>
          </cell>
          <cell r="C5338">
            <v>203</v>
          </cell>
          <cell r="D5338">
            <v>4</v>
          </cell>
          <cell r="E5338" t="str">
            <v>Compensation of employees</v>
          </cell>
          <cell r="F5338">
            <v>12</v>
          </cell>
          <cell r="G5338">
            <v>1999</v>
          </cell>
          <cell r="H5338">
            <v>100</v>
          </cell>
          <cell r="I5338">
            <v>654853000000</v>
          </cell>
        </row>
        <row r="5339">
          <cell r="A5339" t="str">
            <v>Denmark</v>
          </cell>
          <cell r="B5339">
            <v>208</v>
          </cell>
          <cell r="C5339">
            <v>203</v>
          </cell>
          <cell r="D5339">
            <v>4</v>
          </cell>
          <cell r="E5339" t="str">
            <v>Compensation of employees</v>
          </cell>
          <cell r="F5339">
            <v>12</v>
          </cell>
          <cell r="G5339">
            <v>2000</v>
          </cell>
          <cell r="H5339">
            <v>100</v>
          </cell>
          <cell r="I5339">
            <v>682863000000</v>
          </cell>
        </row>
        <row r="5340">
          <cell r="A5340" t="str">
            <v>Denmark</v>
          </cell>
          <cell r="B5340">
            <v>208</v>
          </cell>
          <cell r="C5340">
            <v>203</v>
          </cell>
          <cell r="D5340">
            <v>4</v>
          </cell>
          <cell r="E5340" t="str">
            <v>Compensation of employees</v>
          </cell>
          <cell r="F5340">
            <v>12</v>
          </cell>
          <cell r="G5340">
            <v>2001</v>
          </cell>
          <cell r="H5340">
            <v>100</v>
          </cell>
          <cell r="I5340">
            <v>720610000000</v>
          </cell>
        </row>
        <row r="5341">
          <cell r="A5341" t="str">
            <v>Denmark</v>
          </cell>
          <cell r="B5341">
            <v>208</v>
          </cell>
          <cell r="C5341">
            <v>203</v>
          </cell>
          <cell r="D5341">
            <v>4</v>
          </cell>
          <cell r="E5341" t="str">
            <v>Compensation of employees</v>
          </cell>
          <cell r="F5341">
            <v>12</v>
          </cell>
          <cell r="G5341">
            <v>2002</v>
          </cell>
          <cell r="H5341">
            <v>100</v>
          </cell>
          <cell r="I5341">
            <v>742858000000</v>
          </cell>
        </row>
        <row r="5342">
          <cell r="A5342" t="str">
            <v>Israel</v>
          </cell>
          <cell r="B5342">
            <v>376</v>
          </cell>
          <cell r="C5342">
            <v>203</v>
          </cell>
          <cell r="D5342">
            <v>22</v>
          </cell>
          <cell r="E5342" t="str">
            <v>Taxes on production and imports, less Subsidies</v>
          </cell>
          <cell r="F5342">
            <v>12</v>
          </cell>
          <cell r="G5342">
            <v>1995</v>
          </cell>
          <cell r="H5342">
            <v>100</v>
          </cell>
          <cell r="I5342">
            <v>12534000000</v>
          </cell>
        </row>
        <row r="5343">
          <cell r="A5343" t="str">
            <v>Israel</v>
          </cell>
          <cell r="B5343">
            <v>376</v>
          </cell>
          <cell r="C5343">
            <v>203</v>
          </cell>
          <cell r="D5343">
            <v>22</v>
          </cell>
          <cell r="E5343" t="str">
            <v>Taxes on production and imports, less Subsidies</v>
          </cell>
          <cell r="F5343">
            <v>12</v>
          </cell>
          <cell r="G5343">
            <v>1996</v>
          </cell>
          <cell r="H5343">
            <v>100</v>
          </cell>
          <cell r="I5343">
            <v>15204000000</v>
          </cell>
        </row>
        <row r="5344">
          <cell r="A5344" t="str">
            <v>Israel</v>
          </cell>
          <cell r="B5344">
            <v>376</v>
          </cell>
          <cell r="C5344">
            <v>203</v>
          </cell>
          <cell r="D5344">
            <v>22</v>
          </cell>
          <cell r="E5344" t="str">
            <v>Taxes on production and imports, less Subsidies</v>
          </cell>
          <cell r="F5344">
            <v>12</v>
          </cell>
          <cell r="G5344">
            <v>1997</v>
          </cell>
          <cell r="H5344">
            <v>100</v>
          </cell>
          <cell r="I5344">
            <v>17517000000</v>
          </cell>
        </row>
        <row r="5345">
          <cell r="A5345" t="str">
            <v>Israel</v>
          </cell>
          <cell r="B5345">
            <v>376</v>
          </cell>
          <cell r="C5345">
            <v>203</v>
          </cell>
          <cell r="D5345">
            <v>22</v>
          </cell>
          <cell r="E5345" t="str">
            <v>Taxes on production and imports, less Subsidies</v>
          </cell>
          <cell r="F5345">
            <v>12</v>
          </cell>
          <cell r="G5345">
            <v>1998</v>
          </cell>
          <cell r="H5345">
            <v>100</v>
          </cell>
          <cell r="I5345">
            <v>19382000000</v>
          </cell>
        </row>
        <row r="5346">
          <cell r="A5346" t="str">
            <v>Israel</v>
          </cell>
          <cell r="B5346">
            <v>376</v>
          </cell>
          <cell r="C5346">
            <v>203</v>
          </cell>
          <cell r="D5346">
            <v>22</v>
          </cell>
          <cell r="E5346" t="str">
            <v>Taxes on production and imports, less Subsidies</v>
          </cell>
          <cell r="F5346">
            <v>12</v>
          </cell>
          <cell r="G5346">
            <v>1999</v>
          </cell>
          <cell r="H5346">
            <v>100</v>
          </cell>
          <cell r="I5346">
            <v>21691000000</v>
          </cell>
        </row>
        <row r="5347">
          <cell r="A5347" t="str">
            <v>Israel</v>
          </cell>
          <cell r="B5347">
            <v>376</v>
          </cell>
          <cell r="C5347">
            <v>203</v>
          </cell>
          <cell r="D5347">
            <v>22</v>
          </cell>
          <cell r="E5347" t="str">
            <v>Taxes on production and imports, less Subsidies</v>
          </cell>
          <cell r="F5347">
            <v>12</v>
          </cell>
          <cell r="G5347">
            <v>2000</v>
          </cell>
          <cell r="H5347">
            <v>100</v>
          </cell>
          <cell r="I5347">
            <v>22528000000</v>
          </cell>
        </row>
        <row r="5348">
          <cell r="A5348" t="str">
            <v>Israel</v>
          </cell>
          <cell r="B5348">
            <v>376</v>
          </cell>
          <cell r="C5348">
            <v>203</v>
          </cell>
          <cell r="D5348">
            <v>22</v>
          </cell>
          <cell r="E5348" t="str">
            <v>Taxes on production and imports, less Subsidies</v>
          </cell>
          <cell r="F5348">
            <v>12</v>
          </cell>
          <cell r="G5348">
            <v>2001</v>
          </cell>
          <cell r="H5348">
            <v>100</v>
          </cell>
          <cell r="I5348">
            <v>23055000000</v>
          </cell>
        </row>
        <row r="5349">
          <cell r="A5349" t="str">
            <v>Israel</v>
          </cell>
          <cell r="B5349">
            <v>376</v>
          </cell>
          <cell r="C5349">
            <v>203</v>
          </cell>
          <cell r="D5349">
            <v>22</v>
          </cell>
          <cell r="E5349" t="str">
            <v>Taxes on production and imports, less Subsidies</v>
          </cell>
          <cell r="F5349">
            <v>12</v>
          </cell>
          <cell r="G5349">
            <v>2002</v>
          </cell>
          <cell r="H5349">
            <v>100</v>
          </cell>
          <cell r="I5349">
            <v>24440000000</v>
          </cell>
        </row>
        <row r="5350">
          <cell r="A5350" t="str">
            <v>Israel</v>
          </cell>
          <cell r="B5350">
            <v>376</v>
          </cell>
          <cell r="C5350">
            <v>203</v>
          </cell>
          <cell r="D5350">
            <v>22</v>
          </cell>
          <cell r="E5350" t="str">
            <v>Taxes on production and imports, less Subsidies</v>
          </cell>
          <cell r="F5350">
            <v>12</v>
          </cell>
          <cell r="G5350">
            <v>2003</v>
          </cell>
          <cell r="H5350">
            <v>100</v>
          </cell>
          <cell r="I5350">
            <v>24252000000</v>
          </cell>
        </row>
        <row r="5351">
          <cell r="A5351" t="str">
            <v>Jamaica</v>
          </cell>
          <cell r="B5351">
            <v>388</v>
          </cell>
          <cell r="C5351">
            <v>201</v>
          </cell>
          <cell r="D5351">
            <v>13</v>
          </cell>
          <cell r="E5351" t="str">
            <v>Less: Financial intermediation services indirectly measured (FISIM) (only to be deducted if FISIM is not distributed to uses)</v>
          </cell>
          <cell r="F5351">
            <v>0</v>
          </cell>
          <cell r="G5351">
            <v>1969</v>
          </cell>
          <cell r="H5351">
            <v>20</v>
          </cell>
          <cell r="I5351">
            <v>16300000</v>
          </cell>
        </row>
        <row r="5352">
          <cell r="A5352" t="str">
            <v>Jamaica</v>
          </cell>
          <cell r="B5352">
            <v>388</v>
          </cell>
          <cell r="C5352">
            <v>201</v>
          </cell>
          <cell r="D5352">
            <v>13</v>
          </cell>
          <cell r="E5352" t="str">
            <v>Less: Financial intermediation services indirectly measured (FISIM) (only to be deducted if FISIM is not distributed to uses)</v>
          </cell>
          <cell r="F5352">
            <v>0</v>
          </cell>
          <cell r="G5352">
            <v>1970</v>
          </cell>
          <cell r="H5352">
            <v>20</v>
          </cell>
          <cell r="I5352">
            <v>20400000</v>
          </cell>
        </row>
        <row r="5353">
          <cell r="A5353" t="str">
            <v>Jamaica</v>
          </cell>
          <cell r="B5353">
            <v>388</v>
          </cell>
          <cell r="C5353">
            <v>201</v>
          </cell>
          <cell r="D5353">
            <v>13</v>
          </cell>
          <cell r="E5353" t="str">
            <v>Less: Financial intermediation services indirectly measured (FISIM) (only to be deducted if FISIM is not distributed to uses)</v>
          </cell>
          <cell r="F5353">
            <v>0</v>
          </cell>
          <cell r="G5353">
            <v>1971</v>
          </cell>
          <cell r="H5353">
            <v>20</v>
          </cell>
          <cell r="I5353">
            <v>23500000</v>
          </cell>
        </row>
        <row r="5354">
          <cell r="A5354" t="str">
            <v>Jamaica</v>
          </cell>
          <cell r="B5354">
            <v>388</v>
          </cell>
          <cell r="C5354">
            <v>201</v>
          </cell>
          <cell r="D5354">
            <v>13</v>
          </cell>
          <cell r="E5354" t="str">
            <v>Less: Financial intermediation services indirectly measured (FISIM) (only to be deducted if FISIM is not distributed to uses)</v>
          </cell>
          <cell r="F5354">
            <v>0</v>
          </cell>
          <cell r="G5354">
            <v>1972</v>
          </cell>
          <cell r="H5354">
            <v>20</v>
          </cell>
          <cell r="I5354">
            <v>31200000</v>
          </cell>
        </row>
        <row r="5355">
          <cell r="A5355" t="str">
            <v>Jamaica</v>
          </cell>
          <cell r="B5355">
            <v>388</v>
          </cell>
          <cell r="C5355">
            <v>201</v>
          </cell>
          <cell r="D5355">
            <v>13</v>
          </cell>
          <cell r="E5355" t="str">
            <v>Less: Financial intermediation services indirectly measured (FISIM) (only to be deducted if FISIM is not distributed to uses)</v>
          </cell>
          <cell r="F5355">
            <v>0</v>
          </cell>
          <cell r="G5355">
            <v>1973</v>
          </cell>
          <cell r="H5355">
            <v>20</v>
          </cell>
          <cell r="I5355">
            <v>40100000</v>
          </cell>
        </row>
        <row r="5356">
          <cell r="A5356" t="str">
            <v>Jamaica</v>
          </cell>
          <cell r="B5356">
            <v>388</v>
          </cell>
          <cell r="C5356">
            <v>201</v>
          </cell>
          <cell r="D5356">
            <v>13</v>
          </cell>
          <cell r="E5356" t="str">
            <v>Less: Financial intermediation services indirectly measured (FISIM) (only to be deducted if FISIM is not distributed to uses)</v>
          </cell>
          <cell r="F5356">
            <v>0</v>
          </cell>
          <cell r="G5356">
            <v>1974</v>
          </cell>
          <cell r="H5356">
            <v>20</v>
          </cell>
          <cell r="I5356">
            <v>54000000</v>
          </cell>
        </row>
        <row r="5357">
          <cell r="A5357" t="str">
            <v>Jamaica</v>
          </cell>
          <cell r="B5357">
            <v>388</v>
          </cell>
          <cell r="C5357">
            <v>201</v>
          </cell>
          <cell r="D5357">
            <v>13</v>
          </cell>
          <cell r="E5357" t="str">
            <v>Less: Financial intermediation services indirectly measured (FISIM) (only to be deducted if FISIM is not distributed to uses)</v>
          </cell>
          <cell r="F5357">
            <v>0</v>
          </cell>
          <cell r="G5357">
            <v>1975</v>
          </cell>
          <cell r="H5357">
            <v>20</v>
          </cell>
          <cell r="I5357">
            <v>67400000</v>
          </cell>
        </row>
        <row r="5358">
          <cell r="A5358" t="str">
            <v>Jamaica</v>
          </cell>
          <cell r="B5358">
            <v>388</v>
          </cell>
          <cell r="C5358">
            <v>201</v>
          </cell>
          <cell r="D5358">
            <v>13</v>
          </cell>
          <cell r="E5358" t="str">
            <v>Less: Financial intermediation services indirectly measured (FISIM) (only to be deducted if FISIM is not distributed to uses)</v>
          </cell>
          <cell r="F5358">
            <v>0</v>
          </cell>
          <cell r="G5358">
            <v>1976</v>
          </cell>
          <cell r="H5358">
            <v>20</v>
          </cell>
          <cell r="I5358">
            <v>62400000</v>
          </cell>
        </row>
        <row r="5359">
          <cell r="A5359" t="str">
            <v>Jamaica</v>
          </cell>
          <cell r="B5359">
            <v>388</v>
          </cell>
          <cell r="C5359">
            <v>201</v>
          </cell>
          <cell r="D5359">
            <v>13</v>
          </cell>
          <cell r="E5359" t="str">
            <v>Less: Financial intermediation services indirectly measured (FISIM) (only to be deducted if FISIM is not distributed to uses)</v>
          </cell>
          <cell r="F5359">
            <v>0</v>
          </cell>
          <cell r="G5359">
            <v>1977</v>
          </cell>
          <cell r="H5359">
            <v>20</v>
          </cell>
          <cell r="I5359">
            <v>64600000</v>
          </cell>
        </row>
        <row r="5360">
          <cell r="A5360" t="str">
            <v>Jamaica</v>
          </cell>
          <cell r="B5360">
            <v>388</v>
          </cell>
          <cell r="C5360">
            <v>201</v>
          </cell>
          <cell r="D5360">
            <v>13</v>
          </cell>
          <cell r="E5360" t="str">
            <v>Less: Financial intermediation services indirectly measured (FISIM) (only to be deducted if FISIM is not distributed to uses)</v>
          </cell>
          <cell r="F5360">
            <v>0</v>
          </cell>
          <cell r="G5360">
            <v>1978</v>
          </cell>
          <cell r="H5360">
            <v>20</v>
          </cell>
          <cell r="I5360">
            <v>92500000</v>
          </cell>
        </row>
        <row r="5361">
          <cell r="A5361" t="str">
            <v>Jamaica</v>
          </cell>
          <cell r="B5361">
            <v>388</v>
          </cell>
          <cell r="C5361">
            <v>201</v>
          </cell>
          <cell r="D5361">
            <v>13</v>
          </cell>
          <cell r="E5361" t="str">
            <v>Less: Financial intermediation services indirectly measured (FISIM) (only to be deducted if FISIM is not distributed to uses)</v>
          </cell>
          <cell r="F5361">
            <v>0</v>
          </cell>
          <cell r="G5361">
            <v>1979</v>
          </cell>
          <cell r="H5361">
            <v>20</v>
          </cell>
          <cell r="I5361">
            <v>118200000</v>
          </cell>
        </row>
        <row r="5362">
          <cell r="A5362" t="str">
            <v>Jamaica</v>
          </cell>
          <cell r="B5362">
            <v>388</v>
          </cell>
          <cell r="C5362">
            <v>201</v>
          </cell>
          <cell r="D5362">
            <v>13</v>
          </cell>
          <cell r="E5362" t="str">
            <v>Less: Financial intermediation services indirectly measured (FISIM) (only to be deducted if FISIM is not distributed to uses)</v>
          </cell>
          <cell r="F5362">
            <v>0</v>
          </cell>
          <cell r="G5362">
            <v>1980</v>
          </cell>
          <cell r="H5362">
            <v>20</v>
          </cell>
          <cell r="I5362">
            <v>155800000</v>
          </cell>
        </row>
        <row r="5363">
          <cell r="A5363" t="str">
            <v>Jamaica</v>
          </cell>
          <cell r="B5363">
            <v>388</v>
          </cell>
          <cell r="C5363">
            <v>201</v>
          </cell>
          <cell r="D5363">
            <v>13</v>
          </cell>
          <cell r="E5363" t="str">
            <v>Less: Financial intermediation services indirectly measured (FISIM) (only to be deducted if FISIM is not distributed to uses)</v>
          </cell>
          <cell r="F5363">
            <v>0</v>
          </cell>
          <cell r="G5363">
            <v>1981</v>
          </cell>
          <cell r="H5363">
            <v>20</v>
          </cell>
          <cell r="I5363">
            <v>206300000</v>
          </cell>
        </row>
        <row r="5364">
          <cell r="A5364" t="str">
            <v>Jamaica</v>
          </cell>
          <cell r="B5364">
            <v>388</v>
          </cell>
          <cell r="C5364">
            <v>201</v>
          </cell>
          <cell r="D5364">
            <v>13</v>
          </cell>
          <cell r="E5364" t="str">
            <v>Less: Financial intermediation services indirectly measured (FISIM) (only to be deducted if FISIM is not distributed to uses)</v>
          </cell>
          <cell r="F5364">
            <v>0</v>
          </cell>
          <cell r="G5364">
            <v>1982</v>
          </cell>
          <cell r="H5364">
            <v>20</v>
          </cell>
          <cell r="I5364">
            <v>248900000</v>
          </cell>
        </row>
        <row r="5365">
          <cell r="A5365" t="str">
            <v>Jamaica</v>
          </cell>
          <cell r="B5365">
            <v>388</v>
          </cell>
          <cell r="C5365">
            <v>201</v>
          </cell>
          <cell r="D5365">
            <v>13</v>
          </cell>
          <cell r="E5365" t="str">
            <v>Less: Financial intermediation services indirectly measured (FISIM) (only to be deducted if FISIM is not distributed to uses)</v>
          </cell>
          <cell r="F5365">
            <v>0</v>
          </cell>
          <cell r="G5365">
            <v>1983</v>
          </cell>
          <cell r="H5365">
            <v>20</v>
          </cell>
          <cell r="I5365">
            <v>315800000</v>
          </cell>
        </row>
        <row r="5366">
          <cell r="A5366" t="str">
            <v>Jamaica</v>
          </cell>
          <cell r="B5366">
            <v>388</v>
          </cell>
          <cell r="C5366">
            <v>201</v>
          </cell>
          <cell r="D5366">
            <v>13</v>
          </cell>
          <cell r="E5366" t="str">
            <v>Less: Financial intermediation services indirectly measured (FISIM) (only to be deducted if FISIM is not distributed to uses)</v>
          </cell>
          <cell r="F5366">
            <v>0</v>
          </cell>
          <cell r="G5366">
            <v>1984</v>
          </cell>
          <cell r="H5366">
            <v>20</v>
          </cell>
          <cell r="I5366">
            <v>320200000</v>
          </cell>
        </row>
        <row r="5367">
          <cell r="A5367" t="str">
            <v>Jamaica</v>
          </cell>
          <cell r="B5367">
            <v>388</v>
          </cell>
          <cell r="C5367">
            <v>201</v>
          </cell>
          <cell r="D5367">
            <v>13</v>
          </cell>
          <cell r="E5367" t="str">
            <v>Less: Financial intermediation services indirectly measured (FISIM) (only to be deducted if FISIM is not distributed to uses)</v>
          </cell>
          <cell r="F5367">
            <v>0</v>
          </cell>
          <cell r="G5367">
            <v>1985</v>
          </cell>
          <cell r="H5367">
            <v>20</v>
          </cell>
          <cell r="I5367">
            <v>403500000</v>
          </cell>
        </row>
        <row r="5368">
          <cell r="A5368" t="str">
            <v>Jamaica</v>
          </cell>
          <cell r="B5368">
            <v>388</v>
          </cell>
          <cell r="C5368">
            <v>201</v>
          </cell>
          <cell r="D5368">
            <v>13</v>
          </cell>
          <cell r="E5368" t="str">
            <v>Less: Financial intermediation services indirectly measured (FISIM) (only to be deducted if FISIM is not distributed to uses)</v>
          </cell>
          <cell r="F5368">
            <v>0</v>
          </cell>
          <cell r="G5368">
            <v>1986</v>
          </cell>
          <cell r="H5368">
            <v>20</v>
          </cell>
          <cell r="I5368">
            <v>744400000</v>
          </cell>
        </row>
        <row r="5369">
          <cell r="A5369" t="str">
            <v>Jamaica</v>
          </cell>
          <cell r="B5369">
            <v>388</v>
          </cell>
          <cell r="C5369">
            <v>201</v>
          </cell>
          <cell r="D5369">
            <v>13</v>
          </cell>
          <cell r="E5369" t="str">
            <v>Less: Financial intermediation services indirectly measured (FISIM) (only to be deducted if FISIM is not distributed to uses)</v>
          </cell>
          <cell r="F5369">
            <v>0</v>
          </cell>
          <cell r="G5369">
            <v>1987</v>
          </cell>
          <cell r="H5369">
            <v>20</v>
          </cell>
          <cell r="I5369">
            <v>919100000</v>
          </cell>
        </row>
        <row r="5370">
          <cell r="A5370" t="str">
            <v>Jamaica</v>
          </cell>
          <cell r="B5370">
            <v>388</v>
          </cell>
          <cell r="C5370">
            <v>201</v>
          </cell>
          <cell r="D5370">
            <v>13</v>
          </cell>
          <cell r="E5370" t="str">
            <v>Less: Financial intermediation services indirectly measured (FISIM) (only to be deducted if FISIM is not distributed to uses)</v>
          </cell>
          <cell r="F5370">
            <v>0</v>
          </cell>
          <cell r="G5370">
            <v>1988</v>
          </cell>
          <cell r="H5370">
            <v>20</v>
          </cell>
          <cell r="I5370">
            <v>1190500000</v>
          </cell>
        </row>
        <row r="5371">
          <cell r="A5371" t="str">
            <v>Jamaica</v>
          </cell>
          <cell r="B5371">
            <v>388</v>
          </cell>
          <cell r="C5371">
            <v>201</v>
          </cell>
          <cell r="D5371">
            <v>13</v>
          </cell>
          <cell r="E5371" t="str">
            <v>Less: Financial intermediation services indirectly measured (FISIM) (only to be deducted if FISIM is not distributed to uses)</v>
          </cell>
          <cell r="F5371">
            <v>0</v>
          </cell>
          <cell r="G5371">
            <v>1989</v>
          </cell>
          <cell r="H5371">
            <v>20</v>
          </cell>
          <cell r="I5371">
            <v>1529700000</v>
          </cell>
        </row>
        <row r="5372">
          <cell r="A5372" t="str">
            <v>Jamaica</v>
          </cell>
          <cell r="B5372">
            <v>388</v>
          </cell>
          <cell r="C5372">
            <v>201</v>
          </cell>
          <cell r="D5372">
            <v>13</v>
          </cell>
          <cell r="E5372" t="str">
            <v>Less: Financial intermediation services indirectly measured (FISIM) (only to be deducted if FISIM is not distributed to uses)</v>
          </cell>
          <cell r="F5372">
            <v>0</v>
          </cell>
          <cell r="G5372">
            <v>1990</v>
          </cell>
          <cell r="H5372">
            <v>20</v>
          </cell>
          <cell r="I5372">
            <v>2012100000</v>
          </cell>
        </row>
        <row r="5373">
          <cell r="A5373" t="str">
            <v>Jamaica</v>
          </cell>
          <cell r="B5373">
            <v>388</v>
          </cell>
          <cell r="C5373">
            <v>201</v>
          </cell>
          <cell r="D5373">
            <v>13</v>
          </cell>
          <cell r="E5373" t="str">
            <v>Less: Financial intermediation services indirectly measured (FISIM) (only to be deducted if FISIM is not distributed to uses)</v>
          </cell>
          <cell r="F5373">
            <v>0</v>
          </cell>
          <cell r="G5373">
            <v>1990</v>
          </cell>
          <cell r="H5373">
            <v>30</v>
          </cell>
          <cell r="I5373">
            <v>2033900000</v>
          </cell>
        </row>
        <row r="5374">
          <cell r="A5374" t="str">
            <v>Jamaica</v>
          </cell>
          <cell r="B5374">
            <v>388</v>
          </cell>
          <cell r="C5374">
            <v>201</v>
          </cell>
          <cell r="D5374">
            <v>13</v>
          </cell>
          <cell r="E5374" t="str">
            <v>Less: Financial intermediation services indirectly measured (FISIM) (only to be deducted if FISIM is not distributed to uses)</v>
          </cell>
          <cell r="F5374">
            <v>0</v>
          </cell>
          <cell r="G5374">
            <v>1991</v>
          </cell>
          <cell r="H5374">
            <v>30</v>
          </cell>
          <cell r="I5374">
            <v>2411100000</v>
          </cell>
        </row>
        <row r="5375">
          <cell r="A5375" t="str">
            <v>Jamaica</v>
          </cell>
          <cell r="B5375">
            <v>388</v>
          </cell>
          <cell r="C5375">
            <v>201</v>
          </cell>
          <cell r="D5375">
            <v>13</v>
          </cell>
          <cell r="E5375" t="str">
            <v>Less: Financial intermediation services indirectly measured (FISIM) (only to be deducted if FISIM is not distributed to uses)</v>
          </cell>
          <cell r="F5375">
            <v>0</v>
          </cell>
          <cell r="G5375">
            <v>1992</v>
          </cell>
          <cell r="H5375">
            <v>30</v>
          </cell>
          <cell r="I5375">
            <v>5071276000</v>
          </cell>
        </row>
        <row r="5376">
          <cell r="A5376" t="str">
            <v>Jamaica</v>
          </cell>
          <cell r="B5376">
            <v>388</v>
          </cell>
          <cell r="C5376">
            <v>201</v>
          </cell>
          <cell r="D5376">
            <v>13</v>
          </cell>
          <cell r="E5376" t="str">
            <v>Less: Financial intermediation services indirectly measured (FISIM) (only to be deducted if FISIM is not distributed to uses)</v>
          </cell>
          <cell r="F5376">
            <v>0</v>
          </cell>
          <cell r="G5376">
            <v>1993</v>
          </cell>
          <cell r="H5376">
            <v>30</v>
          </cell>
          <cell r="I5376">
            <v>5709353000</v>
          </cell>
        </row>
        <row r="5377">
          <cell r="A5377" t="str">
            <v>Jamaica</v>
          </cell>
          <cell r="B5377">
            <v>388</v>
          </cell>
          <cell r="C5377">
            <v>201</v>
          </cell>
          <cell r="D5377">
            <v>13</v>
          </cell>
          <cell r="E5377" t="str">
            <v>Less: Financial intermediation services indirectly measured (FISIM) (only to be deducted if FISIM is not distributed to uses)</v>
          </cell>
          <cell r="F5377">
            <v>0</v>
          </cell>
          <cell r="G5377">
            <v>1994</v>
          </cell>
          <cell r="H5377">
            <v>30</v>
          </cell>
          <cell r="I5377">
            <v>10719342000</v>
          </cell>
        </row>
        <row r="5378">
          <cell r="A5378" t="str">
            <v>Jamaica</v>
          </cell>
          <cell r="B5378">
            <v>388</v>
          </cell>
          <cell r="C5378">
            <v>201</v>
          </cell>
          <cell r="D5378">
            <v>13</v>
          </cell>
          <cell r="E5378" t="str">
            <v>Less: Financial intermediation services indirectly measured (FISIM) (only to be deducted if FISIM is not distributed to uses)</v>
          </cell>
          <cell r="F5378">
            <v>0</v>
          </cell>
          <cell r="G5378">
            <v>1995</v>
          </cell>
          <cell r="H5378">
            <v>30</v>
          </cell>
          <cell r="I5378">
            <v>12246700000</v>
          </cell>
        </row>
        <row r="5379">
          <cell r="A5379" t="str">
            <v>Jamaica</v>
          </cell>
          <cell r="B5379">
            <v>388</v>
          </cell>
          <cell r="C5379">
            <v>201</v>
          </cell>
          <cell r="D5379">
            <v>13</v>
          </cell>
          <cell r="E5379" t="str">
            <v>Less: Financial intermediation services indirectly measured (FISIM) (only to be deducted if FISIM is not distributed to uses)</v>
          </cell>
          <cell r="F5379">
            <v>0</v>
          </cell>
          <cell r="G5379">
            <v>1996</v>
          </cell>
          <cell r="H5379">
            <v>30</v>
          </cell>
          <cell r="I5379">
            <v>17217400000</v>
          </cell>
        </row>
        <row r="5380">
          <cell r="A5380" t="str">
            <v>Jamaica</v>
          </cell>
          <cell r="B5380">
            <v>388</v>
          </cell>
          <cell r="C5380">
            <v>201</v>
          </cell>
          <cell r="D5380">
            <v>13</v>
          </cell>
          <cell r="E5380" t="str">
            <v>Less: Financial intermediation services indirectly measured (FISIM) (only to be deducted if FISIM is not distributed to uses)</v>
          </cell>
          <cell r="F5380">
            <v>0</v>
          </cell>
          <cell r="G5380">
            <v>1997</v>
          </cell>
          <cell r="H5380">
            <v>30</v>
          </cell>
          <cell r="I5380">
            <v>14093300000</v>
          </cell>
        </row>
        <row r="5381">
          <cell r="A5381" t="str">
            <v>Jamaica</v>
          </cell>
          <cell r="B5381">
            <v>388</v>
          </cell>
          <cell r="C5381">
            <v>201</v>
          </cell>
          <cell r="D5381">
            <v>13</v>
          </cell>
          <cell r="E5381" t="str">
            <v>Less: Financial intermediation services indirectly measured (FISIM) (only to be deducted if FISIM is not distributed to uses)</v>
          </cell>
          <cell r="F5381">
            <v>0</v>
          </cell>
          <cell r="G5381">
            <v>1998</v>
          </cell>
          <cell r="H5381">
            <v>30</v>
          </cell>
          <cell r="I5381">
            <v>14687500000</v>
          </cell>
        </row>
        <row r="5382">
          <cell r="A5382" t="str">
            <v>Jamaica</v>
          </cell>
          <cell r="B5382">
            <v>388</v>
          </cell>
          <cell r="C5382">
            <v>201</v>
          </cell>
          <cell r="D5382">
            <v>13</v>
          </cell>
          <cell r="E5382" t="str">
            <v>Less: Financial intermediation services indirectly measured (FISIM) (only to be deducted if FISIM is not distributed to uses)</v>
          </cell>
          <cell r="F5382">
            <v>0</v>
          </cell>
          <cell r="G5382">
            <v>1999</v>
          </cell>
          <cell r="H5382">
            <v>30</v>
          </cell>
          <cell r="I5382">
            <v>18624800000</v>
          </cell>
        </row>
        <row r="5383">
          <cell r="A5383" t="str">
            <v>Jamaica</v>
          </cell>
          <cell r="B5383">
            <v>388</v>
          </cell>
          <cell r="C5383">
            <v>201</v>
          </cell>
          <cell r="D5383">
            <v>13</v>
          </cell>
          <cell r="E5383" t="str">
            <v>Less: Financial intermediation services indirectly measured (FISIM) (only to be deducted if FISIM is not distributed to uses)</v>
          </cell>
          <cell r="F5383">
            <v>0</v>
          </cell>
          <cell r="G5383">
            <v>2000</v>
          </cell>
          <cell r="H5383">
            <v>30</v>
          </cell>
          <cell r="I5383">
            <v>18746800000</v>
          </cell>
        </row>
        <row r="5384">
          <cell r="A5384" t="str">
            <v>Jamaica</v>
          </cell>
          <cell r="B5384">
            <v>388</v>
          </cell>
          <cell r="C5384">
            <v>201</v>
          </cell>
          <cell r="D5384">
            <v>13</v>
          </cell>
          <cell r="E5384" t="str">
            <v>Less: Financial intermediation services indirectly measured (FISIM) (only to be deducted if FISIM is not distributed to uses)</v>
          </cell>
          <cell r="F5384">
            <v>0</v>
          </cell>
          <cell r="G5384">
            <v>2001</v>
          </cell>
          <cell r="H5384">
            <v>30</v>
          </cell>
          <cell r="I5384">
            <v>15132200000</v>
          </cell>
        </row>
        <row r="5385">
          <cell r="A5385" t="str">
            <v>Jamaica</v>
          </cell>
          <cell r="B5385">
            <v>388</v>
          </cell>
          <cell r="C5385">
            <v>201</v>
          </cell>
          <cell r="D5385">
            <v>13</v>
          </cell>
          <cell r="E5385" t="str">
            <v>Less: Financial intermediation services indirectly measured (FISIM) (only to be deducted if FISIM is not distributed to uses)</v>
          </cell>
          <cell r="F5385">
            <v>0</v>
          </cell>
          <cell r="G5385">
            <v>2002</v>
          </cell>
          <cell r="H5385">
            <v>30</v>
          </cell>
          <cell r="I5385">
            <v>14173900000</v>
          </cell>
        </row>
        <row r="5386">
          <cell r="A5386" t="str">
            <v>Jamaica</v>
          </cell>
          <cell r="B5386">
            <v>388</v>
          </cell>
          <cell r="C5386">
            <v>201</v>
          </cell>
          <cell r="D5386">
            <v>13</v>
          </cell>
          <cell r="E5386" t="str">
            <v>Less: Financial intermediation services indirectly measured (FISIM) (only to be deducted if FISIM is not distributed to uses)</v>
          </cell>
          <cell r="F5386">
            <v>0</v>
          </cell>
          <cell r="G5386">
            <v>2003</v>
          </cell>
          <cell r="H5386">
            <v>30</v>
          </cell>
          <cell r="I5386">
            <v>23890400000</v>
          </cell>
        </row>
        <row r="5387">
          <cell r="A5387" t="str">
            <v>Denmark</v>
          </cell>
          <cell r="B5387">
            <v>208</v>
          </cell>
          <cell r="C5387">
            <v>203</v>
          </cell>
          <cell r="D5387">
            <v>11</v>
          </cell>
          <cell r="E5387" t="str">
            <v>OPERATING SURPLUS, GROSS</v>
          </cell>
          <cell r="F5387">
            <v>12</v>
          </cell>
          <cell r="G5387">
            <v>1966</v>
          </cell>
          <cell r="H5387">
            <v>100</v>
          </cell>
          <cell r="I5387">
            <v>29750000000</v>
          </cell>
        </row>
        <row r="5388">
          <cell r="A5388" t="str">
            <v>Denmark</v>
          </cell>
          <cell r="B5388">
            <v>208</v>
          </cell>
          <cell r="C5388">
            <v>203</v>
          </cell>
          <cell r="D5388">
            <v>11</v>
          </cell>
          <cell r="E5388" t="str">
            <v>OPERATING SURPLUS, GROSS</v>
          </cell>
          <cell r="F5388">
            <v>12</v>
          </cell>
          <cell r="G5388">
            <v>1967</v>
          </cell>
          <cell r="H5388">
            <v>100</v>
          </cell>
          <cell r="I5388">
            <v>31955000000</v>
          </cell>
        </row>
        <row r="5389">
          <cell r="A5389" t="str">
            <v>Denmark</v>
          </cell>
          <cell r="B5389">
            <v>208</v>
          </cell>
          <cell r="C5389">
            <v>203</v>
          </cell>
          <cell r="D5389">
            <v>11</v>
          </cell>
          <cell r="E5389" t="str">
            <v>OPERATING SURPLUS, GROSS</v>
          </cell>
          <cell r="F5389">
            <v>12</v>
          </cell>
          <cell r="G5389">
            <v>1968</v>
          </cell>
          <cell r="H5389">
            <v>100</v>
          </cell>
          <cell r="I5389">
            <v>34893000000</v>
          </cell>
        </row>
        <row r="5390">
          <cell r="A5390" t="str">
            <v>Denmark</v>
          </cell>
          <cell r="B5390">
            <v>208</v>
          </cell>
          <cell r="C5390">
            <v>203</v>
          </cell>
          <cell r="D5390">
            <v>11</v>
          </cell>
          <cell r="E5390" t="str">
            <v>OPERATING SURPLUS, GROSS</v>
          </cell>
          <cell r="F5390">
            <v>12</v>
          </cell>
          <cell r="G5390">
            <v>1969</v>
          </cell>
          <cell r="H5390">
            <v>100</v>
          </cell>
          <cell r="I5390">
            <v>40004000000</v>
          </cell>
        </row>
        <row r="5391">
          <cell r="A5391" t="str">
            <v>Denmark</v>
          </cell>
          <cell r="B5391">
            <v>208</v>
          </cell>
          <cell r="C5391">
            <v>203</v>
          </cell>
          <cell r="D5391">
            <v>11</v>
          </cell>
          <cell r="E5391" t="str">
            <v>OPERATING SURPLUS, GROSS</v>
          </cell>
          <cell r="F5391">
            <v>12</v>
          </cell>
          <cell r="G5391">
            <v>1970</v>
          </cell>
          <cell r="H5391">
            <v>100</v>
          </cell>
          <cell r="I5391">
            <v>42802000000</v>
          </cell>
        </row>
        <row r="5392">
          <cell r="A5392" t="str">
            <v>Denmark</v>
          </cell>
          <cell r="B5392">
            <v>208</v>
          </cell>
          <cell r="C5392">
            <v>203</v>
          </cell>
          <cell r="D5392">
            <v>11</v>
          </cell>
          <cell r="E5392" t="str">
            <v>OPERATING SURPLUS, GROSS</v>
          </cell>
          <cell r="F5392">
            <v>12</v>
          </cell>
          <cell r="G5392">
            <v>1971</v>
          </cell>
          <cell r="H5392">
            <v>100</v>
          </cell>
          <cell r="I5392">
            <v>46349000000</v>
          </cell>
        </row>
        <row r="5393">
          <cell r="A5393" t="str">
            <v>Denmark</v>
          </cell>
          <cell r="B5393">
            <v>208</v>
          </cell>
          <cell r="C5393">
            <v>203</v>
          </cell>
          <cell r="D5393">
            <v>11</v>
          </cell>
          <cell r="E5393" t="str">
            <v>OPERATING SURPLUS, GROSS</v>
          </cell>
          <cell r="F5393">
            <v>12</v>
          </cell>
          <cell r="G5393">
            <v>1972</v>
          </cell>
          <cell r="H5393">
            <v>100</v>
          </cell>
          <cell r="I5393">
            <v>56306000000</v>
          </cell>
        </row>
        <row r="5394">
          <cell r="A5394" t="str">
            <v>Denmark</v>
          </cell>
          <cell r="B5394">
            <v>208</v>
          </cell>
          <cell r="C5394">
            <v>203</v>
          </cell>
          <cell r="D5394">
            <v>11</v>
          </cell>
          <cell r="E5394" t="str">
            <v>OPERATING SURPLUS, GROSS</v>
          </cell>
          <cell r="F5394">
            <v>12</v>
          </cell>
          <cell r="G5394">
            <v>1973</v>
          </cell>
          <cell r="H5394">
            <v>100</v>
          </cell>
          <cell r="I5394">
            <v>66121000000</v>
          </cell>
        </row>
        <row r="5395">
          <cell r="A5395" t="str">
            <v>Denmark</v>
          </cell>
          <cell r="B5395">
            <v>208</v>
          </cell>
          <cell r="C5395">
            <v>203</v>
          </cell>
          <cell r="D5395">
            <v>11</v>
          </cell>
          <cell r="E5395" t="str">
            <v>OPERATING SURPLUS, GROSS</v>
          </cell>
          <cell r="F5395">
            <v>12</v>
          </cell>
          <cell r="G5395">
            <v>1974</v>
          </cell>
          <cell r="H5395">
            <v>100</v>
          </cell>
          <cell r="I5395">
            <v>71627000000</v>
          </cell>
        </row>
        <row r="5396">
          <cell r="A5396" t="str">
            <v>Denmark</v>
          </cell>
          <cell r="B5396">
            <v>208</v>
          </cell>
          <cell r="C5396">
            <v>203</v>
          </cell>
          <cell r="D5396">
            <v>11</v>
          </cell>
          <cell r="E5396" t="str">
            <v>OPERATING SURPLUS, GROSS</v>
          </cell>
          <cell r="F5396">
            <v>12</v>
          </cell>
          <cell r="G5396">
            <v>1975</v>
          </cell>
          <cell r="H5396">
            <v>100</v>
          </cell>
          <cell r="I5396">
            <v>78070000000</v>
          </cell>
        </row>
        <row r="5397">
          <cell r="A5397" t="str">
            <v>Denmark</v>
          </cell>
          <cell r="B5397">
            <v>208</v>
          </cell>
          <cell r="C5397">
            <v>203</v>
          </cell>
          <cell r="D5397">
            <v>11</v>
          </cell>
          <cell r="E5397" t="str">
            <v>OPERATING SURPLUS, GROSS</v>
          </cell>
          <cell r="F5397">
            <v>12</v>
          </cell>
          <cell r="G5397">
            <v>1976</v>
          </cell>
          <cell r="H5397">
            <v>100</v>
          </cell>
          <cell r="I5397">
            <v>90707000000</v>
          </cell>
        </row>
        <row r="5398">
          <cell r="A5398" t="str">
            <v>Denmark</v>
          </cell>
          <cell r="B5398">
            <v>208</v>
          </cell>
          <cell r="C5398">
            <v>203</v>
          </cell>
          <cell r="D5398">
            <v>11</v>
          </cell>
          <cell r="E5398" t="str">
            <v>OPERATING SURPLUS, GROSS</v>
          </cell>
          <cell r="F5398">
            <v>12</v>
          </cell>
          <cell r="G5398">
            <v>1977</v>
          </cell>
          <cell r="H5398">
            <v>100</v>
          </cell>
          <cell r="I5398">
            <v>99813000000</v>
          </cell>
        </row>
        <row r="5399">
          <cell r="A5399" t="str">
            <v>Denmark</v>
          </cell>
          <cell r="B5399">
            <v>208</v>
          </cell>
          <cell r="C5399">
            <v>203</v>
          </cell>
          <cell r="D5399">
            <v>11</v>
          </cell>
          <cell r="E5399" t="str">
            <v>OPERATING SURPLUS, GROSS</v>
          </cell>
          <cell r="F5399">
            <v>12</v>
          </cell>
          <cell r="G5399">
            <v>1978</v>
          </cell>
          <cell r="H5399">
            <v>100</v>
          </cell>
          <cell r="I5399">
            <v>109489000000</v>
          </cell>
        </row>
        <row r="5400">
          <cell r="A5400" t="str">
            <v>Denmark</v>
          </cell>
          <cell r="B5400">
            <v>208</v>
          </cell>
          <cell r="C5400">
            <v>203</v>
          </cell>
          <cell r="D5400">
            <v>11</v>
          </cell>
          <cell r="E5400" t="str">
            <v>OPERATING SURPLUS, GROSS</v>
          </cell>
          <cell r="F5400">
            <v>12</v>
          </cell>
          <cell r="G5400">
            <v>1979</v>
          </cell>
          <cell r="H5400">
            <v>100</v>
          </cell>
          <cell r="I5400">
            <v>117582000000</v>
          </cell>
        </row>
        <row r="5401">
          <cell r="A5401" t="str">
            <v>Denmark</v>
          </cell>
          <cell r="B5401">
            <v>208</v>
          </cell>
          <cell r="C5401">
            <v>203</v>
          </cell>
          <cell r="D5401">
            <v>11</v>
          </cell>
          <cell r="E5401" t="str">
            <v>OPERATING SURPLUS, GROSS</v>
          </cell>
          <cell r="F5401">
            <v>12</v>
          </cell>
          <cell r="G5401">
            <v>1980</v>
          </cell>
          <cell r="H5401">
            <v>100</v>
          </cell>
          <cell r="I5401">
            <v>122133000000</v>
          </cell>
        </row>
        <row r="5402">
          <cell r="A5402" t="str">
            <v>Denmark</v>
          </cell>
          <cell r="B5402">
            <v>208</v>
          </cell>
          <cell r="C5402">
            <v>203</v>
          </cell>
          <cell r="D5402">
            <v>11</v>
          </cell>
          <cell r="E5402" t="str">
            <v>OPERATING SURPLUS, GROSS</v>
          </cell>
          <cell r="F5402">
            <v>12</v>
          </cell>
          <cell r="G5402">
            <v>1981</v>
          </cell>
          <cell r="H5402">
            <v>100</v>
          </cell>
          <cell r="I5402">
            <v>135408000000</v>
          </cell>
        </row>
        <row r="5403">
          <cell r="A5403" t="str">
            <v>Denmark</v>
          </cell>
          <cell r="B5403">
            <v>208</v>
          </cell>
          <cell r="C5403">
            <v>203</v>
          </cell>
          <cell r="D5403">
            <v>11</v>
          </cell>
          <cell r="E5403" t="str">
            <v>OPERATING SURPLUS, GROSS</v>
          </cell>
          <cell r="F5403">
            <v>12</v>
          </cell>
          <cell r="G5403">
            <v>1982</v>
          </cell>
          <cell r="H5403">
            <v>100</v>
          </cell>
          <cell r="I5403">
            <v>160670000000</v>
          </cell>
        </row>
        <row r="5404">
          <cell r="A5404" t="str">
            <v>Denmark</v>
          </cell>
          <cell r="B5404">
            <v>208</v>
          </cell>
          <cell r="C5404">
            <v>203</v>
          </cell>
          <cell r="D5404">
            <v>11</v>
          </cell>
          <cell r="E5404" t="str">
            <v>OPERATING SURPLUS, GROSS</v>
          </cell>
          <cell r="F5404">
            <v>12</v>
          </cell>
          <cell r="G5404">
            <v>1983</v>
          </cell>
          <cell r="H5404">
            <v>100</v>
          </cell>
          <cell r="I5404">
            <v>178718000000</v>
          </cell>
        </row>
        <row r="5405">
          <cell r="A5405" t="str">
            <v>Denmark</v>
          </cell>
          <cell r="B5405">
            <v>208</v>
          </cell>
          <cell r="C5405">
            <v>203</v>
          </cell>
          <cell r="D5405">
            <v>11</v>
          </cell>
          <cell r="E5405" t="str">
            <v>OPERATING SURPLUS, GROSS</v>
          </cell>
          <cell r="F5405">
            <v>12</v>
          </cell>
          <cell r="G5405">
            <v>1984</v>
          </cell>
          <cell r="H5405">
            <v>100</v>
          </cell>
          <cell r="I5405">
            <v>202779000000</v>
          </cell>
        </row>
        <row r="5406">
          <cell r="A5406" t="str">
            <v>Denmark</v>
          </cell>
          <cell r="B5406">
            <v>208</v>
          </cell>
          <cell r="C5406">
            <v>203</v>
          </cell>
          <cell r="D5406">
            <v>11</v>
          </cell>
          <cell r="E5406" t="str">
            <v>OPERATING SURPLUS, GROSS</v>
          </cell>
          <cell r="F5406">
            <v>12</v>
          </cell>
          <cell r="G5406">
            <v>1985</v>
          </cell>
          <cell r="H5406">
            <v>100</v>
          </cell>
          <cell r="I5406">
            <v>218260000000</v>
          </cell>
        </row>
        <row r="5407">
          <cell r="A5407" t="str">
            <v>Denmark</v>
          </cell>
          <cell r="B5407">
            <v>208</v>
          </cell>
          <cell r="C5407">
            <v>203</v>
          </cell>
          <cell r="D5407">
            <v>11</v>
          </cell>
          <cell r="E5407" t="str">
            <v>OPERATING SURPLUS, GROSS</v>
          </cell>
          <cell r="F5407">
            <v>12</v>
          </cell>
          <cell r="G5407">
            <v>1986</v>
          </cell>
          <cell r="H5407">
            <v>100</v>
          </cell>
          <cell r="I5407">
            <v>234492000000</v>
          </cell>
        </row>
        <row r="5408">
          <cell r="A5408" t="str">
            <v>Denmark</v>
          </cell>
          <cell r="B5408">
            <v>208</v>
          </cell>
          <cell r="C5408">
            <v>203</v>
          </cell>
          <cell r="D5408">
            <v>11</v>
          </cell>
          <cell r="E5408" t="str">
            <v>OPERATING SURPLUS, GROSS</v>
          </cell>
          <cell r="F5408">
            <v>12</v>
          </cell>
          <cell r="G5408">
            <v>1987</v>
          </cell>
          <cell r="H5408">
            <v>100</v>
          </cell>
          <cell r="I5408">
            <v>232247000000</v>
          </cell>
        </row>
        <row r="5409">
          <cell r="A5409" t="str">
            <v>Denmark</v>
          </cell>
          <cell r="B5409">
            <v>208</v>
          </cell>
          <cell r="C5409">
            <v>203</v>
          </cell>
          <cell r="D5409">
            <v>11</v>
          </cell>
          <cell r="E5409" t="str">
            <v>OPERATING SURPLUS, GROSS</v>
          </cell>
          <cell r="F5409">
            <v>12</v>
          </cell>
          <cell r="G5409">
            <v>1988</v>
          </cell>
          <cell r="H5409">
            <v>100</v>
          </cell>
          <cell r="I5409">
            <v>237489000000</v>
          </cell>
        </row>
        <row r="5410">
          <cell r="A5410" t="str">
            <v>Denmark</v>
          </cell>
          <cell r="B5410">
            <v>208</v>
          </cell>
          <cell r="C5410">
            <v>203</v>
          </cell>
          <cell r="D5410">
            <v>11</v>
          </cell>
          <cell r="E5410" t="str">
            <v>OPERATING SURPLUS, GROSS</v>
          </cell>
          <cell r="F5410">
            <v>12</v>
          </cell>
          <cell r="G5410">
            <v>1989</v>
          </cell>
          <cell r="H5410">
            <v>100</v>
          </cell>
          <cell r="I5410">
            <v>266782000000</v>
          </cell>
        </row>
        <row r="5411">
          <cell r="A5411" t="str">
            <v>Denmark</v>
          </cell>
          <cell r="B5411">
            <v>208</v>
          </cell>
          <cell r="C5411">
            <v>203</v>
          </cell>
          <cell r="D5411">
            <v>11</v>
          </cell>
          <cell r="E5411" t="str">
            <v>OPERATING SURPLUS, GROSS</v>
          </cell>
          <cell r="F5411">
            <v>12</v>
          </cell>
          <cell r="G5411">
            <v>1990</v>
          </cell>
          <cell r="H5411">
            <v>100</v>
          </cell>
          <cell r="I5411">
            <v>287717000000</v>
          </cell>
        </row>
        <row r="5412">
          <cell r="A5412" t="str">
            <v>Denmark</v>
          </cell>
          <cell r="B5412">
            <v>208</v>
          </cell>
          <cell r="C5412">
            <v>203</v>
          </cell>
          <cell r="D5412">
            <v>11</v>
          </cell>
          <cell r="E5412" t="str">
            <v>OPERATING SURPLUS, GROSS</v>
          </cell>
          <cell r="F5412">
            <v>12</v>
          </cell>
          <cell r="G5412">
            <v>1991</v>
          </cell>
          <cell r="H5412">
            <v>100</v>
          </cell>
          <cell r="I5412">
            <v>300094000000</v>
          </cell>
        </row>
        <row r="5413">
          <cell r="A5413" t="str">
            <v>Denmark</v>
          </cell>
          <cell r="B5413">
            <v>208</v>
          </cell>
          <cell r="C5413">
            <v>203</v>
          </cell>
          <cell r="D5413">
            <v>11</v>
          </cell>
          <cell r="E5413" t="str">
            <v>OPERATING SURPLUS, GROSS</v>
          </cell>
          <cell r="F5413">
            <v>12</v>
          </cell>
          <cell r="G5413">
            <v>1992</v>
          </cell>
          <cell r="H5413">
            <v>100</v>
          </cell>
          <cell r="I5413">
            <v>317330000000</v>
          </cell>
        </row>
        <row r="5414">
          <cell r="A5414" t="str">
            <v>Denmark</v>
          </cell>
          <cell r="B5414">
            <v>208</v>
          </cell>
          <cell r="C5414">
            <v>203</v>
          </cell>
          <cell r="D5414">
            <v>11</v>
          </cell>
          <cell r="E5414" t="str">
            <v>OPERATING SURPLUS, GROSS</v>
          </cell>
          <cell r="F5414">
            <v>12</v>
          </cell>
          <cell r="G5414">
            <v>1993</v>
          </cell>
          <cell r="H5414">
            <v>100</v>
          </cell>
          <cell r="I5414">
            <v>323196000000</v>
          </cell>
        </row>
        <row r="5415">
          <cell r="A5415" t="str">
            <v>Denmark</v>
          </cell>
          <cell r="B5415">
            <v>208</v>
          </cell>
          <cell r="C5415">
            <v>203</v>
          </cell>
          <cell r="D5415">
            <v>11</v>
          </cell>
          <cell r="E5415" t="str">
            <v>OPERATING SURPLUS, GROSS</v>
          </cell>
          <cell r="F5415">
            <v>12</v>
          </cell>
          <cell r="G5415">
            <v>1994</v>
          </cell>
          <cell r="H5415">
            <v>100</v>
          </cell>
          <cell r="I5415">
            <v>357027000000</v>
          </cell>
        </row>
        <row r="5416">
          <cell r="A5416" t="str">
            <v>Denmark</v>
          </cell>
          <cell r="B5416">
            <v>208</v>
          </cell>
          <cell r="C5416">
            <v>203</v>
          </cell>
          <cell r="D5416">
            <v>11</v>
          </cell>
          <cell r="E5416" t="str">
            <v>OPERATING SURPLUS, GROSS</v>
          </cell>
          <cell r="F5416">
            <v>12</v>
          </cell>
          <cell r="G5416">
            <v>1995</v>
          </cell>
          <cell r="H5416">
            <v>100</v>
          </cell>
          <cell r="I5416">
            <v>369447000000</v>
          </cell>
        </row>
        <row r="5417">
          <cell r="A5417" t="str">
            <v>Denmark</v>
          </cell>
          <cell r="B5417">
            <v>208</v>
          </cell>
          <cell r="C5417">
            <v>203</v>
          </cell>
          <cell r="D5417">
            <v>11</v>
          </cell>
          <cell r="E5417" t="str">
            <v>OPERATING SURPLUS, GROSS</v>
          </cell>
          <cell r="F5417">
            <v>12</v>
          </cell>
          <cell r="G5417">
            <v>1996</v>
          </cell>
          <cell r="H5417">
            <v>100</v>
          </cell>
          <cell r="I5417">
            <v>382715000000</v>
          </cell>
        </row>
        <row r="5418">
          <cell r="A5418" t="str">
            <v>Denmark</v>
          </cell>
          <cell r="B5418">
            <v>208</v>
          </cell>
          <cell r="C5418">
            <v>203</v>
          </cell>
          <cell r="D5418">
            <v>11</v>
          </cell>
          <cell r="E5418" t="str">
            <v>OPERATING SURPLUS, GROSS</v>
          </cell>
          <cell r="F5418">
            <v>12</v>
          </cell>
          <cell r="G5418">
            <v>1997</v>
          </cell>
          <cell r="H5418">
            <v>100</v>
          </cell>
          <cell r="I5418">
            <v>395781000000</v>
          </cell>
        </row>
        <row r="5419">
          <cell r="A5419" t="str">
            <v>Denmark</v>
          </cell>
          <cell r="B5419">
            <v>208</v>
          </cell>
          <cell r="C5419">
            <v>203</v>
          </cell>
          <cell r="D5419">
            <v>11</v>
          </cell>
          <cell r="E5419" t="str">
            <v>OPERATING SURPLUS, GROSS</v>
          </cell>
          <cell r="F5419">
            <v>12</v>
          </cell>
          <cell r="G5419">
            <v>1998</v>
          </cell>
          <cell r="H5419">
            <v>100</v>
          </cell>
          <cell r="I5419">
            <v>385640000000</v>
          </cell>
        </row>
        <row r="5420">
          <cell r="A5420" t="str">
            <v>Denmark</v>
          </cell>
          <cell r="B5420">
            <v>208</v>
          </cell>
          <cell r="C5420">
            <v>203</v>
          </cell>
          <cell r="D5420">
            <v>11</v>
          </cell>
          <cell r="E5420" t="str">
            <v>OPERATING SURPLUS, GROSS</v>
          </cell>
          <cell r="F5420">
            <v>12</v>
          </cell>
          <cell r="G5420">
            <v>1999</v>
          </cell>
          <cell r="H5420">
            <v>100</v>
          </cell>
          <cell r="I5420">
            <v>402054000000</v>
          </cell>
        </row>
        <row r="5421">
          <cell r="A5421" t="str">
            <v>Denmark</v>
          </cell>
          <cell r="B5421">
            <v>208</v>
          </cell>
          <cell r="C5421">
            <v>203</v>
          </cell>
          <cell r="D5421">
            <v>11</v>
          </cell>
          <cell r="E5421" t="str">
            <v>OPERATING SURPLUS, GROSS</v>
          </cell>
          <cell r="F5421">
            <v>12</v>
          </cell>
          <cell r="G5421">
            <v>2000</v>
          </cell>
          <cell r="H5421">
            <v>100</v>
          </cell>
          <cell r="I5421">
            <v>447234000000</v>
          </cell>
        </row>
        <row r="5422">
          <cell r="A5422" t="str">
            <v>Denmark</v>
          </cell>
          <cell r="B5422">
            <v>208</v>
          </cell>
          <cell r="C5422">
            <v>203</v>
          </cell>
          <cell r="D5422">
            <v>11</v>
          </cell>
          <cell r="E5422" t="str">
            <v>OPERATING SURPLUS, GROSS</v>
          </cell>
          <cell r="F5422">
            <v>12</v>
          </cell>
          <cell r="G5422">
            <v>2001</v>
          </cell>
          <cell r="H5422">
            <v>100</v>
          </cell>
          <cell r="I5422">
            <v>450756000000</v>
          </cell>
        </row>
        <row r="5423">
          <cell r="A5423" t="str">
            <v>Denmark</v>
          </cell>
          <cell r="B5423">
            <v>208</v>
          </cell>
          <cell r="C5423">
            <v>203</v>
          </cell>
          <cell r="D5423">
            <v>11</v>
          </cell>
          <cell r="E5423" t="str">
            <v>OPERATING SURPLUS, GROSS</v>
          </cell>
          <cell r="F5423">
            <v>12</v>
          </cell>
          <cell r="G5423">
            <v>2002</v>
          </cell>
          <cell r="H5423">
            <v>100</v>
          </cell>
          <cell r="I5423">
            <v>458670000000</v>
          </cell>
        </row>
        <row r="5424">
          <cell r="A5424" t="str">
            <v>Jamaica</v>
          </cell>
          <cell r="B5424">
            <v>388</v>
          </cell>
          <cell r="C5424">
            <v>203</v>
          </cell>
          <cell r="D5424">
            <v>3</v>
          </cell>
          <cell r="E5424" t="str">
            <v>Equals: VALUE ADDED, GROSS, at basic prices</v>
          </cell>
          <cell r="F5424">
            <v>12</v>
          </cell>
          <cell r="G5424">
            <v>1970</v>
          </cell>
          <cell r="H5424">
            <v>20</v>
          </cell>
          <cell r="I5424">
            <v>1186600000</v>
          </cell>
        </row>
        <row r="5425">
          <cell r="A5425" t="str">
            <v>Jamaica</v>
          </cell>
          <cell r="B5425">
            <v>388</v>
          </cell>
          <cell r="C5425">
            <v>203</v>
          </cell>
          <cell r="D5425">
            <v>3</v>
          </cell>
          <cell r="E5425" t="str">
            <v>Equals: VALUE ADDED, GROSS, at basic prices</v>
          </cell>
          <cell r="F5425">
            <v>12</v>
          </cell>
          <cell r="G5425">
            <v>1971</v>
          </cell>
          <cell r="H5425">
            <v>20</v>
          </cell>
          <cell r="I5425">
            <v>1299100000</v>
          </cell>
        </row>
        <row r="5426">
          <cell r="A5426" t="str">
            <v>Jamaica</v>
          </cell>
          <cell r="B5426">
            <v>388</v>
          </cell>
          <cell r="C5426">
            <v>203</v>
          </cell>
          <cell r="D5426">
            <v>3</v>
          </cell>
          <cell r="E5426" t="str">
            <v>Equals: VALUE ADDED, GROSS, at basic prices</v>
          </cell>
          <cell r="F5426">
            <v>12</v>
          </cell>
          <cell r="G5426">
            <v>1972</v>
          </cell>
          <cell r="H5426">
            <v>20</v>
          </cell>
          <cell r="I5426">
            <v>1462000000</v>
          </cell>
        </row>
        <row r="5427">
          <cell r="A5427" t="str">
            <v>Jamaica</v>
          </cell>
          <cell r="B5427">
            <v>388</v>
          </cell>
          <cell r="C5427">
            <v>203</v>
          </cell>
          <cell r="D5427">
            <v>3</v>
          </cell>
          <cell r="E5427" t="str">
            <v>Equals: VALUE ADDED, GROSS, at basic prices</v>
          </cell>
          <cell r="F5427">
            <v>12</v>
          </cell>
          <cell r="G5427">
            <v>1973</v>
          </cell>
          <cell r="H5427">
            <v>20</v>
          </cell>
          <cell r="I5427">
            <v>1765500000</v>
          </cell>
        </row>
        <row r="5428">
          <cell r="A5428" t="str">
            <v>Jamaica</v>
          </cell>
          <cell r="B5428">
            <v>388</v>
          </cell>
          <cell r="C5428">
            <v>203</v>
          </cell>
          <cell r="D5428">
            <v>3</v>
          </cell>
          <cell r="E5428" t="str">
            <v>Equals: VALUE ADDED, GROSS, at basic prices</v>
          </cell>
          <cell r="F5428">
            <v>12</v>
          </cell>
          <cell r="G5428">
            <v>1974</v>
          </cell>
          <cell r="H5428">
            <v>20</v>
          </cell>
          <cell r="I5428">
            <v>2213300000</v>
          </cell>
        </row>
        <row r="5429">
          <cell r="A5429" t="str">
            <v>Jamaica</v>
          </cell>
          <cell r="B5429">
            <v>388</v>
          </cell>
          <cell r="C5429">
            <v>203</v>
          </cell>
          <cell r="D5429">
            <v>3</v>
          </cell>
          <cell r="E5429" t="str">
            <v>Equals: VALUE ADDED, GROSS, at basic prices</v>
          </cell>
          <cell r="F5429">
            <v>12</v>
          </cell>
          <cell r="G5429">
            <v>1975</v>
          </cell>
          <cell r="H5429">
            <v>20</v>
          </cell>
          <cell r="I5429">
            <v>2667900000</v>
          </cell>
        </row>
        <row r="5430">
          <cell r="A5430" t="str">
            <v>Jamaica</v>
          </cell>
          <cell r="B5430">
            <v>388</v>
          </cell>
          <cell r="C5430">
            <v>203</v>
          </cell>
          <cell r="D5430">
            <v>3</v>
          </cell>
          <cell r="E5430" t="str">
            <v>Equals: VALUE ADDED, GROSS, at basic prices</v>
          </cell>
          <cell r="F5430">
            <v>12</v>
          </cell>
          <cell r="G5430">
            <v>1976</v>
          </cell>
          <cell r="H5430">
            <v>20</v>
          </cell>
          <cell r="I5430">
            <v>2758800000</v>
          </cell>
        </row>
        <row r="5431">
          <cell r="A5431" t="str">
            <v>Jamaica</v>
          </cell>
          <cell r="B5431">
            <v>388</v>
          </cell>
          <cell r="C5431">
            <v>203</v>
          </cell>
          <cell r="D5431">
            <v>3</v>
          </cell>
          <cell r="E5431" t="str">
            <v>Equals: VALUE ADDED, GROSS, at basic prices</v>
          </cell>
          <cell r="F5431">
            <v>12</v>
          </cell>
          <cell r="G5431">
            <v>1977</v>
          </cell>
          <cell r="H5431">
            <v>20</v>
          </cell>
          <cell r="I5431">
            <v>3018900000</v>
          </cell>
        </row>
        <row r="5432">
          <cell r="A5432" t="str">
            <v>Jamaica</v>
          </cell>
          <cell r="B5432">
            <v>388</v>
          </cell>
          <cell r="C5432">
            <v>203</v>
          </cell>
          <cell r="D5432">
            <v>3</v>
          </cell>
          <cell r="E5432" t="str">
            <v>Equals: VALUE ADDED, GROSS, at basic prices</v>
          </cell>
          <cell r="F5432">
            <v>12</v>
          </cell>
          <cell r="G5432">
            <v>1978</v>
          </cell>
          <cell r="H5432">
            <v>20</v>
          </cell>
          <cell r="I5432">
            <v>3829900000</v>
          </cell>
        </row>
        <row r="5433">
          <cell r="A5433" t="str">
            <v>Jamaica</v>
          </cell>
          <cell r="B5433">
            <v>388</v>
          </cell>
          <cell r="C5433">
            <v>203</v>
          </cell>
          <cell r="D5433">
            <v>3</v>
          </cell>
          <cell r="E5433" t="str">
            <v>Equals: VALUE ADDED, GROSS, at basic prices</v>
          </cell>
          <cell r="F5433">
            <v>12</v>
          </cell>
          <cell r="G5433">
            <v>1979</v>
          </cell>
          <cell r="H5433">
            <v>20</v>
          </cell>
          <cell r="I5433">
            <v>4411600000</v>
          </cell>
        </row>
        <row r="5434">
          <cell r="A5434" t="str">
            <v>Jamaica</v>
          </cell>
          <cell r="B5434">
            <v>388</v>
          </cell>
          <cell r="C5434">
            <v>203</v>
          </cell>
          <cell r="D5434">
            <v>3</v>
          </cell>
          <cell r="E5434" t="str">
            <v>Equals: VALUE ADDED, GROSS, at basic prices</v>
          </cell>
          <cell r="F5434">
            <v>12</v>
          </cell>
          <cell r="G5434">
            <v>1980</v>
          </cell>
          <cell r="H5434">
            <v>20</v>
          </cell>
          <cell r="I5434">
            <v>4928900000</v>
          </cell>
        </row>
        <row r="5435">
          <cell r="A5435" t="str">
            <v>Jamaica</v>
          </cell>
          <cell r="B5435">
            <v>388</v>
          </cell>
          <cell r="C5435">
            <v>203</v>
          </cell>
          <cell r="D5435">
            <v>3</v>
          </cell>
          <cell r="E5435" t="str">
            <v>Equals: VALUE ADDED, GROSS, at basic prices</v>
          </cell>
          <cell r="F5435">
            <v>12</v>
          </cell>
          <cell r="G5435">
            <v>1981</v>
          </cell>
          <cell r="H5435">
            <v>20</v>
          </cell>
          <cell r="I5435">
            <v>5513200000</v>
          </cell>
        </row>
        <row r="5436">
          <cell r="A5436" t="str">
            <v>Jamaica</v>
          </cell>
          <cell r="B5436">
            <v>388</v>
          </cell>
          <cell r="C5436">
            <v>203</v>
          </cell>
          <cell r="D5436">
            <v>3</v>
          </cell>
          <cell r="E5436" t="str">
            <v>Equals: VALUE ADDED, GROSS, at basic prices</v>
          </cell>
          <cell r="F5436">
            <v>12</v>
          </cell>
          <cell r="G5436">
            <v>1982</v>
          </cell>
          <cell r="H5436">
            <v>20</v>
          </cell>
          <cell r="I5436">
            <v>6116000000</v>
          </cell>
        </row>
        <row r="5437">
          <cell r="A5437" t="str">
            <v>Jamaica</v>
          </cell>
          <cell r="B5437">
            <v>388</v>
          </cell>
          <cell r="C5437">
            <v>203</v>
          </cell>
          <cell r="D5437">
            <v>3</v>
          </cell>
          <cell r="E5437" t="str">
            <v>Equals: VALUE ADDED, GROSS, at basic prices</v>
          </cell>
          <cell r="F5437">
            <v>12</v>
          </cell>
          <cell r="G5437">
            <v>1983</v>
          </cell>
          <cell r="H5437">
            <v>20</v>
          </cell>
          <cell r="I5437">
            <v>7309000000</v>
          </cell>
        </row>
        <row r="5438">
          <cell r="A5438" t="str">
            <v>Jamaica</v>
          </cell>
          <cell r="B5438">
            <v>388</v>
          </cell>
          <cell r="C5438">
            <v>203</v>
          </cell>
          <cell r="D5438">
            <v>3</v>
          </cell>
          <cell r="E5438" t="str">
            <v>Equals: VALUE ADDED, GROSS, at basic prices</v>
          </cell>
          <cell r="F5438">
            <v>12</v>
          </cell>
          <cell r="G5438">
            <v>1984</v>
          </cell>
          <cell r="H5438">
            <v>20</v>
          </cell>
          <cell r="I5438">
            <v>9678600000</v>
          </cell>
        </row>
        <row r="5439">
          <cell r="A5439" t="str">
            <v>Jamaica</v>
          </cell>
          <cell r="B5439">
            <v>388</v>
          </cell>
          <cell r="C5439">
            <v>203</v>
          </cell>
          <cell r="D5439">
            <v>3</v>
          </cell>
          <cell r="E5439" t="str">
            <v>Equals: VALUE ADDED, GROSS, at basic prices</v>
          </cell>
          <cell r="F5439">
            <v>12</v>
          </cell>
          <cell r="G5439">
            <v>1985</v>
          </cell>
          <cell r="H5439">
            <v>20</v>
          </cell>
          <cell r="I5439">
            <v>11606100000</v>
          </cell>
        </row>
        <row r="5440">
          <cell r="A5440" t="str">
            <v>Jamaica</v>
          </cell>
          <cell r="B5440">
            <v>388</v>
          </cell>
          <cell r="C5440">
            <v>203</v>
          </cell>
          <cell r="D5440">
            <v>3</v>
          </cell>
          <cell r="E5440" t="str">
            <v>Equals: VALUE ADDED, GROSS, at basic prices</v>
          </cell>
          <cell r="F5440">
            <v>12</v>
          </cell>
          <cell r="G5440">
            <v>1986</v>
          </cell>
          <cell r="H5440">
            <v>20</v>
          </cell>
          <cell r="I5440">
            <v>14287700000</v>
          </cell>
        </row>
        <row r="5441">
          <cell r="A5441" t="str">
            <v>Jamaica</v>
          </cell>
          <cell r="B5441">
            <v>388</v>
          </cell>
          <cell r="C5441">
            <v>203</v>
          </cell>
          <cell r="D5441">
            <v>3</v>
          </cell>
          <cell r="E5441" t="str">
            <v>Equals: VALUE ADDED, GROSS, at basic prices</v>
          </cell>
          <cell r="F5441">
            <v>12</v>
          </cell>
          <cell r="G5441">
            <v>1987</v>
          </cell>
          <cell r="H5441">
            <v>20</v>
          </cell>
          <cell r="I5441">
            <v>16960100000</v>
          </cell>
        </row>
        <row r="5442">
          <cell r="A5442" t="str">
            <v>Jamaica</v>
          </cell>
          <cell r="B5442">
            <v>388</v>
          </cell>
          <cell r="C5442">
            <v>203</v>
          </cell>
          <cell r="D5442">
            <v>3</v>
          </cell>
          <cell r="E5442" t="str">
            <v>Equals: VALUE ADDED, GROSS, at basic prices</v>
          </cell>
          <cell r="F5442">
            <v>12</v>
          </cell>
          <cell r="G5442">
            <v>1988</v>
          </cell>
          <cell r="H5442">
            <v>20</v>
          </cell>
          <cell r="I5442">
            <v>19444200000</v>
          </cell>
        </row>
        <row r="5443">
          <cell r="A5443" t="str">
            <v>Jamaica</v>
          </cell>
          <cell r="B5443">
            <v>388</v>
          </cell>
          <cell r="C5443">
            <v>203</v>
          </cell>
          <cell r="D5443">
            <v>4</v>
          </cell>
          <cell r="E5443" t="str">
            <v>Compensation of employees</v>
          </cell>
          <cell r="F5443">
            <v>12</v>
          </cell>
          <cell r="G5443">
            <v>1970</v>
          </cell>
          <cell r="H5443">
            <v>20</v>
          </cell>
          <cell r="I5443">
            <v>586100000</v>
          </cell>
        </row>
        <row r="5444">
          <cell r="A5444" t="str">
            <v>Jamaica</v>
          </cell>
          <cell r="B5444">
            <v>388</v>
          </cell>
          <cell r="C5444">
            <v>203</v>
          </cell>
          <cell r="D5444">
            <v>4</v>
          </cell>
          <cell r="E5444" t="str">
            <v>Compensation of employees</v>
          </cell>
          <cell r="F5444">
            <v>12</v>
          </cell>
          <cell r="G5444">
            <v>1971</v>
          </cell>
          <cell r="H5444">
            <v>20</v>
          </cell>
          <cell r="I5444">
            <v>639000000</v>
          </cell>
        </row>
        <row r="5445">
          <cell r="A5445" t="str">
            <v>Jamaica</v>
          </cell>
          <cell r="B5445">
            <v>388</v>
          </cell>
          <cell r="C5445">
            <v>203</v>
          </cell>
          <cell r="D5445">
            <v>4</v>
          </cell>
          <cell r="E5445" t="str">
            <v>Compensation of employees</v>
          </cell>
          <cell r="F5445">
            <v>12</v>
          </cell>
          <cell r="G5445">
            <v>1972</v>
          </cell>
          <cell r="H5445">
            <v>20</v>
          </cell>
          <cell r="I5445">
            <v>752800000</v>
          </cell>
        </row>
        <row r="5446">
          <cell r="A5446" t="str">
            <v>Jamaica</v>
          </cell>
          <cell r="B5446">
            <v>388</v>
          </cell>
          <cell r="C5446">
            <v>203</v>
          </cell>
          <cell r="D5446">
            <v>4</v>
          </cell>
          <cell r="E5446" t="str">
            <v>Compensation of employees</v>
          </cell>
          <cell r="F5446">
            <v>12</v>
          </cell>
          <cell r="G5446">
            <v>1973</v>
          </cell>
          <cell r="H5446">
            <v>20</v>
          </cell>
          <cell r="I5446">
            <v>934000000</v>
          </cell>
        </row>
        <row r="5447">
          <cell r="A5447" t="str">
            <v>Jamaica</v>
          </cell>
          <cell r="B5447">
            <v>388</v>
          </cell>
          <cell r="C5447">
            <v>203</v>
          </cell>
          <cell r="D5447">
            <v>4</v>
          </cell>
          <cell r="E5447" t="str">
            <v>Compensation of employees</v>
          </cell>
          <cell r="F5447">
            <v>12</v>
          </cell>
          <cell r="G5447">
            <v>1974</v>
          </cell>
          <cell r="H5447">
            <v>20</v>
          </cell>
          <cell r="I5447">
            <v>1170200000</v>
          </cell>
        </row>
        <row r="5448">
          <cell r="A5448" t="str">
            <v>Jamaica</v>
          </cell>
          <cell r="B5448">
            <v>388</v>
          </cell>
          <cell r="C5448">
            <v>203</v>
          </cell>
          <cell r="D5448">
            <v>4</v>
          </cell>
          <cell r="E5448" t="str">
            <v>Compensation of employees</v>
          </cell>
          <cell r="F5448">
            <v>12</v>
          </cell>
          <cell r="G5448">
            <v>1975</v>
          </cell>
          <cell r="H5448">
            <v>20</v>
          </cell>
          <cell r="I5448">
            <v>1450200000</v>
          </cell>
        </row>
        <row r="5449">
          <cell r="A5449" t="str">
            <v>Jamaica</v>
          </cell>
          <cell r="B5449">
            <v>388</v>
          </cell>
          <cell r="C5449">
            <v>203</v>
          </cell>
          <cell r="D5449">
            <v>4</v>
          </cell>
          <cell r="E5449" t="str">
            <v>Compensation of employees</v>
          </cell>
          <cell r="F5449">
            <v>12</v>
          </cell>
          <cell r="G5449">
            <v>1976</v>
          </cell>
          <cell r="H5449">
            <v>20</v>
          </cell>
          <cell r="I5449">
            <v>1531000000</v>
          </cell>
        </row>
        <row r="5450">
          <cell r="A5450" t="str">
            <v>Jamaica</v>
          </cell>
          <cell r="B5450">
            <v>388</v>
          </cell>
          <cell r="C5450">
            <v>203</v>
          </cell>
          <cell r="D5450">
            <v>4</v>
          </cell>
          <cell r="E5450" t="str">
            <v>Compensation of employees</v>
          </cell>
          <cell r="F5450">
            <v>12</v>
          </cell>
          <cell r="G5450">
            <v>1977</v>
          </cell>
          <cell r="H5450">
            <v>20</v>
          </cell>
          <cell r="I5450">
            <v>1653100000</v>
          </cell>
        </row>
        <row r="5451">
          <cell r="A5451" t="str">
            <v>Jamaica</v>
          </cell>
          <cell r="B5451">
            <v>388</v>
          </cell>
          <cell r="C5451">
            <v>203</v>
          </cell>
          <cell r="D5451">
            <v>4</v>
          </cell>
          <cell r="E5451" t="str">
            <v>Compensation of employees</v>
          </cell>
          <cell r="F5451">
            <v>12</v>
          </cell>
          <cell r="G5451">
            <v>1978</v>
          </cell>
          <cell r="H5451">
            <v>20</v>
          </cell>
          <cell r="I5451">
            <v>1942500000</v>
          </cell>
        </row>
        <row r="5452">
          <cell r="A5452" t="str">
            <v>Jamaica</v>
          </cell>
          <cell r="B5452">
            <v>388</v>
          </cell>
          <cell r="C5452">
            <v>203</v>
          </cell>
          <cell r="D5452">
            <v>4</v>
          </cell>
          <cell r="E5452" t="str">
            <v>Compensation of employees</v>
          </cell>
          <cell r="F5452">
            <v>12</v>
          </cell>
          <cell r="G5452">
            <v>1979</v>
          </cell>
          <cell r="H5452">
            <v>20</v>
          </cell>
          <cell r="I5452">
            <v>2179700000</v>
          </cell>
        </row>
        <row r="5453">
          <cell r="A5453" t="str">
            <v>Jamaica</v>
          </cell>
          <cell r="B5453">
            <v>388</v>
          </cell>
          <cell r="C5453">
            <v>203</v>
          </cell>
          <cell r="D5453">
            <v>4</v>
          </cell>
          <cell r="E5453" t="str">
            <v>Compensation of employees</v>
          </cell>
          <cell r="F5453">
            <v>12</v>
          </cell>
          <cell r="G5453">
            <v>1980</v>
          </cell>
          <cell r="H5453">
            <v>20</v>
          </cell>
          <cell r="I5453">
            <v>2428500000</v>
          </cell>
        </row>
        <row r="5454">
          <cell r="A5454" t="str">
            <v>Jamaica</v>
          </cell>
          <cell r="B5454">
            <v>388</v>
          </cell>
          <cell r="C5454">
            <v>203</v>
          </cell>
          <cell r="D5454">
            <v>4</v>
          </cell>
          <cell r="E5454" t="str">
            <v>Compensation of employees</v>
          </cell>
          <cell r="F5454">
            <v>12</v>
          </cell>
          <cell r="G5454">
            <v>1981</v>
          </cell>
          <cell r="H5454">
            <v>20</v>
          </cell>
          <cell r="I5454">
            <v>2728700000</v>
          </cell>
        </row>
        <row r="5455">
          <cell r="A5455" t="str">
            <v>Jamaica</v>
          </cell>
          <cell r="B5455">
            <v>388</v>
          </cell>
          <cell r="C5455">
            <v>203</v>
          </cell>
          <cell r="D5455">
            <v>4</v>
          </cell>
          <cell r="E5455" t="str">
            <v>Compensation of employees</v>
          </cell>
          <cell r="F5455">
            <v>12</v>
          </cell>
          <cell r="G5455">
            <v>1982</v>
          </cell>
          <cell r="H5455">
            <v>20</v>
          </cell>
          <cell r="I5455">
            <v>3151800000</v>
          </cell>
        </row>
        <row r="5456">
          <cell r="A5456" t="str">
            <v>Jamaica</v>
          </cell>
          <cell r="B5456">
            <v>388</v>
          </cell>
          <cell r="C5456">
            <v>203</v>
          </cell>
          <cell r="D5456">
            <v>4</v>
          </cell>
          <cell r="E5456" t="str">
            <v>Compensation of employees</v>
          </cell>
          <cell r="F5456">
            <v>12</v>
          </cell>
          <cell r="G5456">
            <v>1983</v>
          </cell>
          <cell r="H5456">
            <v>20</v>
          </cell>
          <cell r="I5456">
            <v>3554900000</v>
          </cell>
        </row>
        <row r="5457">
          <cell r="A5457" t="str">
            <v>Jamaica</v>
          </cell>
          <cell r="B5457">
            <v>388</v>
          </cell>
          <cell r="C5457">
            <v>203</v>
          </cell>
          <cell r="D5457">
            <v>4</v>
          </cell>
          <cell r="E5457" t="str">
            <v>Compensation of employees</v>
          </cell>
          <cell r="F5457">
            <v>12</v>
          </cell>
          <cell r="G5457">
            <v>1984</v>
          </cell>
          <cell r="H5457">
            <v>20</v>
          </cell>
          <cell r="I5457">
            <v>4308900000</v>
          </cell>
        </row>
        <row r="5458">
          <cell r="A5458" t="str">
            <v>Jamaica</v>
          </cell>
          <cell r="B5458">
            <v>388</v>
          </cell>
          <cell r="C5458">
            <v>203</v>
          </cell>
          <cell r="D5458">
            <v>4</v>
          </cell>
          <cell r="E5458" t="str">
            <v>Compensation of employees</v>
          </cell>
          <cell r="F5458">
            <v>12</v>
          </cell>
          <cell r="G5458">
            <v>1985</v>
          </cell>
          <cell r="H5458">
            <v>20</v>
          </cell>
          <cell r="I5458">
            <v>4891200000</v>
          </cell>
        </row>
        <row r="5459">
          <cell r="A5459" t="str">
            <v>Jamaica</v>
          </cell>
          <cell r="B5459">
            <v>388</v>
          </cell>
          <cell r="C5459">
            <v>203</v>
          </cell>
          <cell r="D5459">
            <v>4</v>
          </cell>
          <cell r="E5459" t="str">
            <v>Compensation of employees</v>
          </cell>
          <cell r="F5459">
            <v>12</v>
          </cell>
          <cell r="G5459">
            <v>1986</v>
          </cell>
          <cell r="H5459">
            <v>20</v>
          </cell>
          <cell r="I5459">
            <v>5582000000</v>
          </cell>
        </row>
        <row r="5460">
          <cell r="A5460" t="str">
            <v>Jamaica</v>
          </cell>
          <cell r="B5460">
            <v>388</v>
          </cell>
          <cell r="C5460">
            <v>203</v>
          </cell>
          <cell r="D5460">
            <v>4</v>
          </cell>
          <cell r="E5460" t="str">
            <v>Compensation of employees</v>
          </cell>
          <cell r="F5460">
            <v>12</v>
          </cell>
          <cell r="G5460">
            <v>1987</v>
          </cell>
          <cell r="H5460">
            <v>20</v>
          </cell>
          <cell r="I5460">
            <v>6658700000</v>
          </cell>
        </row>
        <row r="5461">
          <cell r="A5461" t="str">
            <v>Jamaica</v>
          </cell>
          <cell r="B5461">
            <v>388</v>
          </cell>
          <cell r="C5461">
            <v>203</v>
          </cell>
          <cell r="D5461">
            <v>4</v>
          </cell>
          <cell r="E5461" t="str">
            <v>Compensation of employees</v>
          </cell>
          <cell r="F5461">
            <v>12</v>
          </cell>
          <cell r="G5461">
            <v>1988</v>
          </cell>
          <cell r="H5461">
            <v>20</v>
          </cell>
          <cell r="I5461">
            <v>7943600000</v>
          </cell>
        </row>
        <row r="5462">
          <cell r="A5462" t="str">
            <v>Denmark</v>
          </cell>
          <cell r="B5462">
            <v>208</v>
          </cell>
          <cell r="C5462">
            <v>203</v>
          </cell>
          <cell r="D5462">
            <v>22</v>
          </cell>
          <cell r="E5462" t="str">
            <v>Taxes on production and imports, less Subsidies</v>
          </cell>
          <cell r="F5462">
            <v>12</v>
          </cell>
          <cell r="G5462">
            <v>1966</v>
          </cell>
          <cell r="H5462">
            <v>100</v>
          </cell>
          <cell r="I5462">
            <v>966000000</v>
          </cell>
        </row>
        <row r="5463">
          <cell r="A5463" t="str">
            <v>Denmark</v>
          </cell>
          <cell r="B5463">
            <v>208</v>
          </cell>
          <cell r="C5463">
            <v>203</v>
          </cell>
          <cell r="D5463">
            <v>22</v>
          </cell>
          <cell r="E5463" t="str">
            <v>Taxes on production and imports, less Subsidies</v>
          </cell>
          <cell r="F5463">
            <v>12</v>
          </cell>
          <cell r="G5463">
            <v>1967</v>
          </cell>
          <cell r="H5463">
            <v>100</v>
          </cell>
          <cell r="I5463">
            <v>1024000000</v>
          </cell>
        </row>
        <row r="5464">
          <cell r="A5464" t="str">
            <v>Denmark</v>
          </cell>
          <cell r="B5464">
            <v>208</v>
          </cell>
          <cell r="C5464">
            <v>203</v>
          </cell>
          <cell r="D5464">
            <v>22</v>
          </cell>
          <cell r="E5464" t="str">
            <v>Taxes on production and imports, less Subsidies</v>
          </cell>
          <cell r="F5464">
            <v>12</v>
          </cell>
          <cell r="G5464">
            <v>1968</v>
          </cell>
          <cell r="H5464">
            <v>100</v>
          </cell>
          <cell r="I5464">
            <v>1015000000</v>
          </cell>
        </row>
        <row r="5465">
          <cell r="A5465" t="str">
            <v>Denmark</v>
          </cell>
          <cell r="B5465">
            <v>208</v>
          </cell>
          <cell r="C5465">
            <v>203</v>
          </cell>
          <cell r="D5465">
            <v>22</v>
          </cell>
          <cell r="E5465" t="str">
            <v>Taxes on production and imports, less Subsidies</v>
          </cell>
          <cell r="F5465">
            <v>12</v>
          </cell>
          <cell r="G5465">
            <v>1969</v>
          </cell>
          <cell r="H5465">
            <v>100</v>
          </cell>
          <cell r="I5465">
            <v>1206000000</v>
          </cell>
        </row>
        <row r="5466">
          <cell r="A5466" t="str">
            <v>Denmark</v>
          </cell>
          <cell r="B5466">
            <v>208</v>
          </cell>
          <cell r="C5466">
            <v>203</v>
          </cell>
          <cell r="D5466">
            <v>22</v>
          </cell>
          <cell r="E5466" t="str">
            <v>Taxes on production and imports, less Subsidies</v>
          </cell>
          <cell r="F5466">
            <v>12</v>
          </cell>
          <cell r="G5466">
            <v>1970</v>
          </cell>
          <cell r="H5466">
            <v>100</v>
          </cell>
          <cell r="I5466">
            <v>1642000000</v>
          </cell>
        </row>
        <row r="5467">
          <cell r="A5467" t="str">
            <v>Denmark</v>
          </cell>
          <cell r="B5467">
            <v>208</v>
          </cell>
          <cell r="C5467">
            <v>203</v>
          </cell>
          <cell r="D5467">
            <v>22</v>
          </cell>
          <cell r="E5467" t="str">
            <v>Taxes on production and imports, less Subsidies</v>
          </cell>
          <cell r="F5467">
            <v>12</v>
          </cell>
          <cell r="G5467">
            <v>1971</v>
          </cell>
          <cell r="H5467">
            <v>100</v>
          </cell>
          <cell r="I5467">
            <v>1800000000</v>
          </cell>
        </row>
        <row r="5468">
          <cell r="A5468" t="str">
            <v>Denmark</v>
          </cell>
          <cell r="B5468">
            <v>208</v>
          </cell>
          <cell r="C5468">
            <v>203</v>
          </cell>
          <cell r="D5468">
            <v>22</v>
          </cell>
          <cell r="E5468" t="str">
            <v>Taxes on production and imports, less Subsidies</v>
          </cell>
          <cell r="F5468">
            <v>12</v>
          </cell>
          <cell r="G5468">
            <v>1972</v>
          </cell>
          <cell r="H5468">
            <v>100</v>
          </cell>
          <cell r="I5468">
            <v>1793000000</v>
          </cell>
        </row>
        <row r="5469">
          <cell r="A5469" t="str">
            <v>Denmark</v>
          </cell>
          <cell r="B5469">
            <v>208</v>
          </cell>
          <cell r="C5469">
            <v>203</v>
          </cell>
          <cell r="D5469">
            <v>22</v>
          </cell>
          <cell r="E5469" t="str">
            <v>Taxes on production and imports, less Subsidies</v>
          </cell>
          <cell r="F5469">
            <v>12</v>
          </cell>
          <cell r="G5469">
            <v>1973</v>
          </cell>
          <cell r="H5469">
            <v>100</v>
          </cell>
          <cell r="I5469">
            <v>2208000000</v>
          </cell>
        </row>
        <row r="5470">
          <cell r="A5470" t="str">
            <v>Denmark</v>
          </cell>
          <cell r="B5470">
            <v>208</v>
          </cell>
          <cell r="C5470">
            <v>203</v>
          </cell>
          <cell r="D5470">
            <v>22</v>
          </cell>
          <cell r="E5470" t="str">
            <v>Taxes on production and imports, less Subsidies</v>
          </cell>
          <cell r="F5470">
            <v>12</v>
          </cell>
          <cell r="G5470">
            <v>1974</v>
          </cell>
          <cell r="H5470">
            <v>100</v>
          </cell>
          <cell r="I5470">
            <v>1221000000</v>
          </cell>
        </row>
        <row r="5471">
          <cell r="A5471" t="str">
            <v>Denmark</v>
          </cell>
          <cell r="B5471">
            <v>208</v>
          </cell>
          <cell r="C5471">
            <v>203</v>
          </cell>
          <cell r="D5471">
            <v>22</v>
          </cell>
          <cell r="E5471" t="str">
            <v>Taxes on production and imports, less Subsidies</v>
          </cell>
          <cell r="F5471">
            <v>12</v>
          </cell>
          <cell r="G5471">
            <v>1975</v>
          </cell>
          <cell r="H5471">
            <v>100</v>
          </cell>
          <cell r="I5471">
            <v>2383000000</v>
          </cell>
        </row>
        <row r="5472">
          <cell r="A5472" t="str">
            <v>Denmark</v>
          </cell>
          <cell r="B5472">
            <v>208</v>
          </cell>
          <cell r="C5472">
            <v>203</v>
          </cell>
          <cell r="D5472">
            <v>22</v>
          </cell>
          <cell r="E5472" t="str">
            <v>Taxes on production and imports, less Subsidies</v>
          </cell>
          <cell r="F5472">
            <v>12</v>
          </cell>
          <cell r="G5472">
            <v>1976</v>
          </cell>
          <cell r="H5472">
            <v>100</v>
          </cell>
          <cell r="I5472">
            <v>1734000000</v>
          </cell>
        </row>
        <row r="5473">
          <cell r="A5473" t="str">
            <v>Denmark</v>
          </cell>
          <cell r="B5473">
            <v>208</v>
          </cell>
          <cell r="C5473">
            <v>203</v>
          </cell>
          <cell r="D5473">
            <v>22</v>
          </cell>
          <cell r="E5473" t="str">
            <v>Taxes on production and imports, less Subsidies</v>
          </cell>
          <cell r="F5473">
            <v>12</v>
          </cell>
          <cell r="G5473">
            <v>1977</v>
          </cell>
          <cell r="H5473">
            <v>100</v>
          </cell>
          <cell r="I5473">
            <v>2576000000</v>
          </cell>
        </row>
        <row r="5474">
          <cell r="A5474" t="str">
            <v>Denmark</v>
          </cell>
          <cell r="B5474">
            <v>208</v>
          </cell>
          <cell r="C5474">
            <v>203</v>
          </cell>
          <cell r="D5474">
            <v>22</v>
          </cell>
          <cell r="E5474" t="str">
            <v>Taxes on production and imports, less Subsidies</v>
          </cell>
          <cell r="F5474">
            <v>12</v>
          </cell>
          <cell r="G5474">
            <v>1978</v>
          </cell>
          <cell r="H5474">
            <v>100</v>
          </cell>
          <cell r="I5474">
            <v>2979000000</v>
          </cell>
        </row>
        <row r="5475">
          <cell r="A5475" t="str">
            <v>Denmark</v>
          </cell>
          <cell r="B5475">
            <v>208</v>
          </cell>
          <cell r="C5475">
            <v>203</v>
          </cell>
          <cell r="D5475">
            <v>22</v>
          </cell>
          <cell r="E5475" t="str">
            <v>Taxes on production and imports, less Subsidies</v>
          </cell>
          <cell r="F5475">
            <v>12</v>
          </cell>
          <cell r="G5475">
            <v>1979</v>
          </cell>
          <cell r="H5475">
            <v>100</v>
          </cell>
          <cell r="I5475">
            <v>3096000000</v>
          </cell>
        </row>
        <row r="5476">
          <cell r="A5476" t="str">
            <v>Denmark</v>
          </cell>
          <cell r="B5476">
            <v>208</v>
          </cell>
          <cell r="C5476">
            <v>203</v>
          </cell>
          <cell r="D5476">
            <v>22</v>
          </cell>
          <cell r="E5476" t="str">
            <v>Taxes on production and imports, less Subsidies</v>
          </cell>
          <cell r="F5476">
            <v>12</v>
          </cell>
          <cell r="G5476">
            <v>1980</v>
          </cell>
          <cell r="H5476">
            <v>100</v>
          </cell>
          <cell r="I5476">
            <v>2646000000</v>
          </cell>
        </row>
        <row r="5477">
          <cell r="A5477" t="str">
            <v>Denmark</v>
          </cell>
          <cell r="B5477">
            <v>208</v>
          </cell>
          <cell r="C5477">
            <v>203</v>
          </cell>
          <cell r="D5477">
            <v>22</v>
          </cell>
          <cell r="E5477" t="str">
            <v>Taxes on production and imports, less Subsidies</v>
          </cell>
          <cell r="F5477">
            <v>12</v>
          </cell>
          <cell r="G5477">
            <v>1981</v>
          </cell>
          <cell r="H5477">
            <v>100</v>
          </cell>
          <cell r="I5477">
            <v>1987000000</v>
          </cell>
        </row>
        <row r="5478">
          <cell r="A5478" t="str">
            <v>Denmark</v>
          </cell>
          <cell r="B5478">
            <v>208</v>
          </cell>
          <cell r="C5478">
            <v>203</v>
          </cell>
          <cell r="D5478">
            <v>22</v>
          </cell>
          <cell r="E5478" t="str">
            <v>Taxes on production and imports, less Subsidies</v>
          </cell>
          <cell r="F5478">
            <v>12</v>
          </cell>
          <cell r="G5478">
            <v>1982</v>
          </cell>
          <cell r="H5478">
            <v>100</v>
          </cell>
          <cell r="I5478">
            <v>552000000</v>
          </cell>
        </row>
        <row r="5479">
          <cell r="A5479" t="str">
            <v>Denmark</v>
          </cell>
          <cell r="B5479">
            <v>208</v>
          </cell>
          <cell r="C5479">
            <v>203</v>
          </cell>
          <cell r="D5479">
            <v>22</v>
          </cell>
          <cell r="E5479" t="str">
            <v>Taxes on production and imports, less Subsidies</v>
          </cell>
          <cell r="F5479">
            <v>12</v>
          </cell>
          <cell r="G5479">
            <v>1983</v>
          </cell>
          <cell r="H5479">
            <v>100</v>
          </cell>
          <cell r="I5479">
            <v>-1220000000</v>
          </cell>
        </row>
        <row r="5480">
          <cell r="A5480" t="str">
            <v>Denmark</v>
          </cell>
          <cell r="B5480">
            <v>208</v>
          </cell>
          <cell r="C5480">
            <v>203</v>
          </cell>
          <cell r="D5480">
            <v>22</v>
          </cell>
          <cell r="E5480" t="str">
            <v>Taxes on production and imports, less Subsidies</v>
          </cell>
          <cell r="F5480">
            <v>12</v>
          </cell>
          <cell r="G5480">
            <v>1984</v>
          </cell>
          <cell r="H5480">
            <v>100</v>
          </cell>
          <cell r="I5480">
            <v>-1004000000</v>
          </cell>
        </row>
        <row r="5481">
          <cell r="A5481" t="str">
            <v>Denmark</v>
          </cell>
          <cell r="B5481">
            <v>208</v>
          </cell>
          <cell r="C5481">
            <v>203</v>
          </cell>
          <cell r="D5481">
            <v>22</v>
          </cell>
          <cell r="E5481" t="str">
            <v>Taxes on production and imports, less Subsidies</v>
          </cell>
          <cell r="F5481">
            <v>12</v>
          </cell>
          <cell r="G5481">
            <v>1985</v>
          </cell>
          <cell r="H5481">
            <v>100</v>
          </cell>
          <cell r="I5481">
            <v>-444000000</v>
          </cell>
        </row>
        <row r="5482">
          <cell r="A5482" t="str">
            <v>Denmark</v>
          </cell>
          <cell r="B5482">
            <v>208</v>
          </cell>
          <cell r="C5482">
            <v>203</v>
          </cell>
          <cell r="D5482">
            <v>22</v>
          </cell>
          <cell r="E5482" t="str">
            <v>Taxes on production and imports, less Subsidies</v>
          </cell>
          <cell r="F5482">
            <v>12</v>
          </cell>
          <cell r="G5482">
            <v>1986</v>
          </cell>
          <cell r="H5482">
            <v>100</v>
          </cell>
          <cell r="I5482">
            <v>1002000000</v>
          </cell>
        </row>
        <row r="5483">
          <cell r="A5483" t="str">
            <v>Denmark</v>
          </cell>
          <cell r="B5483">
            <v>208</v>
          </cell>
          <cell r="C5483">
            <v>203</v>
          </cell>
          <cell r="D5483">
            <v>22</v>
          </cell>
          <cell r="E5483" t="str">
            <v>Taxes on production and imports, less Subsidies</v>
          </cell>
          <cell r="F5483">
            <v>12</v>
          </cell>
          <cell r="G5483">
            <v>1987</v>
          </cell>
          <cell r="H5483">
            <v>100</v>
          </cell>
          <cell r="I5483">
            <v>3902000000</v>
          </cell>
        </row>
        <row r="5484">
          <cell r="A5484" t="str">
            <v>Denmark</v>
          </cell>
          <cell r="B5484">
            <v>208</v>
          </cell>
          <cell r="C5484">
            <v>203</v>
          </cell>
          <cell r="D5484">
            <v>22</v>
          </cell>
          <cell r="E5484" t="str">
            <v>Taxes on production and imports, less Subsidies</v>
          </cell>
          <cell r="F5484">
            <v>12</v>
          </cell>
          <cell r="G5484">
            <v>1989</v>
          </cell>
          <cell r="H5484">
            <v>100</v>
          </cell>
          <cell r="I5484">
            <v>-1300000000</v>
          </cell>
        </row>
        <row r="5485">
          <cell r="A5485" t="str">
            <v>Denmark</v>
          </cell>
          <cell r="B5485">
            <v>208</v>
          </cell>
          <cell r="C5485">
            <v>203</v>
          </cell>
          <cell r="D5485">
            <v>22</v>
          </cell>
          <cell r="E5485" t="str">
            <v>Taxes on production and imports, less Subsidies</v>
          </cell>
          <cell r="F5485">
            <v>12</v>
          </cell>
          <cell r="G5485">
            <v>1990</v>
          </cell>
          <cell r="H5485">
            <v>100</v>
          </cell>
          <cell r="I5485">
            <v>-2190000000</v>
          </cell>
        </row>
        <row r="5486">
          <cell r="A5486" t="str">
            <v>Denmark</v>
          </cell>
          <cell r="B5486">
            <v>208</v>
          </cell>
          <cell r="C5486">
            <v>203</v>
          </cell>
          <cell r="D5486">
            <v>22</v>
          </cell>
          <cell r="E5486" t="str">
            <v>Taxes on production and imports, less Subsidies</v>
          </cell>
          <cell r="F5486">
            <v>12</v>
          </cell>
          <cell r="G5486">
            <v>1991</v>
          </cell>
          <cell r="H5486">
            <v>100</v>
          </cell>
          <cell r="I5486">
            <v>-1195000000</v>
          </cell>
        </row>
        <row r="5487">
          <cell r="A5487" t="str">
            <v>Denmark</v>
          </cell>
          <cell r="B5487">
            <v>208</v>
          </cell>
          <cell r="C5487">
            <v>203</v>
          </cell>
          <cell r="D5487">
            <v>22</v>
          </cell>
          <cell r="E5487" t="str">
            <v>Taxes on production and imports, less Subsidies</v>
          </cell>
          <cell r="F5487">
            <v>12</v>
          </cell>
          <cell r="G5487">
            <v>1992</v>
          </cell>
          <cell r="H5487">
            <v>100</v>
          </cell>
          <cell r="I5487">
            <v>-6327000000</v>
          </cell>
        </row>
        <row r="5488">
          <cell r="A5488" t="str">
            <v>Denmark</v>
          </cell>
          <cell r="B5488">
            <v>208</v>
          </cell>
          <cell r="C5488">
            <v>203</v>
          </cell>
          <cell r="D5488">
            <v>22</v>
          </cell>
          <cell r="E5488" t="str">
            <v>Taxes on production and imports, less Subsidies</v>
          </cell>
          <cell r="F5488">
            <v>12</v>
          </cell>
          <cell r="G5488">
            <v>1993</v>
          </cell>
          <cell r="H5488">
            <v>100</v>
          </cell>
          <cell r="I5488">
            <v>154000000</v>
          </cell>
        </row>
        <row r="5489">
          <cell r="A5489" t="str">
            <v>Denmark</v>
          </cell>
          <cell r="B5489">
            <v>208</v>
          </cell>
          <cell r="C5489">
            <v>203</v>
          </cell>
          <cell r="D5489">
            <v>22</v>
          </cell>
          <cell r="E5489" t="str">
            <v>Taxes on production and imports, less Subsidies</v>
          </cell>
          <cell r="F5489">
            <v>12</v>
          </cell>
          <cell r="G5489">
            <v>1994</v>
          </cell>
          <cell r="H5489">
            <v>100</v>
          </cell>
          <cell r="I5489">
            <v>-334000000</v>
          </cell>
        </row>
        <row r="5490">
          <cell r="A5490" t="str">
            <v>Denmark</v>
          </cell>
          <cell r="B5490">
            <v>208</v>
          </cell>
          <cell r="C5490">
            <v>203</v>
          </cell>
          <cell r="D5490">
            <v>22</v>
          </cell>
          <cell r="E5490" t="str">
            <v>Taxes on production and imports, less Subsidies</v>
          </cell>
          <cell r="F5490">
            <v>12</v>
          </cell>
          <cell r="G5490">
            <v>1995</v>
          </cell>
          <cell r="H5490">
            <v>100</v>
          </cell>
          <cell r="I5490">
            <v>-761000000</v>
          </cell>
        </row>
        <row r="5491">
          <cell r="A5491" t="str">
            <v>Denmark</v>
          </cell>
          <cell r="B5491">
            <v>208</v>
          </cell>
          <cell r="C5491">
            <v>203</v>
          </cell>
          <cell r="D5491">
            <v>22</v>
          </cell>
          <cell r="E5491" t="str">
            <v>Taxes on production and imports, less Subsidies</v>
          </cell>
          <cell r="F5491">
            <v>12</v>
          </cell>
          <cell r="G5491">
            <v>1996</v>
          </cell>
          <cell r="H5491">
            <v>100</v>
          </cell>
          <cell r="I5491">
            <v>-2342000000</v>
          </cell>
        </row>
        <row r="5492">
          <cell r="A5492" t="str">
            <v>Denmark</v>
          </cell>
          <cell r="B5492">
            <v>208</v>
          </cell>
          <cell r="C5492">
            <v>203</v>
          </cell>
          <cell r="D5492">
            <v>22</v>
          </cell>
          <cell r="E5492" t="str">
            <v>Taxes on production and imports, less Subsidies</v>
          </cell>
          <cell r="F5492">
            <v>12</v>
          </cell>
          <cell r="G5492">
            <v>1997</v>
          </cell>
          <cell r="H5492">
            <v>100</v>
          </cell>
          <cell r="I5492">
            <v>-230000000</v>
          </cell>
        </row>
        <row r="5493">
          <cell r="A5493" t="str">
            <v>Denmark</v>
          </cell>
          <cell r="B5493">
            <v>208</v>
          </cell>
          <cell r="C5493">
            <v>203</v>
          </cell>
          <cell r="D5493">
            <v>22</v>
          </cell>
          <cell r="E5493" t="str">
            <v>Taxes on production and imports, less Subsidies</v>
          </cell>
          <cell r="F5493">
            <v>12</v>
          </cell>
          <cell r="G5493">
            <v>1998</v>
          </cell>
          <cell r="H5493">
            <v>100</v>
          </cell>
          <cell r="I5493">
            <v>2687000000</v>
          </cell>
        </row>
        <row r="5494">
          <cell r="A5494" t="str">
            <v>Denmark</v>
          </cell>
          <cell r="B5494">
            <v>208</v>
          </cell>
          <cell r="C5494">
            <v>203</v>
          </cell>
          <cell r="D5494">
            <v>22</v>
          </cell>
          <cell r="E5494" t="str">
            <v>Taxes on production and imports, less Subsidies</v>
          </cell>
          <cell r="F5494">
            <v>12</v>
          </cell>
          <cell r="G5494">
            <v>1999</v>
          </cell>
          <cell r="H5494">
            <v>100</v>
          </cell>
          <cell r="I5494">
            <v>3215000000</v>
          </cell>
        </row>
        <row r="5495">
          <cell r="A5495" t="str">
            <v>Denmark</v>
          </cell>
          <cell r="B5495">
            <v>208</v>
          </cell>
          <cell r="C5495">
            <v>203</v>
          </cell>
          <cell r="D5495">
            <v>22</v>
          </cell>
          <cell r="E5495" t="str">
            <v>Taxes on production and imports, less Subsidies</v>
          </cell>
          <cell r="F5495">
            <v>12</v>
          </cell>
          <cell r="G5495">
            <v>2000</v>
          </cell>
          <cell r="H5495">
            <v>100</v>
          </cell>
          <cell r="I5495">
            <v>2607000000</v>
          </cell>
        </row>
        <row r="5496">
          <cell r="A5496" t="str">
            <v>Denmark</v>
          </cell>
          <cell r="B5496">
            <v>208</v>
          </cell>
          <cell r="C5496">
            <v>203</v>
          </cell>
          <cell r="D5496">
            <v>22</v>
          </cell>
          <cell r="E5496" t="str">
            <v>Taxes on production and imports, less Subsidies</v>
          </cell>
          <cell r="F5496">
            <v>12</v>
          </cell>
          <cell r="G5496">
            <v>2001</v>
          </cell>
          <cell r="H5496">
            <v>100</v>
          </cell>
          <cell r="I5496">
            <v>5229000000</v>
          </cell>
        </row>
        <row r="5497">
          <cell r="A5497" t="str">
            <v>Denmark</v>
          </cell>
          <cell r="B5497">
            <v>208</v>
          </cell>
          <cell r="C5497">
            <v>203</v>
          </cell>
          <cell r="D5497">
            <v>22</v>
          </cell>
          <cell r="E5497" t="str">
            <v>Taxes on production and imports, less Subsidies</v>
          </cell>
          <cell r="F5497">
            <v>12</v>
          </cell>
          <cell r="G5497">
            <v>2002</v>
          </cell>
          <cell r="H5497">
            <v>100</v>
          </cell>
          <cell r="I5497">
            <v>3937000000</v>
          </cell>
        </row>
        <row r="5498">
          <cell r="A5498" t="str">
            <v>Jamaica</v>
          </cell>
          <cell r="B5498">
            <v>388</v>
          </cell>
          <cell r="C5498">
            <v>203</v>
          </cell>
          <cell r="D5498">
            <v>11</v>
          </cell>
          <cell r="E5498" t="str">
            <v>OPERATING SURPLUS, GROSS</v>
          </cell>
          <cell r="F5498">
            <v>12</v>
          </cell>
          <cell r="G5498">
            <v>1970</v>
          </cell>
          <cell r="H5498">
            <v>20</v>
          </cell>
          <cell r="I5498">
            <v>502600000</v>
          </cell>
        </row>
        <row r="5499">
          <cell r="A5499" t="str">
            <v>Jamaica</v>
          </cell>
          <cell r="B5499">
            <v>388</v>
          </cell>
          <cell r="C5499">
            <v>203</v>
          </cell>
          <cell r="D5499">
            <v>11</v>
          </cell>
          <cell r="E5499" t="str">
            <v>OPERATING SURPLUS, GROSS</v>
          </cell>
          <cell r="F5499">
            <v>12</v>
          </cell>
          <cell r="G5499">
            <v>1971</v>
          </cell>
          <cell r="H5499">
            <v>20</v>
          </cell>
          <cell r="I5499">
            <v>546500000</v>
          </cell>
        </row>
        <row r="5500">
          <cell r="A5500" t="str">
            <v>Jamaica</v>
          </cell>
          <cell r="B5500">
            <v>388</v>
          </cell>
          <cell r="C5500">
            <v>203</v>
          </cell>
          <cell r="D5500">
            <v>11</v>
          </cell>
          <cell r="E5500" t="str">
            <v>OPERATING SURPLUS, GROSS</v>
          </cell>
          <cell r="F5500">
            <v>12</v>
          </cell>
          <cell r="G5500">
            <v>1972</v>
          </cell>
          <cell r="H5500">
            <v>20</v>
          </cell>
          <cell r="I5500">
            <v>583700000</v>
          </cell>
        </row>
        <row r="5501">
          <cell r="A5501" t="str">
            <v>Jamaica</v>
          </cell>
          <cell r="B5501">
            <v>388</v>
          </cell>
          <cell r="C5501">
            <v>203</v>
          </cell>
          <cell r="D5501">
            <v>11</v>
          </cell>
          <cell r="E5501" t="str">
            <v>OPERATING SURPLUS, GROSS</v>
          </cell>
          <cell r="F5501">
            <v>12</v>
          </cell>
          <cell r="G5501">
            <v>1973</v>
          </cell>
          <cell r="H5501">
            <v>20</v>
          </cell>
          <cell r="I5501">
            <v>685200000</v>
          </cell>
        </row>
        <row r="5502">
          <cell r="A5502" t="str">
            <v>Jamaica</v>
          </cell>
          <cell r="B5502">
            <v>388</v>
          </cell>
          <cell r="C5502">
            <v>203</v>
          </cell>
          <cell r="D5502">
            <v>11</v>
          </cell>
          <cell r="E5502" t="str">
            <v>OPERATING SURPLUS, GROSS</v>
          </cell>
          <cell r="F5502">
            <v>12</v>
          </cell>
          <cell r="G5502">
            <v>1974</v>
          </cell>
          <cell r="H5502">
            <v>20</v>
          </cell>
          <cell r="I5502">
            <v>863400000</v>
          </cell>
        </row>
        <row r="5503">
          <cell r="A5503" t="str">
            <v>Jamaica</v>
          </cell>
          <cell r="B5503">
            <v>388</v>
          </cell>
          <cell r="C5503">
            <v>203</v>
          </cell>
          <cell r="D5503">
            <v>11</v>
          </cell>
          <cell r="E5503" t="str">
            <v>OPERATING SURPLUS, GROSS</v>
          </cell>
          <cell r="F5503">
            <v>12</v>
          </cell>
          <cell r="G5503">
            <v>1975</v>
          </cell>
          <cell r="H5503">
            <v>20</v>
          </cell>
          <cell r="I5503">
            <v>979000000</v>
          </cell>
        </row>
        <row r="5504">
          <cell r="A5504" t="str">
            <v>Jamaica</v>
          </cell>
          <cell r="B5504">
            <v>388</v>
          </cell>
          <cell r="C5504">
            <v>203</v>
          </cell>
          <cell r="D5504">
            <v>11</v>
          </cell>
          <cell r="E5504" t="str">
            <v>OPERATING SURPLUS, GROSS</v>
          </cell>
          <cell r="F5504">
            <v>12</v>
          </cell>
          <cell r="G5504">
            <v>1976</v>
          </cell>
          <cell r="H5504">
            <v>20</v>
          </cell>
          <cell r="I5504">
            <v>991200000</v>
          </cell>
        </row>
        <row r="5505">
          <cell r="A5505" t="str">
            <v>Jamaica</v>
          </cell>
          <cell r="B5505">
            <v>388</v>
          </cell>
          <cell r="C5505">
            <v>203</v>
          </cell>
          <cell r="D5505">
            <v>11</v>
          </cell>
          <cell r="E5505" t="str">
            <v>OPERATING SURPLUS, GROSS</v>
          </cell>
          <cell r="F5505">
            <v>12</v>
          </cell>
          <cell r="G5505">
            <v>1977</v>
          </cell>
          <cell r="H5505">
            <v>20</v>
          </cell>
          <cell r="I5505">
            <v>1150100000</v>
          </cell>
        </row>
        <row r="5506">
          <cell r="A5506" t="str">
            <v>Jamaica</v>
          </cell>
          <cell r="B5506">
            <v>388</v>
          </cell>
          <cell r="C5506">
            <v>203</v>
          </cell>
          <cell r="D5506">
            <v>11</v>
          </cell>
          <cell r="E5506" t="str">
            <v>OPERATING SURPLUS, GROSS</v>
          </cell>
          <cell r="F5506">
            <v>12</v>
          </cell>
          <cell r="G5506">
            <v>1978</v>
          </cell>
          <cell r="H5506">
            <v>20</v>
          </cell>
          <cell r="I5506">
            <v>1615600000</v>
          </cell>
        </row>
        <row r="5507">
          <cell r="A5507" t="str">
            <v>Jamaica</v>
          </cell>
          <cell r="B5507">
            <v>388</v>
          </cell>
          <cell r="C5507">
            <v>203</v>
          </cell>
          <cell r="D5507">
            <v>11</v>
          </cell>
          <cell r="E5507" t="str">
            <v>OPERATING SURPLUS, GROSS</v>
          </cell>
          <cell r="F5507">
            <v>12</v>
          </cell>
          <cell r="G5507">
            <v>1979</v>
          </cell>
          <cell r="H5507">
            <v>20</v>
          </cell>
          <cell r="I5507">
            <v>1873900000</v>
          </cell>
        </row>
        <row r="5508">
          <cell r="A5508" t="str">
            <v>Jamaica</v>
          </cell>
          <cell r="B5508">
            <v>388</v>
          </cell>
          <cell r="C5508">
            <v>203</v>
          </cell>
          <cell r="D5508">
            <v>11</v>
          </cell>
          <cell r="E5508" t="str">
            <v>OPERATING SURPLUS, GROSS</v>
          </cell>
          <cell r="F5508">
            <v>12</v>
          </cell>
          <cell r="G5508">
            <v>1980</v>
          </cell>
          <cell r="H5508">
            <v>20</v>
          </cell>
          <cell r="I5508">
            <v>2113300000</v>
          </cell>
        </row>
        <row r="5509">
          <cell r="A5509" t="str">
            <v>Jamaica</v>
          </cell>
          <cell r="B5509">
            <v>388</v>
          </cell>
          <cell r="C5509">
            <v>203</v>
          </cell>
          <cell r="D5509">
            <v>11</v>
          </cell>
          <cell r="E5509" t="str">
            <v>OPERATING SURPLUS, GROSS</v>
          </cell>
          <cell r="F5509">
            <v>12</v>
          </cell>
          <cell r="G5509">
            <v>1981</v>
          </cell>
          <cell r="H5509">
            <v>20</v>
          </cell>
          <cell r="I5509">
            <v>2267100000</v>
          </cell>
        </row>
        <row r="5510">
          <cell r="A5510" t="str">
            <v>Jamaica</v>
          </cell>
          <cell r="B5510">
            <v>388</v>
          </cell>
          <cell r="C5510">
            <v>203</v>
          </cell>
          <cell r="D5510">
            <v>11</v>
          </cell>
          <cell r="E5510" t="str">
            <v>OPERATING SURPLUS, GROSS</v>
          </cell>
          <cell r="F5510">
            <v>12</v>
          </cell>
          <cell r="G5510">
            <v>1982</v>
          </cell>
          <cell r="H5510">
            <v>20</v>
          </cell>
          <cell r="I5510">
            <v>2321500000</v>
          </cell>
        </row>
        <row r="5511">
          <cell r="A5511" t="str">
            <v>Jamaica</v>
          </cell>
          <cell r="B5511">
            <v>388</v>
          </cell>
          <cell r="C5511">
            <v>203</v>
          </cell>
          <cell r="D5511">
            <v>11</v>
          </cell>
          <cell r="E5511" t="str">
            <v>OPERATING SURPLUS, GROSS</v>
          </cell>
          <cell r="F5511">
            <v>12</v>
          </cell>
          <cell r="G5511">
            <v>1983</v>
          </cell>
          <cell r="H5511">
            <v>20</v>
          </cell>
          <cell r="I5511">
            <v>3162200000</v>
          </cell>
        </row>
        <row r="5512">
          <cell r="A5512" t="str">
            <v>Jamaica</v>
          </cell>
          <cell r="B5512">
            <v>388</v>
          </cell>
          <cell r="C5512">
            <v>203</v>
          </cell>
          <cell r="D5512">
            <v>11</v>
          </cell>
          <cell r="E5512" t="str">
            <v>OPERATING SURPLUS, GROSS</v>
          </cell>
          <cell r="F5512">
            <v>12</v>
          </cell>
          <cell r="G5512">
            <v>1984</v>
          </cell>
          <cell r="H5512">
            <v>20</v>
          </cell>
          <cell r="I5512">
            <v>4435600000</v>
          </cell>
        </row>
        <row r="5513">
          <cell r="A5513" t="str">
            <v>Jamaica</v>
          </cell>
          <cell r="B5513">
            <v>388</v>
          </cell>
          <cell r="C5513">
            <v>203</v>
          </cell>
          <cell r="D5513">
            <v>11</v>
          </cell>
          <cell r="E5513" t="str">
            <v>OPERATING SURPLUS, GROSS</v>
          </cell>
          <cell r="F5513">
            <v>12</v>
          </cell>
          <cell r="G5513">
            <v>1985</v>
          </cell>
          <cell r="H5513">
            <v>20</v>
          </cell>
          <cell r="I5513">
            <v>5685600000</v>
          </cell>
        </row>
        <row r="5514">
          <cell r="A5514" t="str">
            <v>Jamaica</v>
          </cell>
          <cell r="B5514">
            <v>388</v>
          </cell>
          <cell r="C5514">
            <v>203</v>
          </cell>
          <cell r="D5514">
            <v>11</v>
          </cell>
          <cell r="E5514" t="str">
            <v>OPERATING SURPLUS, GROSS</v>
          </cell>
          <cell r="F5514">
            <v>12</v>
          </cell>
          <cell r="G5514">
            <v>1986</v>
          </cell>
          <cell r="H5514">
            <v>20</v>
          </cell>
          <cell r="I5514">
            <v>6684800000</v>
          </cell>
        </row>
        <row r="5515">
          <cell r="A5515" t="str">
            <v>Jamaica</v>
          </cell>
          <cell r="B5515">
            <v>388</v>
          </cell>
          <cell r="C5515">
            <v>203</v>
          </cell>
          <cell r="D5515">
            <v>11</v>
          </cell>
          <cell r="E5515" t="str">
            <v>OPERATING SURPLUS, GROSS</v>
          </cell>
          <cell r="F5515">
            <v>12</v>
          </cell>
          <cell r="G5515">
            <v>1987</v>
          </cell>
          <cell r="H5515">
            <v>20</v>
          </cell>
          <cell r="I5515">
            <v>7746600000</v>
          </cell>
        </row>
        <row r="5516">
          <cell r="A5516" t="str">
            <v>Jamaica</v>
          </cell>
          <cell r="B5516">
            <v>388</v>
          </cell>
          <cell r="C5516">
            <v>203</v>
          </cell>
          <cell r="D5516">
            <v>11</v>
          </cell>
          <cell r="E5516" t="str">
            <v>OPERATING SURPLUS, GROSS</v>
          </cell>
          <cell r="F5516">
            <v>12</v>
          </cell>
          <cell r="G5516">
            <v>1988</v>
          </cell>
          <cell r="H5516">
            <v>20</v>
          </cell>
          <cell r="I5516">
            <v>8528100000</v>
          </cell>
        </row>
        <row r="5517">
          <cell r="A5517" t="str">
            <v>Jamaica</v>
          </cell>
          <cell r="B5517">
            <v>388</v>
          </cell>
          <cell r="C5517">
            <v>203</v>
          </cell>
          <cell r="D5517">
            <v>22</v>
          </cell>
          <cell r="E5517" t="str">
            <v>Taxes on production and imports, less Subsidies</v>
          </cell>
          <cell r="F5517">
            <v>12</v>
          </cell>
          <cell r="G5517">
            <v>1970</v>
          </cell>
          <cell r="H5517">
            <v>20</v>
          </cell>
          <cell r="I5517">
            <v>97800000</v>
          </cell>
        </row>
        <row r="5518">
          <cell r="A5518" t="str">
            <v>Jamaica</v>
          </cell>
          <cell r="B5518">
            <v>388</v>
          </cell>
          <cell r="C5518">
            <v>203</v>
          </cell>
          <cell r="D5518">
            <v>22</v>
          </cell>
          <cell r="E5518" t="str">
            <v>Taxes on production and imports, less Subsidies</v>
          </cell>
          <cell r="F5518">
            <v>12</v>
          </cell>
          <cell r="G5518">
            <v>1971</v>
          </cell>
          <cell r="H5518">
            <v>20</v>
          </cell>
          <cell r="I5518">
            <v>113700000</v>
          </cell>
        </row>
        <row r="5519">
          <cell r="A5519" t="str">
            <v>Jamaica</v>
          </cell>
          <cell r="B5519">
            <v>388</v>
          </cell>
          <cell r="C5519">
            <v>203</v>
          </cell>
          <cell r="D5519">
            <v>22</v>
          </cell>
          <cell r="E5519" t="str">
            <v>Taxes on production and imports, less Subsidies</v>
          </cell>
          <cell r="F5519">
            <v>12</v>
          </cell>
          <cell r="G5519">
            <v>1972</v>
          </cell>
          <cell r="H5519">
            <v>20</v>
          </cell>
          <cell r="I5519">
            <v>125400000</v>
          </cell>
        </row>
        <row r="5520">
          <cell r="A5520" t="str">
            <v>Jamaica</v>
          </cell>
          <cell r="B5520">
            <v>388</v>
          </cell>
          <cell r="C5520">
            <v>203</v>
          </cell>
          <cell r="D5520">
            <v>22</v>
          </cell>
          <cell r="E5520" t="str">
            <v>Taxes on production and imports, less Subsidies</v>
          </cell>
          <cell r="F5520">
            <v>12</v>
          </cell>
          <cell r="G5520">
            <v>1973</v>
          </cell>
          <cell r="H5520">
            <v>20</v>
          </cell>
          <cell r="I5520">
            <v>146300000</v>
          </cell>
        </row>
        <row r="5521">
          <cell r="A5521" t="str">
            <v>Jamaica</v>
          </cell>
          <cell r="B5521">
            <v>388</v>
          </cell>
          <cell r="C5521">
            <v>203</v>
          </cell>
          <cell r="D5521">
            <v>22</v>
          </cell>
          <cell r="E5521" t="str">
            <v>Taxes on production and imports, less Subsidies</v>
          </cell>
          <cell r="F5521">
            <v>12</v>
          </cell>
          <cell r="G5521">
            <v>1974</v>
          </cell>
          <cell r="H5521">
            <v>20</v>
          </cell>
          <cell r="I5521">
            <v>179600000</v>
          </cell>
        </row>
        <row r="5522">
          <cell r="A5522" t="str">
            <v>Jamaica</v>
          </cell>
          <cell r="B5522">
            <v>388</v>
          </cell>
          <cell r="C5522">
            <v>203</v>
          </cell>
          <cell r="D5522">
            <v>22</v>
          </cell>
          <cell r="E5522" t="str">
            <v>Taxes on production and imports, less Subsidies</v>
          </cell>
          <cell r="F5522">
            <v>12</v>
          </cell>
          <cell r="G5522">
            <v>1975</v>
          </cell>
          <cell r="H5522">
            <v>20</v>
          </cell>
          <cell r="I5522">
            <v>238600000</v>
          </cell>
        </row>
        <row r="5523">
          <cell r="A5523" t="str">
            <v>Jamaica</v>
          </cell>
          <cell r="B5523">
            <v>388</v>
          </cell>
          <cell r="C5523">
            <v>203</v>
          </cell>
          <cell r="D5523">
            <v>22</v>
          </cell>
          <cell r="E5523" t="str">
            <v>Taxes on production and imports, less Subsidies</v>
          </cell>
          <cell r="F5523">
            <v>12</v>
          </cell>
          <cell r="G5523">
            <v>1976</v>
          </cell>
          <cell r="H5523">
            <v>20</v>
          </cell>
          <cell r="I5523">
            <v>236700000</v>
          </cell>
        </row>
        <row r="5524">
          <cell r="A5524" t="str">
            <v>Jamaica</v>
          </cell>
          <cell r="B5524">
            <v>388</v>
          </cell>
          <cell r="C5524">
            <v>203</v>
          </cell>
          <cell r="D5524">
            <v>22</v>
          </cell>
          <cell r="E5524" t="str">
            <v>Taxes on production and imports, less Subsidies</v>
          </cell>
          <cell r="F5524">
            <v>12</v>
          </cell>
          <cell r="G5524">
            <v>1977</v>
          </cell>
          <cell r="H5524">
            <v>20</v>
          </cell>
          <cell r="I5524">
            <v>215700000</v>
          </cell>
        </row>
        <row r="5525">
          <cell r="A5525" t="str">
            <v>Jamaica</v>
          </cell>
          <cell r="B5525">
            <v>388</v>
          </cell>
          <cell r="C5525">
            <v>203</v>
          </cell>
          <cell r="D5525">
            <v>22</v>
          </cell>
          <cell r="E5525" t="str">
            <v>Taxes on production and imports, less Subsidies</v>
          </cell>
          <cell r="F5525">
            <v>12</v>
          </cell>
          <cell r="G5525">
            <v>1978</v>
          </cell>
          <cell r="H5525">
            <v>20</v>
          </cell>
          <cell r="I5525">
            <v>271700000</v>
          </cell>
        </row>
        <row r="5526">
          <cell r="A5526" t="str">
            <v>Jamaica</v>
          </cell>
          <cell r="B5526">
            <v>388</v>
          </cell>
          <cell r="C5526">
            <v>203</v>
          </cell>
          <cell r="D5526">
            <v>22</v>
          </cell>
          <cell r="E5526" t="str">
            <v>Taxes on production and imports, less Subsidies</v>
          </cell>
          <cell r="F5526">
            <v>12</v>
          </cell>
          <cell r="G5526">
            <v>1979</v>
          </cell>
          <cell r="H5526">
            <v>20</v>
          </cell>
          <cell r="I5526">
            <v>358000000</v>
          </cell>
        </row>
        <row r="5527">
          <cell r="A5527" t="str">
            <v>Jamaica</v>
          </cell>
          <cell r="B5527">
            <v>388</v>
          </cell>
          <cell r="C5527">
            <v>203</v>
          </cell>
          <cell r="D5527">
            <v>22</v>
          </cell>
          <cell r="E5527" t="str">
            <v>Taxes on production and imports, less Subsidies</v>
          </cell>
          <cell r="F5527">
            <v>12</v>
          </cell>
          <cell r="G5527">
            <v>1980</v>
          </cell>
          <cell r="H5527">
            <v>20</v>
          </cell>
          <cell r="I5527">
            <v>387100000</v>
          </cell>
        </row>
        <row r="5528">
          <cell r="A5528" t="str">
            <v>Jamaica</v>
          </cell>
          <cell r="B5528">
            <v>388</v>
          </cell>
          <cell r="C5528">
            <v>203</v>
          </cell>
          <cell r="D5528">
            <v>22</v>
          </cell>
          <cell r="E5528" t="str">
            <v>Taxes on production and imports, less Subsidies</v>
          </cell>
          <cell r="F5528">
            <v>12</v>
          </cell>
          <cell r="G5528">
            <v>1981</v>
          </cell>
          <cell r="H5528">
            <v>20</v>
          </cell>
          <cell r="I5528">
            <v>517400000</v>
          </cell>
        </row>
        <row r="5529">
          <cell r="A5529" t="str">
            <v>Jamaica</v>
          </cell>
          <cell r="B5529">
            <v>388</v>
          </cell>
          <cell r="C5529">
            <v>203</v>
          </cell>
          <cell r="D5529">
            <v>22</v>
          </cell>
          <cell r="E5529" t="str">
            <v>Taxes on production and imports, less Subsidies</v>
          </cell>
          <cell r="F5529">
            <v>12</v>
          </cell>
          <cell r="G5529">
            <v>1982</v>
          </cell>
          <cell r="H5529">
            <v>20</v>
          </cell>
          <cell r="I5529">
            <v>642600000</v>
          </cell>
        </row>
        <row r="5530">
          <cell r="A5530" t="str">
            <v>Jamaica</v>
          </cell>
          <cell r="B5530">
            <v>388</v>
          </cell>
          <cell r="C5530">
            <v>203</v>
          </cell>
          <cell r="D5530">
            <v>22</v>
          </cell>
          <cell r="E5530" t="str">
            <v>Taxes on production and imports, less Subsidies</v>
          </cell>
          <cell r="F5530">
            <v>12</v>
          </cell>
          <cell r="G5530">
            <v>1983</v>
          </cell>
          <cell r="H5530">
            <v>20</v>
          </cell>
          <cell r="I5530">
            <v>591800000</v>
          </cell>
        </row>
        <row r="5531">
          <cell r="A5531" t="str">
            <v>Jamaica</v>
          </cell>
          <cell r="B5531">
            <v>388</v>
          </cell>
          <cell r="C5531">
            <v>203</v>
          </cell>
          <cell r="D5531">
            <v>22</v>
          </cell>
          <cell r="E5531" t="str">
            <v>Taxes on production and imports, less Subsidies</v>
          </cell>
          <cell r="F5531">
            <v>12</v>
          </cell>
          <cell r="G5531">
            <v>1984</v>
          </cell>
          <cell r="H5531">
            <v>20</v>
          </cell>
          <cell r="I5531">
            <v>934100000</v>
          </cell>
        </row>
        <row r="5532">
          <cell r="A5532" t="str">
            <v>Jamaica</v>
          </cell>
          <cell r="B5532">
            <v>388</v>
          </cell>
          <cell r="C5532">
            <v>203</v>
          </cell>
          <cell r="D5532">
            <v>22</v>
          </cell>
          <cell r="E5532" t="str">
            <v>Taxes on production and imports, less Subsidies</v>
          </cell>
          <cell r="F5532">
            <v>12</v>
          </cell>
          <cell r="G5532">
            <v>1985</v>
          </cell>
          <cell r="H5532">
            <v>20</v>
          </cell>
          <cell r="I5532">
            <v>1029200000</v>
          </cell>
        </row>
        <row r="5533">
          <cell r="A5533" t="str">
            <v>Jamaica</v>
          </cell>
          <cell r="B5533">
            <v>388</v>
          </cell>
          <cell r="C5533">
            <v>203</v>
          </cell>
          <cell r="D5533">
            <v>22</v>
          </cell>
          <cell r="E5533" t="str">
            <v>Taxes on production and imports, less Subsidies</v>
          </cell>
          <cell r="F5533">
            <v>12</v>
          </cell>
          <cell r="G5533">
            <v>1986</v>
          </cell>
          <cell r="H5533">
            <v>20</v>
          </cell>
          <cell r="I5533">
            <v>2020900000</v>
          </cell>
        </row>
        <row r="5534">
          <cell r="A5534" t="str">
            <v>Jamaica</v>
          </cell>
          <cell r="B5534">
            <v>388</v>
          </cell>
          <cell r="C5534">
            <v>203</v>
          </cell>
          <cell r="D5534">
            <v>22</v>
          </cell>
          <cell r="E5534" t="str">
            <v>Taxes on production and imports, less Subsidies</v>
          </cell>
          <cell r="F5534">
            <v>12</v>
          </cell>
          <cell r="G5534">
            <v>1987</v>
          </cell>
          <cell r="H5534">
            <v>20</v>
          </cell>
          <cell r="I5534">
            <v>2554900000</v>
          </cell>
        </row>
        <row r="5535">
          <cell r="A5535" t="str">
            <v>Jamaica</v>
          </cell>
          <cell r="B5535">
            <v>388</v>
          </cell>
          <cell r="C5535">
            <v>203</v>
          </cell>
          <cell r="D5535">
            <v>22</v>
          </cell>
          <cell r="E5535" t="str">
            <v>Taxes on production and imports, less Subsidies</v>
          </cell>
          <cell r="F5535">
            <v>12</v>
          </cell>
          <cell r="G5535">
            <v>1988</v>
          </cell>
          <cell r="H5535">
            <v>20</v>
          </cell>
          <cell r="I5535">
            <v>2972400000</v>
          </cell>
        </row>
        <row r="5536">
          <cell r="A5536" t="str">
            <v>Ecuador</v>
          </cell>
          <cell r="B5536">
            <v>218</v>
          </cell>
          <cell r="C5536">
            <v>201</v>
          </cell>
          <cell r="D5536">
            <v>13</v>
          </cell>
          <cell r="E5536" t="str">
            <v>Less: Financial intermediation services indirectly measured (FISIM) (only to be deducted if FISIM is not distributed to uses)</v>
          </cell>
          <cell r="F5536">
            <v>0</v>
          </cell>
          <cell r="G5536">
            <v>1950</v>
          </cell>
          <cell r="H5536">
            <v>10</v>
          </cell>
          <cell r="I5536">
            <v>58000000</v>
          </cell>
        </row>
        <row r="5537">
          <cell r="A5537" t="str">
            <v>Ecuador</v>
          </cell>
          <cell r="B5537">
            <v>218</v>
          </cell>
          <cell r="C5537">
            <v>201</v>
          </cell>
          <cell r="D5537">
            <v>13</v>
          </cell>
          <cell r="E5537" t="str">
            <v>Less: Financial intermediation services indirectly measured (FISIM) (only to be deducted if FISIM is not distributed to uses)</v>
          </cell>
          <cell r="F5537">
            <v>0</v>
          </cell>
          <cell r="G5537">
            <v>1951</v>
          </cell>
          <cell r="H5537">
            <v>10</v>
          </cell>
          <cell r="I5537">
            <v>67000000</v>
          </cell>
        </row>
        <row r="5538">
          <cell r="A5538" t="str">
            <v>Ecuador</v>
          </cell>
          <cell r="B5538">
            <v>218</v>
          </cell>
          <cell r="C5538">
            <v>201</v>
          </cell>
          <cell r="D5538">
            <v>13</v>
          </cell>
          <cell r="E5538" t="str">
            <v>Less: Financial intermediation services indirectly measured (FISIM) (only to be deducted if FISIM is not distributed to uses)</v>
          </cell>
          <cell r="F5538">
            <v>0</v>
          </cell>
          <cell r="G5538">
            <v>1952</v>
          </cell>
          <cell r="H5538">
            <v>10</v>
          </cell>
          <cell r="I5538">
            <v>72000000</v>
          </cell>
        </row>
        <row r="5539">
          <cell r="A5539" t="str">
            <v>Ecuador</v>
          </cell>
          <cell r="B5539">
            <v>218</v>
          </cell>
          <cell r="C5539">
            <v>201</v>
          </cell>
          <cell r="D5539">
            <v>13</v>
          </cell>
          <cell r="E5539" t="str">
            <v>Less: Financial intermediation services indirectly measured (FISIM) (only to be deducted if FISIM is not distributed to uses)</v>
          </cell>
          <cell r="F5539">
            <v>0</v>
          </cell>
          <cell r="G5539">
            <v>1953</v>
          </cell>
          <cell r="H5539">
            <v>10</v>
          </cell>
          <cell r="I5539">
            <v>77000000</v>
          </cell>
        </row>
        <row r="5540">
          <cell r="A5540" t="str">
            <v>Ecuador</v>
          </cell>
          <cell r="B5540">
            <v>218</v>
          </cell>
          <cell r="C5540">
            <v>201</v>
          </cell>
          <cell r="D5540">
            <v>13</v>
          </cell>
          <cell r="E5540" t="str">
            <v>Less: Financial intermediation services indirectly measured (FISIM) (only to be deducted if FISIM is not distributed to uses)</v>
          </cell>
          <cell r="F5540">
            <v>0</v>
          </cell>
          <cell r="G5540">
            <v>1954</v>
          </cell>
          <cell r="H5540">
            <v>10</v>
          </cell>
          <cell r="I5540">
            <v>86000000</v>
          </cell>
        </row>
        <row r="5541">
          <cell r="A5541" t="str">
            <v>Ecuador</v>
          </cell>
          <cell r="B5541">
            <v>218</v>
          </cell>
          <cell r="C5541">
            <v>201</v>
          </cell>
          <cell r="D5541">
            <v>13</v>
          </cell>
          <cell r="E5541" t="str">
            <v>Less: Financial intermediation services indirectly measured (FISIM) (only to be deducted if FISIM is not distributed to uses)</v>
          </cell>
          <cell r="F5541">
            <v>0</v>
          </cell>
          <cell r="G5541">
            <v>1955</v>
          </cell>
          <cell r="H5541">
            <v>10</v>
          </cell>
          <cell r="I5541">
            <v>97000000</v>
          </cell>
        </row>
        <row r="5542">
          <cell r="A5542" t="str">
            <v>Ecuador</v>
          </cell>
          <cell r="B5542">
            <v>218</v>
          </cell>
          <cell r="C5542">
            <v>201</v>
          </cell>
          <cell r="D5542">
            <v>13</v>
          </cell>
          <cell r="E5542" t="str">
            <v>Less: Financial intermediation services indirectly measured (FISIM) (only to be deducted if FISIM is not distributed to uses)</v>
          </cell>
          <cell r="F5542">
            <v>0</v>
          </cell>
          <cell r="G5542">
            <v>1956</v>
          </cell>
          <cell r="H5542">
            <v>10</v>
          </cell>
          <cell r="I5542">
            <v>107000000</v>
          </cell>
        </row>
        <row r="5543">
          <cell r="A5543" t="str">
            <v>Ecuador</v>
          </cell>
          <cell r="B5543">
            <v>218</v>
          </cell>
          <cell r="C5543">
            <v>201</v>
          </cell>
          <cell r="D5543">
            <v>13</v>
          </cell>
          <cell r="E5543" t="str">
            <v>Less: Financial intermediation services indirectly measured (FISIM) (only to be deducted if FISIM is not distributed to uses)</v>
          </cell>
          <cell r="F5543">
            <v>0</v>
          </cell>
          <cell r="G5543">
            <v>1957</v>
          </cell>
          <cell r="H5543">
            <v>10</v>
          </cell>
          <cell r="I5543">
            <v>119000000</v>
          </cell>
        </row>
        <row r="5544">
          <cell r="A5544" t="str">
            <v>Ecuador</v>
          </cell>
          <cell r="B5544">
            <v>218</v>
          </cell>
          <cell r="C5544">
            <v>201</v>
          </cell>
          <cell r="D5544">
            <v>13</v>
          </cell>
          <cell r="E5544" t="str">
            <v>Less: Financial intermediation services indirectly measured (FISIM) (only to be deducted if FISIM is not distributed to uses)</v>
          </cell>
          <cell r="F5544">
            <v>0</v>
          </cell>
          <cell r="G5544">
            <v>1958</v>
          </cell>
          <cell r="H5544">
            <v>10</v>
          </cell>
          <cell r="I5544">
            <v>124000000</v>
          </cell>
        </row>
        <row r="5545">
          <cell r="A5545" t="str">
            <v>Ecuador</v>
          </cell>
          <cell r="B5545">
            <v>218</v>
          </cell>
          <cell r="C5545">
            <v>201</v>
          </cell>
          <cell r="D5545">
            <v>13</v>
          </cell>
          <cell r="E5545" t="str">
            <v>Less: Financial intermediation services indirectly measured (FISIM) (only to be deducted if FISIM is not distributed to uses)</v>
          </cell>
          <cell r="F5545">
            <v>0</v>
          </cell>
          <cell r="G5545">
            <v>1959</v>
          </cell>
          <cell r="H5545">
            <v>10</v>
          </cell>
          <cell r="I5545">
            <v>136000000</v>
          </cell>
        </row>
        <row r="5546">
          <cell r="A5546" t="str">
            <v>Ecuador</v>
          </cell>
          <cell r="B5546">
            <v>218</v>
          </cell>
          <cell r="C5546">
            <v>201</v>
          </cell>
          <cell r="D5546">
            <v>13</v>
          </cell>
          <cell r="E5546" t="str">
            <v>Less: Financial intermediation services indirectly measured (FISIM) (only to be deducted if FISIM is not distributed to uses)</v>
          </cell>
          <cell r="F5546">
            <v>0</v>
          </cell>
          <cell r="G5546">
            <v>1960</v>
          </cell>
          <cell r="H5546">
            <v>10</v>
          </cell>
          <cell r="I5546">
            <v>140000000</v>
          </cell>
        </row>
        <row r="5547">
          <cell r="A5547" t="str">
            <v>Ecuador</v>
          </cell>
          <cell r="B5547">
            <v>218</v>
          </cell>
          <cell r="C5547">
            <v>201</v>
          </cell>
          <cell r="D5547">
            <v>13</v>
          </cell>
          <cell r="E5547" t="str">
            <v>Less: Financial intermediation services indirectly measured (FISIM) (only to be deducted if FISIM is not distributed to uses)</v>
          </cell>
          <cell r="F5547">
            <v>0</v>
          </cell>
          <cell r="G5547">
            <v>1961</v>
          </cell>
          <cell r="H5547">
            <v>10</v>
          </cell>
          <cell r="I5547">
            <v>164000000</v>
          </cell>
        </row>
        <row r="5548">
          <cell r="A5548" t="str">
            <v>Ecuador</v>
          </cell>
          <cell r="B5548">
            <v>218</v>
          </cell>
          <cell r="C5548">
            <v>201</v>
          </cell>
          <cell r="D5548">
            <v>13</v>
          </cell>
          <cell r="E5548" t="str">
            <v>Less: Financial intermediation services indirectly measured (FISIM) (only to be deducted if FISIM is not distributed to uses)</v>
          </cell>
          <cell r="F5548">
            <v>0</v>
          </cell>
          <cell r="G5548">
            <v>1962</v>
          </cell>
          <cell r="H5548">
            <v>10</v>
          </cell>
          <cell r="I5548">
            <v>170000000</v>
          </cell>
        </row>
        <row r="5549">
          <cell r="A5549" t="str">
            <v>Ecuador</v>
          </cell>
          <cell r="B5549">
            <v>218</v>
          </cell>
          <cell r="C5549">
            <v>201</v>
          </cell>
          <cell r="D5549">
            <v>13</v>
          </cell>
          <cell r="E5549" t="str">
            <v>Less: Financial intermediation services indirectly measured (FISIM) (only to be deducted if FISIM is not distributed to uses)</v>
          </cell>
          <cell r="F5549">
            <v>0</v>
          </cell>
          <cell r="G5549">
            <v>1963</v>
          </cell>
          <cell r="H5549">
            <v>10</v>
          </cell>
          <cell r="I5549">
            <v>184000000</v>
          </cell>
        </row>
        <row r="5550">
          <cell r="A5550" t="str">
            <v>Ecuador</v>
          </cell>
          <cell r="B5550">
            <v>218</v>
          </cell>
          <cell r="C5550">
            <v>201</v>
          </cell>
          <cell r="D5550">
            <v>13</v>
          </cell>
          <cell r="E5550" t="str">
            <v>Less: Financial intermediation services indirectly measured (FISIM) (only to be deducted if FISIM is not distributed to uses)</v>
          </cell>
          <cell r="F5550">
            <v>0</v>
          </cell>
          <cell r="G5550">
            <v>1964</v>
          </cell>
          <cell r="H5550">
            <v>10</v>
          </cell>
          <cell r="I5550">
            <v>216000000</v>
          </cell>
        </row>
        <row r="5551">
          <cell r="A5551" t="str">
            <v>Ecuador</v>
          </cell>
          <cell r="B5551">
            <v>218</v>
          </cell>
          <cell r="C5551">
            <v>201</v>
          </cell>
          <cell r="D5551">
            <v>13</v>
          </cell>
          <cell r="E5551" t="str">
            <v>Less: Financial intermediation services indirectly measured (FISIM) (only to be deducted if FISIM is not distributed to uses)</v>
          </cell>
          <cell r="F5551">
            <v>0</v>
          </cell>
          <cell r="G5551">
            <v>1965</v>
          </cell>
          <cell r="H5551">
            <v>10</v>
          </cell>
          <cell r="I5551">
            <v>303000000</v>
          </cell>
        </row>
        <row r="5552">
          <cell r="A5552" t="str">
            <v>Ecuador</v>
          </cell>
          <cell r="B5552">
            <v>218</v>
          </cell>
          <cell r="C5552">
            <v>201</v>
          </cell>
          <cell r="D5552">
            <v>13</v>
          </cell>
          <cell r="E5552" t="str">
            <v>Less: Financial intermediation services indirectly measured (FISIM) (only to be deducted if FISIM is not distributed to uses)</v>
          </cell>
          <cell r="F5552">
            <v>0</v>
          </cell>
          <cell r="G5552">
            <v>1966</v>
          </cell>
          <cell r="H5552">
            <v>10</v>
          </cell>
          <cell r="I5552">
            <v>324000000</v>
          </cell>
        </row>
        <row r="5553">
          <cell r="A5553" t="str">
            <v>Ecuador</v>
          </cell>
          <cell r="B5553">
            <v>218</v>
          </cell>
          <cell r="C5553">
            <v>201</v>
          </cell>
          <cell r="D5553">
            <v>13</v>
          </cell>
          <cell r="E5553" t="str">
            <v>Less: Financial intermediation services indirectly measured (FISIM) (only to be deducted if FISIM is not distributed to uses)</v>
          </cell>
          <cell r="F5553">
            <v>0</v>
          </cell>
          <cell r="G5553">
            <v>1967</v>
          </cell>
          <cell r="H5553">
            <v>10</v>
          </cell>
          <cell r="I5553">
            <v>374000000</v>
          </cell>
        </row>
        <row r="5554">
          <cell r="A5554" t="str">
            <v>Ecuador</v>
          </cell>
          <cell r="B5554">
            <v>218</v>
          </cell>
          <cell r="C5554">
            <v>201</v>
          </cell>
          <cell r="D5554">
            <v>13</v>
          </cell>
          <cell r="E5554" t="str">
            <v>Less: Financial intermediation services indirectly measured (FISIM) (only to be deducted if FISIM is not distributed to uses)</v>
          </cell>
          <cell r="F5554">
            <v>0</v>
          </cell>
          <cell r="G5554">
            <v>1968</v>
          </cell>
          <cell r="H5554">
            <v>10</v>
          </cell>
          <cell r="I5554">
            <v>438000000</v>
          </cell>
        </row>
        <row r="5555">
          <cell r="A5555" t="str">
            <v>Ecuador</v>
          </cell>
          <cell r="B5555">
            <v>218</v>
          </cell>
          <cell r="C5555">
            <v>201</v>
          </cell>
          <cell r="D5555">
            <v>13</v>
          </cell>
          <cell r="E5555" t="str">
            <v>Less: Financial intermediation services indirectly measured (FISIM) (only to be deducted if FISIM is not distributed to uses)</v>
          </cell>
          <cell r="F5555">
            <v>0</v>
          </cell>
          <cell r="G5555">
            <v>1969</v>
          </cell>
          <cell r="H5555">
            <v>10</v>
          </cell>
          <cell r="I5555">
            <v>500000000</v>
          </cell>
        </row>
        <row r="5556">
          <cell r="A5556" t="str">
            <v>Ecuador</v>
          </cell>
          <cell r="B5556">
            <v>218</v>
          </cell>
          <cell r="C5556">
            <v>201</v>
          </cell>
          <cell r="D5556">
            <v>13</v>
          </cell>
          <cell r="E5556" t="str">
            <v>Less: Financial intermediation services indirectly measured (FISIM) (only to be deducted if FISIM is not distributed to uses)</v>
          </cell>
          <cell r="F5556">
            <v>0</v>
          </cell>
          <cell r="G5556">
            <v>1970</v>
          </cell>
          <cell r="H5556">
            <v>10</v>
          </cell>
          <cell r="I5556">
            <v>633000000</v>
          </cell>
        </row>
        <row r="5557">
          <cell r="A5557" t="str">
            <v>Ecuador</v>
          </cell>
          <cell r="B5557">
            <v>218</v>
          </cell>
          <cell r="C5557">
            <v>201</v>
          </cell>
          <cell r="D5557">
            <v>13</v>
          </cell>
          <cell r="E5557" t="str">
            <v>Less: Financial intermediation services indirectly measured (FISIM) (only to be deducted if FISIM is not distributed to uses)</v>
          </cell>
          <cell r="F5557">
            <v>0</v>
          </cell>
          <cell r="G5557">
            <v>1971</v>
          </cell>
          <cell r="H5557">
            <v>10</v>
          </cell>
          <cell r="I5557">
            <v>738000000</v>
          </cell>
        </row>
        <row r="5558">
          <cell r="A5558" t="str">
            <v>Ecuador</v>
          </cell>
          <cell r="B5558">
            <v>218</v>
          </cell>
          <cell r="C5558">
            <v>201</v>
          </cell>
          <cell r="D5558">
            <v>13</v>
          </cell>
          <cell r="E5558" t="str">
            <v>Less: Financial intermediation services indirectly measured (FISIM) (only to be deducted if FISIM is not distributed to uses)</v>
          </cell>
          <cell r="F5558">
            <v>0</v>
          </cell>
          <cell r="G5558">
            <v>1972</v>
          </cell>
          <cell r="H5558">
            <v>10</v>
          </cell>
          <cell r="I5558">
            <v>842000000</v>
          </cell>
        </row>
        <row r="5559">
          <cell r="A5559" t="str">
            <v>Ecuador</v>
          </cell>
          <cell r="B5559">
            <v>218</v>
          </cell>
          <cell r="C5559">
            <v>201</v>
          </cell>
          <cell r="D5559">
            <v>13</v>
          </cell>
          <cell r="E5559" t="str">
            <v>Less: Financial intermediation services indirectly measured (FISIM) (only to be deducted if FISIM is not distributed to uses)</v>
          </cell>
          <cell r="F5559">
            <v>0</v>
          </cell>
          <cell r="G5559">
            <v>1973</v>
          </cell>
          <cell r="H5559">
            <v>10</v>
          </cell>
          <cell r="I5559">
            <v>1090000000</v>
          </cell>
        </row>
        <row r="5560">
          <cell r="A5560" t="str">
            <v>Ecuador</v>
          </cell>
          <cell r="B5560">
            <v>218</v>
          </cell>
          <cell r="C5560">
            <v>201</v>
          </cell>
          <cell r="D5560">
            <v>13</v>
          </cell>
          <cell r="E5560" t="str">
            <v>Less: Financial intermediation services indirectly measured (FISIM) (only to be deducted if FISIM is not distributed to uses)</v>
          </cell>
          <cell r="F5560">
            <v>0</v>
          </cell>
          <cell r="G5560">
            <v>1974</v>
          </cell>
          <cell r="H5560">
            <v>10</v>
          </cell>
          <cell r="I5560">
            <v>1842000000</v>
          </cell>
        </row>
        <row r="5561">
          <cell r="A5561" t="str">
            <v>Ecuador</v>
          </cell>
          <cell r="B5561">
            <v>218</v>
          </cell>
          <cell r="C5561">
            <v>201</v>
          </cell>
          <cell r="D5561">
            <v>13</v>
          </cell>
          <cell r="E5561" t="str">
            <v>Less: Financial intermediation services indirectly measured (FISIM) (only to be deducted if FISIM is not distributed to uses)</v>
          </cell>
          <cell r="F5561">
            <v>0</v>
          </cell>
          <cell r="G5561">
            <v>1975</v>
          </cell>
          <cell r="H5561">
            <v>10</v>
          </cell>
          <cell r="I5561">
            <v>2063000000</v>
          </cell>
        </row>
        <row r="5562">
          <cell r="A5562" t="str">
            <v>Ecuador</v>
          </cell>
          <cell r="B5562">
            <v>218</v>
          </cell>
          <cell r="C5562">
            <v>201</v>
          </cell>
          <cell r="D5562">
            <v>13</v>
          </cell>
          <cell r="E5562" t="str">
            <v>Less: Financial intermediation services indirectly measured (FISIM) (only to be deducted if FISIM is not distributed to uses)</v>
          </cell>
          <cell r="F5562">
            <v>0</v>
          </cell>
          <cell r="G5562">
            <v>1976</v>
          </cell>
          <cell r="H5562">
            <v>10</v>
          </cell>
          <cell r="I5562">
            <v>2603000000</v>
          </cell>
        </row>
        <row r="5563">
          <cell r="A5563" t="str">
            <v>Ecuador</v>
          </cell>
          <cell r="B5563">
            <v>218</v>
          </cell>
          <cell r="C5563">
            <v>201</v>
          </cell>
          <cell r="D5563">
            <v>13</v>
          </cell>
          <cell r="E5563" t="str">
            <v>Less: Financial intermediation services indirectly measured (FISIM) (only to be deducted if FISIM is not distributed to uses)</v>
          </cell>
          <cell r="F5563">
            <v>0</v>
          </cell>
          <cell r="G5563">
            <v>1977</v>
          </cell>
          <cell r="H5563">
            <v>10</v>
          </cell>
          <cell r="I5563">
            <v>3642000000</v>
          </cell>
        </row>
        <row r="5564">
          <cell r="A5564" t="str">
            <v>Ecuador</v>
          </cell>
          <cell r="B5564">
            <v>218</v>
          </cell>
          <cell r="C5564">
            <v>201</v>
          </cell>
          <cell r="D5564">
            <v>13</v>
          </cell>
          <cell r="E5564" t="str">
            <v>Less: Financial intermediation services indirectly measured (FISIM) (only to be deducted if FISIM is not distributed to uses)</v>
          </cell>
          <cell r="F5564">
            <v>0</v>
          </cell>
          <cell r="G5564">
            <v>1978</v>
          </cell>
          <cell r="H5564">
            <v>10</v>
          </cell>
          <cell r="I5564">
            <v>4856000000</v>
          </cell>
        </row>
        <row r="5565">
          <cell r="A5565" t="str">
            <v>Ecuador</v>
          </cell>
          <cell r="B5565">
            <v>218</v>
          </cell>
          <cell r="C5565">
            <v>201</v>
          </cell>
          <cell r="D5565">
            <v>13</v>
          </cell>
          <cell r="E5565" t="str">
            <v>Less: Financial intermediation services indirectly measured (FISIM) (only to be deducted if FISIM is not distributed to uses)</v>
          </cell>
          <cell r="F5565">
            <v>0</v>
          </cell>
          <cell r="G5565">
            <v>1979</v>
          </cell>
          <cell r="H5565">
            <v>10</v>
          </cell>
          <cell r="I5565">
            <v>5705000000</v>
          </cell>
        </row>
        <row r="5566">
          <cell r="A5566" t="str">
            <v>Ecuador</v>
          </cell>
          <cell r="B5566">
            <v>218</v>
          </cell>
          <cell r="C5566">
            <v>201</v>
          </cell>
          <cell r="D5566">
            <v>13</v>
          </cell>
          <cell r="E5566" t="str">
            <v>Less: Financial intermediation services indirectly measured (FISIM) (only to be deducted if FISIM is not distributed to uses)</v>
          </cell>
          <cell r="F5566">
            <v>0</v>
          </cell>
          <cell r="G5566">
            <v>1980</v>
          </cell>
          <cell r="H5566">
            <v>10</v>
          </cell>
          <cell r="I5566">
            <v>8909000000</v>
          </cell>
        </row>
        <row r="5567">
          <cell r="A5567" t="str">
            <v>Ecuador</v>
          </cell>
          <cell r="B5567">
            <v>218</v>
          </cell>
          <cell r="C5567">
            <v>201</v>
          </cell>
          <cell r="D5567">
            <v>13</v>
          </cell>
          <cell r="E5567" t="str">
            <v>Less: Financial intermediation services indirectly measured (FISIM) (only to be deducted if FISIM is not distributed to uses)</v>
          </cell>
          <cell r="F5567">
            <v>0</v>
          </cell>
          <cell r="G5567">
            <v>1981</v>
          </cell>
          <cell r="H5567">
            <v>10</v>
          </cell>
          <cell r="I5567">
            <v>9945000000</v>
          </cell>
        </row>
        <row r="5568">
          <cell r="A5568" t="str">
            <v>Ecuador</v>
          </cell>
          <cell r="B5568">
            <v>218</v>
          </cell>
          <cell r="C5568">
            <v>201</v>
          </cell>
          <cell r="D5568">
            <v>13</v>
          </cell>
          <cell r="E5568" t="str">
            <v>Less: Financial intermediation services indirectly measured (FISIM) (only to be deducted if FISIM is not distributed to uses)</v>
          </cell>
          <cell r="F5568">
            <v>0</v>
          </cell>
          <cell r="G5568">
            <v>1982</v>
          </cell>
          <cell r="H5568">
            <v>10</v>
          </cell>
          <cell r="I5568">
            <v>12961000000</v>
          </cell>
        </row>
        <row r="5569">
          <cell r="A5569" t="str">
            <v>Ecuador</v>
          </cell>
          <cell r="B5569">
            <v>218</v>
          </cell>
          <cell r="C5569">
            <v>201</v>
          </cell>
          <cell r="D5569">
            <v>13</v>
          </cell>
          <cell r="E5569" t="str">
            <v>Less: Financial intermediation services indirectly measured (FISIM) (only to be deducted if FISIM is not distributed to uses)</v>
          </cell>
          <cell r="F5569">
            <v>0</v>
          </cell>
          <cell r="G5569">
            <v>1983</v>
          </cell>
          <cell r="H5569">
            <v>10</v>
          </cell>
          <cell r="I5569">
            <v>19200000000</v>
          </cell>
        </row>
        <row r="5570">
          <cell r="A5570" t="str">
            <v>Ecuador</v>
          </cell>
          <cell r="B5570">
            <v>218</v>
          </cell>
          <cell r="C5570">
            <v>201</v>
          </cell>
          <cell r="D5570">
            <v>13</v>
          </cell>
          <cell r="E5570" t="str">
            <v>Less: Financial intermediation services indirectly measured (FISIM) (only to be deducted if FISIM is not distributed to uses)</v>
          </cell>
          <cell r="F5570">
            <v>0</v>
          </cell>
          <cell r="G5570">
            <v>1984</v>
          </cell>
          <cell r="H5570">
            <v>10</v>
          </cell>
          <cell r="I5570">
            <v>16711000000</v>
          </cell>
        </row>
        <row r="5571">
          <cell r="A5571" t="str">
            <v>Ecuador</v>
          </cell>
          <cell r="B5571">
            <v>218</v>
          </cell>
          <cell r="C5571">
            <v>201</v>
          </cell>
          <cell r="D5571">
            <v>13</v>
          </cell>
          <cell r="E5571" t="str">
            <v>Less: Financial intermediation services indirectly measured (FISIM) (only to be deducted if FISIM is not distributed to uses)</v>
          </cell>
          <cell r="F5571">
            <v>0</v>
          </cell>
          <cell r="G5571">
            <v>1985</v>
          </cell>
          <cell r="H5571">
            <v>10</v>
          </cell>
          <cell r="I5571">
            <v>21596000000</v>
          </cell>
        </row>
        <row r="5572">
          <cell r="A5572" t="str">
            <v>Ecuador</v>
          </cell>
          <cell r="B5572">
            <v>218</v>
          </cell>
          <cell r="C5572">
            <v>201</v>
          </cell>
          <cell r="D5572">
            <v>13</v>
          </cell>
          <cell r="E5572" t="str">
            <v>Less: Financial intermediation services indirectly measured (FISIM) (only to be deducted if FISIM is not distributed to uses)</v>
          </cell>
          <cell r="F5572">
            <v>0</v>
          </cell>
          <cell r="G5572">
            <v>1986</v>
          </cell>
          <cell r="H5572">
            <v>10</v>
          </cell>
          <cell r="I5572">
            <v>28573000000</v>
          </cell>
        </row>
        <row r="5573">
          <cell r="A5573" t="str">
            <v>Ecuador</v>
          </cell>
          <cell r="B5573">
            <v>218</v>
          </cell>
          <cell r="C5573">
            <v>201</v>
          </cell>
          <cell r="D5573">
            <v>13</v>
          </cell>
          <cell r="E5573" t="str">
            <v>Less: Financial intermediation services indirectly measured (FISIM) (only to be deducted if FISIM is not distributed to uses)</v>
          </cell>
          <cell r="F5573">
            <v>0</v>
          </cell>
          <cell r="G5573">
            <v>1987</v>
          </cell>
          <cell r="H5573">
            <v>10</v>
          </cell>
          <cell r="I5573">
            <v>53713000000</v>
          </cell>
        </row>
        <row r="5574">
          <cell r="A5574" t="str">
            <v>Ecuador</v>
          </cell>
          <cell r="B5574">
            <v>218</v>
          </cell>
          <cell r="C5574">
            <v>201</v>
          </cell>
          <cell r="D5574">
            <v>13</v>
          </cell>
          <cell r="E5574" t="str">
            <v>Less: Financial intermediation services indirectly measured (FISIM) (only to be deducted if FISIM is not distributed to uses)</v>
          </cell>
          <cell r="F5574">
            <v>0</v>
          </cell>
          <cell r="G5574">
            <v>1988</v>
          </cell>
          <cell r="H5574">
            <v>10</v>
          </cell>
          <cell r="I5574">
            <v>97815000000</v>
          </cell>
        </row>
        <row r="5575">
          <cell r="A5575" t="str">
            <v>Ecuador</v>
          </cell>
          <cell r="B5575">
            <v>218</v>
          </cell>
          <cell r="C5575">
            <v>201</v>
          </cell>
          <cell r="D5575">
            <v>13</v>
          </cell>
          <cell r="E5575" t="str">
            <v>Less: Financial intermediation services indirectly measured (FISIM) (only to be deducted if FISIM is not distributed to uses)</v>
          </cell>
          <cell r="F5575">
            <v>0</v>
          </cell>
          <cell r="G5575">
            <v>1989</v>
          </cell>
          <cell r="H5575">
            <v>10</v>
          </cell>
          <cell r="I5575">
            <v>97309000000</v>
          </cell>
        </row>
        <row r="5576">
          <cell r="A5576" t="str">
            <v>Ecuador</v>
          </cell>
          <cell r="B5576">
            <v>218</v>
          </cell>
          <cell r="C5576">
            <v>201</v>
          </cell>
          <cell r="D5576">
            <v>13</v>
          </cell>
          <cell r="E5576" t="str">
            <v>Less: Financial intermediation services indirectly measured (FISIM) (only to be deducted if FISIM is not distributed to uses)</v>
          </cell>
          <cell r="F5576">
            <v>0</v>
          </cell>
          <cell r="G5576">
            <v>1990</v>
          </cell>
          <cell r="H5576">
            <v>10</v>
          </cell>
          <cell r="I5576">
            <v>148674000000</v>
          </cell>
        </row>
        <row r="5577">
          <cell r="A5577" t="str">
            <v>Ecuador</v>
          </cell>
          <cell r="B5577">
            <v>218</v>
          </cell>
          <cell r="C5577">
            <v>201</v>
          </cell>
          <cell r="D5577">
            <v>13</v>
          </cell>
          <cell r="E5577" t="str">
            <v>Less: Financial intermediation services indirectly measured (FISIM) (only to be deducted if FISIM is not distributed to uses)</v>
          </cell>
          <cell r="F5577">
            <v>0</v>
          </cell>
          <cell r="G5577">
            <v>1991</v>
          </cell>
          <cell r="H5577">
            <v>10</v>
          </cell>
          <cell r="I5577">
            <v>288151000000</v>
          </cell>
        </row>
        <row r="5578">
          <cell r="A5578" t="str">
            <v>Ecuador</v>
          </cell>
          <cell r="B5578">
            <v>218</v>
          </cell>
          <cell r="C5578">
            <v>201</v>
          </cell>
          <cell r="D5578">
            <v>13</v>
          </cell>
          <cell r="E5578" t="str">
            <v>Less: Financial intermediation services indirectly measured (FISIM) (only to be deducted if FISIM is not distributed to uses)</v>
          </cell>
          <cell r="F5578">
            <v>0</v>
          </cell>
          <cell r="G5578">
            <v>1992</v>
          </cell>
          <cell r="H5578">
            <v>10</v>
          </cell>
          <cell r="I5578">
            <v>490677000000</v>
          </cell>
        </row>
        <row r="5579">
          <cell r="A5579" t="str">
            <v>Ecuador</v>
          </cell>
          <cell r="B5579">
            <v>218</v>
          </cell>
          <cell r="C5579">
            <v>201</v>
          </cell>
          <cell r="D5579">
            <v>13</v>
          </cell>
          <cell r="E5579" t="str">
            <v>Less: Financial intermediation services indirectly measured (FISIM) (only to be deducted if FISIM is not distributed to uses)</v>
          </cell>
          <cell r="F5579">
            <v>0</v>
          </cell>
          <cell r="G5579">
            <v>1993</v>
          </cell>
          <cell r="H5579">
            <v>10</v>
          </cell>
          <cell r="I5579">
            <v>878484000000</v>
          </cell>
        </row>
        <row r="5580">
          <cell r="A5580" t="str">
            <v>Ecuador</v>
          </cell>
          <cell r="B5580">
            <v>218</v>
          </cell>
          <cell r="C5580">
            <v>201</v>
          </cell>
          <cell r="D5580">
            <v>13</v>
          </cell>
          <cell r="E5580" t="str">
            <v>Less: Financial intermediation services indirectly measured (FISIM) (only to be deducted if FISIM is not distributed to uses)</v>
          </cell>
          <cell r="F5580">
            <v>0</v>
          </cell>
          <cell r="G5580">
            <v>1993</v>
          </cell>
          <cell r="H5580">
            <v>100</v>
          </cell>
          <cell r="I5580">
            <v>529892000</v>
          </cell>
        </row>
        <row r="5581">
          <cell r="A5581" t="str">
            <v>Ecuador</v>
          </cell>
          <cell r="B5581">
            <v>218</v>
          </cell>
          <cell r="C5581">
            <v>201</v>
          </cell>
          <cell r="D5581">
            <v>13</v>
          </cell>
          <cell r="E5581" t="str">
            <v>Less: Financial intermediation services indirectly measured (FISIM) (only to be deducted if FISIM is not distributed to uses)</v>
          </cell>
          <cell r="F5581">
            <v>0</v>
          </cell>
          <cell r="G5581">
            <v>1994</v>
          </cell>
          <cell r="H5581">
            <v>100</v>
          </cell>
          <cell r="I5581">
            <v>682294000</v>
          </cell>
        </row>
        <row r="5582">
          <cell r="A5582" t="str">
            <v>Ecuador</v>
          </cell>
          <cell r="B5582">
            <v>218</v>
          </cell>
          <cell r="C5582">
            <v>201</v>
          </cell>
          <cell r="D5582">
            <v>13</v>
          </cell>
          <cell r="E5582" t="str">
            <v>Less: Financial intermediation services indirectly measured (FISIM) (only to be deducted if FISIM is not distributed to uses)</v>
          </cell>
          <cell r="F5582">
            <v>0</v>
          </cell>
          <cell r="G5582">
            <v>1995</v>
          </cell>
          <cell r="H5582">
            <v>100</v>
          </cell>
          <cell r="I5582">
            <v>741422000</v>
          </cell>
        </row>
        <row r="5583">
          <cell r="A5583" t="str">
            <v>Ecuador</v>
          </cell>
          <cell r="B5583">
            <v>218</v>
          </cell>
          <cell r="C5583">
            <v>201</v>
          </cell>
          <cell r="D5583">
            <v>13</v>
          </cell>
          <cell r="E5583" t="str">
            <v>Less: Financial intermediation services indirectly measured (FISIM) (only to be deducted if FISIM is not distributed to uses)</v>
          </cell>
          <cell r="F5583">
            <v>0</v>
          </cell>
          <cell r="G5583">
            <v>1996</v>
          </cell>
          <cell r="H5583">
            <v>100</v>
          </cell>
          <cell r="I5583">
            <v>863560000</v>
          </cell>
        </row>
        <row r="5584">
          <cell r="A5584" t="str">
            <v>Ecuador</v>
          </cell>
          <cell r="B5584">
            <v>218</v>
          </cell>
          <cell r="C5584">
            <v>201</v>
          </cell>
          <cell r="D5584">
            <v>13</v>
          </cell>
          <cell r="E5584" t="str">
            <v>Less: Financial intermediation services indirectly measured (FISIM) (only to be deducted if FISIM is not distributed to uses)</v>
          </cell>
          <cell r="F5584">
            <v>0</v>
          </cell>
          <cell r="G5584">
            <v>1997</v>
          </cell>
          <cell r="H5584">
            <v>100</v>
          </cell>
          <cell r="I5584">
            <v>887805000</v>
          </cell>
        </row>
        <row r="5585">
          <cell r="A5585" t="str">
            <v>Ecuador</v>
          </cell>
          <cell r="B5585">
            <v>218</v>
          </cell>
          <cell r="C5585">
            <v>201</v>
          </cell>
          <cell r="D5585">
            <v>13</v>
          </cell>
          <cell r="E5585" t="str">
            <v>Less: Financial intermediation services indirectly measured (FISIM) (only to be deducted if FISIM is not distributed to uses)</v>
          </cell>
          <cell r="F5585">
            <v>0</v>
          </cell>
          <cell r="G5585">
            <v>1998</v>
          </cell>
          <cell r="H5585">
            <v>100</v>
          </cell>
          <cell r="I5585">
            <v>753543000</v>
          </cell>
        </row>
        <row r="5586">
          <cell r="A5586" t="str">
            <v>Ecuador</v>
          </cell>
          <cell r="B5586">
            <v>218</v>
          </cell>
          <cell r="C5586">
            <v>201</v>
          </cell>
          <cell r="D5586">
            <v>13</v>
          </cell>
          <cell r="E5586" t="str">
            <v>Less: Financial intermediation services indirectly measured (FISIM) (only to be deducted if FISIM is not distributed to uses)</v>
          </cell>
          <cell r="F5586">
            <v>0</v>
          </cell>
          <cell r="G5586">
            <v>1999</v>
          </cell>
          <cell r="H5586">
            <v>100</v>
          </cell>
          <cell r="I5586">
            <v>357857000</v>
          </cell>
        </row>
        <row r="5587">
          <cell r="A5587" t="str">
            <v>Ecuador</v>
          </cell>
          <cell r="B5587">
            <v>218</v>
          </cell>
          <cell r="C5587">
            <v>201</v>
          </cell>
          <cell r="D5587">
            <v>13</v>
          </cell>
          <cell r="E5587" t="str">
            <v>Less: Financial intermediation services indirectly measured (FISIM) (only to be deducted if FISIM is not distributed to uses)</v>
          </cell>
          <cell r="F5587">
            <v>0</v>
          </cell>
          <cell r="G5587">
            <v>2000</v>
          </cell>
          <cell r="H5587">
            <v>100</v>
          </cell>
          <cell r="I5587">
            <v>384897000</v>
          </cell>
        </row>
        <row r="5588">
          <cell r="A5588" t="str">
            <v>Ecuador</v>
          </cell>
          <cell r="B5588">
            <v>218</v>
          </cell>
          <cell r="C5588">
            <v>201</v>
          </cell>
          <cell r="D5588">
            <v>13</v>
          </cell>
          <cell r="E5588" t="str">
            <v>Less: Financial intermediation services indirectly measured (FISIM) (only to be deducted if FISIM is not distributed to uses)</v>
          </cell>
          <cell r="F5588">
            <v>0</v>
          </cell>
          <cell r="G5588">
            <v>2001</v>
          </cell>
          <cell r="H5588">
            <v>100</v>
          </cell>
          <cell r="I5588">
            <v>705954000</v>
          </cell>
        </row>
        <row r="5589">
          <cell r="A5589" t="str">
            <v>Ecuador</v>
          </cell>
          <cell r="B5589">
            <v>218</v>
          </cell>
          <cell r="C5589">
            <v>201</v>
          </cell>
          <cell r="D5589">
            <v>13</v>
          </cell>
          <cell r="E5589" t="str">
            <v>Less: Financial intermediation services indirectly measured (FISIM) (only to be deducted if FISIM is not distributed to uses)</v>
          </cell>
          <cell r="F5589">
            <v>0</v>
          </cell>
          <cell r="G5589">
            <v>2002</v>
          </cell>
          <cell r="H5589">
            <v>100</v>
          </cell>
          <cell r="I5589">
            <v>801000000</v>
          </cell>
        </row>
        <row r="5590">
          <cell r="A5590" t="str">
            <v>Ecuador</v>
          </cell>
          <cell r="B5590">
            <v>218</v>
          </cell>
          <cell r="C5590">
            <v>201</v>
          </cell>
          <cell r="D5590">
            <v>13</v>
          </cell>
          <cell r="E5590" t="str">
            <v>Less: Financial intermediation services indirectly measured (FISIM) (only to be deducted if FISIM is not distributed to uses)</v>
          </cell>
          <cell r="F5590">
            <v>0</v>
          </cell>
          <cell r="G5590">
            <v>2003</v>
          </cell>
          <cell r="H5590">
            <v>100</v>
          </cell>
          <cell r="I5590">
            <v>886800000</v>
          </cell>
        </row>
        <row r="5591">
          <cell r="A5591" t="str">
            <v>Ecuador</v>
          </cell>
          <cell r="B5591">
            <v>218</v>
          </cell>
          <cell r="C5591">
            <v>201</v>
          </cell>
          <cell r="D5591">
            <v>13</v>
          </cell>
          <cell r="E5591" t="str">
            <v>Less: Financial intermediation services indirectly measured (FISIM) (only to be deducted if FISIM is not distributed to uses)</v>
          </cell>
          <cell r="F5591">
            <v>0</v>
          </cell>
          <cell r="G5591">
            <v>2004</v>
          </cell>
          <cell r="H5591">
            <v>100</v>
          </cell>
          <cell r="I5591">
            <v>916800000</v>
          </cell>
        </row>
        <row r="5592">
          <cell r="A5592" t="str">
            <v>Jordan</v>
          </cell>
          <cell r="B5592">
            <v>400</v>
          </cell>
          <cell r="C5592">
            <v>201</v>
          </cell>
          <cell r="D5592">
            <v>13</v>
          </cell>
          <cell r="E5592" t="str">
            <v>Less: Financial intermediation services indirectly measured (FISIM) (only to be deducted if FISIM is not distributed to uses)</v>
          </cell>
          <cell r="F5592">
            <v>0</v>
          </cell>
          <cell r="G5592">
            <v>1960</v>
          </cell>
          <cell r="H5592">
            <v>10</v>
          </cell>
          <cell r="I5592">
            <v>500000</v>
          </cell>
        </row>
        <row r="5593">
          <cell r="A5593" t="str">
            <v>Jordan</v>
          </cell>
          <cell r="B5593">
            <v>400</v>
          </cell>
          <cell r="C5593">
            <v>201</v>
          </cell>
          <cell r="D5593">
            <v>13</v>
          </cell>
          <cell r="E5593" t="str">
            <v>Less: Financial intermediation services indirectly measured (FISIM) (only to be deducted if FISIM is not distributed to uses)</v>
          </cell>
          <cell r="F5593">
            <v>0</v>
          </cell>
          <cell r="G5593">
            <v>1961</v>
          </cell>
          <cell r="H5593">
            <v>10</v>
          </cell>
          <cell r="I5593">
            <v>500000</v>
          </cell>
        </row>
        <row r="5594">
          <cell r="A5594" t="str">
            <v>Jordan</v>
          </cell>
          <cell r="B5594">
            <v>400</v>
          </cell>
          <cell r="C5594">
            <v>201</v>
          </cell>
          <cell r="D5594">
            <v>13</v>
          </cell>
          <cell r="E5594" t="str">
            <v>Less: Financial intermediation services indirectly measured (FISIM) (only to be deducted if FISIM is not distributed to uses)</v>
          </cell>
          <cell r="F5594">
            <v>0</v>
          </cell>
          <cell r="G5594">
            <v>1962</v>
          </cell>
          <cell r="H5594">
            <v>10</v>
          </cell>
          <cell r="I5594">
            <v>600000</v>
          </cell>
        </row>
        <row r="5595">
          <cell r="A5595" t="str">
            <v>Jordan</v>
          </cell>
          <cell r="B5595">
            <v>400</v>
          </cell>
          <cell r="C5595">
            <v>201</v>
          </cell>
          <cell r="D5595">
            <v>13</v>
          </cell>
          <cell r="E5595" t="str">
            <v>Less: Financial intermediation services indirectly measured (FISIM) (only to be deducted if FISIM is not distributed to uses)</v>
          </cell>
          <cell r="F5595">
            <v>0</v>
          </cell>
          <cell r="G5595">
            <v>1963</v>
          </cell>
          <cell r="H5595">
            <v>10</v>
          </cell>
          <cell r="I5595">
            <v>700000</v>
          </cell>
        </row>
        <row r="5596">
          <cell r="A5596" t="str">
            <v>Jordan</v>
          </cell>
          <cell r="B5596">
            <v>400</v>
          </cell>
          <cell r="C5596">
            <v>201</v>
          </cell>
          <cell r="D5596">
            <v>13</v>
          </cell>
          <cell r="E5596" t="str">
            <v>Less: Financial intermediation services indirectly measured (FISIM) (only to be deducted if FISIM is not distributed to uses)</v>
          </cell>
          <cell r="F5596">
            <v>0</v>
          </cell>
          <cell r="G5596">
            <v>1964</v>
          </cell>
          <cell r="H5596">
            <v>10</v>
          </cell>
          <cell r="I5596">
            <v>900000</v>
          </cell>
        </row>
        <row r="5597">
          <cell r="A5597" t="str">
            <v>Jordan</v>
          </cell>
          <cell r="B5597">
            <v>400</v>
          </cell>
          <cell r="C5597">
            <v>201</v>
          </cell>
          <cell r="D5597">
            <v>13</v>
          </cell>
          <cell r="E5597" t="str">
            <v>Less: Financial intermediation services indirectly measured (FISIM) (only to be deducted if FISIM is not distributed to uses)</v>
          </cell>
          <cell r="F5597">
            <v>0</v>
          </cell>
          <cell r="G5597">
            <v>1965</v>
          </cell>
          <cell r="H5597">
            <v>10</v>
          </cell>
          <cell r="I5597">
            <v>900000</v>
          </cell>
        </row>
        <row r="5598">
          <cell r="A5598" t="str">
            <v>Jordan</v>
          </cell>
          <cell r="B5598">
            <v>400</v>
          </cell>
          <cell r="C5598">
            <v>201</v>
          </cell>
          <cell r="D5598">
            <v>13</v>
          </cell>
          <cell r="E5598" t="str">
            <v>Less: Financial intermediation services indirectly measured (FISIM) (only to be deducted if FISIM is not distributed to uses)</v>
          </cell>
          <cell r="F5598">
            <v>0</v>
          </cell>
          <cell r="G5598">
            <v>1966</v>
          </cell>
          <cell r="H5598">
            <v>10</v>
          </cell>
          <cell r="I5598">
            <v>700000</v>
          </cell>
        </row>
        <row r="5599">
          <cell r="A5599" t="str">
            <v>Jordan</v>
          </cell>
          <cell r="B5599">
            <v>400</v>
          </cell>
          <cell r="C5599">
            <v>201</v>
          </cell>
          <cell r="D5599">
            <v>13</v>
          </cell>
          <cell r="E5599" t="str">
            <v>Less: Financial intermediation services indirectly measured (FISIM) (only to be deducted if FISIM is not distributed to uses)</v>
          </cell>
          <cell r="F5599">
            <v>0</v>
          </cell>
          <cell r="G5599">
            <v>1967</v>
          </cell>
          <cell r="H5599">
            <v>20</v>
          </cell>
          <cell r="I5599">
            <v>1100000</v>
          </cell>
        </row>
        <row r="5600">
          <cell r="A5600" t="str">
            <v>Jordan</v>
          </cell>
          <cell r="B5600">
            <v>400</v>
          </cell>
          <cell r="C5600">
            <v>201</v>
          </cell>
          <cell r="D5600">
            <v>13</v>
          </cell>
          <cell r="E5600" t="str">
            <v>Less: Financial intermediation services indirectly measured (FISIM) (only to be deducted if FISIM is not distributed to uses)</v>
          </cell>
          <cell r="F5600">
            <v>0</v>
          </cell>
          <cell r="G5600">
            <v>1968</v>
          </cell>
          <cell r="H5600">
            <v>20</v>
          </cell>
          <cell r="I5600">
            <v>1300000</v>
          </cell>
        </row>
        <row r="5601">
          <cell r="A5601" t="str">
            <v>Jordan</v>
          </cell>
          <cell r="B5601">
            <v>400</v>
          </cell>
          <cell r="C5601">
            <v>201</v>
          </cell>
          <cell r="D5601">
            <v>13</v>
          </cell>
          <cell r="E5601" t="str">
            <v>Less: Financial intermediation services indirectly measured (FISIM) (only to be deducted if FISIM is not distributed to uses)</v>
          </cell>
          <cell r="F5601">
            <v>0</v>
          </cell>
          <cell r="G5601">
            <v>1969</v>
          </cell>
          <cell r="H5601">
            <v>20</v>
          </cell>
          <cell r="I5601">
            <v>1500000</v>
          </cell>
        </row>
        <row r="5602">
          <cell r="A5602" t="str">
            <v>Jordan</v>
          </cell>
          <cell r="B5602">
            <v>400</v>
          </cell>
          <cell r="C5602">
            <v>201</v>
          </cell>
          <cell r="D5602">
            <v>13</v>
          </cell>
          <cell r="E5602" t="str">
            <v>Less: Financial intermediation services indirectly measured (FISIM) (only to be deducted if FISIM is not distributed to uses)</v>
          </cell>
          <cell r="F5602">
            <v>0</v>
          </cell>
          <cell r="G5602">
            <v>1970</v>
          </cell>
          <cell r="H5602">
            <v>20</v>
          </cell>
          <cell r="I5602">
            <v>1300000</v>
          </cell>
        </row>
        <row r="5603">
          <cell r="A5603" t="str">
            <v>Jordan</v>
          </cell>
          <cell r="B5603">
            <v>400</v>
          </cell>
          <cell r="C5603">
            <v>201</v>
          </cell>
          <cell r="D5603">
            <v>13</v>
          </cell>
          <cell r="E5603" t="str">
            <v>Less: Financial intermediation services indirectly measured (FISIM) (only to be deducted if FISIM is not distributed to uses)</v>
          </cell>
          <cell r="F5603">
            <v>0</v>
          </cell>
          <cell r="G5603">
            <v>1971</v>
          </cell>
          <cell r="H5603">
            <v>20</v>
          </cell>
          <cell r="I5603">
            <v>1400000</v>
          </cell>
        </row>
        <row r="5604">
          <cell r="A5604" t="str">
            <v>Jordan</v>
          </cell>
          <cell r="B5604">
            <v>400</v>
          </cell>
          <cell r="C5604">
            <v>201</v>
          </cell>
          <cell r="D5604">
            <v>13</v>
          </cell>
          <cell r="E5604" t="str">
            <v>Less: Financial intermediation services indirectly measured (FISIM) (only to be deducted if FISIM is not distributed to uses)</v>
          </cell>
          <cell r="F5604">
            <v>0</v>
          </cell>
          <cell r="G5604">
            <v>1972</v>
          </cell>
          <cell r="H5604">
            <v>20</v>
          </cell>
          <cell r="I5604">
            <v>1400000</v>
          </cell>
        </row>
        <row r="5605">
          <cell r="A5605" t="str">
            <v>Jordan</v>
          </cell>
          <cell r="B5605">
            <v>400</v>
          </cell>
          <cell r="C5605">
            <v>201</v>
          </cell>
          <cell r="D5605">
            <v>13</v>
          </cell>
          <cell r="E5605" t="str">
            <v>Less: Financial intermediation services indirectly measured (FISIM) (only to be deducted if FISIM is not distributed to uses)</v>
          </cell>
          <cell r="F5605">
            <v>0</v>
          </cell>
          <cell r="G5605">
            <v>1973</v>
          </cell>
          <cell r="H5605">
            <v>20</v>
          </cell>
          <cell r="I5605">
            <v>1600000</v>
          </cell>
        </row>
        <row r="5606">
          <cell r="A5606" t="str">
            <v>Jordan</v>
          </cell>
          <cell r="B5606">
            <v>400</v>
          </cell>
          <cell r="C5606">
            <v>201</v>
          </cell>
          <cell r="D5606">
            <v>13</v>
          </cell>
          <cell r="E5606" t="str">
            <v>Less: Financial intermediation services indirectly measured (FISIM) (only to be deducted if FISIM is not distributed to uses)</v>
          </cell>
          <cell r="F5606">
            <v>0</v>
          </cell>
          <cell r="G5606">
            <v>1974</v>
          </cell>
          <cell r="H5606">
            <v>20</v>
          </cell>
          <cell r="I5606">
            <v>2700000</v>
          </cell>
        </row>
        <row r="5607">
          <cell r="A5607" t="str">
            <v>Jordan</v>
          </cell>
          <cell r="B5607">
            <v>400</v>
          </cell>
          <cell r="C5607">
            <v>201</v>
          </cell>
          <cell r="D5607">
            <v>13</v>
          </cell>
          <cell r="E5607" t="str">
            <v>Less: Financial intermediation services indirectly measured (FISIM) (only to be deducted if FISIM is not distributed to uses)</v>
          </cell>
          <cell r="F5607">
            <v>0</v>
          </cell>
          <cell r="G5607">
            <v>1975</v>
          </cell>
          <cell r="H5607">
            <v>20</v>
          </cell>
          <cell r="I5607">
            <v>2900000</v>
          </cell>
        </row>
        <row r="5608">
          <cell r="A5608" t="str">
            <v>Jordan</v>
          </cell>
          <cell r="B5608">
            <v>400</v>
          </cell>
          <cell r="C5608">
            <v>201</v>
          </cell>
          <cell r="D5608">
            <v>13</v>
          </cell>
          <cell r="E5608" t="str">
            <v>Less: Financial intermediation services indirectly measured (FISIM) (only to be deducted if FISIM is not distributed to uses)</v>
          </cell>
          <cell r="F5608">
            <v>0</v>
          </cell>
          <cell r="G5608">
            <v>1976</v>
          </cell>
          <cell r="H5608">
            <v>20</v>
          </cell>
          <cell r="I5608">
            <v>3000000</v>
          </cell>
        </row>
        <row r="5609">
          <cell r="A5609" t="str">
            <v>Jordan</v>
          </cell>
          <cell r="B5609">
            <v>400</v>
          </cell>
          <cell r="C5609">
            <v>201</v>
          </cell>
          <cell r="D5609">
            <v>13</v>
          </cell>
          <cell r="E5609" t="str">
            <v>Less: Financial intermediation services indirectly measured (FISIM) (only to be deducted if FISIM is not distributed to uses)</v>
          </cell>
          <cell r="F5609">
            <v>0</v>
          </cell>
          <cell r="G5609">
            <v>1977</v>
          </cell>
          <cell r="H5609">
            <v>20</v>
          </cell>
          <cell r="I5609">
            <v>3400000</v>
          </cell>
        </row>
        <row r="5610">
          <cell r="A5610" t="str">
            <v>Jordan</v>
          </cell>
          <cell r="B5610">
            <v>400</v>
          </cell>
          <cell r="C5610">
            <v>201</v>
          </cell>
          <cell r="D5610">
            <v>13</v>
          </cell>
          <cell r="E5610" t="str">
            <v>Less: Financial intermediation services indirectly measured (FISIM) (only to be deducted if FISIM is not distributed to uses)</v>
          </cell>
          <cell r="F5610">
            <v>0</v>
          </cell>
          <cell r="G5610">
            <v>1978</v>
          </cell>
          <cell r="H5610">
            <v>20</v>
          </cell>
          <cell r="I5610">
            <v>5400000</v>
          </cell>
        </row>
        <row r="5611">
          <cell r="A5611" t="str">
            <v>Jordan</v>
          </cell>
          <cell r="B5611">
            <v>400</v>
          </cell>
          <cell r="C5611">
            <v>201</v>
          </cell>
          <cell r="D5611">
            <v>13</v>
          </cell>
          <cell r="E5611" t="str">
            <v>Less: Financial intermediation services indirectly measured (FISIM) (only to be deducted if FISIM is not distributed to uses)</v>
          </cell>
          <cell r="F5611">
            <v>0</v>
          </cell>
          <cell r="G5611">
            <v>1979</v>
          </cell>
          <cell r="H5611">
            <v>20</v>
          </cell>
          <cell r="I5611">
            <v>8100000</v>
          </cell>
        </row>
        <row r="5612">
          <cell r="A5612" t="str">
            <v>Jordan</v>
          </cell>
          <cell r="B5612">
            <v>400</v>
          </cell>
          <cell r="C5612">
            <v>201</v>
          </cell>
          <cell r="D5612">
            <v>13</v>
          </cell>
          <cell r="E5612" t="str">
            <v>Less: Financial intermediation services indirectly measured (FISIM) (only to be deducted if FISIM is not distributed to uses)</v>
          </cell>
          <cell r="F5612">
            <v>0</v>
          </cell>
          <cell r="G5612">
            <v>1980</v>
          </cell>
          <cell r="H5612">
            <v>20</v>
          </cell>
          <cell r="I5612">
            <v>10500000</v>
          </cell>
        </row>
        <row r="5613">
          <cell r="A5613" t="str">
            <v>Jordan</v>
          </cell>
          <cell r="B5613">
            <v>400</v>
          </cell>
          <cell r="C5613">
            <v>201</v>
          </cell>
          <cell r="D5613">
            <v>13</v>
          </cell>
          <cell r="E5613" t="str">
            <v>Less: Financial intermediation services indirectly measured (FISIM) (only to be deducted if FISIM is not distributed to uses)</v>
          </cell>
          <cell r="F5613">
            <v>0</v>
          </cell>
          <cell r="G5613">
            <v>1981</v>
          </cell>
          <cell r="H5613">
            <v>20</v>
          </cell>
          <cell r="I5613">
            <v>13000000</v>
          </cell>
        </row>
        <row r="5614">
          <cell r="A5614" t="str">
            <v>Jordan</v>
          </cell>
          <cell r="B5614">
            <v>400</v>
          </cell>
          <cell r="C5614">
            <v>201</v>
          </cell>
          <cell r="D5614">
            <v>13</v>
          </cell>
          <cell r="E5614" t="str">
            <v>Less: Financial intermediation services indirectly measured (FISIM) (only to be deducted if FISIM is not distributed to uses)</v>
          </cell>
          <cell r="F5614">
            <v>0</v>
          </cell>
          <cell r="G5614">
            <v>1982</v>
          </cell>
          <cell r="H5614">
            <v>20</v>
          </cell>
          <cell r="I5614">
            <v>17200000</v>
          </cell>
        </row>
        <row r="5615">
          <cell r="A5615" t="str">
            <v>Jordan</v>
          </cell>
          <cell r="B5615">
            <v>400</v>
          </cell>
          <cell r="C5615">
            <v>201</v>
          </cell>
          <cell r="D5615">
            <v>13</v>
          </cell>
          <cell r="E5615" t="str">
            <v>Less: Financial intermediation services indirectly measured (FISIM) (only to be deducted if FISIM is not distributed to uses)</v>
          </cell>
          <cell r="F5615">
            <v>0</v>
          </cell>
          <cell r="G5615">
            <v>1983</v>
          </cell>
          <cell r="H5615">
            <v>20</v>
          </cell>
          <cell r="I5615">
            <v>22200000</v>
          </cell>
        </row>
        <row r="5616">
          <cell r="A5616" t="str">
            <v>Jordan</v>
          </cell>
          <cell r="B5616">
            <v>400</v>
          </cell>
          <cell r="C5616">
            <v>201</v>
          </cell>
          <cell r="D5616">
            <v>13</v>
          </cell>
          <cell r="E5616" t="str">
            <v>Less: Financial intermediation services indirectly measured (FISIM) (only to be deducted if FISIM is not distributed to uses)</v>
          </cell>
          <cell r="F5616">
            <v>0</v>
          </cell>
          <cell r="G5616">
            <v>1983</v>
          </cell>
          <cell r="H5616">
            <v>30</v>
          </cell>
          <cell r="I5616">
            <v>31900000</v>
          </cell>
        </row>
        <row r="5617">
          <cell r="A5617" t="str">
            <v>Jordan</v>
          </cell>
          <cell r="B5617">
            <v>400</v>
          </cell>
          <cell r="C5617">
            <v>201</v>
          </cell>
          <cell r="D5617">
            <v>13</v>
          </cell>
          <cell r="E5617" t="str">
            <v>Less: Financial intermediation services indirectly measured (FISIM) (only to be deducted if FISIM is not distributed to uses)</v>
          </cell>
          <cell r="F5617">
            <v>0</v>
          </cell>
          <cell r="G5617">
            <v>1984</v>
          </cell>
          <cell r="H5617">
            <v>30</v>
          </cell>
          <cell r="I5617">
            <v>34900000</v>
          </cell>
        </row>
        <row r="5618">
          <cell r="A5618" t="str">
            <v>Jordan</v>
          </cell>
          <cell r="B5618">
            <v>400</v>
          </cell>
          <cell r="C5618">
            <v>201</v>
          </cell>
          <cell r="D5618">
            <v>13</v>
          </cell>
          <cell r="E5618" t="str">
            <v>Less: Financial intermediation services indirectly measured (FISIM) (only to be deducted if FISIM is not distributed to uses)</v>
          </cell>
          <cell r="F5618">
            <v>0</v>
          </cell>
          <cell r="G5618">
            <v>1985</v>
          </cell>
          <cell r="H5618">
            <v>30</v>
          </cell>
          <cell r="I5618">
            <v>36300000</v>
          </cell>
        </row>
        <row r="5619">
          <cell r="A5619" t="str">
            <v>Jordan</v>
          </cell>
          <cell r="B5619">
            <v>400</v>
          </cell>
          <cell r="C5619">
            <v>201</v>
          </cell>
          <cell r="D5619">
            <v>13</v>
          </cell>
          <cell r="E5619" t="str">
            <v>Less: Financial intermediation services indirectly measured (FISIM) (only to be deducted if FISIM is not distributed to uses)</v>
          </cell>
          <cell r="F5619">
            <v>0</v>
          </cell>
          <cell r="G5619">
            <v>1986</v>
          </cell>
          <cell r="H5619">
            <v>30</v>
          </cell>
          <cell r="I5619">
            <v>38800000</v>
          </cell>
        </row>
        <row r="5620">
          <cell r="A5620" t="str">
            <v>Jordan</v>
          </cell>
          <cell r="B5620">
            <v>400</v>
          </cell>
          <cell r="C5620">
            <v>201</v>
          </cell>
          <cell r="D5620">
            <v>13</v>
          </cell>
          <cell r="E5620" t="str">
            <v>Less: Financial intermediation services indirectly measured (FISIM) (only to be deducted if FISIM is not distributed to uses)</v>
          </cell>
          <cell r="F5620">
            <v>0</v>
          </cell>
          <cell r="G5620">
            <v>1987</v>
          </cell>
          <cell r="H5620">
            <v>30</v>
          </cell>
          <cell r="I5620">
            <v>39300000</v>
          </cell>
        </row>
        <row r="5621">
          <cell r="A5621" t="str">
            <v>Jordan</v>
          </cell>
          <cell r="B5621">
            <v>400</v>
          </cell>
          <cell r="C5621">
            <v>201</v>
          </cell>
          <cell r="D5621">
            <v>13</v>
          </cell>
          <cell r="E5621" t="str">
            <v>Less: Financial intermediation services indirectly measured (FISIM) (only to be deducted if FISIM is not distributed to uses)</v>
          </cell>
          <cell r="F5621">
            <v>0</v>
          </cell>
          <cell r="G5621">
            <v>1988</v>
          </cell>
          <cell r="H5621">
            <v>30</v>
          </cell>
          <cell r="I5621">
            <v>49500000</v>
          </cell>
        </row>
        <row r="5622">
          <cell r="A5622" t="str">
            <v>Jordan</v>
          </cell>
          <cell r="B5622">
            <v>400</v>
          </cell>
          <cell r="C5622">
            <v>201</v>
          </cell>
          <cell r="D5622">
            <v>13</v>
          </cell>
          <cell r="E5622" t="str">
            <v>Less: Financial intermediation services indirectly measured (FISIM) (only to be deducted if FISIM is not distributed to uses)</v>
          </cell>
          <cell r="F5622">
            <v>0</v>
          </cell>
          <cell r="G5622">
            <v>1989</v>
          </cell>
          <cell r="H5622">
            <v>30</v>
          </cell>
          <cell r="I5622">
            <v>55300000</v>
          </cell>
        </row>
        <row r="5623">
          <cell r="A5623" t="str">
            <v>Jordan</v>
          </cell>
          <cell r="B5623">
            <v>400</v>
          </cell>
          <cell r="C5623">
            <v>201</v>
          </cell>
          <cell r="D5623">
            <v>13</v>
          </cell>
          <cell r="E5623" t="str">
            <v>Less: Financial intermediation services indirectly measured (FISIM) (only to be deducted if FISIM is not distributed to uses)</v>
          </cell>
          <cell r="F5623">
            <v>0</v>
          </cell>
          <cell r="G5623">
            <v>1990</v>
          </cell>
          <cell r="H5623">
            <v>30</v>
          </cell>
          <cell r="I5623">
            <v>39900000</v>
          </cell>
        </row>
        <row r="5624">
          <cell r="A5624" t="str">
            <v>Jordan</v>
          </cell>
          <cell r="B5624">
            <v>400</v>
          </cell>
          <cell r="C5624">
            <v>201</v>
          </cell>
          <cell r="D5624">
            <v>13</v>
          </cell>
          <cell r="E5624" t="str">
            <v>Less: Financial intermediation services indirectly measured (FISIM) (only to be deducted if FISIM is not distributed to uses)</v>
          </cell>
          <cell r="F5624">
            <v>0</v>
          </cell>
          <cell r="G5624">
            <v>1991</v>
          </cell>
          <cell r="H5624">
            <v>30</v>
          </cell>
          <cell r="I5624">
            <v>53700000</v>
          </cell>
        </row>
        <row r="5625">
          <cell r="A5625" t="str">
            <v>Jordan</v>
          </cell>
          <cell r="B5625">
            <v>400</v>
          </cell>
          <cell r="C5625">
            <v>201</v>
          </cell>
          <cell r="D5625">
            <v>13</v>
          </cell>
          <cell r="E5625" t="str">
            <v>Less: Financial intermediation services indirectly measured (FISIM) (only to be deducted if FISIM is not distributed to uses)</v>
          </cell>
          <cell r="F5625">
            <v>0</v>
          </cell>
          <cell r="G5625">
            <v>1992</v>
          </cell>
          <cell r="H5625">
            <v>30</v>
          </cell>
          <cell r="I5625">
            <v>41800000</v>
          </cell>
        </row>
        <row r="5626">
          <cell r="A5626" t="str">
            <v>Jordan</v>
          </cell>
          <cell r="B5626">
            <v>400</v>
          </cell>
          <cell r="C5626">
            <v>201</v>
          </cell>
          <cell r="D5626">
            <v>13</v>
          </cell>
          <cell r="E5626" t="str">
            <v>Less: Financial intermediation services indirectly measured (FISIM) (only to be deducted if FISIM is not distributed to uses)</v>
          </cell>
          <cell r="F5626">
            <v>0</v>
          </cell>
          <cell r="G5626">
            <v>1993</v>
          </cell>
          <cell r="H5626">
            <v>30</v>
          </cell>
          <cell r="I5626">
            <v>66700000</v>
          </cell>
        </row>
        <row r="5627">
          <cell r="A5627" t="str">
            <v>Jordan</v>
          </cell>
          <cell r="B5627">
            <v>400</v>
          </cell>
          <cell r="C5627">
            <v>201</v>
          </cell>
          <cell r="D5627">
            <v>13</v>
          </cell>
          <cell r="E5627" t="str">
            <v>Less: Financial intermediation services indirectly measured (FISIM) (only to be deducted if FISIM is not distributed to uses)</v>
          </cell>
          <cell r="F5627">
            <v>0</v>
          </cell>
          <cell r="G5627">
            <v>1994</v>
          </cell>
          <cell r="H5627">
            <v>30</v>
          </cell>
          <cell r="I5627">
            <v>73900000</v>
          </cell>
        </row>
        <row r="5628">
          <cell r="A5628" t="str">
            <v>Jordan</v>
          </cell>
          <cell r="B5628">
            <v>400</v>
          </cell>
          <cell r="C5628">
            <v>201</v>
          </cell>
          <cell r="D5628">
            <v>13</v>
          </cell>
          <cell r="E5628" t="str">
            <v>Less: Financial intermediation services indirectly measured (FISIM) (only to be deducted if FISIM is not distributed to uses)</v>
          </cell>
          <cell r="F5628">
            <v>0</v>
          </cell>
          <cell r="G5628">
            <v>1995</v>
          </cell>
          <cell r="H5628">
            <v>30</v>
          </cell>
          <cell r="I5628">
            <v>75000000</v>
          </cell>
        </row>
        <row r="5629">
          <cell r="A5629" t="str">
            <v>Jordan</v>
          </cell>
          <cell r="B5629">
            <v>400</v>
          </cell>
          <cell r="C5629">
            <v>201</v>
          </cell>
          <cell r="D5629">
            <v>13</v>
          </cell>
          <cell r="E5629" t="str">
            <v>Less: Financial intermediation services indirectly measured (FISIM) (only to be deducted if FISIM is not distributed to uses)</v>
          </cell>
          <cell r="F5629">
            <v>0</v>
          </cell>
          <cell r="G5629">
            <v>1996</v>
          </cell>
          <cell r="H5629">
            <v>30</v>
          </cell>
          <cell r="I5629">
            <v>77000000</v>
          </cell>
        </row>
        <row r="5630">
          <cell r="A5630" t="str">
            <v>Jordan</v>
          </cell>
          <cell r="B5630">
            <v>400</v>
          </cell>
          <cell r="C5630">
            <v>201</v>
          </cell>
          <cell r="D5630">
            <v>13</v>
          </cell>
          <cell r="E5630" t="str">
            <v>Less: Financial intermediation services indirectly measured (FISIM) (only to be deducted if FISIM is not distributed to uses)</v>
          </cell>
          <cell r="F5630">
            <v>0</v>
          </cell>
          <cell r="G5630">
            <v>1997</v>
          </cell>
          <cell r="H5630">
            <v>30</v>
          </cell>
          <cell r="I5630">
            <v>81000000</v>
          </cell>
        </row>
        <row r="5631">
          <cell r="A5631" t="str">
            <v>Jordan</v>
          </cell>
          <cell r="B5631">
            <v>400</v>
          </cell>
          <cell r="C5631">
            <v>201</v>
          </cell>
          <cell r="D5631">
            <v>13</v>
          </cell>
          <cell r="E5631" t="str">
            <v>Less: Financial intermediation services indirectly measured (FISIM) (only to be deducted if FISIM is not distributed to uses)</v>
          </cell>
          <cell r="F5631">
            <v>0</v>
          </cell>
          <cell r="G5631">
            <v>1998</v>
          </cell>
          <cell r="H5631">
            <v>30</v>
          </cell>
          <cell r="I5631">
            <v>107000000</v>
          </cell>
        </row>
        <row r="5632">
          <cell r="A5632" t="str">
            <v>Jordan</v>
          </cell>
          <cell r="B5632">
            <v>400</v>
          </cell>
          <cell r="C5632">
            <v>201</v>
          </cell>
          <cell r="D5632">
            <v>13</v>
          </cell>
          <cell r="E5632" t="str">
            <v>Less: Financial intermediation services indirectly measured (FISIM) (only to be deducted if FISIM is not distributed to uses)</v>
          </cell>
          <cell r="F5632">
            <v>0</v>
          </cell>
          <cell r="G5632">
            <v>1999</v>
          </cell>
          <cell r="H5632">
            <v>30</v>
          </cell>
          <cell r="I5632">
            <v>93000000</v>
          </cell>
        </row>
        <row r="5633">
          <cell r="A5633" t="str">
            <v>Jordan</v>
          </cell>
          <cell r="B5633">
            <v>400</v>
          </cell>
          <cell r="C5633">
            <v>201</v>
          </cell>
          <cell r="D5633">
            <v>13</v>
          </cell>
          <cell r="E5633" t="str">
            <v>Less: Financial intermediation services indirectly measured (FISIM) (only to be deducted if FISIM is not distributed to uses)</v>
          </cell>
          <cell r="F5633">
            <v>0</v>
          </cell>
          <cell r="G5633">
            <v>2000</v>
          </cell>
          <cell r="H5633">
            <v>30</v>
          </cell>
          <cell r="I5633">
            <v>111000000</v>
          </cell>
        </row>
        <row r="5634">
          <cell r="A5634" t="str">
            <v>Jordan</v>
          </cell>
          <cell r="B5634">
            <v>400</v>
          </cell>
          <cell r="C5634">
            <v>201</v>
          </cell>
          <cell r="D5634">
            <v>13</v>
          </cell>
          <cell r="E5634" t="str">
            <v>Less: Financial intermediation services indirectly measured (FISIM) (only to be deducted if FISIM is not distributed to uses)</v>
          </cell>
          <cell r="F5634">
            <v>0</v>
          </cell>
          <cell r="G5634">
            <v>2001</v>
          </cell>
          <cell r="H5634">
            <v>30</v>
          </cell>
          <cell r="I5634">
            <v>123000000</v>
          </cell>
        </row>
        <row r="5635">
          <cell r="A5635" t="str">
            <v>Jordan</v>
          </cell>
          <cell r="B5635">
            <v>400</v>
          </cell>
          <cell r="C5635">
            <v>201</v>
          </cell>
          <cell r="D5635">
            <v>13</v>
          </cell>
          <cell r="E5635" t="str">
            <v>Less: Financial intermediation services indirectly measured (FISIM) (only to be deducted if FISIM is not distributed to uses)</v>
          </cell>
          <cell r="F5635">
            <v>0</v>
          </cell>
          <cell r="G5635">
            <v>2002</v>
          </cell>
          <cell r="H5635">
            <v>30</v>
          </cell>
          <cell r="I5635">
            <v>200000000</v>
          </cell>
        </row>
        <row r="5636">
          <cell r="A5636" t="str">
            <v>Ecuador</v>
          </cell>
          <cell r="B5636">
            <v>218</v>
          </cell>
          <cell r="C5636">
            <v>203</v>
          </cell>
          <cell r="D5636">
            <v>3</v>
          </cell>
          <cell r="E5636" t="str">
            <v>Equals: VALUE ADDED, GROSS, at basic prices</v>
          </cell>
          <cell r="F5636">
            <v>12</v>
          </cell>
          <cell r="G5636">
            <v>1970</v>
          </cell>
          <cell r="H5636">
            <v>10</v>
          </cell>
          <cell r="I5636">
            <v>33731000000</v>
          </cell>
        </row>
        <row r="5637">
          <cell r="A5637" t="str">
            <v>Ecuador</v>
          </cell>
          <cell r="B5637">
            <v>218</v>
          </cell>
          <cell r="C5637">
            <v>203</v>
          </cell>
          <cell r="D5637">
            <v>3</v>
          </cell>
          <cell r="E5637" t="str">
            <v>Equals: VALUE ADDED, GROSS, at basic prices</v>
          </cell>
          <cell r="F5637">
            <v>12</v>
          </cell>
          <cell r="G5637">
            <v>1971</v>
          </cell>
          <cell r="H5637">
            <v>10</v>
          </cell>
          <cell r="I5637">
            <v>38814000000</v>
          </cell>
        </row>
        <row r="5638">
          <cell r="A5638" t="str">
            <v>Ecuador</v>
          </cell>
          <cell r="B5638">
            <v>218</v>
          </cell>
          <cell r="C5638">
            <v>203</v>
          </cell>
          <cell r="D5638">
            <v>3</v>
          </cell>
          <cell r="E5638" t="str">
            <v>Equals: VALUE ADDED, GROSS, at basic prices</v>
          </cell>
          <cell r="F5638">
            <v>12</v>
          </cell>
          <cell r="G5638">
            <v>1972</v>
          </cell>
          <cell r="H5638">
            <v>10</v>
          </cell>
          <cell r="I5638">
            <v>45332000000</v>
          </cell>
        </row>
        <row r="5639">
          <cell r="A5639" t="str">
            <v>Ecuador</v>
          </cell>
          <cell r="B5639">
            <v>218</v>
          </cell>
          <cell r="C5639">
            <v>203</v>
          </cell>
          <cell r="D5639">
            <v>3</v>
          </cell>
          <cell r="E5639" t="str">
            <v>Equals: VALUE ADDED, GROSS, at basic prices</v>
          </cell>
          <cell r="F5639">
            <v>12</v>
          </cell>
          <cell r="G5639">
            <v>1973</v>
          </cell>
          <cell r="H5639">
            <v>10</v>
          </cell>
          <cell r="I5639">
            <v>59797000000</v>
          </cell>
        </row>
        <row r="5640">
          <cell r="A5640" t="str">
            <v>Ecuador</v>
          </cell>
          <cell r="B5640">
            <v>218</v>
          </cell>
          <cell r="C5640">
            <v>203</v>
          </cell>
          <cell r="D5640">
            <v>3</v>
          </cell>
          <cell r="E5640" t="str">
            <v>Equals: VALUE ADDED, GROSS, at basic prices</v>
          </cell>
          <cell r="F5640">
            <v>12</v>
          </cell>
          <cell r="G5640">
            <v>1974</v>
          </cell>
          <cell r="H5640">
            <v>10</v>
          </cell>
          <cell r="I5640">
            <v>90833000000</v>
          </cell>
        </row>
        <row r="5641">
          <cell r="A5641" t="str">
            <v>Ecuador</v>
          </cell>
          <cell r="B5641">
            <v>218</v>
          </cell>
          <cell r="C5641">
            <v>203</v>
          </cell>
          <cell r="D5641">
            <v>3</v>
          </cell>
          <cell r="E5641" t="str">
            <v>Equals: VALUE ADDED, GROSS, at basic prices</v>
          </cell>
          <cell r="F5641">
            <v>12</v>
          </cell>
          <cell r="G5641">
            <v>1975</v>
          </cell>
          <cell r="H5641">
            <v>10</v>
          </cell>
          <cell r="I5641">
            <v>104883000000</v>
          </cell>
        </row>
        <row r="5642">
          <cell r="A5642" t="str">
            <v>Ecuador</v>
          </cell>
          <cell r="B5642">
            <v>218</v>
          </cell>
          <cell r="C5642">
            <v>203</v>
          </cell>
          <cell r="D5642">
            <v>3</v>
          </cell>
          <cell r="E5642" t="str">
            <v>Equals: VALUE ADDED, GROSS, at basic prices</v>
          </cell>
          <cell r="F5642">
            <v>12</v>
          </cell>
          <cell r="G5642">
            <v>1976</v>
          </cell>
          <cell r="H5642">
            <v>10</v>
          </cell>
          <cell r="I5642">
            <v>130375000000</v>
          </cell>
        </row>
        <row r="5643">
          <cell r="A5643" t="str">
            <v>Ecuador</v>
          </cell>
          <cell r="B5643">
            <v>218</v>
          </cell>
          <cell r="C5643">
            <v>203</v>
          </cell>
          <cell r="D5643">
            <v>3</v>
          </cell>
          <cell r="E5643" t="str">
            <v>Equals: VALUE ADDED, GROSS, at basic prices</v>
          </cell>
          <cell r="F5643">
            <v>12</v>
          </cell>
          <cell r="G5643">
            <v>1977</v>
          </cell>
          <cell r="H5643">
            <v>10</v>
          </cell>
          <cell r="I5643">
            <v>161731000000</v>
          </cell>
        </row>
        <row r="5644">
          <cell r="A5644" t="str">
            <v>Ecuador</v>
          </cell>
          <cell r="B5644">
            <v>218</v>
          </cell>
          <cell r="C5644">
            <v>203</v>
          </cell>
          <cell r="D5644">
            <v>3</v>
          </cell>
          <cell r="E5644" t="str">
            <v>Equals: VALUE ADDED, GROSS, at basic prices</v>
          </cell>
          <cell r="F5644">
            <v>12</v>
          </cell>
          <cell r="G5644">
            <v>1978</v>
          </cell>
          <cell r="H5644">
            <v>10</v>
          </cell>
          <cell r="I5644">
            <v>187120000000</v>
          </cell>
        </row>
        <row r="5645">
          <cell r="A5645" t="str">
            <v>Ecuador</v>
          </cell>
          <cell r="B5645">
            <v>218</v>
          </cell>
          <cell r="C5645">
            <v>203</v>
          </cell>
          <cell r="D5645">
            <v>3</v>
          </cell>
          <cell r="E5645" t="str">
            <v>Equals: VALUE ADDED, GROSS, at basic prices</v>
          </cell>
          <cell r="F5645">
            <v>12</v>
          </cell>
          <cell r="G5645">
            <v>1979</v>
          </cell>
          <cell r="H5645">
            <v>10</v>
          </cell>
          <cell r="I5645">
            <v>229983000000</v>
          </cell>
        </row>
        <row r="5646">
          <cell r="A5646" t="str">
            <v>Ecuador</v>
          </cell>
          <cell r="B5646">
            <v>218</v>
          </cell>
          <cell r="C5646">
            <v>203</v>
          </cell>
          <cell r="D5646">
            <v>3</v>
          </cell>
          <cell r="E5646" t="str">
            <v>Equals: VALUE ADDED, GROSS, at basic prices</v>
          </cell>
          <cell r="F5646">
            <v>12</v>
          </cell>
          <cell r="G5646">
            <v>1980</v>
          </cell>
          <cell r="H5646">
            <v>10</v>
          </cell>
          <cell r="I5646">
            <v>290222000000</v>
          </cell>
        </row>
        <row r="5647">
          <cell r="A5647" t="str">
            <v>Ecuador</v>
          </cell>
          <cell r="B5647">
            <v>218</v>
          </cell>
          <cell r="C5647">
            <v>203</v>
          </cell>
          <cell r="D5647">
            <v>3</v>
          </cell>
          <cell r="E5647" t="str">
            <v>Equals: VALUE ADDED, GROSS, at basic prices</v>
          </cell>
          <cell r="F5647">
            <v>12</v>
          </cell>
          <cell r="G5647">
            <v>1981</v>
          </cell>
          <cell r="H5647">
            <v>10</v>
          </cell>
          <cell r="I5647">
            <v>346224000000</v>
          </cell>
        </row>
        <row r="5648">
          <cell r="A5648" t="str">
            <v>Ecuador</v>
          </cell>
          <cell r="B5648">
            <v>218</v>
          </cell>
          <cell r="C5648">
            <v>203</v>
          </cell>
          <cell r="D5648">
            <v>3</v>
          </cell>
          <cell r="E5648" t="str">
            <v>Equals: VALUE ADDED, GROSS, at basic prices</v>
          </cell>
          <cell r="F5648">
            <v>12</v>
          </cell>
          <cell r="G5648">
            <v>1982</v>
          </cell>
          <cell r="H5648">
            <v>10</v>
          </cell>
          <cell r="I5648">
            <v>416546000000</v>
          </cell>
        </row>
        <row r="5649">
          <cell r="A5649" t="str">
            <v>Ecuador</v>
          </cell>
          <cell r="B5649">
            <v>218</v>
          </cell>
          <cell r="C5649">
            <v>203</v>
          </cell>
          <cell r="D5649">
            <v>3</v>
          </cell>
          <cell r="E5649" t="str">
            <v>Equals: VALUE ADDED, GROSS, at basic prices</v>
          </cell>
          <cell r="F5649">
            <v>12</v>
          </cell>
          <cell r="G5649">
            <v>1983</v>
          </cell>
          <cell r="H5649">
            <v>10</v>
          </cell>
          <cell r="I5649">
            <v>563755000000</v>
          </cell>
        </row>
        <row r="5650">
          <cell r="A5650" t="str">
            <v>Ecuador</v>
          </cell>
          <cell r="B5650">
            <v>218</v>
          </cell>
          <cell r="C5650">
            <v>203</v>
          </cell>
          <cell r="D5650">
            <v>3</v>
          </cell>
          <cell r="E5650" t="str">
            <v>Equals: VALUE ADDED, GROSS, at basic prices</v>
          </cell>
          <cell r="F5650">
            <v>12</v>
          </cell>
          <cell r="G5650">
            <v>1984</v>
          </cell>
          <cell r="H5650">
            <v>10</v>
          </cell>
          <cell r="I5650">
            <v>802564000000</v>
          </cell>
        </row>
        <row r="5651">
          <cell r="A5651" t="str">
            <v>Ecuador</v>
          </cell>
          <cell r="B5651">
            <v>218</v>
          </cell>
          <cell r="C5651">
            <v>203</v>
          </cell>
          <cell r="D5651">
            <v>3</v>
          </cell>
          <cell r="E5651" t="str">
            <v>Equals: VALUE ADDED, GROSS, at basic prices</v>
          </cell>
          <cell r="F5651">
            <v>12</v>
          </cell>
          <cell r="G5651">
            <v>1985</v>
          </cell>
          <cell r="H5651">
            <v>10</v>
          </cell>
          <cell r="I5651">
            <v>1089502000000</v>
          </cell>
        </row>
        <row r="5652">
          <cell r="A5652" t="str">
            <v>Ecuador</v>
          </cell>
          <cell r="B5652">
            <v>218</v>
          </cell>
          <cell r="C5652">
            <v>203</v>
          </cell>
          <cell r="D5652">
            <v>3</v>
          </cell>
          <cell r="E5652" t="str">
            <v>Equals: VALUE ADDED, GROSS, at basic prices</v>
          </cell>
          <cell r="F5652">
            <v>12</v>
          </cell>
          <cell r="G5652">
            <v>1986</v>
          </cell>
          <cell r="H5652">
            <v>10</v>
          </cell>
          <cell r="I5652">
            <v>1347461000000</v>
          </cell>
        </row>
        <row r="5653">
          <cell r="A5653" t="str">
            <v>Ecuador</v>
          </cell>
          <cell r="B5653">
            <v>218</v>
          </cell>
          <cell r="C5653">
            <v>203</v>
          </cell>
          <cell r="D5653">
            <v>3</v>
          </cell>
          <cell r="E5653" t="str">
            <v>Equals: VALUE ADDED, GROSS, at basic prices</v>
          </cell>
          <cell r="F5653">
            <v>12</v>
          </cell>
          <cell r="G5653">
            <v>1987</v>
          </cell>
          <cell r="H5653">
            <v>10</v>
          </cell>
          <cell r="I5653">
            <v>1770795000000</v>
          </cell>
        </row>
        <row r="5654">
          <cell r="A5654" t="str">
            <v>Ecuador</v>
          </cell>
          <cell r="B5654">
            <v>218</v>
          </cell>
          <cell r="C5654">
            <v>203</v>
          </cell>
          <cell r="D5654">
            <v>3</v>
          </cell>
          <cell r="E5654" t="str">
            <v>Equals: VALUE ADDED, GROSS, at basic prices</v>
          </cell>
          <cell r="F5654">
            <v>12</v>
          </cell>
          <cell r="G5654">
            <v>1988</v>
          </cell>
          <cell r="H5654">
            <v>10</v>
          </cell>
          <cell r="I5654">
            <v>2996662000000</v>
          </cell>
        </row>
        <row r="5655">
          <cell r="A5655" t="str">
            <v>Ecuador</v>
          </cell>
          <cell r="B5655">
            <v>218</v>
          </cell>
          <cell r="C5655">
            <v>203</v>
          </cell>
          <cell r="D5655">
            <v>3</v>
          </cell>
          <cell r="E5655" t="str">
            <v>Equals: VALUE ADDED, GROSS, at basic prices</v>
          </cell>
          <cell r="F5655">
            <v>12</v>
          </cell>
          <cell r="G5655">
            <v>1989</v>
          </cell>
          <cell r="H5655">
            <v>10</v>
          </cell>
          <cell r="I5655">
            <v>5071594000000</v>
          </cell>
        </row>
        <row r="5656">
          <cell r="A5656" t="str">
            <v>Ecuador</v>
          </cell>
          <cell r="B5656">
            <v>218</v>
          </cell>
          <cell r="C5656">
            <v>203</v>
          </cell>
          <cell r="D5656">
            <v>3</v>
          </cell>
          <cell r="E5656" t="str">
            <v>Equals: VALUE ADDED, GROSS, at basic prices</v>
          </cell>
          <cell r="F5656">
            <v>12</v>
          </cell>
          <cell r="G5656">
            <v>1990</v>
          </cell>
          <cell r="H5656">
            <v>10</v>
          </cell>
          <cell r="I5656">
            <v>7903286000000</v>
          </cell>
        </row>
        <row r="5657">
          <cell r="A5657" t="str">
            <v>Ecuador</v>
          </cell>
          <cell r="B5657">
            <v>218</v>
          </cell>
          <cell r="C5657">
            <v>203</v>
          </cell>
          <cell r="D5657">
            <v>3</v>
          </cell>
          <cell r="E5657" t="str">
            <v>Equals: VALUE ADDED, GROSS, at basic prices</v>
          </cell>
          <cell r="F5657">
            <v>12</v>
          </cell>
          <cell r="G5657">
            <v>1991</v>
          </cell>
          <cell r="H5657">
            <v>10</v>
          </cell>
          <cell r="I5657">
            <v>11937913000000</v>
          </cell>
        </row>
        <row r="5658">
          <cell r="A5658" t="str">
            <v>Ecuador</v>
          </cell>
          <cell r="B5658">
            <v>218</v>
          </cell>
          <cell r="C5658">
            <v>203</v>
          </cell>
          <cell r="D5658">
            <v>3</v>
          </cell>
          <cell r="E5658" t="str">
            <v>Equals: VALUE ADDED, GROSS, at basic prices</v>
          </cell>
          <cell r="F5658">
            <v>12</v>
          </cell>
          <cell r="G5658">
            <v>1992</v>
          </cell>
          <cell r="H5658">
            <v>10</v>
          </cell>
          <cell r="I5658">
            <v>18462450000000</v>
          </cell>
        </row>
        <row r="5659">
          <cell r="A5659" t="str">
            <v>Ecuador</v>
          </cell>
          <cell r="B5659">
            <v>218</v>
          </cell>
          <cell r="C5659">
            <v>203</v>
          </cell>
          <cell r="D5659">
            <v>3</v>
          </cell>
          <cell r="E5659" t="str">
            <v>Equals: VALUE ADDED, GROSS, at basic prices</v>
          </cell>
          <cell r="F5659">
            <v>12</v>
          </cell>
          <cell r="G5659">
            <v>1993</v>
          </cell>
          <cell r="H5659">
            <v>10</v>
          </cell>
          <cell r="I5659">
            <v>25964887000000</v>
          </cell>
        </row>
        <row r="5660">
          <cell r="A5660" t="str">
            <v>Ecuador</v>
          </cell>
          <cell r="B5660">
            <v>218</v>
          </cell>
          <cell r="C5660">
            <v>203</v>
          </cell>
          <cell r="D5660">
            <v>3</v>
          </cell>
          <cell r="E5660" t="str">
            <v>Equals: VALUE ADDED, GROSS, at basic prices</v>
          </cell>
          <cell r="F5660">
            <v>12</v>
          </cell>
          <cell r="G5660">
            <v>1993</v>
          </cell>
          <cell r="H5660">
            <v>100</v>
          </cell>
          <cell r="I5660">
            <v>13659970000</v>
          </cell>
        </row>
        <row r="5661">
          <cell r="A5661" t="str">
            <v>Ecuador</v>
          </cell>
          <cell r="B5661">
            <v>218</v>
          </cell>
          <cell r="C5661">
            <v>203</v>
          </cell>
          <cell r="D5661">
            <v>3</v>
          </cell>
          <cell r="E5661" t="str">
            <v>Equals: VALUE ADDED, GROSS, at basic prices</v>
          </cell>
          <cell r="F5661">
            <v>12</v>
          </cell>
          <cell r="G5661">
            <v>1994</v>
          </cell>
          <cell r="H5661">
            <v>100</v>
          </cell>
          <cell r="I5661">
            <v>16959297000</v>
          </cell>
        </row>
        <row r="5662">
          <cell r="A5662" t="str">
            <v>Ecuador</v>
          </cell>
          <cell r="B5662">
            <v>218</v>
          </cell>
          <cell r="C5662">
            <v>203</v>
          </cell>
          <cell r="D5662">
            <v>3</v>
          </cell>
          <cell r="E5662" t="str">
            <v>Equals: VALUE ADDED, GROSS, at basic prices</v>
          </cell>
          <cell r="F5662">
            <v>12</v>
          </cell>
          <cell r="G5662">
            <v>1995</v>
          </cell>
          <cell r="H5662">
            <v>100</v>
          </cell>
          <cell r="I5662">
            <v>18454112000</v>
          </cell>
        </row>
        <row r="5663">
          <cell r="A5663" t="str">
            <v>Ecuador</v>
          </cell>
          <cell r="B5663">
            <v>218</v>
          </cell>
          <cell r="C5663">
            <v>203</v>
          </cell>
          <cell r="D5663">
            <v>3</v>
          </cell>
          <cell r="E5663" t="str">
            <v>Equals: VALUE ADDED, GROSS, at basic prices</v>
          </cell>
          <cell r="F5663">
            <v>12</v>
          </cell>
          <cell r="G5663">
            <v>1996</v>
          </cell>
          <cell r="H5663">
            <v>100</v>
          </cell>
          <cell r="I5663">
            <v>19532677000</v>
          </cell>
        </row>
        <row r="5664">
          <cell r="A5664" t="str">
            <v>Ecuador</v>
          </cell>
          <cell r="B5664">
            <v>218</v>
          </cell>
          <cell r="C5664">
            <v>203</v>
          </cell>
          <cell r="D5664">
            <v>3</v>
          </cell>
          <cell r="E5664" t="str">
            <v>Equals: VALUE ADDED, GROSS, at basic prices</v>
          </cell>
          <cell r="F5664">
            <v>12</v>
          </cell>
          <cell r="G5664">
            <v>1997</v>
          </cell>
          <cell r="H5664">
            <v>100</v>
          </cell>
          <cell r="I5664">
            <v>21463598000</v>
          </cell>
        </row>
        <row r="5665">
          <cell r="A5665" t="str">
            <v>Ecuador</v>
          </cell>
          <cell r="B5665">
            <v>218</v>
          </cell>
          <cell r="C5665">
            <v>203</v>
          </cell>
          <cell r="D5665">
            <v>3</v>
          </cell>
          <cell r="E5665" t="str">
            <v>Equals: VALUE ADDED, GROSS, at basic prices</v>
          </cell>
          <cell r="F5665">
            <v>12</v>
          </cell>
          <cell r="G5665">
            <v>1998</v>
          </cell>
          <cell r="H5665">
            <v>100</v>
          </cell>
          <cell r="I5665">
            <v>20874521000</v>
          </cell>
        </row>
        <row r="5666">
          <cell r="A5666" t="str">
            <v>Ecuador</v>
          </cell>
          <cell r="B5666">
            <v>218</v>
          </cell>
          <cell r="C5666">
            <v>203</v>
          </cell>
          <cell r="D5666">
            <v>3</v>
          </cell>
          <cell r="E5666" t="str">
            <v>Equals: VALUE ADDED, GROSS, at basic prices</v>
          </cell>
          <cell r="F5666">
            <v>12</v>
          </cell>
          <cell r="G5666">
            <v>1999</v>
          </cell>
          <cell r="H5666">
            <v>100</v>
          </cell>
          <cell r="I5666">
            <v>15154093000</v>
          </cell>
        </row>
        <row r="5667">
          <cell r="A5667" t="str">
            <v>Ecuador</v>
          </cell>
          <cell r="B5667">
            <v>218</v>
          </cell>
          <cell r="C5667">
            <v>203</v>
          </cell>
          <cell r="D5667">
            <v>3</v>
          </cell>
          <cell r="E5667" t="str">
            <v>Equals: VALUE ADDED, GROSS, at basic prices</v>
          </cell>
          <cell r="F5667">
            <v>12</v>
          </cell>
          <cell r="G5667">
            <v>2000</v>
          </cell>
          <cell r="H5667">
            <v>100</v>
          </cell>
          <cell r="I5667">
            <v>14325652000</v>
          </cell>
        </row>
        <row r="5668">
          <cell r="A5668" t="str">
            <v>Ecuador</v>
          </cell>
          <cell r="B5668">
            <v>218</v>
          </cell>
          <cell r="C5668">
            <v>203</v>
          </cell>
          <cell r="D5668">
            <v>3</v>
          </cell>
          <cell r="E5668" t="str">
            <v>Equals: VALUE ADDED, GROSS, at basic prices</v>
          </cell>
          <cell r="F5668">
            <v>12</v>
          </cell>
          <cell r="G5668">
            <v>2001</v>
          </cell>
          <cell r="H5668">
            <v>100</v>
          </cell>
          <cell r="I5668">
            <v>18814531000</v>
          </cell>
        </row>
        <row r="5669">
          <cell r="A5669" t="str">
            <v>Ecuador</v>
          </cell>
          <cell r="B5669">
            <v>218</v>
          </cell>
          <cell r="C5669">
            <v>203</v>
          </cell>
          <cell r="D5669">
            <v>3</v>
          </cell>
          <cell r="E5669" t="str">
            <v>Equals: VALUE ADDED, GROSS, at basic prices</v>
          </cell>
          <cell r="F5669">
            <v>12</v>
          </cell>
          <cell r="G5669">
            <v>2002</v>
          </cell>
          <cell r="H5669">
            <v>100</v>
          </cell>
          <cell r="I5669">
            <v>21613000000</v>
          </cell>
        </row>
        <row r="5670">
          <cell r="A5670" t="str">
            <v>Ecuador</v>
          </cell>
          <cell r="B5670">
            <v>218</v>
          </cell>
          <cell r="C5670">
            <v>203</v>
          </cell>
          <cell r="D5670">
            <v>3</v>
          </cell>
          <cell r="E5670" t="str">
            <v>Equals: VALUE ADDED, GROSS, at basic prices</v>
          </cell>
          <cell r="F5670">
            <v>12</v>
          </cell>
          <cell r="G5670">
            <v>2003</v>
          </cell>
          <cell r="H5670">
            <v>100</v>
          </cell>
          <cell r="I5670">
            <v>24371500000</v>
          </cell>
        </row>
        <row r="5671">
          <cell r="A5671" t="str">
            <v>Ecuador</v>
          </cell>
          <cell r="B5671">
            <v>218</v>
          </cell>
          <cell r="C5671">
            <v>203</v>
          </cell>
          <cell r="D5671">
            <v>3</v>
          </cell>
          <cell r="E5671" t="str">
            <v>Equals: VALUE ADDED, GROSS, at basic prices</v>
          </cell>
          <cell r="F5671">
            <v>12</v>
          </cell>
          <cell r="G5671">
            <v>2004</v>
          </cell>
          <cell r="H5671">
            <v>100</v>
          </cell>
          <cell r="I5671">
            <v>26806600000</v>
          </cell>
        </row>
        <row r="5672">
          <cell r="A5672" t="str">
            <v>Jordan</v>
          </cell>
          <cell r="B5672">
            <v>400</v>
          </cell>
          <cell r="C5672">
            <v>203</v>
          </cell>
          <cell r="D5672">
            <v>3</v>
          </cell>
          <cell r="E5672" t="str">
            <v>Equals: VALUE ADDED, GROSS, at basic prices</v>
          </cell>
          <cell r="F5672">
            <v>12</v>
          </cell>
          <cell r="G5672">
            <v>1970</v>
          </cell>
          <cell r="H5672">
            <v>20</v>
          </cell>
          <cell r="I5672">
            <v>165600000</v>
          </cell>
        </row>
        <row r="5673">
          <cell r="A5673" t="str">
            <v>Jordan</v>
          </cell>
          <cell r="B5673">
            <v>400</v>
          </cell>
          <cell r="C5673">
            <v>203</v>
          </cell>
          <cell r="D5673">
            <v>3</v>
          </cell>
          <cell r="E5673" t="str">
            <v>Equals: VALUE ADDED, GROSS, at basic prices</v>
          </cell>
          <cell r="F5673">
            <v>12</v>
          </cell>
          <cell r="G5673">
            <v>1971</v>
          </cell>
          <cell r="H5673">
            <v>20</v>
          </cell>
          <cell r="I5673">
            <v>176300000</v>
          </cell>
        </row>
        <row r="5674">
          <cell r="A5674" t="str">
            <v>Jordan</v>
          </cell>
          <cell r="B5674">
            <v>400</v>
          </cell>
          <cell r="C5674">
            <v>203</v>
          </cell>
          <cell r="D5674">
            <v>3</v>
          </cell>
          <cell r="E5674" t="str">
            <v>Equals: VALUE ADDED, GROSS, at basic prices</v>
          </cell>
          <cell r="F5674">
            <v>12</v>
          </cell>
          <cell r="G5674">
            <v>1972</v>
          </cell>
          <cell r="H5674">
            <v>20</v>
          </cell>
          <cell r="I5674">
            <v>195700000</v>
          </cell>
        </row>
        <row r="5675">
          <cell r="A5675" t="str">
            <v>Jordan</v>
          </cell>
          <cell r="B5675">
            <v>400</v>
          </cell>
          <cell r="C5675">
            <v>203</v>
          </cell>
          <cell r="D5675">
            <v>3</v>
          </cell>
          <cell r="E5675" t="str">
            <v>Equals: VALUE ADDED, GROSS, at basic prices</v>
          </cell>
          <cell r="F5675">
            <v>12</v>
          </cell>
          <cell r="G5675">
            <v>1973</v>
          </cell>
          <cell r="H5675">
            <v>20</v>
          </cell>
          <cell r="I5675">
            <v>205800000</v>
          </cell>
        </row>
        <row r="5676">
          <cell r="A5676" t="str">
            <v>Jordan</v>
          </cell>
          <cell r="B5676">
            <v>400</v>
          </cell>
          <cell r="C5676">
            <v>203</v>
          </cell>
          <cell r="D5676">
            <v>3</v>
          </cell>
          <cell r="E5676" t="str">
            <v>Equals: VALUE ADDED, GROSS, at basic prices</v>
          </cell>
          <cell r="F5676">
            <v>12</v>
          </cell>
          <cell r="G5676">
            <v>1974</v>
          </cell>
          <cell r="H5676">
            <v>20</v>
          </cell>
          <cell r="I5676">
            <v>230600000</v>
          </cell>
        </row>
        <row r="5677">
          <cell r="A5677" t="str">
            <v>Jordan</v>
          </cell>
          <cell r="B5677">
            <v>400</v>
          </cell>
          <cell r="C5677">
            <v>203</v>
          </cell>
          <cell r="D5677">
            <v>3</v>
          </cell>
          <cell r="E5677" t="str">
            <v>Equals: VALUE ADDED, GROSS, at basic prices</v>
          </cell>
          <cell r="F5677">
            <v>12</v>
          </cell>
          <cell r="G5677">
            <v>1975</v>
          </cell>
          <cell r="H5677">
            <v>20</v>
          </cell>
          <cell r="I5677">
            <v>301800000</v>
          </cell>
        </row>
        <row r="5678">
          <cell r="A5678" t="str">
            <v>Jordan</v>
          </cell>
          <cell r="B5678">
            <v>400</v>
          </cell>
          <cell r="C5678">
            <v>203</v>
          </cell>
          <cell r="D5678">
            <v>3</v>
          </cell>
          <cell r="E5678" t="str">
            <v>Equals: VALUE ADDED, GROSS, at basic prices</v>
          </cell>
          <cell r="F5678">
            <v>12</v>
          </cell>
          <cell r="G5678">
            <v>1976</v>
          </cell>
          <cell r="H5678">
            <v>20</v>
          </cell>
          <cell r="I5678">
            <v>376300000</v>
          </cell>
        </row>
        <row r="5679">
          <cell r="A5679" t="str">
            <v>Jordan</v>
          </cell>
          <cell r="B5679">
            <v>400</v>
          </cell>
          <cell r="C5679">
            <v>203</v>
          </cell>
          <cell r="D5679">
            <v>3</v>
          </cell>
          <cell r="E5679" t="str">
            <v>Equals: VALUE ADDED, GROSS, at basic prices</v>
          </cell>
          <cell r="F5679">
            <v>12</v>
          </cell>
          <cell r="G5679">
            <v>1977</v>
          </cell>
          <cell r="H5679">
            <v>20</v>
          </cell>
          <cell r="I5679">
            <v>448700000</v>
          </cell>
        </row>
        <row r="5680">
          <cell r="A5680" t="str">
            <v>Jordan</v>
          </cell>
          <cell r="B5680">
            <v>400</v>
          </cell>
          <cell r="C5680">
            <v>203</v>
          </cell>
          <cell r="D5680">
            <v>3</v>
          </cell>
          <cell r="E5680" t="str">
            <v>Equals: VALUE ADDED, GROSS, at basic prices</v>
          </cell>
          <cell r="F5680">
            <v>12</v>
          </cell>
          <cell r="G5680">
            <v>1978</v>
          </cell>
          <cell r="H5680">
            <v>20</v>
          </cell>
          <cell r="I5680">
            <v>568000000</v>
          </cell>
        </row>
        <row r="5681">
          <cell r="A5681" t="str">
            <v>Jordan</v>
          </cell>
          <cell r="B5681">
            <v>400</v>
          </cell>
          <cell r="C5681">
            <v>203</v>
          </cell>
          <cell r="D5681">
            <v>3</v>
          </cell>
          <cell r="E5681" t="str">
            <v>Equals: VALUE ADDED, GROSS, at basic prices</v>
          </cell>
          <cell r="F5681">
            <v>12</v>
          </cell>
          <cell r="G5681">
            <v>1979</v>
          </cell>
          <cell r="H5681">
            <v>20</v>
          </cell>
          <cell r="I5681">
            <v>689900000</v>
          </cell>
        </row>
        <row r="5682">
          <cell r="A5682" t="str">
            <v>Jordan</v>
          </cell>
          <cell r="B5682">
            <v>400</v>
          </cell>
          <cell r="C5682">
            <v>203</v>
          </cell>
          <cell r="D5682">
            <v>3</v>
          </cell>
          <cell r="E5682" t="str">
            <v>Equals: VALUE ADDED, GROSS, at basic prices</v>
          </cell>
          <cell r="F5682">
            <v>12</v>
          </cell>
          <cell r="G5682">
            <v>1980</v>
          </cell>
          <cell r="H5682">
            <v>20</v>
          </cell>
          <cell r="I5682">
            <v>898500000</v>
          </cell>
        </row>
        <row r="5683">
          <cell r="A5683" t="str">
            <v>Jordan</v>
          </cell>
          <cell r="B5683">
            <v>400</v>
          </cell>
          <cell r="C5683">
            <v>203</v>
          </cell>
          <cell r="D5683">
            <v>3</v>
          </cell>
          <cell r="E5683" t="str">
            <v>Equals: VALUE ADDED, GROSS, at basic prices</v>
          </cell>
          <cell r="F5683">
            <v>12</v>
          </cell>
          <cell r="G5683">
            <v>1981</v>
          </cell>
          <cell r="H5683">
            <v>20</v>
          </cell>
          <cell r="I5683">
            <v>1066700000</v>
          </cell>
        </row>
        <row r="5684">
          <cell r="A5684" t="str">
            <v>Jordan</v>
          </cell>
          <cell r="B5684">
            <v>400</v>
          </cell>
          <cell r="C5684">
            <v>203</v>
          </cell>
          <cell r="D5684">
            <v>3</v>
          </cell>
          <cell r="E5684" t="str">
            <v>Equals: VALUE ADDED, GROSS, at basic prices</v>
          </cell>
          <cell r="F5684">
            <v>12</v>
          </cell>
          <cell r="G5684">
            <v>1982</v>
          </cell>
          <cell r="H5684">
            <v>20</v>
          </cell>
          <cell r="I5684">
            <v>1205900000</v>
          </cell>
        </row>
        <row r="5685">
          <cell r="A5685" t="str">
            <v>Jordan</v>
          </cell>
          <cell r="B5685">
            <v>400</v>
          </cell>
          <cell r="C5685">
            <v>203</v>
          </cell>
          <cell r="D5685">
            <v>3</v>
          </cell>
          <cell r="E5685" t="str">
            <v>Equals: VALUE ADDED, GROSS, at basic prices</v>
          </cell>
          <cell r="F5685">
            <v>12</v>
          </cell>
          <cell r="G5685">
            <v>1983</v>
          </cell>
          <cell r="H5685">
            <v>20</v>
          </cell>
          <cell r="I5685">
            <v>1312600000</v>
          </cell>
        </row>
        <row r="5686">
          <cell r="A5686" t="str">
            <v>Jordan</v>
          </cell>
          <cell r="B5686">
            <v>400</v>
          </cell>
          <cell r="C5686">
            <v>203</v>
          </cell>
          <cell r="D5686">
            <v>3</v>
          </cell>
          <cell r="E5686" t="str">
            <v>Equals: VALUE ADDED, GROSS, at basic prices</v>
          </cell>
          <cell r="F5686">
            <v>12</v>
          </cell>
          <cell r="G5686">
            <v>1983</v>
          </cell>
          <cell r="H5686">
            <v>30</v>
          </cell>
          <cell r="I5686">
            <v>1584000000</v>
          </cell>
        </row>
        <row r="5687">
          <cell r="A5687" t="str">
            <v>Jordan</v>
          </cell>
          <cell r="B5687">
            <v>400</v>
          </cell>
          <cell r="C5687">
            <v>203</v>
          </cell>
          <cell r="D5687">
            <v>3</v>
          </cell>
          <cell r="E5687" t="str">
            <v>Equals: VALUE ADDED, GROSS, at basic prices</v>
          </cell>
          <cell r="F5687">
            <v>12</v>
          </cell>
          <cell r="G5687">
            <v>1984</v>
          </cell>
          <cell r="H5687">
            <v>30</v>
          </cell>
          <cell r="I5687">
            <v>1677900000</v>
          </cell>
        </row>
        <row r="5688">
          <cell r="A5688" t="str">
            <v>Jordan</v>
          </cell>
          <cell r="B5688">
            <v>400</v>
          </cell>
          <cell r="C5688">
            <v>203</v>
          </cell>
          <cell r="D5688">
            <v>3</v>
          </cell>
          <cell r="E5688" t="str">
            <v>Equals: VALUE ADDED, GROSS, at basic prices</v>
          </cell>
          <cell r="F5688">
            <v>12</v>
          </cell>
          <cell r="G5688">
            <v>1985</v>
          </cell>
          <cell r="H5688">
            <v>30</v>
          </cell>
          <cell r="I5688">
            <v>1882500000</v>
          </cell>
        </row>
        <row r="5689">
          <cell r="A5689" t="str">
            <v>Jordan</v>
          </cell>
          <cell r="B5689">
            <v>400</v>
          </cell>
          <cell r="C5689">
            <v>203</v>
          </cell>
          <cell r="D5689">
            <v>3</v>
          </cell>
          <cell r="E5689" t="str">
            <v>Equals: VALUE ADDED, GROSS, at basic prices</v>
          </cell>
          <cell r="F5689">
            <v>12</v>
          </cell>
          <cell r="G5689">
            <v>1986</v>
          </cell>
          <cell r="H5689">
            <v>30</v>
          </cell>
          <cell r="I5689">
            <v>2035200000</v>
          </cell>
        </row>
        <row r="5690">
          <cell r="A5690" t="str">
            <v>Jordan</v>
          </cell>
          <cell r="B5690">
            <v>400</v>
          </cell>
          <cell r="C5690">
            <v>203</v>
          </cell>
          <cell r="D5690">
            <v>3</v>
          </cell>
          <cell r="E5690" t="str">
            <v>Equals: VALUE ADDED, GROSS, at basic prices</v>
          </cell>
          <cell r="F5690">
            <v>12</v>
          </cell>
          <cell r="G5690">
            <v>1987</v>
          </cell>
          <cell r="H5690">
            <v>30</v>
          </cell>
          <cell r="I5690">
            <v>2090100000</v>
          </cell>
        </row>
        <row r="5691">
          <cell r="A5691" t="str">
            <v>Jordan</v>
          </cell>
          <cell r="B5691">
            <v>400</v>
          </cell>
          <cell r="C5691">
            <v>203</v>
          </cell>
          <cell r="D5691">
            <v>3</v>
          </cell>
          <cell r="E5691" t="str">
            <v>Equals: VALUE ADDED, GROSS, at basic prices</v>
          </cell>
          <cell r="F5691">
            <v>12</v>
          </cell>
          <cell r="G5691">
            <v>1988</v>
          </cell>
          <cell r="H5691">
            <v>30</v>
          </cell>
          <cell r="I5691">
            <v>2140800000</v>
          </cell>
        </row>
        <row r="5692">
          <cell r="A5692" t="str">
            <v>Jordan</v>
          </cell>
          <cell r="B5692">
            <v>400</v>
          </cell>
          <cell r="C5692">
            <v>203</v>
          </cell>
          <cell r="D5692">
            <v>3</v>
          </cell>
          <cell r="E5692" t="str">
            <v>Equals: VALUE ADDED, GROSS, at basic prices</v>
          </cell>
          <cell r="F5692">
            <v>12</v>
          </cell>
          <cell r="G5692">
            <v>1989</v>
          </cell>
          <cell r="H5692">
            <v>30</v>
          </cell>
          <cell r="I5692">
            <v>2270600000</v>
          </cell>
        </row>
        <row r="5693">
          <cell r="A5693" t="str">
            <v>Jordan</v>
          </cell>
          <cell r="B5693">
            <v>400</v>
          </cell>
          <cell r="C5693">
            <v>203</v>
          </cell>
          <cell r="D5693">
            <v>3</v>
          </cell>
          <cell r="E5693" t="str">
            <v>Equals: VALUE ADDED, GROSS, at basic prices</v>
          </cell>
          <cell r="F5693">
            <v>12</v>
          </cell>
          <cell r="G5693">
            <v>1990</v>
          </cell>
          <cell r="H5693">
            <v>30</v>
          </cell>
          <cell r="I5693">
            <v>2520500000</v>
          </cell>
        </row>
        <row r="5694">
          <cell r="A5694" t="str">
            <v>Jordan</v>
          </cell>
          <cell r="B5694">
            <v>400</v>
          </cell>
          <cell r="C5694">
            <v>203</v>
          </cell>
          <cell r="D5694">
            <v>3</v>
          </cell>
          <cell r="E5694" t="str">
            <v>Equals: VALUE ADDED, GROSS, at basic prices</v>
          </cell>
          <cell r="F5694">
            <v>12</v>
          </cell>
          <cell r="G5694">
            <v>1991</v>
          </cell>
          <cell r="H5694">
            <v>30</v>
          </cell>
          <cell r="I5694">
            <v>2713600000</v>
          </cell>
        </row>
        <row r="5695">
          <cell r="A5695" t="str">
            <v>Jordan</v>
          </cell>
          <cell r="B5695">
            <v>400</v>
          </cell>
          <cell r="C5695">
            <v>203</v>
          </cell>
          <cell r="D5695">
            <v>3</v>
          </cell>
          <cell r="E5695" t="str">
            <v>Equals: VALUE ADDED, GROSS, at basic prices</v>
          </cell>
          <cell r="F5695">
            <v>12</v>
          </cell>
          <cell r="G5695">
            <v>1992</v>
          </cell>
          <cell r="H5695">
            <v>30</v>
          </cell>
          <cell r="I5695">
            <v>3134000000</v>
          </cell>
        </row>
        <row r="5696">
          <cell r="A5696" t="str">
            <v>Jordan</v>
          </cell>
          <cell r="B5696">
            <v>400</v>
          </cell>
          <cell r="C5696">
            <v>203</v>
          </cell>
          <cell r="D5696">
            <v>3</v>
          </cell>
          <cell r="E5696" t="str">
            <v>Equals: VALUE ADDED, GROSS, at basic prices</v>
          </cell>
          <cell r="F5696">
            <v>12</v>
          </cell>
          <cell r="G5696">
            <v>1993</v>
          </cell>
          <cell r="H5696">
            <v>30</v>
          </cell>
          <cell r="I5696">
            <v>3334000000</v>
          </cell>
        </row>
        <row r="5697">
          <cell r="A5697" t="str">
            <v>Jordan</v>
          </cell>
          <cell r="B5697">
            <v>400</v>
          </cell>
          <cell r="C5697">
            <v>203</v>
          </cell>
          <cell r="D5697">
            <v>3</v>
          </cell>
          <cell r="E5697" t="str">
            <v>Equals: VALUE ADDED, GROSS, at basic prices</v>
          </cell>
          <cell r="F5697">
            <v>12</v>
          </cell>
          <cell r="G5697">
            <v>1994</v>
          </cell>
          <cell r="H5697">
            <v>30</v>
          </cell>
          <cell r="I5697">
            <v>3691000000</v>
          </cell>
        </row>
        <row r="5698">
          <cell r="A5698" t="str">
            <v>Jordan</v>
          </cell>
          <cell r="B5698">
            <v>400</v>
          </cell>
          <cell r="C5698">
            <v>203</v>
          </cell>
          <cell r="D5698">
            <v>3</v>
          </cell>
          <cell r="E5698" t="str">
            <v>Equals: VALUE ADDED, GROSS, at basic prices</v>
          </cell>
          <cell r="F5698">
            <v>12</v>
          </cell>
          <cell r="G5698">
            <v>1995</v>
          </cell>
          <cell r="H5698">
            <v>30</v>
          </cell>
          <cell r="I5698">
            <v>4019200000</v>
          </cell>
        </row>
        <row r="5699">
          <cell r="A5699" t="str">
            <v>Jordan</v>
          </cell>
          <cell r="B5699">
            <v>400</v>
          </cell>
          <cell r="C5699">
            <v>203</v>
          </cell>
          <cell r="D5699">
            <v>3</v>
          </cell>
          <cell r="E5699" t="str">
            <v>Equals: VALUE ADDED, GROSS, at basic prices</v>
          </cell>
          <cell r="F5699">
            <v>12</v>
          </cell>
          <cell r="G5699">
            <v>1996</v>
          </cell>
          <cell r="H5699">
            <v>30</v>
          </cell>
          <cell r="I5699">
            <v>4143500000</v>
          </cell>
        </row>
        <row r="5700">
          <cell r="A5700" t="str">
            <v>Jordan</v>
          </cell>
          <cell r="B5700">
            <v>400</v>
          </cell>
          <cell r="C5700">
            <v>203</v>
          </cell>
          <cell r="D5700">
            <v>3</v>
          </cell>
          <cell r="E5700" t="str">
            <v>Equals: VALUE ADDED, GROSS, at basic prices</v>
          </cell>
          <cell r="F5700">
            <v>12</v>
          </cell>
          <cell r="G5700">
            <v>1997</v>
          </cell>
          <cell r="H5700">
            <v>30</v>
          </cell>
          <cell r="I5700">
            <v>4451300000</v>
          </cell>
        </row>
        <row r="5701">
          <cell r="A5701" t="str">
            <v>Jordan</v>
          </cell>
          <cell r="B5701">
            <v>400</v>
          </cell>
          <cell r="C5701">
            <v>203</v>
          </cell>
          <cell r="D5701">
            <v>3</v>
          </cell>
          <cell r="E5701" t="str">
            <v>Equals: VALUE ADDED, GROSS, at basic prices</v>
          </cell>
          <cell r="F5701">
            <v>12</v>
          </cell>
          <cell r="G5701">
            <v>1998</v>
          </cell>
          <cell r="H5701">
            <v>30</v>
          </cell>
          <cell r="I5701">
            <v>4720200000</v>
          </cell>
        </row>
        <row r="5702">
          <cell r="A5702" t="str">
            <v>Jordan</v>
          </cell>
          <cell r="B5702">
            <v>400</v>
          </cell>
          <cell r="C5702">
            <v>203</v>
          </cell>
          <cell r="D5702">
            <v>3</v>
          </cell>
          <cell r="E5702" t="str">
            <v>Equals: VALUE ADDED, GROSS, at basic prices</v>
          </cell>
          <cell r="F5702">
            <v>12</v>
          </cell>
          <cell r="G5702">
            <v>1999</v>
          </cell>
          <cell r="H5702">
            <v>30</v>
          </cell>
          <cell r="I5702">
            <v>4854200000</v>
          </cell>
        </row>
        <row r="5703">
          <cell r="A5703" t="str">
            <v>Jordan</v>
          </cell>
          <cell r="B5703">
            <v>400</v>
          </cell>
          <cell r="C5703">
            <v>203</v>
          </cell>
          <cell r="D5703">
            <v>3</v>
          </cell>
          <cell r="E5703" t="str">
            <v>Equals: VALUE ADDED, GROSS, at basic prices</v>
          </cell>
          <cell r="F5703">
            <v>12</v>
          </cell>
          <cell r="G5703">
            <v>2000</v>
          </cell>
          <cell r="H5703">
            <v>30</v>
          </cell>
          <cell r="I5703">
            <v>5144000000</v>
          </cell>
        </row>
        <row r="5704">
          <cell r="A5704" t="str">
            <v>Jordan</v>
          </cell>
          <cell r="B5704">
            <v>400</v>
          </cell>
          <cell r="C5704">
            <v>203</v>
          </cell>
          <cell r="D5704">
            <v>3</v>
          </cell>
          <cell r="E5704" t="str">
            <v>Equals: VALUE ADDED, GROSS, at basic prices</v>
          </cell>
          <cell r="F5704">
            <v>12</v>
          </cell>
          <cell r="G5704">
            <v>2001</v>
          </cell>
          <cell r="H5704">
            <v>30</v>
          </cell>
          <cell r="I5704">
            <v>5445200000</v>
          </cell>
        </row>
        <row r="5705">
          <cell r="A5705" t="str">
            <v>Jordan</v>
          </cell>
          <cell r="B5705">
            <v>400</v>
          </cell>
          <cell r="C5705">
            <v>203</v>
          </cell>
          <cell r="D5705">
            <v>3</v>
          </cell>
          <cell r="E5705" t="str">
            <v>Equals: VALUE ADDED, GROSS, at basic prices</v>
          </cell>
          <cell r="F5705">
            <v>12</v>
          </cell>
          <cell r="G5705">
            <v>2002</v>
          </cell>
          <cell r="H5705">
            <v>30</v>
          </cell>
          <cell r="I5705">
            <v>5754200000</v>
          </cell>
        </row>
        <row r="5706">
          <cell r="A5706" t="str">
            <v>Ecuador</v>
          </cell>
          <cell r="B5706">
            <v>218</v>
          </cell>
          <cell r="C5706">
            <v>203</v>
          </cell>
          <cell r="D5706">
            <v>4</v>
          </cell>
          <cell r="E5706" t="str">
            <v>Compensation of employees</v>
          </cell>
          <cell r="F5706">
            <v>12</v>
          </cell>
          <cell r="G5706">
            <v>1970</v>
          </cell>
          <cell r="H5706">
            <v>10</v>
          </cell>
          <cell r="I5706">
            <v>10764000000</v>
          </cell>
        </row>
        <row r="5707">
          <cell r="A5707" t="str">
            <v>Ecuador</v>
          </cell>
          <cell r="B5707">
            <v>218</v>
          </cell>
          <cell r="C5707">
            <v>203</v>
          </cell>
          <cell r="D5707">
            <v>4</v>
          </cell>
          <cell r="E5707" t="str">
            <v>Compensation of employees</v>
          </cell>
          <cell r="F5707">
            <v>12</v>
          </cell>
          <cell r="G5707">
            <v>1971</v>
          </cell>
          <cell r="H5707">
            <v>10</v>
          </cell>
          <cell r="I5707">
            <v>12672000000</v>
          </cell>
        </row>
        <row r="5708">
          <cell r="A5708" t="str">
            <v>Ecuador</v>
          </cell>
          <cell r="B5708">
            <v>218</v>
          </cell>
          <cell r="C5708">
            <v>203</v>
          </cell>
          <cell r="D5708">
            <v>4</v>
          </cell>
          <cell r="E5708" t="str">
            <v>Compensation of employees</v>
          </cell>
          <cell r="F5708">
            <v>12</v>
          </cell>
          <cell r="G5708">
            <v>1972</v>
          </cell>
          <cell r="H5708">
            <v>10</v>
          </cell>
          <cell r="I5708">
            <v>14086000000</v>
          </cell>
        </row>
        <row r="5709">
          <cell r="A5709" t="str">
            <v>Ecuador</v>
          </cell>
          <cell r="B5709">
            <v>218</v>
          </cell>
          <cell r="C5709">
            <v>203</v>
          </cell>
          <cell r="D5709">
            <v>4</v>
          </cell>
          <cell r="E5709" t="str">
            <v>Compensation of employees</v>
          </cell>
          <cell r="F5709">
            <v>12</v>
          </cell>
          <cell r="G5709">
            <v>1973</v>
          </cell>
          <cell r="H5709">
            <v>10</v>
          </cell>
          <cell r="I5709">
            <v>17188000000</v>
          </cell>
        </row>
        <row r="5710">
          <cell r="A5710" t="str">
            <v>Ecuador</v>
          </cell>
          <cell r="B5710">
            <v>218</v>
          </cell>
          <cell r="C5710">
            <v>203</v>
          </cell>
          <cell r="D5710">
            <v>4</v>
          </cell>
          <cell r="E5710" t="str">
            <v>Compensation of employees</v>
          </cell>
          <cell r="F5710">
            <v>12</v>
          </cell>
          <cell r="G5710">
            <v>1974</v>
          </cell>
          <cell r="H5710">
            <v>10</v>
          </cell>
          <cell r="I5710">
            <v>24044000000</v>
          </cell>
        </row>
        <row r="5711">
          <cell r="A5711" t="str">
            <v>Ecuador</v>
          </cell>
          <cell r="B5711">
            <v>218</v>
          </cell>
          <cell r="C5711">
            <v>203</v>
          </cell>
          <cell r="D5711">
            <v>4</v>
          </cell>
          <cell r="E5711" t="str">
            <v>Compensation of employees</v>
          </cell>
          <cell r="F5711">
            <v>12</v>
          </cell>
          <cell r="G5711">
            <v>1975</v>
          </cell>
          <cell r="H5711">
            <v>10</v>
          </cell>
          <cell r="I5711">
            <v>32047000000</v>
          </cell>
        </row>
        <row r="5712">
          <cell r="A5712" t="str">
            <v>Ecuador</v>
          </cell>
          <cell r="B5712">
            <v>218</v>
          </cell>
          <cell r="C5712">
            <v>203</v>
          </cell>
          <cell r="D5712">
            <v>4</v>
          </cell>
          <cell r="E5712" t="str">
            <v>Compensation of employees</v>
          </cell>
          <cell r="F5712">
            <v>12</v>
          </cell>
          <cell r="G5712">
            <v>1976</v>
          </cell>
          <cell r="H5712">
            <v>10</v>
          </cell>
          <cell r="I5712">
            <v>40635000000</v>
          </cell>
        </row>
        <row r="5713">
          <cell r="A5713" t="str">
            <v>Ecuador</v>
          </cell>
          <cell r="B5713">
            <v>218</v>
          </cell>
          <cell r="C5713">
            <v>203</v>
          </cell>
          <cell r="D5713">
            <v>4</v>
          </cell>
          <cell r="E5713" t="str">
            <v>Compensation of employees</v>
          </cell>
          <cell r="F5713">
            <v>12</v>
          </cell>
          <cell r="G5713">
            <v>1977</v>
          </cell>
          <cell r="H5713">
            <v>10</v>
          </cell>
          <cell r="I5713">
            <v>47450000000</v>
          </cell>
        </row>
        <row r="5714">
          <cell r="A5714" t="str">
            <v>Ecuador</v>
          </cell>
          <cell r="B5714">
            <v>218</v>
          </cell>
          <cell r="C5714">
            <v>203</v>
          </cell>
          <cell r="D5714">
            <v>4</v>
          </cell>
          <cell r="E5714" t="str">
            <v>Compensation of employees</v>
          </cell>
          <cell r="F5714">
            <v>12</v>
          </cell>
          <cell r="G5714">
            <v>1978</v>
          </cell>
          <cell r="H5714">
            <v>10</v>
          </cell>
          <cell r="I5714">
            <v>54331000000</v>
          </cell>
        </row>
        <row r="5715">
          <cell r="A5715" t="str">
            <v>Ecuador</v>
          </cell>
          <cell r="B5715">
            <v>218</v>
          </cell>
          <cell r="C5715">
            <v>203</v>
          </cell>
          <cell r="D5715">
            <v>4</v>
          </cell>
          <cell r="E5715" t="str">
            <v>Compensation of employees</v>
          </cell>
          <cell r="F5715">
            <v>12</v>
          </cell>
          <cell r="G5715">
            <v>1979</v>
          </cell>
          <cell r="H5715">
            <v>10</v>
          </cell>
          <cell r="I5715">
            <v>65143000000</v>
          </cell>
        </row>
        <row r="5716">
          <cell r="A5716" t="str">
            <v>Ecuador</v>
          </cell>
          <cell r="B5716">
            <v>218</v>
          </cell>
          <cell r="C5716">
            <v>203</v>
          </cell>
          <cell r="D5716">
            <v>4</v>
          </cell>
          <cell r="E5716" t="str">
            <v>Compensation of employees</v>
          </cell>
          <cell r="F5716">
            <v>12</v>
          </cell>
          <cell r="G5716">
            <v>1980</v>
          </cell>
          <cell r="H5716">
            <v>10</v>
          </cell>
          <cell r="I5716">
            <v>93662000000</v>
          </cell>
        </row>
        <row r="5717">
          <cell r="A5717" t="str">
            <v>Ecuador</v>
          </cell>
          <cell r="B5717">
            <v>218</v>
          </cell>
          <cell r="C5717">
            <v>203</v>
          </cell>
          <cell r="D5717">
            <v>4</v>
          </cell>
          <cell r="E5717" t="str">
            <v>Compensation of employees</v>
          </cell>
          <cell r="F5717">
            <v>12</v>
          </cell>
          <cell r="G5717">
            <v>1981</v>
          </cell>
          <cell r="H5717">
            <v>10</v>
          </cell>
          <cell r="I5717">
            <v>105275000000</v>
          </cell>
        </row>
        <row r="5718">
          <cell r="A5718" t="str">
            <v>Ecuador</v>
          </cell>
          <cell r="B5718">
            <v>218</v>
          </cell>
          <cell r="C5718">
            <v>203</v>
          </cell>
          <cell r="D5718">
            <v>4</v>
          </cell>
          <cell r="E5718" t="str">
            <v>Compensation of employees</v>
          </cell>
          <cell r="F5718">
            <v>12</v>
          </cell>
          <cell r="G5718">
            <v>1982</v>
          </cell>
          <cell r="H5718">
            <v>10</v>
          </cell>
          <cell r="I5718">
            <v>120017000000</v>
          </cell>
        </row>
        <row r="5719">
          <cell r="A5719" t="str">
            <v>Ecuador</v>
          </cell>
          <cell r="B5719">
            <v>218</v>
          </cell>
          <cell r="C5719">
            <v>203</v>
          </cell>
          <cell r="D5719">
            <v>4</v>
          </cell>
          <cell r="E5719" t="str">
            <v>Compensation of employees</v>
          </cell>
          <cell r="F5719">
            <v>12</v>
          </cell>
          <cell r="G5719">
            <v>1983</v>
          </cell>
          <cell r="H5719">
            <v>10</v>
          </cell>
          <cell r="I5719">
            <v>135761000000</v>
          </cell>
        </row>
        <row r="5720">
          <cell r="A5720" t="str">
            <v>Ecuador</v>
          </cell>
          <cell r="B5720">
            <v>218</v>
          </cell>
          <cell r="C5720">
            <v>203</v>
          </cell>
          <cell r="D5720">
            <v>4</v>
          </cell>
          <cell r="E5720" t="str">
            <v>Compensation of employees</v>
          </cell>
          <cell r="F5720">
            <v>12</v>
          </cell>
          <cell r="G5720">
            <v>1984</v>
          </cell>
          <cell r="H5720">
            <v>10</v>
          </cell>
          <cell r="I5720">
            <v>179524000000</v>
          </cell>
        </row>
        <row r="5721">
          <cell r="A5721" t="str">
            <v>Ecuador</v>
          </cell>
          <cell r="B5721">
            <v>218</v>
          </cell>
          <cell r="C5721">
            <v>203</v>
          </cell>
          <cell r="D5721">
            <v>4</v>
          </cell>
          <cell r="E5721" t="str">
            <v>Compensation of employees</v>
          </cell>
          <cell r="F5721">
            <v>12</v>
          </cell>
          <cell r="G5721">
            <v>1985</v>
          </cell>
          <cell r="H5721">
            <v>10</v>
          </cell>
          <cell r="I5721">
            <v>232075000000</v>
          </cell>
        </row>
        <row r="5722">
          <cell r="A5722" t="str">
            <v>Ecuador</v>
          </cell>
          <cell r="B5722">
            <v>218</v>
          </cell>
          <cell r="C5722">
            <v>203</v>
          </cell>
          <cell r="D5722">
            <v>4</v>
          </cell>
          <cell r="E5722" t="str">
            <v>Compensation of employees</v>
          </cell>
          <cell r="F5722">
            <v>12</v>
          </cell>
          <cell r="G5722">
            <v>1986</v>
          </cell>
          <cell r="H5722">
            <v>10</v>
          </cell>
          <cell r="I5722">
            <v>301524000000</v>
          </cell>
        </row>
        <row r="5723">
          <cell r="A5723" t="str">
            <v>Ecuador</v>
          </cell>
          <cell r="B5723">
            <v>218</v>
          </cell>
          <cell r="C5723">
            <v>203</v>
          </cell>
          <cell r="D5723">
            <v>4</v>
          </cell>
          <cell r="E5723" t="str">
            <v>Compensation of employees</v>
          </cell>
          <cell r="F5723">
            <v>12</v>
          </cell>
          <cell r="G5723">
            <v>1987</v>
          </cell>
          <cell r="H5723">
            <v>10</v>
          </cell>
          <cell r="I5723">
            <v>401081000000</v>
          </cell>
        </row>
        <row r="5724">
          <cell r="A5724" t="str">
            <v>Ecuador</v>
          </cell>
          <cell r="B5724">
            <v>218</v>
          </cell>
          <cell r="C5724">
            <v>203</v>
          </cell>
          <cell r="D5724">
            <v>4</v>
          </cell>
          <cell r="E5724" t="str">
            <v>Compensation of employees</v>
          </cell>
          <cell r="F5724">
            <v>12</v>
          </cell>
          <cell r="G5724">
            <v>1988</v>
          </cell>
          <cell r="H5724">
            <v>10</v>
          </cell>
          <cell r="I5724">
            <v>549814000000</v>
          </cell>
        </row>
        <row r="5725">
          <cell r="A5725" t="str">
            <v>Ecuador</v>
          </cell>
          <cell r="B5725">
            <v>218</v>
          </cell>
          <cell r="C5725">
            <v>203</v>
          </cell>
          <cell r="D5725">
            <v>4</v>
          </cell>
          <cell r="E5725" t="str">
            <v>Compensation of employees</v>
          </cell>
          <cell r="F5725">
            <v>12</v>
          </cell>
          <cell r="G5725">
            <v>1989</v>
          </cell>
          <cell r="H5725">
            <v>10</v>
          </cell>
          <cell r="I5725">
            <v>786651000000</v>
          </cell>
        </row>
        <row r="5726">
          <cell r="A5726" t="str">
            <v>Ecuador</v>
          </cell>
          <cell r="B5726">
            <v>218</v>
          </cell>
          <cell r="C5726">
            <v>203</v>
          </cell>
          <cell r="D5726">
            <v>4</v>
          </cell>
          <cell r="E5726" t="str">
            <v>Compensation of employees</v>
          </cell>
          <cell r="F5726">
            <v>12</v>
          </cell>
          <cell r="G5726">
            <v>1990</v>
          </cell>
          <cell r="H5726">
            <v>10</v>
          </cell>
          <cell r="I5726">
            <v>1115000000000</v>
          </cell>
        </row>
        <row r="5727">
          <cell r="A5727" t="str">
            <v>Ecuador</v>
          </cell>
          <cell r="B5727">
            <v>218</v>
          </cell>
          <cell r="C5727">
            <v>203</v>
          </cell>
          <cell r="D5727">
            <v>4</v>
          </cell>
          <cell r="E5727" t="str">
            <v>Compensation of employees</v>
          </cell>
          <cell r="F5727">
            <v>12</v>
          </cell>
          <cell r="G5727">
            <v>1991</v>
          </cell>
          <cell r="H5727">
            <v>10</v>
          </cell>
          <cell r="I5727">
            <v>1565000000000</v>
          </cell>
        </row>
        <row r="5728">
          <cell r="A5728" t="str">
            <v>Jordan</v>
          </cell>
          <cell r="B5728">
            <v>400</v>
          </cell>
          <cell r="C5728">
            <v>203</v>
          </cell>
          <cell r="D5728">
            <v>4</v>
          </cell>
          <cell r="E5728" t="str">
            <v>Compensation of employees</v>
          </cell>
          <cell r="F5728">
            <v>12</v>
          </cell>
          <cell r="G5728">
            <v>1970</v>
          </cell>
          <cell r="H5728">
            <v>20</v>
          </cell>
          <cell r="I5728">
            <v>72100000</v>
          </cell>
        </row>
        <row r="5729">
          <cell r="A5729" t="str">
            <v>Jordan</v>
          </cell>
          <cell r="B5729">
            <v>400</v>
          </cell>
          <cell r="C5729">
            <v>203</v>
          </cell>
          <cell r="D5729">
            <v>4</v>
          </cell>
          <cell r="E5729" t="str">
            <v>Compensation of employees</v>
          </cell>
          <cell r="F5729">
            <v>12</v>
          </cell>
          <cell r="G5729">
            <v>1971</v>
          </cell>
          <cell r="H5729">
            <v>20</v>
          </cell>
          <cell r="I5729">
            <v>74300000</v>
          </cell>
        </row>
        <row r="5730">
          <cell r="A5730" t="str">
            <v>Jordan</v>
          </cell>
          <cell r="B5730">
            <v>400</v>
          </cell>
          <cell r="C5730">
            <v>203</v>
          </cell>
          <cell r="D5730">
            <v>4</v>
          </cell>
          <cell r="E5730" t="str">
            <v>Compensation of employees</v>
          </cell>
          <cell r="F5730">
            <v>12</v>
          </cell>
          <cell r="G5730">
            <v>1972</v>
          </cell>
          <cell r="H5730">
            <v>20</v>
          </cell>
          <cell r="I5730">
            <v>82800000</v>
          </cell>
        </row>
        <row r="5731">
          <cell r="A5731" t="str">
            <v>Jordan</v>
          </cell>
          <cell r="B5731">
            <v>400</v>
          </cell>
          <cell r="C5731">
            <v>203</v>
          </cell>
          <cell r="D5731">
            <v>4</v>
          </cell>
          <cell r="E5731" t="str">
            <v>Compensation of employees</v>
          </cell>
          <cell r="F5731">
            <v>12</v>
          </cell>
          <cell r="G5731">
            <v>1973</v>
          </cell>
          <cell r="H5731">
            <v>20</v>
          </cell>
          <cell r="I5731">
            <v>88600000</v>
          </cell>
        </row>
        <row r="5732">
          <cell r="A5732" t="str">
            <v>Jordan</v>
          </cell>
          <cell r="B5732">
            <v>400</v>
          </cell>
          <cell r="C5732">
            <v>203</v>
          </cell>
          <cell r="D5732">
            <v>4</v>
          </cell>
          <cell r="E5732" t="str">
            <v>Compensation of employees</v>
          </cell>
          <cell r="F5732">
            <v>12</v>
          </cell>
          <cell r="G5732">
            <v>1974</v>
          </cell>
          <cell r="H5732">
            <v>20</v>
          </cell>
          <cell r="I5732">
            <v>107200000</v>
          </cell>
        </row>
        <row r="5733">
          <cell r="A5733" t="str">
            <v>Jordan</v>
          </cell>
          <cell r="B5733">
            <v>400</v>
          </cell>
          <cell r="C5733">
            <v>203</v>
          </cell>
          <cell r="D5733">
            <v>4</v>
          </cell>
          <cell r="E5733" t="str">
            <v>Compensation of employees</v>
          </cell>
          <cell r="F5733">
            <v>12</v>
          </cell>
          <cell r="G5733">
            <v>1975</v>
          </cell>
          <cell r="H5733">
            <v>20</v>
          </cell>
          <cell r="I5733">
            <v>134500000</v>
          </cell>
        </row>
        <row r="5734">
          <cell r="A5734" t="str">
            <v>Jordan</v>
          </cell>
          <cell r="B5734">
            <v>400</v>
          </cell>
          <cell r="C5734">
            <v>203</v>
          </cell>
          <cell r="D5734">
            <v>4</v>
          </cell>
          <cell r="E5734" t="str">
            <v>Compensation of employees</v>
          </cell>
          <cell r="F5734">
            <v>12</v>
          </cell>
          <cell r="G5734">
            <v>1976</v>
          </cell>
          <cell r="H5734">
            <v>20</v>
          </cell>
          <cell r="I5734">
            <v>169700000</v>
          </cell>
        </row>
        <row r="5735">
          <cell r="A5735" t="str">
            <v>Jordan</v>
          </cell>
          <cell r="B5735">
            <v>400</v>
          </cell>
          <cell r="C5735">
            <v>203</v>
          </cell>
          <cell r="D5735">
            <v>4</v>
          </cell>
          <cell r="E5735" t="str">
            <v>Compensation of employees</v>
          </cell>
          <cell r="F5735">
            <v>12</v>
          </cell>
          <cell r="G5735">
            <v>1977</v>
          </cell>
          <cell r="H5735">
            <v>20</v>
          </cell>
          <cell r="I5735">
            <v>191500000</v>
          </cell>
        </row>
        <row r="5736">
          <cell r="A5736" t="str">
            <v>Jordan</v>
          </cell>
          <cell r="B5736">
            <v>400</v>
          </cell>
          <cell r="C5736">
            <v>203</v>
          </cell>
          <cell r="D5736">
            <v>4</v>
          </cell>
          <cell r="E5736" t="str">
            <v>Compensation of employees</v>
          </cell>
          <cell r="F5736">
            <v>12</v>
          </cell>
          <cell r="G5736">
            <v>1978</v>
          </cell>
          <cell r="H5736">
            <v>20</v>
          </cell>
          <cell r="I5736">
            <v>229600000</v>
          </cell>
        </row>
        <row r="5737">
          <cell r="A5737" t="str">
            <v>Jordan</v>
          </cell>
          <cell r="B5737">
            <v>400</v>
          </cell>
          <cell r="C5737">
            <v>203</v>
          </cell>
          <cell r="D5737">
            <v>4</v>
          </cell>
          <cell r="E5737" t="str">
            <v>Compensation of employees</v>
          </cell>
          <cell r="F5737">
            <v>12</v>
          </cell>
          <cell r="G5737">
            <v>1979</v>
          </cell>
          <cell r="H5737">
            <v>20</v>
          </cell>
          <cell r="I5737">
            <v>303200000</v>
          </cell>
        </row>
        <row r="5738">
          <cell r="A5738" t="str">
            <v>Jordan</v>
          </cell>
          <cell r="B5738">
            <v>400</v>
          </cell>
          <cell r="C5738">
            <v>203</v>
          </cell>
          <cell r="D5738">
            <v>4</v>
          </cell>
          <cell r="E5738" t="str">
            <v>Compensation of employees</v>
          </cell>
          <cell r="F5738">
            <v>12</v>
          </cell>
          <cell r="G5738">
            <v>1980</v>
          </cell>
          <cell r="H5738">
            <v>20</v>
          </cell>
          <cell r="I5738">
            <v>409900000</v>
          </cell>
        </row>
        <row r="5739">
          <cell r="A5739" t="str">
            <v>Jordan</v>
          </cell>
          <cell r="B5739">
            <v>400</v>
          </cell>
          <cell r="C5739">
            <v>203</v>
          </cell>
          <cell r="D5739">
            <v>4</v>
          </cell>
          <cell r="E5739" t="str">
            <v>Compensation of employees</v>
          </cell>
          <cell r="F5739">
            <v>12</v>
          </cell>
          <cell r="G5739">
            <v>1981</v>
          </cell>
          <cell r="H5739">
            <v>20</v>
          </cell>
          <cell r="I5739">
            <v>474100000</v>
          </cell>
        </row>
        <row r="5740">
          <cell r="A5740" t="str">
            <v>Jordan</v>
          </cell>
          <cell r="B5740">
            <v>400</v>
          </cell>
          <cell r="C5740">
            <v>203</v>
          </cell>
          <cell r="D5740">
            <v>4</v>
          </cell>
          <cell r="E5740" t="str">
            <v>Compensation of employees</v>
          </cell>
          <cell r="F5740">
            <v>12</v>
          </cell>
          <cell r="G5740">
            <v>1982</v>
          </cell>
          <cell r="H5740">
            <v>20</v>
          </cell>
          <cell r="I5740">
            <v>550300000</v>
          </cell>
        </row>
        <row r="5741">
          <cell r="A5741" t="str">
            <v>Jordan</v>
          </cell>
          <cell r="B5741">
            <v>400</v>
          </cell>
          <cell r="C5741">
            <v>203</v>
          </cell>
          <cell r="D5741">
            <v>4</v>
          </cell>
          <cell r="E5741" t="str">
            <v>Compensation of employees</v>
          </cell>
          <cell r="F5741">
            <v>12</v>
          </cell>
          <cell r="G5741">
            <v>1983</v>
          </cell>
          <cell r="H5741">
            <v>20</v>
          </cell>
          <cell r="I5741">
            <v>604400000</v>
          </cell>
        </row>
        <row r="5742">
          <cell r="A5742" t="str">
            <v>Jordan</v>
          </cell>
          <cell r="B5742">
            <v>400</v>
          </cell>
          <cell r="C5742">
            <v>203</v>
          </cell>
          <cell r="D5742">
            <v>4</v>
          </cell>
          <cell r="E5742" t="str">
            <v>Compensation of employees</v>
          </cell>
          <cell r="F5742">
            <v>12</v>
          </cell>
          <cell r="G5742">
            <v>1983</v>
          </cell>
          <cell r="H5742">
            <v>30</v>
          </cell>
          <cell r="I5742">
            <v>680300000</v>
          </cell>
        </row>
        <row r="5743">
          <cell r="A5743" t="str">
            <v>Jordan</v>
          </cell>
          <cell r="B5743">
            <v>400</v>
          </cell>
          <cell r="C5743">
            <v>203</v>
          </cell>
          <cell r="D5743">
            <v>4</v>
          </cell>
          <cell r="E5743" t="str">
            <v>Compensation of employees</v>
          </cell>
          <cell r="F5743">
            <v>12</v>
          </cell>
          <cell r="G5743">
            <v>1984</v>
          </cell>
          <cell r="H5743">
            <v>30</v>
          </cell>
          <cell r="I5743">
            <v>732400000</v>
          </cell>
        </row>
        <row r="5744">
          <cell r="A5744" t="str">
            <v>Jordan</v>
          </cell>
          <cell r="B5744">
            <v>400</v>
          </cell>
          <cell r="C5744">
            <v>203</v>
          </cell>
          <cell r="D5744">
            <v>4</v>
          </cell>
          <cell r="E5744" t="str">
            <v>Compensation of employees</v>
          </cell>
          <cell r="F5744">
            <v>12</v>
          </cell>
          <cell r="G5744">
            <v>1985</v>
          </cell>
          <cell r="H5744">
            <v>30</v>
          </cell>
          <cell r="I5744">
            <v>751600000</v>
          </cell>
        </row>
        <row r="5745">
          <cell r="A5745" t="str">
            <v>Jordan</v>
          </cell>
          <cell r="B5745">
            <v>400</v>
          </cell>
          <cell r="C5745">
            <v>203</v>
          </cell>
          <cell r="D5745">
            <v>4</v>
          </cell>
          <cell r="E5745" t="str">
            <v>Compensation of employees</v>
          </cell>
          <cell r="F5745">
            <v>12</v>
          </cell>
          <cell r="G5745">
            <v>1986</v>
          </cell>
          <cell r="H5745">
            <v>30</v>
          </cell>
          <cell r="I5745">
            <v>802300000</v>
          </cell>
        </row>
        <row r="5746">
          <cell r="A5746" t="str">
            <v>Jordan</v>
          </cell>
          <cell r="B5746">
            <v>400</v>
          </cell>
          <cell r="C5746">
            <v>203</v>
          </cell>
          <cell r="D5746">
            <v>4</v>
          </cell>
          <cell r="E5746" t="str">
            <v>Compensation of employees</v>
          </cell>
          <cell r="F5746">
            <v>12</v>
          </cell>
          <cell r="G5746">
            <v>1987</v>
          </cell>
          <cell r="H5746">
            <v>30</v>
          </cell>
          <cell r="I5746">
            <v>837900000</v>
          </cell>
        </row>
        <row r="5747">
          <cell r="A5747" t="str">
            <v>Jordan</v>
          </cell>
          <cell r="B5747">
            <v>400</v>
          </cell>
          <cell r="C5747">
            <v>203</v>
          </cell>
          <cell r="D5747">
            <v>4</v>
          </cell>
          <cell r="E5747" t="str">
            <v>Compensation of employees</v>
          </cell>
          <cell r="F5747">
            <v>12</v>
          </cell>
          <cell r="G5747">
            <v>1988</v>
          </cell>
          <cell r="H5747">
            <v>30</v>
          </cell>
          <cell r="I5747">
            <v>888000000</v>
          </cell>
        </row>
        <row r="5748">
          <cell r="A5748" t="str">
            <v>Jordan</v>
          </cell>
          <cell r="B5748">
            <v>400</v>
          </cell>
          <cell r="C5748">
            <v>203</v>
          </cell>
          <cell r="D5748">
            <v>4</v>
          </cell>
          <cell r="E5748" t="str">
            <v>Compensation of employees</v>
          </cell>
          <cell r="F5748">
            <v>12</v>
          </cell>
          <cell r="G5748">
            <v>1989</v>
          </cell>
          <cell r="H5748">
            <v>30</v>
          </cell>
          <cell r="I5748">
            <v>933500000</v>
          </cell>
        </row>
        <row r="5749">
          <cell r="A5749" t="str">
            <v>Jordan</v>
          </cell>
          <cell r="B5749">
            <v>400</v>
          </cell>
          <cell r="C5749">
            <v>203</v>
          </cell>
          <cell r="D5749">
            <v>4</v>
          </cell>
          <cell r="E5749" t="str">
            <v>Compensation of employees</v>
          </cell>
          <cell r="F5749">
            <v>12</v>
          </cell>
          <cell r="G5749">
            <v>1990</v>
          </cell>
          <cell r="H5749">
            <v>30</v>
          </cell>
          <cell r="I5749">
            <v>994600000</v>
          </cell>
        </row>
        <row r="5750">
          <cell r="A5750" t="str">
            <v>Jordan</v>
          </cell>
          <cell r="B5750">
            <v>400</v>
          </cell>
          <cell r="C5750">
            <v>203</v>
          </cell>
          <cell r="D5750">
            <v>4</v>
          </cell>
          <cell r="E5750" t="str">
            <v>Compensation of employees</v>
          </cell>
          <cell r="F5750">
            <v>12</v>
          </cell>
          <cell r="G5750">
            <v>1991</v>
          </cell>
          <cell r="H5750">
            <v>30</v>
          </cell>
          <cell r="I5750">
            <v>1074500000</v>
          </cell>
        </row>
        <row r="5751">
          <cell r="A5751" t="str">
            <v>Jordan</v>
          </cell>
          <cell r="B5751">
            <v>400</v>
          </cell>
          <cell r="C5751">
            <v>203</v>
          </cell>
          <cell r="D5751">
            <v>4</v>
          </cell>
          <cell r="E5751" t="str">
            <v>Compensation of employees</v>
          </cell>
          <cell r="F5751">
            <v>12</v>
          </cell>
          <cell r="G5751">
            <v>1992</v>
          </cell>
          <cell r="H5751">
            <v>30</v>
          </cell>
          <cell r="I5751">
            <v>1287600000</v>
          </cell>
        </row>
        <row r="5752">
          <cell r="A5752" t="str">
            <v>Jordan</v>
          </cell>
          <cell r="B5752">
            <v>400</v>
          </cell>
          <cell r="C5752">
            <v>203</v>
          </cell>
          <cell r="D5752">
            <v>4</v>
          </cell>
          <cell r="E5752" t="str">
            <v>Compensation of employees</v>
          </cell>
          <cell r="F5752">
            <v>12</v>
          </cell>
          <cell r="G5752">
            <v>1993</v>
          </cell>
          <cell r="H5752">
            <v>30</v>
          </cell>
          <cell r="I5752">
            <v>1462400000</v>
          </cell>
        </row>
        <row r="5753">
          <cell r="A5753" t="str">
            <v>Jordan</v>
          </cell>
          <cell r="B5753">
            <v>400</v>
          </cell>
          <cell r="C5753">
            <v>203</v>
          </cell>
          <cell r="D5753">
            <v>4</v>
          </cell>
          <cell r="E5753" t="str">
            <v>Compensation of employees</v>
          </cell>
          <cell r="F5753">
            <v>12</v>
          </cell>
          <cell r="G5753">
            <v>1994</v>
          </cell>
          <cell r="H5753">
            <v>30</v>
          </cell>
          <cell r="I5753">
            <v>1599000000</v>
          </cell>
        </row>
        <row r="5754">
          <cell r="A5754" t="str">
            <v>Jordan</v>
          </cell>
          <cell r="B5754">
            <v>400</v>
          </cell>
          <cell r="C5754">
            <v>203</v>
          </cell>
          <cell r="D5754">
            <v>4</v>
          </cell>
          <cell r="E5754" t="str">
            <v>Compensation of employees</v>
          </cell>
          <cell r="F5754">
            <v>12</v>
          </cell>
          <cell r="G5754">
            <v>1995</v>
          </cell>
          <cell r="H5754">
            <v>30</v>
          </cell>
          <cell r="I5754">
            <v>1808000000</v>
          </cell>
        </row>
        <row r="5755">
          <cell r="A5755" t="str">
            <v>Jordan</v>
          </cell>
          <cell r="B5755">
            <v>400</v>
          </cell>
          <cell r="C5755">
            <v>203</v>
          </cell>
          <cell r="D5755">
            <v>4</v>
          </cell>
          <cell r="E5755" t="str">
            <v>Compensation of employees</v>
          </cell>
          <cell r="F5755">
            <v>12</v>
          </cell>
          <cell r="G5755">
            <v>1996</v>
          </cell>
          <cell r="H5755">
            <v>30</v>
          </cell>
          <cell r="I5755">
            <v>1921800000</v>
          </cell>
        </row>
        <row r="5756">
          <cell r="A5756" t="str">
            <v>Jordan</v>
          </cell>
          <cell r="B5756">
            <v>400</v>
          </cell>
          <cell r="C5756">
            <v>203</v>
          </cell>
          <cell r="D5756">
            <v>4</v>
          </cell>
          <cell r="E5756" t="str">
            <v>Compensation of employees</v>
          </cell>
          <cell r="F5756">
            <v>12</v>
          </cell>
          <cell r="G5756">
            <v>1997</v>
          </cell>
          <cell r="H5756">
            <v>30</v>
          </cell>
          <cell r="I5756">
            <v>2036500000</v>
          </cell>
        </row>
        <row r="5757">
          <cell r="A5757" t="str">
            <v>Jordan</v>
          </cell>
          <cell r="B5757">
            <v>400</v>
          </cell>
          <cell r="C5757">
            <v>203</v>
          </cell>
          <cell r="D5757">
            <v>4</v>
          </cell>
          <cell r="E5757" t="str">
            <v>Compensation of employees</v>
          </cell>
          <cell r="F5757">
            <v>12</v>
          </cell>
          <cell r="G5757">
            <v>1998</v>
          </cell>
          <cell r="H5757">
            <v>30</v>
          </cell>
          <cell r="I5757">
            <v>2181700000</v>
          </cell>
        </row>
        <row r="5758">
          <cell r="A5758" t="str">
            <v>Jordan</v>
          </cell>
          <cell r="B5758">
            <v>400</v>
          </cell>
          <cell r="C5758">
            <v>203</v>
          </cell>
          <cell r="D5758">
            <v>4</v>
          </cell>
          <cell r="E5758" t="str">
            <v>Compensation of employees</v>
          </cell>
          <cell r="F5758">
            <v>12</v>
          </cell>
          <cell r="G5758">
            <v>1999</v>
          </cell>
          <cell r="H5758">
            <v>30</v>
          </cell>
          <cell r="I5758">
            <v>2319700000</v>
          </cell>
        </row>
        <row r="5759">
          <cell r="A5759" t="str">
            <v>Jordan</v>
          </cell>
          <cell r="B5759">
            <v>400</v>
          </cell>
          <cell r="C5759">
            <v>203</v>
          </cell>
          <cell r="D5759">
            <v>4</v>
          </cell>
          <cell r="E5759" t="str">
            <v>Compensation of employees</v>
          </cell>
          <cell r="F5759">
            <v>12</v>
          </cell>
          <cell r="G5759">
            <v>2000</v>
          </cell>
          <cell r="H5759">
            <v>30</v>
          </cell>
          <cell r="I5759">
            <v>2347200000</v>
          </cell>
        </row>
        <row r="5760">
          <cell r="A5760" t="str">
            <v>Jordan</v>
          </cell>
          <cell r="B5760">
            <v>400</v>
          </cell>
          <cell r="C5760">
            <v>203</v>
          </cell>
          <cell r="D5760">
            <v>4</v>
          </cell>
          <cell r="E5760" t="str">
            <v>Compensation of employees</v>
          </cell>
          <cell r="F5760">
            <v>12</v>
          </cell>
          <cell r="G5760">
            <v>2001</v>
          </cell>
          <cell r="H5760">
            <v>30</v>
          </cell>
          <cell r="I5760">
            <v>2407800000</v>
          </cell>
        </row>
        <row r="5761">
          <cell r="A5761" t="str">
            <v>Jordan</v>
          </cell>
          <cell r="B5761">
            <v>400</v>
          </cell>
          <cell r="C5761">
            <v>203</v>
          </cell>
          <cell r="D5761">
            <v>4</v>
          </cell>
          <cell r="E5761" t="str">
            <v>Compensation of employees</v>
          </cell>
          <cell r="F5761">
            <v>12</v>
          </cell>
          <cell r="G5761">
            <v>2002</v>
          </cell>
          <cell r="H5761">
            <v>30</v>
          </cell>
          <cell r="I5761">
            <v>2547800000</v>
          </cell>
        </row>
        <row r="5762">
          <cell r="A5762" t="str">
            <v>Ecuador</v>
          </cell>
          <cell r="B5762">
            <v>218</v>
          </cell>
          <cell r="C5762">
            <v>203</v>
          </cell>
          <cell r="D5762">
            <v>11</v>
          </cell>
          <cell r="E5762" t="str">
            <v>OPERATING SURPLUS, GROSS</v>
          </cell>
          <cell r="F5762">
            <v>12</v>
          </cell>
          <cell r="G5762">
            <v>1970</v>
          </cell>
          <cell r="H5762">
            <v>10</v>
          </cell>
          <cell r="I5762">
            <v>21122000000</v>
          </cell>
        </row>
        <row r="5763">
          <cell r="A5763" t="str">
            <v>Ecuador</v>
          </cell>
          <cell r="B5763">
            <v>218</v>
          </cell>
          <cell r="C5763">
            <v>203</v>
          </cell>
          <cell r="D5763">
            <v>11</v>
          </cell>
          <cell r="E5763" t="str">
            <v>OPERATING SURPLUS, GROSS</v>
          </cell>
          <cell r="F5763">
            <v>12</v>
          </cell>
          <cell r="G5763">
            <v>1971</v>
          </cell>
          <cell r="H5763">
            <v>10</v>
          </cell>
          <cell r="I5763">
            <v>23507000000</v>
          </cell>
        </row>
        <row r="5764">
          <cell r="A5764" t="str">
            <v>Ecuador</v>
          </cell>
          <cell r="B5764">
            <v>218</v>
          </cell>
          <cell r="C5764">
            <v>203</v>
          </cell>
          <cell r="D5764">
            <v>11</v>
          </cell>
          <cell r="E5764" t="str">
            <v>OPERATING SURPLUS, GROSS</v>
          </cell>
          <cell r="F5764">
            <v>12</v>
          </cell>
          <cell r="G5764">
            <v>1972</v>
          </cell>
          <cell r="H5764">
            <v>10</v>
          </cell>
          <cell r="I5764">
            <v>28116000000</v>
          </cell>
        </row>
        <row r="5765">
          <cell r="A5765" t="str">
            <v>Ecuador</v>
          </cell>
          <cell r="B5765">
            <v>218</v>
          </cell>
          <cell r="C5765">
            <v>203</v>
          </cell>
          <cell r="D5765">
            <v>11</v>
          </cell>
          <cell r="E5765" t="str">
            <v>OPERATING SURPLUS, GROSS</v>
          </cell>
          <cell r="F5765">
            <v>12</v>
          </cell>
          <cell r="G5765">
            <v>1973</v>
          </cell>
          <cell r="H5765">
            <v>10</v>
          </cell>
          <cell r="I5765">
            <v>38404000000</v>
          </cell>
        </row>
        <row r="5766">
          <cell r="A5766" t="str">
            <v>Ecuador</v>
          </cell>
          <cell r="B5766">
            <v>218</v>
          </cell>
          <cell r="C5766">
            <v>203</v>
          </cell>
          <cell r="D5766">
            <v>11</v>
          </cell>
          <cell r="E5766" t="str">
            <v>OPERATING SURPLUS, GROSS</v>
          </cell>
          <cell r="F5766">
            <v>12</v>
          </cell>
          <cell r="G5766">
            <v>1974</v>
          </cell>
          <cell r="H5766">
            <v>10</v>
          </cell>
          <cell r="I5766">
            <v>38404000000</v>
          </cell>
        </row>
        <row r="5767">
          <cell r="A5767" t="str">
            <v>Ecuador</v>
          </cell>
          <cell r="B5767">
            <v>218</v>
          </cell>
          <cell r="C5767">
            <v>203</v>
          </cell>
          <cell r="D5767">
            <v>11</v>
          </cell>
          <cell r="E5767" t="str">
            <v>OPERATING SURPLUS, GROSS</v>
          </cell>
          <cell r="F5767">
            <v>12</v>
          </cell>
          <cell r="G5767">
            <v>1975</v>
          </cell>
          <cell r="H5767">
            <v>10</v>
          </cell>
          <cell r="I5767">
            <v>67016000000</v>
          </cell>
        </row>
        <row r="5768">
          <cell r="A5768" t="str">
            <v>Ecuador</v>
          </cell>
          <cell r="B5768">
            <v>218</v>
          </cell>
          <cell r="C5768">
            <v>203</v>
          </cell>
          <cell r="D5768">
            <v>11</v>
          </cell>
          <cell r="E5768" t="str">
            <v>OPERATING SURPLUS, GROSS</v>
          </cell>
          <cell r="F5768">
            <v>12</v>
          </cell>
          <cell r="G5768">
            <v>1976</v>
          </cell>
          <cell r="H5768">
            <v>10</v>
          </cell>
          <cell r="I5768">
            <v>84330000000</v>
          </cell>
        </row>
        <row r="5769">
          <cell r="A5769" t="str">
            <v>Ecuador</v>
          </cell>
          <cell r="B5769">
            <v>218</v>
          </cell>
          <cell r="C5769">
            <v>203</v>
          </cell>
          <cell r="D5769">
            <v>11</v>
          </cell>
          <cell r="E5769" t="str">
            <v>OPERATING SURPLUS, GROSS</v>
          </cell>
          <cell r="F5769">
            <v>12</v>
          </cell>
          <cell r="G5769">
            <v>1977</v>
          </cell>
          <cell r="H5769">
            <v>10</v>
          </cell>
          <cell r="I5769">
            <v>109141000000</v>
          </cell>
        </row>
        <row r="5770">
          <cell r="A5770" t="str">
            <v>Ecuador</v>
          </cell>
          <cell r="B5770">
            <v>218</v>
          </cell>
          <cell r="C5770">
            <v>203</v>
          </cell>
          <cell r="D5770">
            <v>11</v>
          </cell>
          <cell r="E5770" t="str">
            <v>OPERATING SURPLUS, GROSS</v>
          </cell>
          <cell r="F5770">
            <v>12</v>
          </cell>
          <cell r="G5770">
            <v>1978</v>
          </cell>
          <cell r="H5770">
            <v>10</v>
          </cell>
          <cell r="I5770">
            <v>125389000000</v>
          </cell>
        </row>
        <row r="5771">
          <cell r="A5771" t="str">
            <v>Ecuador</v>
          </cell>
          <cell r="B5771">
            <v>218</v>
          </cell>
          <cell r="C5771">
            <v>203</v>
          </cell>
          <cell r="D5771">
            <v>11</v>
          </cell>
          <cell r="E5771" t="str">
            <v>OPERATING SURPLUS, GROSS</v>
          </cell>
          <cell r="F5771">
            <v>12</v>
          </cell>
          <cell r="G5771">
            <v>1979</v>
          </cell>
          <cell r="H5771">
            <v>10</v>
          </cell>
          <cell r="I5771">
            <v>155449000000</v>
          </cell>
        </row>
        <row r="5772">
          <cell r="A5772" t="str">
            <v>Ecuador</v>
          </cell>
          <cell r="B5772">
            <v>218</v>
          </cell>
          <cell r="C5772">
            <v>203</v>
          </cell>
          <cell r="D5772">
            <v>11</v>
          </cell>
          <cell r="E5772" t="str">
            <v>OPERATING SURPLUS, GROSS</v>
          </cell>
          <cell r="F5772">
            <v>12</v>
          </cell>
          <cell r="G5772">
            <v>1980</v>
          </cell>
          <cell r="H5772">
            <v>10</v>
          </cell>
          <cell r="I5772">
            <v>184196000000</v>
          </cell>
        </row>
        <row r="5773">
          <cell r="A5773" t="str">
            <v>Ecuador</v>
          </cell>
          <cell r="B5773">
            <v>218</v>
          </cell>
          <cell r="C5773">
            <v>203</v>
          </cell>
          <cell r="D5773">
            <v>11</v>
          </cell>
          <cell r="E5773" t="str">
            <v>OPERATING SURPLUS, GROSS</v>
          </cell>
          <cell r="F5773">
            <v>12</v>
          </cell>
          <cell r="G5773">
            <v>1981</v>
          </cell>
          <cell r="H5773">
            <v>10</v>
          </cell>
          <cell r="I5773">
            <v>220700000000</v>
          </cell>
        </row>
        <row r="5774">
          <cell r="A5774" t="str">
            <v>Ecuador</v>
          </cell>
          <cell r="B5774">
            <v>218</v>
          </cell>
          <cell r="C5774">
            <v>203</v>
          </cell>
          <cell r="D5774">
            <v>11</v>
          </cell>
          <cell r="E5774" t="str">
            <v>OPERATING SURPLUS, GROSS</v>
          </cell>
          <cell r="F5774">
            <v>12</v>
          </cell>
          <cell r="G5774">
            <v>1982</v>
          </cell>
          <cell r="H5774">
            <v>10</v>
          </cell>
          <cell r="I5774">
            <v>272928000000</v>
          </cell>
        </row>
        <row r="5775">
          <cell r="A5775" t="str">
            <v>Ecuador</v>
          </cell>
          <cell r="B5775">
            <v>218</v>
          </cell>
          <cell r="C5775">
            <v>203</v>
          </cell>
          <cell r="D5775">
            <v>11</v>
          </cell>
          <cell r="E5775" t="str">
            <v>OPERATING SURPLUS, GROSS</v>
          </cell>
          <cell r="F5775">
            <v>12</v>
          </cell>
          <cell r="G5775">
            <v>1983</v>
          </cell>
          <cell r="H5775">
            <v>10</v>
          </cell>
          <cell r="I5775">
            <v>397047000000</v>
          </cell>
        </row>
        <row r="5776">
          <cell r="A5776" t="str">
            <v>Ecuador</v>
          </cell>
          <cell r="B5776">
            <v>218</v>
          </cell>
          <cell r="C5776">
            <v>203</v>
          </cell>
          <cell r="D5776">
            <v>11</v>
          </cell>
          <cell r="E5776" t="str">
            <v>OPERATING SURPLUS, GROSS</v>
          </cell>
          <cell r="F5776">
            <v>12</v>
          </cell>
          <cell r="G5776">
            <v>1984</v>
          </cell>
          <cell r="H5776">
            <v>10</v>
          </cell>
          <cell r="I5776">
            <v>582126000000</v>
          </cell>
        </row>
        <row r="5777">
          <cell r="A5777" t="str">
            <v>Ecuador</v>
          </cell>
          <cell r="B5777">
            <v>218</v>
          </cell>
          <cell r="C5777">
            <v>203</v>
          </cell>
          <cell r="D5777">
            <v>11</v>
          </cell>
          <cell r="E5777" t="str">
            <v>OPERATING SURPLUS, GROSS</v>
          </cell>
          <cell r="F5777">
            <v>12</v>
          </cell>
          <cell r="G5777">
            <v>1985</v>
          </cell>
          <cell r="H5777">
            <v>10</v>
          </cell>
          <cell r="I5777">
            <v>771082000000</v>
          </cell>
        </row>
        <row r="5778">
          <cell r="A5778" t="str">
            <v>Ecuador</v>
          </cell>
          <cell r="B5778">
            <v>218</v>
          </cell>
          <cell r="C5778">
            <v>203</v>
          </cell>
          <cell r="D5778">
            <v>11</v>
          </cell>
          <cell r="E5778" t="str">
            <v>OPERATING SURPLUS, GROSS</v>
          </cell>
          <cell r="F5778">
            <v>12</v>
          </cell>
          <cell r="G5778">
            <v>1986</v>
          </cell>
          <cell r="H5778">
            <v>10</v>
          </cell>
          <cell r="I5778">
            <v>953828000000</v>
          </cell>
        </row>
        <row r="5779">
          <cell r="A5779" t="str">
            <v>Ecuador</v>
          </cell>
          <cell r="B5779">
            <v>218</v>
          </cell>
          <cell r="C5779">
            <v>203</v>
          </cell>
          <cell r="D5779">
            <v>11</v>
          </cell>
          <cell r="E5779" t="str">
            <v>OPERATING SURPLUS, GROSS</v>
          </cell>
          <cell r="F5779">
            <v>12</v>
          </cell>
          <cell r="G5779">
            <v>1987</v>
          </cell>
          <cell r="H5779">
            <v>10</v>
          </cell>
          <cell r="I5779">
            <v>1242600000000</v>
          </cell>
        </row>
        <row r="5780">
          <cell r="A5780" t="str">
            <v>Ecuador</v>
          </cell>
          <cell r="B5780">
            <v>218</v>
          </cell>
          <cell r="C5780">
            <v>203</v>
          </cell>
          <cell r="D5780">
            <v>11</v>
          </cell>
          <cell r="E5780" t="str">
            <v>OPERATING SURPLUS, GROSS</v>
          </cell>
          <cell r="F5780">
            <v>12</v>
          </cell>
          <cell r="G5780">
            <v>1988</v>
          </cell>
          <cell r="H5780">
            <v>10</v>
          </cell>
          <cell r="I5780">
            <v>2210900000000</v>
          </cell>
        </row>
        <row r="5781">
          <cell r="A5781" t="str">
            <v>Ecuador</v>
          </cell>
          <cell r="B5781">
            <v>218</v>
          </cell>
          <cell r="C5781">
            <v>203</v>
          </cell>
          <cell r="D5781">
            <v>11</v>
          </cell>
          <cell r="E5781" t="str">
            <v>OPERATING SURPLUS, GROSS</v>
          </cell>
          <cell r="F5781">
            <v>12</v>
          </cell>
          <cell r="G5781">
            <v>1989</v>
          </cell>
          <cell r="H5781">
            <v>10</v>
          </cell>
          <cell r="I5781">
            <v>3787200000000</v>
          </cell>
        </row>
        <row r="5782">
          <cell r="A5782" t="str">
            <v>Ecuador</v>
          </cell>
          <cell r="B5782">
            <v>218</v>
          </cell>
          <cell r="C5782">
            <v>203</v>
          </cell>
          <cell r="D5782">
            <v>11</v>
          </cell>
          <cell r="E5782" t="str">
            <v>OPERATING SURPLUS, GROSS</v>
          </cell>
          <cell r="F5782">
            <v>12</v>
          </cell>
          <cell r="G5782">
            <v>1990</v>
          </cell>
          <cell r="H5782">
            <v>10</v>
          </cell>
          <cell r="I5782">
            <v>6104000000000</v>
          </cell>
        </row>
        <row r="5783">
          <cell r="A5783" t="str">
            <v>Ecuador</v>
          </cell>
          <cell r="B5783">
            <v>218</v>
          </cell>
          <cell r="C5783">
            <v>203</v>
          </cell>
          <cell r="D5783">
            <v>11</v>
          </cell>
          <cell r="E5783" t="str">
            <v>OPERATING SURPLUS, GROSS</v>
          </cell>
          <cell r="F5783">
            <v>12</v>
          </cell>
          <cell r="G5783">
            <v>1991</v>
          </cell>
          <cell r="H5783">
            <v>10</v>
          </cell>
          <cell r="I5783">
            <v>9578000000000</v>
          </cell>
        </row>
        <row r="5784">
          <cell r="A5784" t="str">
            <v>Ecuador</v>
          </cell>
          <cell r="B5784">
            <v>218</v>
          </cell>
          <cell r="C5784">
            <v>203</v>
          </cell>
          <cell r="D5784">
            <v>22</v>
          </cell>
          <cell r="E5784" t="str">
            <v>Taxes on production and imports, less Subsidies</v>
          </cell>
          <cell r="F5784">
            <v>12</v>
          </cell>
          <cell r="G5784">
            <v>1989</v>
          </cell>
          <cell r="H5784">
            <v>10</v>
          </cell>
          <cell r="I5784">
            <v>497753000000</v>
          </cell>
        </row>
        <row r="5785">
          <cell r="A5785" t="str">
            <v>Ecuador</v>
          </cell>
          <cell r="B5785">
            <v>218</v>
          </cell>
          <cell r="C5785">
            <v>203</v>
          </cell>
          <cell r="D5785">
            <v>22</v>
          </cell>
          <cell r="E5785" t="str">
            <v>Taxes on production and imports, less Subsidies</v>
          </cell>
          <cell r="F5785">
            <v>12</v>
          </cell>
          <cell r="G5785">
            <v>1990</v>
          </cell>
          <cell r="H5785">
            <v>10</v>
          </cell>
          <cell r="I5785">
            <v>683000000000</v>
          </cell>
        </row>
        <row r="5786">
          <cell r="A5786" t="str">
            <v>Ecuador</v>
          </cell>
          <cell r="B5786">
            <v>218</v>
          </cell>
          <cell r="C5786">
            <v>203</v>
          </cell>
          <cell r="D5786">
            <v>22</v>
          </cell>
          <cell r="E5786" t="str">
            <v>Taxes on production and imports, less Subsidies</v>
          </cell>
          <cell r="F5786">
            <v>12</v>
          </cell>
          <cell r="G5786">
            <v>1991</v>
          </cell>
          <cell r="H5786">
            <v>10</v>
          </cell>
          <cell r="I5786">
            <v>795000000000</v>
          </cell>
        </row>
        <row r="5787">
          <cell r="A5787" t="str">
            <v>Jordan</v>
          </cell>
          <cell r="B5787">
            <v>400</v>
          </cell>
          <cell r="C5787">
            <v>203</v>
          </cell>
          <cell r="D5787">
            <v>11</v>
          </cell>
          <cell r="E5787" t="str">
            <v>OPERATING SURPLUS, GROSS</v>
          </cell>
          <cell r="F5787">
            <v>12</v>
          </cell>
          <cell r="G5787">
            <v>1970</v>
          </cell>
          <cell r="H5787">
            <v>20</v>
          </cell>
          <cell r="I5787">
            <v>83900000</v>
          </cell>
        </row>
        <row r="5788">
          <cell r="A5788" t="str">
            <v>Jordan</v>
          </cell>
          <cell r="B5788">
            <v>400</v>
          </cell>
          <cell r="C5788">
            <v>203</v>
          </cell>
          <cell r="D5788">
            <v>11</v>
          </cell>
          <cell r="E5788" t="str">
            <v>OPERATING SURPLUS, GROSS</v>
          </cell>
          <cell r="F5788">
            <v>12</v>
          </cell>
          <cell r="G5788">
            <v>1971</v>
          </cell>
          <cell r="H5788">
            <v>20</v>
          </cell>
          <cell r="I5788">
            <v>93100000</v>
          </cell>
        </row>
        <row r="5789">
          <cell r="A5789" t="str">
            <v>Jordan</v>
          </cell>
          <cell r="B5789">
            <v>400</v>
          </cell>
          <cell r="C5789">
            <v>203</v>
          </cell>
          <cell r="D5789">
            <v>11</v>
          </cell>
          <cell r="E5789" t="str">
            <v>OPERATING SURPLUS, GROSS</v>
          </cell>
          <cell r="F5789">
            <v>12</v>
          </cell>
          <cell r="G5789">
            <v>1972</v>
          </cell>
          <cell r="H5789">
            <v>20</v>
          </cell>
          <cell r="I5789">
            <v>101400000</v>
          </cell>
        </row>
        <row r="5790">
          <cell r="A5790" t="str">
            <v>Jordan</v>
          </cell>
          <cell r="B5790">
            <v>400</v>
          </cell>
          <cell r="C5790">
            <v>203</v>
          </cell>
          <cell r="D5790">
            <v>11</v>
          </cell>
          <cell r="E5790" t="str">
            <v>OPERATING SURPLUS, GROSS</v>
          </cell>
          <cell r="F5790">
            <v>12</v>
          </cell>
          <cell r="G5790">
            <v>1973</v>
          </cell>
          <cell r="H5790">
            <v>20</v>
          </cell>
          <cell r="I5790">
            <v>101900000</v>
          </cell>
        </row>
        <row r="5791">
          <cell r="A5791" t="str">
            <v>Jordan</v>
          </cell>
          <cell r="B5791">
            <v>400</v>
          </cell>
          <cell r="C5791">
            <v>203</v>
          </cell>
          <cell r="D5791">
            <v>11</v>
          </cell>
          <cell r="E5791" t="str">
            <v>OPERATING SURPLUS, GROSS</v>
          </cell>
          <cell r="F5791">
            <v>12</v>
          </cell>
          <cell r="G5791">
            <v>1974</v>
          </cell>
          <cell r="H5791">
            <v>20</v>
          </cell>
          <cell r="I5791">
            <v>137900000</v>
          </cell>
        </row>
        <row r="5792">
          <cell r="A5792" t="str">
            <v>Jordan</v>
          </cell>
          <cell r="B5792">
            <v>400</v>
          </cell>
          <cell r="C5792">
            <v>203</v>
          </cell>
          <cell r="D5792">
            <v>11</v>
          </cell>
          <cell r="E5792" t="str">
            <v>OPERATING SURPLUS, GROSS</v>
          </cell>
          <cell r="F5792">
            <v>12</v>
          </cell>
          <cell r="G5792">
            <v>1975</v>
          </cell>
          <cell r="H5792">
            <v>20</v>
          </cell>
          <cell r="I5792">
            <v>180700000</v>
          </cell>
        </row>
        <row r="5793">
          <cell r="A5793" t="str">
            <v>Jordan</v>
          </cell>
          <cell r="B5793">
            <v>400</v>
          </cell>
          <cell r="C5793">
            <v>203</v>
          </cell>
          <cell r="D5793">
            <v>11</v>
          </cell>
          <cell r="E5793" t="str">
            <v>OPERATING SURPLUS, GROSS</v>
          </cell>
          <cell r="F5793">
            <v>12</v>
          </cell>
          <cell r="G5793">
            <v>1976</v>
          </cell>
          <cell r="H5793">
            <v>20</v>
          </cell>
          <cell r="I5793">
            <v>220400000</v>
          </cell>
        </row>
        <row r="5794">
          <cell r="A5794" t="str">
            <v>Jordan</v>
          </cell>
          <cell r="B5794">
            <v>400</v>
          </cell>
          <cell r="C5794">
            <v>203</v>
          </cell>
          <cell r="D5794">
            <v>11</v>
          </cell>
          <cell r="E5794" t="str">
            <v>OPERATING SURPLUS, GROSS</v>
          </cell>
          <cell r="F5794">
            <v>12</v>
          </cell>
          <cell r="G5794">
            <v>1977</v>
          </cell>
          <cell r="H5794">
            <v>20</v>
          </cell>
          <cell r="I5794">
            <v>262800000</v>
          </cell>
        </row>
        <row r="5795">
          <cell r="A5795" t="str">
            <v>Jordan</v>
          </cell>
          <cell r="B5795">
            <v>400</v>
          </cell>
          <cell r="C5795">
            <v>203</v>
          </cell>
          <cell r="D5795">
            <v>11</v>
          </cell>
          <cell r="E5795" t="str">
            <v>OPERATING SURPLUS, GROSS</v>
          </cell>
          <cell r="F5795">
            <v>12</v>
          </cell>
          <cell r="G5795">
            <v>1978</v>
          </cell>
          <cell r="H5795">
            <v>20</v>
          </cell>
          <cell r="I5795">
            <v>338400000</v>
          </cell>
        </row>
        <row r="5796">
          <cell r="A5796" t="str">
            <v>Jordan</v>
          </cell>
          <cell r="B5796">
            <v>400</v>
          </cell>
          <cell r="C5796">
            <v>203</v>
          </cell>
          <cell r="D5796">
            <v>11</v>
          </cell>
          <cell r="E5796" t="str">
            <v>OPERATING SURPLUS, GROSS</v>
          </cell>
          <cell r="F5796">
            <v>12</v>
          </cell>
          <cell r="G5796">
            <v>1979</v>
          </cell>
          <cell r="H5796">
            <v>20</v>
          </cell>
          <cell r="I5796">
            <v>387700000</v>
          </cell>
        </row>
        <row r="5797">
          <cell r="A5797" t="str">
            <v>Jordan</v>
          </cell>
          <cell r="B5797">
            <v>400</v>
          </cell>
          <cell r="C5797">
            <v>203</v>
          </cell>
          <cell r="D5797">
            <v>11</v>
          </cell>
          <cell r="E5797" t="str">
            <v>OPERATING SURPLUS, GROSS</v>
          </cell>
          <cell r="F5797">
            <v>12</v>
          </cell>
          <cell r="G5797">
            <v>1980</v>
          </cell>
          <cell r="H5797">
            <v>20</v>
          </cell>
          <cell r="I5797">
            <v>493800000</v>
          </cell>
        </row>
        <row r="5798">
          <cell r="A5798" t="str">
            <v>Jordan</v>
          </cell>
          <cell r="B5798">
            <v>400</v>
          </cell>
          <cell r="C5798">
            <v>203</v>
          </cell>
          <cell r="D5798">
            <v>11</v>
          </cell>
          <cell r="E5798" t="str">
            <v>OPERATING SURPLUS, GROSS</v>
          </cell>
          <cell r="F5798">
            <v>12</v>
          </cell>
          <cell r="G5798">
            <v>1981</v>
          </cell>
          <cell r="H5798">
            <v>20</v>
          </cell>
          <cell r="I5798">
            <v>580000000</v>
          </cell>
        </row>
        <row r="5799">
          <cell r="A5799" t="str">
            <v>Jordan</v>
          </cell>
          <cell r="B5799">
            <v>400</v>
          </cell>
          <cell r="C5799">
            <v>203</v>
          </cell>
          <cell r="D5799">
            <v>11</v>
          </cell>
          <cell r="E5799" t="str">
            <v>OPERATING SURPLUS, GROSS</v>
          </cell>
          <cell r="F5799">
            <v>12</v>
          </cell>
          <cell r="G5799">
            <v>1982</v>
          </cell>
          <cell r="H5799">
            <v>20</v>
          </cell>
          <cell r="I5799">
            <v>636500000</v>
          </cell>
        </row>
        <row r="5800">
          <cell r="A5800" t="str">
            <v>Jordan</v>
          </cell>
          <cell r="B5800">
            <v>400</v>
          </cell>
          <cell r="C5800">
            <v>203</v>
          </cell>
          <cell r="D5800">
            <v>11</v>
          </cell>
          <cell r="E5800" t="str">
            <v>OPERATING SURPLUS, GROSS</v>
          </cell>
          <cell r="F5800">
            <v>12</v>
          </cell>
          <cell r="G5800">
            <v>1983</v>
          </cell>
          <cell r="H5800">
            <v>20</v>
          </cell>
          <cell r="I5800">
            <v>660100000</v>
          </cell>
        </row>
        <row r="5801">
          <cell r="A5801" t="str">
            <v>Jordan</v>
          </cell>
          <cell r="B5801">
            <v>400</v>
          </cell>
          <cell r="C5801">
            <v>203</v>
          </cell>
          <cell r="D5801">
            <v>11</v>
          </cell>
          <cell r="E5801" t="str">
            <v>OPERATING SURPLUS, GROSS</v>
          </cell>
          <cell r="F5801">
            <v>12</v>
          </cell>
          <cell r="G5801">
            <v>1983</v>
          </cell>
          <cell r="H5801">
            <v>30</v>
          </cell>
          <cell r="I5801">
            <v>857100000</v>
          </cell>
        </row>
        <row r="5802">
          <cell r="A5802" t="str">
            <v>Jordan</v>
          </cell>
          <cell r="B5802">
            <v>400</v>
          </cell>
          <cell r="C5802">
            <v>203</v>
          </cell>
          <cell r="D5802">
            <v>11</v>
          </cell>
          <cell r="E5802" t="str">
            <v>OPERATING SURPLUS, GROSS</v>
          </cell>
          <cell r="F5802">
            <v>12</v>
          </cell>
          <cell r="G5802">
            <v>1984</v>
          </cell>
          <cell r="H5802">
            <v>30</v>
          </cell>
          <cell r="I5802">
            <v>907300000</v>
          </cell>
        </row>
        <row r="5803">
          <cell r="A5803" t="str">
            <v>Jordan</v>
          </cell>
          <cell r="B5803">
            <v>400</v>
          </cell>
          <cell r="C5803">
            <v>203</v>
          </cell>
          <cell r="D5803">
            <v>11</v>
          </cell>
          <cell r="E5803" t="str">
            <v>OPERATING SURPLUS, GROSS</v>
          </cell>
          <cell r="F5803">
            <v>12</v>
          </cell>
          <cell r="G5803">
            <v>1985</v>
          </cell>
          <cell r="H5803">
            <v>30</v>
          </cell>
          <cell r="I5803">
            <v>1067200000</v>
          </cell>
        </row>
        <row r="5804">
          <cell r="A5804" t="str">
            <v>Jordan</v>
          </cell>
          <cell r="B5804">
            <v>400</v>
          </cell>
          <cell r="C5804">
            <v>203</v>
          </cell>
          <cell r="D5804">
            <v>11</v>
          </cell>
          <cell r="E5804" t="str">
            <v>OPERATING SURPLUS, GROSS</v>
          </cell>
          <cell r="F5804">
            <v>12</v>
          </cell>
          <cell r="G5804">
            <v>1986</v>
          </cell>
          <cell r="H5804">
            <v>30</v>
          </cell>
          <cell r="I5804">
            <v>1057300000</v>
          </cell>
        </row>
        <row r="5805">
          <cell r="A5805" t="str">
            <v>Jordan</v>
          </cell>
          <cell r="B5805">
            <v>400</v>
          </cell>
          <cell r="C5805">
            <v>203</v>
          </cell>
          <cell r="D5805">
            <v>11</v>
          </cell>
          <cell r="E5805" t="str">
            <v>OPERATING SURPLUS, GROSS</v>
          </cell>
          <cell r="F5805">
            <v>12</v>
          </cell>
          <cell r="G5805">
            <v>1987</v>
          </cell>
          <cell r="H5805">
            <v>30</v>
          </cell>
          <cell r="I5805">
            <v>1079400000</v>
          </cell>
        </row>
        <row r="5806">
          <cell r="A5806" t="str">
            <v>Jordan</v>
          </cell>
          <cell r="B5806">
            <v>400</v>
          </cell>
          <cell r="C5806">
            <v>203</v>
          </cell>
          <cell r="D5806">
            <v>11</v>
          </cell>
          <cell r="E5806" t="str">
            <v>OPERATING SURPLUS, GROSS</v>
          </cell>
          <cell r="F5806">
            <v>12</v>
          </cell>
          <cell r="G5806">
            <v>1988</v>
          </cell>
          <cell r="H5806">
            <v>30</v>
          </cell>
          <cell r="I5806">
            <v>1108100000</v>
          </cell>
        </row>
        <row r="5807">
          <cell r="A5807" t="str">
            <v>Jordan</v>
          </cell>
          <cell r="B5807">
            <v>400</v>
          </cell>
          <cell r="C5807">
            <v>203</v>
          </cell>
          <cell r="D5807">
            <v>11</v>
          </cell>
          <cell r="E5807" t="str">
            <v>OPERATING SURPLUS, GROSS</v>
          </cell>
          <cell r="F5807">
            <v>12</v>
          </cell>
          <cell r="G5807">
            <v>1989</v>
          </cell>
          <cell r="H5807">
            <v>30</v>
          </cell>
          <cell r="I5807">
            <v>1231400000</v>
          </cell>
        </row>
        <row r="5808">
          <cell r="A5808" t="str">
            <v>Jordan</v>
          </cell>
          <cell r="B5808">
            <v>400</v>
          </cell>
          <cell r="C5808">
            <v>203</v>
          </cell>
          <cell r="D5808">
            <v>11</v>
          </cell>
          <cell r="E5808" t="str">
            <v>OPERATING SURPLUS, GROSS</v>
          </cell>
          <cell r="F5808">
            <v>12</v>
          </cell>
          <cell r="G5808">
            <v>1990</v>
          </cell>
          <cell r="H5808">
            <v>30</v>
          </cell>
          <cell r="I5808">
            <v>1369800000</v>
          </cell>
        </row>
        <row r="5809">
          <cell r="A5809" t="str">
            <v>Jordan</v>
          </cell>
          <cell r="B5809">
            <v>400</v>
          </cell>
          <cell r="C5809">
            <v>203</v>
          </cell>
          <cell r="D5809">
            <v>11</v>
          </cell>
          <cell r="E5809" t="str">
            <v>OPERATING SURPLUS, GROSS</v>
          </cell>
          <cell r="F5809">
            <v>12</v>
          </cell>
          <cell r="G5809">
            <v>1991</v>
          </cell>
          <cell r="H5809">
            <v>30</v>
          </cell>
          <cell r="I5809">
            <v>1484800000</v>
          </cell>
        </row>
        <row r="5810">
          <cell r="A5810" t="str">
            <v>Jordan</v>
          </cell>
          <cell r="B5810">
            <v>400</v>
          </cell>
          <cell r="C5810">
            <v>203</v>
          </cell>
          <cell r="D5810">
            <v>11</v>
          </cell>
          <cell r="E5810" t="str">
            <v>OPERATING SURPLUS, GROSS</v>
          </cell>
          <cell r="F5810">
            <v>12</v>
          </cell>
          <cell r="G5810">
            <v>1992</v>
          </cell>
          <cell r="H5810">
            <v>30</v>
          </cell>
          <cell r="I5810">
            <v>1807000000</v>
          </cell>
        </row>
        <row r="5811">
          <cell r="A5811" t="str">
            <v>Jordan</v>
          </cell>
          <cell r="B5811">
            <v>400</v>
          </cell>
          <cell r="C5811">
            <v>203</v>
          </cell>
          <cell r="D5811">
            <v>11</v>
          </cell>
          <cell r="E5811" t="str">
            <v>OPERATING SURPLUS, GROSS</v>
          </cell>
          <cell r="F5811">
            <v>12</v>
          </cell>
          <cell r="G5811">
            <v>1993</v>
          </cell>
          <cell r="H5811">
            <v>30</v>
          </cell>
          <cell r="I5811">
            <v>1818000000</v>
          </cell>
        </row>
        <row r="5812">
          <cell r="A5812" t="str">
            <v>Jordan</v>
          </cell>
          <cell r="B5812">
            <v>400</v>
          </cell>
          <cell r="C5812">
            <v>203</v>
          </cell>
          <cell r="D5812">
            <v>11</v>
          </cell>
          <cell r="E5812" t="str">
            <v>OPERATING SURPLUS, GROSS</v>
          </cell>
          <cell r="F5812">
            <v>12</v>
          </cell>
          <cell r="G5812">
            <v>1994</v>
          </cell>
          <cell r="H5812">
            <v>30</v>
          </cell>
          <cell r="I5812">
            <v>2035000000</v>
          </cell>
        </row>
        <row r="5813">
          <cell r="A5813" t="str">
            <v>Jordan</v>
          </cell>
          <cell r="B5813">
            <v>400</v>
          </cell>
          <cell r="C5813">
            <v>203</v>
          </cell>
          <cell r="D5813">
            <v>11</v>
          </cell>
          <cell r="E5813" t="str">
            <v>OPERATING SURPLUS, GROSS</v>
          </cell>
          <cell r="F5813">
            <v>12</v>
          </cell>
          <cell r="G5813">
            <v>1995</v>
          </cell>
          <cell r="H5813">
            <v>30</v>
          </cell>
          <cell r="I5813">
            <v>2144900000</v>
          </cell>
        </row>
        <row r="5814">
          <cell r="A5814" t="str">
            <v>Jordan</v>
          </cell>
          <cell r="B5814">
            <v>400</v>
          </cell>
          <cell r="C5814">
            <v>203</v>
          </cell>
          <cell r="D5814">
            <v>11</v>
          </cell>
          <cell r="E5814" t="str">
            <v>OPERATING SURPLUS, GROSS</v>
          </cell>
          <cell r="F5814">
            <v>12</v>
          </cell>
          <cell r="G5814">
            <v>1996</v>
          </cell>
          <cell r="H5814">
            <v>30</v>
          </cell>
          <cell r="I5814">
            <v>2172000000</v>
          </cell>
        </row>
        <row r="5815">
          <cell r="A5815" t="str">
            <v>Jordan</v>
          </cell>
          <cell r="B5815">
            <v>400</v>
          </cell>
          <cell r="C5815">
            <v>203</v>
          </cell>
          <cell r="D5815">
            <v>11</v>
          </cell>
          <cell r="E5815" t="str">
            <v>OPERATING SURPLUS, GROSS</v>
          </cell>
          <cell r="F5815">
            <v>12</v>
          </cell>
          <cell r="G5815">
            <v>1997</v>
          </cell>
          <cell r="H5815">
            <v>30</v>
          </cell>
          <cell r="I5815">
            <v>2338800000</v>
          </cell>
        </row>
        <row r="5816">
          <cell r="A5816" t="str">
            <v>Jordan</v>
          </cell>
          <cell r="B5816">
            <v>400</v>
          </cell>
          <cell r="C5816">
            <v>203</v>
          </cell>
          <cell r="D5816">
            <v>11</v>
          </cell>
          <cell r="E5816" t="str">
            <v>OPERATING SURPLUS, GROSS</v>
          </cell>
          <cell r="F5816">
            <v>12</v>
          </cell>
          <cell r="G5816">
            <v>1998</v>
          </cell>
          <cell r="H5816">
            <v>30</v>
          </cell>
          <cell r="I5816">
            <v>2463600000</v>
          </cell>
        </row>
        <row r="5817">
          <cell r="A5817" t="str">
            <v>Jordan</v>
          </cell>
          <cell r="B5817">
            <v>400</v>
          </cell>
          <cell r="C5817">
            <v>203</v>
          </cell>
          <cell r="D5817">
            <v>11</v>
          </cell>
          <cell r="E5817" t="str">
            <v>OPERATING SURPLUS, GROSS</v>
          </cell>
          <cell r="F5817">
            <v>12</v>
          </cell>
          <cell r="G5817">
            <v>1999</v>
          </cell>
          <cell r="H5817">
            <v>30</v>
          </cell>
          <cell r="I5817">
            <v>2444300000</v>
          </cell>
        </row>
        <row r="5818">
          <cell r="A5818" t="str">
            <v>Jordan</v>
          </cell>
          <cell r="B5818">
            <v>400</v>
          </cell>
          <cell r="C5818">
            <v>203</v>
          </cell>
          <cell r="D5818">
            <v>11</v>
          </cell>
          <cell r="E5818" t="str">
            <v>OPERATING SURPLUS, GROSS</v>
          </cell>
          <cell r="F5818">
            <v>12</v>
          </cell>
          <cell r="G5818">
            <v>2000</v>
          </cell>
          <cell r="H5818">
            <v>30</v>
          </cell>
          <cell r="I5818">
            <v>2713600000</v>
          </cell>
        </row>
        <row r="5819">
          <cell r="A5819" t="str">
            <v>Jordan</v>
          </cell>
          <cell r="B5819">
            <v>400</v>
          </cell>
          <cell r="C5819">
            <v>203</v>
          </cell>
          <cell r="D5819">
            <v>11</v>
          </cell>
          <cell r="E5819" t="str">
            <v>OPERATING SURPLUS, GROSS</v>
          </cell>
          <cell r="F5819">
            <v>12</v>
          </cell>
          <cell r="G5819">
            <v>2001</v>
          </cell>
          <cell r="H5819">
            <v>30</v>
          </cell>
          <cell r="I5819">
            <v>2913800000</v>
          </cell>
        </row>
        <row r="5820">
          <cell r="A5820" t="str">
            <v>Jordan</v>
          </cell>
          <cell r="B5820">
            <v>400</v>
          </cell>
          <cell r="C5820">
            <v>203</v>
          </cell>
          <cell r="D5820">
            <v>11</v>
          </cell>
          <cell r="E5820" t="str">
            <v>OPERATING SURPLUS, GROSS</v>
          </cell>
          <cell r="F5820">
            <v>12</v>
          </cell>
          <cell r="G5820">
            <v>2002</v>
          </cell>
          <cell r="H5820">
            <v>30</v>
          </cell>
          <cell r="I5820">
            <v>3069400000</v>
          </cell>
        </row>
        <row r="5821">
          <cell r="A5821" t="str">
            <v>Estonia</v>
          </cell>
          <cell r="B5821">
            <v>233</v>
          </cell>
          <cell r="C5821">
            <v>201</v>
          </cell>
          <cell r="D5821">
            <v>13</v>
          </cell>
          <cell r="E5821" t="str">
            <v>Less: Financial intermediation services indirectly measured (FISIM) (only to be deducted if FISIM is not distributed to uses)</v>
          </cell>
          <cell r="F5821">
            <v>0</v>
          </cell>
          <cell r="G5821">
            <v>1992</v>
          </cell>
          <cell r="H5821">
            <v>200</v>
          </cell>
          <cell r="I5821">
            <v>268900000</v>
          </cell>
        </row>
        <row r="5822">
          <cell r="A5822" t="str">
            <v>Estonia</v>
          </cell>
          <cell r="B5822">
            <v>233</v>
          </cell>
          <cell r="C5822">
            <v>201</v>
          </cell>
          <cell r="D5822">
            <v>13</v>
          </cell>
          <cell r="E5822" t="str">
            <v>Less: Financial intermediation services indirectly measured (FISIM) (only to be deducted if FISIM is not distributed to uses)</v>
          </cell>
          <cell r="F5822">
            <v>0</v>
          </cell>
          <cell r="G5822">
            <v>1993</v>
          </cell>
          <cell r="H5822">
            <v>200</v>
          </cell>
          <cell r="I5822">
            <v>450300000</v>
          </cell>
        </row>
        <row r="5823">
          <cell r="A5823" t="str">
            <v>Estonia</v>
          </cell>
          <cell r="B5823">
            <v>233</v>
          </cell>
          <cell r="C5823">
            <v>201</v>
          </cell>
          <cell r="D5823">
            <v>13</v>
          </cell>
          <cell r="E5823" t="str">
            <v>Less: Financial intermediation services indirectly measured (FISIM) (only to be deducted if FISIM is not distributed to uses)</v>
          </cell>
          <cell r="F5823">
            <v>0</v>
          </cell>
          <cell r="G5823">
            <v>1994</v>
          </cell>
          <cell r="H5823">
            <v>200</v>
          </cell>
          <cell r="I5823">
            <v>683000000</v>
          </cell>
        </row>
        <row r="5824">
          <cell r="A5824" t="str">
            <v>Estonia</v>
          </cell>
          <cell r="B5824">
            <v>233</v>
          </cell>
          <cell r="C5824">
            <v>201</v>
          </cell>
          <cell r="D5824">
            <v>13</v>
          </cell>
          <cell r="E5824" t="str">
            <v>Less: Financial intermediation services indirectly measured (FISIM) (only to be deducted if FISIM is not distributed to uses)</v>
          </cell>
          <cell r="F5824">
            <v>0</v>
          </cell>
          <cell r="G5824">
            <v>1995</v>
          </cell>
          <cell r="H5824">
            <v>200</v>
          </cell>
          <cell r="I5824">
            <v>743000000</v>
          </cell>
        </row>
        <row r="5825">
          <cell r="A5825" t="str">
            <v>Estonia</v>
          </cell>
          <cell r="B5825">
            <v>233</v>
          </cell>
          <cell r="C5825">
            <v>201</v>
          </cell>
          <cell r="D5825">
            <v>13</v>
          </cell>
          <cell r="E5825" t="str">
            <v>Less: Financial intermediation services indirectly measured (FISIM) (only to be deducted if FISIM is not distributed to uses)</v>
          </cell>
          <cell r="F5825">
            <v>0</v>
          </cell>
          <cell r="G5825">
            <v>1995</v>
          </cell>
          <cell r="H5825">
            <v>300</v>
          </cell>
          <cell r="I5825">
            <v>742900000</v>
          </cell>
        </row>
        <row r="5826">
          <cell r="A5826" t="str">
            <v>Estonia</v>
          </cell>
          <cell r="B5826">
            <v>233</v>
          </cell>
          <cell r="C5826">
            <v>201</v>
          </cell>
          <cell r="D5826">
            <v>13</v>
          </cell>
          <cell r="E5826" t="str">
            <v>Less: Financial intermediation services indirectly measured (FISIM) (only to be deducted if FISIM is not distributed to uses)</v>
          </cell>
          <cell r="F5826">
            <v>0</v>
          </cell>
          <cell r="G5826">
            <v>1996</v>
          </cell>
          <cell r="H5826">
            <v>300</v>
          </cell>
          <cell r="I5826">
            <v>969300000</v>
          </cell>
        </row>
        <row r="5827">
          <cell r="A5827" t="str">
            <v>Estonia</v>
          </cell>
          <cell r="B5827">
            <v>233</v>
          </cell>
          <cell r="C5827">
            <v>201</v>
          </cell>
          <cell r="D5827">
            <v>13</v>
          </cell>
          <cell r="E5827" t="str">
            <v>Less: Financial intermediation services indirectly measured (FISIM) (only to be deducted if FISIM is not distributed to uses)</v>
          </cell>
          <cell r="F5827">
            <v>0</v>
          </cell>
          <cell r="G5827">
            <v>1997</v>
          </cell>
          <cell r="H5827">
            <v>300</v>
          </cell>
          <cell r="I5827">
            <v>1195500000</v>
          </cell>
        </row>
        <row r="5828">
          <cell r="A5828" t="str">
            <v>Estonia</v>
          </cell>
          <cell r="B5828">
            <v>233</v>
          </cell>
          <cell r="C5828">
            <v>201</v>
          </cell>
          <cell r="D5828">
            <v>13</v>
          </cell>
          <cell r="E5828" t="str">
            <v>Less: Financial intermediation services indirectly measured (FISIM) (only to be deducted if FISIM is not distributed to uses)</v>
          </cell>
          <cell r="F5828">
            <v>0</v>
          </cell>
          <cell r="G5828">
            <v>1998</v>
          </cell>
          <cell r="H5828">
            <v>300</v>
          </cell>
          <cell r="I5828">
            <v>961600000</v>
          </cell>
        </row>
        <row r="5829">
          <cell r="A5829" t="str">
            <v>Estonia</v>
          </cell>
          <cell r="B5829">
            <v>233</v>
          </cell>
          <cell r="C5829">
            <v>201</v>
          </cell>
          <cell r="D5829">
            <v>13</v>
          </cell>
          <cell r="E5829" t="str">
            <v>Less: Financial intermediation services indirectly measured (FISIM) (only to be deducted if FISIM is not distributed to uses)</v>
          </cell>
          <cell r="F5829">
            <v>0</v>
          </cell>
          <cell r="G5829">
            <v>1999</v>
          </cell>
          <cell r="H5829">
            <v>300</v>
          </cell>
          <cell r="I5829">
            <v>1092500000</v>
          </cell>
        </row>
        <row r="5830">
          <cell r="A5830" t="str">
            <v>Estonia</v>
          </cell>
          <cell r="B5830">
            <v>233</v>
          </cell>
          <cell r="C5830">
            <v>201</v>
          </cell>
          <cell r="D5830">
            <v>13</v>
          </cell>
          <cell r="E5830" t="str">
            <v>Less: Financial intermediation services indirectly measured (FISIM) (only to be deducted if FISIM is not distributed to uses)</v>
          </cell>
          <cell r="F5830">
            <v>0</v>
          </cell>
          <cell r="G5830">
            <v>2000</v>
          </cell>
          <cell r="H5830">
            <v>300</v>
          </cell>
          <cell r="I5830">
            <v>1249900000</v>
          </cell>
        </row>
        <row r="5831">
          <cell r="A5831" t="str">
            <v>Estonia</v>
          </cell>
          <cell r="B5831">
            <v>233</v>
          </cell>
          <cell r="C5831">
            <v>201</v>
          </cell>
          <cell r="D5831">
            <v>13</v>
          </cell>
          <cell r="E5831" t="str">
            <v>Less: Financial intermediation services indirectly measured (FISIM) (only to be deducted if FISIM is not distributed to uses)</v>
          </cell>
          <cell r="F5831">
            <v>0</v>
          </cell>
          <cell r="G5831">
            <v>2001</v>
          </cell>
          <cell r="H5831">
            <v>300</v>
          </cell>
          <cell r="I5831">
            <v>1450400000</v>
          </cell>
        </row>
        <row r="5832">
          <cell r="A5832" t="str">
            <v>Estonia</v>
          </cell>
          <cell r="B5832">
            <v>233</v>
          </cell>
          <cell r="C5832">
            <v>201</v>
          </cell>
          <cell r="D5832">
            <v>13</v>
          </cell>
          <cell r="E5832" t="str">
            <v>Less: Financial intermediation services indirectly measured (FISIM) (only to be deducted if FISIM is not distributed to uses)</v>
          </cell>
          <cell r="F5832">
            <v>0</v>
          </cell>
          <cell r="G5832">
            <v>2002</v>
          </cell>
          <cell r="H5832">
            <v>300</v>
          </cell>
          <cell r="I5832">
            <v>1632200000</v>
          </cell>
        </row>
        <row r="5833">
          <cell r="A5833" t="str">
            <v>Estonia</v>
          </cell>
          <cell r="B5833">
            <v>233</v>
          </cell>
          <cell r="C5833">
            <v>201</v>
          </cell>
          <cell r="D5833">
            <v>13</v>
          </cell>
          <cell r="E5833" t="str">
            <v>Less: Financial intermediation services indirectly measured (FISIM) (only to be deducted if FISIM is not distributed to uses)</v>
          </cell>
          <cell r="F5833">
            <v>0</v>
          </cell>
          <cell r="G5833">
            <v>2003</v>
          </cell>
          <cell r="H5833">
            <v>300</v>
          </cell>
          <cell r="I5833">
            <v>1690900000</v>
          </cell>
        </row>
        <row r="5834">
          <cell r="A5834" t="str">
            <v>Estonia</v>
          </cell>
          <cell r="B5834">
            <v>233</v>
          </cell>
          <cell r="C5834">
            <v>203</v>
          </cell>
          <cell r="D5834">
            <v>3</v>
          </cell>
          <cell r="E5834" t="str">
            <v>Equals: VALUE ADDED, GROSS, at basic prices</v>
          </cell>
          <cell r="F5834">
            <v>12</v>
          </cell>
          <cell r="G5834">
            <v>1991</v>
          </cell>
          <cell r="H5834">
            <v>100</v>
          </cell>
          <cell r="I5834">
            <v>1651000000</v>
          </cell>
        </row>
        <row r="5835">
          <cell r="A5835" t="str">
            <v>Estonia</v>
          </cell>
          <cell r="B5835">
            <v>233</v>
          </cell>
          <cell r="C5835">
            <v>203</v>
          </cell>
          <cell r="D5835">
            <v>3</v>
          </cell>
          <cell r="E5835" t="str">
            <v>Equals: VALUE ADDED, GROSS, at basic prices</v>
          </cell>
          <cell r="F5835">
            <v>12</v>
          </cell>
          <cell r="G5835">
            <v>1992</v>
          </cell>
          <cell r="H5835">
            <v>100</v>
          </cell>
          <cell r="I5835">
            <v>13421500000</v>
          </cell>
        </row>
        <row r="5836">
          <cell r="A5836" t="str">
            <v>Estonia</v>
          </cell>
          <cell r="B5836">
            <v>233</v>
          </cell>
          <cell r="C5836">
            <v>203</v>
          </cell>
          <cell r="D5836">
            <v>3</v>
          </cell>
          <cell r="E5836" t="str">
            <v>Equals: VALUE ADDED, GROSS, at basic prices</v>
          </cell>
          <cell r="F5836">
            <v>12</v>
          </cell>
          <cell r="G5836">
            <v>1992</v>
          </cell>
          <cell r="H5836">
            <v>200</v>
          </cell>
          <cell r="I5836">
            <v>12221000000</v>
          </cell>
        </row>
        <row r="5837">
          <cell r="A5837" t="str">
            <v>Estonia</v>
          </cell>
          <cell r="B5837">
            <v>233</v>
          </cell>
          <cell r="C5837">
            <v>203</v>
          </cell>
          <cell r="D5837">
            <v>3</v>
          </cell>
          <cell r="E5837" t="str">
            <v>Equals: VALUE ADDED, GROSS, at basic prices</v>
          </cell>
          <cell r="F5837">
            <v>12</v>
          </cell>
          <cell r="G5837">
            <v>1993</v>
          </cell>
          <cell r="H5837">
            <v>200</v>
          </cell>
          <cell r="I5837">
            <v>19799000000</v>
          </cell>
        </row>
        <row r="5838">
          <cell r="A5838" t="str">
            <v>Estonia</v>
          </cell>
          <cell r="B5838">
            <v>233</v>
          </cell>
          <cell r="C5838">
            <v>203</v>
          </cell>
          <cell r="D5838">
            <v>3</v>
          </cell>
          <cell r="E5838" t="str">
            <v>Equals: VALUE ADDED, GROSS, at basic prices</v>
          </cell>
          <cell r="F5838">
            <v>12</v>
          </cell>
          <cell r="G5838">
            <v>1994</v>
          </cell>
          <cell r="H5838">
            <v>200</v>
          </cell>
          <cell r="I5838">
            <v>26760000000</v>
          </cell>
        </row>
        <row r="5839">
          <cell r="A5839" t="str">
            <v>Estonia</v>
          </cell>
          <cell r="B5839">
            <v>233</v>
          </cell>
          <cell r="C5839">
            <v>203</v>
          </cell>
          <cell r="D5839">
            <v>3</v>
          </cell>
          <cell r="E5839" t="str">
            <v>Equals: VALUE ADDED, GROSS, at basic prices</v>
          </cell>
          <cell r="F5839">
            <v>12</v>
          </cell>
          <cell r="G5839">
            <v>1995</v>
          </cell>
          <cell r="H5839">
            <v>200</v>
          </cell>
          <cell r="I5839">
            <v>36548000000</v>
          </cell>
        </row>
        <row r="5840">
          <cell r="A5840" t="str">
            <v>Estonia</v>
          </cell>
          <cell r="B5840">
            <v>233</v>
          </cell>
          <cell r="C5840">
            <v>203</v>
          </cell>
          <cell r="D5840">
            <v>3</v>
          </cell>
          <cell r="E5840" t="str">
            <v>Equals: VALUE ADDED, GROSS, at basic prices</v>
          </cell>
          <cell r="F5840">
            <v>12</v>
          </cell>
          <cell r="G5840">
            <v>1995</v>
          </cell>
          <cell r="H5840">
            <v>300</v>
          </cell>
          <cell r="I5840">
            <v>38775000000</v>
          </cell>
        </row>
        <row r="5841">
          <cell r="A5841" t="str">
            <v>Estonia</v>
          </cell>
          <cell r="B5841">
            <v>233</v>
          </cell>
          <cell r="C5841">
            <v>203</v>
          </cell>
          <cell r="D5841">
            <v>3</v>
          </cell>
          <cell r="E5841" t="str">
            <v>Equals: VALUE ADDED, GROSS, at basic prices</v>
          </cell>
          <cell r="F5841">
            <v>12</v>
          </cell>
          <cell r="G5841">
            <v>1996</v>
          </cell>
          <cell r="H5841">
            <v>300</v>
          </cell>
          <cell r="I5841">
            <v>50253700000</v>
          </cell>
        </row>
        <row r="5842">
          <cell r="A5842" t="str">
            <v>Estonia</v>
          </cell>
          <cell r="B5842">
            <v>233</v>
          </cell>
          <cell r="C5842">
            <v>203</v>
          </cell>
          <cell r="D5842">
            <v>3</v>
          </cell>
          <cell r="E5842" t="str">
            <v>Equals: VALUE ADDED, GROSS, at basic prices</v>
          </cell>
          <cell r="F5842">
            <v>12</v>
          </cell>
          <cell r="G5842">
            <v>1997</v>
          </cell>
          <cell r="H5842">
            <v>300</v>
          </cell>
          <cell r="I5842">
            <v>60844800000</v>
          </cell>
        </row>
        <row r="5843">
          <cell r="A5843" t="str">
            <v>Estonia</v>
          </cell>
          <cell r="B5843">
            <v>233</v>
          </cell>
          <cell r="C5843">
            <v>203</v>
          </cell>
          <cell r="D5843">
            <v>3</v>
          </cell>
          <cell r="E5843" t="str">
            <v>Equals: VALUE ADDED, GROSS, at basic prices</v>
          </cell>
          <cell r="F5843">
            <v>12</v>
          </cell>
          <cell r="G5843">
            <v>1998</v>
          </cell>
          <cell r="H5843">
            <v>300</v>
          </cell>
          <cell r="I5843">
            <v>70933000000</v>
          </cell>
        </row>
        <row r="5844">
          <cell r="A5844" t="str">
            <v>Estonia</v>
          </cell>
          <cell r="B5844">
            <v>233</v>
          </cell>
          <cell r="C5844">
            <v>203</v>
          </cell>
          <cell r="D5844">
            <v>3</v>
          </cell>
          <cell r="E5844" t="str">
            <v>Equals: VALUE ADDED, GROSS, at basic prices</v>
          </cell>
          <cell r="F5844">
            <v>12</v>
          </cell>
          <cell r="G5844">
            <v>1999</v>
          </cell>
          <cell r="H5844">
            <v>300</v>
          </cell>
          <cell r="I5844">
            <v>74423800000</v>
          </cell>
        </row>
        <row r="5845">
          <cell r="A5845" t="str">
            <v>Estonia</v>
          </cell>
          <cell r="B5845">
            <v>233</v>
          </cell>
          <cell r="C5845">
            <v>203</v>
          </cell>
          <cell r="D5845">
            <v>3</v>
          </cell>
          <cell r="E5845" t="str">
            <v>Equals: VALUE ADDED, GROSS, at basic prices</v>
          </cell>
          <cell r="F5845">
            <v>12</v>
          </cell>
          <cell r="G5845">
            <v>2000</v>
          </cell>
          <cell r="H5845">
            <v>300</v>
          </cell>
          <cell r="I5845">
            <v>83734400000</v>
          </cell>
        </row>
        <row r="5846">
          <cell r="A5846" t="str">
            <v>Estonia</v>
          </cell>
          <cell r="B5846">
            <v>233</v>
          </cell>
          <cell r="C5846">
            <v>203</v>
          </cell>
          <cell r="D5846">
            <v>3</v>
          </cell>
          <cell r="E5846" t="str">
            <v>Equals: VALUE ADDED, GROSS, at basic prices</v>
          </cell>
          <cell r="F5846">
            <v>12</v>
          </cell>
          <cell r="G5846">
            <v>2001</v>
          </cell>
          <cell r="H5846">
            <v>300</v>
          </cell>
          <cell r="I5846">
            <v>94256600000</v>
          </cell>
        </row>
        <row r="5847">
          <cell r="A5847" t="str">
            <v>Estonia</v>
          </cell>
          <cell r="B5847">
            <v>233</v>
          </cell>
          <cell r="C5847">
            <v>203</v>
          </cell>
          <cell r="D5847">
            <v>3</v>
          </cell>
          <cell r="E5847" t="str">
            <v>Equals: VALUE ADDED, GROSS, at basic prices</v>
          </cell>
          <cell r="F5847">
            <v>12</v>
          </cell>
          <cell r="G5847">
            <v>2002</v>
          </cell>
          <cell r="H5847">
            <v>300</v>
          </cell>
          <cell r="I5847">
            <v>105142500000</v>
          </cell>
        </row>
        <row r="5848">
          <cell r="A5848" t="str">
            <v>Estonia</v>
          </cell>
          <cell r="B5848">
            <v>233</v>
          </cell>
          <cell r="C5848">
            <v>203</v>
          </cell>
          <cell r="D5848">
            <v>3</v>
          </cell>
          <cell r="E5848" t="str">
            <v>Equals: VALUE ADDED, GROSS, at basic prices</v>
          </cell>
          <cell r="F5848">
            <v>12</v>
          </cell>
          <cell r="G5848">
            <v>2003</v>
          </cell>
          <cell r="H5848">
            <v>300</v>
          </cell>
          <cell r="I5848">
            <v>112965300000</v>
          </cell>
        </row>
        <row r="5849">
          <cell r="A5849" t="str">
            <v>Jordan</v>
          </cell>
          <cell r="B5849">
            <v>400</v>
          </cell>
          <cell r="C5849">
            <v>203</v>
          </cell>
          <cell r="D5849">
            <v>22</v>
          </cell>
          <cell r="E5849" t="str">
            <v>Taxes on production and imports, less Subsidies</v>
          </cell>
          <cell r="F5849">
            <v>12</v>
          </cell>
          <cell r="G5849">
            <v>1983</v>
          </cell>
          <cell r="H5849">
            <v>30</v>
          </cell>
          <cell r="I5849">
            <v>46600000</v>
          </cell>
        </row>
        <row r="5850">
          <cell r="A5850" t="str">
            <v>Jordan</v>
          </cell>
          <cell r="B5850">
            <v>400</v>
          </cell>
          <cell r="C5850">
            <v>203</v>
          </cell>
          <cell r="D5850">
            <v>22</v>
          </cell>
          <cell r="E5850" t="str">
            <v>Taxes on production and imports, less Subsidies</v>
          </cell>
          <cell r="F5850">
            <v>12</v>
          </cell>
          <cell r="G5850">
            <v>1984</v>
          </cell>
          <cell r="H5850">
            <v>30</v>
          </cell>
          <cell r="I5850">
            <v>38200000</v>
          </cell>
        </row>
        <row r="5851">
          <cell r="A5851" t="str">
            <v>Jordan</v>
          </cell>
          <cell r="B5851">
            <v>400</v>
          </cell>
          <cell r="C5851">
            <v>203</v>
          </cell>
          <cell r="D5851">
            <v>22</v>
          </cell>
          <cell r="E5851" t="str">
            <v>Taxes on production and imports, less Subsidies</v>
          </cell>
          <cell r="F5851">
            <v>12</v>
          </cell>
          <cell r="G5851">
            <v>1985</v>
          </cell>
          <cell r="H5851">
            <v>30</v>
          </cell>
          <cell r="I5851">
            <v>63700000</v>
          </cell>
        </row>
        <row r="5852">
          <cell r="A5852" t="str">
            <v>Jordan</v>
          </cell>
          <cell r="B5852">
            <v>400</v>
          </cell>
          <cell r="C5852">
            <v>203</v>
          </cell>
          <cell r="D5852">
            <v>22</v>
          </cell>
          <cell r="E5852" t="str">
            <v>Taxes on production and imports, less Subsidies</v>
          </cell>
          <cell r="F5852">
            <v>12</v>
          </cell>
          <cell r="G5852">
            <v>1986</v>
          </cell>
          <cell r="H5852">
            <v>30</v>
          </cell>
          <cell r="I5852">
            <v>175600000</v>
          </cell>
        </row>
        <row r="5853">
          <cell r="A5853" t="str">
            <v>Jordan</v>
          </cell>
          <cell r="B5853">
            <v>400</v>
          </cell>
          <cell r="C5853">
            <v>203</v>
          </cell>
          <cell r="D5853">
            <v>22</v>
          </cell>
          <cell r="E5853" t="str">
            <v>Taxes on production and imports, less Subsidies</v>
          </cell>
          <cell r="F5853">
            <v>12</v>
          </cell>
          <cell r="G5853">
            <v>1987</v>
          </cell>
          <cell r="H5853">
            <v>30</v>
          </cell>
          <cell r="I5853">
            <v>172800000</v>
          </cell>
        </row>
        <row r="5854">
          <cell r="A5854" t="str">
            <v>Jordan</v>
          </cell>
          <cell r="B5854">
            <v>400</v>
          </cell>
          <cell r="C5854">
            <v>203</v>
          </cell>
          <cell r="D5854">
            <v>22</v>
          </cell>
          <cell r="E5854" t="str">
            <v>Taxes on production and imports, less Subsidies</v>
          </cell>
          <cell r="F5854">
            <v>12</v>
          </cell>
          <cell r="G5854">
            <v>1988</v>
          </cell>
          <cell r="H5854">
            <v>30</v>
          </cell>
          <cell r="I5854">
            <v>144700000</v>
          </cell>
        </row>
        <row r="5855">
          <cell r="A5855" t="str">
            <v>Jordan</v>
          </cell>
          <cell r="B5855">
            <v>400</v>
          </cell>
          <cell r="C5855">
            <v>203</v>
          </cell>
          <cell r="D5855">
            <v>22</v>
          </cell>
          <cell r="E5855" t="str">
            <v>Taxes on production and imports, less Subsidies</v>
          </cell>
          <cell r="F5855">
            <v>12</v>
          </cell>
          <cell r="G5855">
            <v>1989</v>
          </cell>
          <cell r="H5855">
            <v>30</v>
          </cell>
          <cell r="I5855">
            <v>105700000</v>
          </cell>
        </row>
        <row r="5856">
          <cell r="A5856" t="str">
            <v>Jordan</v>
          </cell>
          <cell r="B5856">
            <v>400</v>
          </cell>
          <cell r="C5856">
            <v>203</v>
          </cell>
          <cell r="D5856">
            <v>22</v>
          </cell>
          <cell r="E5856" t="str">
            <v>Taxes on production and imports, less Subsidies</v>
          </cell>
          <cell r="F5856">
            <v>12</v>
          </cell>
          <cell r="G5856">
            <v>1990</v>
          </cell>
          <cell r="H5856">
            <v>30</v>
          </cell>
          <cell r="I5856">
            <v>156100000</v>
          </cell>
        </row>
        <row r="5857">
          <cell r="A5857" t="str">
            <v>Jordan</v>
          </cell>
          <cell r="B5857">
            <v>400</v>
          </cell>
          <cell r="C5857">
            <v>203</v>
          </cell>
          <cell r="D5857">
            <v>22</v>
          </cell>
          <cell r="E5857" t="str">
            <v>Taxes on production and imports, less Subsidies</v>
          </cell>
          <cell r="F5857">
            <v>12</v>
          </cell>
          <cell r="G5857">
            <v>1991</v>
          </cell>
          <cell r="H5857">
            <v>30</v>
          </cell>
          <cell r="I5857">
            <v>154300000</v>
          </cell>
        </row>
        <row r="5858">
          <cell r="A5858" t="str">
            <v>Jordan</v>
          </cell>
          <cell r="B5858">
            <v>400</v>
          </cell>
          <cell r="C5858">
            <v>203</v>
          </cell>
          <cell r="D5858">
            <v>22</v>
          </cell>
          <cell r="E5858" t="str">
            <v>Taxes on production and imports, less Subsidies</v>
          </cell>
          <cell r="F5858">
            <v>12</v>
          </cell>
          <cell r="G5858">
            <v>1992</v>
          </cell>
          <cell r="H5858">
            <v>30</v>
          </cell>
          <cell r="I5858">
            <v>39000000</v>
          </cell>
        </row>
        <row r="5859">
          <cell r="A5859" t="str">
            <v>Jordan</v>
          </cell>
          <cell r="B5859">
            <v>400</v>
          </cell>
          <cell r="C5859">
            <v>203</v>
          </cell>
          <cell r="D5859">
            <v>22</v>
          </cell>
          <cell r="E5859" t="str">
            <v>Taxes on production and imports, less Subsidies</v>
          </cell>
          <cell r="F5859">
            <v>12</v>
          </cell>
          <cell r="G5859">
            <v>1993</v>
          </cell>
          <cell r="H5859">
            <v>30</v>
          </cell>
          <cell r="I5859">
            <v>53800000</v>
          </cell>
        </row>
        <row r="5860">
          <cell r="A5860" t="str">
            <v>Jordan</v>
          </cell>
          <cell r="B5860">
            <v>400</v>
          </cell>
          <cell r="C5860">
            <v>203</v>
          </cell>
          <cell r="D5860">
            <v>22</v>
          </cell>
          <cell r="E5860" t="str">
            <v>Taxes on production and imports, less Subsidies</v>
          </cell>
          <cell r="F5860">
            <v>12</v>
          </cell>
          <cell r="G5860">
            <v>1994</v>
          </cell>
          <cell r="H5860">
            <v>30</v>
          </cell>
          <cell r="I5860">
            <v>57000000</v>
          </cell>
        </row>
        <row r="5861">
          <cell r="A5861" t="str">
            <v>Jordan</v>
          </cell>
          <cell r="B5861">
            <v>400</v>
          </cell>
          <cell r="C5861">
            <v>203</v>
          </cell>
          <cell r="D5861">
            <v>22</v>
          </cell>
          <cell r="E5861" t="str">
            <v>Taxes on production and imports, less Subsidies</v>
          </cell>
          <cell r="F5861">
            <v>12</v>
          </cell>
          <cell r="G5861">
            <v>1995</v>
          </cell>
          <cell r="H5861">
            <v>30</v>
          </cell>
          <cell r="I5861">
            <v>66200000</v>
          </cell>
        </row>
        <row r="5862">
          <cell r="A5862" t="str">
            <v>Jordan</v>
          </cell>
          <cell r="B5862">
            <v>400</v>
          </cell>
          <cell r="C5862">
            <v>203</v>
          </cell>
          <cell r="D5862">
            <v>22</v>
          </cell>
          <cell r="E5862" t="str">
            <v>Taxes on production and imports, less Subsidies</v>
          </cell>
          <cell r="F5862">
            <v>12</v>
          </cell>
          <cell r="G5862">
            <v>1996</v>
          </cell>
          <cell r="H5862">
            <v>30</v>
          </cell>
          <cell r="I5862">
            <v>49700000</v>
          </cell>
        </row>
        <row r="5863">
          <cell r="A5863" t="str">
            <v>Jordan</v>
          </cell>
          <cell r="B5863">
            <v>400</v>
          </cell>
          <cell r="C5863">
            <v>203</v>
          </cell>
          <cell r="D5863">
            <v>22</v>
          </cell>
          <cell r="E5863" t="str">
            <v>Taxes on production and imports, less Subsidies</v>
          </cell>
          <cell r="F5863">
            <v>12</v>
          </cell>
          <cell r="G5863">
            <v>1997</v>
          </cell>
          <cell r="H5863">
            <v>30</v>
          </cell>
          <cell r="I5863">
            <v>76000000</v>
          </cell>
        </row>
        <row r="5864">
          <cell r="A5864" t="str">
            <v>Jordan</v>
          </cell>
          <cell r="B5864">
            <v>400</v>
          </cell>
          <cell r="C5864">
            <v>203</v>
          </cell>
          <cell r="D5864">
            <v>22</v>
          </cell>
          <cell r="E5864" t="str">
            <v>Taxes on production and imports, less Subsidies</v>
          </cell>
          <cell r="F5864">
            <v>12</v>
          </cell>
          <cell r="G5864">
            <v>1998</v>
          </cell>
          <cell r="H5864">
            <v>30</v>
          </cell>
          <cell r="I5864">
            <v>74800000</v>
          </cell>
        </row>
        <row r="5865">
          <cell r="A5865" t="str">
            <v>Jordan</v>
          </cell>
          <cell r="B5865">
            <v>400</v>
          </cell>
          <cell r="C5865">
            <v>203</v>
          </cell>
          <cell r="D5865">
            <v>22</v>
          </cell>
          <cell r="E5865" t="str">
            <v>Taxes on production and imports, less Subsidies</v>
          </cell>
          <cell r="F5865">
            <v>12</v>
          </cell>
          <cell r="G5865">
            <v>1999</v>
          </cell>
          <cell r="H5865">
            <v>30</v>
          </cell>
          <cell r="I5865">
            <v>90200000</v>
          </cell>
        </row>
        <row r="5866">
          <cell r="A5866" t="str">
            <v>Jordan</v>
          </cell>
          <cell r="B5866">
            <v>400</v>
          </cell>
          <cell r="C5866">
            <v>203</v>
          </cell>
          <cell r="D5866">
            <v>22</v>
          </cell>
          <cell r="E5866" t="str">
            <v>Taxes on production and imports, less Subsidies</v>
          </cell>
          <cell r="F5866">
            <v>12</v>
          </cell>
          <cell r="G5866">
            <v>2000</v>
          </cell>
          <cell r="H5866">
            <v>30</v>
          </cell>
          <cell r="I5866">
            <v>83300000</v>
          </cell>
        </row>
        <row r="5867">
          <cell r="A5867" t="str">
            <v>Jordan</v>
          </cell>
          <cell r="B5867">
            <v>400</v>
          </cell>
          <cell r="C5867">
            <v>203</v>
          </cell>
          <cell r="D5867">
            <v>22</v>
          </cell>
          <cell r="E5867" t="str">
            <v>Taxes on production and imports, less Subsidies</v>
          </cell>
          <cell r="F5867">
            <v>12</v>
          </cell>
          <cell r="G5867">
            <v>2001</v>
          </cell>
          <cell r="H5867">
            <v>30</v>
          </cell>
          <cell r="I5867">
            <v>123600000</v>
          </cell>
        </row>
        <row r="5868">
          <cell r="A5868" t="str">
            <v>Jordan</v>
          </cell>
          <cell r="B5868">
            <v>400</v>
          </cell>
          <cell r="C5868">
            <v>203</v>
          </cell>
          <cell r="D5868">
            <v>22</v>
          </cell>
          <cell r="E5868" t="str">
            <v>Taxes on production and imports, less Subsidies</v>
          </cell>
          <cell r="F5868">
            <v>12</v>
          </cell>
          <cell r="G5868">
            <v>2002</v>
          </cell>
          <cell r="H5868">
            <v>30</v>
          </cell>
          <cell r="I5868">
            <v>137100000</v>
          </cell>
        </row>
        <row r="5869">
          <cell r="A5869" t="str">
            <v>Estonia</v>
          </cell>
          <cell r="B5869">
            <v>233</v>
          </cell>
          <cell r="C5869">
            <v>203</v>
          </cell>
          <cell r="D5869">
            <v>4</v>
          </cell>
          <cell r="E5869" t="str">
            <v>Compensation of employees</v>
          </cell>
          <cell r="F5869">
            <v>12</v>
          </cell>
          <cell r="G5869">
            <v>1992</v>
          </cell>
          <cell r="H5869">
            <v>100</v>
          </cell>
          <cell r="I5869">
            <v>6257000000</v>
          </cell>
        </row>
        <row r="5870">
          <cell r="A5870" t="str">
            <v>Estonia</v>
          </cell>
          <cell r="B5870">
            <v>233</v>
          </cell>
          <cell r="C5870">
            <v>203</v>
          </cell>
          <cell r="D5870">
            <v>4</v>
          </cell>
          <cell r="E5870" t="str">
            <v>Compensation of employees</v>
          </cell>
          <cell r="F5870">
            <v>12</v>
          </cell>
          <cell r="G5870">
            <v>1993</v>
          </cell>
          <cell r="H5870">
            <v>200</v>
          </cell>
          <cell r="I5870">
            <v>11384000000</v>
          </cell>
        </row>
        <row r="5871">
          <cell r="A5871" t="str">
            <v>Estonia</v>
          </cell>
          <cell r="B5871">
            <v>233</v>
          </cell>
          <cell r="C5871">
            <v>203</v>
          </cell>
          <cell r="D5871">
            <v>4</v>
          </cell>
          <cell r="E5871" t="str">
            <v>Compensation of employees</v>
          </cell>
          <cell r="F5871">
            <v>12</v>
          </cell>
          <cell r="G5871">
            <v>1994</v>
          </cell>
          <cell r="H5871">
            <v>200</v>
          </cell>
          <cell r="I5871">
            <v>17048000000</v>
          </cell>
        </row>
        <row r="5872">
          <cell r="A5872" t="str">
            <v>Estonia</v>
          </cell>
          <cell r="B5872">
            <v>233</v>
          </cell>
          <cell r="C5872">
            <v>203</v>
          </cell>
          <cell r="D5872">
            <v>4</v>
          </cell>
          <cell r="E5872" t="str">
            <v>Compensation of employees</v>
          </cell>
          <cell r="F5872">
            <v>12</v>
          </cell>
          <cell r="G5872">
            <v>1995</v>
          </cell>
          <cell r="H5872">
            <v>200</v>
          </cell>
          <cell r="I5872">
            <v>23243000000</v>
          </cell>
        </row>
        <row r="5873">
          <cell r="A5873" t="str">
            <v>Estonia</v>
          </cell>
          <cell r="B5873">
            <v>233</v>
          </cell>
          <cell r="C5873">
            <v>203</v>
          </cell>
          <cell r="D5873">
            <v>4</v>
          </cell>
          <cell r="E5873" t="str">
            <v>Compensation of employees</v>
          </cell>
          <cell r="F5873">
            <v>12</v>
          </cell>
          <cell r="G5873">
            <v>1995</v>
          </cell>
          <cell r="H5873">
            <v>300</v>
          </cell>
          <cell r="I5873">
            <v>23181000000</v>
          </cell>
        </row>
        <row r="5874">
          <cell r="A5874" t="str">
            <v>Estonia</v>
          </cell>
          <cell r="B5874">
            <v>233</v>
          </cell>
          <cell r="C5874">
            <v>203</v>
          </cell>
          <cell r="D5874">
            <v>4</v>
          </cell>
          <cell r="E5874" t="str">
            <v>Compensation of employees</v>
          </cell>
          <cell r="F5874">
            <v>12</v>
          </cell>
          <cell r="G5874">
            <v>1996</v>
          </cell>
          <cell r="H5874">
            <v>300</v>
          </cell>
          <cell r="I5874">
            <v>27893600000</v>
          </cell>
        </row>
        <row r="5875">
          <cell r="A5875" t="str">
            <v>Estonia</v>
          </cell>
          <cell r="B5875">
            <v>233</v>
          </cell>
          <cell r="C5875">
            <v>203</v>
          </cell>
          <cell r="D5875">
            <v>4</v>
          </cell>
          <cell r="E5875" t="str">
            <v>Compensation of employees</v>
          </cell>
          <cell r="F5875">
            <v>12</v>
          </cell>
          <cell r="G5875">
            <v>1997</v>
          </cell>
          <cell r="H5875">
            <v>300</v>
          </cell>
          <cell r="I5875">
            <v>33375600000</v>
          </cell>
        </row>
        <row r="5876">
          <cell r="A5876" t="str">
            <v>Estonia</v>
          </cell>
          <cell r="B5876">
            <v>233</v>
          </cell>
          <cell r="C5876">
            <v>203</v>
          </cell>
          <cell r="D5876">
            <v>4</v>
          </cell>
          <cell r="E5876" t="str">
            <v>Compensation of employees</v>
          </cell>
          <cell r="F5876">
            <v>12</v>
          </cell>
          <cell r="G5876">
            <v>1998</v>
          </cell>
          <cell r="H5876">
            <v>300</v>
          </cell>
          <cell r="I5876">
            <v>37491800000</v>
          </cell>
        </row>
        <row r="5877">
          <cell r="A5877" t="str">
            <v>Estonia</v>
          </cell>
          <cell r="B5877">
            <v>233</v>
          </cell>
          <cell r="C5877">
            <v>203</v>
          </cell>
          <cell r="D5877">
            <v>4</v>
          </cell>
          <cell r="E5877" t="str">
            <v>Compensation of employees</v>
          </cell>
          <cell r="F5877">
            <v>12</v>
          </cell>
          <cell r="G5877">
            <v>1999</v>
          </cell>
          <cell r="H5877">
            <v>300</v>
          </cell>
          <cell r="I5877">
            <v>40944500000</v>
          </cell>
        </row>
        <row r="5878">
          <cell r="A5878" t="str">
            <v>Estonia</v>
          </cell>
          <cell r="B5878">
            <v>233</v>
          </cell>
          <cell r="C5878">
            <v>203</v>
          </cell>
          <cell r="D5878">
            <v>4</v>
          </cell>
          <cell r="E5878" t="str">
            <v>Compensation of employees</v>
          </cell>
          <cell r="F5878">
            <v>12</v>
          </cell>
          <cell r="G5878">
            <v>2000</v>
          </cell>
          <cell r="H5878">
            <v>300</v>
          </cell>
          <cell r="I5878">
            <v>43712000000</v>
          </cell>
        </row>
        <row r="5879">
          <cell r="A5879" t="str">
            <v>Estonia</v>
          </cell>
          <cell r="B5879">
            <v>233</v>
          </cell>
          <cell r="C5879">
            <v>203</v>
          </cell>
          <cell r="D5879">
            <v>4</v>
          </cell>
          <cell r="E5879" t="str">
            <v>Compensation of employees</v>
          </cell>
          <cell r="F5879">
            <v>12</v>
          </cell>
          <cell r="G5879">
            <v>2001</v>
          </cell>
          <cell r="H5879">
            <v>300</v>
          </cell>
          <cell r="I5879">
            <v>47934100000</v>
          </cell>
        </row>
        <row r="5880">
          <cell r="A5880" t="str">
            <v>Estonia</v>
          </cell>
          <cell r="B5880">
            <v>233</v>
          </cell>
          <cell r="C5880">
            <v>203</v>
          </cell>
          <cell r="D5880">
            <v>4</v>
          </cell>
          <cell r="E5880" t="str">
            <v>Compensation of employees</v>
          </cell>
          <cell r="F5880">
            <v>12</v>
          </cell>
          <cell r="G5880">
            <v>2002</v>
          </cell>
          <cell r="H5880">
            <v>300</v>
          </cell>
          <cell r="I5880">
            <v>53582500000</v>
          </cell>
        </row>
        <row r="5881">
          <cell r="A5881" t="str">
            <v>Estonia</v>
          </cell>
          <cell r="B5881">
            <v>233</v>
          </cell>
          <cell r="C5881">
            <v>203</v>
          </cell>
          <cell r="D5881">
            <v>4</v>
          </cell>
          <cell r="E5881" t="str">
            <v>Compensation of employees</v>
          </cell>
          <cell r="F5881">
            <v>12</v>
          </cell>
          <cell r="G5881">
            <v>2003</v>
          </cell>
          <cell r="H5881">
            <v>300</v>
          </cell>
          <cell r="I5881">
            <v>58404500000</v>
          </cell>
        </row>
        <row r="5882">
          <cell r="A5882" t="str">
            <v>Estonia</v>
          </cell>
          <cell r="B5882">
            <v>233</v>
          </cell>
          <cell r="C5882">
            <v>203</v>
          </cell>
          <cell r="D5882">
            <v>11</v>
          </cell>
          <cell r="E5882" t="str">
            <v>OPERATING SURPLUS, GROSS</v>
          </cell>
          <cell r="F5882">
            <v>12</v>
          </cell>
          <cell r="G5882">
            <v>1992</v>
          </cell>
          <cell r="H5882">
            <v>100</v>
          </cell>
          <cell r="I5882">
            <v>5517000000</v>
          </cell>
        </row>
        <row r="5883">
          <cell r="A5883" t="str">
            <v>Estonia</v>
          </cell>
          <cell r="B5883">
            <v>233</v>
          </cell>
          <cell r="C5883">
            <v>203</v>
          </cell>
          <cell r="D5883">
            <v>11</v>
          </cell>
          <cell r="E5883" t="str">
            <v>OPERATING SURPLUS, GROSS</v>
          </cell>
          <cell r="F5883">
            <v>12</v>
          </cell>
          <cell r="G5883">
            <v>1993</v>
          </cell>
          <cell r="H5883">
            <v>200</v>
          </cell>
          <cell r="I5883">
            <v>7866000000</v>
          </cell>
        </row>
        <row r="5884">
          <cell r="A5884" t="str">
            <v>Estonia</v>
          </cell>
          <cell r="B5884">
            <v>233</v>
          </cell>
          <cell r="C5884">
            <v>203</v>
          </cell>
          <cell r="D5884">
            <v>11</v>
          </cell>
          <cell r="E5884" t="str">
            <v>OPERATING SURPLUS, GROSS</v>
          </cell>
          <cell r="F5884">
            <v>12</v>
          </cell>
          <cell r="G5884">
            <v>1994</v>
          </cell>
          <cell r="H5884">
            <v>200</v>
          </cell>
          <cell r="I5884">
            <v>9247000000</v>
          </cell>
        </row>
        <row r="5885">
          <cell r="A5885" t="str">
            <v>Estonia</v>
          </cell>
          <cell r="B5885">
            <v>233</v>
          </cell>
          <cell r="C5885">
            <v>203</v>
          </cell>
          <cell r="D5885">
            <v>11</v>
          </cell>
          <cell r="E5885" t="str">
            <v>OPERATING SURPLUS, GROSS</v>
          </cell>
          <cell r="F5885">
            <v>12</v>
          </cell>
          <cell r="G5885">
            <v>1995</v>
          </cell>
          <cell r="H5885">
            <v>200</v>
          </cell>
          <cell r="I5885">
            <v>12740000000</v>
          </cell>
        </row>
        <row r="5886">
          <cell r="A5886" t="str">
            <v>Estonia</v>
          </cell>
          <cell r="B5886">
            <v>233</v>
          </cell>
          <cell r="C5886">
            <v>203</v>
          </cell>
          <cell r="D5886">
            <v>11</v>
          </cell>
          <cell r="E5886" t="str">
            <v>OPERATING SURPLUS, GROSS</v>
          </cell>
          <cell r="F5886">
            <v>12</v>
          </cell>
          <cell r="G5886">
            <v>1995</v>
          </cell>
          <cell r="H5886">
            <v>300</v>
          </cell>
          <cell r="I5886">
            <v>14980000000</v>
          </cell>
        </row>
        <row r="5887">
          <cell r="A5887" t="str">
            <v>Estonia</v>
          </cell>
          <cell r="B5887">
            <v>233</v>
          </cell>
          <cell r="C5887">
            <v>203</v>
          </cell>
          <cell r="D5887">
            <v>11</v>
          </cell>
          <cell r="E5887" t="str">
            <v>OPERATING SURPLUS, GROSS</v>
          </cell>
          <cell r="F5887">
            <v>12</v>
          </cell>
          <cell r="G5887">
            <v>1996</v>
          </cell>
          <cell r="H5887">
            <v>300</v>
          </cell>
          <cell r="I5887">
            <v>21606300000</v>
          </cell>
        </row>
        <row r="5888">
          <cell r="A5888" t="str">
            <v>Estonia</v>
          </cell>
          <cell r="B5888">
            <v>233</v>
          </cell>
          <cell r="C5888">
            <v>203</v>
          </cell>
          <cell r="D5888">
            <v>11</v>
          </cell>
          <cell r="E5888" t="str">
            <v>OPERATING SURPLUS, GROSS</v>
          </cell>
          <cell r="F5888">
            <v>12</v>
          </cell>
          <cell r="G5888">
            <v>1997</v>
          </cell>
          <cell r="H5888">
            <v>300</v>
          </cell>
          <cell r="I5888">
            <v>26575600000</v>
          </cell>
        </row>
        <row r="5889">
          <cell r="A5889" t="str">
            <v>Estonia</v>
          </cell>
          <cell r="B5889">
            <v>233</v>
          </cell>
          <cell r="C5889">
            <v>203</v>
          </cell>
          <cell r="D5889">
            <v>11</v>
          </cell>
          <cell r="E5889" t="str">
            <v>OPERATING SURPLUS, GROSS</v>
          </cell>
          <cell r="F5889">
            <v>12</v>
          </cell>
          <cell r="G5889">
            <v>1998</v>
          </cell>
          <cell r="H5889">
            <v>300</v>
          </cell>
          <cell r="I5889">
            <v>32622400000</v>
          </cell>
        </row>
        <row r="5890">
          <cell r="A5890" t="str">
            <v>Estonia</v>
          </cell>
          <cell r="B5890">
            <v>233</v>
          </cell>
          <cell r="C5890">
            <v>203</v>
          </cell>
          <cell r="D5890">
            <v>11</v>
          </cell>
          <cell r="E5890" t="str">
            <v>OPERATING SURPLUS, GROSS</v>
          </cell>
          <cell r="F5890">
            <v>12</v>
          </cell>
          <cell r="G5890">
            <v>1999</v>
          </cell>
          <cell r="H5890">
            <v>300</v>
          </cell>
          <cell r="I5890">
            <v>32734400000</v>
          </cell>
        </row>
        <row r="5891">
          <cell r="A5891" t="str">
            <v>Estonia</v>
          </cell>
          <cell r="B5891">
            <v>233</v>
          </cell>
          <cell r="C5891">
            <v>203</v>
          </cell>
          <cell r="D5891">
            <v>11</v>
          </cell>
          <cell r="E5891" t="str">
            <v>OPERATING SURPLUS, GROSS</v>
          </cell>
          <cell r="F5891">
            <v>12</v>
          </cell>
          <cell r="G5891">
            <v>2000</v>
          </cell>
          <cell r="H5891">
            <v>300</v>
          </cell>
          <cell r="I5891">
            <v>39234900000</v>
          </cell>
        </row>
        <row r="5892">
          <cell r="A5892" t="str">
            <v>Estonia</v>
          </cell>
          <cell r="B5892">
            <v>233</v>
          </cell>
          <cell r="C5892">
            <v>203</v>
          </cell>
          <cell r="D5892">
            <v>11</v>
          </cell>
          <cell r="E5892" t="str">
            <v>OPERATING SURPLUS, GROSS</v>
          </cell>
          <cell r="F5892">
            <v>12</v>
          </cell>
          <cell r="G5892">
            <v>2001</v>
          </cell>
          <cell r="H5892">
            <v>300</v>
          </cell>
          <cell r="I5892">
            <v>45494900000</v>
          </cell>
        </row>
        <row r="5893">
          <cell r="A5893" t="str">
            <v>Estonia</v>
          </cell>
          <cell r="B5893">
            <v>233</v>
          </cell>
          <cell r="C5893">
            <v>203</v>
          </cell>
          <cell r="D5893">
            <v>11</v>
          </cell>
          <cell r="E5893" t="str">
            <v>OPERATING SURPLUS, GROSS</v>
          </cell>
          <cell r="F5893">
            <v>12</v>
          </cell>
          <cell r="G5893">
            <v>2002</v>
          </cell>
          <cell r="H5893">
            <v>300</v>
          </cell>
          <cell r="I5893">
            <v>50740900000</v>
          </cell>
        </row>
        <row r="5894">
          <cell r="A5894" t="str">
            <v>Estonia</v>
          </cell>
          <cell r="B5894">
            <v>233</v>
          </cell>
          <cell r="C5894">
            <v>203</v>
          </cell>
          <cell r="D5894">
            <v>11</v>
          </cell>
          <cell r="E5894" t="str">
            <v>OPERATING SURPLUS, GROSS</v>
          </cell>
          <cell r="F5894">
            <v>12</v>
          </cell>
          <cell r="G5894">
            <v>2003</v>
          </cell>
          <cell r="H5894">
            <v>300</v>
          </cell>
          <cell r="I5894">
            <v>53745500000</v>
          </cell>
        </row>
        <row r="5895">
          <cell r="A5895" t="str">
            <v>Estonia</v>
          </cell>
          <cell r="B5895">
            <v>233</v>
          </cell>
          <cell r="C5895">
            <v>203</v>
          </cell>
          <cell r="D5895">
            <v>22</v>
          </cell>
          <cell r="E5895" t="str">
            <v>Taxes on production and imports, less Subsidies</v>
          </cell>
          <cell r="F5895">
            <v>12</v>
          </cell>
          <cell r="G5895">
            <v>1992</v>
          </cell>
          <cell r="H5895">
            <v>100</v>
          </cell>
          <cell r="I5895">
            <v>447000000</v>
          </cell>
        </row>
        <row r="5896">
          <cell r="A5896" t="str">
            <v>Estonia</v>
          </cell>
          <cell r="B5896">
            <v>233</v>
          </cell>
          <cell r="C5896">
            <v>203</v>
          </cell>
          <cell r="D5896">
            <v>22</v>
          </cell>
          <cell r="E5896" t="str">
            <v>Taxes on production and imports, less Subsidies</v>
          </cell>
          <cell r="F5896">
            <v>12</v>
          </cell>
          <cell r="G5896">
            <v>1993</v>
          </cell>
          <cell r="H5896">
            <v>200</v>
          </cell>
          <cell r="I5896">
            <v>550000000</v>
          </cell>
        </row>
        <row r="5897">
          <cell r="A5897" t="str">
            <v>Estonia</v>
          </cell>
          <cell r="B5897">
            <v>233</v>
          </cell>
          <cell r="C5897">
            <v>203</v>
          </cell>
          <cell r="D5897">
            <v>22</v>
          </cell>
          <cell r="E5897" t="str">
            <v>Taxes on production and imports, less Subsidies</v>
          </cell>
          <cell r="F5897">
            <v>12</v>
          </cell>
          <cell r="G5897">
            <v>1994</v>
          </cell>
          <cell r="H5897">
            <v>200</v>
          </cell>
          <cell r="I5897">
            <v>465000000</v>
          </cell>
        </row>
        <row r="5898">
          <cell r="A5898" t="str">
            <v>Estonia</v>
          </cell>
          <cell r="B5898">
            <v>233</v>
          </cell>
          <cell r="C5898">
            <v>203</v>
          </cell>
          <cell r="D5898">
            <v>22</v>
          </cell>
          <cell r="E5898" t="str">
            <v>Taxes on production and imports, less Subsidies</v>
          </cell>
          <cell r="F5898">
            <v>12</v>
          </cell>
          <cell r="G5898">
            <v>1995</v>
          </cell>
          <cell r="H5898">
            <v>200</v>
          </cell>
          <cell r="I5898">
            <v>565000000</v>
          </cell>
        </row>
        <row r="5899">
          <cell r="A5899" t="str">
            <v>Estonia</v>
          </cell>
          <cell r="B5899">
            <v>233</v>
          </cell>
          <cell r="C5899">
            <v>203</v>
          </cell>
          <cell r="D5899">
            <v>22</v>
          </cell>
          <cell r="E5899" t="str">
            <v>Taxes on production and imports, less Subsidies</v>
          </cell>
          <cell r="F5899">
            <v>12</v>
          </cell>
          <cell r="G5899">
            <v>1995</v>
          </cell>
          <cell r="H5899">
            <v>300</v>
          </cell>
          <cell r="I5899">
            <v>614000000</v>
          </cell>
        </row>
        <row r="5900">
          <cell r="A5900" t="str">
            <v>Estonia</v>
          </cell>
          <cell r="B5900">
            <v>233</v>
          </cell>
          <cell r="C5900">
            <v>203</v>
          </cell>
          <cell r="D5900">
            <v>22</v>
          </cell>
          <cell r="E5900" t="str">
            <v>Taxes on production and imports, less Subsidies</v>
          </cell>
          <cell r="F5900">
            <v>12</v>
          </cell>
          <cell r="G5900">
            <v>1996</v>
          </cell>
          <cell r="H5900">
            <v>300</v>
          </cell>
          <cell r="I5900">
            <v>753800000</v>
          </cell>
        </row>
        <row r="5901">
          <cell r="A5901" t="str">
            <v>Estonia</v>
          </cell>
          <cell r="B5901">
            <v>233</v>
          </cell>
          <cell r="C5901">
            <v>203</v>
          </cell>
          <cell r="D5901">
            <v>22</v>
          </cell>
          <cell r="E5901" t="str">
            <v>Taxes on production and imports, less Subsidies</v>
          </cell>
          <cell r="F5901">
            <v>12</v>
          </cell>
          <cell r="G5901">
            <v>1997</v>
          </cell>
          <cell r="H5901">
            <v>300</v>
          </cell>
          <cell r="I5901">
            <v>893600000</v>
          </cell>
        </row>
        <row r="5902">
          <cell r="A5902" t="str">
            <v>Estonia</v>
          </cell>
          <cell r="B5902">
            <v>233</v>
          </cell>
          <cell r="C5902">
            <v>203</v>
          </cell>
          <cell r="D5902">
            <v>22</v>
          </cell>
          <cell r="E5902" t="str">
            <v>Taxes on production and imports, less Subsidies</v>
          </cell>
          <cell r="F5902">
            <v>12</v>
          </cell>
          <cell r="G5902">
            <v>1998</v>
          </cell>
          <cell r="H5902">
            <v>300</v>
          </cell>
          <cell r="I5902">
            <v>818800000</v>
          </cell>
        </row>
        <row r="5903">
          <cell r="A5903" t="str">
            <v>Estonia</v>
          </cell>
          <cell r="B5903">
            <v>233</v>
          </cell>
          <cell r="C5903">
            <v>203</v>
          </cell>
          <cell r="D5903">
            <v>22</v>
          </cell>
          <cell r="E5903" t="str">
            <v>Taxes on production and imports, less Subsidies</v>
          </cell>
          <cell r="F5903">
            <v>12</v>
          </cell>
          <cell r="G5903">
            <v>1999</v>
          </cell>
          <cell r="H5903">
            <v>300</v>
          </cell>
          <cell r="I5903">
            <v>744900000</v>
          </cell>
        </row>
        <row r="5904">
          <cell r="A5904" t="str">
            <v>Estonia</v>
          </cell>
          <cell r="B5904">
            <v>233</v>
          </cell>
          <cell r="C5904">
            <v>203</v>
          </cell>
          <cell r="D5904">
            <v>22</v>
          </cell>
          <cell r="E5904" t="str">
            <v>Taxes on production and imports, less Subsidies</v>
          </cell>
          <cell r="F5904">
            <v>12</v>
          </cell>
          <cell r="G5904">
            <v>2000</v>
          </cell>
          <cell r="H5904">
            <v>300</v>
          </cell>
          <cell r="I5904">
            <v>787500000</v>
          </cell>
        </row>
        <row r="5905">
          <cell r="A5905" t="str">
            <v>Estonia</v>
          </cell>
          <cell r="B5905">
            <v>233</v>
          </cell>
          <cell r="C5905">
            <v>203</v>
          </cell>
          <cell r="D5905">
            <v>22</v>
          </cell>
          <cell r="E5905" t="str">
            <v>Taxes on production and imports, less Subsidies</v>
          </cell>
          <cell r="F5905">
            <v>12</v>
          </cell>
          <cell r="G5905">
            <v>2001</v>
          </cell>
          <cell r="H5905">
            <v>300</v>
          </cell>
          <cell r="I5905">
            <v>827600000</v>
          </cell>
        </row>
        <row r="5906">
          <cell r="A5906" t="str">
            <v>Estonia</v>
          </cell>
          <cell r="B5906">
            <v>233</v>
          </cell>
          <cell r="C5906">
            <v>203</v>
          </cell>
          <cell r="D5906">
            <v>22</v>
          </cell>
          <cell r="E5906" t="str">
            <v>Taxes on production and imports, less Subsidies</v>
          </cell>
          <cell r="F5906">
            <v>12</v>
          </cell>
          <cell r="G5906">
            <v>2002</v>
          </cell>
          <cell r="H5906">
            <v>300</v>
          </cell>
          <cell r="I5906">
            <v>819100000</v>
          </cell>
        </row>
        <row r="5907">
          <cell r="A5907" t="str">
            <v>Estonia</v>
          </cell>
          <cell r="B5907">
            <v>233</v>
          </cell>
          <cell r="C5907">
            <v>203</v>
          </cell>
          <cell r="D5907">
            <v>22</v>
          </cell>
          <cell r="E5907" t="str">
            <v>Taxes on production and imports, less Subsidies</v>
          </cell>
          <cell r="F5907">
            <v>12</v>
          </cell>
          <cell r="G5907">
            <v>2003</v>
          </cell>
          <cell r="H5907">
            <v>300</v>
          </cell>
          <cell r="I5907">
            <v>815300000</v>
          </cell>
        </row>
        <row r="5908">
          <cell r="A5908" t="str">
            <v>France</v>
          </cell>
          <cell r="B5908">
            <v>250</v>
          </cell>
          <cell r="C5908">
            <v>201</v>
          </cell>
          <cell r="D5908">
            <v>13</v>
          </cell>
          <cell r="E5908" t="str">
            <v>Less: Financial intermediation services indirectly measured (FISIM) (only to be deducted if FISIM is not distributed to uses)</v>
          </cell>
          <cell r="F5908">
            <v>0</v>
          </cell>
          <cell r="G5908">
            <v>1970</v>
          </cell>
          <cell r="H5908">
            <v>200</v>
          </cell>
          <cell r="I5908">
            <v>3380190169.21837</v>
          </cell>
        </row>
        <row r="5909">
          <cell r="A5909" t="str">
            <v>France</v>
          </cell>
          <cell r="B5909">
            <v>250</v>
          </cell>
          <cell r="C5909">
            <v>201</v>
          </cell>
          <cell r="D5909">
            <v>13</v>
          </cell>
          <cell r="E5909" t="str">
            <v>Less: Financial intermediation services indirectly measured (FISIM) (only to be deducted if FISIM is not distributed to uses)</v>
          </cell>
          <cell r="F5909">
            <v>0</v>
          </cell>
          <cell r="G5909">
            <v>1971</v>
          </cell>
          <cell r="H5909">
            <v>200</v>
          </cell>
          <cell r="I5909">
            <v>3842784850.9266701</v>
          </cell>
        </row>
        <row r="5910">
          <cell r="A5910" t="str">
            <v>France</v>
          </cell>
          <cell r="B5910">
            <v>250</v>
          </cell>
          <cell r="C5910">
            <v>201</v>
          </cell>
          <cell r="D5910">
            <v>13</v>
          </cell>
          <cell r="E5910" t="str">
            <v>Less: Financial intermediation services indirectly measured (FISIM) (only to be deducted if FISIM is not distributed to uses)</v>
          </cell>
          <cell r="F5910">
            <v>0</v>
          </cell>
          <cell r="G5910">
            <v>1972</v>
          </cell>
          <cell r="H5910">
            <v>200</v>
          </cell>
          <cell r="I5910">
            <v>4071142626.9137802</v>
          </cell>
        </row>
        <row r="5911">
          <cell r="A5911" t="str">
            <v>France</v>
          </cell>
          <cell r="B5911">
            <v>250</v>
          </cell>
          <cell r="C5911">
            <v>201</v>
          </cell>
          <cell r="D5911">
            <v>13</v>
          </cell>
          <cell r="E5911" t="str">
            <v>Less: Financial intermediation services indirectly measured (FISIM) (only to be deducted if FISIM is not distributed to uses)</v>
          </cell>
          <cell r="F5911">
            <v>0</v>
          </cell>
          <cell r="G5911">
            <v>1973</v>
          </cell>
          <cell r="H5911">
            <v>200</v>
          </cell>
          <cell r="I5911">
            <v>5163887187.7518101</v>
          </cell>
        </row>
        <row r="5912">
          <cell r="A5912" t="str">
            <v>France</v>
          </cell>
          <cell r="B5912">
            <v>250</v>
          </cell>
          <cell r="C5912">
            <v>201</v>
          </cell>
          <cell r="D5912">
            <v>13</v>
          </cell>
          <cell r="E5912" t="str">
            <v>Less: Financial intermediation services indirectly measured (FISIM) (only to be deducted if FISIM is not distributed to uses)</v>
          </cell>
          <cell r="F5912">
            <v>0</v>
          </cell>
          <cell r="G5912">
            <v>1974</v>
          </cell>
          <cell r="H5912">
            <v>200</v>
          </cell>
          <cell r="I5912">
            <v>6949440773.5697002</v>
          </cell>
        </row>
        <row r="5913">
          <cell r="A5913" t="str">
            <v>France</v>
          </cell>
          <cell r="B5913">
            <v>250</v>
          </cell>
          <cell r="C5913">
            <v>201</v>
          </cell>
          <cell r="D5913">
            <v>13</v>
          </cell>
          <cell r="E5913" t="str">
            <v>Less: Financial intermediation services indirectly measured (FISIM) (only to be deducted if FISIM is not distributed to uses)</v>
          </cell>
          <cell r="F5913">
            <v>0</v>
          </cell>
          <cell r="G5913">
            <v>1975</v>
          </cell>
          <cell r="H5913">
            <v>200</v>
          </cell>
          <cell r="I5913">
            <v>7233650282.0306196</v>
          </cell>
        </row>
        <row r="5914">
          <cell r="A5914" t="str">
            <v>France</v>
          </cell>
          <cell r="B5914">
            <v>250</v>
          </cell>
          <cell r="C5914">
            <v>201</v>
          </cell>
          <cell r="D5914">
            <v>13</v>
          </cell>
          <cell r="E5914" t="str">
            <v>Less: Financial intermediation services indirectly measured (FISIM) (only to be deducted if FISIM is not distributed to uses)</v>
          </cell>
          <cell r="F5914">
            <v>0</v>
          </cell>
          <cell r="G5914">
            <v>1976</v>
          </cell>
          <cell r="H5914">
            <v>200</v>
          </cell>
          <cell r="I5914">
            <v>8198291700.2417402</v>
          </cell>
        </row>
        <row r="5915">
          <cell r="A5915" t="str">
            <v>France</v>
          </cell>
          <cell r="B5915">
            <v>250</v>
          </cell>
          <cell r="C5915">
            <v>201</v>
          </cell>
          <cell r="D5915">
            <v>13</v>
          </cell>
          <cell r="E5915" t="str">
            <v>Less: Financial intermediation services indirectly measured (FISIM) (only to be deducted if FISIM is not distributed to uses)</v>
          </cell>
          <cell r="F5915">
            <v>0</v>
          </cell>
          <cell r="G5915">
            <v>1977</v>
          </cell>
          <cell r="H5915">
            <v>200</v>
          </cell>
          <cell r="I5915">
            <v>9672406124.0934696</v>
          </cell>
        </row>
        <row r="5916">
          <cell r="A5916" t="str">
            <v>France</v>
          </cell>
          <cell r="B5916">
            <v>250</v>
          </cell>
          <cell r="C5916">
            <v>201</v>
          </cell>
          <cell r="D5916">
            <v>13</v>
          </cell>
          <cell r="E5916" t="str">
            <v>Less: Financial intermediation services indirectly measured (FISIM) (only to be deducted if FISIM is not distributed to uses)</v>
          </cell>
          <cell r="F5916">
            <v>0</v>
          </cell>
          <cell r="G5916">
            <v>1978</v>
          </cell>
          <cell r="H5916">
            <v>200</v>
          </cell>
          <cell r="I5916">
            <v>10752000000</v>
          </cell>
        </row>
        <row r="5917">
          <cell r="A5917" t="str">
            <v>France</v>
          </cell>
          <cell r="B5917">
            <v>250</v>
          </cell>
          <cell r="C5917">
            <v>201</v>
          </cell>
          <cell r="D5917">
            <v>13</v>
          </cell>
          <cell r="E5917" t="str">
            <v>Less: Financial intermediation services indirectly measured (FISIM) (only to be deducted if FISIM is not distributed to uses)</v>
          </cell>
          <cell r="F5917">
            <v>0</v>
          </cell>
          <cell r="G5917">
            <v>1979</v>
          </cell>
          <cell r="H5917">
            <v>200</v>
          </cell>
          <cell r="I5917">
            <v>12480000000</v>
          </cell>
        </row>
        <row r="5918">
          <cell r="A5918" t="str">
            <v>France</v>
          </cell>
          <cell r="B5918">
            <v>250</v>
          </cell>
          <cell r="C5918">
            <v>201</v>
          </cell>
          <cell r="D5918">
            <v>13</v>
          </cell>
          <cell r="E5918" t="str">
            <v>Less: Financial intermediation services indirectly measured (FISIM) (only to be deducted if FISIM is not distributed to uses)</v>
          </cell>
          <cell r="F5918">
            <v>0</v>
          </cell>
          <cell r="G5918">
            <v>1980</v>
          </cell>
          <cell r="H5918">
            <v>200</v>
          </cell>
          <cell r="I5918">
            <v>15557000000</v>
          </cell>
        </row>
        <row r="5919">
          <cell r="A5919" t="str">
            <v>France</v>
          </cell>
          <cell r="B5919">
            <v>250</v>
          </cell>
          <cell r="C5919">
            <v>201</v>
          </cell>
          <cell r="D5919">
            <v>13</v>
          </cell>
          <cell r="E5919" t="str">
            <v>Less: Financial intermediation services indirectly measured (FISIM) (only to be deducted if FISIM is not distributed to uses)</v>
          </cell>
          <cell r="F5919">
            <v>0</v>
          </cell>
          <cell r="G5919">
            <v>1981</v>
          </cell>
          <cell r="H5919">
            <v>200</v>
          </cell>
          <cell r="I5919">
            <v>18133000000</v>
          </cell>
        </row>
        <row r="5920">
          <cell r="A5920" t="str">
            <v>France</v>
          </cell>
          <cell r="B5920">
            <v>250</v>
          </cell>
          <cell r="C5920">
            <v>201</v>
          </cell>
          <cell r="D5920">
            <v>13</v>
          </cell>
          <cell r="E5920" t="str">
            <v>Less: Financial intermediation services indirectly measured (FISIM) (only to be deducted if FISIM is not distributed to uses)</v>
          </cell>
          <cell r="F5920">
            <v>0</v>
          </cell>
          <cell r="G5920">
            <v>1982</v>
          </cell>
          <cell r="H5920">
            <v>200</v>
          </cell>
          <cell r="I5920">
            <v>21482000000</v>
          </cell>
        </row>
        <row r="5921">
          <cell r="A5921" t="str">
            <v>France</v>
          </cell>
          <cell r="B5921">
            <v>250</v>
          </cell>
          <cell r="C5921">
            <v>201</v>
          </cell>
          <cell r="D5921">
            <v>13</v>
          </cell>
          <cell r="E5921" t="str">
            <v>Less: Financial intermediation services indirectly measured (FISIM) (only to be deducted if FISIM is not distributed to uses)</v>
          </cell>
          <cell r="F5921">
            <v>0</v>
          </cell>
          <cell r="G5921">
            <v>1983</v>
          </cell>
          <cell r="H5921">
            <v>200</v>
          </cell>
          <cell r="I5921">
            <v>23697000000</v>
          </cell>
        </row>
        <row r="5922">
          <cell r="A5922" t="str">
            <v>France</v>
          </cell>
          <cell r="B5922">
            <v>250</v>
          </cell>
          <cell r="C5922">
            <v>201</v>
          </cell>
          <cell r="D5922">
            <v>13</v>
          </cell>
          <cell r="E5922" t="str">
            <v>Less: Financial intermediation services indirectly measured (FISIM) (only to be deducted if FISIM is not distributed to uses)</v>
          </cell>
          <cell r="F5922">
            <v>0</v>
          </cell>
          <cell r="G5922">
            <v>1984</v>
          </cell>
          <cell r="H5922">
            <v>200</v>
          </cell>
          <cell r="I5922">
            <v>25657000000</v>
          </cell>
        </row>
        <row r="5923">
          <cell r="A5923" t="str">
            <v>France</v>
          </cell>
          <cell r="B5923">
            <v>250</v>
          </cell>
          <cell r="C5923">
            <v>201</v>
          </cell>
          <cell r="D5923">
            <v>13</v>
          </cell>
          <cell r="E5923" t="str">
            <v>Less: Financial intermediation services indirectly measured (FISIM) (only to be deducted if FISIM is not distributed to uses)</v>
          </cell>
          <cell r="F5923">
            <v>0</v>
          </cell>
          <cell r="G5923">
            <v>1985</v>
          </cell>
          <cell r="H5923">
            <v>200</v>
          </cell>
          <cell r="I5923">
            <v>28123000000</v>
          </cell>
        </row>
        <row r="5924">
          <cell r="A5924" t="str">
            <v>France</v>
          </cell>
          <cell r="B5924">
            <v>250</v>
          </cell>
          <cell r="C5924">
            <v>201</v>
          </cell>
          <cell r="D5924">
            <v>13</v>
          </cell>
          <cell r="E5924" t="str">
            <v>Less: Financial intermediation services indirectly measured (FISIM) (only to be deducted if FISIM is not distributed to uses)</v>
          </cell>
          <cell r="F5924">
            <v>0</v>
          </cell>
          <cell r="G5924">
            <v>1986</v>
          </cell>
          <cell r="H5924">
            <v>200</v>
          </cell>
          <cell r="I5924">
            <v>32665000000</v>
          </cell>
        </row>
        <row r="5925">
          <cell r="A5925" t="str">
            <v>France</v>
          </cell>
          <cell r="B5925">
            <v>250</v>
          </cell>
          <cell r="C5925">
            <v>201</v>
          </cell>
          <cell r="D5925">
            <v>13</v>
          </cell>
          <cell r="E5925" t="str">
            <v>Less: Financial intermediation services indirectly measured (FISIM) (only to be deducted if FISIM is not distributed to uses)</v>
          </cell>
          <cell r="F5925">
            <v>0</v>
          </cell>
          <cell r="G5925">
            <v>1987</v>
          </cell>
          <cell r="H5925">
            <v>200</v>
          </cell>
          <cell r="I5925">
            <v>36004000000</v>
          </cell>
        </row>
        <row r="5926">
          <cell r="A5926" t="str">
            <v>France</v>
          </cell>
          <cell r="B5926">
            <v>250</v>
          </cell>
          <cell r="C5926">
            <v>201</v>
          </cell>
          <cell r="D5926">
            <v>13</v>
          </cell>
          <cell r="E5926" t="str">
            <v>Less: Financial intermediation services indirectly measured (FISIM) (only to be deducted if FISIM is not distributed to uses)</v>
          </cell>
          <cell r="F5926">
            <v>0</v>
          </cell>
          <cell r="G5926">
            <v>1988</v>
          </cell>
          <cell r="H5926">
            <v>200</v>
          </cell>
          <cell r="I5926">
            <v>38603000000</v>
          </cell>
        </row>
        <row r="5927">
          <cell r="A5927" t="str">
            <v>France</v>
          </cell>
          <cell r="B5927">
            <v>250</v>
          </cell>
          <cell r="C5927">
            <v>201</v>
          </cell>
          <cell r="D5927">
            <v>13</v>
          </cell>
          <cell r="E5927" t="str">
            <v>Less: Financial intermediation services indirectly measured (FISIM) (only to be deducted if FISIM is not distributed to uses)</v>
          </cell>
          <cell r="F5927">
            <v>0</v>
          </cell>
          <cell r="G5927">
            <v>1989</v>
          </cell>
          <cell r="H5927">
            <v>200</v>
          </cell>
          <cell r="I5927">
            <v>40997000000</v>
          </cell>
        </row>
        <row r="5928">
          <cell r="A5928" t="str">
            <v>France</v>
          </cell>
          <cell r="B5928">
            <v>250</v>
          </cell>
          <cell r="C5928">
            <v>201</v>
          </cell>
          <cell r="D5928">
            <v>13</v>
          </cell>
          <cell r="E5928" t="str">
            <v>Less: Financial intermediation services indirectly measured (FISIM) (only to be deducted if FISIM is not distributed to uses)</v>
          </cell>
          <cell r="F5928">
            <v>0</v>
          </cell>
          <cell r="G5928">
            <v>1990</v>
          </cell>
          <cell r="H5928">
            <v>200</v>
          </cell>
          <cell r="I5928">
            <v>41788000000</v>
          </cell>
        </row>
        <row r="5929">
          <cell r="A5929" t="str">
            <v>France</v>
          </cell>
          <cell r="B5929">
            <v>250</v>
          </cell>
          <cell r="C5929">
            <v>201</v>
          </cell>
          <cell r="D5929">
            <v>13</v>
          </cell>
          <cell r="E5929" t="str">
            <v>Less: Financial intermediation services indirectly measured (FISIM) (only to be deducted if FISIM is not distributed to uses)</v>
          </cell>
          <cell r="F5929">
            <v>0</v>
          </cell>
          <cell r="G5929">
            <v>1991</v>
          </cell>
          <cell r="H5929">
            <v>200</v>
          </cell>
          <cell r="I5929">
            <v>40864000000</v>
          </cell>
        </row>
        <row r="5930">
          <cell r="A5930" t="str">
            <v>France</v>
          </cell>
          <cell r="B5930">
            <v>250</v>
          </cell>
          <cell r="C5930">
            <v>201</v>
          </cell>
          <cell r="D5930">
            <v>13</v>
          </cell>
          <cell r="E5930" t="str">
            <v>Less: Financial intermediation services indirectly measured (FISIM) (only to be deducted if FISIM is not distributed to uses)</v>
          </cell>
          <cell r="F5930">
            <v>0</v>
          </cell>
          <cell r="G5930">
            <v>1992</v>
          </cell>
          <cell r="H5930">
            <v>200</v>
          </cell>
          <cell r="I5930">
            <v>41050000000</v>
          </cell>
        </row>
        <row r="5931">
          <cell r="A5931" t="str">
            <v>France</v>
          </cell>
          <cell r="B5931">
            <v>250</v>
          </cell>
          <cell r="C5931">
            <v>201</v>
          </cell>
          <cell r="D5931">
            <v>13</v>
          </cell>
          <cell r="E5931" t="str">
            <v>Less: Financial intermediation services indirectly measured (FISIM) (only to be deducted if FISIM is not distributed to uses)</v>
          </cell>
          <cell r="F5931">
            <v>0</v>
          </cell>
          <cell r="G5931">
            <v>1993</v>
          </cell>
          <cell r="H5931">
            <v>200</v>
          </cell>
          <cell r="I5931">
            <v>40388000000</v>
          </cell>
        </row>
        <row r="5932">
          <cell r="A5932" t="str">
            <v>France</v>
          </cell>
          <cell r="B5932">
            <v>250</v>
          </cell>
          <cell r="C5932">
            <v>201</v>
          </cell>
          <cell r="D5932">
            <v>13</v>
          </cell>
          <cell r="E5932" t="str">
            <v>Less: Financial intermediation services indirectly measured (FISIM) (only to be deducted if FISIM is not distributed to uses)</v>
          </cell>
          <cell r="F5932">
            <v>0</v>
          </cell>
          <cell r="G5932">
            <v>1994</v>
          </cell>
          <cell r="H5932">
            <v>200</v>
          </cell>
          <cell r="I5932">
            <v>42042000000</v>
          </cell>
        </row>
        <row r="5933">
          <cell r="A5933" t="str">
            <v>France</v>
          </cell>
          <cell r="B5933">
            <v>250</v>
          </cell>
          <cell r="C5933">
            <v>201</v>
          </cell>
          <cell r="D5933">
            <v>13</v>
          </cell>
          <cell r="E5933" t="str">
            <v>Less: Financial intermediation services indirectly measured (FISIM) (only to be deducted if FISIM is not distributed to uses)</v>
          </cell>
          <cell r="F5933">
            <v>0</v>
          </cell>
          <cell r="G5933">
            <v>1995</v>
          </cell>
          <cell r="H5933">
            <v>200</v>
          </cell>
          <cell r="I5933">
            <v>39507000000</v>
          </cell>
        </row>
        <row r="5934">
          <cell r="A5934" t="str">
            <v>France</v>
          </cell>
          <cell r="B5934">
            <v>250</v>
          </cell>
          <cell r="C5934">
            <v>201</v>
          </cell>
          <cell r="D5934">
            <v>13</v>
          </cell>
          <cell r="E5934" t="str">
            <v>Less: Financial intermediation services indirectly measured (FISIM) (only to be deducted if FISIM is not distributed to uses)</v>
          </cell>
          <cell r="F5934">
            <v>0</v>
          </cell>
          <cell r="G5934">
            <v>1996</v>
          </cell>
          <cell r="H5934">
            <v>200</v>
          </cell>
          <cell r="I5934">
            <v>39963000000</v>
          </cell>
        </row>
        <row r="5935">
          <cell r="A5935" t="str">
            <v>France</v>
          </cell>
          <cell r="B5935">
            <v>250</v>
          </cell>
          <cell r="C5935">
            <v>201</v>
          </cell>
          <cell r="D5935">
            <v>13</v>
          </cell>
          <cell r="E5935" t="str">
            <v>Less: Financial intermediation services indirectly measured (FISIM) (only to be deducted if FISIM is not distributed to uses)</v>
          </cell>
          <cell r="F5935">
            <v>0</v>
          </cell>
          <cell r="G5935">
            <v>1997</v>
          </cell>
          <cell r="H5935">
            <v>200</v>
          </cell>
          <cell r="I5935">
            <v>36426000000</v>
          </cell>
        </row>
        <row r="5936">
          <cell r="A5936" t="str">
            <v>France</v>
          </cell>
          <cell r="B5936">
            <v>250</v>
          </cell>
          <cell r="C5936">
            <v>201</v>
          </cell>
          <cell r="D5936">
            <v>13</v>
          </cell>
          <cell r="E5936" t="str">
            <v>Less: Financial intermediation services indirectly measured (FISIM) (only to be deducted if FISIM is not distributed to uses)</v>
          </cell>
          <cell r="F5936">
            <v>0</v>
          </cell>
          <cell r="G5936">
            <v>1998</v>
          </cell>
          <cell r="H5936">
            <v>200</v>
          </cell>
          <cell r="I5936">
            <v>34988000000</v>
          </cell>
        </row>
        <row r="5937">
          <cell r="A5937" t="str">
            <v>France</v>
          </cell>
          <cell r="B5937">
            <v>250</v>
          </cell>
          <cell r="C5937">
            <v>201</v>
          </cell>
          <cell r="D5937">
            <v>13</v>
          </cell>
          <cell r="E5937" t="str">
            <v>Less: Financial intermediation services indirectly measured (FISIM) (only to be deducted if FISIM is not distributed to uses)</v>
          </cell>
          <cell r="F5937">
            <v>0</v>
          </cell>
          <cell r="G5937">
            <v>1999</v>
          </cell>
          <cell r="H5937">
            <v>200</v>
          </cell>
          <cell r="I5937">
            <v>35225000000</v>
          </cell>
        </row>
        <row r="5938">
          <cell r="A5938" t="str">
            <v>France</v>
          </cell>
          <cell r="B5938">
            <v>250</v>
          </cell>
          <cell r="C5938">
            <v>201</v>
          </cell>
          <cell r="D5938">
            <v>13</v>
          </cell>
          <cell r="E5938" t="str">
            <v>Less: Financial intermediation services indirectly measured (FISIM) (only to be deducted if FISIM is not distributed to uses)</v>
          </cell>
          <cell r="F5938">
            <v>0</v>
          </cell>
          <cell r="G5938">
            <v>2000</v>
          </cell>
          <cell r="H5938">
            <v>200</v>
          </cell>
          <cell r="I5938">
            <v>37319000000</v>
          </cell>
        </row>
        <row r="5939">
          <cell r="A5939" t="str">
            <v>France</v>
          </cell>
          <cell r="B5939">
            <v>250</v>
          </cell>
          <cell r="C5939">
            <v>201</v>
          </cell>
          <cell r="D5939">
            <v>13</v>
          </cell>
          <cell r="E5939" t="str">
            <v>Less: Financial intermediation services indirectly measured (FISIM) (only to be deducted if FISIM is not distributed to uses)</v>
          </cell>
          <cell r="F5939">
            <v>0</v>
          </cell>
          <cell r="G5939">
            <v>2001</v>
          </cell>
          <cell r="H5939">
            <v>200</v>
          </cell>
          <cell r="I5939">
            <v>36521000000</v>
          </cell>
        </row>
        <row r="5940">
          <cell r="A5940" t="str">
            <v>France</v>
          </cell>
          <cell r="B5940">
            <v>250</v>
          </cell>
          <cell r="C5940">
            <v>201</v>
          </cell>
          <cell r="D5940">
            <v>13</v>
          </cell>
          <cell r="E5940" t="str">
            <v>Less: Financial intermediation services indirectly measured (FISIM) (only to be deducted if FISIM is not distributed to uses)</v>
          </cell>
          <cell r="F5940">
            <v>0</v>
          </cell>
          <cell r="G5940">
            <v>2002</v>
          </cell>
          <cell r="H5940">
            <v>200</v>
          </cell>
          <cell r="I5940">
            <v>39553000000</v>
          </cell>
        </row>
        <row r="5941">
          <cell r="A5941" t="str">
            <v>France</v>
          </cell>
          <cell r="B5941">
            <v>250</v>
          </cell>
          <cell r="C5941">
            <v>201</v>
          </cell>
          <cell r="D5941">
            <v>13</v>
          </cell>
          <cell r="E5941" t="str">
            <v>Less: Financial intermediation services indirectly measured (FISIM) (only to be deducted if FISIM is not distributed to uses)</v>
          </cell>
          <cell r="F5941">
            <v>0</v>
          </cell>
          <cell r="G5941">
            <v>2003</v>
          </cell>
          <cell r="H5941">
            <v>200</v>
          </cell>
          <cell r="I5941">
            <v>41291000000</v>
          </cell>
        </row>
        <row r="5942">
          <cell r="A5942" t="str">
            <v>France</v>
          </cell>
          <cell r="B5942">
            <v>250</v>
          </cell>
          <cell r="C5942">
            <v>203</v>
          </cell>
          <cell r="D5942">
            <v>3</v>
          </cell>
          <cell r="E5942" t="str">
            <v>Equals: VALUE ADDED, GROSS, at basic prices</v>
          </cell>
          <cell r="F5942">
            <v>12</v>
          </cell>
          <cell r="G5942">
            <v>1977</v>
          </cell>
          <cell r="H5942">
            <v>30</v>
          </cell>
          <cell r="I5942">
            <v>1826474000000</v>
          </cell>
        </row>
        <row r="5943">
          <cell r="A5943" t="str">
            <v>France</v>
          </cell>
          <cell r="B5943">
            <v>250</v>
          </cell>
          <cell r="C5943">
            <v>203</v>
          </cell>
          <cell r="D5943">
            <v>3</v>
          </cell>
          <cell r="E5943" t="str">
            <v>Equals: VALUE ADDED, GROSS, at basic prices</v>
          </cell>
          <cell r="F5943">
            <v>12</v>
          </cell>
          <cell r="G5943">
            <v>1978</v>
          </cell>
          <cell r="H5943">
            <v>30</v>
          </cell>
          <cell r="I5943">
            <v>2074655000000</v>
          </cell>
        </row>
        <row r="5944">
          <cell r="A5944" t="str">
            <v>France</v>
          </cell>
          <cell r="B5944">
            <v>250</v>
          </cell>
          <cell r="C5944">
            <v>203</v>
          </cell>
          <cell r="D5944">
            <v>3</v>
          </cell>
          <cell r="E5944" t="str">
            <v>Equals: VALUE ADDED, GROSS, at basic prices</v>
          </cell>
          <cell r="F5944">
            <v>12</v>
          </cell>
          <cell r="G5944">
            <v>1978</v>
          </cell>
          <cell r="H5944">
            <v>200</v>
          </cell>
          <cell r="I5944">
            <v>316937000000</v>
          </cell>
        </row>
        <row r="5945">
          <cell r="A5945" t="str">
            <v>France</v>
          </cell>
          <cell r="B5945">
            <v>250</v>
          </cell>
          <cell r="C5945">
            <v>203</v>
          </cell>
          <cell r="D5945">
            <v>3</v>
          </cell>
          <cell r="E5945" t="str">
            <v>Equals: VALUE ADDED, GROSS, at basic prices</v>
          </cell>
          <cell r="F5945">
            <v>12</v>
          </cell>
          <cell r="G5945">
            <v>1979</v>
          </cell>
          <cell r="H5945">
            <v>200</v>
          </cell>
          <cell r="I5945">
            <v>357762000000</v>
          </cell>
        </row>
        <row r="5946">
          <cell r="A5946" t="str">
            <v>France</v>
          </cell>
          <cell r="B5946">
            <v>250</v>
          </cell>
          <cell r="C5946">
            <v>203</v>
          </cell>
          <cell r="D5946">
            <v>3</v>
          </cell>
          <cell r="E5946" t="str">
            <v>Equals: VALUE ADDED, GROSS, at basic prices</v>
          </cell>
          <cell r="F5946">
            <v>12</v>
          </cell>
          <cell r="G5946">
            <v>1980</v>
          </cell>
          <cell r="H5946">
            <v>200</v>
          </cell>
          <cell r="I5946">
            <v>407287000000</v>
          </cell>
        </row>
        <row r="5947">
          <cell r="A5947" t="str">
            <v>France</v>
          </cell>
          <cell r="B5947">
            <v>250</v>
          </cell>
          <cell r="C5947">
            <v>203</v>
          </cell>
          <cell r="D5947">
            <v>3</v>
          </cell>
          <cell r="E5947" t="str">
            <v>Equals: VALUE ADDED, GROSS, at basic prices</v>
          </cell>
          <cell r="F5947">
            <v>12</v>
          </cell>
          <cell r="G5947">
            <v>1981</v>
          </cell>
          <cell r="H5947">
            <v>200</v>
          </cell>
          <cell r="I5947">
            <v>458898000000</v>
          </cell>
        </row>
        <row r="5948">
          <cell r="A5948" t="str">
            <v>France</v>
          </cell>
          <cell r="B5948">
            <v>250</v>
          </cell>
          <cell r="C5948">
            <v>203</v>
          </cell>
          <cell r="D5948">
            <v>3</v>
          </cell>
          <cell r="E5948" t="str">
            <v>Equals: VALUE ADDED, GROSS, at basic prices</v>
          </cell>
          <cell r="F5948">
            <v>12</v>
          </cell>
          <cell r="G5948">
            <v>1982</v>
          </cell>
          <cell r="H5948">
            <v>200</v>
          </cell>
          <cell r="I5948">
            <v>525222000000</v>
          </cell>
        </row>
        <row r="5949">
          <cell r="A5949" t="str">
            <v>France</v>
          </cell>
          <cell r="B5949">
            <v>250</v>
          </cell>
          <cell r="C5949">
            <v>203</v>
          </cell>
          <cell r="D5949">
            <v>3</v>
          </cell>
          <cell r="E5949" t="str">
            <v>Equals: VALUE ADDED, GROSS, at basic prices</v>
          </cell>
          <cell r="F5949">
            <v>12</v>
          </cell>
          <cell r="G5949">
            <v>1983</v>
          </cell>
          <cell r="H5949">
            <v>200</v>
          </cell>
          <cell r="I5949">
            <v>580878000000</v>
          </cell>
        </row>
        <row r="5950">
          <cell r="A5950" t="str">
            <v>France</v>
          </cell>
          <cell r="B5950">
            <v>250</v>
          </cell>
          <cell r="C5950">
            <v>203</v>
          </cell>
          <cell r="D5950">
            <v>3</v>
          </cell>
          <cell r="E5950" t="str">
            <v>Equals: VALUE ADDED, GROSS, at basic prices</v>
          </cell>
          <cell r="F5950">
            <v>12</v>
          </cell>
          <cell r="G5950">
            <v>1984</v>
          </cell>
          <cell r="H5950">
            <v>200</v>
          </cell>
          <cell r="I5950">
            <v>631319000000</v>
          </cell>
        </row>
        <row r="5951">
          <cell r="A5951" t="str">
            <v>France</v>
          </cell>
          <cell r="B5951">
            <v>250</v>
          </cell>
          <cell r="C5951">
            <v>203</v>
          </cell>
          <cell r="D5951">
            <v>3</v>
          </cell>
          <cell r="E5951" t="str">
            <v>Equals: VALUE ADDED, GROSS, at basic prices</v>
          </cell>
          <cell r="F5951">
            <v>12</v>
          </cell>
          <cell r="G5951">
            <v>1985</v>
          </cell>
          <cell r="H5951">
            <v>200</v>
          </cell>
          <cell r="I5951">
            <v>674357000000</v>
          </cell>
        </row>
        <row r="5952">
          <cell r="A5952" t="str">
            <v>France</v>
          </cell>
          <cell r="B5952">
            <v>250</v>
          </cell>
          <cell r="C5952">
            <v>203</v>
          </cell>
          <cell r="D5952">
            <v>3</v>
          </cell>
          <cell r="E5952" t="str">
            <v>Equals: VALUE ADDED, GROSS, at basic prices</v>
          </cell>
          <cell r="F5952">
            <v>12</v>
          </cell>
          <cell r="G5952">
            <v>1986</v>
          </cell>
          <cell r="H5952">
            <v>200</v>
          </cell>
          <cell r="I5952">
            <v>729880000000</v>
          </cell>
        </row>
        <row r="5953">
          <cell r="A5953" t="str">
            <v>France</v>
          </cell>
          <cell r="B5953">
            <v>250</v>
          </cell>
          <cell r="C5953">
            <v>203</v>
          </cell>
          <cell r="D5953">
            <v>3</v>
          </cell>
          <cell r="E5953" t="str">
            <v>Equals: VALUE ADDED, GROSS, at basic prices</v>
          </cell>
          <cell r="F5953">
            <v>12</v>
          </cell>
          <cell r="G5953">
            <v>1987</v>
          </cell>
          <cell r="H5953">
            <v>200</v>
          </cell>
          <cell r="I5953">
            <v>770799000000</v>
          </cell>
        </row>
        <row r="5954">
          <cell r="A5954" t="str">
            <v>France</v>
          </cell>
          <cell r="B5954">
            <v>250</v>
          </cell>
          <cell r="C5954">
            <v>203</v>
          </cell>
          <cell r="D5954">
            <v>3</v>
          </cell>
          <cell r="E5954" t="str">
            <v>Equals: VALUE ADDED, GROSS, at basic prices</v>
          </cell>
          <cell r="F5954">
            <v>12</v>
          </cell>
          <cell r="G5954">
            <v>1988</v>
          </cell>
          <cell r="H5954">
            <v>200</v>
          </cell>
          <cell r="I5954">
            <v>829185000000</v>
          </cell>
        </row>
        <row r="5955">
          <cell r="A5955" t="str">
            <v>France</v>
          </cell>
          <cell r="B5955">
            <v>250</v>
          </cell>
          <cell r="C5955">
            <v>203</v>
          </cell>
          <cell r="D5955">
            <v>3</v>
          </cell>
          <cell r="E5955" t="str">
            <v>Equals: VALUE ADDED, GROSS, at basic prices</v>
          </cell>
          <cell r="F5955">
            <v>12</v>
          </cell>
          <cell r="G5955">
            <v>1989</v>
          </cell>
          <cell r="H5955">
            <v>200</v>
          </cell>
          <cell r="I5955">
            <v>892383000000</v>
          </cell>
        </row>
        <row r="5956">
          <cell r="A5956" t="str">
            <v>France</v>
          </cell>
          <cell r="B5956">
            <v>250</v>
          </cell>
          <cell r="C5956">
            <v>203</v>
          </cell>
          <cell r="D5956">
            <v>3</v>
          </cell>
          <cell r="E5956" t="str">
            <v>Equals: VALUE ADDED, GROSS, at basic prices</v>
          </cell>
          <cell r="F5956">
            <v>12</v>
          </cell>
          <cell r="G5956">
            <v>1990</v>
          </cell>
          <cell r="H5956">
            <v>200</v>
          </cell>
          <cell r="I5956">
            <v>943020000000</v>
          </cell>
        </row>
        <row r="5957">
          <cell r="A5957" t="str">
            <v>France</v>
          </cell>
          <cell r="B5957">
            <v>250</v>
          </cell>
          <cell r="C5957">
            <v>203</v>
          </cell>
          <cell r="D5957">
            <v>3</v>
          </cell>
          <cell r="E5957" t="str">
            <v>Equals: VALUE ADDED, GROSS, at basic prices</v>
          </cell>
          <cell r="F5957">
            <v>12</v>
          </cell>
          <cell r="G5957">
            <v>1991</v>
          </cell>
          <cell r="H5957">
            <v>200</v>
          </cell>
          <cell r="I5957">
            <v>979768000000</v>
          </cell>
        </row>
        <row r="5958">
          <cell r="A5958" t="str">
            <v>France</v>
          </cell>
          <cell r="B5958">
            <v>250</v>
          </cell>
          <cell r="C5958">
            <v>203</v>
          </cell>
          <cell r="D5958">
            <v>3</v>
          </cell>
          <cell r="E5958" t="str">
            <v>Equals: VALUE ADDED, GROSS, at basic prices</v>
          </cell>
          <cell r="F5958">
            <v>12</v>
          </cell>
          <cell r="G5958">
            <v>1992</v>
          </cell>
          <cell r="H5958">
            <v>200</v>
          </cell>
          <cell r="I5958">
            <v>1018053000000</v>
          </cell>
        </row>
        <row r="5959">
          <cell r="A5959" t="str">
            <v>France</v>
          </cell>
          <cell r="B5959">
            <v>250</v>
          </cell>
          <cell r="C5959">
            <v>203</v>
          </cell>
          <cell r="D5959">
            <v>3</v>
          </cell>
          <cell r="E5959" t="str">
            <v>Equals: VALUE ADDED, GROSS, at basic prices</v>
          </cell>
          <cell r="F5959">
            <v>12</v>
          </cell>
          <cell r="G5959">
            <v>1993</v>
          </cell>
          <cell r="H5959">
            <v>200</v>
          </cell>
          <cell r="I5959">
            <v>1031800000000</v>
          </cell>
        </row>
        <row r="5960">
          <cell r="A5960" t="str">
            <v>France</v>
          </cell>
          <cell r="B5960">
            <v>250</v>
          </cell>
          <cell r="C5960">
            <v>203</v>
          </cell>
          <cell r="D5960">
            <v>3</v>
          </cell>
          <cell r="E5960" t="str">
            <v>Equals: VALUE ADDED, GROSS, at basic prices</v>
          </cell>
          <cell r="F5960">
            <v>12</v>
          </cell>
          <cell r="G5960">
            <v>1994</v>
          </cell>
          <cell r="H5960">
            <v>200</v>
          </cell>
          <cell r="I5960">
            <v>1064361000000</v>
          </cell>
        </row>
        <row r="5961">
          <cell r="A5961" t="str">
            <v>France</v>
          </cell>
          <cell r="B5961">
            <v>250</v>
          </cell>
          <cell r="C5961">
            <v>203</v>
          </cell>
          <cell r="D5961">
            <v>3</v>
          </cell>
          <cell r="E5961" t="str">
            <v>Equals: VALUE ADDED, GROSS, at basic prices</v>
          </cell>
          <cell r="F5961">
            <v>12</v>
          </cell>
          <cell r="G5961">
            <v>1995</v>
          </cell>
          <cell r="H5961">
            <v>200</v>
          </cell>
          <cell r="I5961">
            <v>1095157000000</v>
          </cell>
        </row>
        <row r="5962">
          <cell r="A5962" t="str">
            <v>France</v>
          </cell>
          <cell r="B5962">
            <v>250</v>
          </cell>
          <cell r="C5962">
            <v>203</v>
          </cell>
          <cell r="D5962">
            <v>3</v>
          </cell>
          <cell r="E5962" t="str">
            <v>Equals: VALUE ADDED, GROSS, at basic prices</v>
          </cell>
          <cell r="F5962">
            <v>12</v>
          </cell>
          <cell r="G5962">
            <v>1996</v>
          </cell>
          <cell r="H5962">
            <v>200</v>
          </cell>
          <cell r="I5962">
            <v>1117556000000</v>
          </cell>
        </row>
        <row r="5963">
          <cell r="A5963" t="str">
            <v>France</v>
          </cell>
          <cell r="B5963">
            <v>250</v>
          </cell>
          <cell r="C5963">
            <v>203</v>
          </cell>
          <cell r="D5963">
            <v>3</v>
          </cell>
          <cell r="E5963" t="str">
            <v>Equals: VALUE ADDED, GROSS, at basic prices</v>
          </cell>
          <cell r="F5963">
            <v>12</v>
          </cell>
          <cell r="G5963">
            <v>1997</v>
          </cell>
          <cell r="H5963">
            <v>200</v>
          </cell>
          <cell r="I5963">
            <v>1150014000000</v>
          </cell>
        </row>
        <row r="5964">
          <cell r="A5964" t="str">
            <v>France</v>
          </cell>
          <cell r="B5964">
            <v>250</v>
          </cell>
          <cell r="C5964">
            <v>203</v>
          </cell>
          <cell r="D5964">
            <v>3</v>
          </cell>
          <cell r="E5964" t="str">
            <v>Equals: VALUE ADDED, GROSS, at basic prices</v>
          </cell>
          <cell r="F5964">
            <v>12</v>
          </cell>
          <cell r="G5964">
            <v>1998</v>
          </cell>
          <cell r="H5964">
            <v>200</v>
          </cell>
          <cell r="I5964">
            <v>1197106000000</v>
          </cell>
        </row>
        <row r="5965">
          <cell r="A5965" t="str">
            <v>France</v>
          </cell>
          <cell r="B5965">
            <v>250</v>
          </cell>
          <cell r="C5965">
            <v>203</v>
          </cell>
          <cell r="D5965">
            <v>3</v>
          </cell>
          <cell r="E5965" t="str">
            <v>Equals: VALUE ADDED, GROSS, at basic prices</v>
          </cell>
          <cell r="F5965">
            <v>12</v>
          </cell>
          <cell r="G5965">
            <v>1999</v>
          </cell>
          <cell r="H5965">
            <v>200</v>
          </cell>
          <cell r="I5965">
            <v>1241789000000</v>
          </cell>
        </row>
        <row r="5966">
          <cell r="A5966" t="str">
            <v>France</v>
          </cell>
          <cell r="B5966">
            <v>250</v>
          </cell>
          <cell r="C5966">
            <v>203</v>
          </cell>
          <cell r="D5966">
            <v>3</v>
          </cell>
          <cell r="E5966" t="str">
            <v>Equals: VALUE ADDED, GROSS, at basic prices</v>
          </cell>
          <cell r="F5966">
            <v>12</v>
          </cell>
          <cell r="G5966">
            <v>2000</v>
          </cell>
          <cell r="H5966">
            <v>200</v>
          </cell>
          <cell r="I5966">
            <v>1305678000000</v>
          </cell>
        </row>
        <row r="5967">
          <cell r="A5967" t="str">
            <v>France</v>
          </cell>
          <cell r="B5967">
            <v>250</v>
          </cell>
          <cell r="C5967">
            <v>203</v>
          </cell>
          <cell r="D5967">
            <v>3</v>
          </cell>
          <cell r="E5967" t="str">
            <v>Equals: VALUE ADDED, GROSS, at basic prices</v>
          </cell>
          <cell r="F5967">
            <v>12</v>
          </cell>
          <cell r="G5967">
            <v>2001</v>
          </cell>
          <cell r="H5967">
            <v>200</v>
          </cell>
          <cell r="I5967">
            <v>1358915000000</v>
          </cell>
        </row>
        <row r="5968">
          <cell r="A5968" t="str">
            <v>France</v>
          </cell>
          <cell r="B5968">
            <v>250</v>
          </cell>
          <cell r="C5968">
            <v>203</v>
          </cell>
          <cell r="D5968">
            <v>3</v>
          </cell>
          <cell r="E5968" t="str">
            <v>Equals: VALUE ADDED, GROSS, at basic prices</v>
          </cell>
          <cell r="F5968">
            <v>12</v>
          </cell>
          <cell r="G5968">
            <v>2002</v>
          </cell>
          <cell r="H5968">
            <v>200</v>
          </cell>
          <cell r="I5968">
            <v>1407936000000</v>
          </cell>
        </row>
        <row r="5969">
          <cell r="A5969" t="str">
            <v>France</v>
          </cell>
          <cell r="B5969">
            <v>250</v>
          </cell>
          <cell r="C5969">
            <v>203</v>
          </cell>
          <cell r="D5969">
            <v>4</v>
          </cell>
          <cell r="E5969" t="str">
            <v>Compensation of employees</v>
          </cell>
          <cell r="F5969">
            <v>12</v>
          </cell>
          <cell r="G5969">
            <v>1977</v>
          </cell>
          <cell r="H5969">
            <v>30</v>
          </cell>
          <cell r="I5969">
            <v>1061181000000</v>
          </cell>
        </row>
        <row r="5970">
          <cell r="A5970" t="str">
            <v>France</v>
          </cell>
          <cell r="B5970">
            <v>250</v>
          </cell>
          <cell r="C5970">
            <v>203</v>
          </cell>
          <cell r="D5970">
            <v>4</v>
          </cell>
          <cell r="E5970" t="str">
            <v>Compensation of employees</v>
          </cell>
          <cell r="F5970">
            <v>12</v>
          </cell>
          <cell r="G5970">
            <v>1978</v>
          </cell>
          <cell r="H5970">
            <v>30</v>
          </cell>
          <cell r="I5970">
            <v>1203113000000</v>
          </cell>
        </row>
        <row r="5971">
          <cell r="A5971" t="str">
            <v>France</v>
          </cell>
          <cell r="B5971">
            <v>250</v>
          </cell>
          <cell r="C5971">
            <v>203</v>
          </cell>
          <cell r="D5971">
            <v>4</v>
          </cell>
          <cell r="E5971" t="str">
            <v>Compensation of employees</v>
          </cell>
          <cell r="F5971">
            <v>12</v>
          </cell>
          <cell r="G5971">
            <v>1978</v>
          </cell>
          <cell r="H5971">
            <v>200</v>
          </cell>
          <cell r="I5971">
            <v>189409000000</v>
          </cell>
        </row>
        <row r="5972">
          <cell r="A5972" t="str">
            <v>France</v>
          </cell>
          <cell r="B5972">
            <v>250</v>
          </cell>
          <cell r="C5972">
            <v>203</v>
          </cell>
          <cell r="D5972">
            <v>4</v>
          </cell>
          <cell r="E5972" t="str">
            <v>Compensation of employees</v>
          </cell>
          <cell r="F5972">
            <v>12</v>
          </cell>
          <cell r="G5972">
            <v>1979</v>
          </cell>
          <cell r="H5972">
            <v>200</v>
          </cell>
          <cell r="I5972">
            <v>215140000000</v>
          </cell>
        </row>
        <row r="5973">
          <cell r="A5973" t="str">
            <v>France</v>
          </cell>
          <cell r="B5973">
            <v>250</v>
          </cell>
          <cell r="C5973">
            <v>203</v>
          </cell>
          <cell r="D5973">
            <v>4</v>
          </cell>
          <cell r="E5973" t="str">
            <v>Compensation of employees</v>
          </cell>
          <cell r="F5973">
            <v>12</v>
          </cell>
          <cell r="G5973">
            <v>1980</v>
          </cell>
          <cell r="H5973">
            <v>200</v>
          </cell>
          <cell r="I5973">
            <v>247277000000</v>
          </cell>
        </row>
        <row r="5974">
          <cell r="A5974" t="str">
            <v>France</v>
          </cell>
          <cell r="B5974">
            <v>250</v>
          </cell>
          <cell r="C5974">
            <v>203</v>
          </cell>
          <cell r="D5974">
            <v>4</v>
          </cell>
          <cell r="E5974" t="str">
            <v>Compensation of employees</v>
          </cell>
          <cell r="F5974">
            <v>12</v>
          </cell>
          <cell r="G5974">
            <v>1981</v>
          </cell>
          <cell r="H5974">
            <v>200</v>
          </cell>
          <cell r="I5974">
            <v>280860000000</v>
          </cell>
        </row>
        <row r="5975">
          <cell r="A5975" t="str">
            <v>France</v>
          </cell>
          <cell r="B5975">
            <v>250</v>
          </cell>
          <cell r="C5975">
            <v>203</v>
          </cell>
          <cell r="D5975">
            <v>4</v>
          </cell>
          <cell r="E5975" t="str">
            <v>Compensation of employees</v>
          </cell>
          <cell r="F5975">
            <v>12</v>
          </cell>
          <cell r="G5975">
            <v>1982</v>
          </cell>
          <cell r="H5975">
            <v>200</v>
          </cell>
          <cell r="I5975">
            <v>322343000000</v>
          </cell>
        </row>
        <row r="5976">
          <cell r="A5976" t="str">
            <v>France</v>
          </cell>
          <cell r="B5976">
            <v>250</v>
          </cell>
          <cell r="C5976">
            <v>203</v>
          </cell>
          <cell r="D5976">
            <v>4</v>
          </cell>
          <cell r="E5976" t="str">
            <v>Compensation of employees</v>
          </cell>
          <cell r="F5976">
            <v>12</v>
          </cell>
          <cell r="G5976">
            <v>1983</v>
          </cell>
          <cell r="H5976">
            <v>200</v>
          </cell>
          <cell r="I5976">
            <v>354129000000</v>
          </cell>
        </row>
        <row r="5977">
          <cell r="A5977" t="str">
            <v>France</v>
          </cell>
          <cell r="B5977">
            <v>250</v>
          </cell>
          <cell r="C5977">
            <v>203</v>
          </cell>
          <cell r="D5977">
            <v>4</v>
          </cell>
          <cell r="E5977" t="str">
            <v>Compensation of employees</v>
          </cell>
          <cell r="F5977">
            <v>12</v>
          </cell>
          <cell r="G5977">
            <v>1984</v>
          </cell>
          <cell r="H5977">
            <v>200</v>
          </cell>
          <cell r="I5977">
            <v>380406000000</v>
          </cell>
        </row>
        <row r="5978">
          <cell r="A5978" t="str">
            <v>France</v>
          </cell>
          <cell r="B5978">
            <v>250</v>
          </cell>
          <cell r="C5978">
            <v>203</v>
          </cell>
          <cell r="D5978">
            <v>4</v>
          </cell>
          <cell r="E5978" t="str">
            <v>Compensation of employees</v>
          </cell>
          <cell r="F5978">
            <v>12</v>
          </cell>
          <cell r="G5978">
            <v>1985</v>
          </cell>
          <cell r="H5978">
            <v>200</v>
          </cell>
          <cell r="I5978">
            <v>403004000000</v>
          </cell>
        </row>
        <row r="5979">
          <cell r="A5979" t="str">
            <v>France</v>
          </cell>
          <cell r="B5979">
            <v>250</v>
          </cell>
          <cell r="C5979">
            <v>203</v>
          </cell>
          <cell r="D5979">
            <v>4</v>
          </cell>
          <cell r="E5979" t="str">
            <v>Compensation of employees</v>
          </cell>
          <cell r="F5979">
            <v>12</v>
          </cell>
          <cell r="G5979">
            <v>1986</v>
          </cell>
          <cell r="H5979">
            <v>200</v>
          </cell>
          <cell r="I5979">
            <v>423048000000</v>
          </cell>
        </row>
        <row r="5980">
          <cell r="A5980" t="str">
            <v>France</v>
          </cell>
          <cell r="B5980">
            <v>250</v>
          </cell>
          <cell r="C5980">
            <v>203</v>
          </cell>
          <cell r="D5980">
            <v>4</v>
          </cell>
          <cell r="E5980" t="str">
            <v>Compensation of employees</v>
          </cell>
          <cell r="F5980">
            <v>12</v>
          </cell>
          <cell r="G5980">
            <v>1987</v>
          </cell>
          <cell r="H5980">
            <v>200</v>
          </cell>
          <cell r="I5980">
            <v>441239000000</v>
          </cell>
        </row>
        <row r="5981">
          <cell r="A5981" t="str">
            <v>France</v>
          </cell>
          <cell r="B5981">
            <v>250</v>
          </cell>
          <cell r="C5981">
            <v>203</v>
          </cell>
          <cell r="D5981">
            <v>4</v>
          </cell>
          <cell r="E5981" t="str">
            <v>Compensation of employees</v>
          </cell>
          <cell r="F5981">
            <v>12</v>
          </cell>
          <cell r="G5981">
            <v>1988</v>
          </cell>
          <cell r="H5981">
            <v>200</v>
          </cell>
          <cell r="I5981">
            <v>466634000000</v>
          </cell>
        </row>
        <row r="5982">
          <cell r="A5982" t="str">
            <v>France</v>
          </cell>
          <cell r="B5982">
            <v>250</v>
          </cell>
          <cell r="C5982">
            <v>203</v>
          </cell>
          <cell r="D5982">
            <v>4</v>
          </cell>
          <cell r="E5982" t="str">
            <v>Compensation of employees</v>
          </cell>
          <cell r="F5982">
            <v>12</v>
          </cell>
          <cell r="G5982">
            <v>1989</v>
          </cell>
          <cell r="H5982">
            <v>200</v>
          </cell>
          <cell r="I5982">
            <v>496354000000</v>
          </cell>
        </row>
        <row r="5983">
          <cell r="A5983" t="str">
            <v>France</v>
          </cell>
          <cell r="B5983">
            <v>250</v>
          </cell>
          <cell r="C5983">
            <v>203</v>
          </cell>
          <cell r="D5983">
            <v>4</v>
          </cell>
          <cell r="E5983" t="str">
            <v>Compensation of employees</v>
          </cell>
          <cell r="F5983">
            <v>12</v>
          </cell>
          <cell r="G5983">
            <v>1990</v>
          </cell>
          <cell r="H5983">
            <v>200</v>
          </cell>
          <cell r="I5983">
            <v>529757000000</v>
          </cell>
        </row>
        <row r="5984">
          <cell r="A5984" t="str">
            <v>France</v>
          </cell>
          <cell r="B5984">
            <v>250</v>
          </cell>
          <cell r="C5984">
            <v>203</v>
          </cell>
          <cell r="D5984">
            <v>4</v>
          </cell>
          <cell r="E5984" t="str">
            <v>Compensation of employees</v>
          </cell>
          <cell r="F5984">
            <v>12</v>
          </cell>
          <cell r="G5984">
            <v>1991</v>
          </cell>
          <cell r="H5984">
            <v>200</v>
          </cell>
          <cell r="I5984">
            <v>553440000000</v>
          </cell>
        </row>
        <row r="5985">
          <cell r="A5985" t="str">
            <v>France</v>
          </cell>
          <cell r="B5985">
            <v>250</v>
          </cell>
          <cell r="C5985">
            <v>203</v>
          </cell>
          <cell r="D5985">
            <v>4</v>
          </cell>
          <cell r="E5985" t="str">
            <v>Compensation of employees</v>
          </cell>
          <cell r="F5985">
            <v>12</v>
          </cell>
          <cell r="G5985">
            <v>1992</v>
          </cell>
          <cell r="H5985">
            <v>200</v>
          </cell>
          <cell r="I5985">
            <v>574530000000</v>
          </cell>
        </row>
        <row r="5986">
          <cell r="A5986" t="str">
            <v>France</v>
          </cell>
          <cell r="B5986">
            <v>250</v>
          </cell>
          <cell r="C5986">
            <v>203</v>
          </cell>
          <cell r="D5986">
            <v>4</v>
          </cell>
          <cell r="E5986" t="str">
            <v>Compensation of employees</v>
          </cell>
          <cell r="F5986">
            <v>12</v>
          </cell>
          <cell r="G5986">
            <v>1993</v>
          </cell>
          <cell r="H5986">
            <v>200</v>
          </cell>
          <cell r="I5986">
            <v>583449000000</v>
          </cell>
        </row>
        <row r="5987">
          <cell r="A5987" t="str">
            <v>France</v>
          </cell>
          <cell r="B5987">
            <v>250</v>
          </cell>
          <cell r="C5987">
            <v>203</v>
          </cell>
          <cell r="D5987">
            <v>4</v>
          </cell>
          <cell r="E5987" t="str">
            <v>Compensation of employees</v>
          </cell>
          <cell r="F5987">
            <v>12</v>
          </cell>
          <cell r="G5987">
            <v>1994</v>
          </cell>
          <cell r="H5987">
            <v>200</v>
          </cell>
          <cell r="I5987">
            <v>595354000000</v>
          </cell>
        </row>
        <row r="5988">
          <cell r="A5988" t="str">
            <v>France</v>
          </cell>
          <cell r="B5988">
            <v>250</v>
          </cell>
          <cell r="C5988">
            <v>203</v>
          </cell>
          <cell r="D5988">
            <v>4</v>
          </cell>
          <cell r="E5988" t="str">
            <v>Compensation of employees</v>
          </cell>
          <cell r="F5988">
            <v>12</v>
          </cell>
          <cell r="G5988">
            <v>1995</v>
          </cell>
          <cell r="H5988">
            <v>200</v>
          </cell>
          <cell r="I5988">
            <v>615575000000</v>
          </cell>
        </row>
        <row r="5989">
          <cell r="A5989" t="str">
            <v>France</v>
          </cell>
          <cell r="B5989">
            <v>250</v>
          </cell>
          <cell r="C5989">
            <v>203</v>
          </cell>
          <cell r="D5989">
            <v>4</v>
          </cell>
          <cell r="E5989" t="str">
            <v>Compensation of employees</v>
          </cell>
          <cell r="F5989">
            <v>12</v>
          </cell>
          <cell r="G5989">
            <v>1996</v>
          </cell>
          <cell r="H5989">
            <v>200</v>
          </cell>
          <cell r="I5989">
            <v>632119000000</v>
          </cell>
        </row>
        <row r="5990">
          <cell r="A5990" t="str">
            <v>France</v>
          </cell>
          <cell r="B5990">
            <v>250</v>
          </cell>
          <cell r="C5990">
            <v>203</v>
          </cell>
          <cell r="D5990">
            <v>4</v>
          </cell>
          <cell r="E5990" t="str">
            <v>Compensation of employees</v>
          </cell>
          <cell r="F5990">
            <v>12</v>
          </cell>
          <cell r="G5990">
            <v>1997</v>
          </cell>
          <cell r="H5990">
            <v>200</v>
          </cell>
          <cell r="I5990">
            <v>649535000000</v>
          </cell>
        </row>
        <row r="5991">
          <cell r="A5991" t="str">
            <v>France</v>
          </cell>
          <cell r="B5991">
            <v>250</v>
          </cell>
          <cell r="C5991">
            <v>203</v>
          </cell>
          <cell r="D5991">
            <v>4</v>
          </cell>
          <cell r="E5991" t="str">
            <v>Compensation of employees</v>
          </cell>
          <cell r="F5991">
            <v>12</v>
          </cell>
          <cell r="G5991">
            <v>1998</v>
          </cell>
          <cell r="H5991">
            <v>200</v>
          </cell>
          <cell r="I5991">
            <v>672593000000</v>
          </cell>
        </row>
        <row r="5992">
          <cell r="A5992" t="str">
            <v>France</v>
          </cell>
          <cell r="B5992">
            <v>250</v>
          </cell>
          <cell r="C5992">
            <v>203</v>
          </cell>
          <cell r="D5992">
            <v>4</v>
          </cell>
          <cell r="E5992" t="str">
            <v>Compensation of employees</v>
          </cell>
          <cell r="F5992">
            <v>12</v>
          </cell>
          <cell r="G5992">
            <v>1999</v>
          </cell>
          <cell r="H5992">
            <v>200</v>
          </cell>
          <cell r="I5992">
            <v>702818000000</v>
          </cell>
        </row>
        <row r="5993">
          <cell r="A5993" t="str">
            <v>France</v>
          </cell>
          <cell r="B5993">
            <v>250</v>
          </cell>
          <cell r="C5993">
            <v>203</v>
          </cell>
          <cell r="D5993">
            <v>4</v>
          </cell>
          <cell r="E5993" t="str">
            <v>Compensation of employees</v>
          </cell>
          <cell r="F5993">
            <v>12</v>
          </cell>
          <cell r="G5993">
            <v>2000</v>
          </cell>
          <cell r="H5993">
            <v>200</v>
          </cell>
          <cell r="I5993">
            <v>738127000000</v>
          </cell>
        </row>
        <row r="5994">
          <cell r="A5994" t="str">
            <v>France</v>
          </cell>
          <cell r="B5994">
            <v>250</v>
          </cell>
          <cell r="C5994">
            <v>203</v>
          </cell>
          <cell r="D5994">
            <v>4</v>
          </cell>
          <cell r="E5994" t="str">
            <v>Compensation of employees</v>
          </cell>
          <cell r="F5994">
            <v>12</v>
          </cell>
          <cell r="G5994">
            <v>2001</v>
          </cell>
          <cell r="H5994">
            <v>200</v>
          </cell>
          <cell r="I5994">
            <v>774558000000</v>
          </cell>
        </row>
        <row r="5995">
          <cell r="A5995" t="str">
            <v>France</v>
          </cell>
          <cell r="B5995">
            <v>250</v>
          </cell>
          <cell r="C5995">
            <v>203</v>
          </cell>
          <cell r="D5995">
            <v>4</v>
          </cell>
          <cell r="E5995" t="str">
            <v>Compensation of employees</v>
          </cell>
          <cell r="F5995">
            <v>12</v>
          </cell>
          <cell r="G5995">
            <v>2002</v>
          </cell>
          <cell r="H5995">
            <v>200</v>
          </cell>
          <cell r="I5995">
            <v>802261000000</v>
          </cell>
        </row>
        <row r="5996">
          <cell r="A5996" t="str">
            <v>Korea, Republic of</v>
          </cell>
          <cell r="B5996">
            <v>410</v>
          </cell>
          <cell r="C5996">
            <v>203</v>
          </cell>
          <cell r="D5996">
            <v>3</v>
          </cell>
          <cell r="E5996" t="str">
            <v>Equals: VALUE ADDED, GROSS, at basic prices</v>
          </cell>
          <cell r="F5996">
            <v>12</v>
          </cell>
          <cell r="G5996">
            <v>1970</v>
          </cell>
          <cell r="H5996">
            <v>100</v>
          </cell>
          <cell r="I5996">
            <v>2712789000000</v>
          </cell>
        </row>
        <row r="5997">
          <cell r="A5997" t="str">
            <v>Korea, Republic of</v>
          </cell>
          <cell r="B5997">
            <v>410</v>
          </cell>
          <cell r="C5997">
            <v>203</v>
          </cell>
          <cell r="D5997">
            <v>3</v>
          </cell>
          <cell r="E5997" t="str">
            <v>Equals: VALUE ADDED, GROSS, at basic prices</v>
          </cell>
          <cell r="F5997">
            <v>12</v>
          </cell>
          <cell r="G5997">
            <v>1971</v>
          </cell>
          <cell r="H5997">
            <v>100</v>
          </cell>
          <cell r="I5997">
            <v>3374514000000</v>
          </cell>
        </row>
        <row r="5998">
          <cell r="A5998" t="str">
            <v>Korea, Republic of</v>
          </cell>
          <cell r="B5998">
            <v>410</v>
          </cell>
          <cell r="C5998">
            <v>203</v>
          </cell>
          <cell r="D5998">
            <v>3</v>
          </cell>
          <cell r="E5998" t="str">
            <v>Equals: VALUE ADDED, GROSS, at basic prices</v>
          </cell>
          <cell r="F5998">
            <v>12</v>
          </cell>
          <cell r="G5998">
            <v>1972</v>
          </cell>
          <cell r="H5998">
            <v>100</v>
          </cell>
          <cell r="I5998">
            <v>4167305000000</v>
          </cell>
        </row>
        <row r="5999">
          <cell r="A5999" t="str">
            <v>Korea, Republic of</v>
          </cell>
          <cell r="B5999">
            <v>410</v>
          </cell>
          <cell r="C5999">
            <v>203</v>
          </cell>
          <cell r="D5999">
            <v>3</v>
          </cell>
          <cell r="E5999" t="str">
            <v>Equals: VALUE ADDED, GROSS, at basic prices</v>
          </cell>
          <cell r="F5999">
            <v>12</v>
          </cell>
          <cell r="G5999">
            <v>1973</v>
          </cell>
          <cell r="H5999">
            <v>100</v>
          </cell>
          <cell r="I5999">
            <v>5363635000000</v>
          </cell>
        </row>
        <row r="6000">
          <cell r="A6000" t="str">
            <v>Korea, Republic of</v>
          </cell>
          <cell r="B6000">
            <v>410</v>
          </cell>
          <cell r="C6000">
            <v>203</v>
          </cell>
          <cell r="D6000">
            <v>3</v>
          </cell>
          <cell r="E6000" t="str">
            <v>Equals: VALUE ADDED, GROSS, at basic prices</v>
          </cell>
          <cell r="F6000">
            <v>12</v>
          </cell>
          <cell r="G6000">
            <v>1974</v>
          </cell>
          <cell r="H6000">
            <v>100</v>
          </cell>
          <cell r="I6000">
            <v>7582480000000</v>
          </cell>
        </row>
        <row r="6001">
          <cell r="A6001" t="str">
            <v>Korea, Republic of</v>
          </cell>
          <cell r="B6001">
            <v>410</v>
          </cell>
          <cell r="C6001">
            <v>203</v>
          </cell>
          <cell r="D6001">
            <v>3</v>
          </cell>
          <cell r="E6001" t="str">
            <v>Equals: VALUE ADDED, GROSS, at basic prices</v>
          </cell>
          <cell r="F6001">
            <v>12</v>
          </cell>
          <cell r="G6001">
            <v>1975</v>
          </cell>
          <cell r="H6001">
            <v>100</v>
          </cell>
          <cell r="I6001">
            <v>10170113000000</v>
          </cell>
        </row>
        <row r="6002">
          <cell r="A6002" t="str">
            <v>Korea, Republic of</v>
          </cell>
          <cell r="B6002">
            <v>410</v>
          </cell>
          <cell r="C6002">
            <v>203</v>
          </cell>
          <cell r="D6002">
            <v>3</v>
          </cell>
          <cell r="E6002" t="str">
            <v>Equals: VALUE ADDED, GROSS, at basic prices</v>
          </cell>
          <cell r="F6002">
            <v>12</v>
          </cell>
          <cell r="G6002">
            <v>1976</v>
          </cell>
          <cell r="H6002">
            <v>100</v>
          </cell>
          <cell r="I6002">
            <v>13853755000000</v>
          </cell>
        </row>
        <row r="6003">
          <cell r="A6003" t="str">
            <v>Korea, Republic of</v>
          </cell>
          <cell r="B6003">
            <v>410</v>
          </cell>
          <cell r="C6003">
            <v>203</v>
          </cell>
          <cell r="D6003">
            <v>3</v>
          </cell>
          <cell r="E6003" t="str">
            <v>Equals: VALUE ADDED, GROSS, at basic prices</v>
          </cell>
          <cell r="F6003">
            <v>12</v>
          </cell>
          <cell r="G6003">
            <v>1977</v>
          </cell>
          <cell r="H6003">
            <v>100</v>
          </cell>
          <cell r="I6003">
            <v>17627936000000</v>
          </cell>
        </row>
        <row r="6004">
          <cell r="A6004" t="str">
            <v>Korea, Republic of</v>
          </cell>
          <cell r="B6004">
            <v>410</v>
          </cell>
          <cell r="C6004">
            <v>203</v>
          </cell>
          <cell r="D6004">
            <v>3</v>
          </cell>
          <cell r="E6004" t="str">
            <v>Equals: VALUE ADDED, GROSS, at basic prices</v>
          </cell>
          <cell r="F6004">
            <v>12</v>
          </cell>
          <cell r="G6004">
            <v>1978</v>
          </cell>
          <cell r="H6004">
            <v>100</v>
          </cell>
          <cell r="I6004">
            <v>23557543000000</v>
          </cell>
        </row>
        <row r="6005">
          <cell r="A6005" t="str">
            <v>Korea, Republic of</v>
          </cell>
          <cell r="B6005">
            <v>410</v>
          </cell>
          <cell r="C6005">
            <v>203</v>
          </cell>
          <cell r="D6005">
            <v>3</v>
          </cell>
          <cell r="E6005" t="str">
            <v>Equals: VALUE ADDED, GROSS, at basic prices</v>
          </cell>
          <cell r="F6005">
            <v>12</v>
          </cell>
          <cell r="G6005">
            <v>1979</v>
          </cell>
          <cell r="H6005">
            <v>100</v>
          </cell>
          <cell r="I6005">
            <v>30363882000000</v>
          </cell>
        </row>
        <row r="6006">
          <cell r="A6006" t="str">
            <v>Korea, Republic of</v>
          </cell>
          <cell r="B6006">
            <v>410</v>
          </cell>
          <cell r="C6006">
            <v>203</v>
          </cell>
          <cell r="D6006">
            <v>3</v>
          </cell>
          <cell r="E6006" t="str">
            <v>Equals: VALUE ADDED, GROSS, at basic prices</v>
          </cell>
          <cell r="F6006">
            <v>12</v>
          </cell>
          <cell r="G6006">
            <v>1980</v>
          </cell>
          <cell r="H6006">
            <v>100</v>
          </cell>
          <cell r="I6006">
            <v>37197907000000</v>
          </cell>
        </row>
        <row r="6007">
          <cell r="A6007" t="str">
            <v>Korea, Republic of</v>
          </cell>
          <cell r="B6007">
            <v>410</v>
          </cell>
          <cell r="C6007">
            <v>203</v>
          </cell>
          <cell r="D6007">
            <v>3</v>
          </cell>
          <cell r="E6007" t="str">
            <v>Equals: VALUE ADDED, GROSS, at basic prices</v>
          </cell>
          <cell r="F6007">
            <v>12</v>
          </cell>
          <cell r="G6007">
            <v>1981</v>
          </cell>
          <cell r="H6007">
            <v>100</v>
          </cell>
          <cell r="I6007">
            <v>46420759000000</v>
          </cell>
        </row>
        <row r="6008">
          <cell r="A6008" t="str">
            <v>Korea, Republic of</v>
          </cell>
          <cell r="B6008">
            <v>410</v>
          </cell>
          <cell r="C6008">
            <v>203</v>
          </cell>
          <cell r="D6008">
            <v>3</v>
          </cell>
          <cell r="E6008" t="str">
            <v>Equals: VALUE ADDED, GROSS, at basic prices</v>
          </cell>
          <cell r="F6008">
            <v>12</v>
          </cell>
          <cell r="G6008">
            <v>1982</v>
          </cell>
          <cell r="H6008">
            <v>100</v>
          </cell>
          <cell r="I6008">
            <v>52868668000000</v>
          </cell>
        </row>
        <row r="6009">
          <cell r="A6009" t="str">
            <v>Korea, Republic of</v>
          </cell>
          <cell r="B6009">
            <v>410</v>
          </cell>
          <cell r="C6009">
            <v>203</v>
          </cell>
          <cell r="D6009">
            <v>3</v>
          </cell>
          <cell r="E6009" t="str">
            <v>Equals: VALUE ADDED, GROSS, at basic prices</v>
          </cell>
          <cell r="F6009">
            <v>12</v>
          </cell>
          <cell r="G6009">
            <v>1983</v>
          </cell>
          <cell r="H6009">
            <v>100</v>
          </cell>
          <cell r="I6009">
            <v>62150122000000</v>
          </cell>
        </row>
        <row r="6010">
          <cell r="A6010" t="str">
            <v>Korea, Republic of</v>
          </cell>
          <cell r="B6010">
            <v>410</v>
          </cell>
          <cell r="C6010">
            <v>203</v>
          </cell>
          <cell r="D6010">
            <v>3</v>
          </cell>
          <cell r="E6010" t="str">
            <v>Equals: VALUE ADDED, GROSS, at basic prices</v>
          </cell>
          <cell r="F6010">
            <v>12</v>
          </cell>
          <cell r="G6010">
            <v>1984</v>
          </cell>
          <cell r="H6010">
            <v>100</v>
          </cell>
          <cell r="I6010">
            <v>71413531000000</v>
          </cell>
        </row>
        <row r="6011">
          <cell r="A6011" t="str">
            <v>Korea, Republic of</v>
          </cell>
          <cell r="B6011">
            <v>410</v>
          </cell>
          <cell r="C6011">
            <v>203</v>
          </cell>
          <cell r="D6011">
            <v>3</v>
          </cell>
          <cell r="E6011" t="str">
            <v>Equals: VALUE ADDED, GROSS, at basic prices</v>
          </cell>
          <cell r="F6011">
            <v>12</v>
          </cell>
          <cell r="G6011">
            <v>1985</v>
          </cell>
          <cell r="H6011">
            <v>100</v>
          </cell>
          <cell r="I6011">
            <v>80335402000000</v>
          </cell>
        </row>
        <row r="6012">
          <cell r="A6012" t="str">
            <v>Korea, Republic of</v>
          </cell>
          <cell r="B6012">
            <v>410</v>
          </cell>
          <cell r="C6012">
            <v>203</v>
          </cell>
          <cell r="D6012">
            <v>3</v>
          </cell>
          <cell r="E6012" t="str">
            <v>Equals: VALUE ADDED, GROSS, at basic prices</v>
          </cell>
          <cell r="F6012">
            <v>12</v>
          </cell>
          <cell r="G6012">
            <v>1986</v>
          </cell>
          <cell r="H6012">
            <v>100</v>
          </cell>
          <cell r="I6012">
            <v>93667898000000</v>
          </cell>
        </row>
        <row r="6013">
          <cell r="A6013" t="str">
            <v>Korea, Republic of</v>
          </cell>
          <cell r="B6013">
            <v>410</v>
          </cell>
          <cell r="C6013">
            <v>203</v>
          </cell>
          <cell r="D6013">
            <v>3</v>
          </cell>
          <cell r="E6013" t="str">
            <v>Equals: VALUE ADDED, GROSS, at basic prices</v>
          </cell>
          <cell r="F6013">
            <v>12</v>
          </cell>
          <cell r="G6013">
            <v>1987</v>
          </cell>
          <cell r="H6013">
            <v>100</v>
          </cell>
          <cell r="I6013">
            <v>109546481000000</v>
          </cell>
        </row>
        <row r="6014">
          <cell r="A6014" t="str">
            <v>Korea, Republic of</v>
          </cell>
          <cell r="B6014">
            <v>410</v>
          </cell>
          <cell r="C6014">
            <v>203</v>
          </cell>
          <cell r="D6014">
            <v>3</v>
          </cell>
          <cell r="E6014" t="str">
            <v>Equals: VALUE ADDED, GROSS, at basic prices</v>
          </cell>
          <cell r="F6014">
            <v>12</v>
          </cell>
          <cell r="G6014">
            <v>1988</v>
          </cell>
          <cell r="H6014">
            <v>100</v>
          </cell>
          <cell r="I6014">
            <v>131204072000000</v>
          </cell>
        </row>
        <row r="6015">
          <cell r="A6015" t="str">
            <v>Korea, Republic of</v>
          </cell>
          <cell r="B6015">
            <v>410</v>
          </cell>
          <cell r="C6015">
            <v>203</v>
          </cell>
          <cell r="D6015">
            <v>3</v>
          </cell>
          <cell r="E6015" t="str">
            <v>Equals: VALUE ADDED, GROSS, at basic prices</v>
          </cell>
          <cell r="F6015">
            <v>12</v>
          </cell>
          <cell r="G6015">
            <v>1989</v>
          </cell>
          <cell r="H6015">
            <v>100</v>
          </cell>
          <cell r="I6015">
            <v>148655685000000</v>
          </cell>
        </row>
        <row r="6016">
          <cell r="A6016" t="str">
            <v>Korea, Republic of</v>
          </cell>
          <cell r="B6016">
            <v>410</v>
          </cell>
          <cell r="C6016">
            <v>203</v>
          </cell>
          <cell r="D6016">
            <v>3</v>
          </cell>
          <cell r="E6016" t="str">
            <v>Equals: VALUE ADDED, GROSS, at basic prices</v>
          </cell>
          <cell r="F6016">
            <v>12</v>
          </cell>
          <cell r="G6016">
            <v>1990</v>
          </cell>
          <cell r="H6016">
            <v>100</v>
          </cell>
          <cell r="I6016">
            <v>178178455000000</v>
          </cell>
        </row>
        <row r="6017">
          <cell r="A6017" t="str">
            <v>Korea, Republic of</v>
          </cell>
          <cell r="B6017">
            <v>410</v>
          </cell>
          <cell r="C6017">
            <v>203</v>
          </cell>
          <cell r="D6017">
            <v>3</v>
          </cell>
          <cell r="E6017" t="str">
            <v>Equals: VALUE ADDED, GROSS, at basic prices</v>
          </cell>
          <cell r="F6017">
            <v>12</v>
          </cell>
          <cell r="G6017">
            <v>1991</v>
          </cell>
          <cell r="H6017">
            <v>100</v>
          </cell>
          <cell r="I6017">
            <v>216677753000000</v>
          </cell>
        </row>
        <row r="6018">
          <cell r="A6018" t="str">
            <v>Korea, Republic of</v>
          </cell>
          <cell r="B6018">
            <v>410</v>
          </cell>
          <cell r="C6018">
            <v>203</v>
          </cell>
          <cell r="D6018">
            <v>3</v>
          </cell>
          <cell r="E6018" t="str">
            <v>Equals: VALUE ADDED, GROSS, at basic prices</v>
          </cell>
          <cell r="F6018">
            <v>12</v>
          </cell>
          <cell r="G6018">
            <v>1992</v>
          </cell>
          <cell r="H6018">
            <v>100</v>
          </cell>
          <cell r="I6018">
            <v>247816264000000</v>
          </cell>
        </row>
        <row r="6019">
          <cell r="A6019" t="str">
            <v>Korea, Republic of</v>
          </cell>
          <cell r="B6019">
            <v>410</v>
          </cell>
          <cell r="C6019">
            <v>203</v>
          </cell>
          <cell r="D6019">
            <v>3</v>
          </cell>
          <cell r="E6019" t="str">
            <v>Equals: VALUE ADDED, GROSS, at basic prices</v>
          </cell>
          <cell r="F6019">
            <v>12</v>
          </cell>
          <cell r="G6019">
            <v>1994</v>
          </cell>
          <cell r="H6019">
            <v>200</v>
          </cell>
          <cell r="I6019">
            <v>307711300000000</v>
          </cell>
        </row>
        <row r="6020">
          <cell r="A6020" t="str">
            <v>Korea, Republic of</v>
          </cell>
          <cell r="B6020">
            <v>410</v>
          </cell>
          <cell r="C6020">
            <v>203</v>
          </cell>
          <cell r="D6020">
            <v>3</v>
          </cell>
          <cell r="E6020" t="str">
            <v>Equals: VALUE ADDED, GROSS, at basic prices</v>
          </cell>
          <cell r="F6020">
            <v>12</v>
          </cell>
          <cell r="G6020">
            <v>1995</v>
          </cell>
          <cell r="H6020">
            <v>200</v>
          </cell>
          <cell r="I6020">
            <v>359582332000000</v>
          </cell>
        </row>
        <row r="6021">
          <cell r="A6021" t="str">
            <v>Korea, Republic of</v>
          </cell>
          <cell r="B6021">
            <v>410</v>
          </cell>
          <cell r="C6021">
            <v>203</v>
          </cell>
          <cell r="D6021">
            <v>3</v>
          </cell>
          <cell r="E6021" t="str">
            <v>Equals: VALUE ADDED, GROSS, at basic prices</v>
          </cell>
          <cell r="F6021">
            <v>12</v>
          </cell>
          <cell r="G6021">
            <v>1996</v>
          </cell>
          <cell r="H6021">
            <v>200</v>
          </cell>
          <cell r="I6021">
            <v>402230430000000</v>
          </cell>
        </row>
        <row r="6022">
          <cell r="A6022" t="str">
            <v>Korea, Republic of</v>
          </cell>
          <cell r="B6022">
            <v>410</v>
          </cell>
          <cell r="C6022">
            <v>203</v>
          </cell>
          <cell r="D6022">
            <v>3</v>
          </cell>
          <cell r="E6022" t="str">
            <v>Equals: VALUE ADDED, GROSS, at basic prices</v>
          </cell>
          <cell r="F6022">
            <v>12</v>
          </cell>
          <cell r="G6022">
            <v>1997</v>
          </cell>
          <cell r="H6022">
            <v>200</v>
          </cell>
          <cell r="I6022">
            <v>438596622000000</v>
          </cell>
        </row>
        <row r="6023">
          <cell r="A6023" t="str">
            <v>Korea, Republic of</v>
          </cell>
          <cell r="B6023">
            <v>410</v>
          </cell>
          <cell r="C6023">
            <v>203</v>
          </cell>
          <cell r="D6023">
            <v>3</v>
          </cell>
          <cell r="E6023" t="str">
            <v>Equals: VALUE ADDED, GROSS, at basic prices</v>
          </cell>
          <cell r="F6023">
            <v>12</v>
          </cell>
          <cell r="G6023">
            <v>1998</v>
          </cell>
          <cell r="H6023">
            <v>200</v>
          </cell>
          <cell r="I6023">
            <v>438638303000000</v>
          </cell>
        </row>
        <row r="6024">
          <cell r="A6024" t="str">
            <v>Korea, Republic of</v>
          </cell>
          <cell r="B6024">
            <v>410</v>
          </cell>
          <cell r="C6024">
            <v>203</v>
          </cell>
          <cell r="D6024">
            <v>3</v>
          </cell>
          <cell r="E6024" t="str">
            <v>Equals: VALUE ADDED, GROSS, at basic prices</v>
          </cell>
          <cell r="F6024">
            <v>12</v>
          </cell>
          <cell r="G6024">
            <v>1999</v>
          </cell>
          <cell r="H6024">
            <v>200</v>
          </cell>
          <cell r="I6024">
            <v>472742210000000</v>
          </cell>
        </row>
        <row r="6025">
          <cell r="A6025" t="str">
            <v>Korea, Republic of</v>
          </cell>
          <cell r="B6025">
            <v>410</v>
          </cell>
          <cell r="C6025">
            <v>203</v>
          </cell>
          <cell r="D6025">
            <v>3</v>
          </cell>
          <cell r="E6025" t="str">
            <v>Equals: VALUE ADDED, GROSS, at basic prices</v>
          </cell>
          <cell r="F6025">
            <v>12</v>
          </cell>
          <cell r="G6025">
            <v>2000</v>
          </cell>
          <cell r="H6025">
            <v>200</v>
          </cell>
          <cell r="I6025">
            <v>514054032000000</v>
          </cell>
        </row>
        <row r="6026">
          <cell r="A6026" t="str">
            <v>Korea, Republic of</v>
          </cell>
          <cell r="B6026">
            <v>410</v>
          </cell>
          <cell r="C6026">
            <v>203</v>
          </cell>
          <cell r="D6026">
            <v>3</v>
          </cell>
          <cell r="E6026" t="str">
            <v>Equals: VALUE ADDED, GROSS, at basic prices</v>
          </cell>
          <cell r="F6026">
            <v>12</v>
          </cell>
          <cell r="G6026">
            <v>2001</v>
          </cell>
          <cell r="H6026">
            <v>200</v>
          </cell>
          <cell r="I6026">
            <v>550008114000000</v>
          </cell>
        </row>
        <row r="6027">
          <cell r="A6027" t="str">
            <v>Korea, Republic of</v>
          </cell>
          <cell r="B6027">
            <v>410</v>
          </cell>
          <cell r="C6027">
            <v>203</v>
          </cell>
          <cell r="D6027">
            <v>3</v>
          </cell>
          <cell r="E6027" t="str">
            <v>Equals: VALUE ADDED, GROSS, at basic prices</v>
          </cell>
          <cell r="F6027">
            <v>12</v>
          </cell>
          <cell r="G6027">
            <v>2002</v>
          </cell>
          <cell r="H6027">
            <v>200</v>
          </cell>
          <cell r="I6027">
            <v>602091908000000</v>
          </cell>
        </row>
        <row r="6028">
          <cell r="A6028" t="str">
            <v>Korea, Republic of</v>
          </cell>
          <cell r="B6028">
            <v>410</v>
          </cell>
          <cell r="C6028">
            <v>203</v>
          </cell>
          <cell r="D6028">
            <v>3</v>
          </cell>
          <cell r="E6028" t="str">
            <v>Equals: VALUE ADDED, GROSS, at basic prices</v>
          </cell>
          <cell r="F6028">
            <v>12</v>
          </cell>
          <cell r="G6028">
            <v>2003</v>
          </cell>
          <cell r="H6028">
            <v>200</v>
          </cell>
          <cell r="I6028">
            <v>636531758000000</v>
          </cell>
        </row>
        <row r="6029">
          <cell r="A6029" t="str">
            <v>France</v>
          </cell>
          <cell r="B6029">
            <v>250</v>
          </cell>
          <cell r="C6029">
            <v>203</v>
          </cell>
          <cell r="D6029">
            <v>11</v>
          </cell>
          <cell r="E6029" t="str">
            <v>OPERATING SURPLUS, GROSS</v>
          </cell>
          <cell r="F6029">
            <v>12</v>
          </cell>
          <cell r="G6029">
            <v>1977</v>
          </cell>
          <cell r="H6029">
            <v>30</v>
          </cell>
          <cell r="I6029">
            <v>698981000000</v>
          </cell>
        </row>
        <row r="6030">
          <cell r="A6030" t="str">
            <v>France</v>
          </cell>
          <cell r="B6030">
            <v>250</v>
          </cell>
          <cell r="C6030">
            <v>203</v>
          </cell>
          <cell r="D6030">
            <v>11</v>
          </cell>
          <cell r="E6030" t="str">
            <v>OPERATING SURPLUS, GROSS</v>
          </cell>
          <cell r="F6030">
            <v>12</v>
          </cell>
          <cell r="G6030">
            <v>1978</v>
          </cell>
          <cell r="H6030">
            <v>30</v>
          </cell>
          <cell r="I6030">
            <v>790828000000</v>
          </cell>
        </row>
        <row r="6031">
          <cell r="A6031" t="str">
            <v>France</v>
          </cell>
          <cell r="B6031">
            <v>250</v>
          </cell>
          <cell r="C6031">
            <v>203</v>
          </cell>
          <cell r="D6031">
            <v>11</v>
          </cell>
          <cell r="E6031" t="str">
            <v>OPERATING SURPLUS, GROSS</v>
          </cell>
          <cell r="F6031">
            <v>12</v>
          </cell>
          <cell r="G6031">
            <v>1978</v>
          </cell>
          <cell r="H6031">
            <v>200</v>
          </cell>
          <cell r="I6031">
            <v>120547000000</v>
          </cell>
        </row>
        <row r="6032">
          <cell r="A6032" t="str">
            <v>France</v>
          </cell>
          <cell r="B6032">
            <v>250</v>
          </cell>
          <cell r="C6032">
            <v>203</v>
          </cell>
          <cell r="D6032">
            <v>11</v>
          </cell>
          <cell r="E6032" t="str">
            <v>OPERATING SURPLUS, GROSS</v>
          </cell>
          <cell r="F6032">
            <v>12</v>
          </cell>
          <cell r="G6032">
            <v>1979</v>
          </cell>
          <cell r="H6032">
            <v>200</v>
          </cell>
          <cell r="I6032">
            <v>134632000000</v>
          </cell>
        </row>
        <row r="6033">
          <cell r="A6033" t="str">
            <v>France</v>
          </cell>
          <cell r="B6033">
            <v>250</v>
          </cell>
          <cell r="C6033">
            <v>203</v>
          </cell>
          <cell r="D6033">
            <v>11</v>
          </cell>
          <cell r="E6033" t="str">
            <v>OPERATING SURPLUS, GROSS</v>
          </cell>
          <cell r="F6033">
            <v>12</v>
          </cell>
          <cell r="G6033">
            <v>1980</v>
          </cell>
          <cell r="H6033">
            <v>200</v>
          </cell>
          <cell r="I6033">
            <v>150879000000</v>
          </cell>
        </row>
        <row r="6034">
          <cell r="A6034" t="str">
            <v>France</v>
          </cell>
          <cell r="B6034">
            <v>250</v>
          </cell>
          <cell r="C6034">
            <v>203</v>
          </cell>
          <cell r="D6034">
            <v>11</v>
          </cell>
          <cell r="E6034" t="str">
            <v>OPERATING SURPLUS, GROSS</v>
          </cell>
          <cell r="F6034">
            <v>12</v>
          </cell>
          <cell r="G6034">
            <v>1981</v>
          </cell>
          <cell r="H6034">
            <v>200</v>
          </cell>
          <cell r="I6034">
            <v>167354000000</v>
          </cell>
        </row>
        <row r="6035">
          <cell r="A6035" t="str">
            <v>France</v>
          </cell>
          <cell r="B6035">
            <v>250</v>
          </cell>
          <cell r="C6035">
            <v>203</v>
          </cell>
          <cell r="D6035">
            <v>11</v>
          </cell>
          <cell r="E6035" t="str">
            <v>OPERATING SURPLUS, GROSS</v>
          </cell>
          <cell r="F6035">
            <v>12</v>
          </cell>
          <cell r="G6035">
            <v>1982</v>
          </cell>
          <cell r="H6035">
            <v>200</v>
          </cell>
          <cell r="I6035">
            <v>189873000000</v>
          </cell>
        </row>
        <row r="6036">
          <cell r="A6036" t="str">
            <v>France</v>
          </cell>
          <cell r="B6036">
            <v>250</v>
          </cell>
          <cell r="C6036">
            <v>203</v>
          </cell>
          <cell r="D6036">
            <v>11</v>
          </cell>
          <cell r="E6036" t="str">
            <v>OPERATING SURPLUS, GROSS</v>
          </cell>
          <cell r="F6036">
            <v>12</v>
          </cell>
          <cell r="G6036">
            <v>1983</v>
          </cell>
          <cell r="H6036">
            <v>200</v>
          </cell>
          <cell r="I6036">
            <v>212925000000</v>
          </cell>
        </row>
        <row r="6037">
          <cell r="A6037" t="str">
            <v>France</v>
          </cell>
          <cell r="B6037">
            <v>250</v>
          </cell>
          <cell r="C6037">
            <v>203</v>
          </cell>
          <cell r="D6037">
            <v>11</v>
          </cell>
          <cell r="E6037" t="str">
            <v>OPERATING SURPLUS, GROSS</v>
          </cell>
          <cell r="F6037">
            <v>12</v>
          </cell>
          <cell r="G6037">
            <v>1984</v>
          </cell>
          <cell r="H6037">
            <v>200</v>
          </cell>
          <cell r="I6037">
            <v>235400000000</v>
          </cell>
        </row>
        <row r="6038">
          <cell r="A6038" t="str">
            <v>France</v>
          </cell>
          <cell r="B6038">
            <v>250</v>
          </cell>
          <cell r="C6038">
            <v>203</v>
          </cell>
          <cell r="D6038">
            <v>11</v>
          </cell>
          <cell r="E6038" t="str">
            <v>OPERATING SURPLUS, GROSS</v>
          </cell>
          <cell r="F6038">
            <v>12</v>
          </cell>
          <cell r="G6038">
            <v>1985</v>
          </cell>
          <cell r="H6038">
            <v>200</v>
          </cell>
          <cell r="I6038">
            <v>255843000000</v>
          </cell>
        </row>
        <row r="6039">
          <cell r="A6039" t="str">
            <v>France</v>
          </cell>
          <cell r="B6039">
            <v>250</v>
          </cell>
          <cell r="C6039">
            <v>203</v>
          </cell>
          <cell r="D6039">
            <v>11</v>
          </cell>
          <cell r="E6039" t="str">
            <v>OPERATING SURPLUS, GROSS</v>
          </cell>
          <cell r="F6039">
            <v>12</v>
          </cell>
          <cell r="G6039">
            <v>1986</v>
          </cell>
          <cell r="H6039">
            <v>200</v>
          </cell>
          <cell r="I6039">
            <v>290901000000</v>
          </cell>
        </row>
        <row r="6040">
          <cell r="A6040" t="str">
            <v>France</v>
          </cell>
          <cell r="B6040">
            <v>250</v>
          </cell>
          <cell r="C6040">
            <v>203</v>
          </cell>
          <cell r="D6040">
            <v>11</v>
          </cell>
          <cell r="E6040" t="str">
            <v>OPERATING SURPLUS, GROSS</v>
          </cell>
          <cell r="F6040">
            <v>12</v>
          </cell>
          <cell r="G6040">
            <v>1987</v>
          </cell>
          <cell r="H6040">
            <v>200</v>
          </cell>
          <cell r="I6040">
            <v>311467000000</v>
          </cell>
        </row>
        <row r="6041">
          <cell r="A6041" t="str">
            <v>France</v>
          </cell>
          <cell r="B6041">
            <v>250</v>
          </cell>
          <cell r="C6041">
            <v>203</v>
          </cell>
          <cell r="D6041">
            <v>11</v>
          </cell>
          <cell r="E6041" t="str">
            <v>OPERATING SURPLUS, GROSS</v>
          </cell>
          <cell r="F6041">
            <v>12</v>
          </cell>
          <cell r="G6041">
            <v>1988</v>
          </cell>
          <cell r="H6041">
            <v>200</v>
          </cell>
          <cell r="I6041">
            <v>341512000000</v>
          </cell>
        </row>
        <row r="6042">
          <cell r="A6042" t="str">
            <v>France</v>
          </cell>
          <cell r="B6042">
            <v>250</v>
          </cell>
          <cell r="C6042">
            <v>203</v>
          </cell>
          <cell r="D6042">
            <v>11</v>
          </cell>
          <cell r="E6042" t="str">
            <v>OPERATING SURPLUS, GROSS</v>
          </cell>
          <cell r="F6042">
            <v>12</v>
          </cell>
          <cell r="G6042">
            <v>1989</v>
          </cell>
          <cell r="H6042">
            <v>200</v>
          </cell>
          <cell r="I6042">
            <v>373132000000</v>
          </cell>
        </row>
        <row r="6043">
          <cell r="A6043" t="str">
            <v>France</v>
          </cell>
          <cell r="B6043">
            <v>250</v>
          </cell>
          <cell r="C6043">
            <v>203</v>
          </cell>
          <cell r="D6043">
            <v>11</v>
          </cell>
          <cell r="E6043" t="str">
            <v>OPERATING SURPLUS, GROSS</v>
          </cell>
          <cell r="F6043">
            <v>12</v>
          </cell>
          <cell r="G6043">
            <v>1990</v>
          </cell>
          <cell r="H6043">
            <v>200</v>
          </cell>
          <cell r="I6043">
            <v>387105000000</v>
          </cell>
        </row>
        <row r="6044">
          <cell r="A6044" t="str">
            <v>France</v>
          </cell>
          <cell r="B6044">
            <v>250</v>
          </cell>
          <cell r="C6044">
            <v>203</v>
          </cell>
          <cell r="D6044">
            <v>11</v>
          </cell>
          <cell r="E6044" t="str">
            <v>OPERATING SURPLUS, GROSS</v>
          </cell>
          <cell r="F6044">
            <v>12</v>
          </cell>
          <cell r="G6044">
            <v>1991</v>
          </cell>
          <cell r="H6044">
            <v>200</v>
          </cell>
          <cell r="I6044">
            <v>398740000000</v>
          </cell>
        </row>
        <row r="6045">
          <cell r="A6045" t="str">
            <v>France</v>
          </cell>
          <cell r="B6045">
            <v>250</v>
          </cell>
          <cell r="C6045">
            <v>203</v>
          </cell>
          <cell r="D6045">
            <v>11</v>
          </cell>
          <cell r="E6045" t="str">
            <v>OPERATING SURPLUS, GROSS</v>
          </cell>
          <cell r="F6045">
            <v>12</v>
          </cell>
          <cell r="G6045">
            <v>1992</v>
          </cell>
          <cell r="H6045">
            <v>200</v>
          </cell>
          <cell r="I6045">
            <v>413446000000</v>
          </cell>
        </row>
        <row r="6046">
          <cell r="A6046" t="str">
            <v>France</v>
          </cell>
          <cell r="B6046">
            <v>250</v>
          </cell>
          <cell r="C6046">
            <v>203</v>
          </cell>
          <cell r="D6046">
            <v>11</v>
          </cell>
          <cell r="E6046" t="str">
            <v>OPERATING SURPLUS, GROSS</v>
          </cell>
          <cell r="F6046">
            <v>12</v>
          </cell>
          <cell r="G6046">
            <v>1993</v>
          </cell>
          <cell r="H6046">
            <v>200</v>
          </cell>
          <cell r="I6046">
            <v>416094000000</v>
          </cell>
        </row>
        <row r="6047">
          <cell r="A6047" t="str">
            <v>France</v>
          </cell>
          <cell r="B6047">
            <v>250</v>
          </cell>
          <cell r="C6047">
            <v>203</v>
          </cell>
          <cell r="D6047">
            <v>11</v>
          </cell>
          <cell r="E6047" t="str">
            <v>OPERATING SURPLUS, GROSS</v>
          </cell>
          <cell r="F6047">
            <v>12</v>
          </cell>
          <cell r="G6047">
            <v>1994</v>
          </cell>
          <cell r="H6047">
            <v>200</v>
          </cell>
          <cell r="I6047">
            <v>433856000000</v>
          </cell>
        </row>
        <row r="6048">
          <cell r="A6048" t="str">
            <v>France</v>
          </cell>
          <cell r="B6048">
            <v>250</v>
          </cell>
          <cell r="C6048">
            <v>203</v>
          </cell>
          <cell r="D6048">
            <v>11</v>
          </cell>
          <cell r="E6048" t="str">
            <v>OPERATING SURPLUS, GROSS</v>
          </cell>
          <cell r="F6048">
            <v>12</v>
          </cell>
          <cell r="G6048">
            <v>1995</v>
          </cell>
          <cell r="H6048">
            <v>200</v>
          </cell>
          <cell r="I6048">
            <v>440561000000</v>
          </cell>
        </row>
        <row r="6049">
          <cell r="A6049" t="str">
            <v>France</v>
          </cell>
          <cell r="B6049">
            <v>250</v>
          </cell>
          <cell r="C6049">
            <v>203</v>
          </cell>
          <cell r="D6049">
            <v>11</v>
          </cell>
          <cell r="E6049" t="str">
            <v>OPERATING SURPLUS, GROSS</v>
          </cell>
          <cell r="F6049">
            <v>12</v>
          </cell>
          <cell r="G6049">
            <v>1996</v>
          </cell>
          <cell r="H6049">
            <v>200</v>
          </cell>
          <cell r="I6049">
            <v>444787000000</v>
          </cell>
        </row>
        <row r="6050">
          <cell r="A6050" t="str">
            <v>France</v>
          </cell>
          <cell r="B6050">
            <v>250</v>
          </cell>
          <cell r="C6050">
            <v>203</v>
          </cell>
          <cell r="D6050">
            <v>11</v>
          </cell>
          <cell r="E6050" t="str">
            <v>OPERATING SURPLUS, GROSS</v>
          </cell>
          <cell r="F6050">
            <v>12</v>
          </cell>
          <cell r="G6050">
            <v>1997</v>
          </cell>
          <cell r="H6050">
            <v>200</v>
          </cell>
          <cell r="I6050">
            <v>456735000000</v>
          </cell>
        </row>
        <row r="6051">
          <cell r="A6051" t="str">
            <v>France</v>
          </cell>
          <cell r="B6051">
            <v>250</v>
          </cell>
          <cell r="C6051">
            <v>203</v>
          </cell>
          <cell r="D6051">
            <v>11</v>
          </cell>
          <cell r="E6051" t="str">
            <v>OPERATING SURPLUS, GROSS</v>
          </cell>
          <cell r="F6051">
            <v>12</v>
          </cell>
          <cell r="G6051">
            <v>1998</v>
          </cell>
          <cell r="H6051">
            <v>200</v>
          </cell>
          <cell r="I6051">
            <v>478574000000</v>
          </cell>
        </row>
        <row r="6052">
          <cell r="A6052" t="str">
            <v>France</v>
          </cell>
          <cell r="B6052">
            <v>250</v>
          </cell>
          <cell r="C6052">
            <v>203</v>
          </cell>
          <cell r="D6052">
            <v>11</v>
          </cell>
          <cell r="E6052" t="str">
            <v>OPERATING SURPLUS, GROSS</v>
          </cell>
          <cell r="F6052">
            <v>12</v>
          </cell>
          <cell r="G6052">
            <v>1999</v>
          </cell>
          <cell r="H6052">
            <v>200</v>
          </cell>
          <cell r="I6052">
            <v>491230000000</v>
          </cell>
        </row>
        <row r="6053">
          <cell r="A6053" t="str">
            <v>France</v>
          </cell>
          <cell r="B6053">
            <v>250</v>
          </cell>
          <cell r="C6053">
            <v>203</v>
          </cell>
          <cell r="D6053">
            <v>11</v>
          </cell>
          <cell r="E6053" t="str">
            <v>OPERATING SURPLUS, GROSS</v>
          </cell>
          <cell r="F6053">
            <v>12</v>
          </cell>
          <cell r="G6053">
            <v>2000</v>
          </cell>
          <cell r="H6053">
            <v>200</v>
          </cell>
          <cell r="I6053">
            <v>518438000000</v>
          </cell>
        </row>
        <row r="6054">
          <cell r="A6054" t="str">
            <v>France</v>
          </cell>
          <cell r="B6054">
            <v>250</v>
          </cell>
          <cell r="C6054">
            <v>203</v>
          </cell>
          <cell r="D6054">
            <v>11</v>
          </cell>
          <cell r="E6054" t="str">
            <v>OPERATING SURPLUS, GROSS</v>
          </cell>
          <cell r="F6054">
            <v>12</v>
          </cell>
          <cell r="G6054">
            <v>2001</v>
          </cell>
          <cell r="H6054">
            <v>200</v>
          </cell>
          <cell r="I6054">
            <v>535679000000</v>
          </cell>
        </row>
        <row r="6055">
          <cell r="A6055" t="str">
            <v>France</v>
          </cell>
          <cell r="B6055">
            <v>250</v>
          </cell>
          <cell r="C6055">
            <v>203</v>
          </cell>
          <cell r="D6055">
            <v>11</v>
          </cell>
          <cell r="E6055" t="str">
            <v>OPERATING SURPLUS, GROSS</v>
          </cell>
          <cell r="F6055">
            <v>12</v>
          </cell>
          <cell r="G6055">
            <v>2002</v>
          </cell>
          <cell r="H6055">
            <v>200</v>
          </cell>
          <cell r="I6055">
            <v>556594000000</v>
          </cell>
        </row>
        <row r="6056">
          <cell r="A6056" t="str">
            <v>Korea, Republic of</v>
          </cell>
          <cell r="B6056">
            <v>410</v>
          </cell>
          <cell r="C6056">
            <v>203</v>
          </cell>
          <cell r="D6056">
            <v>4</v>
          </cell>
          <cell r="E6056" t="str">
            <v>Compensation of employees</v>
          </cell>
          <cell r="F6056">
            <v>12</v>
          </cell>
          <cell r="G6056">
            <v>1970</v>
          </cell>
          <cell r="H6056">
            <v>100</v>
          </cell>
          <cell r="I6056">
            <v>928015000000</v>
          </cell>
        </row>
        <row r="6057">
          <cell r="A6057" t="str">
            <v>Korea, Republic of</v>
          </cell>
          <cell r="B6057">
            <v>410</v>
          </cell>
          <cell r="C6057">
            <v>203</v>
          </cell>
          <cell r="D6057">
            <v>4</v>
          </cell>
          <cell r="E6057" t="str">
            <v>Compensation of employees</v>
          </cell>
          <cell r="F6057">
            <v>12</v>
          </cell>
          <cell r="G6057">
            <v>1971</v>
          </cell>
          <cell r="H6057">
            <v>100</v>
          </cell>
          <cell r="I6057">
            <v>1145955000000</v>
          </cell>
        </row>
        <row r="6058">
          <cell r="A6058" t="str">
            <v>Korea, Republic of</v>
          </cell>
          <cell r="B6058">
            <v>410</v>
          </cell>
          <cell r="C6058">
            <v>203</v>
          </cell>
          <cell r="D6058">
            <v>4</v>
          </cell>
          <cell r="E6058" t="str">
            <v>Compensation of employees</v>
          </cell>
          <cell r="F6058">
            <v>12</v>
          </cell>
          <cell r="G6058">
            <v>1972</v>
          </cell>
          <cell r="H6058">
            <v>100</v>
          </cell>
          <cell r="I6058">
            <v>1392553000000</v>
          </cell>
        </row>
        <row r="6059">
          <cell r="A6059" t="str">
            <v>Korea, Republic of</v>
          </cell>
          <cell r="B6059">
            <v>410</v>
          </cell>
          <cell r="C6059">
            <v>203</v>
          </cell>
          <cell r="D6059">
            <v>4</v>
          </cell>
          <cell r="E6059" t="str">
            <v>Compensation of employees</v>
          </cell>
          <cell r="F6059">
            <v>12</v>
          </cell>
          <cell r="G6059">
            <v>1973</v>
          </cell>
          <cell r="H6059">
            <v>100</v>
          </cell>
          <cell r="I6059">
            <v>1815628000000</v>
          </cell>
        </row>
        <row r="6060">
          <cell r="A6060" t="str">
            <v>Korea, Republic of</v>
          </cell>
          <cell r="B6060">
            <v>410</v>
          </cell>
          <cell r="C6060">
            <v>203</v>
          </cell>
          <cell r="D6060">
            <v>4</v>
          </cell>
          <cell r="E6060" t="str">
            <v>Compensation of employees</v>
          </cell>
          <cell r="F6060">
            <v>12</v>
          </cell>
          <cell r="G6060">
            <v>1974</v>
          </cell>
          <cell r="H6060">
            <v>100</v>
          </cell>
          <cell r="I6060">
            <v>2451301000000</v>
          </cell>
        </row>
        <row r="6061">
          <cell r="A6061" t="str">
            <v>Korea, Republic of</v>
          </cell>
          <cell r="B6061">
            <v>410</v>
          </cell>
          <cell r="C6061">
            <v>203</v>
          </cell>
          <cell r="D6061">
            <v>4</v>
          </cell>
          <cell r="E6061" t="str">
            <v>Compensation of employees</v>
          </cell>
          <cell r="F6061">
            <v>12</v>
          </cell>
          <cell r="G6061">
            <v>1975</v>
          </cell>
          <cell r="H6061">
            <v>100</v>
          </cell>
          <cell r="I6061">
            <v>3315290000000</v>
          </cell>
        </row>
        <row r="6062">
          <cell r="A6062" t="str">
            <v>Korea, Republic of</v>
          </cell>
          <cell r="B6062">
            <v>410</v>
          </cell>
          <cell r="C6062">
            <v>203</v>
          </cell>
          <cell r="D6062">
            <v>4</v>
          </cell>
          <cell r="E6062" t="str">
            <v>Compensation of employees</v>
          </cell>
          <cell r="F6062">
            <v>12</v>
          </cell>
          <cell r="G6062">
            <v>1976</v>
          </cell>
          <cell r="H6062">
            <v>100</v>
          </cell>
          <cell r="I6062">
            <v>4681369000000</v>
          </cell>
        </row>
        <row r="6063">
          <cell r="A6063" t="str">
            <v>Korea, Republic of</v>
          </cell>
          <cell r="B6063">
            <v>410</v>
          </cell>
          <cell r="C6063">
            <v>203</v>
          </cell>
          <cell r="D6063">
            <v>4</v>
          </cell>
          <cell r="E6063" t="str">
            <v>Compensation of employees</v>
          </cell>
          <cell r="F6063">
            <v>12</v>
          </cell>
          <cell r="G6063">
            <v>1977</v>
          </cell>
          <cell r="H6063">
            <v>100</v>
          </cell>
          <cell r="I6063">
            <v>6300842000000</v>
          </cell>
        </row>
        <row r="6064">
          <cell r="A6064" t="str">
            <v>Korea, Republic of</v>
          </cell>
          <cell r="B6064">
            <v>410</v>
          </cell>
          <cell r="C6064">
            <v>203</v>
          </cell>
          <cell r="D6064">
            <v>4</v>
          </cell>
          <cell r="E6064" t="str">
            <v>Compensation of employees</v>
          </cell>
          <cell r="F6064">
            <v>12</v>
          </cell>
          <cell r="G6064">
            <v>1978</v>
          </cell>
          <cell r="H6064">
            <v>100</v>
          </cell>
          <cell r="I6064">
            <v>8971462000000</v>
          </cell>
        </row>
        <row r="6065">
          <cell r="A6065" t="str">
            <v>Korea, Republic of</v>
          </cell>
          <cell r="B6065">
            <v>410</v>
          </cell>
          <cell r="C6065">
            <v>203</v>
          </cell>
          <cell r="D6065">
            <v>4</v>
          </cell>
          <cell r="E6065" t="str">
            <v>Compensation of employees</v>
          </cell>
          <cell r="F6065">
            <v>12</v>
          </cell>
          <cell r="G6065">
            <v>1979</v>
          </cell>
          <cell r="H6065">
            <v>100</v>
          </cell>
          <cell r="I6065">
            <v>11955930000000</v>
          </cell>
        </row>
        <row r="6066">
          <cell r="A6066" t="str">
            <v>Korea, Republic of</v>
          </cell>
          <cell r="B6066">
            <v>410</v>
          </cell>
          <cell r="C6066">
            <v>203</v>
          </cell>
          <cell r="D6066">
            <v>4</v>
          </cell>
          <cell r="E6066" t="str">
            <v>Compensation of employees</v>
          </cell>
          <cell r="F6066">
            <v>12</v>
          </cell>
          <cell r="G6066">
            <v>1980</v>
          </cell>
          <cell r="H6066">
            <v>100</v>
          </cell>
          <cell r="I6066">
            <v>15007438000000</v>
          </cell>
        </row>
        <row r="6067">
          <cell r="A6067" t="str">
            <v>Korea, Republic of</v>
          </cell>
          <cell r="B6067">
            <v>410</v>
          </cell>
          <cell r="C6067">
            <v>203</v>
          </cell>
          <cell r="D6067">
            <v>4</v>
          </cell>
          <cell r="E6067" t="str">
            <v>Compensation of employees</v>
          </cell>
          <cell r="F6067">
            <v>12</v>
          </cell>
          <cell r="G6067">
            <v>1981</v>
          </cell>
          <cell r="H6067">
            <v>100</v>
          </cell>
          <cell r="I6067">
            <v>18466089000000</v>
          </cell>
        </row>
        <row r="6068">
          <cell r="A6068" t="str">
            <v>Korea, Republic of</v>
          </cell>
          <cell r="B6068">
            <v>410</v>
          </cell>
          <cell r="C6068">
            <v>203</v>
          </cell>
          <cell r="D6068">
            <v>4</v>
          </cell>
          <cell r="E6068" t="str">
            <v>Compensation of employees</v>
          </cell>
          <cell r="F6068">
            <v>12</v>
          </cell>
          <cell r="G6068">
            <v>1982</v>
          </cell>
          <cell r="H6068">
            <v>100</v>
          </cell>
          <cell r="I6068">
            <v>21421959000000</v>
          </cell>
        </row>
        <row r="6069">
          <cell r="A6069" t="str">
            <v>Korea, Republic of</v>
          </cell>
          <cell r="B6069">
            <v>410</v>
          </cell>
          <cell r="C6069">
            <v>203</v>
          </cell>
          <cell r="D6069">
            <v>4</v>
          </cell>
          <cell r="E6069" t="str">
            <v>Compensation of employees</v>
          </cell>
          <cell r="F6069">
            <v>12</v>
          </cell>
          <cell r="G6069">
            <v>1983</v>
          </cell>
          <cell r="H6069">
            <v>100</v>
          </cell>
          <cell r="I6069">
            <v>25894037000000</v>
          </cell>
        </row>
        <row r="6070">
          <cell r="A6070" t="str">
            <v>Korea, Republic of</v>
          </cell>
          <cell r="B6070">
            <v>410</v>
          </cell>
          <cell r="C6070">
            <v>203</v>
          </cell>
          <cell r="D6070">
            <v>4</v>
          </cell>
          <cell r="E6070" t="str">
            <v>Compensation of employees</v>
          </cell>
          <cell r="F6070">
            <v>12</v>
          </cell>
          <cell r="G6070">
            <v>1984</v>
          </cell>
          <cell r="H6070">
            <v>100</v>
          </cell>
          <cell r="I6070">
            <v>29640633000000</v>
          </cell>
        </row>
        <row r="6071">
          <cell r="A6071" t="str">
            <v>Korea, Republic of</v>
          </cell>
          <cell r="B6071">
            <v>410</v>
          </cell>
          <cell r="C6071">
            <v>203</v>
          </cell>
          <cell r="D6071">
            <v>4</v>
          </cell>
          <cell r="E6071" t="str">
            <v>Compensation of employees</v>
          </cell>
          <cell r="F6071">
            <v>12</v>
          </cell>
          <cell r="G6071">
            <v>1985</v>
          </cell>
          <cell r="H6071">
            <v>100</v>
          </cell>
          <cell r="I6071">
            <v>33012108000000</v>
          </cell>
        </row>
        <row r="6072">
          <cell r="A6072" t="str">
            <v>Korea, Republic of</v>
          </cell>
          <cell r="B6072">
            <v>410</v>
          </cell>
          <cell r="C6072">
            <v>203</v>
          </cell>
          <cell r="D6072">
            <v>4</v>
          </cell>
          <cell r="E6072" t="str">
            <v>Compensation of employees</v>
          </cell>
          <cell r="F6072">
            <v>12</v>
          </cell>
          <cell r="G6072">
            <v>1986</v>
          </cell>
          <cell r="H6072">
            <v>100</v>
          </cell>
          <cell r="I6072">
            <v>37894453000000</v>
          </cell>
        </row>
        <row r="6073">
          <cell r="A6073" t="str">
            <v>Korea, Republic of</v>
          </cell>
          <cell r="B6073">
            <v>410</v>
          </cell>
          <cell r="C6073">
            <v>203</v>
          </cell>
          <cell r="D6073">
            <v>4</v>
          </cell>
          <cell r="E6073" t="str">
            <v>Compensation of employees</v>
          </cell>
          <cell r="F6073">
            <v>12</v>
          </cell>
          <cell r="G6073">
            <v>1987</v>
          </cell>
          <cell r="H6073">
            <v>100</v>
          </cell>
          <cell r="I6073">
            <v>45647501000000</v>
          </cell>
        </row>
        <row r="6074">
          <cell r="A6074" t="str">
            <v>Korea, Republic of</v>
          </cell>
          <cell r="B6074">
            <v>410</v>
          </cell>
          <cell r="C6074">
            <v>203</v>
          </cell>
          <cell r="D6074">
            <v>4</v>
          </cell>
          <cell r="E6074" t="str">
            <v>Compensation of employees</v>
          </cell>
          <cell r="F6074">
            <v>12</v>
          </cell>
          <cell r="G6074">
            <v>1988</v>
          </cell>
          <cell r="H6074">
            <v>100</v>
          </cell>
          <cell r="I6074">
            <v>56152476000000</v>
          </cell>
        </row>
        <row r="6075">
          <cell r="A6075" t="str">
            <v>Korea, Republic of</v>
          </cell>
          <cell r="B6075">
            <v>410</v>
          </cell>
          <cell r="C6075">
            <v>203</v>
          </cell>
          <cell r="D6075">
            <v>4</v>
          </cell>
          <cell r="E6075" t="str">
            <v>Compensation of employees</v>
          </cell>
          <cell r="F6075">
            <v>12</v>
          </cell>
          <cell r="G6075">
            <v>1989</v>
          </cell>
          <cell r="H6075">
            <v>100</v>
          </cell>
          <cell r="I6075">
            <v>66824364000000</v>
          </cell>
        </row>
        <row r="6076">
          <cell r="A6076" t="str">
            <v>Korea, Republic of</v>
          </cell>
          <cell r="B6076">
            <v>410</v>
          </cell>
          <cell r="C6076">
            <v>203</v>
          </cell>
          <cell r="D6076">
            <v>4</v>
          </cell>
          <cell r="E6076" t="str">
            <v>Compensation of employees</v>
          </cell>
          <cell r="F6076">
            <v>12</v>
          </cell>
          <cell r="G6076">
            <v>1990</v>
          </cell>
          <cell r="H6076">
            <v>100</v>
          </cell>
          <cell r="I6076">
            <v>82014754000000</v>
          </cell>
        </row>
        <row r="6077">
          <cell r="A6077" t="str">
            <v>Korea, Republic of</v>
          </cell>
          <cell r="B6077">
            <v>410</v>
          </cell>
          <cell r="C6077">
            <v>203</v>
          </cell>
          <cell r="D6077">
            <v>4</v>
          </cell>
          <cell r="E6077" t="str">
            <v>Compensation of employees</v>
          </cell>
          <cell r="F6077">
            <v>12</v>
          </cell>
          <cell r="G6077">
            <v>1991</v>
          </cell>
          <cell r="H6077">
            <v>100</v>
          </cell>
          <cell r="I6077">
            <v>101785092000000</v>
          </cell>
        </row>
        <row r="6078">
          <cell r="A6078" t="str">
            <v>Korea, Republic of</v>
          </cell>
          <cell r="B6078">
            <v>410</v>
          </cell>
          <cell r="C6078">
            <v>203</v>
          </cell>
          <cell r="D6078">
            <v>4</v>
          </cell>
          <cell r="E6078" t="str">
            <v>Compensation of employees</v>
          </cell>
          <cell r="F6078">
            <v>12</v>
          </cell>
          <cell r="G6078">
            <v>1992</v>
          </cell>
          <cell r="H6078">
            <v>100</v>
          </cell>
          <cell r="I6078">
            <v>115237244000000</v>
          </cell>
        </row>
        <row r="6079">
          <cell r="A6079" t="str">
            <v>Korea, Republic of</v>
          </cell>
          <cell r="B6079">
            <v>410</v>
          </cell>
          <cell r="C6079">
            <v>203</v>
          </cell>
          <cell r="D6079">
            <v>4</v>
          </cell>
          <cell r="E6079" t="str">
            <v>Compensation of employees</v>
          </cell>
          <cell r="F6079">
            <v>12</v>
          </cell>
          <cell r="G6079">
            <v>1995</v>
          </cell>
          <cell r="H6079">
            <v>200</v>
          </cell>
          <cell r="I6079">
            <v>186997454000000</v>
          </cell>
        </row>
        <row r="6080">
          <cell r="A6080" t="str">
            <v>Korea, Republic of</v>
          </cell>
          <cell r="B6080">
            <v>410</v>
          </cell>
          <cell r="C6080">
            <v>203</v>
          </cell>
          <cell r="D6080">
            <v>4</v>
          </cell>
          <cell r="E6080" t="str">
            <v>Compensation of employees</v>
          </cell>
          <cell r="F6080">
            <v>12</v>
          </cell>
          <cell r="G6080">
            <v>1996</v>
          </cell>
          <cell r="H6080">
            <v>200</v>
          </cell>
          <cell r="I6080">
            <v>214430449000000</v>
          </cell>
        </row>
        <row r="6081">
          <cell r="A6081" t="str">
            <v>Korea, Republic of</v>
          </cell>
          <cell r="B6081">
            <v>410</v>
          </cell>
          <cell r="C6081">
            <v>203</v>
          </cell>
          <cell r="D6081">
            <v>4</v>
          </cell>
          <cell r="E6081" t="str">
            <v>Compensation of employees</v>
          </cell>
          <cell r="F6081">
            <v>12</v>
          </cell>
          <cell r="G6081">
            <v>1997</v>
          </cell>
          <cell r="H6081">
            <v>200</v>
          </cell>
          <cell r="I6081">
            <v>226608114000000</v>
          </cell>
        </row>
        <row r="6082">
          <cell r="A6082" t="str">
            <v>Korea, Republic of</v>
          </cell>
          <cell r="B6082">
            <v>410</v>
          </cell>
          <cell r="C6082">
            <v>203</v>
          </cell>
          <cell r="D6082">
            <v>4</v>
          </cell>
          <cell r="E6082" t="str">
            <v>Compensation of employees</v>
          </cell>
          <cell r="F6082">
            <v>12</v>
          </cell>
          <cell r="G6082">
            <v>1998</v>
          </cell>
          <cell r="H6082">
            <v>200</v>
          </cell>
          <cell r="I6082">
            <v>216974275000000</v>
          </cell>
        </row>
        <row r="6083">
          <cell r="A6083" t="str">
            <v>Korea, Republic of</v>
          </cell>
          <cell r="B6083">
            <v>410</v>
          </cell>
          <cell r="C6083">
            <v>203</v>
          </cell>
          <cell r="D6083">
            <v>4</v>
          </cell>
          <cell r="E6083" t="str">
            <v>Compensation of employees</v>
          </cell>
          <cell r="F6083">
            <v>12</v>
          </cell>
          <cell r="G6083">
            <v>1999</v>
          </cell>
          <cell r="H6083">
            <v>200</v>
          </cell>
          <cell r="I6083">
            <v>227933989000000</v>
          </cell>
        </row>
        <row r="6084">
          <cell r="A6084" t="str">
            <v>Korea, Republic of</v>
          </cell>
          <cell r="B6084">
            <v>410</v>
          </cell>
          <cell r="C6084">
            <v>203</v>
          </cell>
          <cell r="D6084">
            <v>4</v>
          </cell>
          <cell r="E6084" t="str">
            <v>Compensation of employees</v>
          </cell>
          <cell r="F6084">
            <v>12</v>
          </cell>
          <cell r="G6084">
            <v>2000</v>
          </cell>
          <cell r="H6084">
            <v>200</v>
          </cell>
          <cell r="I6084">
            <v>248167251000000</v>
          </cell>
        </row>
        <row r="6085">
          <cell r="A6085" t="str">
            <v>Korea, Republic of</v>
          </cell>
          <cell r="B6085">
            <v>410</v>
          </cell>
          <cell r="C6085">
            <v>203</v>
          </cell>
          <cell r="D6085">
            <v>4</v>
          </cell>
          <cell r="E6085" t="str">
            <v>Compensation of employees</v>
          </cell>
          <cell r="F6085">
            <v>12</v>
          </cell>
          <cell r="G6085">
            <v>2001</v>
          </cell>
          <cell r="H6085">
            <v>200</v>
          </cell>
          <cell r="I6085">
            <v>270469811000000</v>
          </cell>
        </row>
        <row r="6086">
          <cell r="A6086" t="str">
            <v>Korea, Republic of</v>
          </cell>
          <cell r="B6086">
            <v>410</v>
          </cell>
          <cell r="C6086">
            <v>203</v>
          </cell>
          <cell r="D6086">
            <v>4</v>
          </cell>
          <cell r="E6086" t="str">
            <v>Compensation of employees</v>
          </cell>
          <cell r="F6086">
            <v>12</v>
          </cell>
          <cell r="G6086">
            <v>2002</v>
          </cell>
          <cell r="H6086">
            <v>200</v>
          </cell>
          <cell r="I6086">
            <v>294480851000000</v>
          </cell>
        </row>
        <row r="6087">
          <cell r="A6087" t="str">
            <v>Korea, Republic of</v>
          </cell>
          <cell r="B6087">
            <v>410</v>
          </cell>
          <cell r="C6087">
            <v>203</v>
          </cell>
          <cell r="D6087">
            <v>4</v>
          </cell>
          <cell r="E6087" t="str">
            <v>Compensation of employees</v>
          </cell>
          <cell r="F6087">
            <v>12</v>
          </cell>
          <cell r="G6087">
            <v>2003</v>
          </cell>
          <cell r="H6087">
            <v>200</v>
          </cell>
          <cell r="I6087">
            <v>317594652000000</v>
          </cell>
        </row>
        <row r="6088">
          <cell r="A6088" t="str">
            <v>France</v>
          </cell>
          <cell r="B6088">
            <v>250</v>
          </cell>
          <cell r="C6088">
            <v>203</v>
          </cell>
          <cell r="D6088">
            <v>22</v>
          </cell>
          <cell r="E6088" t="str">
            <v>Taxes on production and imports, less Subsidies</v>
          </cell>
          <cell r="F6088">
            <v>12</v>
          </cell>
          <cell r="G6088">
            <v>1977</v>
          </cell>
          <cell r="H6088">
            <v>30</v>
          </cell>
          <cell r="I6088">
            <v>66312000000</v>
          </cell>
        </row>
        <row r="6089">
          <cell r="A6089" t="str">
            <v>France</v>
          </cell>
          <cell r="B6089">
            <v>250</v>
          </cell>
          <cell r="C6089">
            <v>203</v>
          </cell>
          <cell r="D6089">
            <v>22</v>
          </cell>
          <cell r="E6089" t="str">
            <v>Taxes on production and imports, less Subsidies</v>
          </cell>
          <cell r="F6089">
            <v>12</v>
          </cell>
          <cell r="G6089">
            <v>1978</v>
          </cell>
          <cell r="H6089">
            <v>30</v>
          </cell>
          <cell r="I6089">
            <v>80714000000</v>
          </cell>
        </row>
        <row r="6090">
          <cell r="A6090" t="str">
            <v>France</v>
          </cell>
          <cell r="B6090">
            <v>250</v>
          </cell>
          <cell r="C6090">
            <v>203</v>
          </cell>
          <cell r="D6090">
            <v>22</v>
          </cell>
          <cell r="E6090" t="str">
            <v>Taxes on production and imports, less Subsidies</v>
          </cell>
          <cell r="F6090">
            <v>12</v>
          </cell>
          <cell r="G6090">
            <v>1978</v>
          </cell>
          <cell r="H6090">
            <v>200</v>
          </cell>
          <cell r="I6090">
            <v>6985247821</v>
          </cell>
        </row>
        <row r="6091">
          <cell r="A6091" t="str">
            <v>France</v>
          </cell>
          <cell r="B6091">
            <v>250</v>
          </cell>
          <cell r="C6091">
            <v>203</v>
          </cell>
          <cell r="D6091">
            <v>22</v>
          </cell>
          <cell r="E6091" t="str">
            <v>Taxes on production and imports, less Subsidies</v>
          </cell>
          <cell r="F6091">
            <v>12</v>
          </cell>
          <cell r="G6091">
            <v>1979</v>
          </cell>
          <cell r="H6091">
            <v>200</v>
          </cell>
          <cell r="I6091">
            <v>7989318794</v>
          </cell>
        </row>
        <row r="6092">
          <cell r="A6092" t="str">
            <v>France</v>
          </cell>
          <cell r="B6092">
            <v>250</v>
          </cell>
          <cell r="C6092">
            <v>203</v>
          </cell>
          <cell r="D6092">
            <v>22</v>
          </cell>
          <cell r="E6092" t="str">
            <v>Taxes on production and imports, less Subsidies</v>
          </cell>
          <cell r="F6092">
            <v>12</v>
          </cell>
          <cell r="G6092">
            <v>1980</v>
          </cell>
          <cell r="H6092">
            <v>200</v>
          </cell>
          <cell r="I6092">
            <v>9134225797</v>
          </cell>
        </row>
        <row r="6093">
          <cell r="A6093" t="str">
            <v>France</v>
          </cell>
          <cell r="B6093">
            <v>250</v>
          </cell>
          <cell r="C6093">
            <v>203</v>
          </cell>
          <cell r="D6093">
            <v>22</v>
          </cell>
          <cell r="E6093" t="str">
            <v>Taxes on production and imports, less Subsidies</v>
          </cell>
          <cell r="F6093">
            <v>12</v>
          </cell>
          <cell r="G6093">
            <v>1981</v>
          </cell>
          <cell r="H6093">
            <v>200</v>
          </cell>
          <cell r="I6093">
            <v>10684330211</v>
          </cell>
        </row>
        <row r="6094">
          <cell r="A6094" t="str">
            <v>France</v>
          </cell>
          <cell r="B6094">
            <v>250</v>
          </cell>
          <cell r="C6094">
            <v>203</v>
          </cell>
          <cell r="D6094">
            <v>22</v>
          </cell>
          <cell r="E6094" t="str">
            <v>Taxes on production and imports, less Subsidies</v>
          </cell>
          <cell r="F6094">
            <v>12</v>
          </cell>
          <cell r="G6094">
            <v>1982</v>
          </cell>
          <cell r="H6094">
            <v>200</v>
          </cell>
          <cell r="I6094">
            <v>13008072297</v>
          </cell>
        </row>
        <row r="6095">
          <cell r="A6095" t="str">
            <v>France</v>
          </cell>
          <cell r="B6095">
            <v>250</v>
          </cell>
          <cell r="C6095">
            <v>203</v>
          </cell>
          <cell r="D6095">
            <v>22</v>
          </cell>
          <cell r="E6095" t="str">
            <v>Taxes on production and imports, less Subsidies</v>
          </cell>
          <cell r="F6095">
            <v>12</v>
          </cell>
          <cell r="G6095">
            <v>1983</v>
          </cell>
          <cell r="H6095">
            <v>200</v>
          </cell>
          <cell r="I6095">
            <v>13832852221</v>
          </cell>
        </row>
        <row r="6096">
          <cell r="A6096" t="str">
            <v>France</v>
          </cell>
          <cell r="B6096">
            <v>250</v>
          </cell>
          <cell r="C6096">
            <v>203</v>
          </cell>
          <cell r="D6096">
            <v>22</v>
          </cell>
          <cell r="E6096" t="str">
            <v>Taxes on production and imports, less Subsidies</v>
          </cell>
          <cell r="F6096">
            <v>12</v>
          </cell>
          <cell r="G6096">
            <v>1984</v>
          </cell>
          <cell r="H6096">
            <v>200</v>
          </cell>
          <cell r="I6096">
            <v>15518744729</v>
          </cell>
        </row>
        <row r="6097">
          <cell r="A6097" t="str">
            <v>France</v>
          </cell>
          <cell r="B6097">
            <v>250</v>
          </cell>
          <cell r="C6097">
            <v>203</v>
          </cell>
          <cell r="D6097">
            <v>22</v>
          </cell>
          <cell r="E6097" t="str">
            <v>Taxes on production and imports, less Subsidies</v>
          </cell>
          <cell r="F6097">
            <v>12</v>
          </cell>
          <cell r="G6097">
            <v>1985</v>
          </cell>
          <cell r="H6097">
            <v>200</v>
          </cell>
          <cell r="I6097">
            <v>15513812249</v>
          </cell>
        </row>
        <row r="6098">
          <cell r="A6098" t="str">
            <v>France</v>
          </cell>
          <cell r="B6098">
            <v>250</v>
          </cell>
          <cell r="C6098">
            <v>203</v>
          </cell>
          <cell r="D6098">
            <v>22</v>
          </cell>
          <cell r="E6098" t="str">
            <v>Taxes on production and imports, less Subsidies</v>
          </cell>
          <cell r="F6098">
            <v>12</v>
          </cell>
          <cell r="G6098">
            <v>1986</v>
          </cell>
          <cell r="H6098">
            <v>200</v>
          </cell>
          <cell r="I6098">
            <v>15936656082</v>
          </cell>
        </row>
        <row r="6099">
          <cell r="A6099" t="str">
            <v>France</v>
          </cell>
          <cell r="B6099">
            <v>250</v>
          </cell>
          <cell r="C6099">
            <v>203</v>
          </cell>
          <cell r="D6099">
            <v>22</v>
          </cell>
          <cell r="E6099" t="str">
            <v>Taxes on production and imports, less Subsidies</v>
          </cell>
          <cell r="F6099">
            <v>12</v>
          </cell>
          <cell r="G6099">
            <v>1987</v>
          </cell>
          <cell r="H6099">
            <v>200</v>
          </cell>
          <cell r="I6099">
            <v>18102741163</v>
          </cell>
        </row>
        <row r="6100">
          <cell r="A6100" t="str">
            <v>France</v>
          </cell>
          <cell r="B6100">
            <v>250</v>
          </cell>
          <cell r="C6100">
            <v>203</v>
          </cell>
          <cell r="D6100">
            <v>22</v>
          </cell>
          <cell r="E6100" t="str">
            <v>Taxes on production and imports, less Subsidies</v>
          </cell>
          <cell r="F6100">
            <v>12</v>
          </cell>
          <cell r="G6100">
            <v>1988</v>
          </cell>
          <cell r="H6100">
            <v>200</v>
          </cell>
          <cell r="I6100">
            <v>21040821604</v>
          </cell>
        </row>
        <row r="6101">
          <cell r="A6101" t="str">
            <v>France</v>
          </cell>
          <cell r="B6101">
            <v>250</v>
          </cell>
          <cell r="C6101">
            <v>203</v>
          </cell>
          <cell r="D6101">
            <v>22</v>
          </cell>
          <cell r="E6101" t="str">
            <v>Taxes on production and imports, less Subsidies</v>
          </cell>
          <cell r="F6101">
            <v>12</v>
          </cell>
          <cell r="G6101">
            <v>1989</v>
          </cell>
          <cell r="H6101">
            <v>200</v>
          </cell>
          <cell r="I6101">
            <v>22899758334</v>
          </cell>
        </row>
        <row r="6102">
          <cell r="A6102" t="str">
            <v>France</v>
          </cell>
          <cell r="B6102">
            <v>250</v>
          </cell>
          <cell r="C6102">
            <v>203</v>
          </cell>
          <cell r="D6102">
            <v>22</v>
          </cell>
          <cell r="E6102" t="str">
            <v>Taxes on production and imports, less Subsidies</v>
          </cell>
          <cell r="F6102">
            <v>12</v>
          </cell>
          <cell r="G6102">
            <v>1990</v>
          </cell>
          <cell r="H6102">
            <v>200</v>
          </cell>
          <cell r="I6102">
            <v>26155023088</v>
          </cell>
        </row>
        <row r="6103">
          <cell r="A6103" t="str">
            <v>France</v>
          </cell>
          <cell r="B6103">
            <v>250</v>
          </cell>
          <cell r="C6103">
            <v>203</v>
          </cell>
          <cell r="D6103">
            <v>22</v>
          </cell>
          <cell r="E6103" t="str">
            <v>Taxes on production and imports, less Subsidies</v>
          </cell>
          <cell r="F6103">
            <v>12</v>
          </cell>
          <cell r="G6103">
            <v>1991</v>
          </cell>
          <cell r="H6103">
            <v>200</v>
          </cell>
          <cell r="I6103">
            <v>27590007693</v>
          </cell>
        </row>
        <row r="6104">
          <cell r="A6104" t="str">
            <v>France</v>
          </cell>
          <cell r="B6104">
            <v>250</v>
          </cell>
          <cell r="C6104">
            <v>203</v>
          </cell>
          <cell r="D6104">
            <v>22</v>
          </cell>
          <cell r="E6104" t="str">
            <v>Taxes on production and imports, less Subsidies</v>
          </cell>
          <cell r="F6104">
            <v>12</v>
          </cell>
          <cell r="G6104">
            <v>1992</v>
          </cell>
          <cell r="H6104">
            <v>200</v>
          </cell>
          <cell r="I6104">
            <v>30077000000</v>
          </cell>
        </row>
        <row r="6105">
          <cell r="A6105" t="str">
            <v>France</v>
          </cell>
          <cell r="B6105">
            <v>250</v>
          </cell>
          <cell r="C6105">
            <v>203</v>
          </cell>
          <cell r="D6105">
            <v>22</v>
          </cell>
          <cell r="E6105" t="str">
            <v>Taxes on production and imports, less Subsidies</v>
          </cell>
          <cell r="F6105">
            <v>12</v>
          </cell>
          <cell r="G6105">
            <v>1993</v>
          </cell>
          <cell r="H6105">
            <v>200</v>
          </cell>
          <cell r="I6105">
            <v>32257297353.3326</v>
          </cell>
        </row>
        <row r="6106">
          <cell r="A6106" t="str">
            <v>France</v>
          </cell>
          <cell r="B6106">
            <v>250</v>
          </cell>
          <cell r="C6106">
            <v>203</v>
          </cell>
          <cell r="D6106">
            <v>22</v>
          </cell>
          <cell r="E6106" t="str">
            <v>Taxes on production and imports, less Subsidies</v>
          </cell>
          <cell r="F6106">
            <v>12</v>
          </cell>
          <cell r="G6106">
            <v>1994</v>
          </cell>
          <cell r="H6106">
            <v>200</v>
          </cell>
          <cell r="I6106">
            <v>35151237047.5504</v>
          </cell>
        </row>
        <row r="6107">
          <cell r="A6107" t="str">
            <v>France</v>
          </cell>
          <cell r="B6107">
            <v>250</v>
          </cell>
          <cell r="C6107">
            <v>203</v>
          </cell>
          <cell r="D6107">
            <v>22</v>
          </cell>
          <cell r="E6107" t="str">
            <v>Taxes on production and imports, less Subsidies</v>
          </cell>
          <cell r="F6107">
            <v>12</v>
          </cell>
          <cell r="G6107">
            <v>1995</v>
          </cell>
          <cell r="H6107">
            <v>200</v>
          </cell>
          <cell r="I6107">
            <v>39020850452.087601</v>
          </cell>
        </row>
        <row r="6108">
          <cell r="A6108" t="str">
            <v>France</v>
          </cell>
          <cell r="B6108">
            <v>250</v>
          </cell>
          <cell r="C6108">
            <v>203</v>
          </cell>
          <cell r="D6108">
            <v>22</v>
          </cell>
          <cell r="E6108" t="str">
            <v>Taxes on production and imports, less Subsidies</v>
          </cell>
          <cell r="F6108">
            <v>12</v>
          </cell>
          <cell r="G6108">
            <v>1996</v>
          </cell>
          <cell r="H6108">
            <v>200</v>
          </cell>
          <cell r="I6108">
            <v>40649920650.286499</v>
          </cell>
        </row>
        <row r="6109">
          <cell r="A6109" t="str">
            <v>France</v>
          </cell>
          <cell r="B6109">
            <v>250</v>
          </cell>
          <cell r="C6109">
            <v>203</v>
          </cell>
          <cell r="D6109">
            <v>22</v>
          </cell>
          <cell r="E6109" t="str">
            <v>Taxes on production and imports, less Subsidies</v>
          </cell>
          <cell r="F6109">
            <v>12</v>
          </cell>
          <cell r="G6109">
            <v>1997</v>
          </cell>
          <cell r="H6109">
            <v>200</v>
          </cell>
          <cell r="I6109">
            <v>43743873455.119797</v>
          </cell>
        </row>
        <row r="6110">
          <cell r="A6110" t="str">
            <v>France</v>
          </cell>
          <cell r="B6110">
            <v>250</v>
          </cell>
          <cell r="C6110">
            <v>203</v>
          </cell>
          <cell r="D6110">
            <v>22</v>
          </cell>
          <cell r="E6110" t="str">
            <v>Taxes on production and imports, less Subsidies</v>
          </cell>
          <cell r="F6110">
            <v>12</v>
          </cell>
          <cell r="G6110">
            <v>1998</v>
          </cell>
          <cell r="H6110">
            <v>200</v>
          </cell>
          <cell r="I6110">
            <v>45939000000</v>
          </cell>
        </row>
        <row r="6111">
          <cell r="A6111" t="str">
            <v>France</v>
          </cell>
          <cell r="B6111">
            <v>250</v>
          </cell>
          <cell r="C6111">
            <v>203</v>
          </cell>
          <cell r="D6111">
            <v>22</v>
          </cell>
          <cell r="E6111" t="str">
            <v>Taxes on production and imports, less Subsidies</v>
          </cell>
          <cell r="F6111">
            <v>12</v>
          </cell>
          <cell r="G6111">
            <v>1999</v>
          </cell>
          <cell r="H6111">
            <v>200</v>
          </cell>
          <cell r="I6111">
            <v>47741000000</v>
          </cell>
        </row>
        <row r="6112">
          <cell r="A6112" t="str">
            <v>France</v>
          </cell>
          <cell r="B6112">
            <v>250</v>
          </cell>
          <cell r="C6112">
            <v>203</v>
          </cell>
          <cell r="D6112">
            <v>22</v>
          </cell>
          <cell r="E6112" t="str">
            <v>Taxes on production and imports, less Subsidies</v>
          </cell>
          <cell r="F6112">
            <v>12</v>
          </cell>
          <cell r="G6112">
            <v>2000</v>
          </cell>
          <cell r="H6112">
            <v>200</v>
          </cell>
          <cell r="I6112">
            <v>49113000000</v>
          </cell>
        </row>
        <row r="6113">
          <cell r="A6113" t="str">
            <v>France</v>
          </cell>
          <cell r="B6113">
            <v>250</v>
          </cell>
          <cell r="C6113">
            <v>203</v>
          </cell>
          <cell r="D6113">
            <v>22</v>
          </cell>
          <cell r="E6113" t="str">
            <v>Taxes on production and imports, less Subsidies</v>
          </cell>
          <cell r="F6113">
            <v>12</v>
          </cell>
          <cell r="G6113">
            <v>2001</v>
          </cell>
          <cell r="H6113">
            <v>200</v>
          </cell>
          <cell r="I6113">
            <v>48678000000</v>
          </cell>
        </row>
        <row r="6114">
          <cell r="A6114" t="str">
            <v>France</v>
          </cell>
          <cell r="B6114">
            <v>250</v>
          </cell>
          <cell r="C6114">
            <v>203</v>
          </cell>
          <cell r="D6114">
            <v>22</v>
          </cell>
          <cell r="E6114" t="str">
            <v>Taxes on production and imports, less Subsidies</v>
          </cell>
          <cell r="F6114">
            <v>12</v>
          </cell>
          <cell r="G6114">
            <v>2002</v>
          </cell>
          <cell r="H6114">
            <v>200</v>
          </cell>
          <cell r="I6114">
            <v>49081000000</v>
          </cell>
        </row>
        <row r="6115">
          <cell r="A6115" t="str">
            <v>Korea, Republic of</v>
          </cell>
          <cell r="B6115">
            <v>410</v>
          </cell>
          <cell r="C6115">
            <v>203</v>
          </cell>
          <cell r="D6115">
            <v>11</v>
          </cell>
          <cell r="E6115" t="str">
            <v>OPERATING SURPLUS, GROSS</v>
          </cell>
          <cell r="F6115">
            <v>12</v>
          </cell>
          <cell r="G6115">
            <v>1970</v>
          </cell>
          <cell r="H6115">
            <v>100</v>
          </cell>
          <cell r="I6115">
            <v>1585483000000</v>
          </cell>
        </row>
        <row r="6116">
          <cell r="A6116" t="str">
            <v>Korea, Republic of</v>
          </cell>
          <cell r="B6116">
            <v>410</v>
          </cell>
          <cell r="C6116">
            <v>203</v>
          </cell>
          <cell r="D6116">
            <v>11</v>
          </cell>
          <cell r="E6116" t="str">
            <v>OPERATING SURPLUS, GROSS</v>
          </cell>
          <cell r="F6116">
            <v>12</v>
          </cell>
          <cell r="G6116">
            <v>1971</v>
          </cell>
          <cell r="H6116">
            <v>100</v>
          </cell>
          <cell r="I6116">
            <v>1982354000000</v>
          </cell>
        </row>
        <row r="6117">
          <cell r="A6117" t="str">
            <v>Korea, Republic of</v>
          </cell>
          <cell r="B6117">
            <v>410</v>
          </cell>
          <cell r="C6117">
            <v>203</v>
          </cell>
          <cell r="D6117">
            <v>11</v>
          </cell>
          <cell r="E6117" t="str">
            <v>OPERATING SURPLUS, GROSS</v>
          </cell>
          <cell r="F6117">
            <v>12</v>
          </cell>
          <cell r="G6117">
            <v>1972</v>
          </cell>
          <cell r="H6117">
            <v>100</v>
          </cell>
          <cell r="I6117">
            <v>2502889000000</v>
          </cell>
        </row>
        <row r="6118">
          <cell r="A6118" t="str">
            <v>Korea, Republic of</v>
          </cell>
          <cell r="B6118">
            <v>410</v>
          </cell>
          <cell r="C6118">
            <v>203</v>
          </cell>
          <cell r="D6118">
            <v>11</v>
          </cell>
          <cell r="E6118" t="str">
            <v>OPERATING SURPLUS, GROSS</v>
          </cell>
          <cell r="F6118">
            <v>12</v>
          </cell>
          <cell r="G6118">
            <v>1973</v>
          </cell>
          <cell r="H6118">
            <v>100</v>
          </cell>
          <cell r="I6118">
            <v>3222811000000</v>
          </cell>
        </row>
        <row r="6119">
          <cell r="A6119" t="str">
            <v>Korea, Republic of</v>
          </cell>
          <cell r="B6119">
            <v>410</v>
          </cell>
          <cell r="C6119">
            <v>203</v>
          </cell>
          <cell r="D6119">
            <v>11</v>
          </cell>
          <cell r="E6119" t="str">
            <v>OPERATING SURPLUS, GROSS</v>
          </cell>
          <cell r="F6119">
            <v>12</v>
          </cell>
          <cell r="G6119">
            <v>1974</v>
          </cell>
          <cell r="H6119">
            <v>100</v>
          </cell>
          <cell r="I6119">
            <v>4655023000000</v>
          </cell>
        </row>
        <row r="6120">
          <cell r="A6120" t="str">
            <v>Korea, Republic of</v>
          </cell>
          <cell r="B6120">
            <v>410</v>
          </cell>
          <cell r="C6120">
            <v>203</v>
          </cell>
          <cell r="D6120">
            <v>11</v>
          </cell>
          <cell r="E6120" t="str">
            <v>OPERATING SURPLUS, GROSS</v>
          </cell>
          <cell r="F6120">
            <v>12</v>
          </cell>
          <cell r="G6120">
            <v>1975</v>
          </cell>
          <cell r="H6120">
            <v>100</v>
          </cell>
          <cell r="I6120">
            <v>6087043000000</v>
          </cell>
        </row>
        <row r="6121">
          <cell r="A6121" t="str">
            <v>Korea, Republic of</v>
          </cell>
          <cell r="B6121">
            <v>410</v>
          </cell>
          <cell r="C6121">
            <v>203</v>
          </cell>
          <cell r="D6121">
            <v>11</v>
          </cell>
          <cell r="E6121" t="str">
            <v>OPERATING SURPLUS, GROSS</v>
          </cell>
          <cell r="F6121">
            <v>12</v>
          </cell>
          <cell r="G6121">
            <v>1976</v>
          </cell>
          <cell r="H6121">
            <v>100</v>
          </cell>
          <cell r="I6121">
            <v>8136868000000</v>
          </cell>
        </row>
        <row r="6122">
          <cell r="A6122" t="str">
            <v>Korea, Republic of</v>
          </cell>
          <cell r="B6122">
            <v>410</v>
          </cell>
          <cell r="C6122">
            <v>203</v>
          </cell>
          <cell r="D6122">
            <v>11</v>
          </cell>
          <cell r="E6122" t="str">
            <v>OPERATING SURPLUS, GROSS</v>
          </cell>
          <cell r="F6122">
            <v>12</v>
          </cell>
          <cell r="G6122">
            <v>1977</v>
          </cell>
          <cell r="H6122">
            <v>100</v>
          </cell>
          <cell r="I6122">
            <v>10096132000000</v>
          </cell>
        </row>
        <row r="6123">
          <cell r="A6123" t="str">
            <v>Korea, Republic of</v>
          </cell>
          <cell r="B6123">
            <v>410</v>
          </cell>
          <cell r="C6123">
            <v>203</v>
          </cell>
          <cell r="D6123">
            <v>11</v>
          </cell>
          <cell r="E6123" t="str">
            <v>OPERATING SURPLUS, GROSS</v>
          </cell>
          <cell r="F6123">
            <v>12</v>
          </cell>
          <cell r="G6123">
            <v>1978</v>
          </cell>
          <cell r="H6123">
            <v>100</v>
          </cell>
          <cell r="I6123">
            <v>13137766000000</v>
          </cell>
        </row>
        <row r="6124">
          <cell r="A6124" t="str">
            <v>Korea, Republic of</v>
          </cell>
          <cell r="B6124">
            <v>410</v>
          </cell>
          <cell r="C6124">
            <v>203</v>
          </cell>
          <cell r="D6124">
            <v>11</v>
          </cell>
          <cell r="E6124" t="str">
            <v>OPERATING SURPLUS, GROSS</v>
          </cell>
          <cell r="F6124">
            <v>12</v>
          </cell>
          <cell r="G6124">
            <v>1979</v>
          </cell>
          <cell r="H6124">
            <v>100</v>
          </cell>
          <cell r="I6124">
            <v>16373783000000</v>
          </cell>
        </row>
        <row r="6125">
          <cell r="A6125" t="str">
            <v>Korea, Republic of</v>
          </cell>
          <cell r="B6125">
            <v>410</v>
          </cell>
          <cell r="C6125">
            <v>203</v>
          </cell>
          <cell r="D6125">
            <v>11</v>
          </cell>
          <cell r="E6125" t="str">
            <v>OPERATING SURPLUS, GROSS</v>
          </cell>
          <cell r="F6125">
            <v>12</v>
          </cell>
          <cell r="G6125">
            <v>1980</v>
          </cell>
          <cell r="H6125">
            <v>100</v>
          </cell>
          <cell r="I6125">
            <v>19467838000000</v>
          </cell>
        </row>
        <row r="6126">
          <cell r="A6126" t="str">
            <v>Korea, Republic of</v>
          </cell>
          <cell r="B6126">
            <v>410</v>
          </cell>
          <cell r="C6126">
            <v>203</v>
          </cell>
          <cell r="D6126">
            <v>11</v>
          </cell>
          <cell r="E6126" t="str">
            <v>OPERATING SURPLUS, GROSS</v>
          </cell>
          <cell r="F6126">
            <v>12</v>
          </cell>
          <cell r="G6126">
            <v>1981</v>
          </cell>
          <cell r="H6126">
            <v>100</v>
          </cell>
          <cell r="I6126">
            <v>24511369000000</v>
          </cell>
        </row>
        <row r="6127">
          <cell r="A6127" t="str">
            <v>Korea, Republic of</v>
          </cell>
          <cell r="B6127">
            <v>410</v>
          </cell>
          <cell r="C6127">
            <v>203</v>
          </cell>
          <cell r="D6127">
            <v>11</v>
          </cell>
          <cell r="E6127" t="str">
            <v>OPERATING SURPLUS, GROSS</v>
          </cell>
          <cell r="F6127">
            <v>12</v>
          </cell>
          <cell r="G6127">
            <v>1982</v>
          </cell>
          <cell r="H6127">
            <v>100</v>
          </cell>
          <cell r="I6127">
            <v>27203557000000</v>
          </cell>
        </row>
        <row r="6128">
          <cell r="A6128" t="str">
            <v>Korea, Republic of</v>
          </cell>
          <cell r="B6128">
            <v>410</v>
          </cell>
          <cell r="C6128">
            <v>203</v>
          </cell>
          <cell r="D6128">
            <v>11</v>
          </cell>
          <cell r="E6128" t="str">
            <v>OPERATING SURPLUS, GROSS</v>
          </cell>
          <cell r="F6128">
            <v>12</v>
          </cell>
          <cell r="G6128">
            <v>1983</v>
          </cell>
          <cell r="H6128">
            <v>100</v>
          </cell>
          <cell r="I6128">
            <v>31169392000000</v>
          </cell>
        </row>
        <row r="6129">
          <cell r="A6129" t="str">
            <v>Korea, Republic of</v>
          </cell>
          <cell r="B6129">
            <v>410</v>
          </cell>
          <cell r="C6129">
            <v>203</v>
          </cell>
          <cell r="D6129">
            <v>11</v>
          </cell>
          <cell r="E6129" t="str">
            <v>OPERATING SURPLUS, GROSS</v>
          </cell>
          <cell r="F6129">
            <v>12</v>
          </cell>
          <cell r="G6129">
            <v>1984</v>
          </cell>
          <cell r="H6129">
            <v>100</v>
          </cell>
          <cell r="I6129">
            <v>36339511000000</v>
          </cell>
        </row>
        <row r="6130">
          <cell r="A6130" t="str">
            <v>Korea, Republic of</v>
          </cell>
          <cell r="B6130">
            <v>410</v>
          </cell>
          <cell r="C6130">
            <v>203</v>
          </cell>
          <cell r="D6130">
            <v>11</v>
          </cell>
          <cell r="E6130" t="str">
            <v>OPERATING SURPLUS, GROSS</v>
          </cell>
          <cell r="F6130">
            <v>12</v>
          </cell>
          <cell r="G6130">
            <v>1985</v>
          </cell>
          <cell r="H6130">
            <v>100</v>
          </cell>
          <cell r="I6130">
            <v>41144183000000</v>
          </cell>
        </row>
        <row r="6131">
          <cell r="A6131" t="str">
            <v>Korea, Republic of</v>
          </cell>
          <cell r="B6131">
            <v>410</v>
          </cell>
          <cell r="C6131">
            <v>203</v>
          </cell>
          <cell r="D6131">
            <v>11</v>
          </cell>
          <cell r="E6131" t="str">
            <v>OPERATING SURPLUS, GROSS</v>
          </cell>
          <cell r="F6131">
            <v>12</v>
          </cell>
          <cell r="G6131">
            <v>1986</v>
          </cell>
          <cell r="H6131">
            <v>100</v>
          </cell>
          <cell r="I6131">
            <v>48813423000000</v>
          </cell>
        </row>
        <row r="6132">
          <cell r="A6132" t="str">
            <v>Korea, Republic of</v>
          </cell>
          <cell r="B6132">
            <v>410</v>
          </cell>
          <cell r="C6132">
            <v>203</v>
          </cell>
          <cell r="D6132">
            <v>11</v>
          </cell>
          <cell r="E6132" t="str">
            <v>OPERATING SURPLUS, GROSS</v>
          </cell>
          <cell r="F6132">
            <v>12</v>
          </cell>
          <cell r="G6132">
            <v>1987</v>
          </cell>
          <cell r="H6132">
            <v>100</v>
          </cell>
          <cell r="I6132">
            <v>56204815000000</v>
          </cell>
        </row>
        <row r="6133">
          <cell r="A6133" t="str">
            <v>Korea, Republic of</v>
          </cell>
          <cell r="B6133">
            <v>410</v>
          </cell>
          <cell r="C6133">
            <v>203</v>
          </cell>
          <cell r="D6133">
            <v>11</v>
          </cell>
          <cell r="E6133" t="str">
            <v>OPERATING SURPLUS, GROSS</v>
          </cell>
          <cell r="F6133">
            <v>12</v>
          </cell>
          <cell r="G6133">
            <v>1988</v>
          </cell>
          <cell r="H6133">
            <v>100</v>
          </cell>
          <cell r="I6133">
            <v>65343231000000</v>
          </cell>
        </row>
        <row r="6134">
          <cell r="A6134" t="str">
            <v>Korea, Republic of</v>
          </cell>
          <cell r="B6134">
            <v>410</v>
          </cell>
          <cell r="C6134">
            <v>203</v>
          </cell>
          <cell r="D6134">
            <v>11</v>
          </cell>
          <cell r="E6134" t="str">
            <v>OPERATING SURPLUS, GROSS</v>
          </cell>
          <cell r="F6134">
            <v>12</v>
          </cell>
          <cell r="G6134">
            <v>1989</v>
          </cell>
          <cell r="H6134">
            <v>100</v>
          </cell>
          <cell r="I6134">
            <v>70809453000000</v>
          </cell>
        </row>
        <row r="6135">
          <cell r="A6135" t="str">
            <v>Korea, Republic of</v>
          </cell>
          <cell r="B6135">
            <v>410</v>
          </cell>
          <cell r="C6135">
            <v>203</v>
          </cell>
          <cell r="D6135">
            <v>11</v>
          </cell>
          <cell r="E6135" t="str">
            <v>OPERATING SURPLUS, GROSS</v>
          </cell>
          <cell r="F6135">
            <v>12</v>
          </cell>
          <cell r="G6135">
            <v>1990</v>
          </cell>
          <cell r="H6135">
            <v>100</v>
          </cell>
          <cell r="I6135">
            <v>82701865000000</v>
          </cell>
        </row>
        <row r="6136">
          <cell r="A6136" t="str">
            <v>Korea, Republic of</v>
          </cell>
          <cell r="B6136">
            <v>410</v>
          </cell>
          <cell r="C6136">
            <v>203</v>
          </cell>
          <cell r="D6136">
            <v>11</v>
          </cell>
          <cell r="E6136" t="str">
            <v>OPERATING SURPLUS, GROSS</v>
          </cell>
          <cell r="F6136">
            <v>12</v>
          </cell>
          <cell r="G6136">
            <v>1991</v>
          </cell>
          <cell r="H6136">
            <v>100</v>
          </cell>
          <cell r="I6136">
            <v>98710325000000</v>
          </cell>
        </row>
        <row r="6137">
          <cell r="A6137" t="str">
            <v>Korea, Republic of</v>
          </cell>
          <cell r="B6137">
            <v>410</v>
          </cell>
          <cell r="C6137">
            <v>203</v>
          </cell>
          <cell r="D6137">
            <v>11</v>
          </cell>
          <cell r="E6137" t="str">
            <v>OPERATING SURPLUS, GROSS</v>
          </cell>
          <cell r="F6137">
            <v>12</v>
          </cell>
          <cell r="G6137">
            <v>1992</v>
          </cell>
          <cell r="H6137">
            <v>100</v>
          </cell>
          <cell r="I6137">
            <v>112814907000000</v>
          </cell>
        </row>
        <row r="6138">
          <cell r="A6138" t="str">
            <v>Korea, Republic of</v>
          </cell>
          <cell r="B6138">
            <v>410</v>
          </cell>
          <cell r="C6138">
            <v>203</v>
          </cell>
          <cell r="D6138">
            <v>11</v>
          </cell>
          <cell r="E6138" t="str">
            <v>OPERATING SURPLUS, GROSS</v>
          </cell>
          <cell r="F6138">
            <v>12</v>
          </cell>
          <cell r="G6138">
            <v>1995</v>
          </cell>
          <cell r="H6138">
            <v>200</v>
          </cell>
          <cell r="I6138">
            <v>167741922000000</v>
          </cell>
        </row>
        <row r="6139">
          <cell r="A6139" t="str">
            <v>Korea, Republic of</v>
          </cell>
          <cell r="B6139">
            <v>410</v>
          </cell>
          <cell r="C6139">
            <v>203</v>
          </cell>
          <cell r="D6139">
            <v>11</v>
          </cell>
          <cell r="E6139" t="str">
            <v>OPERATING SURPLUS, GROSS</v>
          </cell>
          <cell r="F6139">
            <v>12</v>
          </cell>
          <cell r="G6139">
            <v>1996</v>
          </cell>
          <cell r="H6139">
            <v>200</v>
          </cell>
          <cell r="I6139">
            <v>182392599000000</v>
          </cell>
        </row>
        <row r="6140">
          <cell r="A6140" t="str">
            <v>Korea, Republic of</v>
          </cell>
          <cell r="B6140">
            <v>410</v>
          </cell>
          <cell r="C6140">
            <v>203</v>
          </cell>
          <cell r="D6140">
            <v>11</v>
          </cell>
          <cell r="E6140" t="str">
            <v>OPERATING SURPLUS, GROSS</v>
          </cell>
          <cell r="F6140">
            <v>12</v>
          </cell>
          <cell r="G6140">
            <v>1997</v>
          </cell>
          <cell r="H6140">
            <v>200</v>
          </cell>
          <cell r="I6140">
            <v>206078235000000</v>
          </cell>
        </row>
        <row r="6141">
          <cell r="A6141" t="str">
            <v>Korea, Republic of</v>
          </cell>
          <cell r="B6141">
            <v>410</v>
          </cell>
          <cell r="C6141">
            <v>203</v>
          </cell>
          <cell r="D6141">
            <v>11</v>
          </cell>
          <cell r="E6141" t="str">
            <v>OPERATING SURPLUS, GROSS</v>
          </cell>
          <cell r="F6141">
            <v>12</v>
          </cell>
          <cell r="G6141">
            <v>1998</v>
          </cell>
          <cell r="H6141">
            <v>200</v>
          </cell>
          <cell r="I6141">
            <v>216026283000000</v>
          </cell>
        </row>
        <row r="6142">
          <cell r="A6142" t="str">
            <v>Korea, Republic of</v>
          </cell>
          <cell r="B6142">
            <v>410</v>
          </cell>
          <cell r="C6142">
            <v>203</v>
          </cell>
          <cell r="D6142">
            <v>11</v>
          </cell>
          <cell r="E6142" t="str">
            <v>OPERATING SURPLUS, GROSS</v>
          </cell>
          <cell r="F6142">
            <v>12</v>
          </cell>
          <cell r="G6142">
            <v>1999</v>
          </cell>
          <cell r="H6142">
            <v>200</v>
          </cell>
          <cell r="I6142">
            <v>239303673000000</v>
          </cell>
        </row>
        <row r="6143">
          <cell r="A6143" t="str">
            <v>Korea, Republic of</v>
          </cell>
          <cell r="B6143">
            <v>410</v>
          </cell>
          <cell r="C6143">
            <v>203</v>
          </cell>
          <cell r="D6143">
            <v>11</v>
          </cell>
          <cell r="E6143" t="str">
            <v>OPERATING SURPLUS, GROSS</v>
          </cell>
          <cell r="F6143">
            <v>12</v>
          </cell>
          <cell r="G6143">
            <v>2000</v>
          </cell>
          <cell r="H6143">
            <v>200</v>
          </cell>
          <cell r="I6143">
            <v>260069400000000</v>
          </cell>
        </row>
        <row r="6144">
          <cell r="A6144" t="str">
            <v>Korea, Republic of</v>
          </cell>
          <cell r="B6144">
            <v>410</v>
          </cell>
          <cell r="C6144">
            <v>203</v>
          </cell>
          <cell r="D6144">
            <v>11</v>
          </cell>
          <cell r="E6144" t="str">
            <v>OPERATING SURPLUS, GROSS</v>
          </cell>
          <cell r="F6144">
            <v>12</v>
          </cell>
          <cell r="G6144">
            <v>2001</v>
          </cell>
          <cell r="H6144">
            <v>200</v>
          </cell>
          <cell r="I6144">
            <v>273774490000000</v>
          </cell>
        </row>
        <row r="6145">
          <cell r="A6145" t="str">
            <v>Korea, Republic of</v>
          </cell>
          <cell r="B6145">
            <v>410</v>
          </cell>
          <cell r="C6145">
            <v>203</v>
          </cell>
          <cell r="D6145">
            <v>11</v>
          </cell>
          <cell r="E6145" t="str">
            <v>OPERATING SURPLUS, GROSS</v>
          </cell>
          <cell r="F6145">
            <v>12</v>
          </cell>
          <cell r="G6145">
            <v>2002</v>
          </cell>
          <cell r="H6145">
            <v>200</v>
          </cell>
          <cell r="I6145">
            <v>301749355000000</v>
          </cell>
        </row>
        <row r="6146">
          <cell r="A6146" t="str">
            <v>Korea, Republic of</v>
          </cell>
          <cell r="B6146">
            <v>410</v>
          </cell>
          <cell r="C6146">
            <v>203</v>
          </cell>
          <cell r="D6146">
            <v>11</v>
          </cell>
          <cell r="E6146" t="str">
            <v>OPERATING SURPLUS, GROSS</v>
          </cell>
          <cell r="F6146">
            <v>12</v>
          </cell>
          <cell r="G6146">
            <v>2003</v>
          </cell>
          <cell r="H6146">
            <v>200</v>
          </cell>
          <cell r="I6146">
            <v>312661238000000</v>
          </cell>
        </row>
        <row r="6147">
          <cell r="A6147" t="str">
            <v>Djibouti</v>
          </cell>
          <cell r="B6147">
            <v>262</v>
          </cell>
          <cell r="C6147">
            <v>201</v>
          </cell>
          <cell r="D6147">
            <v>13</v>
          </cell>
          <cell r="E6147" t="str">
            <v>Less: Financial intermediation services indirectly measured (FISIM) (only to be deducted if FISIM is not distributed to uses)</v>
          </cell>
          <cell r="F6147">
            <v>0</v>
          </cell>
          <cell r="G6147">
            <v>1976</v>
          </cell>
          <cell r="H6147">
            <v>10</v>
          </cell>
          <cell r="I6147">
            <v>396000000</v>
          </cell>
        </row>
        <row r="6148">
          <cell r="A6148" t="str">
            <v>Djibouti</v>
          </cell>
          <cell r="B6148">
            <v>262</v>
          </cell>
          <cell r="C6148">
            <v>201</v>
          </cell>
          <cell r="D6148">
            <v>13</v>
          </cell>
          <cell r="E6148" t="str">
            <v>Less: Financial intermediation services indirectly measured (FISIM) (only to be deducted if FISIM is not distributed to uses)</v>
          </cell>
          <cell r="F6148">
            <v>0</v>
          </cell>
          <cell r="G6148">
            <v>1978</v>
          </cell>
          <cell r="H6148">
            <v>10</v>
          </cell>
          <cell r="I6148">
            <v>498000000</v>
          </cell>
        </row>
        <row r="6149">
          <cell r="A6149" t="str">
            <v>Djibouti</v>
          </cell>
          <cell r="B6149">
            <v>262</v>
          </cell>
          <cell r="C6149">
            <v>201</v>
          </cell>
          <cell r="D6149">
            <v>13</v>
          </cell>
          <cell r="E6149" t="str">
            <v>Less: Financial intermediation services indirectly measured (FISIM) (only to be deducted if FISIM is not distributed to uses)</v>
          </cell>
          <cell r="F6149">
            <v>0</v>
          </cell>
          <cell r="G6149">
            <v>1979</v>
          </cell>
          <cell r="H6149">
            <v>10</v>
          </cell>
          <cell r="I6149">
            <v>555000000</v>
          </cell>
        </row>
        <row r="6150">
          <cell r="A6150" t="str">
            <v>Djibouti</v>
          </cell>
          <cell r="B6150">
            <v>262</v>
          </cell>
          <cell r="C6150">
            <v>201</v>
          </cell>
          <cell r="D6150">
            <v>13</v>
          </cell>
          <cell r="E6150" t="str">
            <v>Less: Financial intermediation services indirectly measured (FISIM) (only to be deducted if FISIM is not distributed to uses)</v>
          </cell>
          <cell r="F6150">
            <v>0</v>
          </cell>
          <cell r="G6150">
            <v>1979</v>
          </cell>
          <cell r="H6150">
            <v>20</v>
          </cell>
          <cell r="I6150">
            <v>1382000000</v>
          </cell>
        </row>
        <row r="6151">
          <cell r="A6151" t="str">
            <v>Djibouti</v>
          </cell>
          <cell r="B6151">
            <v>262</v>
          </cell>
          <cell r="C6151">
            <v>201</v>
          </cell>
          <cell r="D6151">
            <v>13</v>
          </cell>
          <cell r="E6151" t="str">
            <v>Less: Financial intermediation services indirectly measured (FISIM) (only to be deducted if FISIM is not distributed to uses)</v>
          </cell>
          <cell r="F6151">
            <v>0</v>
          </cell>
          <cell r="G6151">
            <v>1980</v>
          </cell>
          <cell r="H6151">
            <v>20</v>
          </cell>
          <cell r="I6151">
            <v>1993000000</v>
          </cell>
        </row>
        <row r="6152">
          <cell r="A6152" t="str">
            <v>Djibouti</v>
          </cell>
          <cell r="B6152">
            <v>262</v>
          </cell>
          <cell r="C6152">
            <v>201</v>
          </cell>
          <cell r="D6152">
            <v>13</v>
          </cell>
          <cell r="E6152" t="str">
            <v>Less: Financial intermediation services indirectly measured (FISIM) (only to be deducted if FISIM is not distributed to uses)</v>
          </cell>
          <cell r="F6152">
            <v>0</v>
          </cell>
          <cell r="G6152">
            <v>1981</v>
          </cell>
          <cell r="H6152">
            <v>20</v>
          </cell>
          <cell r="I6152">
            <v>3488000000</v>
          </cell>
        </row>
        <row r="6153">
          <cell r="A6153" t="str">
            <v>Djibouti</v>
          </cell>
          <cell r="B6153">
            <v>262</v>
          </cell>
          <cell r="C6153">
            <v>201</v>
          </cell>
          <cell r="D6153">
            <v>13</v>
          </cell>
          <cell r="E6153" t="str">
            <v>Less: Financial intermediation services indirectly measured (FISIM) (only to be deducted if FISIM is not distributed to uses)</v>
          </cell>
          <cell r="F6153">
            <v>0</v>
          </cell>
          <cell r="G6153">
            <v>1982</v>
          </cell>
          <cell r="H6153">
            <v>20</v>
          </cell>
          <cell r="I6153">
            <v>3597000000</v>
          </cell>
        </row>
        <row r="6154">
          <cell r="A6154" t="str">
            <v>Djibouti</v>
          </cell>
          <cell r="B6154">
            <v>262</v>
          </cell>
          <cell r="C6154">
            <v>201</v>
          </cell>
          <cell r="D6154">
            <v>13</v>
          </cell>
          <cell r="E6154" t="str">
            <v>Less: Financial intermediation services indirectly measured (FISIM) (only to be deducted if FISIM is not distributed to uses)</v>
          </cell>
          <cell r="F6154">
            <v>0</v>
          </cell>
          <cell r="G6154">
            <v>1983</v>
          </cell>
          <cell r="H6154">
            <v>20</v>
          </cell>
          <cell r="I6154">
            <v>3730000000</v>
          </cell>
        </row>
        <row r="6155">
          <cell r="A6155" t="str">
            <v>Djibouti</v>
          </cell>
          <cell r="B6155">
            <v>262</v>
          </cell>
          <cell r="C6155">
            <v>203</v>
          </cell>
          <cell r="D6155">
            <v>3</v>
          </cell>
          <cell r="E6155" t="str">
            <v>Equals: VALUE ADDED, GROSS, at basic prices</v>
          </cell>
          <cell r="F6155">
            <v>12</v>
          </cell>
          <cell r="G6155">
            <v>1990</v>
          </cell>
          <cell r="H6155">
            <v>20</v>
          </cell>
          <cell r="I6155">
            <v>70151100000</v>
          </cell>
        </row>
        <row r="6156">
          <cell r="A6156" t="str">
            <v>Djibouti</v>
          </cell>
          <cell r="B6156">
            <v>262</v>
          </cell>
          <cell r="C6156">
            <v>203</v>
          </cell>
          <cell r="D6156">
            <v>3</v>
          </cell>
          <cell r="E6156" t="str">
            <v>Equals: VALUE ADDED, GROSS, at basic prices</v>
          </cell>
          <cell r="F6156">
            <v>12</v>
          </cell>
          <cell r="G6156">
            <v>1991</v>
          </cell>
          <cell r="H6156">
            <v>20</v>
          </cell>
          <cell r="I6156">
            <v>71945500000</v>
          </cell>
        </row>
        <row r="6157">
          <cell r="A6157" t="str">
            <v>Djibouti</v>
          </cell>
          <cell r="B6157">
            <v>262</v>
          </cell>
          <cell r="C6157">
            <v>203</v>
          </cell>
          <cell r="D6157">
            <v>3</v>
          </cell>
          <cell r="E6157" t="str">
            <v>Equals: VALUE ADDED, GROSS, at basic prices</v>
          </cell>
          <cell r="F6157">
            <v>12</v>
          </cell>
          <cell r="G6157">
            <v>1992</v>
          </cell>
          <cell r="H6157">
            <v>20</v>
          </cell>
          <cell r="I6157">
            <v>74412100000</v>
          </cell>
        </row>
        <row r="6158">
          <cell r="A6158" t="str">
            <v>Djibouti</v>
          </cell>
          <cell r="B6158">
            <v>262</v>
          </cell>
          <cell r="C6158">
            <v>203</v>
          </cell>
          <cell r="D6158">
            <v>3</v>
          </cell>
          <cell r="E6158" t="str">
            <v>Equals: VALUE ADDED, GROSS, at basic prices</v>
          </cell>
          <cell r="F6158">
            <v>12</v>
          </cell>
          <cell r="G6158">
            <v>1993</v>
          </cell>
          <cell r="H6158">
            <v>20</v>
          </cell>
          <cell r="I6158">
            <v>73652500000</v>
          </cell>
        </row>
        <row r="6159">
          <cell r="A6159" t="str">
            <v>Djibouti</v>
          </cell>
          <cell r="B6159">
            <v>262</v>
          </cell>
          <cell r="C6159">
            <v>203</v>
          </cell>
          <cell r="D6159">
            <v>3</v>
          </cell>
          <cell r="E6159" t="str">
            <v>Equals: VALUE ADDED, GROSS, at basic prices</v>
          </cell>
          <cell r="F6159">
            <v>12</v>
          </cell>
          <cell r="G6159">
            <v>1994</v>
          </cell>
          <cell r="H6159">
            <v>20</v>
          </cell>
          <cell r="I6159">
            <v>77692600000</v>
          </cell>
        </row>
        <row r="6160">
          <cell r="A6160" t="str">
            <v>Djibouti</v>
          </cell>
          <cell r="B6160">
            <v>262</v>
          </cell>
          <cell r="C6160">
            <v>203</v>
          </cell>
          <cell r="D6160">
            <v>3</v>
          </cell>
          <cell r="E6160" t="str">
            <v>Equals: VALUE ADDED, GROSS, at basic prices</v>
          </cell>
          <cell r="F6160">
            <v>12</v>
          </cell>
          <cell r="G6160">
            <v>1995</v>
          </cell>
          <cell r="H6160">
            <v>20</v>
          </cell>
          <cell r="I6160">
            <v>77847400000</v>
          </cell>
        </row>
        <row r="6161">
          <cell r="A6161" t="str">
            <v>Djibouti</v>
          </cell>
          <cell r="B6161">
            <v>262</v>
          </cell>
          <cell r="C6161">
            <v>203</v>
          </cell>
          <cell r="D6161">
            <v>3</v>
          </cell>
          <cell r="E6161" t="str">
            <v>Equals: VALUE ADDED, GROSS, at basic prices</v>
          </cell>
          <cell r="F6161">
            <v>12</v>
          </cell>
          <cell r="G6161">
            <v>1996</v>
          </cell>
          <cell r="H6161">
            <v>20</v>
          </cell>
          <cell r="I6161">
            <v>76435400000</v>
          </cell>
        </row>
        <row r="6162">
          <cell r="A6162" t="str">
            <v>Djibouti</v>
          </cell>
          <cell r="B6162">
            <v>262</v>
          </cell>
          <cell r="C6162">
            <v>203</v>
          </cell>
          <cell r="D6162">
            <v>3</v>
          </cell>
          <cell r="E6162" t="str">
            <v>Equals: VALUE ADDED, GROSS, at basic prices</v>
          </cell>
          <cell r="F6162">
            <v>12</v>
          </cell>
          <cell r="G6162">
            <v>1997</v>
          </cell>
          <cell r="H6162">
            <v>20</v>
          </cell>
          <cell r="I6162">
            <v>75963600000</v>
          </cell>
        </row>
        <row r="6163">
          <cell r="A6163" t="str">
            <v>Djibouti</v>
          </cell>
          <cell r="B6163">
            <v>262</v>
          </cell>
          <cell r="C6163">
            <v>203</v>
          </cell>
          <cell r="D6163">
            <v>3</v>
          </cell>
          <cell r="E6163" t="str">
            <v>Equals: VALUE ADDED, GROSS, at basic prices</v>
          </cell>
          <cell r="F6163">
            <v>12</v>
          </cell>
          <cell r="G6163">
            <v>1998</v>
          </cell>
          <cell r="H6163">
            <v>20</v>
          </cell>
          <cell r="I6163">
            <v>78263400000</v>
          </cell>
        </row>
        <row r="6164">
          <cell r="A6164" t="str">
            <v>Djibouti</v>
          </cell>
          <cell r="B6164">
            <v>262</v>
          </cell>
          <cell r="C6164">
            <v>203</v>
          </cell>
          <cell r="D6164">
            <v>4</v>
          </cell>
          <cell r="E6164" t="str">
            <v>Compensation of employees</v>
          </cell>
          <cell r="F6164">
            <v>12</v>
          </cell>
          <cell r="G6164">
            <v>1990</v>
          </cell>
          <cell r="H6164">
            <v>20</v>
          </cell>
          <cell r="I6164">
            <v>38594200000</v>
          </cell>
        </row>
        <row r="6165">
          <cell r="A6165" t="str">
            <v>Djibouti</v>
          </cell>
          <cell r="B6165">
            <v>262</v>
          </cell>
          <cell r="C6165">
            <v>203</v>
          </cell>
          <cell r="D6165">
            <v>4</v>
          </cell>
          <cell r="E6165" t="str">
            <v>Compensation of employees</v>
          </cell>
          <cell r="F6165">
            <v>12</v>
          </cell>
          <cell r="G6165">
            <v>1991</v>
          </cell>
          <cell r="H6165">
            <v>20</v>
          </cell>
          <cell r="I6165">
            <v>39728800000</v>
          </cell>
        </row>
        <row r="6166">
          <cell r="A6166" t="str">
            <v>Djibouti</v>
          </cell>
          <cell r="B6166">
            <v>262</v>
          </cell>
          <cell r="C6166">
            <v>203</v>
          </cell>
          <cell r="D6166">
            <v>4</v>
          </cell>
          <cell r="E6166" t="str">
            <v>Compensation of employees</v>
          </cell>
          <cell r="F6166">
            <v>12</v>
          </cell>
          <cell r="G6166">
            <v>1992</v>
          </cell>
          <cell r="H6166">
            <v>20</v>
          </cell>
          <cell r="I6166">
            <v>43499400000</v>
          </cell>
        </row>
        <row r="6167">
          <cell r="A6167" t="str">
            <v>Djibouti</v>
          </cell>
          <cell r="B6167">
            <v>262</v>
          </cell>
          <cell r="C6167">
            <v>203</v>
          </cell>
          <cell r="D6167">
            <v>4</v>
          </cell>
          <cell r="E6167" t="str">
            <v>Compensation of employees</v>
          </cell>
          <cell r="F6167">
            <v>12</v>
          </cell>
          <cell r="G6167">
            <v>1993</v>
          </cell>
          <cell r="H6167">
            <v>20</v>
          </cell>
          <cell r="I6167">
            <v>42998800000</v>
          </cell>
        </row>
        <row r="6168">
          <cell r="A6168" t="str">
            <v>Djibouti</v>
          </cell>
          <cell r="B6168">
            <v>262</v>
          </cell>
          <cell r="C6168">
            <v>203</v>
          </cell>
          <cell r="D6168">
            <v>4</v>
          </cell>
          <cell r="E6168" t="str">
            <v>Compensation of employees</v>
          </cell>
          <cell r="F6168">
            <v>12</v>
          </cell>
          <cell r="G6168">
            <v>1994</v>
          </cell>
          <cell r="H6168">
            <v>20</v>
          </cell>
          <cell r="I6168">
            <v>48675800000</v>
          </cell>
        </row>
        <row r="6169">
          <cell r="A6169" t="str">
            <v>Djibouti</v>
          </cell>
          <cell r="B6169">
            <v>262</v>
          </cell>
          <cell r="C6169">
            <v>203</v>
          </cell>
          <cell r="D6169">
            <v>4</v>
          </cell>
          <cell r="E6169" t="str">
            <v>Compensation of employees</v>
          </cell>
          <cell r="F6169">
            <v>12</v>
          </cell>
          <cell r="G6169">
            <v>1995</v>
          </cell>
          <cell r="H6169">
            <v>20</v>
          </cell>
          <cell r="I6169">
            <v>47165300000</v>
          </cell>
        </row>
        <row r="6170">
          <cell r="A6170" t="str">
            <v>Djibouti</v>
          </cell>
          <cell r="B6170">
            <v>262</v>
          </cell>
          <cell r="C6170">
            <v>203</v>
          </cell>
          <cell r="D6170">
            <v>4</v>
          </cell>
          <cell r="E6170" t="str">
            <v>Compensation of employees</v>
          </cell>
          <cell r="F6170">
            <v>12</v>
          </cell>
          <cell r="G6170">
            <v>1996</v>
          </cell>
          <cell r="H6170">
            <v>20</v>
          </cell>
          <cell r="I6170">
            <v>47349800000</v>
          </cell>
        </row>
        <row r="6171">
          <cell r="A6171" t="str">
            <v>Djibouti</v>
          </cell>
          <cell r="B6171">
            <v>262</v>
          </cell>
          <cell r="C6171">
            <v>203</v>
          </cell>
          <cell r="D6171">
            <v>4</v>
          </cell>
          <cell r="E6171" t="str">
            <v>Compensation of employees</v>
          </cell>
          <cell r="F6171">
            <v>12</v>
          </cell>
          <cell r="G6171">
            <v>1997</v>
          </cell>
          <cell r="H6171">
            <v>20</v>
          </cell>
          <cell r="I6171">
            <v>45889800000</v>
          </cell>
        </row>
        <row r="6172">
          <cell r="A6172" t="str">
            <v>Djibouti</v>
          </cell>
          <cell r="B6172">
            <v>262</v>
          </cell>
          <cell r="C6172">
            <v>203</v>
          </cell>
          <cell r="D6172">
            <v>4</v>
          </cell>
          <cell r="E6172" t="str">
            <v>Compensation of employees</v>
          </cell>
          <cell r="F6172">
            <v>12</v>
          </cell>
          <cell r="G6172">
            <v>1998</v>
          </cell>
          <cell r="H6172">
            <v>20</v>
          </cell>
          <cell r="I6172">
            <v>46789100000</v>
          </cell>
        </row>
        <row r="6173">
          <cell r="A6173" t="str">
            <v>Djibouti</v>
          </cell>
          <cell r="B6173">
            <v>262</v>
          </cell>
          <cell r="C6173">
            <v>203</v>
          </cell>
          <cell r="D6173">
            <v>11</v>
          </cell>
          <cell r="E6173" t="str">
            <v>OPERATING SURPLUS, GROSS</v>
          </cell>
          <cell r="F6173">
            <v>12</v>
          </cell>
          <cell r="G6173">
            <v>1990</v>
          </cell>
          <cell r="H6173">
            <v>20</v>
          </cell>
          <cell r="I6173">
            <v>30612900000</v>
          </cell>
        </row>
        <row r="6174">
          <cell r="A6174" t="str">
            <v>Djibouti</v>
          </cell>
          <cell r="B6174">
            <v>262</v>
          </cell>
          <cell r="C6174">
            <v>203</v>
          </cell>
          <cell r="D6174">
            <v>11</v>
          </cell>
          <cell r="E6174" t="str">
            <v>OPERATING SURPLUS, GROSS</v>
          </cell>
          <cell r="F6174">
            <v>12</v>
          </cell>
          <cell r="G6174">
            <v>1991</v>
          </cell>
          <cell r="H6174">
            <v>20</v>
          </cell>
          <cell r="I6174">
            <v>31443600000</v>
          </cell>
        </row>
        <row r="6175">
          <cell r="A6175" t="str">
            <v>Djibouti</v>
          </cell>
          <cell r="B6175">
            <v>262</v>
          </cell>
          <cell r="C6175">
            <v>203</v>
          </cell>
          <cell r="D6175">
            <v>11</v>
          </cell>
          <cell r="E6175" t="str">
            <v>OPERATING SURPLUS, GROSS</v>
          </cell>
          <cell r="F6175">
            <v>12</v>
          </cell>
          <cell r="G6175">
            <v>1992</v>
          </cell>
          <cell r="H6175">
            <v>20</v>
          </cell>
          <cell r="I6175">
            <v>30094900000</v>
          </cell>
        </row>
        <row r="6176">
          <cell r="A6176" t="str">
            <v>Djibouti</v>
          </cell>
          <cell r="B6176">
            <v>262</v>
          </cell>
          <cell r="C6176">
            <v>203</v>
          </cell>
          <cell r="D6176">
            <v>11</v>
          </cell>
          <cell r="E6176" t="str">
            <v>OPERATING SURPLUS, GROSS</v>
          </cell>
          <cell r="F6176">
            <v>12</v>
          </cell>
          <cell r="G6176">
            <v>1993</v>
          </cell>
          <cell r="H6176">
            <v>20</v>
          </cell>
          <cell r="I6176">
            <v>29846300000</v>
          </cell>
        </row>
        <row r="6177">
          <cell r="A6177" t="str">
            <v>Djibouti</v>
          </cell>
          <cell r="B6177">
            <v>262</v>
          </cell>
          <cell r="C6177">
            <v>203</v>
          </cell>
          <cell r="D6177">
            <v>11</v>
          </cell>
          <cell r="E6177" t="str">
            <v>OPERATING SURPLUS, GROSS</v>
          </cell>
          <cell r="F6177">
            <v>12</v>
          </cell>
          <cell r="G6177">
            <v>1994</v>
          </cell>
          <cell r="H6177">
            <v>20</v>
          </cell>
          <cell r="I6177">
            <v>28220800000</v>
          </cell>
        </row>
        <row r="6178">
          <cell r="A6178" t="str">
            <v>Djibouti</v>
          </cell>
          <cell r="B6178">
            <v>262</v>
          </cell>
          <cell r="C6178">
            <v>203</v>
          </cell>
          <cell r="D6178">
            <v>11</v>
          </cell>
          <cell r="E6178" t="str">
            <v>OPERATING SURPLUS, GROSS</v>
          </cell>
          <cell r="F6178">
            <v>12</v>
          </cell>
          <cell r="G6178">
            <v>1995</v>
          </cell>
          <cell r="H6178">
            <v>20</v>
          </cell>
          <cell r="I6178">
            <v>29865700000</v>
          </cell>
        </row>
        <row r="6179">
          <cell r="A6179" t="str">
            <v>Djibouti</v>
          </cell>
          <cell r="B6179">
            <v>262</v>
          </cell>
          <cell r="C6179">
            <v>203</v>
          </cell>
          <cell r="D6179">
            <v>11</v>
          </cell>
          <cell r="E6179" t="str">
            <v>OPERATING SURPLUS, GROSS</v>
          </cell>
          <cell r="F6179">
            <v>12</v>
          </cell>
          <cell r="G6179">
            <v>1996</v>
          </cell>
          <cell r="H6179">
            <v>20</v>
          </cell>
          <cell r="I6179">
            <v>28267100000</v>
          </cell>
        </row>
        <row r="6180">
          <cell r="A6180" t="str">
            <v>Djibouti</v>
          </cell>
          <cell r="B6180">
            <v>262</v>
          </cell>
          <cell r="C6180">
            <v>203</v>
          </cell>
          <cell r="D6180">
            <v>11</v>
          </cell>
          <cell r="E6180" t="str">
            <v>OPERATING SURPLUS, GROSS</v>
          </cell>
          <cell r="F6180">
            <v>12</v>
          </cell>
          <cell r="G6180">
            <v>1997</v>
          </cell>
          <cell r="H6180">
            <v>20</v>
          </cell>
          <cell r="I6180">
            <v>29220900000</v>
          </cell>
        </row>
        <row r="6181">
          <cell r="A6181" t="str">
            <v>Djibouti</v>
          </cell>
          <cell r="B6181">
            <v>262</v>
          </cell>
          <cell r="C6181">
            <v>203</v>
          </cell>
          <cell r="D6181">
            <v>11</v>
          </cell>
          <cell r="E6181" t="str">
            <v>OPERATING SURPLUS, GROSS</v>
          </cell>
          <cell r="F6181">
            <v>12</v>
          </cell>
          <cell r="G6181">
            <v>1998</v>
          </cell>
          <cell r="H6181">
            <v>20</v>
          </cell>
          <cell r="I6181">
            <v>30611600000</v>
          </cell>
        </row>
        <row r="6182">
          <cell r="A6182" t="str">
            <v>Djibouti</v>
          </cell>
          <cell r="B6182">
            <v>262</v>
          </cell>
          <cell r="C6182">
            <v>203</v>
          </cell>
          <cell r="D6182">
            <v>22</v>
          </cell>
          <cell r="E6182" t="str">
            <v>Taxes on production and imports, less Subsidies</v>
          </cell>
          <cell r="F6182">
            <v>12</v>
          </cell>
          <cell r="G6182">
            <v>1990</v>
          </cell>
          <cell r="H6182">
            <v>20</v>
          </cell>
          <cell r="I6182">
            <v>944000000</v>
          </cell>
        </row>
        <row r="6183">
          <cell r="A6183" t="str">
            <v>Djibouti</v>
          </cell>
          <cell r="B6183">
            <v>262</v>
          </cell>
          <cell r="C6183">
            <v>203</v>
          </cell>
          <cell r="D6183">
            <v>22</v>
          </cell>
          <cell r="E6183" t="str">
            <v>Taxes on production and imports, less Subsidies</v>
          </cell>
          <cell r="F6183">
            <v>12</v>
          </cell>
          <cell r="G6183">
            <v>1991</v>
          </cell>
          <cell r="H6183">
            <v>20</v>
          </cell>
          <cell r="I6183">
            <v>773100000</v>
          </cell>
        </row>
        <row r="6184">
          <cell r="A6184" t="str">
            <v>Djibouti</v>
          </cell>
          <cell r="B6184">
            <v>262</v>
          </cell>
          <cell r="C6184">
            <v>203</v>
          </cell>
          <cell r="D6184">
            <v>22</v>
          </cell>
          <cell r="E6184" t="str">
            <v>Taxes on production and imports, less Subsidies</v>
          </cell>
          <cell r="F6184">
            <v>12</v>
          </cell>
          <cell r="G6184">
            <v>1992</v>
          </cell>
          <cell r="H6184">
            <v>20</v>
          </cell>
          <cell r="I6184">
            <v>817700000</v>
          </cell>
        </row>
        <row r="6185">
          <cell r="A6185" t="str">
            <v>Djibouti</v>
          </cell>
          <cell r="B6185">
            <v>262</v>
          </cell>
          <cell r="C6185">
            <v>203</v>
          </cell>
          <cell r="D6185">
            <v>22</v>
          </cell>
          <cell r="E6185" t="str">
            <v>Taxes on production and imports, less Subsidies</v>
          </cell>
          <cell r="F6185">
            <v>12</v>
          </cell>
          <cell r="G6185">
            <v>1993</v>
          </cell>
          <cell r="H6185">
            <v>20</v>
          </cell>
          <cell r="I6185">
            <v>807400000</v>
          </cell>
        </row>
        <row r="6186">
          <cell r="A6186" t="str">
            <v>Djibouti</v>
          </cell>
          <cell r="B6186">
            <v>262</v>
          </cell>
          <cell r="C6186">
            <v>203</v>
          </cell>
          <cell r="D6186">
            <v>22</v>
          </cell>
          <cell r="E6186" t="str">
            <v>Taxes on production and imports, less Subsidies</v>
          </cell>
          <cell r="F6186">
            <v>12</v>
          </cell>
          <cell r="G6186">
            <v>1994</v>
          </cell>
          <cell r="H6186">
            <v>20</v>
          </cell>
          <cell r="I6186">
            <v>796000000</v>
          </cell>
        </row>
        <row r="6187">
          <cell r="A6187" t="str">
            <v>Djibouti</v>
          </cell>
          <cell r="B6187">
            <v>262</v>
          </cell>
          <cell r="C6187">
            <v>203</v>
          </cell>
          <cell r="D6187">
            <v>22</v>
          </cell>
          <cell r="E6187" t="str">
            <v>Taxes on production and imports, less Subsidies</v>
          </cell>
          <cell r="F6187">
            <v>12</v>
          </cell>
          <cell r="G6187">
            <v>1995</v>
          </cell>
          <cell r="H6187">
            <v>20</v>
          </cell>
          <cell r="I6187">
            <v>816400000</v>
          </cell>
        </row>
        <row r="6188">
          <cell r="A6188" t="str">
            <v>Djibouti</v>
          </cell>
          <cell r="B6188">
            <v>262</v>
          </cell>
          <cell r="C6188">
            <v>203</v>
          </cell>
          <cell r="D6188">
            <v>22</v>
          </cell>
          <cell r="E6188" t="str">
            <v>Taxes on production and imports, less Subsidies</v>
          </cell>
          <cell r="F6188">
            <v>12</v>
          </cell>
          <cell r="G6188">
            <v>1996</v>
          </cell>
          <cell r="H6188">
            <v>20</v>
          </cell>
          <cell r="I6188">
            <v>818400000</v>
          </cell>
        </row>
        <row r="6189">
          <cell r="A6189" t="str">
            <v>Djibouti</v>
          </cell>
          <cell r="B6189">
            <v>262</v>
          </cell>
          <cell r="C6189">
            <v>203</v>
          </cell>
          <cell r="D6189">
            <v>22</v>
          </cell>
          <cell r="E6189" t="str">
            <v>Taxes on production and imports, less Subsidies</v>
          </cell>
          <cell r="F6189">
            <v>12</v>
          </cell>
          <cell r="G6189">
            <v>1997</v>
          </cell>
          <cell r="H6189">
            <v>20</v>
          </cell>
          <cell r="I6189">
            <v>852900000</v>
          </cell>
        </row>
        <row r="6190">
          <cell r="A6190" t="str">
            <v>Djibouti</v>
          </cell>
          <cell r="B6190">
            <v>262</v>
          </cell>
          <cell r="C6190">
            <v>203</v>
          </cell>
          <cell r="D6190">
            <v>22</v>
          </cell>
          <cell r="E6190" t="str">
            <v>Taxes on production and imports, less Subsidies</v>
          </cell>
          <cell r="F6190">
            <v>12</v>
          </cell>
          <cell r="G6190">
            <v>1998</v>
          </cell>
          <cell r="H6190">
            <v>20</v>
          </cell>
          <cell r="I6190">
            <v>862800000</v>
          </cell>
        </row>
        <row r="6191">
          <cell r="A6191" t="str">
            <v>Gambia</v>
          </cell>
          <cell r="B6191">
            <v>270</v>
          </cell>
          <cell r="C6191">
            <v>201</v>
          </cell>
          <cell r="D6191">
            <v>13</v>
          </cell>
          <cell r="E6191" t="str">
            <v>Less: Financial intermediation services indirectly measured (FISIM) (only to be deducted if FISIM is not distributed to uses)</v>
          </cell>
          <cell r="F6191">
            <v>0</v>
          </cell>
          <cell r="G6191">
            <v>1974</v>
          </cell>
          <cell r="H6191">
            <v>10</v>
          </cell>
          <cell r="I6191">
            <v>5180000</v>
          </cell>
        </row>
        <row r="6192">
          <cell r="A6192" t="str">
            <v>Gambia</v>
          </cell>
          <cell r="B6192">
            <v>270</v>
          </cell>
          <cell r="C6192">
            <v>201</v>
          </cell>
          <cell r="D6192">
            <v>13</v>
          </cell>
          <cell r="E6192" t="str">
            <v>Less: Financial intermediation services indirectly measured (FISIM) (only to be deducted if FISIM is not distributed to uses)</v>
          </cell>
          <cell r="F6192">
            <v>0</v>
          </cell>
          <cell r="G6192">
            <v>1975</v>
          </cell>
          <cell r="H6192">
            <v>10</v>
          </cell>
          <cell r="I6192">
            <v>6408000</v>
          </cell>
        </row>
        <row r="6193">
          <cell r="A6193" t="str">
            <v>Gambia</v>
          </cell>
          <cell r="B6193">
            <v>270</v>
          </cell>
          <cell r="C6193">
            <v>201</v>
          </cell>
          <cell r="D6193">
            <v>13</v>
          </cell>
          <cell r="E6193" t="str">
            <v>Less: Financial intermediation services indirectly measured (FISIM) (only to be deducted if FISIM is not distributed to uses)</v>
          </cell>
          <cell r="F6193">
            <v>0</v>
          </cell>
          <cell r="G6193">
            <v>1976</v>
          </cell>
          <cell r="H6193">
            <v>10</v>
          </cell>
          <cell r="I6193">
            <v>6175000</v>
          </cell>
        </row>
        <row r="6194">
          <cell r="A6194" t="str">
            <v>Gambia</v>
          </cell>
          <cell r="B6194">
            <v>270</v>
          </cell>
          <cell r="C6194">
            <v>201</v>
          </cell>
          <cell r="D6194">
            <v>13</v>
          </cell>
          <cell r="E6194" t="str">
            <v>Less: Financial intermediation services indirectly measured (FISIM) (only to be deducted if FISIM is not distributed to uses)</v>
          </cell>
          <cell r="F6194">
            <v>0</v>
          </cell>
          <cell r="G6194">
            <v>1977</v>
          </cell>
          <cell r="H6194">
            <v>10</v>
          </cell>
          <cell r="I6194">
            <v>6399000</v>
          </cell>
        </row>
        <row r="6195">
          <cell r="A6195" t="str">
            <v>Gambia</v>
          </cell>
          <cell r="B6195">
            <v>270</v>
          </cell>
          <cell r="C6195">
            <v>201</v>
          </cell>
          <cell r="D6195">
            <v>13</v>
          </cell>
          <cell r="E6195" t="str">
            <v>Less: Financial intermediation services indirectly measured (FISIM) (only to be deducted if FISIM is not distributed to uses)</v>
          </cell>
          <cell r="F6195">
            <v>0</v>
          </cell>
          <cell r="G6195">
            <v>1978</v>
          </cell>
          <cell r="H6195">
            <v>10</v>
          </cell>
          <cell r="I6195">
            <v>8688000</v>
          </cell>
        </row>
        <row r="6196">
          <cell r="A6196" t="str">
            <v>Gambia</v>
          </cell>
          <cell r="B6196">
            <v>270</v>
          </cell>
          <cell r="C6196">
            <v>201</v>
          </cell>
          <cell r="D6196">
            <v>13</v>
          </cell>
          <cell r="E6196" t="str">
            <v>Less: Financial intermediation services indirectly measured (FISIM) (only to be deducted if FISIM is not distributed to uses)</v>
          </cell>
          <cell r="F6196">
            <v>0</v>
          </cell>
          <cell r="G6196">
            <v>1979</v>
          </cell>
          <cell r="H6196">
            <v>10</v>
          </cell>
          <cell r="I6196">
            <v>10199000</v>
          </cell>
        </row>
        <row r="6197">
          <cell r="A6197" t="str">
            <v>Gambia</v>
          </cell>
          <cell r="B6197">
            <v>270</v>
          </cell>
          <cell r="C6197">
            <v>201</v>
          </cell>
          <cell r="D6197">
            <v>13</v>
          </cell>
          <cell r="E6197" t="str">
            <v>Less: Financial intermediation services indirectly measured (FISIM) (only to be deducted if FISIM is not distributed to uses)</v>
          </cell>
          <cell r="F6197">
            <v>0</v>
          </cell>
          <cell r="G6197">
            <v>1980</v>
          </cell>
          <cell r="H6197">
            <v>10</v>
          </cell>
          <cell r="I6197">
            <v>13702000</v>
          </cell>
        </row>
        <row r="6198">
          <cell r="A6198" t="str">
            <v>Gambia</v>
          </cell>
          <cell r="B6198">
            <v>270</v>
          </cell>
          <cell r="C6198">
            <v>201</v>
          </cell>
          <cell r="D6198">
            <v>13</v>
          </cell>
          <cell r="E6198" t="str">
            <v>Less: Financial intermediation services indirectly measured (FISIM) (only to be deducted if FISIM is not distributed to uses)</v>
          </cell>
          <cell r="F6198">
            <v>0</v>
          </cell>
          <cell r="G6198">
            <v>1981</v>
          </cell>
          <cell r="H6198">
            <v>10</v>
          </cell>
          <cell r="I6198">
            <v>20244000</v>
          </cell>
        </row>
        <row r="6199">
          <cell r="A6199" t="str">
            <v>Gambia</v>
          </cell>
          <cell r="B6199">
            <v>270</v>
          </cell>
          <cell r="C6199">
            <v>201</v>
          </cell>
          <cell r="D6199">
            <v>13</v>
          </cell>
          <cell r="E6199" t="str">
            <v>Less: Financial intermediation services indirectly measured (FISIM) (only to be deducted if FISIM is not distributed to uses)</v>
          </cell>
          <cell r="F6199">
            <v>0</v>
          </cell>
          <cell r="G6199">
            <v>1982</v>
          </cell>
          <cell r="H6199">
            <v>10</v>
          </cell>
          <cell r="I6199">
            <v>22228000</v>
          </cell>
        </row>
        <row r="6200">
          <cell r="A6200" t="str">
            <v>Gambia</v>
          </cell>
          <cell r="B6200">
            <v>270</v>
          </cell>
          <cell r="C6200">
            <v>201</v>
          </cell>
          <cell r="D6200">
            <v>13</v>
          </cell>
          <cell r="E6200" t="str">
            <v>Less: Financial intermediation services indirectly measured (FISIM) (only to be deducted if FISIM is not distributed to uses)</v>
          </cell>
          <cell r="F6200">
            <v>0</v>
          </cell>
          <cell r="G6200">
            <v>1983</v>
          </cell>
          <cell r="H6200">
            <v>10</v>
          </cell>
          <cell r="I6200">
            <v>22111000</v>
          </cell>
        </row>
        <row r="6201">
          <cell r="A6201" t="str">
            <v>Gambia</v>
          </cell>
          <cell r="B6201">
            <v>270</v>
          </cell>
          <cell r="C6201">
            <v>201</v>
          </cell>
          <cell r="D6201">
            <v>13</v>
          </cell>
          <cell r="E6201" t="str">
            <v>Less: Financial intermediation services indirectly measured (FISIM) (only to be deducted if FISIM is not distributed to uses)</v>
          </cell>
          <cell r="F6201">
            <v>0</v>
          </cell>
          <cell r="G6201">
            <v>1984</v>
          </cell>
          <cell r="H6201">
            <v>10</v>
          </cell>
          <cell r="I6201">
            <v>12564000</v>
          </cell>
        </row>
        <row r="6202">
          <cell r="A6202" t="str">
            <v>Gambia</v>
          </cell>
          <cell r="B6202">
            <v>270</v>
          </cell>
          <cell r="C6202">
            <v>201</v>
          </cell>
          <cell r="D6202">
            <v>13</v>
          </cell>
          <cell r="E6202" t="str">
            <v>Less: Financial intermediation services indirectly measured (FISIM) (only to be deducted if FISIM is not distributed to uses)</v>
          </cell>
          <cell r="F6202">
            <v>0</v>
          </cell>
          <cell r="G6202">
            <v>1985</v>
          </cell>
          <cell r="H6202">
            <v>10</v>
          </cell>
          <cell r="I6202">
            <v>20318000</v>
          </cell>
        </row>
        <row r="6203">
          <cell r="A6203" t="str">
            <v>Gambia</v>
          </cell>
          <cell r="B6203">
            <v>270</v>
          </cell>
          <cell r="C6203">
            <v>201</v>
          </cell>
          <cell r="D6203">
            <v>13</v>
          </cell>
          <cell r="E6203" t="str">
            <v>Less: Financial intermediation services indirectly measured (FISIM) (only to be deducted if FISIM is not distributed to uses)</v>
          </cell>
          <cell r="F6203">
            <v>0</v>
          </cell>
          <cell r="G6203">
            <v>1986</v>
          </cell>
          <cell r="H6203">
            <v>10</v>
          </cell>
          <cell r="I6203">
            <v>48313000</v>
          </cell>
        </row>
        <row r="6204">
          <cell r="A6204" t="str">
            <v>Gambia</v>
          </cell>
          <cell r="B6204">
            <v>270</v>
          </cell>
          <cell r="C6204">
            <v>201</v>
          </cell>
          <cell r="D6204">
            <v>13</v>
          </cell>
          <cell r="E6204" t="str">
            <v>Less: Financial intermediation services indirectly measured (FISIM) (only to be deducted if FISIM is not distributed to uses)</v>
          </cell>
          <cell r="F6204">
            <v>0</v>
          </cell>
          <cell r="G6204">
            <v>1987</v>
          </cell>
          <cell r="H6204">
            <v>10</v>
          </cell>
          <cell r="I6204">
            <v>60000000</v>
          </cell>
        </row>
        <row r="6205">
          <cell r="A6205" t="str">
            <v>Gambia</v>
          </cell>
          <cell r="B6205">
            <v>270</v>
          </cell>
          <cell r="C6205">
            <v>201</v>
          </cell>
          <cell r="D6205">
            <v>13</v>
          </cell>
          <cell r="E6205" t="str">
            <v>Less: Financial intermediation services indirectly measured (FISIM) (only to be deducted if FISIM is not distributed to uses)</v>
          </cell>
          <cell r="F6205">
            <v>0</v>
          </cell>
          <cell r="G6205">
            <v>1988</v>
          </cell>
          <cell r="H6205">
            <v>10</v>
          </cell>
          <cell r="I6205">
            <v>69146000</v>
          </cell>
        </row>
        <row r="6206">
          <cell r="A6206" t="str">
            <v>Gambia</v>
          </cell>
          <cell r="B6206">
            <v>270</v>
          </cell>
          <cell r="C6206">
            <v>201</v>
          </cell>
          <cell r="D6206">
            <v>13</v>
          </cell>
          <cell r="E6206" t="str">
            <v>Less: Financial intermediation services indirectly measured (FISIM) (only to be deducted if FISIM is not distributed to uses)</v>
          </cell>
          <cell r="F6206">
            <v>0</v>
          </cell>
          <cell r="G6206">
            <v>1989</v>
          </cell>
          <cell r="H6206">
            <v>10</v>
          </cell>
          <cell r="I6206">
            <v>65209000</v>
          </cell>
        </row>
        <row r="6207">
          <cell r="A6207" t="str">
            <v>Gambia</v>
          </cell>
          <cell r="B6207">
            <v>270</v>
          </cell>
          <cell r="C6207">
            <v>201</v>
          </cell>
          <cell r="D6207">
            <v>13</v>
          </cell>
          <cell r="E6207" t="str">
            <v>Less: Financial intermediation services indirectly measured (FISIM) (only to be deducted if FISIM is not distributed to uses)</v>
          </cell>
          <cell r="F6207">
            <v>0</v>
          </cell>
          <cell r="G6207">
            <v>1990</v>
          </cell>
          <cell r="H6207">
            <v>10</v>
          </cell>
          <cell r="I6207">
            <v>39809000</v>
          </cell>
        </row>
        <row r="6208">
          <cell r="A6208" t="str">
            <v>Gambia</v>
          </cell>
          <cell r="B6208">
            <v>270</v>
          </cell>
          <cell r="C6208">
            <v>201</v>
          </cell>
          <cell r="D6208">
            <v>13</v>
          </cell>
          <cell r="E6208" t="str">
            <v>Less: Financial intermediation services indirectly measured (FISIM) (only to be deducted if FISIM is not distributed to uses)</v>
          </cell>
          <cell r="F6208">
            <v>0</v>
          </cell>
          <cell r="G6208">
            <v>1991</v>
          </cell>
          <cell r="H6208">
            <v>10</v>
          </cell>
          <cell r="I6208">
            <v>42000000</v>
          </cell>
        </row>
        <row r="6209">
          <cell r="A6209" t="str">
            <v>Gambia</v>
          </cell>
          <cell r="B6209">
            <v>270</v>
          </cell>
          <cell r="C6209">
            <v>201</v>
          </cell>
          <cell r="D6209">
            <v>13</v>
          </cell>
          <cell r="E6209" t="str">
            <v>Less: Financial intermediation services indirectly measured (FISIM) (only to be deducted if FISIM is not distributed to uses)</v>
          </cell>
          <cell r="F6209">
            <v>0</v>
          </cell>
          <cell r="G6209">
            <v>1992</v>
          </cell>
          <cell r="H6209">
            <v>10</v>
          </cell>
          <cell r="I6209">
            <v>22376000</v>
          </cell>
        </row>
        <row r="6210">
          <cell r="A6210" t="str">
            <v>Gambia</v>
          </cell>
          <cell r="B6210">
            <v>270</v>
          </cell>
          <cell r="C6210">
            <v>201</v>
          </cell>
          <cell r="D6210">
            <v>13</v>
          </cell>
          <cell r="E6210" t="str">
            <v>Less: Financial intermediation services indirectly measured (FISIM) (only to be deducted if FISIM is not distributed to uses)</v>
          </cell>
          <cell r="F6210">
            <v>0</v>
          </cell>
          <cell r="G6210">
            <v>1993</v>
          </cell>
          <cell r="H6210">
            <v>10</v>
          </cell>
          <cell r="I6210">
            <v>52785000</v>
          </cell>
        </row>
        <row r="6211">
          <cell r="A6211" t="str">
            <v>Gambia</v>
          </cell>
          <cell r="B6211">
            <v>270</v>
          </cell>
          <cell r="C6211">
            <v>203</v>
          </cell>
          <cell r="D6211">
            <v>3</v>
          </cell>
          <cell r="E6211" t="str">
            <v>Equals: VALUE ADDED, GROSS, at basic prices</v>
          </cell>
          <cell r="F6211">
            <v>12</v>
          </cell>
          <cell r="G6211">
            <v>1974</v>
          </cell>
          <cell r="H6211">
            <v>10</v>
          </cell>
          <cell r="I6211">
            <v>226376000</v>
          </cell>
        </row>
        <row r="6212">
          <cell r="A6212" t="str">
            <v>Gambia</v>
          </cell>
          <cell r="B6212">
            <v>270</v>
          </cell>
          <cell r="C6212">
            <v>203</v>
          </cell>
          <cell r="D6212">
            <v>3</v>
          </cell>
          <cell r="E6212" t="str">
            <v>Equals: VALUE ADDED, GROSS, at basic prices</v>
          </cell>
          <cell r="F6212">
            <v>12</v>
          </cell>
          <cell r="G6212">
            <v>1975</v>
          </cell>
          <cell r="H6212">
            <v>10</v>
          </cell>
          <cell r="I6212">
            <v>284734000</v>
          </cell>
        </row>
        <row r="6213">
          <cell r="A6213" t="str">
            <v>Gambia</v>
          </cell>
          <cell r="B6213">
            <v>270</v>
          </cell>
          <cell r="C6213">
            <v>203</v>
          </cell>
          <cell r="D6213">
            <v>3</v>
          </cell>
          <cell r="E6213" t="str">
            <v>Equals: VALUE ADDED, GROSS, at basic prices</v>
          </cell>
          <cell r="F6213">
            <v>12</v>
          </cell>
          <cell r="G6213">
            <v>1976</v>
          </cell>
          <cell r="H6213">
            <v>10</v>
          </cell>
          <cell r="I6213">
            <v>361283000</v>
          </cell>
        </row>
        <row r="6214">
          <cell r="A6214" t="str">
            <v>Gambia</v>
          </cell>
          <cell r="B6214">
            <v>270</v>
          </cell>
          <cell r="C6214">
            <v>203</v>
          </cell>
          <cell r="D6214">
            <v>3</v>
          </cell>
          <cell r="E6214" t="str">
            <v>Equals: VALUE ADDED, GROSS, at basic prices</v>
          </cell>
          <cell r="F6214">
            <v>12</v>
          </cell>
          <cell r="G6214">
            <v>1977</v>
          </cell>
          <cell r="H6214">
            <v>10</v>
          </cell>
          <cell r="I6214">
            <v>367060000</v>
          </cell>
        </row>
        <row r="6215">
          <cell r="A6215" t="str">
            <v>Gambia</v>
          </cell>
          <cell r="B6215">
            <v>270</v>
          </cell>
          <cell r="C6215">
            <v>203</v>
          </cell>
          <cell r="D6215">
            <v>3</v>
          </cell>
          <cell r="E6215" t="str">
            <v>Equals: VALUE ADDED, GROSS, at basic prices</v>
          </cell>
          <cell r="F6215">
            <v>12</v>
          </cell>
          <cell r="G6215">
            <v>1978</v>
          </cell>
          <cell r="H6215">
            <v>10</v>
          </cell>
          <cell r="I6215">
            <v>426590000</v>
          </cell>
        </row>
        <row r="6216">
          <cell r="A6216" t="str">
            <v>Gambia</v>
          </cell>
          <cell r="B6216">
            <v>270</v>
          </cell>
          <cell r="C6216">
            <v>203</v>
          </cell>
          <cell r="D6216">
            <v>3</v>
          </cell>
          <cell r="E6216" t="str">
            <v>Equals: VALUE ADDED, GROSS, at basic prices</v>
          </cell>
          <cell r="F6216">
            <v>12</v>
          </cell>
          <cell r="G6216">
            <v>1979</v>
          </cell>
          <cell r="H6216">
            <v>10</v>
          </cell>
          <cell r="I6216">
            <v>435335000</v>
          </cell>
        </row>
        <row r="6217">
          <cell r="A6217" t="str">
            <v>Gambia</v>
          </cell>
          <cell r="B6217">
            <v>270</v>
          </cell>
          <cell r="C6217">
            <v>203</v>
          </cell>
          <cell r="D6217">
            <v>3</v>
          </cell>
          <cell r="E6217" t="str">
            <v>Equals: VALUE ADDED, GROSS, at basic prices</v>
          </cell>
          <cell r="F6217">
            <v>12</v>
          </cell>
          <cell r="G6217">
            <v>1980</v>
          </cell>
          <cell r="H6217">
            <v>10</v>
          </cell>
          <cell r="I6217">
            <v>425383000</v>
          </cell>
        </row>
        <row r="6218">
          <cell r="A6218" t="str">
            <v>Gambia</v>
          </cell>
          <cell r="B6218">
            <v>270</v>
          </cell>
          <cell r="C6218">
            <v>203</v>
          </cell>
          <cell r="D6218">
            <v>3</v>
          </cell>
          <cell r="E6218" t="str">
            <v>Equals: VALUE ADDED, GROSS, at basic prices</v>
          </cell>
          <cell r="F6218">
            <v>12</v>
          </cell>
          <cell r="G6218">
            <v>1981</v>
          </cell>
          <cell r="H6218">
            <v>10</v>
          </cell>
          <cell r="I6218">
            <v>471474000</v>
          </cell>
        </row>
        <row r="6219">
          <cell r="A6219" t="str">
            <v>Gambia</v>
          </cell>
          <cell r="B6219">
            <v>270</v>
          </cell>
          <cell r="C6219">
            <v>203</v>
          </cell>
          <cell r="D6219">
            <v>3</v>
          </cell>
          <cell r="E6219" t="str">
            <v>Equals: VALUE ADDED, GROSS, at basic prices</v>
          </cell>
          <cell r="F6219">
            <v>12</v>
          </cell>
          <cell r="G6219">
            <v>1982</v>
          </cell>
          <cell r="H6219">
            <v>10</v>
          </cell>
          <cell r="I6219">
            <v>628015000</v>
          </cell>
        </row>
        <row r="6220">
          <cell r="A6220" t="str">
            <v>Gambia</v>
          </cell>
          <cell r="B6220">
            <v>270</v>
          </cell>
          <cell r="C6220">
            <v>203</v>
          </cell>
          <cell r="D6220">
            <v>3</v>
          </cell>
          <cell r="E6220" t="str">
            <v>Equals: VALUE ADDED, GROSS, at basic prices</v>
          </cell>
          <cell r="F6220">
            <v>12</v>
          </cell>
          <cell r="G6220">
            <v>1983</v>
          </cell>
          <cell r="H6220">
            <v>10</v>
          </cell>
          <cell r="I6220">
            <v>639948000</v>
          </cell>
        </row>
        <row r="6221">
          <cell r="A6221" t="str">
            <v>Gambia</v>
          </cell>
          <cell r="B6221">
            <v>270</v>
          </cell>
          <cell r="C6221">
            <v>203</v>
          </cell>
          <cell r="D6221">
            <v>3</v>
          </cell>
          <cell r="E6221" t="str">
            <v>Equals: VALUE ADDED, GROSS, at basic prices</v>
          </cell>
          <cell r="F6221">
            <v>12</v>
          </cell>
          <cell r="G6221">
            <v>1984</v>
          </cell>
          <cell r="H6221">
            <v>10</v>
          </cell>
          <cell r="I6221">
            <v>794427000</v>
          </cell>
        </row>
        <row r="6222">
          <cell r="A6222" t="str">
            <v>Gambia</v>
          </cell>
          <cell r="B6222">
            <v>270</v>
          </cell>
          <cell r="C6222">
            <v>203</v>
          </cell>
          <cell r="D6222">
            <v>3</v>
          </cell>
          <cell r="E6222" t="str">
            <v>Equals: VALUE ADDED, GROSS, at basic prices</v>
          </cell>
          <cell r="F6222">
            <v>12</v>
          </cell>
          <cell r="G6222">
            <v>1985</v>
          </cell>
          <cell r="H6222">
            <v>10</v>
          </cell>
          <cell r="I6222">
            <v>1115103000</v>
          </cell>
        </row>
        <row r="6223">
          <cell r="A6223" t="str">
            <v>Gambia</v>
          </cell>
          <cell r="B6223">
            <v>270</v>
          </cell>
          <cell r="C6223">
            <v>203</v>
          </cell>
          <cell r="D6223">
            <v>3</v>
          </cell>
          <cell r="E6223" t="str">
            <v>Equals: VALUE ADDED, GROSS, at basic prices</v>
          </cell>
          <cell r="F6223">
            <v>12</v>
          </cell>
          <cell r="G6223">
            <v>1986</v>
          </cell>
          <cell r="H6223">
            <v>10</v>
          </cell>
          <cell r="I6223">
            <v>1574451000</v>
          </cell>
        </row>
        <row r="6224">
          <cell r="A6224" t="str">
            <v>Gambia</v>
          </cell>
          <cell r="B6224">
            <v>270</v>
          </cell>
          <cell r="C6224">
            <v>203</v>
          </cell>
          <cell r="D6224">
            <v>3</v>
          </cell>
          <cell r="E6224" t="str">
            <v>Equals: VALUE ADDED, GROSS, at basic prices</v>
          </cell>
          <cell r="F6224">
            <v>12</v>
          </cell>
          <cell r="G6224">
            <v>1987</v>
          </cell>
          <cell r="H6224">
            <v>10</v>
          </cell>
          <cell r="I6224">
            <v>1767654000</v>
          </cell>
        </row>
        <row r="6225">
          <cell r="A6225" t="str">
            <v>Germany, Federal Republic of</v>
          </cell>
          <cell r="B6225">
            <v>280</v>
          </cell>
          <cell r="C6225">
            <v>201</v>
          </cell>
          <cell r="D6225">
            <v>13</v>
          </cell>
          <cell r="E6225" t="str">
            <v>Less: Financial intermediation services indirectly measured (FISIM) (only to be deducted if FISIM is not distributed to uses)</v>
          </cell>
          <cell r="F6225">
            <v>0</v>
          </cell>
          <cell r="G6225">
            <v>1960</v>
          </cell>
          <cell r="H6225">
            <v>30</v>
          </cell>
          <cell r="I6225">
            <v>5200000000</v>
          </cell>
        </row>
        <row r="6226">
          <cell r="A6226" t="str">
            <v>Germany, Federal Republic of</v>
          </cell>
          <cell r="B6226">
            <v>280</v>
          </cell>
          <cell r="C6226">
            <v>201</v>
          </cell>
          <cell r="D6226">
            <v>13</v>
          </cell>
          <cell r="E6226" t="str">
            <v>Less: Financial intermediation services indirectly measured (FISIM) (only to be deducted if FISIM is not distributed to uses)</v>
          </cell>
          <cell r="F6226">
            <v>0</v>
          </cell>
          <cell r="G6226">
            <v>1961</v>
          </cell>
          <cell r="H6226">
            <v>30</v>
          </cell>
          <cell r="I6226">
            <v>5650000000</v>
          </cell>
        </row>
        <row r="6227">
          <cell r="A6227" t="str">
            <v>Germany, Federal Republic of</v>
          </cell>
          <cell r="B6227">
            <v>280</v>
          </cell>
          <cell r="C6227">
            <v>201</v>
          </cell>
          <cell r="D6227">
            <v>13</v>
          </cell>
          <cell r="E6227" t="str">
            <v>Less: Financial intermediation services indirectly measured (FISIM) (only to be deducted if FISIM is not distributed to uses)</v>
          </cell>
          <cell r="F6227">
            <v>0</v>
          </cell>
          <cell r="G6227">
            <v>1962</v>
          </cell>
          <cell r="H6227">
            <v>30</v>
          </cell>
          <cell r="I6227">
            <v>6490000000</v>
          </cell>
        </row>
        <row r="6228">
          <cell r="A6228" t="str">
            <v>Germany, Federal Republic of</v>
          </cell>
          <cell r="B6228">
            <v>280</v>
          </cell>
          <cell r="C6228">
            <v>201</v>
          </cell>
          <cell r="D6228">
            <v>13</v>
          </cell>
          <cell r="E6228" t="str">
            <v>Less: Financial intermediation services indirectly measured (FISIM) (only to be deducted if FISIM is not distributed to uses)</v>
          </cell>
          <cell r="F6228">
            <v>0</v>
          </cell>
          <cell r="G6228">
            <v>1963</v>
          </cell>
          <cell r="H6228">
            <v>30</v>
          </cell>
          <cell r="I6228">
            <v>7230000000</v>
          </cell>
        </row>
        <row r="6229">
          <cell r="A6229" t="str">
            <v>Germany, Federal Republic of</v>
          </cell>
          <cell r="B6229">
            <v>280</v>
          </cell>
          <cell r="C6229">
            <v>201</v>
          </cell>
          <cell r="D6229">
            <v>13</v>
          </cell>
          <cell r="E6229" t="str">
            <v>Less: Financial intermediation services indirectly measured (FISIM) (only to be deducted if FISIM is not distributed to uses)</v>
          </cell>
          <cell r="F6229">
            <v>0</v>
          </cell>
          <cell r="G6229">
            <v>1964</v>
          </cell>
          <cell r="H6229">
            <v>30</v>
          </cell>
          <cell r="I6229">
            <v>8070000000</v>
          </cell>
        </row>
        <row r="6230">
          <cell r="A6230" t="str">
            <v>Germany, Federal Republic of</v>
          </cell>
          <cell r="B6230">
            <v>280</v>
          </cell>
          <cell r="C6230">
            <v>201</v>
          </cell>
          <cell r="D6230">
            <v>13</v>
          </cell>
          <cell r="E6230" t="str">
            <v>Less: Financial intermediation services indirectly measured (FISIM) (only to be deducted if FISIM is not distributed to uses)</v>
          </cell>
          <cell r="F6230">
            <v>0</v>
          </cell>
          <cell r="G6230">
            <v>1965</v>
          </cell>
          <cell r="H6230">
            <v>30</v>
          </cell>
          <cell r="I6230">
            <v>9450000000</v>
          </cell>
        </row>
        <row r="6231">
          <cell r="A6231" t="str">
            <v>Germany, Federal Republic of</v>
          </cell>
          <cell r="B6231">
            <v>280</v>
          </cell>
          <cell r="C6231">
            <v>201</v>
          </cell>
          <cell r="D6231">
            <v>13</v>
          </cell>
          <cell r="E6231" t="str">
            <v>Less: Financial intermediation services indirectly measured (FISIM) (only to be deducted if FISIM is not distributed to uses)</v>
          </cell>
          <cell r="F6231">
            <v>0</v>
          </cell>
          <cell r="G6231">
            <v>1966</v>
          </cell>
          <cell r="H6231">
            <v>30</v>
          </cell>
          <cell r="I6231">
            <v>11100000000</v>
          </cell>
        </row>
        <row r="6232">
          <cell r="A6232" t="str">
            <v>Germany, Federal Republic of</v>
          </cell>
          <cell r="B6232">
            <v>280</v>
          </cell>
          <cell r="C6232">
            <v>201</v>
          </cell>
          <cell r="D6232">
            <v>13</v>
          </cell>
          <cell r="E6232" t="str">
            <v>Less: Financial intermediation services indirectly measured (FISIM) (only to be deducted if FISIM is not distributed to uses)</v>
          </cell>
          <cell r="F6232">
            <v>0</v>
          </cell>
          <cell r="G6232">
            <v>1967</v>
          </cell>
          <cell r="H6232">
            <v>30</v>
          </cell>
          <cell r="I6232">
            <v>11720000000</v>
          </cell>
        </row>
        <row r="6233">
          <cell r="A6233" t="str">
            <v>Germany, Federal Republic of</v>
          </cell>
          <cell r="B6233">
            <v>280</v>
          </cell>
          <cell r="C6233">
            <v>201</v>
          </cell>
          <cell r="D6233">
            <v>13</v>
          </cell>
          <cell r="E6233" t="str">
            <v>Less: Financial intermediation services indirectly measured (FISIM) (only to be deducted if FISIM is not distributed to uses)</v>
          </cell>
          <cell r="F6233">
            <v>0</v>
          </cell>
          <cell r="G6233">
            <v>1968</v>
          </cell>
          <cell r="H6233">
            <v>30</v>
          </cell>
          <cell r="I6233">
            <v>12920000000</v>
          </cell>
        </row>
        <row r="6234">
          <cell r="A6234" t="str">
            <v>Germany, Federal Republic of</v>
          </cell>
          <cell r="B6234">
            <v>280</v>
          </cell>
          <cell r="C6234">
            <v>201</v>
          </cell>
          <cell r="D6234">
            <v>13</v>
          </cell>
          <cell r="E6234" t="str">
            <v>Less: Financial intermediation services indirectly measured (FISIM) (only to be deducted if FISIM is not distributed to uses)</v>
          </cell>
          <cell r="F6234">
            <v>0</v>
          </cell>
          <cell r="G6234">
            <v>1969</v>
          </cell>
          <cell r="H6234">
            <v>30</v>
          </cell>
          <cell r="I6234">
            <v>15430000000</v>
          </cell>
        </row>
        <row r="6235">
          <cell r="A6235" t="str">
            <v>Germany, Federal Republic of</v>
          </cell>
          <cell r="B6235">
            <v>280</v>
          </cell>
          <cell r="C6235">
            <v>201</v>
          </cell>
          <cell r="D6235">
            <v>13</v>
          </cell>
          <cell r="E6235" t="str">
            <v>Less: Financial intermediation services indirectly measured (FISIM) (only to be deducted if FISIM is not distributed to uses)</v>
          </cell>
          <cell r="F6235">
            <v>0</v>
          </cell>
          <cell r="G6235">
            <v>1970</v>
          </cell>
          <cell r="H6235">
            <v>30</v>
          </cell>
          <cell r="I6235">
            <v>17940000000</v>
          </cell>
        </row>
        <row r="6236">
          <cell r="A6236" t="str">
            <v>Germany, Federal Republic of</v>
          </cell>
          <cell r="B6236">
            <v>280</v>
          </cell>
          <cell r="C6236">
            <v>201</v>
          </cell>
          <cell r="D6236">
            <v>13</v>
          </cell>
          <cell r="E6236" t="str">
            <v>Less: Financial intermediation services indirectly measured (FISIM) (only to be deducted if FISIM is not distributed to uses)</v>
          </cell>
          <cell r="F6236">
            <v>0</v>
          </cell>
          <cell r="G6236">
            <v>1970</v>
          </cell>
          <cell r="H6236">
            <v>100</v>
          </cell>
          <cell r="I6236">
            <v>8190000000</v>
          </cell>
        </row>
        <row r="6237">
          <cell r="A6237" t="str">
            <v>Germany, Federal Republic of</v>
          </cell>
          <cell r="B6237">
            <v>280</v>
          </cell>
          <cell r="C6237">
            <v>201</v>
          </cell>
          <cell r="D6237">
            <v>13</v>
          </cell>
          <cell r="E6237" t="str">
            <v>Less: Financial intermediation services indirectly measured (FISIM) (only to be deducted if FISIM is not distributed to uses)</v>
          </cell>
          <cell r="F6237">
            <v>0</v>
          </cell>
          <cell r="G6237">
            <v>1971</v>
          </cell>
          <cell r="H6237">
            <v>100</v>
          </cell>
          <cell r="I6237">
            <v>9550000000</v>
          </cell>
        </row>
        <row r="6238">
          <cell r="A6238" t="str">
            <v>Germany, Federal Republic of</v>
          </cell>
          <cell r="B6238">
            <v>280</v>
          </cell>
          <cell r="C6238">
            <v>201</v>
          </cell>
          <cell r="D6238">
            <v>13</v>
          </cell>
          <cell r="E6238" t="str">
            <v>Less: Financial intermediation services indirectly measured (FISIM) (only to be deducted if FISIM is not distributed to uses)</v>
          </cell>
          <cell r="F6238">
            <v>0</v>
          </cell>
          <cell r="G6238">
            <v>1972</v>
          </cell>
          <cell r="H6238">
            <v>100</v>
          </cell>
          <cell r="I6238">
            <v>11110000000</v>
          </cell>
        </row>
        <row r="6239">
          <cell r="A6239" t="str">
            <v>Germany, Federal Republic of</v>
          </cell>
          <cell r="B6239">
            <v>280</v>
          </cell>
          <cell r="C6239">
            <v>201</v>
          </cell>
          <cell r="D6239">
            <v>13</v>
          </cell>
          <cell r="E6239" t="str">
            <v>Less: Financial intermediation services indirectly measured (FISIM) (only to be deducted if FISIM is not distributed to uses)</v>
          </cell>
          <cell r="F6239">
            <v>0</v>
          </cell>
          <cell r="G6239">
            <v>1973</v>
          </cell>
          <cell r="H6239">
            <v>100</v>
          </cell>
          <cell r="I6239">
            <v>12270000000</v>
          </cell>
        </row>
        <row r="6240">
          <cell r="A6240" t="str">
            <v>Germany, Federal Republic of</v>
          </cell>
          <cell r="B6240">
            <v>280</v>
          </cell>
          <cell r="C6240">
            <v>201</v>
          </cell>
          <cell r="D6240">
            <v>13</v>
          </cell>
          <cell r="E6240" t="str">
            <v>Less: Financial intermediation services indirectly measured (FISIM) (only to be deducted if FISIM is not distributed to uses)</v>
          </cell>
          <cell r="F6240">
            <v>0</v>
          </cell>
          <cell r="G6240">
            <v>1974</v>
          </cell>
          <cell r="H6240">
            <v>100</v>
          </cell>
          <cell r="I6240">
            <v>15300000000</v>
          </cell>
        </row>
        <row r="6241">
          <cell r="A6241" t="str">
            <v>Germany, Federal Republic of</v>
          </cell>
          <cell r="B6241">
            <v>280</v>
          </cell>
          <cell r="C6241">
            <v>201</v>
          </cell>
          <cell r="D6241">
            <v>13</v>
          </cell>
          <cell r="E6241" t="str">
            <v>Less: Financial intermediation services indirectly measured (FISIM) (only to be deducted if FISIM is not distributed to uses)</v>
          </cell>
          <cell r="F6241">
            <v>0</v>
          </cell>
          <cell r="G6241">
            <v>1975</v>
          </cell>
          <cell r="H6241">
            <v>100</v>
          </cell>
          <cell r="I6241">
            <v>16970000000</v>
          </cell>
        </row>
        <row r="6242">
          <cell r="A6242" t="str">
            <v>Germany, Federal Republic of</v>
          </cell>
          <cell r="B6242">
            <v>280</v>
          </cell>
          <cell r="C6242">
            <v>201</v>
          </cell>
          <cell r="D6242">
            <v>13</v>
          </cell>
          <cell r="E6242" t="str">
            <v>Less: Financial intermediation services indirectly measured (FISIM) (only to be deducted if FISIM is not distributed to uses)</v>
          </cell>
          <cell r="F6242">
            <v>0</v>
          </cell>
          <cell r="G6242">
            <v>1976</v>
          </cell>
          <cell r="H6242">
            <v>100</v>
          </cell>
          <cell r="I6242">
            <v>17930000000</v>
          </cell>
        </row>
        <row r="6243">
          <cell r="A6243" t="str">
            <v>Germany, Federal Republic of</v>
          </cell>
          <cell r="B6243">
            <v>280</v>
          </cell>
          <cell r="C6243">
            <v>201</v>
          </cell>
          <cell r="D6243">
            <v>13</v>
          </cell>
          <cell r="E6243" t="str">
            <v>Less: Financial intermediation services indirectly measured (FISIM) (only to be deducted if FISIM is not distributed to uses)</v>
          </cell>
          <cell r="F6243">
            <v>0</v>
          </cell>
          <cell r="G6243">
            <v>1977</v>
          </cell>
          <cell r="H6243">
            <v>100</v>
          </cell>
          <cell r="I6243">
            <v>19230000000</v>
          </cell>
        </row>
        <row r="6244">
          <cell r="A6244" t="str">
            <v>Germany, Federal Republic of</v>
          </cell>
          <cell r="B6244">
            <v>280</v>
          </cell>
          <cell r="C6244">
            <v>201</v>
          </cell>
          <cell r="D6244">
            <v>13</v>
          </cell>
          <cell r="E6244" t="str">
            <v>Less: Financial intermediation services indirectly measured (FISIM) (only to be deducted if FISIM is not distributed to uses)</v>
          </cell>
          <cell r="F6244">
            <v>0</v>
          </cell>
          <cell r="G6244">
            <v>1978</v>
          </cell>
          <cell r="H6244">
            <v>100</v>
          </cell>
          <cell r="I6244">
            <v>20980000000</v>
          </cell>
        </row>
        <row r="6245">
          <cell r="A6245" t="str">
            <v>Germany, Federal Republic of</v>
          </cell>
          <cell r="B6245">
            <v>280</v>
          </cell>
          <cell r="C6245">
            <v>201</v>
          </cell>
          <cell r="D6245">
            <v>13</v>
          </cell>
          <cell r="E6245" t="str">
            <v>Less: Financial intermediation services indirectly measured (FISIM) (only to be deducted if FISIM is not distributed to uses)</v>
          </cell>
          <cell r="F6245">
            <v>0</v>
          </cell>
          <cell r="G6245">
            <v>1979</v>
          </cell>
          <cell r="H6245">
            <v>100</v>
          </cell>
          <cell r="I6245">
            <v>22500000000</v>
          </cell>
        </row>
        <row r="6246">
          <cell r="A6246" t="str">
            <v>Germany, Federal Republic of</v>
          </cell>
          <cell r="B6246">
            <v>280</v>
          </cell>
          <cell r="C6246">
            <v>201</v>
          </cell>
          <cell r="D6246">
            <v>13</v>
          </cell>
          <cell r="E6246" t="str">
            <v>Less: Financial intermediation services indirectly measured (FISIM) (only to be deducted if FISIM is not distributed to uses)</v>
          </cell>
          <cell r="F6246">
            <v>0</v>
          </cell>
          <cell r="G6246">
            <v>1980</v>
          </cell>
          <cell r="H6246">
            <v>100</v>
          </cell>
          <cell r="I6246">
            <v>23810000000</v>
          </cell>
        </row>
        <row r="6247">
          <cell r="A6247" t="str">
            <v>Germany, Federal Republic of</v>
          </cell>
          <cell r="B6247">
            <v>280</v>
          </cell>
          <cell r="C6247">
            <v>201</v>
          </cell>
          <cell r="D6247">
            <v>13</v>
          </cell>
          <cell r="E6247" t="str">
            <v>Less: Financial intermediation services indirectly measured (FISIM) (only to be deducted if FISIM is not distributed to uses)</v>
          </cell>
          <cell r="F6247">
            <v>0</v>
          </cell>
          <cell r="G6247">
            <v>1981</v>
          </cell>
          <cell r="H6247">
            <v>100</v>
          </cell>
          <cell r="I6247">
            <v>27980000000</v>
          </cell>
        </row>
        <row r="6248">
          <cell r="A6248" t="str">
            <v>Germany, Federal Republic of</v>
          </cell>
          <cell r="B6248">
            <v>280</v>
          </cell>
          <cell r="C6248">
            <v>201</v>
          </cell>
          <cell r="D6248">
            <v>13</v>
          </cell>
          <cell r="E6248" t="str">
            <v>Less: Financial intermediation services indirectly measured (FISIM) (only to be deducted if FISIM is not distributed to uses)</v>
          </cell>
          <cell r="F6248">
            <v>0</v>
          </cell>
          <cell r="G6248">
            <v>1982</v>
          </cell>
          <cell r="H6248">
            <v>100</v>
          </cell>
          <cell r="I6248">
            <v>33010000000</v>
          </cell>
        </row>
        <row r="6249">
          <cell r="A6249" t="str">
            <v>Germany, Federal Republic of</v>
          </cell>
          <cell r="B6249">
            <v>280</v>
          </cell>
          <cell r="C6249">
            <v>201</v>
          </cell>
          <cell r="D6249">
            <v>13</v>
          </cell>
          <cell r="E6249" t="str">
            <v>Less: Financial intermediation services indirectly measured (FISIM) (only to be deducted if FISIM is not distributed to uses)</v>
          </cell>
          <cell r="F6249">
            <v>0</v>
          </cell>
          <cell r="G6249">
            <v>1983</v>
          </cell>
          <cell r="H6249">
            <v>100</v>
          </cell>
          <cell r="I6249">
            <v>37170000000</v>
          </cell>
        </row>
        <row r="6250">
          <cell r="A6250" t="str">
            <v>Germany, Federal Republic of</v>
          </cell>
          <cell r="B6250">
            <v>280</v>
          </cell>
          <cell r="C6250">
            <v>201</v>
          </cell>
          <cell r="D6250">
            <v>13</v>
          </cell>
          <cell r="E6250" t="str">
            <v>Less: Financial intermediation services indirectly measured (FISIM) (only to be deducted if FISIM is not distributed to uses)</v>
          </cell>
          <cell r="F6250">
            <v>0</v>
          </cell>
          <cell r="G6250">
            <v>1984</v>
          </cell>
          <cell r="H6250">
            <v>100</v>
          </cell>
          <cell r="I6250">
            <v>38200000000</v>
          </cell>
        </row>
        <row r="6251">
          <cell r="A6251" t="str">
            <v>Germany, Federal Republic of</v>
          </cell>
          <cell r="B6251">
            <v>280</v>
          </cell>
          <cell r="C6251">
            <v>201</v>
          </cell>
          <cell r="D6251">
            <v>13</v>
          </cell>
          <cell r="E6251" t="str">
            <v>Less: Financial intermediation services indirectly measured (FISIM) (only to be deducted if FISIM is not distributed to uses)</v>
          </cell>
          <cell r="F6251">
            <v>0</v>
          </cell>
          <cell r="G6251">
            <v>1985</v>
          </cell>
          <cell r="H6251">
            <v>100</v>
          </cell>
          <cell r="I6251">
            <v>38180000000</v>
          </cell>
        </row>
        <row r="6252">
          <cell r="A6252" t="str">
            <v>Germany, Federal Republic of</v>
          </cell>
          <cell r="B6252">
            <v>280</v>
          </cell>
          <cell r="C6252">
            <v>201</v>
          </cell>
          <cell r="D6252">
            <v>13</v>
          </cell>
          <cell r="E6252" t="str">
            <v>Less: Financial intermediation services indirectly measured (FISIM) (only to be deducted if FISIM is not distributed to uses)</v>
          </cell>
          <cell r="F6252">
            <v>0</v>
          </cell>
          <cell r="G6252">
            <v>1986</v>
          </cell>
          <cell r="H6252">
            <v>100</v>
          </cell>
          <cell r="I6252">
            <v>38020000000</v>
          </cell>
        </row>
        <row r="6253">
          <cell r="A6253" t="str">
            <v>Germany, Federal Republic of</v>
          </cell>
          <cell r="B6253">
            <v>280</v>
          </cell>
          <cell r="C6253">
            <v>201</v>
          </cell>
          <cell r="D6253">
            <v>13</v>
          </cell>
          <cell r="E6253" t="str">
            <v>Less: Financial intermediation services indirectly measured (FISIM) (only to be deducted if FISIM is not distributed to uses)</v>
          </cell>
          <cell r="F6253">
            <v>0</v>
          </cell>
          <cell r="G6253">
            <v>1987</v>
          </cell>
          <cell r="H6253">
            <v>100</v>
          </cell>
          <cell r="I6253">
            <v>37480000000</v>
          </cell>
        </row>
        <row r="6254">
          <cell r="A6254" t="str">
            <v>Germany, Federal Republic of</v>
          </cell>
          <cell r="B6254">
            <v>280</v>
          </cell>
          <cell r="C6254">
            <v>201</v>
          </cell>
          <cell r="D6254">
            <v>13</v>
          </cell>
          <cell r="E6254" t="str">
            <v>Less: Financial intermediation services indirectly measured (FISIM) (only to be deducted if FISIM is not distributed to uses)</v>
          </cell>
          <cell r="F6254">
            <v>0</v>
          </cell>
          <cell r="G6254">
            <v>1988</v>
          </cell>
          <cell r="H6254">
            <v>100</v>
          </cell>
          <cell r="I6254">
            <v>38690000000</v>
          </cell>
        </row>
        <row r="6255">
          <cell r="A6255" t="str">
            <v>Germany, Federal Republic of</v>
          </cell>
          <cell r="B6255">
            <v>280</v>
          </cell>
          <cell r="C6255">
            <v>201</v>
          </cell>
          <cell r="D6255">
            <v>13</v>
          </cell>
          <cell r="E6255" t="str">
            <v>Less: Financial intermediation services indirectly measured (FISIM) (only to be deducted if FISIM is not distributed to uses)</v>
          </cell>
          <cell r="F6255">
            <v>0</v>
          </cell>
          <cell r="G6255">
            <v>1989</v>
          </cell>
          <cell r="H6255">
            <v>100</v>
          </cell>
          <cell r="I6255">
            <v>39800000000</v>
          </cell>
        </row>
        <row r="6256">
          <cell r="A6256" t="str">
            <v>Germany, Federal Republic of</v>
          </cell>
          <cell r="B6256">
            <v>280</v>
          </cell>
          <cell r="C6256">
            <v>201</v>
          </cell>
          <cell r="D6256">
            <v>13</v>
          </cell>
          <cell r="E6256" t="str">
            <v>Less: Financial intermediation services indirectly measured (FISIM) (only to be deducted if FISIM is not distributed to uses)</v>
          </cell>
          <cell r="F6256">
            <v>0</v>
          </cell>
          <cell r="G6256">
            <v>1990</v>
          </cell>
          <cell r="H6256">
            <v>100</v>
          </cell>
          <cell r="I6256">
            <v>42670000000</v>
          </cell>
        </row>
        <row r="6257">
          <cell r="A6257" t="str">
            <v>Germany, Federal Republic of</v>
          </cell>
          <cell r="B6257">
            <v>280</v>
          </cell>
          <cell r="C6257">
            <v>201</v>
          </cell>
          <cell r="D6257">
            <v>13</v>
          </cell>
          <cell r="E6257" t="str">
            <v>Less: Financial intermediation services indirectly measured (FISIM) (only to be deducted if FISIM is not distributed to uses)</v>
          </cell>
          <cell r="F6257">
            <v>0</v>
          </cell>
          <cell r="G6257">
            <v>1991</v>
          </cell>
          <cell r="H6257">
            <v>100</v>
          </cell>
          <cell r="I6257">
            <v>50530000000</v>
          </cell>
        </row>
        <row r="6258">
          <cell r="A6258" t="str">
            <v>Germany, Federal Republic of</v>
          </cell>
          <cell r="B6258">
            <v>280</v>
          </cell>
          <cell r="C6258">
            <v>201</v>
          </cell>
          <cell r="D6258">
            <v>13</v>
          </cell>
          <cell r="E6258" t="str">
            <v>Less: Financial intermediation services indirectly measured (FISIM) (only to be deducted if FISIM is not distributed to uses)</v>
          </cell>
          <cell r="F6258">
            <v>0</v>
          </cell>
          <cell r="G6258">
            <v>1993</v>
          </cell>
          <cell r="H6258">
            <v>30</v>
          </cell>
          <cell r="I6258">
            <v>132330000000</v>
          </cell>
        </row>
        <row r="6259">
          <cell r="A6259" t="str">
            <v>Germany, Federal Republic of</v>
          </cell>
          <cell r="B6259">
            <v>280</v>
          </cell>
          <cell r="C6259">
            <v>201</v>
          </cell>
          <cell r="D6259">
            <v>13</v>
          </cell>
          <cell r="E6259" t="str">
            <v>Less: Financial intermediation services indirectly measured (FISIM) (only to be deducted if FISIM is not distributed to uses)</v>
          </cell>
          <cell r="F6259">
            <v>0</v>
          </cell>
          <cell r="G6259">
            <v>1994</v>
          </cell>
          <cell r="H6259">
            <v>30</v>
          </cell>
          <cell r="I6259">
            <v>134620000000</v>
          </cell>
        </row>
        <row r="6260">
          <cell r="A6260" t="str">
            <v>Germany, Federal Republic of</v>
          </cell>
          <cell r="B6260">
            <v>280</v>
          </cell>
          <cell r="C6260">
            <v>203</v>
          </cell>
          <cell r="D6260">
            <v>3</v>
          </cell>
          <cell r="E6260" t="str">
            <v>Equals: VALUE ADDED, GROSS, at basic prices</v>
          </cell>
          <cell r="F6260">
            <v>12</v>
          </cell>
          <cell r="G6260">
            <v>1970</v>
          </cell>
          <cell r="H6260">
            <v>100</v>
          </cell>
          <cell r="I6260">
            <v>325260000000</v>
          </cell>
        </row>
        <row r="6261">
          <cell r="A6261" t="str">
            <v>Germany, Federal Republic of</v>
          </cell>
          <cell r="B6261">
            <v>280</v>
          </cell>
          <cell r="C6261">
            <v>203</v>
          </cell>
          <cell r="D6261">
            <v>3</v>
          </cell>
          <cell r="E6261" t="str">
            <v>Equals: VALUE ADDED, GROSS, at basic prices</v>
          </cell>
          <cell r="F6261">
            <v>12</v>
          </cell>
          <cell r="G6261">
            <v>1971</v>
          </cell>
          <cell r="H6261">
            <v>100</v>
          </cell>
          <cell r="I6261">
            <v>360280000000</v>
          </cell>
        </row>
        <row r="6262">
          <cell r="A6262" t="str">
            <v>Germany, Federal Republic of</v>
          </cell>
          <cell r="B6262">
            <v>280</v>
          </cell>
          <cell r="C6262">
            <v>203</v>
          </cell>
          <cell r="D6262">
            <v>3</v>
          </cell>
          <cell r="E6262" t="str">
            <v>Equals: VALUE ADDED, GROSS, at basic prices</v>
          </cell>
          <cell r="F6262">
            <v>12</v>
          </cell>
          <cell r="G6262">
            <v>1972</v>
          </cell>
          <cell r="H6262">
            <v>100</v>
          </cell>
          <cell r="I6262">
            <v>396610000000</v>
          </cell>
        </row>
        <row r="6263">
          <cell r="A6263" t="str">
            <v>Germany, Federal Republic of</v>
          </cell>
          <cell r="B6263">
            <v>280</v>
          </cell>
          <cell r="C6263">
            <v>203</v>
          </cell>
          <cell r="D6263">
            <v>3</v>
          </cell>
          <cell r="E6263" t="str">
            <v>Equals: VALUE ADDED, GROSS, at basic prices</v>
          </cell>
          <cell r="F6263">
            <v>12</v>
          </cell>
          <cell r="G6263">
            <v>1973</v>
          </cell>
          <cell r="H6263">
            <v>100</v>
          </cell>
          <cell r="I6263">
            <v>444220000000</v>
          </cell>
        </row>
        <row r="6264">
          <cell r="A6264" t="str">
            <v>Germany, Federal Republic of</v>
          </cell>
          <cell r="B6264">
            <v>280</v>
          </cell>
          <cell r="C6264">
            <v>203</v>
          </cell>
          <cell r="D6264">
            <v>3</v>
          </cell>
          <cell r="E6264" t="str">
            <v>Equals: VALUE ADDED, GROSS, at basic prices</v>
          </cell>
          <cell r="F6264">
            <v>12</v>
          </cell>
          <cell r="G6264">
            <v>1974</v>
          </cell>
          <cell r="H6264">
            <v>100</v>
          </cell>
          <cell r="I6264">
            <v>483090000000</v>
          </cell>
        </row>
        <row r="6265">
          <cell r="A6265" t="str">
            <v>Germany, Federal Republic of</v>
          </cell>
          <cell r="B6265">
            <v>280</v>
          </cell>
          <cell r="C6265">
            <v>203</v>
          </cell>
          <cell r="D6265">
            <v>3</v>
          </cell>
          <cell r="E6265" t="str">
            <v>Equals: VALUE ADDED, GROSS, at basic prices</v>
          </cell>
          <cell r="F6265">
            <v>12</v>
          </cell>
          <cell r="G6265">
            <v>1975</v>
          </cell>
          <cell r="H6265">
            <v>100</v>
          </cell>
          <cell r="I6265">
            <v>504310000000</v>
          </cell>
        </row>
        <row r="6266">
          <cell r="A6266" t="str">
            <v>Germany, Federal Republic of</v>
          </cell>
          <cell r="B6266">
            <v>280</v>
          </cell>
          <cell r="C6266">
            <v>203</v>
          </cell>
          <cell r="D6266">
            <v>3</v>
          </cell>
          <cell r="E6266" t="str">
            <v>Equals: VALUE ADDED, GROSS, at basic prices</v>
          </cell>
          <cell r="F6266">
            <v>12</v>
          </cell>
          <cell r="G6266">
            <v>1976</v>
          </cell>
          <cell r="H6266">
            <v>100</v>
          </cell>
          <cell r="I6266">
            <v>549070000000</v>
          </cell>
        </row>
        <row r="6267">
          <cell r="A6267" t="str">
            <v>Germany, Federal Republic of</v>
          </cell>
          <cell r="B6267">
            <v>280</v>
          </cell>
          <cell r="C6267">
            <v>203</v>
          </cell>
          <cell r="D6267">
            <v>3</v>
          </cell>
          <cell r="E6267" t="str">
            <v>Equals: VALUE ADDED, GROSS, at basic prices</v>
          </cell>
          <cell r="F6267">
            <v>12</v>
          </cell>
          <cell r="G6267">
            <v>1977</v>
          </cell>
          <cell r="H6267">
            <v>100</v>
          </cell>
          <cell r="I6267">
            <v>587490000000</v>
          </cell>
        </row>
        <row r="6268">
          <cell r="A6268" t="str">
            <v>Germany, Federal Republic of</v>
          </cell>
          <cell r="B6268">
            <v>280</v>
          </cell>
          <cell r="C6268">
            <v>203</v>
          </cell>
          <cell r="D6268">
            <v>3</v>
          </cell>
          <cell r="E6268" t="str">
            <v>Equals: VALUE ADDED, GROSS, at basic prices</v>
          </cell>
          <cell r="F6268">
            <v>12</v>
          </cell>
          <cell r="G6268">
            <v>1978</v>
          </cell>
          <cell r="H6268">
            <v>100</v>
          </cell>
          <cell r="I6268">
            <v>629120000000</v>
          </cell>
        </row>
        <row r="6269">
          <cell r="A6269" t="str">
            <v>Germany, Federal Republic of</v>
          </cell>
          <cell r="B6269">
            <v>280</v>
          </cell>
          <cell r="C6269">
            <v>203</v>
          </cell>
          <cell r="D6269">
            <v>3</v>
          </cell>
          <cell r="E6269" t="str">
            <v>Equals: VALUE ADDED, GROSS, at basic prices</v>
          </cell>
          <cell r="F6269">
            <v>12</v>
          </cell>
          <cell r="G6269">
            <v>1979</v>
          </cell>
          <cell r="H6269">
            <v>100</v>
          </cell>
          <cell r="I6269">
            <v>677010000000</v>
          </cell>
        </row>
        <row r="6270">
          <cell r="A6270" t="str">
            <v>Germany, Federal Republic of</v>
          </cell>
          <cell r="B6270">
            <v>280</v>
          </cell>
          <cell r="C6270">
            <v>203</v>
          </cell>
          <cell r="D6270">
            <v>3</v>
          </cell>
          <cell r="E6270" t="str">
            <v>Equals: VALUE ADDED, GROSS, at basic prices</v>
          </cell>
          <cell r="F6270">
            <v>12</v>
          </cell>
          <cell r="G6270">
            <v>1980</v>
          </cell>
          <cell r="H6270">
            <v>100</v>
          </cell>
          <cell r="I6270">
            <v>717150000000</v>
          </cell>
        </row>
        <row r="6271">
          <cell r="A6271" t="str">
            <v>Germany, Federal Republic of</v>
          </cell>
          <cell r="B6271">
            <v>280</v>
          </cell>
          <cell r="C6271">
            <v>203</v>
          </cell>
          <cell r="D6271">
            <v>3</v>
          </cell>
          <cell r="E6271" t="str">
            <v>Equals: VALUE ADDED, GROSS, at basic prices</v>
          </cell>
          <cell r="F6271">
            <v>12</v>
          </cell>
          <cell r="G6271">
            <v>1981</v>
          </cell>
          <cell r="H6271">
            <v>100</v>
          </cell>
          <cell r="I6271">
            <v>751830000000</v>
          </cell>
        </row>
        <row r="6272">
          <cell r="A6272" t="str">
            <v>Germany, Federal Republic of</v>
          </cell>
          <cell r="B6272">
            <v>280</v>
          </cell>
          <cell r="C6272">
            <v>203</v>
          </cell>
          <cell r="D6272">
            <v>3</v>
          </cell>
          <cell r="E6272" t="str">
            <v>Equals: VALUE ADDED, GROSS, at basic prices</v>
          </cell>
          <cell r="F6272">
            <v>12</v>
          </cell>
          <cell r="G6272">
            <v>1982</v>
          </cell>
          <cell r="H6272">
            <v>100</v>
          </cell>
          <cell r="I6272">
            <v>786400000000</v>
          </cell>
        </row>
        <row r="6273">
          <cell r="A6273" t="str">
            <v>Germany, Federal Republic of</v>
          </cell>
          <cell r="B6273">
            <v>280</v>
          </cell>
          <cell r="C6273">
            <v>203</v>
          </cell>
          <cell r="D6273">
            <v>3</v>
          </cell>
          <cell r="E6273" t="str">
            <v>Equals: VALUE ADDED, GROSS, at basic prices</v>
          </cell>
          <cell r="F6273">
            <v>12</v>
          </cell>
          <cell r="G6273">
            <v>1983</v>
          </cell>
          <cell r="H6273">
            <v>100</v>
          </cell>
          <cell r="I6273">
            <v>826040000000</v>
          </cell>
        </row>
        <row r="6274">
          <cell r="A6274" t="str">
            <v>Germany, Federal Republic of</v>
          </cell>
          <cell r="B6274">
            <v>280</v>
          </cell>
          <cell r="C6274">
            <v>203</v>
          </cell>
          <cell r="D6274">
            <v>3</v>
          </cell>
          <cell r="E6274" t="str">
            <v>Equals: VALUE ADDED, GROSS, at basic prices</v>
          </cell>
          <cell r="F6274">
            <v>12</v>
          </cell>
          <cell r="G6274">
            <v>1984</v>
          </cell>
          <cell r="H6274">
            <v>100</v>
          </cell>
          <cell r="I6274">
            <v>866080000000</v>
          </cell>
        </row>
        <row r="6275">
          <cell r="A6275" t="str">
            <v>Germany, Federal Republic of</v>
          </cell>
          <cell r="B6275">
            <v>280</v>
          </cell>
          <cell r="C6275">
            <v>203</v>
          </cell>
          <cell r="D6275">
            <v>3</v>
          </cell>
          <cell r="E6275" t="str">
            <v>Equals: VALUE ADDED, GROSS, at basic prices</v>
          </cell>
          <cell r="F6275">
            <v>12</v>
          </cell>
          <cell r="G6275">
            <v>1985</v>
          </cell>
          <cell r="H6275">
            <v>100</v>
          </cell>
          <cell r="I6275">
            <v>905140000000</v>
          </cell>
        </row>
        <row r="6276">
          <cell r="A6276" t="str">
            <v>Germany, Federal Republic of</v>
          </cell>
          <cell r="B6276">
            <v>280</v>
          </cell>
          <cell r="C6276">
            <v>203</v>
          </cell>
          <cell r="D6276">
            <v>3</v>
          </cell>
          <cell r="E6276" t="str">
            <v>Equals: VALUE ADDED, GROSS, at basic prices</v>
          </cell>
          <cell r="F6276">
            <v>12</v>
          </cell>
          <cell r="G6276">
            <v>1986</v>
          </cell>
          <cell r="H6276">
            <v>100</v>
          </cell>
          <cell r="I6276">
            <v>957640000000</v>
          </cell>
        </row>
        <row r="6277">
          <cell r="A6277" t="str">
            <v>Germany, Federal Republic of</v>
          </cell>
          <cell r="B6277">
            <v>280</v>
          </cell>
          <cell r="C6277">
            <v>203</v>
          </cell>
          <cell r="D6277">
            <v>3</v>
          </cell>
          <cell r="E6277" t="str">
            <v>Equals: VALUE ADDED, GROSS, at basic prices</v>
          </cell>
          <cell r="F6277">
            <v>12</v>
          </cell>
          <cell r="G6277">
            <v>1987</v>
          </cell>
          <cell r="H6277">
            <v>100</v>
          </cell>
          <cell r="I6277">
            <v>986490000000</v>
          </cell>
        </row>
        <row r="6278">
          <cell r="A6278" t="str">
            <v>Germany, Federal Republic of</v>
          </cell>
          <cell r="B6278">
            <v>280</v>
          </cell>
          <cell r="C6278">
            <v>203</v>
          </cell>
          <cell r="D6278">
            <v>3</v>
          </cell>
          <cell r="E6278" t="str">
            <v>Equals: VALUE ADDED, GROSS, at basic prices</v>
          </cell>
          <cell r="F6278">
            <v>12</v>
          </cell>
          <cell r="G6278">
            <v>1988</v>
          </cell>
          <cell r="H6278">
            <v>100</v>
          </cell>
          <cell r="I6278">
            <v>1039390000000</v>
          </cell>
        </row>
        <row r="6279">
          <cell r="A6279" t="str">
            <v>Germany, Federal Republic of</v>
          </cell>
          <cell r="B6279">
            <v>280</v>
          </cell>
          <cell r="C6279">
            <v>203</v>
          </cell>
          <cell r="D6279">
            <v>3</v>
          </cell>
          <cell r="E6279" t="str">
            <v>Equals: VALUE ADDED, GROSS, at basic prices</v>
          </cell>
          <cell r="F6279">
            <v>12</v>
          </cell>
          <cell r="G6279">
            <v>1989</v>
          </cell>
          <cell r="H6279">
            <v>100</v>
          </cell>
          <cell r="I6279">
            <v>1100700000000</v>
          </cell>
        </row>
        <row r="6280">
          <cell r="A6280" t="str">
            <v>Germany, Federal Republic of</v>
          </cell>
          <cell r="B6280">
            <v>280</v>
          </cell>
          <cell r="C6280">
            <v>203</v>
          </cell>
          <cell r="D6280">
            <v>3</v>
          </cell>
          <cell r="E6280" t="str">
            <v>Equals: VALUE ADDED, GROSS, at basic prices</v>
          </cell>
          <cell r="F6280">
            <v>12</v>
          </cell>
          <cell r="G6280">
            <v>1990</v>
          </cell>
          <cell r="H6280">
            <v>100</v>
          </cell>
          <cell r="I6280">
            <v>1198100000000</v>
          </cell>
        </row>
        <row r="6281">
          <cell r="A6281" t="str">
            <v>Germany, Federal Republic of</v>
          </cell>
          <cell r="B6281">
            <v>280</v>
          </cell>
          <cell r="C6281">
            <v>203</v>
          </cell>
          <cell r="D6281">
            <v>3</v>
          </cell>
          <cell r="E6281" t="str">
            <v>Equals: VALUE ADDED, GROSS, at basic prices</v>
          </cell>
          <cell r="F6281">
            <v>12</v>
          </cell>
          <cell r="G6281">
            <v>1991</v>
          </cell>
          <cell r="H6281">
            <v>100</v>
          </cell>
          <cell r="I6281">
            <v>1305820000000</v>
          </cell>
        </row>
        <row r="6282">
          <cell r="A6282" t="str">
            <v>Germany, Federal Republic of</v>
          </cell>
          <cell r="B6282">
            <v>280</v>
          </cell>
          <cell r="C6282">
            <v>203</v>
          </cell>
          <cell r="D6282">
            <v>3</v>
          </cell>
          <cell r="E6282" t="str">
            <v>Equals: VALUE ADDED, GROSS, at basic prices</v>
          </cell>
          <cell r="F6282">
            <v>12</v>
          </cell>
          <cell r="G6282">
            <v>1993</v>
          </cell>
          <cell r="H6282">
            <v>30</v>
          </cell>
          <cell r="I6282">
            <v>2747940000000</v>
          </cell>
        </row>
        <row r="6283">
          <cell r="A6283" t="str">
            <v>Germany, Federal Republic of</v>
          </cell>
          <cell r="B6283">
            <v>280</v>
          </cell>
          <cell r="C6283">
            <v>203</v>
          </cell>
          <cell r="D6283">
            <v>3</v>
          </cell>
          <cell r="E6283" t="str">
            <v>Equals: VALUE ADDED, GROSS, at basic prices</v>
          </cell>
          <cell r="F6283">
            <v>12</v>
          </cell>
          <cell r="G6283">
            <v>1994</v>
          </cell>
          <cell r="H6283">
            <v>30</v>
          </cell>
          <cell r="I6283">
            <v>2860460000000</v>
          </cell>
        </row>
        <row r="6284">
          <cell r="A6284" t="str">
            <v>Korea, Republic of</v>
          </cell>
          <cell r="B6284">
            <v>410</v>
          </cell>
          <cell r="C6284">
            <v>203</v>
          </cell>
          <cell r="D6284">
            <v>22</v>
          </cell>
          <cell r="E6284" t="str">
            <v>Taxes on production and imports, less Subsidies</v>
          </cell>
          <cell r="F6284">
            <v>12</v>
          </cell>
          <cell r="G6284">
            <v>1970</v>
          </cell>
          <cell r="H6284">
            <v>100</v>
          </cell>
          <cell r="I6284">
            <v>199291000000</v>
          </cell>
        </row>
        <row r="6285">
          <cell r="A6285" t="str">
            <v>Korea, Republic of</v>
          </cell>
          <cell r="B6285">
            <v>410</v>
          </cell>
          <cell r="C6285">
            <v>203</v>
          </cell>
          <cell r="D6285">
            <v>22</v>
          </cell>
          <cell r="E6285" t="str">
            <v>Taxes on production and imports, less Subsidies</v>
          </cell>
          <cell r="F6285">
            <v>12</v>
          </cell>
          <cell r="G6285">
            <v>1971</v>
          </cell>
          <cell r="H6285">
            <v>100</v>
          </cell>
          <cell r="I6285">
            <v>246205000000</v>
          </cell>
        </row>
        <row r="6286">
          <cell r="A6286" t="str">
            <v>Korea, Republic of</v>
          </cell>
          <cell r="B6286">
            <v>410</v>
          </cell>
          <cell r="C6286">
            <v>203</v>
          </cell>
          <cell r="D6286">
            <v>22</v>
          </cell>
          <cell r="E6286" t="str">
            <v>Taxes on production and imports, less Subsidies</v>
          </cell>
          <cell r="F6286">
            <v>12</v>
          </cell>
          <cell r="G6286">
            <v>1972</v>
          </cell>
          <cell r="H6286">
            <v>100</v>
          </cell>
          <cell r="I6286">
            <v>271863000000</v>
          </cell>
        </row>
        <row r="6287">
          <cell r="A6287" t="str">
            <v>Korea, Republic of</v>
          </cell>
          <cell r="B6287">
            <v>410</v>
          </cell>
          <cell r="C6287">
            <v>203</v>
          </cell>
          <cell r="D6287">
            <v>22</v>
          </cell>
          <cell r="E6287" t="str">
            <v>Taxes on production and imports, less Subsidies</v>
          </cell>
          <cell r="F6287">
            <v>12</v>
          </cell>
          <cell r="G6287">
            <v>1973</v>
          </cell>
          <cell r="H6287">
            <v>100</v>
          </cell>
          <cell r="I6287">
            <v>325196000000</v>
          </cell>
        </row>
        <row r="6288">
          <cell r="A6288" t="str">
            <v>Korea, Republic of</v>
          </cell>
          <cell r="B6288">
            <v>410</v>
          </cell>
          <cell r="C6288">
            <v>203</v>
          </cell>
          <cell r="D6288">
            <v>22</v>
          </cell>
          <cell r="E6288" t="str">
            <v>Taxes on production and imports, less Subsidies</v>
          </cell>
          <cell r="F6288">
            <v>12</v>
          </cell>
          <cell r="G6288">
            <v>1974</v>
          </cell>
          <cell r="H6288">
            <v>100</v>
          </cell>
          <cell r="I6288">
            <v>476156000000</v>
          </cell>
        </row>
        <row r="6289">
          <cell r="A6289" t="str">
            <v>Korea, Republic of</v>
          </cell>
          <cell r="B6289">
            <v>410</v>
          </cell>
          <cell r="C6289">
            <v>203</v>
          </cell>
          <cell r="D6289">
            <v>22</v>
          </cell>
          <cell r="E6289" t="str">
            <v>Taxes on production and imports, less Subsidies</v>
          </cell>
          <cell r="F6289">
            <v>12</v>
          </cell>
          <cell r="G6289">
            <v>1975</v>
          </cell>
          <cell r="H6289">
            <v>100</v>
          </cell>
          <cell r="I6289">
            <v>767780000000</v>
          </cell>
        </row>
        <row r="6290">
          <cell r="A6290" t="str">
            <v>Korea, Republic of</v>
          </cell>
          <cell r="B6290">
            <v>410</v>
          </cell>
          <cell r="C6290">
            <v>203</v>
          </cell>
          <cell r="D6290">
            <v>22</v>
          </cell>
          <cell r="E6290" t="str">
            <v>Taxes on production and imports, less Subsidies</v>
          </cell>
          <cell r="F6290">
            <v>12</v>
          </cell>
          <cell r="G6290">
            <v>1976</v>
          </cell>
          <cell r="H6290">
            <v>100</v>
          </cell>
          <cell r="I6290">
            <v>1035518000000</v>
          </cell>
        </row>
        <row r="6291">
          <cell r="A6291" t="str">
            <v>Korea, Republic of</v>
          </cell>
          <cell r="B6291">
            <v>410</v>
          </cell>
          <cell r="C6291">
            <v>203</v>
          </cell>
          <cell r="D6291">
            <v>22</v>
          </cell>
          <cell r="E6291" t="str">
            <v>Taxes on production and imports, less Subsidies</v>
          </cell>
          <cell r="F6291">
            <v>12</v>
          </cell>
          <cell r="G6291">
            <v>1977</v>
          </cell>
          <cell r="H6291">
            <v>100</v>
          </cell>
          <cell r="I6291">
            <v>1230962000000</v>
          </cell>
        </row>
        <row r="6292">
          <cell r="A6292" t="str">
            <v>Korea, Republic of</v>
          </cell>
          <cell r="B6292">
            <v>410</v>
          </cell>
          <cell r="C6292">
            <v>203</v>
          </cell>
          <cell r="D6292">
            <v>22</v>
          </cell>
          <cell r="E6292" t="str">
            <v>Taxes on production and imports, less Subsidies</v>
          </cell>
          <cell r="F6292">
            <v>12</v>
          </cell>
          <cell r="G6292">
            <v>1978</v>
          </cell>
          <cell r="H6292">
            <v>100</v>
          </cell>
          <cell r="I6292">
            <v>1448315000000</v>
          </cell>
        </row>
        <row r="6293">
          <cell r="A6293" t="str">
            <v>Korea, Republic of</v>
          </cell>
          <cell r="B6293">
            <v>410</v>
          </cell>
          <cell r="C6293">
            <v>203</v>
          </cell>
          <cell r="D6293">
            <v>22</v>
          </cell>
          <cell r="E6293" t="str">
            <v>Taxes on production and imports, less Subsidies</v>
          </cell>
          <cell r="F6293">
            <v>12</v>
          </cell>
          <cell r="G6293">
            <v>1979</v>
          </cell>
          <cell r="H6293">
            <v>100</v>
          </cell>
          <cell r="I6293">
            <v>2034169000000</v>
          </cell>
        </row>
        <row r="6294">
          <cell r="A6294" t="str">
            <v>Korea, Republic of</v>
          </cell>
          <cell r="B6294">
            <v>410</v>
          </cell>
          <cell r="C6294">
            <v>203</v>
          </cell>
          <cell r="D6294">
            <v>22</v>
          </cell>
          <cell r="E6294" t="str">
            <v>Taxes on production and imports, less Subsidies</v>
          </cell>
          <cell r="F6294">
            <v>12</v>
          </cell>
          <cell r="G6294">
            <v>1980</v>
          </cell>
          <cell r="H6294">
            <v>100</v>
          </cell>
          <cell r="I6294">
            <v>2722631000000</v>
          </cell>
        </row>
        <row r="6295">
          <cell r="A6295" t="str">
            <v>Korea, Republic of</v>
          </cell>
          <cell r="B6295">
            <v>410</v>
          </cell>
          <cell r="C6295">
            <v>203</v>
          </cell>
          <cell r="D6295">
            <v>22</v>
          </cell>
          <cell r="E6295" t="str">
            <v>Taxes on production and imports, less Subsidies</v>
          </cell>
          <cell r="F6295">
            <v>12</v>
          </cell>
          <cell r="G6295">
            <v>1981</v>
          </cell>
          <cell r="H6295">
            <v>100</v>
          </cell>
          <cell r="I6295">
            <v>3443301000000</v>
          </cell>
        </row>
        <row r="6296">
          <cell r="A6296" t="str">
            <v>Korea, Republic of</v>
          </cell>
          <cell r="B6296">
            <v>410</v>
          </cell>
          <cell r="C6296">
            <v>203</v>
          </cell>
          <cell r="D6296">
            <v>22</v>
          </cell>
          <cell r="E6296" t="str">
            <v>Taxes on production and imports, less Subsidies</v>
          </cell>
          <cell r="F6296">
            <v>12</v>
          </cell>
          <cell r="G6296">
            <v>1982</v>
          </cell>
          <cell r="H6296">
            <v>100</v>
          </cell>
          <cell r="I6296">
            <v>4243152000000</v>
          </cell>
        </row>
        <row r="6297">
          <cell r="A6297" t="str">
            <v>Korea, Republic of</v>
          </cell>
          <cell r="B6297">
            <v>410</v>
          </cell>
          <cell r="C6297">
            <v>203</v>
          </cell>
          <cell r="D6297">
            <v>22</v>
          </cell>
          <cell r="E6297" t="str">
            <v>Taxes on production and imports, less Subsidies</v>
          </cell>
          <cell r="F6297">
            <v>12</v>
          </cell>
          <cell r="G6297">
            <v>1983</v>
          </cell>
          <cell r="H6297">
            <v>100</v>
          </cell>
          <cell r="I6297">
            <v>5086693000000</v>
          </cell>
        </row>
        <row r="6298">
          <cell r="A6298" t="str">
            <v>Korea, Republic of</v>
          </cell>
          <cell r="B6298">
            <v>410</v>
          </cell>
          <cell r="C6298">
            <v>203</v>
          </cell>
          <cell r="D6298">
            <v>22</v>
          </cell>
          <cell r="E6298" t="str">
            <v>Taxes on production and imports, less Subsidies</v>
          </cell>
          <cell r="F6298">
            <v>12</v>
          </cell>
          <cell r="G6298">
            <v>1984</v>
          </cell>
          <cell r="H6298">
            <v>100</v>
          </cell>
          <cell r="I6298">
            <v>5433387000000</v>
          </cell>
        </row>
        <row r="6299">
          <cell r="A6299" t="str">
            <v>Korea, Republic of</v>
          </cell>
          <cell r="B6299">
            <v>410</v>
          </cell>
          <cell r="C6299">
            <v>203</v>
          </cell>
          <cell r="D6299">
            <v>22</v>
          </cell>
          <cell r="E6299" t="str">
            <v>Taxes on production and imports, less Subsidies</v>
          </cell>
          <cell r="F6299">
            <v>12</v>
          </cell>
          <cell r="G6299">
            <v>1985</v>
          </cell>
          <cell r="H6299">
            <v>100</v>
          </cell>
          <cell r="I6299">
            <v>6179111000000</v>
          </cell>
        </row>
        <row r="6300">
          <cell r="A6300" t="str">
            <v>Korea, Republic of</v>
          </cell>
          <cell r="B6300">
            <v>410</v>
          </cell>
          <cell r="C6300">
            <v>203</v>
          </cell>
          <cell r="D6300">
            <v>22</v>
          </cell>
          <cell r="E6300" t="str">
            <v>Taxes on production and imports, less Subsidies</v>
          </cell>
          <cell r="F6300">
            <v>12</v>
          </cell>
          <cell r="G6300">
            <v>1986</v>
          </cell>
          <cell r="H6300">
            <v>100</v>
          </cell>
          <cell r="I6300">
            <v>6960022000000</v>
          </cell>
        </row>
        <row r="6301">
          <cell r="A6301" t="str">
            <v>Korea, Republic of</v>
          </cell>
          <cell r="B6301">
            <v>410</v>
          </cell>
          <cell r="C6301">
            <v>203</v>
          </cell>
          <cell r="D6301">
            <v>22</v>
          </cell>
          <cell r="E6301" t="str">
            <v>Taxes on production and imports, less Subsidies</v>
          </cell>
          <cell r="F6301">
            <v>12</v>
          </cell>
          <cell r="G6301">
            <v>1987</v>
          </cell>
          <cell r="H6301">
            <v>100</v>
          </cell>
          <cell r="I6301">
            <v>7694165000000</v>
          </cell>
        </row>
        <row r="6302">
          <cell r="A6302" t="str">
            <v>Korea, Republic of</v>
          </cell>
          <cell r="B6302">
            <v>410</v>
          </cell>
          <cell r="C6302">
            <v>203</v>
          </cell>
          <cell r="D6302">
            <v>22</v>
          </cell>
          <cell r="E6302" t="str">
            <v>Taxes on production and imports, less Subsidies</v>
          </cell>
          <cell r="F6302">
            <v>12</v>
          </cell>
          <cell r="G6302">
            <v>1988</v>
          </cell>
          <cell r="H6302">
            <v>100</v>
          </cell>
          <cell r="I6302">
            <v>9708365000000</v>
          </cell>
        </row>
        <row r="6303">
          <cell r="A6303" t="str">
            <v>Korea, Republic of</v>
          </cell>
          <cell r="B6303">
            <v>410</v>
          </cell>
          <cell r="C6303">
            <v>203</v>
          </cell>
          <cell r="D6303">
            <v>22</v>
          </cell>
          <cell r="E6303" t="str">
            <v>Taxes on production and imports, less Subsidies</v>
          </cell>
          <cell r="F6303">
            <v>12</v>
          </cell>
          <cell r="G6303">
            <v>1989</v>
          </cell>
          <cell r="H6303">
            <v>100</v>
          </cell>
          <cell r="I6303">
            <v>11021868000000</v>
          </cell>
        </row>
        <row r="6304">
          <cell r="A6304" t="str">
            <v>Korea, Republic of</v>
          </cell>
          <cell r="B6304">
            <v>410</v>
          </cell>
          <cell r="C6304">
            <v>203</v>
          </cell>
          <cell r="D6304">
            <v>22</v>
          </cell>
          <cell r="E6304" t="str">
            <v>Taxes on production and imports, less Subsidies</v>
          </cell>
          <cell r="F6304">
            <v>12</v>
          </cell>
          <cell r="G6304">
            <v>1990</v>
          </cell>
          <cell r="H6304">
            <v>100</v>
          </cell>
          <cell r="I6304">
            <v>13461836000000</v>
          </cell>
        </row>
        <row r="6305">
          <cell r="A6305" t="str">
            <v>Korea, Republic of</v>
          </cell>
          <cell r="B6305">
            <v>410</v>
          </cell>
          <cell r="C6305">
            <v>203</v>
          </cell>
          <cell r="D6305">
            <v>22</v>
          </cell>
          <cell r="E6305" t="str">
            <v>Taxes on production and imports, less Subsidies</v>
          </cell>
          <cell r="F6305">
            <v>12</v>
          </cell>
          <cell r="G6305">
            <v>1991</v>
          </cell>
          <cell r="H6305">
            <v>100</v>
          </cell>
          <cell r="I6305">
            <v>16182336000000</v>
          </cell>
        </row>
        <row r="6306">
          <cell r="A6306" t="str">
            <v>Korea, Republic of</v>
          </cell>
          <cell r="B6306">
            <v>410</v>
          </cell>
          <cell r="C6306">
            <v>203</v>
          </cell>
          <cell r="D6306">
            <v>22</v>
          </cell>
          <cell r="E6306" t="str">
            <v>Taxes on production and imports, less Subsidies</v>
          </cell>
          <cell r="F6306">
            <v>12</v>
          </cell>
          <cell r="G6306">
            <v>1992</v>
          </cell>
          <cell r="H6306">
            <v>100</v>
          </cell>
          <cell r="I6306">
            <v>19764113000000</v>
          </cell>
        </row>
        <row r="6307">
          <cell r="A6307" t="str">
            <v>Korea, Republic of</v>
          </cell>
          <cell r="B6307">
            <v>410</v>
          </cell>
          <cell r="C6307">
            <v>203</v>
          </cell>
          <cell r="D6307">
            <v>22</v>
          </cell>
          <cell r="E6307" t="str">
            <v>Taxes on production and imports, less Subsidies</v>
          </cell>
          <cell r="F6307">
            <v>12</v>
          </cell>
          <cell r="G6307">
            <v>1995</v>
          </cell>
          <cell r="H6307">
            <v>200</v>
          </cell>
          <cell r="I6307">
            <v>4842956000000</v>
          </cell>
        </row>
        <row r="6308">
          <cell r="A6308" t="str">
            <v>Korea, Republic of</v>
          </cell>
          <cell r="B6308">
            <v>410</v>
          </cell>
          <cell r="C6308">
            <v>203</v>
          </cell>
          <cell r="D6308">
            <v>22</v>
          </cell>
          <cell r="E6308" t="str">
            <v>Taxes on production and imports, less Subsidies</v>
          </cell>
          <cell r="F6308">
            <v>12</v>
          </cell>
          <cell r="G6308">
            <v>1996</v>
          </cell>
          <cell r="H6308">
            <v>200</v>
          </cell>
          <cell r="I6308">
            <v>5407382000000</v>
          </cell>
        </row>
        <row r="6309">
          <cell r="A6309" t="str">
            <v>Korea, Republic of</v>
          </cell>
          <cell r="B6309">
            <v>410</v>
          </cell>
          <cell r="C6309">
            <v>203</v>
          </cell>
          <cell r="D6309">
            <v>22</v>
          </cell>
          <cell r="E6309" t="str">
            <v>Taxes on production and imports, less Subsidies</v>
          </cell>
          <cell r="F6309">
            <v>12</v>
          </cell>
          <cell r="G6309">
            <v>1997</v>
          </cell>
          <cell r="H6309">
            <v>200</v>
          </cell>
          <cell r="I6309">
            <v>5910273000000</v>
          </cell>
        </row>
        <row r="6310">
          <cell r="A6310" t="str">
            <v>Korea, Republic of</v>
          </cell>
          <cell r="B6310">
            <v>410</v>
          </cell>
          <cell r="C6310">
            <v>203</v>
          </cell>
          <cell r="D6310">
            <v>22</v>
          </cell>
          <cell r="E6310" t="str">
            <v>Taxes on production and imports, less Subsidies</v>
          </cell>
          <cell r="F6310">
            <v>12</v>
          </cell>
          <cell r="G6310">
            <v>1998</v>
          </cell>
          <cell r="H6310">
            <v>200</v>
          </cell>
          <cell r="I6310">
            <v>5637745000000</v>
          </cell>
        </row>
        <row r="6311">
          <cell r="A6311" t="str">
            <v>Korea, Republic of</v>
          </cell>
          <cell r="B6311">
            <v>410</v>
          </cell>
          <cell r="C6311">
            <v>203</v>
          </cell>
          <cell r="D6311">
            <v>22</v>
          </cell>
          <cell r="E6311" t="str">
            <v>Taxes on production and imports, less Subsidies</v>
          </cell>
          <cell r="F6311">
            <v>12</v>
          </cell>
          <cell r="G6311">
            <v>1999</v>
          </cell>
          <cell r="H6311">
            <v>200</v>
          </cell>
          <cell r="I6311">
            <v>5504548000000</v>
          </cell>
        </row>
        <row r="6312">
          <cell r="A6312" t="str">
            <v>Korea, Republic of</v>
          </cell>
          <cell r="B6312">
            <v>410</v>
          </cell>
          <cell r="C6312">
            <v>203</v>
          </cell>
          <cell r="D6312">
            <v>22</v>
          </cell>
          <cell r="E6312" t="str">
            <v>Taxes on production and imports, less Subsidies</v>
          </cell>
          <cell r="F6312">
            <v>12</v>
          </cell>
          <cell r="G6312">
            <v>2000</v>
          </cell>
          <cell r="H6312">
            <v>200</v>
          </cell>
          <cell r="I6312">
            <v>5817381000000</v>
          </cell>
        </row>
        <row r="6313">
          <cell r="A6313" t="str">
            <v>Korea, Republic of</v>
          </cell>
          <cell r="B6313">
            <v>410</v>
          </cell>
          <cell r="C6313">
            <v>203</v>
          </cell>
          <cell r="D6313">
            <v>22</v>
          </cell>
          <cell r="E6313" t="str">
            <v>Taxes on production and imports, less Subsidies</v>
          </cell>
          <cell r="F6313">
            <v>12</v>
          </cell>
          <cell r="G6313">
            <v>2001</v>
          </cell>
          <cell r="H6313">
            <v>200</v>
          </cell>
          <cell r="I6313">
            <v>5763814000000</v>
          </cell>
        </row>
        <row r="6314">
          <cell r="A6314" t="str">
            <v>Korea, Republic of</v>
          </cell>
          <cell r="B6314">
            <v>410</v>
          </cell>
          <cell r="C6314">
            <v>203</v>
          </cell>
          <cell r="D6314">
            <v>22</v>
          </cell>
          <cell r="E6314" t="str">
            <v>Taxes on production and imports, less Subsidies</v>
          </cell>
          <cell r="F6314">
            <v>12</v>
          </cell>
          <cell r="G6314">
            <v>2002</v>
          </cell>
          <cell r="H6314">
            <v>200</v>
          </cell>
          <cell r="I6314">
            <v>5861702000000</v>
          </cell>
        </row>
        <row r="6315">
          <cell r="A6315" t="str">
            <v>Korea, Republic of</v>
          </cell>
          <cell r="B6315">
            <v>410</v>
          </cell>
          <cell r="C6315">
            <v>203</v>
          </cell>
          <cell r="D6315">
            <v>22</v>
          </cell>
          <cell r="E6315" t="str">
            <v>Taxes on production and imports, less Subsidies</v>
          </cell>
          <cell r="F6315">
            <v>12</v>
          </cell>
          <cell r="G6315">
            <v>2003</v>
          </cell>
          <cell r="H6315">
            <v>200</v>
          </cell>
          <cell r="I6315">
            <v>6275867000000</v>
          </cell>
        </row>
        <row r="6316">
          <cell r="A6316" t="str">
            <v>Germany, Federal Republic of</v>
          </cell>
          <cell r="B6316">
            <v>280</v>
          </cell>
          <cell r="C6316">
            <v>203</v>
          </cell>
          <cell r="D6316">
            <v>4</v>
          </cell>
          <cell r="E6316" t="str">
            <v>Compensation of employees</v>
          </cell>
          <cell r="F6316">
            <v>12</v>
          </cell>
          <cell r="G6316">
            <v>1970</v>
          </cell>
          <cell r="H6316">
            <v>100</v>
          </cell>
          <cell r="I6316">
            <v>184190004000</v>
          </cell>
        </row>
        <row r="6317">
          <cell r="A6317" t="str">
            <v>Germany, Federal Republic of</v>
          </cell>
          <cell r="B6317">
            <v>280</v>
          </cell>
          <cell r="C6317">
            <v>203</v>
          </cell>
          <cell r="D6317">
            <v>4</v>
          </cell>
          <cell r="E6317" t="str">
            <v>Compensation of employees</v>
          </cell>
          <cell r="F6317">
            <v>12</v>
          </cell>
          <cell r="G6317">
            <v>1971</v>
          </cell>
          <cell r="H6317">
            <v>100</v>
          </cell>
          <cell r="I6317">
            <v>208750000000</v>
          </cell>
        </row>
        <row r="6318">
          <cell r="A6318" t="str">
            <v>Germany, Federal Republic of</v>
          </cell>
          <cell r="B6318">
            <v>280</v>
          </cell>
          <cell r="C6318">
            <v>203</v>
          </cell>
          <cell r="D6318">
            <v>4</v>
          </cell>
          <cell r="E6318" t="str">
            <v>Compensation of employees</v>
          </cell>
          <cell r="F6318">
            <v>12</v>
          </cell>
          <cell r="G6318">
            <v>1972</v>
          </cell>
          <cell r="H6318">
            <v>100</v>
          </cell>
          <cell r="I6318">
            <v>231320000000</v>
          </cell>
        </row>
        <row r="6319">
          <cell r="A6319" t="str">
            <v>Germany, Federal Republic of</v>
          </cell>
          <cell r="B6319">
            <v>280</v>
          </cell>
          <cell r="C6319">
            <v>203</v>
          </cell>
          <cell r="D6319">
            <v>4</v>
          </cell>
          <cell r="E6319" t="str">
            <v>Compensation of employees</v>
          </cell>
          <cell r="F6319">
            <v>12</v>
          </cell>
          <cell r="G6319">
            <v>1973</v>
          </cell>
          <cell r="H6319">
            <v>100</v>
          </cell>
          <cell r="I6319">
            <v>263350000000</v>
          </cell>
        </row>
        <row r="6320">
          <cell r="A6320" t="str">
            <v>Germany, Federal Republic of</v>
          </cell>
          <cell r="B6320">
            <v>280</v>
          </cell>
          <cell r="C6320">
            <v>203</v>
          </cell>
          <cell r="D6320">
            <v>4</v>
          </cell>
          <cell r="E6320" t="str">
            <v>Compensation of employees</v>
          </cell>
          <cell r="F6320">
            <v>12</v>
          </cell>
          <cell r="G6320">
            <v>1974</v>
          </cell>
          <cell r="H6320">
            <v>100</v>
          </cell>
          <cell r="I6320">
            <v>291070000000</v>
          </cell>
        </row>
        <row r="6321">
          <cell r="A6321" t="str">
            <v>Germany, Federal Republic of</v>
          </cell>
          <cell r="B6321">
            <v>280</v>
          </cell>
          <cell r="C6321">
            <v>203</v>
          </cell>
          <cell r="D6321">
            <v>4</v>
          </cell>
          <cell r="E6321" t="str">
            <v>Compensation of employees</v>
          </cell>
          <cell r="F6321">
            <v>12</v>
          </cell>
          <cell r="G6321">
            <v>1975</v>
          </cell>
          <cell r="H6321">
            <v>100</v>
          </cell>
          <cell r="I6321">
            <v>304120000000</v>
          </cell>
        </row>
        <row r="6322">
          <cell r="A6322" t="str">
            <v>Germany, Federal Republic of</v>
          </cell>
          <cell r="B6322">
            <v>280</v>
          </cell>
          <cell r="C6322">
            <v>203</v>
          </cell>
          <cell r="D6322">
            <v>4</v>
          </cell>
          <cell r="E6322" t="str">
            <v>Compensation of employees</v>
          </cell>
          <cell r="F6322">
            <v>12</v>
          </cell>
          <cell r="G6322">
            <v>1976</v>
          </cell>
          <cell r="H6322">
            <v>100</v>
          </cell>
          <cell r="I6322">
            <v>328580000000</v>
          </cell>
        </row>
        <row r="6323">
          <cell r="A6323" t="str">
            <v>Germany, Federal Republic of</v>
          </cell>
          <cell r="B6323">
            <v>280</v>
          </cell>
          <cell r="C6323">
            <v>203</v>
          </cell>
          <cell r="D6323">
            <v>4</v>
          </cell>
          <cell r="E6323" t="str">
            <v>Compensation of employees</v>
          </cell>
          <cell r="F6323">
            <v>12</v>
          </cell>
          <cell r="G6323">
            <v>1977</v>
          </cell>
          <cell r="H6323">
            <v>100</v>
          </cell>
          <cell r="I6323">
            <v>352830000000</v>
          </cell>
        </row>
        <row r="6324">
          <cell r="A6324" t="str">
            <v>Germany, Federal Republic of</v>
          </cell>
          <cell r="B6324">
            <v>280</v>
          </cell>
          <cell r="C6324">
            <v>203</v>
          </cell>
          <cell r="D6324">
            <v>4</v>
          </cell>
          <cell r="E6324" t="str">
            <v>Compensation of employees</v>
          </cell>
          <cell r="F6324">
            <v>12</v>
          </cell>
          <cell r="G6324">
            <v>1978</v>
          </cell>
          <cell r="H6324">
            <v>100</v>
          </cell>
          <cell r="I6324">
            <v>376630000000</v>
          </cell>
        </row>
        <row r="6325">
          <cell r="A6325" t="str">
            <v>Germany, Federal Republic of</v>
          </cell>
          <cell r="B6325">
            <v>280</v>
          </cell>
          <cell r="C6325">
            <v>203</v>
          </cell>
          <cell r="D6325">
            <v>4</v>
          </cell>
          <cell r="E6325" t="str">
            <v>Compensation of employees</v>
          </cell>
          <cell r="F6325">
            <v>12</v>
          </cell>
          <cell r="G6325">
            <v>1979</v>
          </cell>
          <cell r="H6325">
            <v>100</v>
          </cell>
          <cell r="I6325">
            <v>407730000000</v>
          </cell>
        </row>
        <row r="6326">
          <cell r="A6326" t="str">
            <v>Germany, Federal Republic of</v>
          </cell>
          <cell r="B6326">
            <v>280</v>
          </cell>
          <cell r="C6326">
            <v>203</v>
          </cell>
          <cell r="D6326">
            <v>4</v>
          </cell>
          <cell r="E6326" t="str">
            <v>Compensation of employees</v>
          </cell>
          <cell r="F6326">
            <v>12</v>
          </cell>
          <cell r="G6326">
            <v>1980</v>
          </cell>
          <cell r="H6326">
            <v>100</v>
          </cell>
          <cell r="I6326">
            <v>443170000000</v>
          </cell>
        </row>
        <row r="6327">
          <cell r="A6327" t="str">
            <v>Germany, Federal Republic of</v>
          </cell>
          <cell r="B6327">
            <v>280</v>
          </cell>
          <cell r="C6327">
            <v>203</v>
          </cell>
          <cell r="D6327">
            <v>4</v>
          </cell>
          <cell r="E6327" t="str">
            <v>Compensation of employees</v>
          </cell>
          <cell r="F6327">
            <v>12</v>
          </cell>
          <cell r="G6327">
            <v>1981</v>
          </cell>
          <cell r="H6327">
            <v>100</v>
          </cell>
          <cell r="I6327">
            <v>464640000000</v>
          </cell>
        </row>
        <row r="6328">
          <cell r="A6328" t="str">
            <v>Germany, Federal Republic of</v>
          </cell>
          <cell r="B6328">
            <v>280</v>
          </cell>
          <cell r="C6328">
            <v>203</v>
          </cell>
          <cell r="D6328">
            <v>4</v>
          </cell>
          <cell r="E6328" t="str">
            <v>Compensation of employees</v>
          </cell>
          <cell r="F6328">
            <v>12</v>
          </cell>
          <cell r="G6328">
            <v>1982</v>
          </cell>
          <cell r="H6328">
            <v>100</v>
          </cell>
          <cell r="I6328">
            <v>479360000000</v>
          </cell>
        </row>
        <row r="6329">
          <cell r="A6329" t="str">
            <v>Germany, Federal Republic of</v>
          </cell>
          <cell r="B6329">
            <v>280</v>
          </cell>
          <cell r="C6329">
            <v>203</v>
          </cell>
          <cell r="D6329">
            <v>4</v>
          </cell>
          <cell r="E6329" t="str">
            <v>Compensation of employees</v>
          </cell>
          <cell r="F6329">
            <v>12</v>
          </cell>
          <cell r="G6329">
            <v>1983</v>
          </cell>
          <cell r="H6329">
            <v>100</v>
          </cell>
          <cell r="I6329">
            <v>490020000000</v>
          </cell>
        </row>
        <row r="6330">
          <cell r="A6330" t="str">
            <v>Germany, Federal Republic of</v>
          </cell>
          <cell r="B6330">
            <v>280</v>
          </cell>
          <cell r="C6330">
            <v>203</v>
          </cell>
          <cell r="D6330">
            <v>4</v>
          </cell>
          <cell r="E6330" t="str">
            <v>Compensation of employees</v>
          </cell>
          <cell r="F6330">
            <v>12</v>
          </cell>
          <cell r="G6330">
            <v>1984</v>
          </cell>
          <cell r="H6330">
            <v>100</v>
          </cell>
          <cell r="I6330">
            <v>509010000000</v>
          </cell>
        </row>
        <row r="6331">
          <cell r="A6331" t="str">
            <v>Germany, Federal Republic of</v>
          </cell>
          <cell r="B6331">
            <v>280</v>
          </cell>
          <cell r="C6331">
            <v>203</v>
          </cell>
          <cell r="D6331">
            <v>4</v>
          </cell>
          <cell r="E6331" t="str">
            <v>Compensation of employees</v>
          </cell>
          <cell r="F6331">
            <v>12</v>
          </cell>
          <cell r="G6331">
            <v>1985</v>
          </cell>
          <cell r="H6331">
            <v>100</v>
          </cell>
          <cell r="I6331">
            <v>529210000000</v>
          </cell>
        </row>
        <row r="6332">
          <cell r="A6332" t="str">
            <v>Germany, Federal Republic of</v>
          </cell>
          <cell r="B6332">
            <v>280</v>
          </cell>
          <cell r="C6332">
            <v>203</v>
          </cell>
          <cell r="D6332">
            <v>4</v>
          </cell>
          <cell r="E6332" t="str">
            <v>Compensation of employees</v>
          </cell>
          <cell r="F6332">
            <v>12</v>
          </cell>
          <cell r="G6332">
            <v>1986</v>
          </cell>
          <cell r="H6332">
            <v>100</v>
          </cell>
          <cell r="I6332">
            <v>557520000000</v>
          </cell>
        </row>
        <row r="6333">
          <cell r="A6333" t="str">
            <v>Germany, Federal Republic of</v>
          </cell>
          <cell r="B6333">
            <v>280</v>
          </cell>
          <cell r="C6333">
            <v>203</v>
          </cell>
          <cell r="D6333">
            <v>4</v>
          </cell>
          <cell r="E6333" t="str">
            <v>Compensation of employees</v>
          </cell>
          <cell r="F6333">
            <v>12</v>
          </cell>
          <cell r="G6333">
            <v>1987</v>
          </cell>
          <cell r="H6333">
            <v>100</v>
          </cell>
          <cell r="I6333">
            <v>582790000000</v>
          </cell>
        </row>
        <row r="6334">
          <cell r="A6334" t="str">
            <v>Germany, Federal Republic of</v>
          </cell>
          <cell r="B6334">
            <v>280</v>
          </cell>
          <cell r="C6334">
            <v>203</v>
          </cell>
          <cell r="D6334">
            <v>4</v>
          </cell>
          <cell r="E6334" t="str">
            <v>Compensation of employees</v>
          </cell>
          <cell r="F6334">
            <v>12</v>
          </cell>
          <cell r="G6334">
            <v>1988</v>
          </cell>
          <cell r="H6334">
            <v>100</v>
          </cell>
          <cell r="I6334">
            <v>607520000000</v>
          </cell>
        </row>
        <row r="6335">
          <cell r="A6335" t="str">
            <v>Germany, Federal Republic of</v>
          </cell>
          <cell r="B6335">
            <v>280</v>
          </cell>
          <cell r="C6335">
            <v>203</v>
          </cell>
          <cell r="D6335">
            <v>4</v>
          </cell>
          <cell r="E6335" t="str">
            <v>Compensation of employees</v>
          </cell>
          <cell r="F6335">
            <v>12</v>
          </cell>
          <cell r="G6335">
            <v>1989</v>
          </cell>
          <cell r="H6335">
            <v>100</v>
          </cell>
          <cell r="I6335">
            <v>635820000000</v>
          </cell>
        </row>
        <row r="6336">
          <cell r="A6336" t="str">
            <v>Germany, Federal Republic of</v>
          </cell>
          <cell r="B6336">
            <v>280</v>
          </cell>
          <cell r="C6336">
            <v>203</v>
          </cell>
          <cell r="D6336">
            <v>4</v>
          </cell>
          <cell r="E6336" t="str">
            <v>Compensation of employees</v>
          </cell>
          <cell r="F6336">
            <v>12</v>
          </cell>
          <cell r="G6336">
            <v>1990</v>
          </cell>
          <cell r="H6336">
            <v>100</v>
          </cell>
          <cell r="I6336">
            <v>688250000000</v>
          </cell>
        </row>
        <row r="6337">
          <cell r="A6337" t="str">
            <v>Germany, Federal Republic of</v>
          </cell>
          <cell r="B6337">
            <v>280</v>
          </cell>
          <cell r="C6337">
            <v>203</v>
          </cell>
          <cell r="D6337">
            <v>4</v>
          </cell>
          <cell r="E6337" t="str">
            <v>Compensation of employees</v>
          </cell>
          <cell r="F6337">
            <v>12</v>
          </cell>
          <cell r="G6337">
            <v>1991</v>
          </cell>
          <cell r="H6337">
            <v>100</v>
          </cell>
          <cell r="I6337">
            <v>750790000000</v>
          </cell>
        </row>
        <row r="6338">
          <cell r="A6338" t="str">
            <v>Germany, Federal Republic of</v>
          </cell>
          <cell r="B6338">
            <v>280</v>
          </cell>
          <cell r="C6338">
            <v>203</v>
          </cell>
          <cell r="D6338">
            <v>4</v>
          </cell>
          <cell r="E6338" t="str">
            <v>Compensation of employees</v>
          </cell>
          <cell r="F6338">
            <v>12</v>
          </cell>
          <cell r="G6338">
            <v>1993</v>
          </cell>
          <cell r="H6338">
            <v>30</v>
          </cell>
          <cell r="I6338">
            <v>1543340000000</v>
          </cell>
        </row>
        <row r="6339">
          <cell r="A6339" t="str">
            <v>Germany, Federal Republic of</v>
          </cell>
          <cell r="B6339">
            <v>280</v>
          </cell>
          <cell r="C6339">
            <v>203</v>
          </cell>
          <cell r="D6339">
            <v>4</v>
          </cell>
          <cell r="E6339" t="str">
            <v>Compensation of employees</v>
          </cell>
          <cell r="F6339">
            <v>12</v>
          </cell>
          <cell r="G6339">
            <v>1994</v>
          </cell>
          <cell r="H6339">
            <v>30</v>
          </cell>
          <cell r="I6339">
            <v>1564310000000</v>
          </cell>
        </row>
        <row r="6340">
          <cell r="A6340" t="str">
            <v>Germany, Federal Republic of</v>
          </cell>
          <cell r="B6340">
            <v>280</v>
          </cell>
          <cell r="C6340">
            <v>203</v>
          </cell>
          <cell r="D6340">
            <v>11</v>
          </cell>
          <cell r="E6340" t="str">
            <v>OPERATING SURPLUS, GROSS</v>
          </cell>
          <cell r="F6340">
            <v>12</v>
          </cell>
          <cell r="G6340">
            <v>1970</v>
          </cell>
          <cell r="H6340">
            <v>100</v>
          </cell>
          <cell r="I6340">
            <v>137679996000</v>
          </cell>
        </row>
        <row r="6341">
          <cell r="A6341" t="str">
            <v>Germany, Federal Republic of</v>
          </cell>
          <cell r="B6341">
            <v>280</v>
          </cell>
          <cell r="C6341">
            <v>203</v>
          </cell>
          <cell r="D6341">
            <v>11</v>
          </cell>
          <cell r="E6341" t="str">
            <v>OPERATING SURPLUS, GROSS</v>
          </cell>
          <cell r="F6341">
            <v>12</v>
          </cell>
          <cell r="G6341">
            <v>1971</v>
          </cell>
          <cell r="H6341">
            <v>100</v>
          </cell>
          <cell r="I6341">
            <v>147290000000</v>
          </cell>
        </row>
        <row r="6342">
          <cell r="A6342" t="str">
            <v>Germany, Federal Republic of</v>
          </cell>
          <cell r="B6342">
            <v>280</v>
          </cell>
          <cell r="C6342">
            <v>203</v>
          </cell>
          <cell r="D6342">
            <v>11</v>
          </cell>
          <cell r="E6342" t="str">
            <v>OPERATING SURPLUS, GROSS</v>
          </cell>
          <cell r="F6342">
            <v>12</v>
          </cell>
          <cell r="G6342">
            <v>1972</v>
          </cell>
          <cell r="H6342">
            <v>100</v>
          </cell>
          <cell r="I6342">
            <v>160690000000</v>
          </cell>
        </row>
        <row r="6343">
          <cell r="A6343" t="str">
            <v>Germany, Federal Republic of</v>
          </cell>
          <cell r="B6343">
            <v>280</v>
          </cell>
          <cell r="C6343">
            <v>203</v>
          </cell>
          <cell r="D6343">
            <v>11</v>
          </cell>
          <cell r="E6343" t="str">
            <v>OPERATING SURPLUS, GROSS</v>
          </cell>
          <cell r="F6343">
            <v>12</v>
          </cell>
          <cell r="G6343">
            <v>1973</v>
          </cell>
          <cell r="H6343">
            <v>100</v>
          </cell>
          <cell r="I6343">
            <v>175290000000</v>
          </cell>
        </row>
        <row r="6344">
          <cell r="A6344" t="str">
            <v>Germany, Federal Republic of</v>
          </cell>
          <cell r="B6344">
            <v>280</v>
          </cell>
          <cell r="C6344">
            <v>203</v>
          </cell>
          <cell r="D6344">
            <v>11</v>
          </cell>
          <cell r="E6344" t="str">
            <v>OPERATING SURPLUS, GROSS</v>
          </cell>
          <cell r="F6344">
            <v>12</v>
          </cell>
          <cell r="G6344">
            <v>1974</v>
          </cell>
          <cell r="H6344">
            <v>100</v>
          </cell>
          <cell r="I6344">
            <v>185960000000</v>
          </cell>
        </row>
        <row r="6345">
          <cell r="A6345" t="str">
            <v>Germany, Federal Republic of</v>
          </cell>
          <cell r="B6345">
            <v>280</v>
          </cell>
          <cell r="C6345">
            <v>203</v>
          </cell>
          <cell r="D6345">
            <v>11</v>
          </cell>
          <cell r="E6345" t="str">
            <v>OPERATING SURPLUS, GROSS</v>
          </cell>
          <cell r="F6345">
            <v>12</v>
          </cell>
          <cell r="G6345">
            <v>1975</v>
          </cell>
          <cell r="H6345">
            <v>100</v>
          </cell>
          <cell r="I6345">
            <v>195020000000</v>
          </cell>
        </row>
        <row r="6346">
          <cell r="A6346" t="str">
            <v>Germany, Federal Republic of</v>
          </cell>
          <cell r="B6346">
            <v>280</v>
          </cell>
          <cell r="C6346">
            <v>203</v>
          </cell>
          <cell r="D6346">
            <v>11</v>
          </cell>
          <cell r="E6346" t="str">
            <v>OPERATING SURPLUS, GROSS</v>
          </cell>
          <cell r="F6346">
            <v>12</v>
          </cell>
          <cell r="G6346">
            <v>1976</v>
          </cell>
          <cell r="H6346">
            <v>100</v>
          </cell>
          <cell r="I6346">
            <v>214440000000</v>
          </cell>
        </row>
        <row r="6347">
          <cell r="A6347" t="str">
            <v>Germany, Federal Republic of</v>
          </cell>
          <cell r="B6347">
            <v>280</v>
          </cell>
          <cell r="C6347">
            <v>203</v>
          </cell>
          <cell r="D6347">
            <v>11</v>
          </cell>
          <cell r="E6347" t="str">
            <v>OPERATING SURPLUS, GROSS</v>
          </cell>
          <cell r="F6347">
            <v>12</v>
          </cell>
          <cell r="G6347">
            <v>1977</v>
          </cell>
          <cell r="H6347">
            <v>100</v>
          </cell>
          <cell r="I6347">
            <v>227800000000</v>
          </cell>
        </row>
        <row r="6348">
          <cell r="A6348" t="str">
            <v>Germany, Federal Republic of</v>
          </cell>
          <cell r="B6348">
            <v>280</v>
          </cell>
          <cell r="C6348">
            <v>203</v>
          </cell>
          <cell r="D6348">
            <v>11</v>
          </cell>
          <cell r="E6348" t="str">
            <v>OPERATING SURPLUS, GROSS</v>
          </cell>
          <cell r="F6348">
            <v>12</v>
          </cell>
          <cell r="G6348">
            <v>1978</v>
          </cell>
          <cell r="H6348">
            <v>100</v>
          </cell>
          <cell r="I6348">
            <v>247190000000</v>
          </cell>
        </row>
        <row r="6349">
          <cell r="A6349" t="str">
            <v>Germany, Federal Republic of</v>
          </cell>
          <cell r="B6349">
            <v>280</v>
          </cell>
          <cell r="C6349">
            <v>203</v>
          </cell>
          <cell r="D6349">
            <v>11</v>
          </cell>
          <cell r="E6349" t="str">
            <v>OPERATING SURPLUS, GROSS</v>
          </cell>
          <cell r="F6349">
            <v>12</v>
          </cell>
          <cell r="G6349">
            <v>1979</v>
          </cell>
          <cell r="H6349">
            <v>100</v>
          </cell>
          <cell r="I6349">
            <v>263520000000</v>
          </cell>
        </row>
        <row r="6350">
          <cell r="A6350" t="str">
            <v>Germany, Federal Republic of</v>
          </cell>
          <cell r="B6350">
            <v>280</v>
          </cell>
          <cell r="C6350">
            <v>203</v>
          </cell>
          <cell r="D6350">
            <v>11</v>
          </cell>
          <cell r="E6350" t="str">
            <v>OPERATING SURPLUS, GROSS</v>
          </cell>
          <cell r="F6350">
            <v>12</v>
          </cell>
          <cell r="G6350">
            <v>1980</v>
          </cell>
          <cell r="H6350">
            <v>100</v>
          </cell>
          <cell r="I6350">
            <v>268420000000</v>
          </cell>
        </row>
        <row r="6351">
          <cell r="A6351" t="str">
            <v>Germany, Federal Republic of</v>
          </cell>
          <cell r="B6351">
            <v>280</v>
          </cell>
          <cell r="C6351">
            <v>203</v>
          </cell>
          <cell r="D6351">
            <v>11</v>
          </cell>
          <cell r="E6351" t="str">
            <v>OPERATING SURPLUS, GROSS</v>
          </cell>
          <cell r="F6351">
            <v>12</v>
          </cell>
          <cell r="G6351">
            <v>1981</v>
          </cell>
          <cell r="H6351">
            <v>100</v>
          </cell>
          <cell r="I6351">
            <v>282780000000</v>
          </cell>
        </row>
        <row r="6352">
          <cell r="A6352" t="str">
            <v>Germany, Federal Republic of</v>
          </cell>
          <cell r="B6352">
            <v>280</v>
          </cell>
          <cell r="C6352">
            <v>203</v>
          </cell>
          <cell r="D6352">
            <v>11</v>
          </cell>
          <cell r="E6352" t="str">
            <v>OPERATING SURPLUS, GROSS</v>
          </cell>
          <cell r="F6352">
            <v>12</v>
          </cell>
          <cell r="G6352">
            <v>1982</v>
          </cell>
          <cell r="H6352">
            <v>100</v>
          </cell>
          <cell r="I6352">
            <v>302430000000</v>
          </cell>
        </row>
        <row r="6353">
          <cell r="A6353" t="str">
            <v>Germany, Federal Republic of</v>
          </cell>
          <cell r="B6353">
            <v>280</v>
          </cell>
          <cell r="C6353">
            <v>203</v>
          </cell>
          <cell r="D6353">
            <v>11</v>
          </cell>
          <cell r="E6353" t="str">
            <v>OPERATING SURPLUS, GROSS</v>
          </cell>
          <cell r="F6353">
            <v>12</v>
          </cell>
          <cell r="G6353">
            <v>1983</v>
          </cell>
          <cell r="H6353">
            <v>100</v>
          </cell>
          <cell r="I6353">
            <v>332090000000</v>
          </cell>
        </row>
        <row r="6354">
          <cell r="A6354" t="str">
            <v>Germany, Federal Republic of</v>
          </cell>
          <cell r="B6354">
            <v>280</v>
          </cell>
          <cell r="C6354">
            <v>203</v>
          </cell>
          <cell r="D6354">
            <v>11</v>
          </cell>
          <cell r="E6354" t="str">
            <v>OPERATING SURPLUS, GROSS</v>
          </cell>
          <cell r="F6354">
            <v>12</v>
          </cell>
          <cell r="G6354">
            <v>1984</v>
          </cell>
          <cell r="H6354">
            <v>100</v>
          </cell>
          <cell r="I6354">
            <v>353170000000</v>
          </cell>
        </row>
        <row r="6355">
          <cell r="A6355" t="str">
            <v>Germany, Federal Republic of</v>
          </cell>
          <cell r="B6355">
            <v>280</v>
          </cell>
          <cell r="C6355">
            <v>203</v>
          </cell>
          <cell r="D6355">
            <v>11</v>
          </cell>
          <cell r="E6355" t="str">
            <v>OPERATING SURPLUS, GROSS</v>
          </cell>
          <cell r="F6355">
            <v>12</v>
          </cell>
          <cell r="G6355">
            <v>1985</v>
          </cell>
          <cell r="H6355">
            <v>100</v>
          </cell>
          <cell r="I6355">
            <v>372150000000</v>
          </cell>
        </row>
        <row r="6356">
          <cell r="A6356" t="str">
            <v>Germany, Federal Republic of</v>
          </cell>
          <cell r="B6356">
            <v>280</v>
          </cell>
          <cell r="C6356">
            <v>203</v>
          </cell>
          <cell r="D6356">
            <v>11</v>
          </cell>
          <cell r="E6356" t="str">
            <v>OPERATING SURPLUS, GROSS</v>
          </cell>
          <cell r="F6356">
            <v>12</v>
          </cell>
          <cell r="G6356">
            <v>1986</v>
          </cell>
          <cell r="H6356">
            <v>100</v>
          </cell>
          <cell r="I6356">
            <v>396880000000</v>
          </cell>
        </row>
        <row r="6357">
          <cell r="A6357" t="str">
            <v>Germany, Federal Republic of</v>
          </cell>
          <cell r="B6357">
            <v>280</v>
          </cell>
          <cell r="C6357">
            <v>203</v>
          </cell>
          <cell r="D6357">
            <v>11</v>
          </cell>
          <cell r="E6357" t="str">
            <v>OPERATING SURPLUS, GROSS</v>
          </cell>
          <cell r="F6357">
            <v>12</v>
          </cell>
          <cell r="G6357">
            <v>1987</v>
          </cell>
          <cell r="H6357">
            <v>100</v>
          </cell>
          <cell r="I6357">
            <v>402600000000</v>
          </cell>
        </row>
        <row r="6358">
          <cell r="A6358" t="str">
            <v>Germany, Federal Republic of</v>
          </cell>
          <cell r="B6358">
            <v>280</v>
          </cell>
          <cell r="C6358">
            <v>203</v>
          </cell>
          <cell r="D6358">
            <v>11</v>
          </cell>
          <cell r="E6358" t="str">
            <v>OPERATING SURPLUS, GROSS</v>
          </cell>
          <cell r="F6358">
            <v>12</v>
          </cell>
          <cell r="G6358">
            <v>1988</v>
          </cell>
          <cell r="H6358">
            <v>100</v>
          </cell>
          <cell r="I6358">
            <v>430020000000</v>
          </cell>
        </row>
        <row r="6359">
          <cell r="A6359" t="str">
            <v>Germany, Federal Republic of</v>
          </cell>
          <cell r="B6359">
            <v>280</v>
          </cell>
          <cell r="C6359">
            <v>203</v>
          </cell>
          <cell r="D6359">
            <v>11</v>
          </cell>
          <cell r="E6359" t="str">
            <v>OPERATING SURPLUS, GROSS</v>
          </cell>
          <cell r="F6359">
            <v>12</v>
          </cell>
          <cell r="G6359">
            <v>1989</v>
          </cell>
          <cell r="H6359">
            <v>100</v>
          </cell>
          <cell r="I6359">
            <v>461510000000</v>
          </cell>
        </row>
        <row r="6360">
          <cell r="A6360" t="str">
            <v>Germany, Federal Republic of</v>
          </cell>
          <cell r="B6360">
            <v>280</v>
          </cell>
          <cell r="C6360">
            <v>203</v>
          </cell>
          <cell r="D6360">
            <v>11</v>
          </cell>
          <cell r="E6360" t="str">
            <v>OPERATING SURPLUS, GROSS</v>
          </cell>
          <cell r="F6360">
            <v>12</v>
          </cell>
          <cell r="G6360">
            <v>1990</v>
          </cell>
          <cell r="H6360">
            <v>100</v>
          </cell>
          <cell r="I6360">
            <v>504760000000</v>
          </cell>
        </row>
        <row r="6361">
          <cell r="A6361" t="str">
            <v>Germany, Federal Republic of</v>
          </cell>
          <cell r="B6361">
            <v>280</v>
          </cell>
          <cell r="C6361">
            <v>203</v>
          </cell>
          <cell r="D6361">
            <v>11</v>
          </cell>
          <cell r="E6361" t="str">
            <v>OPERATING SURPLUS, GROSS</v>
          </cell>
          <cell r="F6361">
            <v>12</v>
          </cell>
          <cell r="G6361">
            <v>1991</v>
          </cell>
          <cell r="H6361">
            <v>100</v>
          </cell>
          <cell r="I6361">
            <v>549400000000</v>
          </cell>
        </row>
        <row r="6362">
          <cell r="A6362" t="str">
            <v>Germany, Federal Republic of</v>
          </cell>
          <cell r="B6362">
            <v>280</v>
          </cell>
          <cell r="C6362">
            <v>203</v>
          </cell>
          <cell r="D6362">
            <v>11</v>
          </cell>
          <cell r="E6362" t="str">
            <v>OPERATING SURPLUS, GROSS</v>
          </cell>
          <cell r="F6362">
            <v>12</v>
          </cell>
          <cell r="G6362">
            <v>1993</v>
          </cell>
          <cell r="H6362">
            <v>30</v>
          </cell>
          <cell r="I6362">
            <v>1100200000000</v>
          </cell>
        </row>
        <row r="6363">
          <cell r="A6363" t="str">
            <v>Germany, Federal Republic of</v>
          </cell>
          <cell r="B6363">
            <v>280</v>
          </cell>
          <cell r="C6363">
            <v>203</v>
          </cell>
          <cell r="D6363">
            <v>11</v>
          </cell>
          <cell r="E6363" t="str">
            <v>OPERATING SURPLUS, GROSS</v>
          </cell>
          <cell r="F6363">
            <v>12</v>
          </cell>
          <cell r="G6363">
            <v>1994</v>
          </cell>
          <cell r="H6363">
            <v>30</v>
          </cell>
          <cell r="I6363">
            <v>1184120000000</v>
          </cell>
        </row>
        <row r="6364">
          <cell r="A6364" t="str">
            <v>Latvia</v>
          </cell>
          <cell r="B6364">
            <v>428</v>
          </cell>
          <cell r="C6364">
            <v>203</v>
          </cell>
          <cell r="D6364">
            <v>3</v>
          </cell>
          <cell r="E6364" t="str">
            <v>Equals: VALUE ADDED, GROSS, at basic prices</v>
          </cell>
          <cell r="F6364">
            <v>12</v>
          </cell>
          <cell r="G6364">
            <v>1994</v>
          </cell>
          <cell r="H6364">
            <v>100</v>
          </cell>
          <cell r="I6364">
            <v>1809000000</v>
          </cell>
        </row>
        <row r="6365">
          <cell r="A6365" t="str">
            <v>Latvia</v>
          </cell>
          <cell r="B6365">
            <v>428</v>
          </cell>
          <cell r="C6365">
            <v>203</v>
          </cell>
          <cell r="D6365">
            <v>3</v>
          </cell>
          <cell r="E6365" t="str">
            <v>Equals: VALUE ADDED, GROSS, at basic prices</v>
          </cell>
          <cell r="F6365">
            <v>12</v>
          </cell>
          <cell r="G6365">
            <v>1995</v>
          </cell>
          <cell r="H6365">
            <v>100</v>
          </cell>
          <cell r="I6365">
            <v>2014000000</v>
          </cell>
        </row>
        <row r="6366">
          <cell r="A6366" t="str">
            <v>Latvia</v>
          </cell>
          <cell r="B6366">
            <v>428</v>
          </cell>
          <cell r="C6366">
            <v>203</v>
          </cell>
          <cell r="D6366">
            <v>3</v>
          </cell>
          <cell r="E6366" t="str">
            <v>Equals: VALUE ADDED, GROSS, at basic prices</v>
          </cell>
          <cell r="F6366">
            <v>12</v>
          </cell>
          <cell r="G6366">
            <v>1996</v>
          </cell>
          <cell r="H6366">
            <v>100</v>
          </cell>
          <cell r="I6366">
            <v>2447000000</v>
          </cell>
        </row>
        <row r="6367">
          <cell r="A6367" t="str">
            <v>Latvia</v>
          </cell>
          <cell r="B6367">
            <v>428</v>
          </cell>
          <cell r="C6367">
            <v>203</v>
          </cell>
          <cell r="D6367">
            <v>3</v>
          </cell>
          <cell r="E6367" t="str">
            <v>Equals: VALUE ADDED, GROSS, at basic prices</v>
          </cell>
          <cell r="F6367">
            <v>12</v>
          </cell>
          <cell r="G6367">
            <v>1997</v>
          </cell>
          <cell r="H6367">
            <v>100</v>
          </cell>
          <cell r="I6367">
            <v>2849000000</v>
          </cell>
        </row>
        <row r="6368">
          <cell r="A6368" t="str">
            <v>Latvia</v>
          </cell>
          <cell r="B6368">
            <v>428</v>
          </cell>
          <cell r="C6368">
            <v>203</v>
          </cell>
          <cell r="D6368">
            <v>3</v>
          </cell>
          <cell r="E6368" t="str">
            <v>Equals: VALUE ADDED, GROSS, at basic prices</v>
          </cell>
          <cell r="F6368">
            <v>12</v>
          </cell>
          <cell r="G6368">
            <v>1998</v>
          </cell>
          <cell r="H6368">
            <v>100</v>
          </cell>
          <cell r="I6368">
            <v>3098000000</v>
          </cell>
        </row>
        <row r="6369">
          <cell r="A6369" t="str">
            <v>Latvia</v>
          </cell>
          <cell r="B6369">
            <v>428</v>
          </cell>
          <cell r="C6369">
            <v>203</v>
          </cell>
          <cell r="D6369">
            <v>3</v>
          </cell>
          <cell r="E6369" t="str">
            <v>Equals: VALUE ADDED, GROSS, at basic prices</v>
          </cell>
          <cell r="F6369">
            <v>12</v>
          </cell>
          <cell r="G6369">
            <v>1999</v>
          </cell>
          <cell r="H6369">
            <v>100</v>
          </cell>
          <cell r="I6369">
            <v>3403000000</v>
          </cell>
        </row>
        <row r="6370">
          <cell r="A6370" t="str">
            <v>Latvia</v>
          </cell>
          <cell r="B6370">
            <v>428</v>
          </cell>
          <cell r="C6370">
            <v>203</v>
          </cell>
          <cell r="D6370">
            <v>3</v>
          </cell>
          <cell r="E6370" t="str">
            <v>Equals: VALUE ADDED, GROSS, at basic prices</v>
          </cell>
          <cell r="F6370">
            <v>12</v>
          </cell>
          <cell r="G6370">
            <v>2000</v>
          </cell>
          <cell r="H6370">
            <v>100</v>
          </cell>
          <cell r="I6370">
            <v>3834000000</v>
          </cell>
        </row>
        <row r="6371">
          <cell r="A6371" t="str">
            <v>Latvia</v>
          </cell>
          <cell r="B6371">
            <v>428</v>
          </cell>
          <cell r="C6371">
            <v>203</v>
          </cell>
          <cell r="D6371">
            <v>3</v>
          </cell>
          <cell r="E6371" t="str">
            <v>Equals: VALUE ADDED, GROSS, at basic prices</v>
          </cell>
          <cell r="F6371">
            <v>12</v>
          </cell>
          <cell r="G6371">
            <v>2001</v>
          </cell>
          <cell r="H6371">
            <v>100</v>
          </cell>
          <cell r="I6371">
            <v>4265000000</v>
          </cell>
        </row>
        <row r="6372">
          <cell r="A6372" t="str">
            <v>Latvia</v>
          </cell>
          <cell r="B6372">
            <v>428</v>
          </cell>
          <cell r="C6372">
            <v>203</v>
          </cell>
          <cell r="D6372">
            <v>3</v>
          </cell>
          <cell r="E6372" t="str">
            <v>Equals: VALUE ADDED, GROSS, at basic prices</v>
          </cell>
          <cell r="F6372">
            <v>12</v>
          </cell>
          <cell r="G6372">
            <v>2002</v>
          </cell>
          <cell r="H6372">
            <v>100</v>
          </cell>
          <cell r="I6372">
            <v>4621000000</v>
          </cell>
        </row>
        <row r="6373">
          <cell r="A6373" t="str">
            <v>Latvia</v>
          </cell>
          <cell r="B6373">
            <v>428</v>
          </cell>
          <cell r="C6373">
            <v>203</v>
          </cell>
          <cell r="D6373">
            <v>3</v>
          </cell>
          <cell r="E6373" t="str">
            <v>Equals: VALUE ADDED, GROSS, at basic prices</v>
          </cell>
          <cell r="F6373">
            <v>12</v>
          </cell>
          <cell r="G6373">
            <v>2003</v>
          </cell>
          <cell r="H6373">
            <v>100</v>
          </cell>
          <cell r="I6373">
            <v>5189000000</v>
          </cell>
        </row>
        <row r="6374">
          <cell r="A6374" t="str">
            <v>Latvia</v>
          </cell>
          <cell r="B6374">
            <v>428</v>
          </cell>
          <cell r="C6374">
            <v>203</v>
          </cell>
          <cell r="D6374">
            <v>4</v>
          </cell>
          <cell r="E6374" t="str">
            <v>Compensation of employees</v>
          </cell>
          <cell r="F6374">
            <v>12</v>
          </cell>
          <cell r="G6374">
            <v>1994</v>
          </cell>
          <cell r="H6374">
            <v>100</v>
          </cell>
          <cell r="I6374">
            <v>939000000</v>
          </cell>
        </row>
        <row r="6375">
          <cell r="A6375" t="str">
            <v>Latvia</v>
          </cell>
          <cell r="B6375">
            <v>428</v>
          </cell>
          <cell r="C6375">
            <v>203</v>
          </cell>
          <cell r="D6375">
            <v>4</v>
          </cell>
          <cell r="E6375" t="str">
            <v>Compensation of employees</v>
          </cell>
          <cell r="F6375">
            <v>12</v>
          </cell>
          <cell r="G6375">
            <v>1995</v>
          </cell>
          <cell r="H6375">
            <v>100</v>
          </cell>
          <cell r="I6375">
            <v>1150000000</v>
          </cell>
        </row>
        <row r="6376">
          <cell r="A6376" t="str">
            <v>Latvia</v>
          </cell>
          <cell r="B6376">
            <v>428</v>
          </cell>
          <cell r="C6376">
            <v>203</v>
          </cell>
          <cell r="D6376">
            <v>4</v>
          </cell>
          <cell r="E6376" t="str">
            <v>Compensation of employees</v>
          </cell>
          <cell r="F6376">
            <v>12</v>
          </cell>
          <cell r="G6376">
            <v>1996</v>
          </cell>
          <cell r="H6376">
            <v>100</v>
          </cell>
          <cell r="I6376">
            <v>1441000000</v>
          </cell>
        </row>
        <row r="6377">
          <cell r="A6377" t="str">
            <v>Latvia</v>
          </cell>
          <cell r="B6377">
            <v>428</v>
          </cell>
          <cell r="C6377">
            <v>203</v>
          </cell>
          <cell r="D6377">
            <v>4</v>
          </cell>
          <cell r="E6377" t="str">
            <v>Compensation of employees</v>
          </cell>
          <cell r="F6377">
            <v>12</v>
          </cell>
          <cell r="G6377">
            <v>1997</v>
          </cell>
          <cell r="H6377">
            <v>100</v>
          </cell>
          <cell r="I6377">
            <v>1603000000</v>
          </cell>
        </row>
        <row r="6378">
          <cell r="A6378" t="str">
            <v>Latvia</v>
          </cell>
          <cell r="B6378">
            <v>428</v>
          </cell>
          <cell r="C6378">
            <v>203</v>
          </cell>
          <cell r="D6378">
            <v>4</v>
          </cell>
          <cell r="E6378" t="str">
            <v>Compensation of employees</v>
          </cell>
          <cell r="F6378">
            <v>12</v>
          </cell>
          <cell r="G6378">
            <v>1998</v>
          </cell>
          <cell r="H6378">
            <v>100</v>
          </cell>
          <cell r="I6378">
            <v>1743000000</v>
          </cell>
        </row>
        <row r="6379">
          <cell r="A6379" t="str">
            <v>Latvia</v>
          </cell>
          <cell r="B6379">
            <v>428</v>
          </cell>
          <cell r="C6379">
            <v>203</v>
          </cell>
          <cell r="D6379">
            <v>4</v>
          </cell>
          <cell r="E6379" t="str">
            <v>Compensation of employees</v>
          </cell>
          <cell r="F6379">
            <v>12</v>
          </cell>
          <cell r="G6379">
            <v>1999</v>
          </cell>
          <cell r="H6379">
            <v>100</v>
          </cell>
          <cell r="I6379">
            <v>1864000000</v>
          </cell>
        </row>
        <row r="6380">
          <cell r="A6380" t="str">
            <v>Latvia</v>
          </cell>
          <cell r="B6380">
            <v>428</v>
          </cell>
          <cell r="C6380">
            <v>203</v>
          </cell>
          <cell r="D6380">
            <v>4</v>
          </cell>
          <cell r="E6380" t="str">
            <v>Compensation of employees</v>
          </cell>
          <cell r="F6380">
            <v>12</v>
          </cell>
          <cell r="G6380">
            <v>2000</v>
          </cell>
          <cell r="H6380">
            <v>100</v>
          </cell>
          <cell r="I6380">
            <v>1965000000</v>
          </cell>
        </row>
        <row r="6381">
          <cell r="A6381" t="str">
            <v>Latvia</v>
          </cell>
          <cell r="B6381">
            <v>428</v>
          </cell>
          <cell r="C6381">
            <v>203</v>
          </cell>
          <cell r="D6381">
            <v>4</v>
          </cell>
          <cell r="E6381" t="str">
            <v>Compensation of employees</v>
          </cell>
          <cell r="F6381">
            <v>12</v>
          </cell>
          <cell r="G6381">
            <v>2001</v>
          </cell>
          <cell r="H6381">
            <v>100</v>
          </cell>
          <cell r="I6381">
            <v>2073000000</v>
          </cell>
        </row>
        <row r="6382">
          <cell r="A6382" t="str">
            <v>Latvia</v>
          </cell>
          <cell r="B6382">
            <v>428</v>
          </cell>
          <cell r="C6382">
            <v>203</v>
          </cell>
          <cell r="D6382">
            <v>4</v>
          </cell>
          <cell r="E6382" t="str">
            <v>Compensation of employees</v>
          </cell>
          <cell r="F6382">
            <v>12</v>
          </cell>
          <cell r="G6382">
            <v>2002</v>
          </cell>
          <cell r="H6382">
            <v>100</v>
          </cell>
          <cell r="I6382">
            <v>2228000000</v>
          </cell>
        </row>
        <row r="6383">
          <cell r="A6383" t="str">
            <v>Latvia</v>
          </cell>
          <cell r="B6383">
            <v>428</v>
          </cell>
          <cell r="C6383">
            <v>203</v>
          </cell>
          <cell r="D6383">
            <v>4</v>
          </cell>
          <cell r="E6383" t="str">
            <v>Compensation of employees</v>
          </cell>
          <cell r="F6383">
            <v>12</v>
          </cell>
          <cell r="G6383">
            <v>2003</v>
          </cell>
          <cell r="H6383">
            <v>100</v>
          </cell>
          <cell r="I6383">
            <v>2537000000</v>
          </cell>
        </row>
        <row r="6384">
          <cell r="A6384" t="str">
            <v>Latvia</v>
          </cell>
          <cell r="B6384">
            <v>428</v>
          </cell>
          <cell r="C6384">
            <v>203</v>
          </cell>
          <cell r="D6384">
            <v>11</v>
          </cell>
          <cell r="E6384" t="str">
            <v>OPERATING SURPLUS, GROSS</v>
          </cell>
          <cell r="F6384">
            <v>12</v>
          </cell>
          <cell r="G6384">
            <v>1994</v>
          </cell>
          <cell r="H6384">
            <v>100</v>
          </cell>
          <cell r="I6384">
            <v>632000000</v>
          </cell>
        </row>
        <row r="6385">
          <cell r="A6385" t="str">
            <v>Latvia</v>
          </cell>
          <cell r="B6385">
            <v>428</v>
          </cell>
          <cell r="C6385">
            <v>203</v>
          </cell>
          <cell r="D6385">
            <v>11</v>
          </cell>
          <cell r="E6385" t="str">
            <v>OPERATING SURPLUS, GROSS</v>
          </cell>
          <cell r="F6385">
            <v>12</v>
          </cell>
          <cell r="G6385">
            <v>1995</v>
          </cell>
          <cell r="H6385">
            <v>100</v>
          </cell>
          <cell r="I6385">
            <v>495000000</v>
          </cell>
        </row>
        <row r="6386">
          <cell r="A6386" t="str">
            <v>Latvia</v>
          </cell>
          <cell r="B6386">
            <v>428</v>
          </cell>
          <cell r="C6386">
            <v>203</v>
          </cell>
          <cell r="D6386">
            <v>11</v>
          </cell>
          <cell r="E6386" t="str">
            <v>OPERATING SURPLUS, GROSS</v>
          </cell>
          <cell r="F6386">
            <v>12</v>
          </cell>
          <cell r="G6386">
            <v>1996</v>
          </cell>
          <cell r="H6386">
            <v>100</v>
          </cell>
          <cell r="I6386">
            <v>523000000</v>
          </cell>
        </row>
        <row r="6387">
          <cell r="A6387" t="str">
            <v>Latvia</v>
          </cell>
          <cell r="B6387">
            <v>428</v>
          </cell>
          <cell r="C6387">
            <v>203</v>
          </cell>
          <cell r="D6387">
            <v>11</v>
          </cell>
          <cell r="E6387" t="str">
            <v>OPERATING SURPLUS, GROSS</v>
          </cell>
          <cell r="F6387">
            <v>12</v>
          </cell>
          <cell r="G6387">
            <v>1997</v>
          </cell>
          <cell r="H6387">
            <v>100</v>
          </cell>
          <cell r="I6387">
            <v>962000000</v>
          </cell>
        </row>
        <row r="6388">
          <cell r="A6388" t="str">
            <v>Latvia</v>
          </cell>
          <cell r="B6388">
            <v>428</v>
          </cell>
          <cell r="C6388">
            <v>203</v>
          </cell>
          <cell r="D6388">
            <v>11</v>
          </cell>
          <cell r="E6388" t="str">
            <v>OPERATING SURPLUS, GROSS</v>
          </cell>
          <cell r="F6388">
            <v>12</v>
          </cell>
          <cell r="G6388">
            <v>1998</v>
          </cell>
          <cell r="H6388">
            <v>100</v>
          </cell>
          <cell r="I6388">
            <v>1103000000</v>
          </cell>
        </row>
        <row r="6389">
          <cell r="A6389" t="str">
            <v>Latvia</v>
          </cell>
          <cell r="B6389">
            <v>428</v>
          </cell>
          <cell r="C6389">
            <v>203</v>
          </cell>
          <cell r="D6389">
            <v>11</v>
          </cell>
          <cell r="E6389" t="str">
            <v>OPERATING SURPLUS, GROSS</v>
          </cell>
          <cell r="F6389">
            <v>12</v>
          </cell>
          <cell r="G6389">
            <v>1999</v>
          </cell>
          <cell r="H6389">
            <v>100</v>
          </cell>
          <cell r="I6389">
            <v>1362000000</v>
          </cell>
        </row>
        <row r="6390">
          <cell r="A6390" t="str">
            <v>Latvia</v>
          </cell>
          <cell r="B6390">
            <v>428</v>
          </cell>
          <cell r="C6390">
            <v>203</v>
          </cell>
          <cell r="D6390">
            <v>11</v>
          </cell>
          <cell r="E6390" t="str">
            <v>OPERATING SURPLUS, GROSS</v>
          </cell>
          <cell r="F6390">
            <v>12</v>
          </cell>
          <cell r="G6390">
            <v>2000</v>
          </cell>
          <cell r="H6390">
            <v>100</v>
          </cell>
          <cell r="I6390">
            <v>1491000000</v>
          </cell>
        </row>
        <row r="6391">
          <cell r="A6391" t="str">
            <v>Latvia</v>
          </cell>
          <cell r="B6391">
            <v>428</v>
          </cell>
          <cell r="C6391">
            <v>203</v>
          </cell>
          <cell r="D6391">
            <v>11</v>
          </cell>
          <cell r="E6391" t="str">
            <v>OPERATING SURPLUS, GROSS</v>
          </cell>
          <cell r="F6391">
            <v>12</v>
          </cell>
          <cell r="G6391">
            <v>2001</v>
          </cell>
          <cell r="H6391">
            <v>100</v>
          </cell>
          <cell r="I6391">
            <v>1753000000</v>
          </cell>
        </row>
        <row r="6392">
          <cell r="A6392" t="str">
            <v>Latvia</v>
          </cell>
          <cell r="B6392">
            <v>428</v>
          </cell>
          <cell r="C6392">
            <v>203</v>
          </cell>
          <cell r="D6392">
            <v>12</v>
          </cell>
          <cell r="E6392" t="str">
            <v>MIXED INCOME, GROSS</v>
          </cell>
          <cell r="F6392">
            <v>12</v>
          </cell>
          <cell r="G6392">
            <v>1994</v>
          </cell>
          <cell r="H6392">
            <v>100</v>
          </cell>
          <cell r="I6392">
            <v>206000000</v>
          </cell>
        </row>
        <row r="6393">
          <cell r="A6393" t="str">
            <v>Latvia</v>
          </cell>
          <cell r="B6393">
            <v>428</v>
          </cell>
          <cell r="C6393">
            <v>203</v>
          </cell>
          <cell r="D6393">
            <v>12</v>
          </cell>
          <cell r="E6393" t="str">
            <v>MIXED INCOME, GROSS</v>
          </cell>
          <cell r="F6393">
            <v>12</v>
          </cell>
          <cell r="G6393">
            <v>1995</v>
          </cell>
          <cell r="H6393">
            <v>100</v>
          </cell>
          <cell r="I6393">
            <v>382000000</v>
          </cell>
        </row>
        <row r="6394">
          <cell r="A6394" t="str">
            <v>Latvia</v>
          </cell>
          <cell r="B6394">
            <v>428</v>
          </cell>
          <cell r="C6394">
            <v>203</v>
          </cell>
          <cell r="D6394">
            <v>12</v>
          </cell>
          <cell r="E6394" t="str">
            <v>MIXED INCOME, GROSS</v>
          </cell>
          <cell r="F6394">
            <v>12</v>
          </cell>
          <cell r="G6394">
            <v>1996</v>
          </cell>
          <cell r="H6394">
            <v>100</v>
          </cell>
          <cell r="I6394">
            <v>501000000</v>
          </cell>
        </row>
        <row r="6395">
          <cell r="A6395" t="str">
            <v>Latvia</v>
          </cell>
          <cell r="B6395">
            <v>428</v>
          </cell>
          <cell r="C6395">
            <v>203</v>
          </cell>
          <cell r="D6395">
            <v>12</v>
          </cell>
          <cell r="E6395" t="str">
            <v>MIXED INCOME, GROSS</v>
          </cell>
          <cell r="F6395">
            <v>12</v>
          </cell>
          <cell r="G6395">
            <v>1997</v>
          </cell>
          <cell r="H6395">
            <v>100</v>
          </cell>
          <cell r="I6395">
            <v>282000000</v>
          </cell>
        </row>
        <row r="6396">
          <cell r="A6396" t="str">
            <v>Latvia</v>
          </cell>
          <cell r="B6396">
            <v>428</v>
          </cell>
          <cell r="C6396">
            <v>203</v>
          </cell>
          <cell r="D6396">
            <v>12</v>
          </cell>
          <cell r="E6396" t="str">
            <v>MIXED INCOME, GROSS</v>
          </cell>
          <cell r="F6396">
            <v>12</v>
          </cell>
          <cell r="G6396">
            <v>1998</v>
          </cell>
          <cell r="H6396">
            <v>100</v>
          </cell>
          <cell r="I6396">
            <v>241000000</v>
          </cell>
        </row>
        <row r="6397">
          <cell r="A6397" t="str">
            <v>Latvia</v>
          </cell>
          <cell r="B6397">
            <v>428</v>
          </cell>
          <cell r="C6397">
            <v>203</v>
          </cell>
          <cell r="D6397">
            <v>12</v>
          </cell>
          <cell r="E6397" t="str">
            <v>MIXED INCOME, GROSS</v>
          </cell>
          <cell r="F6397">
            <v>12</v>
          </cell>
          <cell r="G6397">
            <v>1999</v>
          </cell>
          <cell r="H6397">
            <v>100</v>
          </cell>
          <cell r="I6397">
            <v>174000000</v>
          </cell>
        </row>
        <row r="6398">
          <cell r="A6398" t="str">
            <v>Latvia</v>
          </cell>
          <cell r="B6398">
            <v>428</v>
          </cell>
          <cell r="C6398">
            <v>203</v>
          </cell>
          <cell r="D6398">
            <v>12</v>
          </cell>
          <cell r="E6398" t="str">
            <v>MIXED INCOME, GROSS</v>
          </cell>
          <cell r="F6398">
            <v>12</v>
          </cell>
          <cell r="G6398">
            <v>2000</v>
          </cell>
          <cell r="H6398">
            <v>100</v>
          </cell>
          <cell r="I6398">
            <v>369000000</v>
          </cell>
        </row>
        <row r="6399">
          <cell r="A6399" t="str">
            <v>Latvia</v>
          </cell>
          <cell r="B6399">
            <v>428</v>
          </cell>
          <cell r="C6399">
            <v>203</v>
          </cell>
          <cell r="D6399">
            <v>12</v>
          </cell>
          <cell r="E6399" t="str">
            <v>MIXED INCOME, GROSS</v>
          </cell>
          <cell r="F6399">
            <v>12</v>
          </cell>
          <cell r="G6399">
            <v>2001</v>
          </cell>
          <cell r="H6399">
            <v>100</v>
          </cell>
          <cell r="I6399">
            <v>411000000</v>
          </cell>
        </row>
        <row r="6400">
          <cell r="A6400" t="str">
            <v>Latvia</v>
          </cell>
          <cell r="B6400">
            <v>428</v>
          </cell>
          <cell r="C6400">
            <v>203</v>
          </cell>
          <cell r="D6400">
            <v>22</v>
          </cell>
          <cell r="E6400" t="str">
            <v>Taxes on production and imports, less Subsidies</v>
          </cell>
          <cell r="F6400">
            <v>12</v>
          </cell>
          <cell r="G6400">
            <v>1994</v>
          </cell>
          <cell r="H6400">
            <v>100</v>
          </cell>
          <cell r="I6400">
            <v>267000000</v>
          </cell>
        </row>
        <row r="6401">
          <cell r="A6401" t="str">
            <v>Latvia</v>
          </cell>
          <cell r="B6401">
            <v>428</v>
          </cell>
          <cell r="C6401">
            <v>203</v>
          </cell>
          <cell r="D6401">
            <v>22</v>
          </cell>
          <cell r="E6401" t="str">
            <v>Taxes on production and imports, less Subsidies</v>
          </cell>
          <cell r="F6401">
            <v>12</v>
          </cell>
          <cell r="G6401">
            <v>1995</v>
          </cell>
          <cell r="H6401">
            <v>100</v>
          </cell>
          <cell r="I6401">
            <v>322000000</v>
          </cell>
        </row>
        <row r="6402">
          <cell r="A6402" t="str">
            <v>Latvia</v>
          </cell>
          <cell r="B6402">
            <v>428</v>
          </cell>
          <cell r="C6402">
            <v>203</v>
          </cell>
          <cell r="D6402">
            <v>22</v>
          </cell>
          <cell r="E6402" t="str">
            <v>Taxes on production and imports, less Subsidies</v>
          </cell>
          <cell r="F6402">
            <v>12</v>
          </cell>
          <cell r="G6402">
            <v>1996</v>
          </cell>
          <cell r="H6402">
            <v>100</v>
          </cell>
          <cell r="I6402">
            <v>364000000</v>
          </cell>
        </row>
        <row r="6403">
          <cell r="A6403" t="str">
            <v>Latvia</v>
          </cell>
          <cell r="B6403">
            <v>428</v>
          </cell>
          <cell r="C6403">
            <v>203</v>
          </cell>
          <cell r="D6403">
            <v>22</v>
          </cell>
          <cell r="E6403" t="str">
            <v>Taxes on production and imports, less Subsidies</v>
          </cell>
          <cell r="F6403">
            <v>12</v>
          </cell>
          <cell r="G6403">
            <v>1997</v>
          </cell>
          <cell r="H6403">
            <v>100</v>
          </cell>
          <cell r="I6403">
            <v>429000000</v>
          </cell>
        </row>
        <row r="6404">
          <cell r="A6404" t="str">
            <v>Latvia</v>
          </cell>
          <cell r="B6404">
            <v>428</v>
          </cell>
          <cell r="C6404">
            <v>203</v>
          </cell>
          <cell r="D6404">
            <v>22</v>
          </cell>
          <cell r="E6404" t="str">
            <v>Taxes on production and imports, less Subsidies</v>
          </cell>
          <cell r="F6404">
            <v>12</v>
          </cell>
          <cell r="G6404">
            <v>1998</v>
          </cell>
          <cell r="H6404">
            <v>100</v>
          </cell>
          <cell r="I6404">
            <v>502000000</v>
          </cell>
        </row>
        <row r="6405">
          <cell r="A6405" t="str">
            <v>Latvia</v>
          </cell>
          <cell r="B6405">
            <v>428</v>
          </cell>
          <cell r="C6405">
            <v>203</v>
          </cell>
          <cell r="D6405">
            <v>22</v>
          </cell>
          <cell r="E6405" t="str">
            <v>Taxes on production and imports, less Subsidies</v>
          </cell>
          <cell r="F6405">
            <v>12</v>
          </cell>
          <cell r="G6405">
            <v>1999</v>
          </cell>
          <cell r="H6405">
            <v>100</v>
          </cell>
          <cell r="I6405">
            <v>496000000</v>
          </cell>
        </row>
        <row r="6406">
          <cell r="A6406" t="str">
            <v>Latvia</v>
          </cell>
          <cell r="B6406">
            <v>428</v>
          </cell>
          <cell r="C6406">
            <v>203</v>
          </cell>
          <cell r="D6406">
            <v>22</v>
          </cell>
          <cell r="E6406" t="str">
            <v>Taxes on production and imports, less Subsidies</v>
          </cell>
          <cell r="F6406">
            <v>12</v>
          </cell>
          <cell r="G6406">
            <v>2000</v>
          </cell>
          <cell r="H6406">
            <v>100</v>
          </cell>
          <cell r="I6406">
            <v>523000000</v>
          </cell>
        </row>
        <row r="6407">
          <cell r="A6407" t="str">
            <v>Latvia</v>
          </cell>
          <cell r="B6407">
            <v>428</v>
          </cell>
          <cell r="C6407">
            <v>203</v>
          </cell>
          <cell r="D6407">
            <v>22</v>
          </cell>
          <cell r="E6407" t="str">
            <v>Taxes on production and imports, less Subsidies</v>
          </cell>
          <cell r="F6407">
            <v>12</v>
          </cell>
          <cell r="G6407">
            <v>2001</v>
          </cell>
          <cell r="H6407">
            <v>100</v>
          </cell>
          <cell r="I6407">
            <v>576000000</v>
          </cell>
        </row>
        <row r="6408">
          <cell r="A6408" t="str">
            <v>Latvia</v>
          </cell>
          <cell r="B6408">
            <v>428</v>
          </cell>
          <cell r="C6408">
            <v>203</v>
          </cell>
          <cell r="D6408">
            <v>22</v>
          </cell>
          <cell r="E6408" t="str">
            <v>Taxes on production and imports, less Subsidies</v>
          </cell>
          <cell r="F6408">
            <v>12</v>
          </cell>
          <cell r="G6408">
            <v>2002</v>
          </cell>
          <cell r="H6408">
            <v>100</v>
          </cell>
          <cell r="I6408">
            <v>571000000</v>
          </cell>
        </row>
        <row r="6409">
          <cell r="A6409" t="str">
            <v>Latvia</v>
          </cell>
          <cell r="B6409">
            <v>428</v>
          </cell>
          <cell r="C6409">
            <v>203</v>
          </cell>
          <cell r="D6409">
            <v>22</v>
          </cell>
          <cell r="E6409" t="str">
            <v>Taxes on production and imports, less Subsidies</v>
          </cell>
          <cell r="F6409">
            <v>12</v>
          </cell>
          <cell r="G6409">
            <v>2003</v>
          </cell>
          <cell r="H6409">
            <v>100</v>
          </cell>
          <cell r="I6409">
            <v>672000000</v>
          </cell>
        </row>
        <row r="6410">
          <cell r="A6410" t="str">
            <v>China, Macao Special Administrative Region</v>
          </cell>
          <cell r="B6410">
            <v>446</v>
          </cell>
          <cell r="C6410">
            <v>201</v>
          </cell>
          <cell r="D6410">
            <v>13</v>
          </cell>
          <cell r="E6410" t="str">
            <v>Less: Financial intermediation services indirectly measured (FISIM) (only to be deducted if FISIM is not distributed to uses)</v>
          </cell>
          <cell r="F6410">
            <v>0</v>
          </cell>
          <cell r="G6410">
            <v>1992</v>
          </cell>
          <cell r="H6410">
            <v>100</v>
          </cell>
          <cell r="I6410">
            <v>1000000000</v>
          </cell>
        </row>
        <row r="6411">
          <cell r="A6411" t="str">
            <v>China, Macao Special Administrative Region</v>
          </cell>
          <cell r="B6411">
            <v>446</v>
          </cell>
          <cell r="C6411">
            <v>201</v>
          </cell>
          <cell r="D6411">
            <v>13</v>
          </cell>
          <cell r="E6411" t="str">
            <v>Less: Financial intermediation services indirectly measured (FISIM) (only to be deducted if FISIM is not distributed to uses)</v>
          </cell>
          <cell r="F6411">
            <v>0</v>
          </cell>
          <cell r="G6411">
            <v>1993</v>
          </cell>
          <cell r="H6411">
            <v>100</v>
          </cell>
          <cell r="I6411">
            <v>1657000000</v>
          </cell>
        </row>
        <row r="6412">
          <cell r="A6412" t="str">
            <v>China, Macao Special Administrative Region</v>
          </cell>
          <cell r="B6412">
            <v>446</v>
          </cell>
          <cell r="C6412">
            <v>201</v>
          </cell>
          <cell r="D6412">
            <v>13</v>
          </cell>
          <cell r="E6412" t="str">
            <v>Less: Financial intermediation services indirectly measured (FISIM) (only to be deducted if FISIM is not distributed to uses)</v>
          </cell>
          <cell r="F6412">
            <v>0</v>
          </cell>
          <cell r="G6412">
            <v>1994</v>
          </cell>
          <cell r="H6412">
            <v>100</v>
          </cell>
          <cell r="I6412">
            <v>1861000000</v>
          </cell>
        </row>
        <row r="6413">
          <cell r="A6413" t="str">
            <v>China, Macao Special Administrative Region</v>
          </cell>
          <cell r="B6413">
            <v>446</v>
          </cell>
          <cell r="C6413">
            <v>201</v>
          </cell>
          <cell r="D6413">
            <v>13</v>
          </cell>
          <cell r="E6413" t="str">
            <v>Less: Financial intermediation services indirectly measured (FISIM) (only to be deducted if FISIM is not distributed to uses)</v>
          </cell>
          <cell r="F6413">
            <v>0</v>
          </cell>
          <cell r="G6413">
            <v>1995</v>
          </cell>
          <cell r="H6413">
            <v>100</v>
          </cell>
          <cell r="I6413">
            <v>1910000000</v>
          </cell>
        </row>
        <row r="6414">
          <cell r="A6414" t="str">
            <v>China, Macao Special Administrative Region</v>
          </cell>
          <cell r="B6414">
            <v>446</v>
          </cell>
          <cell r="C6414">
            <v>201</v>
          </cell>
          <cell r="D6414">
            <v>13</v>
          </cell>
          <cell r="E6414" t="str">
            <v>Less: Financial intermediation services indirectly measured (FISIM) (only to be deducted if FISIM is not distributed to uses)</v>
          </cell>
          <cell r="F6414">
            <v>0</v>
          </cell>
          <cell r="G6414">
            <v>1996</v>
          </cell>
          <cell r="H6414">
            <v>100</v>
          </cell>
          <cell r="I6414">
            <v>2211000000</v>
          </cell>
        </row>
        <row r="6415">
          <cell r="A6415" t="str">
            <v>China, Macao Special Administrative Region</v>
          </cell>
          <cell r="B6415">
            <v>446</v>
          </cell>
          <cell r="C6415">
            <v>201</v>
          </cell>
          <cell r="D6415">
            <v>13</v>
          </cell>
          <cell r="E6415" t="str">
            <v>Less: Financial intermediation services indirectly measured (FISIM) (only to be deducted if FISIM is not distributed to uses)</v>
          </cell>
          <cell r="F6415">
            <v>0</v>
          </cell>
          <cell r="G6415">
            <v>1997</v>
          </cell>
          <cell r="H6415">
            <v>100</v>
          </cell>
          <cell r="I6415">
            <v>2563000000</v>
          </cell>
        </row>
        <row r="6416">
          <cell r="A6416" t="str">
            <v>China, Macao Special Administrative Region</v>
          </cell>
          <cell r="B6416">
            <v>446</v>
          </cell>
          <cell r="C6416">
            <v>201</v>
          </cell>
          <cell r="D6416">
            <v>13</v>
          </cell>
          <cell r="E6416" t="str">
            <v>Less: Financial intermediation services indirectly measured (FISIM) (only to be deducted if FISIM is not distributed to uses)</v>
          </cell>
          <cell r="F6416">
            <v>0</v>
          </cell>
          <cell r="G6416">
            <v>1998</v>
          </cell>
          <cell r="H6416">
            <v>100</v>
          </cell>
          <cell r="I6416">
            <v>2758000000</v>
          </cell>
        </row>
        <row r="6417">
          <cell r="A6417" t="str">
            <v>China, Macao Special Administrative Region</v>
          </cell>
          <cell r="B6417">
            <v>446</v>
          </cell>
          <cell r="C6417">
            <v>201</v>
          </cell>
          <cell r="D6417">
            <v>13</v>
          </cell>
          <cell r="E6417" t="str">
            <v>Less: Financial intermediation services indirectly measured (FISIM) (only to be deducted if FISIM is not distributed to uses)</v>
          </cell>
          <cell r="F6417">
            <v>0</v>
          </cell>
          <cell r="G6417">
            <v>1999</v>
          </cell>
          <cell r="H6417">
            <v>100</v>
          </cell>
          <cell r="I6417">
            <v>2273000000</v>
          </cell>
        </row>
        <row r="6418">
          <cell r="A6418" t="str">
            <v>China, Macao Special Administrative Region</v>
          </cell>
          <cell r="B6418">
            <v>446</v>
          </cell>
          <cell r="C6418">
            <v>201</v>
          </cell>
          <cell r="D6418">
            <v>13</v>
          </cell>
          <cell r="E6418" t="str">
            <v>Less: Financial intermediation services indirectly measured (FISIM) (only to be deducted if FISIM is not distributed to uses)</v>
          </cell>
          <cell r="F6418">
            <v>0</v>
          </cell>
          <cell r="G6418">
            <v>2000</v>
          </cell>
          <cell r="H6418">
            <v>100</v>
          </cell>
          <cell r="I6418">
            <v>2427000000</v>
          </cell>
        </row>
        <row r="6419">
          <cell r="A6419" t="str">
            <v>China, Macao Special Administrative Region</v>
          </cell>
          <cell r="B6419">
            <v>446</v>
          </cell>
          <cell r="C6419">
            <v>201</v>
          </cell>
          <cell r="D6419">
            <v>13</v>
          </cell>
          <cell r="E6419" t="str">
            <v>Less: Financial intermediation services indirectly measured (FISIM) (only to be deducted if FISIM is not distributed to uses)</v>
          </cell>
          <cell r="F6419">
            <v>0</v>
          </cell>
          <cell r="G6419">
            <v>2001</v>
          </cell>
          <cell r="H6419">
            <v>100</v>
          </cell>
          <cell r="I6419">
            <v>2357000000</v>
          </cell>
        </row>
        <row r="6420">
          <cell r="A6420" t="str">
            <v>China, Macao Special Administrative Region</v>
          </cell>
          <cell r="B6420">
            <v>446</v>
          </cell>
          <cell r="C6420">
            <v>201</v>
          </cell>
          <cell r="D6420">
            <v>13</v>
          </cell>
          <cell r="E6420" t="str">
            <v>Less: Financial intermediation services indirectly measured (FISIM) (only to be deducted if FISIM is not distributed to uses)</v>
          </cell>
          <cell r="F6420">
            <v>0</v>
          </cell>
          <cell r="G6420">
            <v>2002</v>
          </cell>
          <cell r="H6420">
            <v>100</v>
          </cell>
          <cell r="I6420">
            <v>2343000000</v>
          </cell>
        </row>
        <row r="6421">
          <cell r="A6421" t="str">
            <v>China, Macao Special Administrative Region</v>
          </cell>
          <cell r="B6421">
            <v>446</v>
          </cell>
          <cell r="C6421">
            <v>203</v>
          </cell>
          <cell r="D6421">
            <v>3</v>
          </cell>
          <cell r="E6421" t="str">
            <v>Equals: VALUE ADDED, GROSS, at basic prices</v>
          </cell>
          <cell r="F6421">
            <v>12</v>
          </cell>
          <cell r="G6421">
            <v>1992</v>
          </cell>
          <cell r="H6421">
            <v>100</v>
          </cell>
          <cell r="I6421">
            <v>35860000000</v>
          </cell>
        </row>
        <row r="6422">
          <cell r="A6422" t="str">
            <v>China, Macao Special Administrative Region</v>
          </cell>
          <cell r="B6422">
            <v>446</v>
          </cell>
          <cell r="C6422">
            <v>203</v>
          </cell>
          <cell r="D6422">
            <v>3</v>
          </cell>
          <cell r="E6422" t="str">
            <v>Equals: VALUE ADDED, GROSS, at basic prices</v>
          </cell>
          <cell r="F6422">
            <v>12</v>
          </cell>
          <cell r="G6422">
            <v>1993</v>
          </cell>
          <cell r="H6422">
            <v>100</v>
          </cell>
          <cell r="I6422">
            <v>40736000000</v>
          </cell>
        </row>
        <row r="6423">
          <cell r="A6423" t="str">
            <v>China, Macao Special Administrative Region</v>
          </cell>
          <cell r="B6423">
            <v>446</v>
          </cell>
          <cell r="C6423">
            <v>203</v>
          </cell>
          <cell r="D6423">
            <v>3</v>
          </cell>
          <cell r="E6423" t="str">
            <v>Equals: VALUE ADDED, GROSS, at basic prices</v>
          </cell>
          <cell r="F6423">
            <v>12</v>
          </cell>
          <cell r="G6423">
            <v>1994</v>
          </cell>
          <cell r="H6423">
            <v>100</v>
          </cell>
          <cell r="I6423">
            <v>44947000000</v>
          </cell>
        </row>
        <row r="6424">
          <cell r="A6424" t="str">
            <v>China, Macao Special Administrative Region</v>
          </cell>
          <cell r="B6424">
            <v>446</v>
          </cell>
          <cell r="C6424">
            <v>203</v>
          </cell>
          <cell r="D6424">
            <v>3</v>
          </cell>
          <cell r="E6424" t="str">
            <v>Equals: VALUE ADDED, GROSS, at basic prices</v>
          </cell>
          <cell r="F6424">
            <v>12</v>
          </cell>
          <cell r="G6424">
            <v>1995</v>
          </cell>
          <cell r="H6424">
            <v>100</v>
          </cell>
          <cell r="I6424">
            <v>49310000000</v>
          </cell>
        </row>
        <row r="6425">
          <cell r="A6425" t="str">
            <v>China, Macao Special Administrative Region</v>
          </cell>
          <cell r="B6425">
            <v>446</v>
          </cell>
          <cell r="C6425">
            <v>203</v>
          </cell>
          <cell r="D6425">
            <v>3</v>
          </cell>
          <cell r="E6425" t="str">
            <v>Equals: VALUE ADDED, GROSS, at basic prices</v>
          </cell>
          <cell r="F6425">
            <v>12</v>
          </cell>
          <cell r="G6425">
            <v>1996</v>
          </cell>
          <cell r="H6425">
            <v>100</v>
          </cell>
          <cell r="I6425">
            <v>48925000000</v>
          </cell>
        </row>
        <row r="6426">
          <cell r="A6426" t="str">
            <v>China, Macao Special Administrative Region</v>
          </cell>
          <cell r="B6426">
            <v>446</v>
          </cell>
          <cell r="C6426">
            <v>203</v>
          </cell>
          <cell r="D6426">
            <v>3</v>
          </cell>
          <cell r="E6426" t="str">
            <v>Equals: VALUE ADDED, GROSS, at basic prices</v>
          </cell>
          <cell r="F6426">
            <v>12</v>
          </cell>
          <cell r="G6426">
            <v>1997</v>
          </cell>
          <cell r="H6426">
            <v>100</v>
          </cell>
          <cell r="I6426">
            <v>49870000000</v>
          </cell>
        </row>
        <row r="6427">
          <cell r="A6427" t="str">
            <v>China, Macao Special Administrative Region</v>
          </cell>
          <cell r="B6427">
            <v>446</v>
          </cell>
          <cell r="C6427">
            <v>203</v>
          </cell>
          <cell r="D6427">
            <v>3</v>
          </cell>
          <cell r="E6427" t="str">
            <v>Equals: VALUE ADDED, GROSS, at basic prices</v>
          </cell>
          <cell r="F6427">
            <v>12</v>
          </cell>
          <cell r="G6427">
            <v>1998</v>
          </cell>
          <cell r="H6427">
            <v>100</v>
          </cell>
          <cell r="I6427">
            <v>46719000000</v>
          </cell>
        </row>
        <row r="6428">
          <cell r="A6428" t="str">
            <v>China, Macao Special Administrative Region</v>
          </cell>
          <cell r="B6428">
            <v>446</v>
          </cell>
          <cell r="C6428">
            <v>203</v>
          </cell>
          <cell r="D6428">
            <v>3</v>
          </cell>
          <cell r="E6428" t="str">
            <v>Equals: VALUE ADDED, GROSS, at basic prices</v>
          </cell>
          <cell r="F6428">
            <v>12</v>
          </cell>
          <cell r="G6428">
            <v>1999</v>
          </cell>
          <cell r="H6428">
            <v>100</v>
          </cell>
          <cell r="I6428">
            <v>43733000000</v>
          </cell>
        </row>
        <row r="6429">
          <cell r="A6429" t="str">
            <v>China, Macao Special Administrative Region</v>
          </cell>
          <cell r="B6429">
            <v>446</v>
          </cell>
          <cell r="C6429">
            <v>203</v>
          </cell>
          <cell r="D6429">
            <v>3</v>
          </cell>
          <cell r="E6429" t="str">
            <v>Equals: VALUE ADDED, GROSS, at basic prices</v>
          </cell>
          <cell r="F6429">
            <v>12</v>
          </cell>
          <cell r="G6429">
            <v>2000</v>
          </cell>
          <cell r="H6429">
            <v>100</v>
          </cell>
          <cell r="I6429">
            <v>44852000000</v>
          </cell>
        </row>
        <row r="6430">
          <cell r="A6430" t="str">
            <v>China, Macao Special Administrative Region</v>
          </cell>
          <cell r="B6430">
            <v>446</v>
          </cell>
          <cell r="C6430">
            <v>203</v>
          </cell>
          <cell r="D6430">
            <v>3</v>
          </cell>
          <cell r="E6430" t="str">
            <v>Equals: VALUE ADDED, GROSS, at basic prices</v>
          </cell>
          <cell r="F6430">
            <v>12</v>
          </cell>
          <cell r="G6430">
            <v>2001</v>
          </cell>
          <cell r="H6430">
            <v>100</v>
          </cell>
          <cell r="I6430">
            <v>43876000000</v>
          </cell>
        </row>
        <row r="6431">
          <cell r="A6431" t="str">
            <v>China, Macao Special Administrative Region</v>
          </cell>
          <cell r="B6431">
            <v>446</v>
          </cell>
          <cell r="C6431">
            <v>203</v>
          </cell>
          <cell r="D6431">
            <v>3</v>
          </cell>
          <cell r="E6431" t="str">
            <v>Equals: VALUE ADDED, GROSS, at basic prices</v>
          </cell>
          <cell r="F6431">
            <v>12</v>
          </cell>
          <cell r="G6431">
            <v>2002</v>
          </cell>
          <cell r="H6431">
            <v>100</v>
          </cell>
          <cell r="I6431">
            <v>46726000000</v>
          </cell>
        </row>
        <row r="6432">
          <cell r="A6432" t="str">
            <v>China, Macao Special Administrative Region</v>
          </cell>
          <cell r="B6432">
            <v>446</v>
          </cell>
          <cell r="C6432">
            <v>203</v>
          </cell>
          <cell r="D6432">
            <v>4</v>
          </cell>
          <cell r="E6432" t="str">
            <v>Compensation of employees</v>
          </cell>
          <cell r="F6432">
            <v>12</v>
          </cell>
          <cell r="G6432">
            <v>1992</v>
          </cell>
          <cell r="H6432">
            <v>100</v>
          </cell>
          <cell r="I6432">
            <v>11042000000</v>
          </cell>
        </row>
        <row r="6433">
          <cell r="A6433" t="str">
            <v>China, Macao Special Administrative Region</v>
          </cell>
          <cell r="B6433">
            <v>446</v>
          </cell>
          <cell r="C6433">
            <v>203</v>
          </cell>
          <cell r="D6433">
            <v>4</v>
          </cell>
          <cell r="E6433" t="str">
            <v>Compensation of employees</v>
          </cell>
          <cell r="F6433">
            <v>12</v>
          </cell>
          <cell r="G6433">
            <v>1993</v>
          </cell>
          <cell r="H6433">
            <v>100</v>
          </cell>
          <cell r="I6433">
            <v>11944000000</v>
          </cell>
        </row>
        <row r="6434">
          <cell r="A6434" t="str">
            <v>China, Macao Special Administrative Region</v>
          </cell>
          <cell r="B6434">
            <v>446</v>
          </cell>
          <cell r="C6434">
            <v>203</v>
          </cell>
          <cell r="D6434">
            <v>4</v>
          </cell>
          <cell r="E6434" t="str">
            <v>Compensation of employees</v>
          </cell>
          <cell r="F6434">
            <v>12</v>
          </cell>
          <cell r="G6434">
            <v>1994</v>
          </cell>
          <cell r="H6434">
            <v>100</v>
          </cell>
          <cell r="I6434">
            <v>12977000000</v>
          </cell>
        </row>
        <row r="6435">
          <cell r="A6435" t="str">
            <v>China, Macao Special Administrative Region</v>
          </cell>
          <cell r="B6435">
            <v>446</v>
          </cell>
          <cell r="C6435">
            <v>203</v>
          </cell>
          <cell r="D6435">
            <v>4</v>
          </cell>
          <cell r="E6435" t="str">
            <v>Compensation of employees</v>
          </cell>
          <cell r="F6435">
            <v>12</v>
          </cell>
          <cell r="G6435">
            <v>1995</v>
          </cell>
          <cell r="H6435">
            <v>100</v>
          </cell>
          <cell r="I6435">
            <v>14140000000</v>
          </cell>
        </row>
        <row r="6436">
          <cell r="A6436" t="str">
            <v>China, Macao Special Administrative Region</v>
          </cell>
          <cell r="B6436">
            <v>446</v>
          </cell>
          <cell r="C6436">
            <v>203</v>
          </cell>
          <cell r="D6436">
            <v>4</v>
          </cell>
          <cell r="E6436" t="str">
            <v>Compensation of employees</v>
          </cell>
          <cell r="F6436">
            <v>12</v>
          </cell>
          <cell r="G6436">
            <v>1996</v>
          </cell>
          <cell r="H6436">
            <v>100</v>
          </cell>
          <cell r="I6436">
            <v>15075000000</v>
          </cell>
        </row>
        <row r="6437">
          <cell r="A6437" t="str">
            <v>China, Macao Special Administrative Region</v>
          </cell>
          <cell r="B6437">
            <v>446</v>
          </cell>
          <cell r="C6437">
            <v>203</v>
          </cell>
          <cell r="D6437">
            <v>4</v>
          </cell>
          <cell r="E6437" t="str">
            <v>Compensation of employees</v>
          </cell>
          <cell r="F6437">
            <v>12</v>
          </cell>
          <cell r="G6437">
            <v>1997</v>
          </cell>
          <cell r="H6437">
            <v>100</v>
          </cell>
          <cell r="I6437">
            <v>15861000000</v>
          </cell>
        </row>
        <row r="6438">
          <cell r="A6438" t="str">
            <v>China, Macao Special Administrative Region</v>
          </cell>
          <cell r="B6438">
            <v>446</v>
          </cell>
          <cell r="C6438">
            <v>203</v>
          </cell>
          <cell r="D6438">
            <v>4</v>
          </cell>
          <cell r="E6438" t="str">
            <v>Compensation of employees</v>
          </cell>
          <cell r="F6438">
            <v>12</v>
          </cell>
          <cell r="G6438">
            <v>1998</v>
          </cell>
          <cell r="H6438">
            <v>100</v>
          </cell>
          <cell r="I6438">
            <v>15799000000</v>
          </cell>
        </row>
        <row r="6439">
          <cell r="A6439" t="str">
            <v>China, Macao Special Administrative Region</v>
          </cell>
          <cell r="B6439">
            <v>446</v>
          </cell>
          <cell r="C6439">
            <v>203</v>
          </cell>
          <cell r="D6439">
            <v>4</v>
          </cell>
          <cell r="E6439" t="str">
            <v>Compensation of employees</v>
          </cell>
          <cell r="F6439">
            <v>12</v>
          </cell>
          <cell r="G6439">
            <v>1999</v>
          </cell>
          <cell r="H6439">
            <v>100</v>
          </cell>
          <cell r="I6439">
            <v>15927000000</v>
          </cell>
        </row>
        <row r="6440">
          <cell r="A6440" t="str">
            <v>China, Macao Special Administrative Region</v>
          </cell>
          <cell r="B6440">
            <v>446</v>
          </cell>
          <cell r="C6440">
            <v>203</v>
          </cell>
          <cell r="D6440">
            <v>4</v>
          </cell>
          <cell r="E6440" t="str">
            <v>Compensation of employees</v>
          </cell>
          <cell r="F6440">
            <v>12</v>
          </cell>
          <cell r="G6440">
            <v>2000</v>
          </cell>
          <cell r="H6440">
            <v>100</v>
          </cell>
          <cell r="I6440">
            <v>15428000000</v>
          </cell>
        </row>
        <row r="6441">
          <cell r="A6441" t="str">
            <v>China, Macao Special Administrative Region</v>
          </cell>
          <cell r="B6441">
            <v>446</v>
          </cell>
          <cell r="C6441">
            <v>203</v>
          </cell>
          <cell r="D6441">
            <v>4</v>
          </cell>
          <cell r="E6441" t="str">
            <v>Compensation of employees</v>
          </cell>
          <cell r="F6441">
            <v>12</v>
          </cell>
          <cell r="G6441">
            <v>2001</v>
          </cell>
          <cell r="H6441">
            <v>100</v>
          </cell>
          <cell r="I6441">
            <v>15643000000</v>
          </cell>
        </row>
        <row r="6442">
          <cell r="A6442" t="str">
            <v>China, Macao Special Administrative Region</v>
          </cell>
          <cell r="B6442">
            <v>446</v>
          </cell>
          <cell r="C6442">
            <v>203</v>
          </cell>
          <cell r="D6442">
            <v>4</v>
          </cell>
          <cell r="E6442" t="str">
            <v>Compensation of employees</v>
          </cell>
          <cell r="F6442">
            <v>12</v>
          </cell>
          <cell r="G6442">
            <v>2002</v>
          </cell>
          <cell r="H6442">
            <v>100</v>
          </cell>
          <cell r="I6442">
            <v>16247000000</v>
          </cell>
        </row>
        <row r="6443">
          <cell r="A6443" t="str">
            <v>China, Macao Special Administrative Region</v>
          </cell>
          <cell r="B6443">
            <v>446</v>
          </cell>
          <cell r="C6443">
            <v>203</v>
          </cell>
          <cell r="D6443">
            <v>11</v>
          </cell>
          <cell r="E6443" t="str">
            <v>OPERATING SURPLUS, GROSS</v>
          </cell>
          <cell r="F6443">
            <v>12</v>
          </cell>
          <cell r="G6443">
            <v>1992</v>
          </cell>
          <cell r="H6443">
            <v>100</v>
          </cell>
          <cell r="I6443">
            <v>23819000000</v>
          </cell>
        </row>
        <row r="6444">
          <cell r="A6444" t="str">
            <v>China, Macao Special Administrative Region</v>
          </cell>
          <cell r="B6444">
            <v>446</v>
          </cell>
          <cell r="C6444">
            <v>203</v>
          </cell>
          <cell r="D6444">
            <v>11</v>
          </cell>
          <cell r="E6444" t="str">
            <v>OPERATING SURPLUS, GROSS</v>
          </cell>
          <cell r="F6444">
            <v>12</v>
          </cell>
          <cell r="G6444">
            <v>1993</v>
          </cell>
          <cell r="H6444">
            <v>100</v>
          </cell>
          <cell r="I6444">
            <v>27136000000</v>
          </cell>
        </row>
        <row r="6445">
          <cell r="A6445" t="str">
            <v>Germany, Federal Republic of</v>
          </cell>
          <cell r="B6445">
            <v>280</v>
          </cell>
          <cell r="C6445">
            <v>203</v>
          </cell>
          <cell r="D6445">
            <v>22</v>
          </cell>
          <cell r="E6445" t="str">
            <v>Taxes on production and imports, less Subsidies</v>
          </cell>
          <cell r="F6445">
            <v>12</v>
          </cell>
          <cell r="G6445">
            <v>1970</v>
          </cell>
          <cell r="H6445">
            <v>100</v>
          </cell>
          <cell r="I6445">
            <v>3390000000</v>
          </cell>
        </row>
        <row r="6446">
          <cell r="A6446" t="str">
            <v>Germany, Federal Republic of</v>
          </cell>
          <cell r="B6446">
            <v>280</v>
          </cell>
          <cell r="C6446">
            <v>203</v>
          </cell>
          <cell r="D6446">
            <v>22</v>
          </cell>
          <cell r="E6446" t="str">
            <v>Taxes on production and imports, less Subsidies</v>
          </cell>
          <cell r="F6446">
            <v>12</v>
          </cell>
          <cell r="G6446">
            <v>1971</v>
          </cell>
          <cell r="H6446">
            <v>100</v>
          </cell>
          <cell r="I6446">
            <v>4240000000</v>
          </cell>
        </row>
        <row r="6447">
          <cell r="A6447" t="str">
            <v>Germany, Federal Republic of</v>
          </cell>
          <cell r="B6447">
            <v>280</v>
          </cell>
          <cell r="C6447">
            <v>203</v>
          </cell>
          <cell r="D6447">
            <v>22</v>
          </cell>
          <cell r="E6447" t="str">
            <v>Taxes on production and imports, less Subsidies</v>
          </cell>
          <cell r="F6447">
            <v>12</v>
          </cell>
          <cell r="G6447">
            <v>1972</v>
          </cell>
          <cell r="H6447">
            <v>100</v>
          </cell>
          <cell r="I6447">
            <v>4600000000</v>
          </cell>
        </row>
        <row r="6448">
          <cell r="A6448" t="str">
            <v>Germany, Federal Republic of</v>
          </cell>
          <cell r="B6448">
            <v>280</v>
          </cell>
          <cell r="C6448">
            <v>203</v>
          </cell>
          <cell r="D6448">
            <v>22</v>
          </cell>
          <cell r="E6448" t="str">
            <v>Taxes on production and imports, less Subsidies</v>
          </cell>
          <cell r="F6448">
            <v>12</v>
          </cell>
          <cell r="G6448">
            <v>1973</v>
          </cell>
          <cell r="H6448">
            <v>100</v>
          </cell>
          <cell r="I6448">
            <v>5580000000</v>
          </cell>
        </row>
        <row r="6449">
          <cell r="A6449" t="str">
            <v>Germany, Federal Republic of</v>
          </cell>
          <cell r="B6449">
            <v>280</v>
          </cell>
          <cell r="C6449">
            <v>203</v>
          </cell>
          <cell r="D6449">
            <v>22</v>
          </cell>
          <cell r="E6449" t="str">
            <v>Taxes on production and imports, less Subsidies</v>
          </cell>
          <cell r="F6449">
            <v>12</v>
          </cell>
          <cell r="G6449">
            <v>1974</v>
          </cell>
          <cell r="H6449">
            <v>100</v>
          </cell>
          <cell r="I6449">
            <v>6060000000</v>
          </cell>
        </row>
        <row r="6450">
          <cell r="A6450" t="str">
            <v>Germany, Federal Republic of</v>
          </cell>
          <cell r="B6450">
            <v>280</v>
          </cell>
          <cell r="C6450">
            <v>203</v>
          </cell>
          <cell r="D6450">
            <v>22</v>
          </cell>
          <cell r="E6450" t="str">
            <v>Taxes on production and imports, less Subsidies</v>
          </cell>
          <cell r="F6450">
            <v>12</v>
          </cell>
          <cell r="G6450">
            <v>1975</v>
          </cell>
          <cell r="H6450">
            <v>100</v>
          </cell>
          <cell r="I6450">
            <v>5170000000</v>
          </cell>
        </row>
        <row r="6451">
          <cell r="A6451" t="str">
            <v>Germany, Federal Republic of</v>
          </cell>
          <cell r="B6451">
            <v>280</v>
          </cell>
          <cell r="C6451">
            <v>203</v>
          </cell>
          <cell r="D6451">
            <v>22</v>
          </cell>
          <cell r="E6451" t="str">
            <v>Taxes on production and imports, less Subsidies</v>
          </cell>
          <cell r="F6451">
            <v>12</v>
          </cell>
          <cell r="G6451">
            <v>1976</v>
          </cell>
          <cell r="H6451">
            <v>100</v>
          </cell>
          <cell r="I6451">
            <v>6050000000</v>
          </cell>
        </row>
        <row r="6452">
          <cell r="A6452" t="str">
            <v>Germany, Federal Republic of</v>
          </cell>
          <cell r="B6452">
            <v>280</v>
          </cell>
          <cell r="C6452">
            <v>203</v>
          </cell>
          <cell r="D6452">
            <v>22</v>
          </cell>
          <cell r="E6452" t="str">
            <v>Taxes on production and imports, less Subsidies</v>
          </cell>
          <cell r="F6452">
            <v>12</v>
          </cell>
          <cell r="G6452">
            <v>1977</v>
          </cell>
          <cell r="H6452">
            <v>100</v>
          </cell>
          <cell r="I6452">
            <v>6860000000</v>
          </cell>
        </row>
        <row r="6453">
          <cell r="A6453" t="str">
            <v>Germany, Federal Republic of</v>
          </cell>
          <cell r="B6453">
            <v>280</v>
          </cell>
          <cell r="C6453">
            <v>203</v>
          </cell>
          <cell r="D6453">
            <v>22</v>
          </cell>
          <cell r="E6453" t="str">
            <v>Taxes on production and imports, less Subsidies</v>
          </cell>
          <cell r="F6453">
            <v>12</v>
          </cell>
          <cell r="G6453">
            <v>1978</v>
          </cell>
          <cell r="H6453">
            <v>100</v>
          </cell>
          <cell r="I6453">
            <v>5300000000</v>
          </cell>
        </row>
        <row r="6454">
          <cell r="A6454" t="str">
            <v>Germany, Federal Republic of</v>
          </cell>
          <cell r="B6454">
            <v>280</v>
          </cell>
          <cell r="C6454">
            <v>203</v>
          </cell>
          <cell r="D6454">
            <v>22</v>
          </cell>
          <cell r="E6454" t="str">
            <v>Taxes on production and imports, less Subsidies</v>
          </cell>
          <cell r="F6454">
            <v>12</v>
          </cell>
          <cell r="G6454">
            <v>1979</v>
          </cell>
          <cell r="H6454">
            <v>100</v>
          </cell>
          <cell r="I6454">
            <v>5760000000</v>
          </cell>
        </row>
        <row r="6455">
          <cell r="A6455" t="str">
            <v>Germany, Federal Republic of</v>
          </cell>
          <cell r="B6455">
            <v>280</v>
          </cell>
          <cell r="C6455">
            <v>203</v>
          </cell>
          <cell r="D6455">
            <v>22</v>
          </cell>
          <cell r="E6455" t="str">
            <v>Taxes on production and imports, less Subsidies</v>
          </cell>
          <cell r="F6455">
            <v>12</v>
          </cell>
          <cell r="G6455">
            <v>1980</v>
          </cell>
          <cell r="H6455">
            <v>100</v>
          </cell>
          <cell r="I6455">
            <v>5560000000</v>
          </cell>
        </row>
        <row r="6456">
          <cell r="A6456" t="str">
            <v>Germany, Federal Republic of</v>
          </cell>
          <cell r="B6456">
            <v>280</v>
          </cell>
          <cell r="C6456">
            <v>203</v>
          </cell>
          <cell r="D6456">
            <v>22</v>
          </cell>
          <cell r="E6456" t="str">
            <v>Taxes on production and imports, less Subsidies</v>
          </cell>
          <cell r="F6456">
            <v>12</v>
          </cell>
          <cell r="G6456">
            <v>1981</v>
          </cell>
          <cell r="H6456">
            <v>100</v>
          </cell>
          <cell r="I6456">
            <v>4410000000</v>
          </cell>
        </row>
        <row r="6457">
          <cell r="A6457" t="str">
            <v>Germany, Federal Republic of</v>
          </cell>
          <cell r="B6457">
            <v>280</v>
          </cell>
          <cell r="C6457">
            <v>203</v>
          </cell>
          <cell r="D6457">
            <v>22</v>
          </cell>
          <cell r="E6457" t="str">
            <v>Taxes on production and imports, less Subsidies</v>
          </cell>
          <cell r="F6457">
            <v>12</v>
          </cell>
          <cell r="G6457">
            <v>1982</v>
          </cell>
          <cell r="H6457">
            <v>100</v>
          </cell>
          <cell r="I6457">
            <v>4610000000</v>
          </cell>
        </row>
        <row r="6458">
          <cell r="A6458" t="str">
            <v>Germany, Federal Republic of</v>
          </cell>
          <cell r="B6458">
            <v>280</v>
          </cell>
          <cell r="C6458">
            <v>203</v>
          </cell>
          <cell r="D6458">
            <v>22</v>
          </cell>
          <cell r="E6458" t="str">
            <v>Taxes on production and imports, less Subsidies</v>
          </cell>
          <cell r="F6458">
            <v>12</v>
          </cell>
          <cell r="G6458">
            <v>1983</v>
          </cell>
          <cell r="H6458">
            <v>100</v>
          </cell>
          <cell r="I6458">
            <v>3930000000</v>
          </cell>
        </row>
        <row r="6459">
          <cell r="A6459" t="str">
            <v>China, Macao Special Administrative Region</v>
          </cell>
          <cell r="B6459">
            <v>446</v>
          </cell>
          <cell r="C6459">
            <v>203</v>
          </cell>
          <cell r="D6459">
            <v>11</v>
          </cell>
          <cell r="E6459" t="str">
            <v>OPERATING SURPLUS, GROSS</v>
          </cell>
          <cell r="F6459">
            <v>12</v>
          </cell>
          <cell r="G6459">
            <v>1994</v>
          </cell>
          <cell r="H6459">
            <v>100</v>
          </cell>
          <cell r="I6459">
            <v>30107000000</v>
          </cell>
        </row>
        <row r="6460">
          <cell r="A6460" t="str">
            <v>China, Macao Special Administrative Region</v>
          </cell>
          <cell r="B6460">
            <v>446</v>
          </cell>
          <cell r="C6460">
            <v>203</v>
          </cell>
          <cell r="D6460">
            <v>11</v>
          </cell>
          <cell r="E6460" t="str">
            <v>OPERATING SURPLUS, GROSS</v>
          </cell>
          <cell r="F6460">
            <v>12</v>
          </cell>
          <cell r="G6460">
            <v>1995</v>
          </cell>
          <cell r="H6460">
            <v>100</v>
          </cell>
          <cell r="I6460">
            <v>33260000000</v>
          </cell>
        </row>
        <row r="6461">
          <cell r="A6461" t="str">
            <v>China, Macao Special Administrative Region</v>
          </cell>
          <cell r="B6461">
            <v>446</v>
          </cell>
          <cell r="C6461">
            <v>203</v>
          </cell>
          <cell r="D6461">
            <v>11</v>
          </cell>
          <cell r="E6461" t="str">
            <v>OPERATING SURPLUS, GROSS</v>
          </cell>
          <cell r="F6461">
            <v>12</v>
          </cell>
          <cell r="G6461">
            <v>1996</v>
          </cell>
          <cell r="H6461">
            <v>100</v>
          </cell>
          <cell r="I6461">
            <v>31640000000</v>
          </cell>
        </row>
        <row r="6462">
          <cell r="A6462" t="str">
            <v>China, Macao Special Administrative Region</v>
          </cell>
          <cell r="B6462">
            <v>446</v>
          </cell>
          <cell r="C6462">
            <v>203</v>
          </cell>
          <cell r="D6462">
            <v>11</v>
          </cell>
          <cell r="E6462" t="str">
            <v>OPERATING SURPLUS, GROSS</v>
          </cell>
          <cell r="F6462">
            <v>12</v>
          </cell>
          <cell r="G6462">
            <v>1997</v>
          </cell>
          <cell r="H6462">
            <v>100</v>
          </cell>
          <cell r="I6462">
            <v>31446000000</v>
          </cell>
        </row>
        <row r="6463">
          <cell r="A6463" t="str">
            <v>China, Macao Special Administrative Region</v>
          </cell>
          <cell r="B6463">
            <v>446</v>
          </cell>
          <cell r="C6463">
            <v>203</v>
          </cell>
          <cell r="D6463">
            <v>11</v>
          </cell>
          <cell r="E6463" t="str">
            <v>OPERATING SURPLUS, GROSS</v>
          </cell>
          <cell r="F6463">
            <v>12</v>
          </cell>
          <cell r="G6463">
            <v>1998</v>
          </cell>
          <cell r="H6463">
            <v>100</v>
          </cell>
          <cell r="I6463">
            <v>28162000000</v>
          </cell>
        </row>
        <row r="6464">
          <cell r="A6464" t="str">
            <v>China, Macao Special Administrative Region</v>
          </cell>
          <cell r="B6464">
            <v>446</v>
          </cell>
          <cell r="C6464">
            <v>203</v>
          </cell>
          <cell r="D6464">
            <v>11</v>
          </cell>
          <cell r="E6464" t="str">
            <v>OPERATING SURPLUS, GROSS</v>
          </cell>
          <cell r="F6464">
            <v>12</v>
          </cell>
          <cell r="G6464">
            <v>1999</v>
          </cell>
          <cell r="H6464">
            <v>100</v>
          </cell>
          <cell r="I6464">
            <v>25533000000</v>
          </cell>
        </row>
        <row r="6465">
          <cell r="A6465" t="str">
            <v>China, Macao Special Administrative Region</v>
          </cell>
          <cell r="B6465">
            <v>446</v>
          </cell>
          <cell r="C6465">
            <v>203</v>
          </cell>
          <cell r="D6465">
            <v>11</v>
          </cell>
          <cell r="E6465" t="str">
            <v>OPERATING SURPLUS, GROSS</v>
          </cell>
          <cell r="F6465">
            <v>12</v>
          </cell>
          <cell r="G6465">
            <v>2000</v>
          </cell>
          <cell r="H6465">
            <v>100</v>
          </cell>
          <cell r="I6465">
            <v>26997000000</v>
          </cell>
        </row>
        <row r="6466">
          <cell r="A6466" t="str">
            <v>China, Macao Special Administrative Region</v>
          </cell>
          <cell r="B6466">
            <v>446</v>
          </cell>
          <cell r="C6466">
            <v>203</v>
          </cell>
          <cell r="D6466">
            <v>11</v>
          </cell>
          <cell r="E6466" t="str">
            <v>OPERATING SURPLUS, GROSS</v>
          </cell>
          <cell r="F6466">
            <v>12</v>
          </cell>
          <cell r="G6466">
            <v>2001</v>
          </cell>
          <cell r="H6466">
            <v>100</v>
          </cell>
          <cell r="I6466">
            <v>25875000000</v>
          </cell>
        </row>
        <row r="6467">
          <cell r="A6467" t="str">
            <v>China, Macao Special Administrative Region</v>
          </cell>
          <cell r="B6467">
            <v>446</v>
          </cell>
          <cell r="C6467">
            <v>203</v>
          </cell>
          <cell r="D6467">
            <v>11</v>
          </cell>
          <cell r="E6467" t="str">
            <v>OPERATING SURPLUS, GROSS</v>
          </cell>
          <cell r="F6467">
            <v>12</v>
          </cell>
          <cell r="G6467">
            <v>2002</v>
          </cell>
          <cell r="H6467">
            <v>100</v>
          </cell>
          <cell r="I6467">
            <v>28136000000</v>
          </cell>
        </row>
        <row r="6468">
          <cell r="A6468" t="str">
            <v>Germany, Federal Republic of</v>
          </cell>
          <cell r="B6468">
            <v>280</v>
          </cell>
          <cell r="C6468">
            <v>203</v>
          </cell>
          <cell r="D6468">
            <v>22</v>
          </cell>
          <cell r="E6468" t="str">
            <v>Taxes on production and imports, less Subsidies</v>
          </cell>
          <cell r="F6468">
            <v>12</v>
          </cell>
          <cell r="G6468">
            <v>1984</v>
          </cell>
          <cell r="H6468">
            <v>100</v>
          </cell>
          <cell r="I6468">
            <v>3900000000</v>
          </cell>
        </row>
        <row r="6469">
          <cell r="A6469" t="str">
            <v>Germany, Federal Republic of</v>
          </cell>
          <cell r="B6469">
            <v>280</v>
          </cell>
          <cell r="C6469">
            <v>203</v>
          </cell>
          <cell r="D6469">
            <v>22</v>
          </cell>
          <cell r="E6469" t="str">
            <v>Taxes on production and imports, less Subsidies</v>
          </cell>
          <cell r="F6469">
            <v>12</v>
          </cell>
          <cell r="G6469">
            <v>1985</v>
          </cell>
          <cell r="H6469">
            <v>100</v>
          </cell>
          <cell r="I6469">
            <v>3780000000</v>
          </cell>
        </row>
        <row r="6470">
          <cell r="A6470" t="str">
            <v>Germany, Federal Republic of</v>
          </cell>
          <cell r="B6470">
            <v>280</v>
          </cell>
          <cell r="C6470">
            <v>203</v>
          </cell>
          <cell r="D6470">
            <v>22</v>
          </cell>
          <cell r="E6470" t="str">
            <v>Taxes on production and imports, less Subsidies</v>
          </cell>
          <cell r="F6470">
            <v>12</v>
          </cell>
          <cell r="G6470">
            <v>1986</v>
          </cell>
          <cell r="H6470">
            <v>100</v>
          </cell>
          <cell r="I6470">
            <v>3240000000</v>
          </cell>
        </row>
        <row r="6471">
          <cell r="A6471" t="str">
            <v>Germany, Federal Republic of</v>
          </cell>
          <cell r="B6471">
            <v>280</v>
          </cell>
          <cell r="C6471">
            <v>203</v>
          </cell>
          <cell r="D6471">
            <v>22</v>
          </cell>
          <cell r="E6471" t="str">
            <v>Taxes on production and imports, less Subsidies</v>
          </cell>
          <cell r="F6471">
            <v>12</v>
          </cell>
          <cell r="G6471">
            <v>1987</v>
          </cell>
          <cell r="H6471">
            <v>100</v>
          </cell>
          <cell r="I6471">
            <v>1100000000</v>
          </cell>
        </row>
        <row r="6472">
          <cell r="A6472" t="str">
            <v>Germany, Federal Republic of</v>
          </cell>
          <cell r="B6472">
            <v>280</v>
          </cell>
          <cell r="C6472">
            <v>203</v>
          </cell>
          <cell r="D6472">
            <v>22</v>
          </cell>
          <cell r="E6472" t="str">
            <v>Taxes on production and imports, less Subsidies</v>
          </cell>
          <cell r="F6472">
            <v>12</v>
          </cell>
          <cell r="G6472">
            <v>1988</v>
          </cell>
          <cell r="H6472">
            <v>100</v>
          </cell>
          <cell r="I6472">
            <v>1850000000</v>
          </cell>
        </row>
        <row r="6473">
          <cell r="A6473" t="str">
            <v>Germany, Federal Republic of</v>
          </cell>
          <cell r="B6473">
            <v>280</v>
          </cell>
          <cell r="C6473">
            <v>203</v>
          </cell>
          <cell r="D6473">
            <v>22</v>
          </cell>
          <cell r="E6473" t="str">
            <v>Taxes on production and imports, less Subsidies</v>
          </cell>
          <cell r="F6473">
            <v>12</v>
          </cell>
          <cell r="G6473">
            <v>1989</v>
          </cell>
          <cell r="H6473">
            <v>100</v>
          </cell>
          <cell r="I6473">
            <v>3370000000</v>
          </cell>
        </row>
        <row r="6474">
          <cell r="A6474" t="str">
            <v>Germany, Federal Republic of</v>
          </cell>
          <cell r="B6474">
            <v>280</v>
          </cell>
          <cell r="C6474">
            <v>203</v>
          </cell>
          <cell r="D6474">
            <v>22</v>
          </cell>
          <cell r="E6474" t="str">
            <v>Taxes on production and imports, less Subsidies</v>
          </cell>
          <cell r="F6474">
            <v>12</v>
          </cell>
          <cell r="G6474">
            <v>1990</v>
          </cell>
          <cell r="H6474">
            <v>100</v>
          </cell>
          <cell r="I6474">
            <v>5090000000</v>
          </cell>
        </row>
        <row r="6475">
          <cell r="A6475" t="str">
            <v>Germany, Federal Republic of</v>
          </cell>
          <cell r="B6475">
            <v>280</v>
          </cell>
          <cell r="C6475">
            <v>203</v>
          </cell>
          <cell r="D6475">
            <v>22</v>
          </cell>
          <cell r="E6475" t="str">
            <v>Taxes on production and imports, less Subsidies</v>
          </cell>
          <cell r="F6475">
            <v>12</v>
          </cell>
          <cell r="G6475">
            <v>1991</v>
          </cell>
          <cell r="H6475">
            <v>100</v>
          </cell>
          <cell r="I6475">
            <v>5630000000</v>
          </cell>
        </row>
        <row r="6476">
          <cell r="A6476" t="str">
            <v>Germany, Federal Republic of</v>
          </cell>
          <cell r="B6476">
            <v>280</v>
          </cell>
          <cell r="C6476">
            <v>203</v>
          </cell>
          <cell r="D6476">
            <v>22</v>
          </cell>
          <cell r="E6476" t="str">
            <v>Taxes on production and imports, less Subsidies</v>
          </cell>
          <cell r="F6476">
            <v>12</v>
          </cell>
          <cell r="G6476">
            <v>1993</v>
          </cell>
          <cell r="H6476">
            <v>30</v>
          </cell>
          <cell r="I6476">
            <v>104400000000</v>
          </cell>
        </row>
        <row r="6477">
          <cell r="A6477" t="str">
            <v>Germany, Federal Republic of</v>
          </cell>
          <cell r="B6477">
            <v>280</v>
          </cell>
          <cell r="C6477">
            <v>203</v>
          </cell>
          <cell r="D6477">
            <v>22</v>
          </cell>
          <cell r="E6477" t="str">
            <v>Taxes on production and imports, less Subsidies</v>
          </cell>
          <cell r="F6477">
            <v>12</v>
          </cell>
          <cell r="G6477">
            <v>1994</v>
          </cell>
          <cell r="H6477">
            <v>30</v>
          </cell>
          <cell r="I6477">
            <v>112030000000</v>
          </cell>
        </row>
        <row r="6478">
          <cell r="A6478" t="str">
            <v>Malaysia</v>
          </cell>
          <cell r="B6478">
            <v>458</v>
          </cell>
          <cell r="C6478">
            <v>201</v>
          </cell>
          <cell r="D6478">
            <v>13</v>
          </cell>
          <cell r="E6478" t="str">
            <v>Less: Financial intermediation services indirectly measured (FISIM) (only to be deducted if FISIM is not distributed to uses)</v>
          </cell>
          <cell r="F6478">
            <v>0</v>
          </cell>
          <cell r="G6478">
            <v>1969</v>
          </cell>
          <cell r="H6478">
            <v>20</v>
          </cell>
          <cell r="I6478">
            <v>89000000</v>
          </cell>
        </row>
        <row r="6479">
          <cell r="A6479" t="str">
            <v>Malaysia</v>
          </cell>
          <cell r="B6479">
            <v>458</v>
          </cell>
          <cell r="C6479">
            <v>201</v>
          </cell>
          <cell r="D6479">
            <v>13</v>
          </cell>
          <cell r="E6479" t="str">
            <v>Less: Financial intermediation services indirectly measured (FISIM) (only to be deducted if FISIM is not distributed to uses)</v>
          </cell>
          <cell r="F6479">
            <v>0</v>
          </cell>
          <cell r="G6479">
            <v>1970</v>
          </cell>
          <cell r="H6479">
            <v>20</v>
          </cell>
          <cell r="I6479">
            <v>106000000</v>
          </cell>
        </row>
        <row r="6480">
          <cell r="A6480" t="str">
            <v>Malaysia</v>
          </cell>
          <cell r="B6480">
            <v>458</v>
          </cell>
          <cell r="C6480">
            <v>201</v>
          </cell>
          <cell r="D6480">
            <v>13</v>
          </cell>
          <cell r="E6480" t="str">
            <v>Less: Financial intermediation services indirectly measured (FISIM) (only to be deducted if FISIM is not distributed to uses)</v>
          </cell>
          <cell r="F6480">
            <v>0</v>
          </cell>
          <cell r="G6480">
            <v>1971</v>
          </cell>
          <cell r="H6480">
            <v>20</v>
          </cell>
          <cell r="I6480">
            <v>143000000</v>
          </cell>
        </row>
        <row r="6481">
          <cell r="A6481" t="str">
            <v>Malaysia</v>
          </cell>
          <cell r="B6481">
            <v>458</v>
          </cell>
          <cell r="C6481">
            <v>201</v>
          </cell>
          <cell r="D6481">
            <v>13</v>
          </cell>
          <cell r="E6481" t="str">
            <v>Less: Financial intermediation services indirectly measured (FISIM) (only to be deducted if FISIM is not distributed to uses)</v>
          </cell>
          <cell r="F6481">
            <v>0</v>
          </cell>
          <cell r="G6481">
            <v>1973</v>
          </cell>
          <cell r="H6481">
            <v>20</v>
          </cell>
          <cell r="I6481">
            <v>217000000</v>
          </cell>
        </row>
        <row r="6482">
          <cell r="A6482" t="str">
            <v>Malaysia</v>
          </cell>
          <cell r="B6482">
            <v>458</v>
          </cell>
          <cell r="C6482">
            <v>201</v>
          </cell>
          <cell r="D6482">
            <v>13</v>
          </cell>
          <cell r="E6482" t="str">
            <v>Less: Financial intermediation services indirectly measured (FISIM) (only to be deducted if FISIM is not distributed to uses)</v>
          </cell>
          <cell r="F6482">
            <v>0</v>
          </cell>
          <cell r="G6482">
            <v>1978</v>
          </cell>
          <cell r="H6482">
            <v>20</v>
          </cell>
          <cell r="I6482">
            <v>585000000</v>
          </cell>
        </row>
        <row r="6483">
          <cell r="A6483" t="str">
            <v>Malaysia</v>
          </cell>
          <cell r="B6483">
            <v>458</v>
          </cell>
          <cell r="C6483">
            <v>201</v>
          </cell>
          <cell r="D6483">
            <v>13</v>
          </cell>
          <cell r="E6483" t="str">
            <v>Less: Financial intermediation services indirectly measured (FISIM) (only to be deducted if FISIM is not distributed to uses)</v>
          </cell>
          <cell r="F6483">
            <v>0</v>
          </cell>
          <cell r="G6483">
            <v>1983</v>
          </cell>
          <cell r="H6483">
            <v>20</v>
          </cell>
          <cell r="I6483">
            <v>1895000000</v>
          </cell>
        </row>
        <row r="6484">
          <cell r="A6484" t="str">
            <v>Malaysia</v>
          </cell>
          <cell r="B6484">
            <v>458</v>
          </cell>
          <cell r="C6484">
            <v>201</v>
          </cell>
          <cell r="D6484">
            <v>13</v>
          </cell>
          <cell r="E6484" t="str">
            <v>Less: Financial intermediation services indirectly measured (FISIM) (only to be deducted if FISIM is not distributed to uses)</v>
          </cell>
          <cell r="F6484">
            <v>0</v>
          </cell>
          <cell r="G6484">
            <v>1989</v>
          </cell>
          <cell r="H6484">
            <v>20</v>
          </cell>
          <cell r="I6484">
            <v>5597000000</v>
          </cell>
        </row>
        <row r="6485">
          <cell r="A6485" t="str">
            <v>Malaysia</v>
          </cell>
          <cell r="B6485">
            <v>458</v>
          </cell>
          <cell r="C6485">
            <v>201</v>
          </cell>
          <cell r="D6485">
            <v>13</v>
          </cell>
          <cell r="E6485" t="str">
            <v>Less: Financial intermediation services indirectly measured (FISIM) (only to be deducted if FISIM is not distributed to uses)</v>
          </cell>
          <cell r="F6485">
            <v>0</v>
          </cell>
          <cell r="G6485">
            <v>1990</v>
          </cell>
          <cell r="H6485">
            <v>20</v>
          </cell>
          <cell r="I6485">
            <v>6220000000</v>
          </cell>
        </row>
        <row r="6486">
          <cell r="A6486" t="str">
            <v>Malaysia</v>
          </cell>
          <cell r="B6486">
            <v>458</v>
          </cell>
          <cell r="C6486">
            <v>201</v>
          </cell>
          <cell r="D6486">
            <v>13</v>
          </cell>
          <cell r="E6486" t="str">
            <v>Less: Financial intermediation services indirectly measured (FISIM) (only to be deducted if FISIM is not distributed to uses)</v>
          </cell>
          <cell r="F6486">
            <v>0</v>
          </cell>
          <cell r="G6486">
            <v>1991</v>
          </cell>
          <cell r="H6486">
            <v>20</v>
          </cell>
          <cell r="I6486">
            <v>6884000000</v>
          </cell>
        </row>
        <row r="6487">
          <cell r="A6487" t="str">
            <v>Malaysia</v>
          </cell>
          <cell r="B6487">
            <v>458</v>
          </cell>
          <cell r="C6487">
            <v>201</v>
          </cell>
          <cell r="D6487">
            <v>13</v>
          </cell>
          <cell r="E6487" t="str">
            <v>Less: Financial intermediation services indirectly measured (FISIM) (only to be deducted if FISIM is not distributed to uses)</v>
          </cell>
          <cell r="F6487">
            <v>0</v>
          </cell>
          <cell r="G6487">
            <v>1992</v>
          </cell>
          <cell r="H6487">
            <v>20</v>
          </cell>
          <cell r="I6487">
            <v>7707000000</v>
          </cell>
        </row>
        <row r="6488">
          <cell r="A6488" t="str">
            <v>Malaysia</v>
          </cell>
          <cell r="B6488">
            <v>458</v>
          </cell>
          <cell r="C6488">
            <v>201</v>
          </cell>
          <cell r="D6488">
            <v>13</v>
          </cell>
          <cell r="E6488" t="str">
            <v>Less: Financial intermediation services indirectly measured (FISIM) (only to be deducted if FISIM is not distributed to uses)</v>
          </cell>
          <cell r="F6488">
            <v>0</v>
          </cell>
          <cell r="G6488">
            <v>1993</v>
          </cell>
          <cell r="H6488">
            <v>20</v>
          </cell>
          <cell r="I6488">
            <v>9253000000</v>
          </cell>
        </row>
        <row r="6489">
          <cell r="A6489" t="str">
            <v>Malaysia</v>
          </cell>
          <cell r="B6489">
            <v>458</v>
          </cell>
          <cell r="C6489">
            <v>201</v>
          </cell>
          <cell r="D6489">
            <v>13</v>
          </cell>
          <cell r="E6489" t="str">
            <v>Less: Financial intermediation services indirectly measured (FISIM) (only to be deducted if FISIM is not distributed to uses)</v>
          </cell>
          <cell r="F6489">
            <v>0</v>
          </cell>
          <cell r="G6489">
            <v>1994</v>
          </cell>
          <cell r="H6489">
            <v>20</v>
          </cell>
          <cell r="I6489">
            <v>10618000000</v>
          </cell>
        </row>
        <row r="6490">
          <cell r="A6490" t="str">
            <v>Malaysia</v>
          </cell>
          <cell r="B6490">
            <v>458</v>
          </cell>
          <cell r="C6490">
            <v>201</v>
          </cell>
          <cell r="D6490">
            <v>13</v>
          </cell>
          <cell r="E6490" t="str">
            <v>Less: Financial intermediation services indirectly measured (FISIM) (only to be deducted if FISIM is not distributed to uses)</v>
          </cell>
          <cell r="F6490">
            <v>0</v>
          </cell>
          <cell r="G6490">
            <v>1995</v>
          </cell>
          <cell r="H6490">
            <v>20</v>
          </cell>
          <cell r="I6490">
            <v>12529000000</v>
          </cell>
        </row>
        <row r="6491">
          <cell r="A6491" t="str">
            <v>Malaysia</v>
          </cell>
          <cell r="B6491">
            <v>458</v>
          </cell>
          <cell r="C6491">
            <v>201</v>
          </cell>
          <cell r="D6491">
            <v>13</v>
          </cell>
          <cell r="E6491" t="str">
            <v>Less: Financial intermediation services indirectly measured (FISIM) (only to be deducted if FISIM is not distributed to uses)</v>
          </cell>
          <cell r="F6491">
            <v>0</v>
          </cell>
          <cell r="G6491">
            <v>1996</v>
          </cell>
          <cell r="H6491">
            <v>20</v>
          </cell>
          <cell r="I6491">
            <v>16057000000</v>
          </cell>
        </row>
        <row r="6492">
          <cell r="A6492" t="str">
            <v>Malaysia</v>
          </cell>
          <cell r="B6492">
            <v>458</v>
          </cell>
          <cell r="C6492">
            <v>201</v>
          </cell>
          <cell r="D6492">
            <v>13</v>
          </cell>
          <cell r="E6492" t="str">
            <v>Less: Financial intermediation services indirectly measured (FISIM) (only to be deducted if FISIM is not distributed to uses)</v>
          </cell>
          <cell r="F6492">
            <v>0</v>
          </cell>
          <cell r="G6492">
            <v>1997</v>
          </cell>
          <cell r="H6492">
            <v>20</v>
          </cell>
          <cell r="I6492">
            <v>19858000000</v>
          </cell>
        </row>
        <row r="6493">
          <cell r="A6493" t="str">
            <v>Malaysia</v>
          </cell>
          <cell r="B6493">
            <v>458</v>
          </cell>
          <cell r="C6493">
            <v>201</v>
          </cell>
          <cell r="D6493">
            <v>13</v>
          </cell>
          <cell r="E6493" t="str">
            <v>Less: Financial intermediation services indirectly measured (FISIM) (only to be deducted if FISIM is not distributed to uses)</v>
          </cell>
          <cell r="F6493">
            <v>0</v>
          </cell>
          <cell r="G6493">
            <v>1998</v>
          </cell>
          <cell r="H6493">
            <v>20</v>
          </cell>
          <cell r="I6493">
            <v>22760000000</v>
          </cell>
        </row>
        <row r="6494">
          <cell r="A6494" t="str">
            <v>Malaysia</v>
          </cell>
          <cell r="B6494">
            <v>458</v>
          </cell>
          <cell r="C6494">
            <v>201</v>
          </cell>
          <cell r="D6494">
            <v>13</v>
          </cell>
          <cell r="E6494" t="str">
            <v>Less: Financial intermediation services indirectly measured (FISIM) (only to be deducted if FISIM is not distributed to uses)</v>
          </cell>
          <cell r="F6494">
            <v>0</v>
          </cell>
          <cell r="G6494">
            <v>1999</v>
          </cell>
          <cell r="H6494">
            <v>20</v>
          </cell>
          <cell r="I6494">
            <v>22052000000</v>
          </cell>
        </row>
        <row r="6495">
          <cell r="A6495" t="str">
            <v>Malaysia</v>
          </cell>
          <cell r="B6495">
            <v>458</v>
          </cell>
          <cell r="C6495">
            <v>201</v>
          </cell>
          <cell r="D6495">
            <v>13</v>
          </cell>
          <cell r="E6495" t="str">
            <v>Less: Financial intermediation services indirectly measured (FISIM) (only to be deducted if FISIM is not distributed to uses)</v>
          </cell>
          <cell r="F6495">
            <v>0</v>
          </cell>
          <cell r="G6495">
            <v>2000</v>
          </cell>
          <cell r="H6495">
            <v>20</v>
          </cell>
          <cell r="I6495">
            <v>21950000000</v>
          </cell>
        </row>
        <row r="6496">
          <cell r="A6496" t="str">
            <v>Malaysia</v>
          </cell>
          <cell r="B6496">
            <v>458</v>
          </cell>
          <cell r="C6496">
            <v>201</v>
          </cell>
          <cell r="D6496">
            <v>13</v>
          </cell>
          <cell r="E6496" t="str">
            <v>Less: Financial intermediation services indirectly measured (FISIM) (only to be deducted if FISIM is not distributed to uses)</v>
          </cell>
          <cell r="F6496">
            <v>0</v>
          </cell>
          <cell r="G6496">
            <v>2001</v>
          </cell>
          <cell r="H6496">
            <v>20</v>
          </cell>
          <cell r="I6496">
            <v>21925000000</v>
          </cell>
        </row>
        <row r="6497">
          <cell r="A6497" t="str">
            <v>Malaysia</v>
          </cell>
          <cell r="B6497">
            <v>458</v>
          </cell>
          <cell r="C6497">
            <v>201</v>
          </cell>
          <cell r="D6497">
            <v>13</v>
          </cell>
          <cell r="E6497" t="str">
            <v>Less: Financial intermediation services indirectly measured (FISIM) (only to be deducted if FISIM is not distributed to uses)</v>
          </cell>
          <cell r="F6497">
            <v>0</v>
          </cell>
          <cell r="G6497">
            <v>2002</v>
          </cell>
          <cell r="H6497">
            <v>20</v>
          </cell>
          <cell r="I6497">
            <v>23749000000</v>
          </cell>
        </row>
        <row r="6498">
          <cell r="A6498" t="str">
            <v>Malaysia</v>
          </cell>
          <cell r="B6498">
            <v>458</v>
          </cell>
          <cell r="C6498">
            <v>201</v>
          </cell>
          <cell r="D6498">
            <v>13</v>
          </cell>
          <cell r="E6498" t="str">
            <v>Less: Financial intermediation services indirectly measured (FISIM) (only to be deducted if FISIM is not distributed to uses)</v>
          </cell>
          <cell r="F6498">
            <v>0</v>
          </cell>
          <cell r="G6498">
            <v>2003</v>
          </cell>
          <cell r="H6498">
            <v>20</v>
          </cell>
          <cell r="I6498">
            <v>23891000000</v>
          </cell>
        </row>
        <row r="6499">
          <cell r="A6499" t="str">
            <v>Greece</v>
          </cell>
          <cell r="B6499">
            <v>300</v>
          </cell>
          <cell r="C6499">
            <v>201</v>
          </cell>
          <cell r="D6499">
            <v>13</v>
          </cell>
          <cell r="E6499" t="str">
            <v>Less: Financial intermediation services indirectly measured (FISIM) (only to be deducted if FISIM is not distributed to uses)</v>
          </cell>
          <cell r="F6499">
            <v>0</v>
          </cell>
          <cell r="G6499">
            <v>1991</v>
          </cell>
          <cell r="H6499">
            <v>200</v>
          </cell>
          <cell r="I6499">
            <v>1351800000</v>
          </cell>
        </row>
        <row r="6500">
          <cell r="A6500" t="str">
            <v>Greece</v>
          </cell>
          <cell r="B6500">
            <v>300</v>
          </cell>
          <cell r="C6500">
            <v>201</v>
          </cell>
          <cell r="D6500">
            <v>13</v>
          </cell>
          <cell r="E6500" t="str">
            <v>Less: Financial intermediation services indirectly measured (FISIM) (only to be deducted if FISIM is not distributed to uses)</v>
          </cell>
          <cell r="F6500">
            <v>0</v>
          </cell>
          <cell r="G6500">
            <v>1992</v>
          </cell>
          <cell r="H6500">
            <v>200</v>
          </cell>
          <cell r="I6500">
            <v>1530000000</v>
          </cell>
        </row>
        <row r="6501">
          <cell r="A6501" t="str">
            <v>Greece</v>
          </cell>
          <cell r="B6501">
            <v>300</v>
          </cell>
          <cell r="C6501">
            <v>201</v>
          </cell>
          <cell r="D6501">
            <v>13</v>
          </cell>
          <cell r="E6501" t="str">
            <v>Less: Financial intermediation services indirectly measured (FISIM) (only to be deducted if FISIM is not distributed to uses)</v>
          </cell>
          <cell r="F6501">
            <v>0</v>
          </cell>
          <cell r="G6501">
            <v>1993</v>
          </cell>
          <cell r="H6501">
            <v>200</v>
          </cell>
          <cell r="I6501">
            <v>1753200000</v>
          </cell>
        </row>
        <row r="6502">
          <cell r="A6502" t="str">
            <v>Greece</v>
          </cell>
          <cell r="B6502">
            <v>300</v>
          </cell>
          <cell r="C6502">
            <v>201</v>
          </cell>
          <cell r="D6502">
            <v>13</v>
          </cell>
          <cell r="E6502" t="str">
            <v>Less: Financial intermediation services indirectly measured (FISIM) (only to be deducted if FISIM is not distributed to uses)</v>
          </cell>
          <cell r="F6502">
            <v>0</v>
          </cell>
          <cell r="G6502">
            <v>1994</v>
          </cell>
          <cell r="H6502">
            <v>200</v>
          </cell>
          <cell r="I6502">
            <v>1951000000</v>
          </cell>
        </row>
        <row r="6503">
          <cell r="A6503" t="str">
            <v>Greece</v>
          </cell>
          <cell r="B6503">
            <v>300</v>
          </cell>
          <cell r="C6503">
            <v>201</v>
          </cell>
          <cell r="D6503">
            <v>13</v>
          </cell>
          <cell r="E6503" t="str">
            <v>Less: Financial intermediation services indirectly measured (FISIM) (only to be deducted if FISIM is not distributed to uses)</v>
          </cell>
          <cell r="F6503">
            <v>0</v>
          </cell>
          <cell r="G6503">
            <v>1995</v>
          </cell>
          <cell r="H6503">
            <v>200</v>
          </cell>
          <cell r="I6503">
            <v>2175000000</v>
          </cell>
        </row>
        <row r="6504">
          <cell r="A6504" t="str">
            <v>Greece</v>
          </cell>
          <cell r="B6504">
            <v>300</v>
          </cell>
          <cell r="C6504">
            <v>201</v>
          </cell>
          <cell r="D6504">
            <v>13</v>
          </cell>
          <cell r="E6504" t="str">
            <v>Less: Financial intermediation services indirectly measured (FISIM) (only to be deducted if FISIM is not distributed to uses)</v>
          </cell>
          <cell r="F6504">
            <v>0</v>
          </cell>
          <cell r="G6504">
            <v>1996</v>
          </cell>
          <cell r="H6504">
            <v>200</v>
          </cell>
          <cell r="I6504">
            <v>2443000000</v>
          </cell>
        </row>
        <row r="6505">
          <cell r="A6505" t="str">
            <v>Greece</v>
          </cell>
          <cell r="B6505">
            <v>300</v>
          </cell>
          <cell r="C6505">
            <v>201</v>
          </cell>
          <cell r="D6505">
            <v>13</v>
          </cell>
          <cell r="E6505" t="str">
            <v>Less: Financial intermediation services indirectly measured (FISIM) (only to be deducted if FISIM is not distributed to uses)</v>
          </cell>
          <cell r="F6505">
            <v>0</v>
          </cell>
          <cell r="G6505">
            <v>1997</v>
          </cell>
          <cell r="H6505">
            <v>200</v>
          </cell>
          <cell r="I6505">
            <v>2624000000</v>
          </cell>
        </row>
        <row r="6506">
          <cell r="A6506" t="str">
            <v>Greece</v>
          </cell>
          <cell r="B6506">
            <v>300</v>
          </cell>
          <cell r="C6506">
            <v>201</v>
          </cell>
          <cell r="D6506">
            <v>13</v>
          </cell>
          <cell r="E6506" t="str">
            <v>Less: Financial intermediation services indirectly measured (FISIM) (only to be deducted if FISIM is not distributed to uses)</v>
          </cell>
          <cell r="F6506">
            <v>0</v>
          </cell>
          <cell r="G6506">
            <v>1998</v>
          </cell>
          <cell r="H6506">
            <v>200</v>
          </cell>
          <cell r="I6506">
            <v>3250000000</v>
          </cell>
        </row>
        <row r="6507">
          <cell r="A6507" t="str">
            <v>Greece</v>
          </cell>
          <cell r="B6507">
            <v>300</v>
          </cell>
          <cell r="C6507">
            <v>201</v>
          </cell>
          <cell r="D6507">
            <v>13</v>
          </cell>
          <cell r="E6507" t="str">
            <v>Less: Financial intermediation services indirectly measured (FISIM) (only to be deducted if FISIM is not distributed to uses)</v>
          </cell>
          <cell r="F6507">
            <v>0</v>
          </cell>
          <cell r="G6507">
            <v>1999</v>
          </cell>
          <cell r="H6507">
            <v>200</v>
          </cell>
          <cell r="I6507">
            <v>3419000000</v>
          </cell>
        </row>
        <row r="6508">
          <cell r="A6508" t="str">
            <v>Greece</v>
          </cell>
          <cell r="B6508">
            <v>300</v>
          </cell>
          <cell r="C6508">
            <v>201</v>
          </cell>
          <cell r="D6508">
            <v>13</v>
          </cell>
          <cell r="E6508" t="str">
            <v>Less: Financial intermediation services indirectly measured (FISIM) (only to be deducted if FISIM is not distributed to uses)</v>
          </cell>
          <cell r="F6508">
            <v>0</v>
          </cell>
          <cell r="G6508">
            <v>2000</v>
          </cell>
          <cell r="H6508">
            <v>200</v>
          </cell>
          <cell r="I6508">
            <v>4018000000</v>
          </cell>
        </row>
        <row r="6509">
          <cell r="A6509" t="str">
            <v>Greece</v>
          </cell>
          <cell r="B6509">
            <v>300</v>
          </cell>
          <cell r="C6509">
            <v>201</v>
          </cell>
          <cell r="D6509">
            <v>13</v>
          </cell>
          <cell r="E6509" t="str">
            <v>Less: Financial intermediation services indirectly measured (FISIM) (only to be deducted if FISIM is not distributed to uses)</v>
          </cell>
          <cell r="F6509">
            <v>0</v>
          </cell>
          <cell r="G6509">
            <v>2001</v>
          </cell>
          <cell r="H6509">
            <v>200</v>
          </cell>
          <cell r="I6509">
            <v>4620000000</v>
          </cell>
        </row>
        <row r="6510">
          <cell r="A6510" t="str">
            <v>Greece</v>
          </cell>
          <cell r="B6510">
            <v>300</v>
          </cell>
          <cell r="C6510">
            <v>201</v>
          </cell>
          <cell r="D6510">
            <v>13</v>
          </cell>
          <cell r="E6510" t="str">
            <v>Less: Financial intermediation services indirectly measured (FISIM) (only to be deducted if FISIM is not distributed to uses)</v>
          </cell>
          <cell r="F6510">
            <v>0</v>
          </cell>
          <cell r="G6510">
            <v>2002</v>
          </cell>
          <cell r="H6510">
            <v>200</v>
          </cell>
          <cell r="I6510">
            <v>4760000000</v>
          </cell>
        </row>
        <row r="6511">
          <cell r="A6511" t="str">
            <v>Greece</v>
          </cell>
          <cell r="B6511">
            <v>300</v>
          </cell>
          <cell r="C6511">
            <v>201</v>
          </cell>
          <cell r="D6511">
            <v>13</v>
          </cell>
          <cell r="E6511" t="str">
            <v>Less: Financial intermediation services indirectly measured (FISIM) (only to be deducted if FISIM is not distributed to uses)</v>
          </cell>
          <cell r="F6511">
            <v>0</v>
          </cell>
          <cell r="G6511">
            <v>2003</v>
          </cell>
          <cell r="H6511">
            <v>200</v>
          </cell>
          <cell r="I6511">
            <v>5500000000</v>
          </cell>
        </row>
        <row r="6512">
          <cell r="A6512" t="str">
            <v>Malaysia</v>
          </cell>
          <cell r="B6512">
            <v>458</v>
          </cell>
          <cell r="C6512">
            <v>203</v>
          </cell>
          <cell r="D6512">
            <v>3</v>
          </cell>
          <cell r="E6512" t="str">
            <v>Equals: VALUE ADDED, GROSS, at basic prices</v>
          </cell>
          <cell r="F6512">
            <v>12</v>
          </cell>
          <cell r="G6512">
            <v>1970</v>
          </cell>
          <cell r="H6512">
            <v>20</v>
          </cell>
          <cell r="I6512">
            <v>10224000000</v>
          </cell>
        </row>
        <row r="6513">
          <cell r="A6513" t="str">
            <v>Malaysia</v>
          </cell>
          <cell r="B6513">
            <v>458</v>
          </cell>
          <cell r="C6513">
            <v>203</v>
          </cell>
          <cell r="D6513">
            <v>3</v>
          </cell>
          <cell r="E6513" t="str">
            <v>Equals: VALUE ADDED, GROSS, at basic prices</v>
          </cell>
          <cell r="F6513">
            <v>12</v>
          </cell>
          <cell r="G6513">
            <v>1971</v>
          </cell>
          <cell r="H6513">
            <v>20</v>
          </cell>
          <cell r="I6513">
            <v>12494000000</v>
          </cell>
        </row>
        <row r="6514">
          <cell r="A6514" t="str">
            <v>Malaysia</v>
          </cell>
          <cell r="B6514">
            <v>458</v>
          </cell>
          <cell r="C6514">
            <v>203</v>
          </cell>
          <cell r="D6514">
            <v>3</v>
          </cell>
          <cell r="E6514" t="str">
            <v>Equals: VALUE ADDED, GROSS, at basic prices</v>
          </cell>
          <cell r="F6514">
            <v>12</v>
          </cell>
          <cell r="G6514">
            <v>1973</v>
          </cell>
          <cell r="H6514">
            <v>20</v>
          </cell>
          <cell r="I6514">
            <v>18045000000</v>
          </cell>
        </row>
        <row r="6515">
          <cell r="A6515" t="str">
            <v>Malaysia</v>
          </cell>
          <cell r="B6515">
            <v>458</v>
          </cell>
          <cell r="C6515">
            <v>203</v>
          </cell>
          <cell r="D6515">
            <v>3</v>
          </cell>
          <cell r="E6515" t="str">
            <v>Equals: VALUE ADDED, GROSS, at basic prices</v>
          </cell>
          <cell r="F6515">
            <v>12</v>
          </cell>
          <cell r="G6515">
            <v>1978</v>
          </cell>
          <cell r="H6515">
            <v>20</v>
          </cell>
          <cell r="I6515">
            <v>36921000000</v>
          </cell>
        </row>
        <row r="6516">
          <cell r="A6516" t="str">
            <v>Malaysia</v>
          </cell>
          <cell r="B6516">
            <v>458</v>
          </cell>
          <cell r="C6516">
            <v>203</v>
          </cell>
          <cell r="D6516">
            <v>3</v>
          </cell>
          <cell r="E6516" t="str">
            <v>Equals: VALUE ADDED, GROSS, at basic prices</v>
          </cell>
          <cell r="F6516">
            <v>12</v>
          </cell>
          <cell r="G6516">
            <v>1983</v>
          </cell>
          <cell r="H6516">
            <v>20</v>
          </cell>
          <cell r="I6516">
            <v>68690000000</v>
          </cell>
        </row>
        <row r="6517">
          <cell r="A6517" t="str">
            <v>Malaysia</v>
          </cell>
          <cell r="B6517">
            <v>458</v>
          </cell>
          <cell r="C6517">
            <v>203</v>
          </cell>
          <cell r="D6517">
            <v>4</v>
          </cell>
          <cell r="E6517" t="str">
            <v>Compensation of employees</v>
          </cell>
          <cell r="F6517">
            <v>12</v>
          </cell>
          <cell r="G6517">
            <v>1970</v>
          </cell>
          <cell r="H6517">
            <v>20</v>
          </cell>
          <cell r="I6517">
            <v>3726000000</v>
          </cell>
        </row>
        <row r="6518">
          <cell r="A6518" t="str">
            <v>Malaysia</v>
          </cell>
          <cell r="B6518">
            <v>458</v>
          </cell>
          <cell r="C6518">
            <v>203</v>
          </cell>
          <cell r="D6518">
            <v>4</v>
          </cell>
          <cell r="E6518" t="str">
            <v>Compensation of employees</v>
          </cell>
          <cell r="F6518">
            <v>12</v>
          </cell>
          <cell r="G6518">
            <v>1971</v>
          </cell>
          <cell r="H6518">
            <v>20</v>
          </cell>
          <cell r="I6518">
            <v>4377000000</v>
          </cell>
        </row>
        <row r="6519">
          <cell r="A6519" t="str">
            <v>Malaysia</v>
          </cell>
          <cell r="B6519">
            <v>458</v>
          </cell>
          <cell r="C6519">
            <v>203</v>
          </cell>
          <cell r="D6519">
            <v>4</v>
          </cell>
          <cell r="E6519" t="str">
            <v>Compensation of employees</v>
          </cell>
          <cell r="F6519">
            <v>12</v>
          </cell>
          <cell r="G6519">
            <v>1973</v>
          </cell>
          <cell r="H6519">
            <v>20</v>
          </cell>
          <cell r="I6519">
            <v>5861000000</v>
          </cell>
        </row>
        <row r="6520">
          <cell r="A6520" t="str">
            <v>Malaysia</v>
          </cell>
          <cell r="B6520">
            <v>458</v>
          </cell>
          <cell r="C6520">
            <v>203</v>
          </cell>
          <cell r="D6520">
            <v>4</v>
          </cell>
          <cell r="E6520" t="str">
            <v>Compensation of employees</v>
          </cell>
          <cell r="F6520">
            <v>12</v>
          </cell>
          <cell r="G6520">
            <v>1978</v>
          </cell>
          <cell r="H6520">
            <v>20</v>
          </cell>
          <cell r="I6520">
            <v>11966000000</v>
          </cell>
        </row>
        <row r="6521">
          <cell r="A6521" t="str">
            <v>Malaysia</v>
          </cell>
          <cell r="B6521">
            <v>458</v>
          </cell>
          <cell r="C6521">
            <v>203</v>
          </cell>
          <cell r="D6521">
            <v>4</v>
          </cell>
          <cell r="E6521" t="str">
            <v>Compensation of employees</v>
          </cell>
          <cell r="F6521">
            <v>12</v>
          </cell>
          <cell r="G6521">
            <v>1983</v>
          </cell>
          <cell r="H6521">
            <v>20</v>
          </cell>
          <cell r="I6521">
            <v>23398000000</v>
          </cell>
        </row>
        <row r="6522">
          <cell r="A6522" t="str">
            <v>Malaysia</v>
          </cell>
          <cell r="B6522">
            <v>458</v>
          </cell>
          <cell r="C6522">
            <v>203</v>
          </cell>
          <cell r="D6522">
            <v>11</v>
          </cell>
          <cell r="E6522" t="str">
            <v>OPERATING SURPLUS, GROSS</v>
          </cell>
          <cell r="F6522">
            <v>12</v>
          </cell>
          <cell r="G6522">
            <v>1970</v>
          </cell>
          <cell r="H6522">
            <v>20</v>
          </cell>
          <cell r="I6522">
            <v>5417000000</v>
          </cell>
        </row>
        <row r="6523">
          <cell r="A6523" t="str">
            <v>Malaysia</v>
          </cell>
          <cell r="B6523">
            <v>458</v>
          </cell>
          <cell r="C6523">
            <v>203</v>
          </cell>
          <cell r="D6523">
            <v>11</v>
          </cell>
          <cell r="E6523" t="str">
            <v>OPERATING SURPLUS, GROSS</v>
          </cell>
          <cell r="F6523">
            <v>12</v>
          </cell>
          <cell r="G6523">
            <v>1971</v>
          </cell>
          <cell r="H6523">
            <v>20</v>
          </cell>
          <cell r="I6523">
            <v>6836000000</v>
          </cell>
        </row>
        <row r="6524">
          <cell r="A6524" t="str">
            <v>Malaysia</v>
          </cell>
          <cell r="B6524">
            <v>458</v>
          </cell>
          <cell r="C6524">
            <v>203</v>
          </cell>
          <cell r="D6524">
            <v>11</v>
          </cell>
          <cell r="E6524" t="str">
            <v>OPERATING SURPLUS, GROSS</v>
          </cell>
          <cell r="F6524">
            <v>12</v>
          </cell>
          <cell r="G6524">
            <v>1973</v>
          </cell>
          <cell r="H6524">
            <v>20</v>
          </cell>
          <cell r="I6524">
            <v>10211000000</v>
          </cell>
        </row>
        <row r="6525">
          <cell r="A6525" t="str">
            <v>Malaysia</v>
          </cell>
          <cell r="B6525">
            <v>458</v>
          </cell>
          <cell r="C6525">
            <v>203</v>
          </cell>
          <cell r="D6525">
            <v>11</v>
          </cell>
          <cell r="E6525" t="str">
            <v>OPERATING SURPLUS, GROSS</v>
          </cell>
          <cell r="F6525">
            <v>12</v>
          </cell>
          <cell r="G6525">
            <v>1978</v>
          </cell>
          <cell r="H6525">
            <v>20</v>
          </cell>
          <cell r="I6525">
            <v>20405000000</v>
          </cell>
        </row>
        <row r="6526">
          <cell r="A6526" t="str">
            <v>Malaysia</v>
          </cell>
          <cell r="B6526">
            <v>458</v>
          </cell>
          <cell r="C6526">
            <v>203</v>
          </cell>
          <cell r="D6526">
            <v>11</v>
          </cell>
          <cell r="E6526" t="str">
            <v>OPERATING SURPLUS, GROSS</v>
          </cell>
          <cell r="F6526">
            <v>12</v>
          </cell>
          <cell r="G6526">
            <v>1983</v>
          </cell>
          <cell r="H6526">
            <v>20</v>
          </cell>
          <cell r="I6526">
            <v>37558000000</v>
          </cell>
        </row>
        <row r="6527">
          <cell r="A6527" t="str">
            <v>Greece</v>
          </cell>
          <cell r="B6527">
            <v>300</v>
          </cell>
          <cell r="C6527">
            <v>203</v>
          </cell>
          <cell r="D6527">
            <v>3</v>
          </cell>
          <cell r="E6527" t="str">
            <v>Equals: VALUE ADDED, GROSS, at basic prices</v>
          </cell>
          <cell r="F6527">
            <v>12</v>
          </cell>
          <cell r="G6527">
            <v>1970</v>
          </cell>
          <cell r="H6527">
            <v>30</v>
          </cell>
          <cell r="I6527">
            <v>258000000000</v>
          </cell>
        </row>
        <row r="6528">
          <cell r="A6528" t="str">
            <v>Greece</v>
          </cell>
          <cell r="B6528">
            <v>300</v>
          </cell>
          <cell r="C6528">
            <v>203</v>
          </cell>
          <cell r="D6528">
            <v>3</v>
          </cell>
          <cell r="E6528" t="str">
            <v>Equals: VALUE ADDED, GROSS, at basic prices</v>
          </cell>
          <cell r="F6528">
            <v>12</v>
          </cell>
          <cell r="G6528">
            <v>1971</v>
          </cell>
          <cell r="H6528">
            <v>30</v>
          </cell>
          <cell r="I6528">
            <v>287422000000</v>
          </cell>
        </row>
        <row r="6529">
          <cell r="A6529" t="str">
            <v>Greece</v>
          </cell>
          <cell r="B6529">
            <v>300</v>
          </cell>
          <cell r="C6529">
            <v>203</v>
          </cell>
          <cell r="D6529">
            <v>3</v>
          </cell>
          <cell r="E6529" t="str">
            <v>Equals: VALUE ADDED, GROSS, at basic prices</v>
          </cell>
          <cell r="F6529">
            <v>12</v>
          </cell>
          <cell r="G6529">
            <v>1972</v>
          </cell>
          <cell r="H6529">
            <v>30</v>
          </cell>
          <cell r="I6529">
            <v>329977000000</v>
          </cell>
        </row>
        <row r="6530">
          <cell r="A6530" t="str">
            <v>Greece</v>
          </cell>
          <cell r="B6530">
            <v>300</v>
          </cell>
          <cell r="C6530">
            <v>203</v>
          </cell>
          <cell r="D6530">
            <v>3</v>
          </cell>
          <cell r="E6530" t="str">
            <v>Equals: VALUE ADDED, GROSS, at basic prices</v>
          </cell>
          <cell r="F6530">
            <v>12</v>
          </cell>
          <cell r="G6530">
            <v>1973</v>
          </cell>
          <cell r="H6530">
            <v>30</v>
          </cell>
          <cell r="I6530">
            <v>428216000000</v>
          </cell>
        </row>
        <row r="6531">
          <cell r="A6531" t="str">
            <v>Greece</v>
          </cell>
          <cell r="B6531">
            <v>300</v>
          </cell>
          <cell r="C6531">
            <v>203</v>
          </cell>
          <cell r="D6531">
            <v>3</v>
          </cell>
          <cell r="E6531" t="str">
            <v>Equals: VALUE ADDED, GROSS, at basic prices</v>
          </cell>
          <cell r="F6531">
            <v>12</v>
          </cell>
          <cell r="G6531">
            <v>1974</v>
          </cell>
          <cell r="H6531">
            <v>30</v>
          </cell>
          <cell r="I6531">
            <v>507328000000</v>
          </cell>
        </row>
        <row r="6532">
          <cell r="A6532" t="str">
            <v>Greece</v>
          </cell>
          <cell r="B6532">
            <v>300</v>
          </cell>
          <cell r="C6532">
            <v>203</v>
          </cell>
          <cell r="D6532">
            <v>3</v>
          </cell>
          <cell r="E6532" t="str">
            <v>Equals: VALUE ADDED, GROSS, at basic prices</v>
          </cell>
          <cell r="F6532">
            <v>12</v>
          </cell>
          <cell r="G6532">
            <v>1975</v>
          </cell>
          <cell r="H6532">
            <v>30</v>
          </cell>
          <cell r="I6532">
            <v>593181000000</v>
          </cell>
        </row>
        <row r="6533">
          <cell r="A6533" t="str">
            <v>Greece</v>
          </cell>
          <cell r="B6533">
            <v>300</v>
          </cell>
          <cell r="C6533">
            <v>203</v>
          </cell>
          <cell r="D6533">
            <v>3</v>
          </cell>
          <cell r="E6533" t="str">
            <v>Equals: VALUE ADDED, GROSS, at basic prices</v>
          </cell>
          <cell r="F6533">
            <v>12</v>
          </cell>
          <cell r="G6533">
            <v>1976</v>
          </cell>
          <cell r="H6533">
            <v>30</v>
          </cell>
          <cell r="I6533">
            <v>728735000000</v>
          </cell>
        </row>
        <row r="6534">
          <cell r="A6534" t="str">
            <v>Greece</v>
          </cell>
          <cell r="B6534">
            <v>300</v>
          </cell>
          <cell r="C6534">
            <v>203</v>
          </cell>
          <cell r="D6534">
            <v>3</v>
          </cell>
          <cell r="E6534" t="str">
            <v>Equals: VALUE ADDED, GROSS, at basic prices</v>
          </cell>
          <cell r="F6534">
            <v>12</v>
          </cell>
          <cell r="G6534">
            <v>1977</v>
          </cell>
          <cell r="H6534">
            <v>30</v>
          </cell>
          <cell r="I6534">
            <v>844628000000</v>
          </cell>
        </row>
        <row r="6535">
          <cell r="A6535" t="str">
            <v>Greece</v>
          </cell>
          <cell r="B6535">
            <v>300</v>
          </cell>
          <cell r="C6535">
            <v>203</v>
          </cell>
          <cell r="D6535">
            <v>3</v>
          </cell>
          <cell r="E6535" t="str">
            <v>Equals: VALUE ADDED, GROSS, at basic prices</v>
          </cell>
          <cell r="F6535">
            <v>12</v>
          </cell>
          <cell r="G6535">
            <v>1978</v>
          </cell>
          <cell r="H6535">
            <v>30</v>
          </cell>
          <cell r="I6535">
            <v>1016709000000</v>
          </cell>
        </row>
        <row r="6536">
          <cell r="A6536" t="str">
            <v>Greece</v>
          </cell>
          <cell r="B6536">
            <v>300</v>
          </cell>
          <cell r="C6536">
            <v>203</v>
          </cell>
          <cell r="D6536">
            <v>3</v>
          </cell>
          <cell r="E6536" t="str">
            <v>Equals: VALUE ADDED, GROSS, at basic prices</v>
          </cell>
          <cell r="F6536">
            <v>12</v>
          </cell>
          <cell r="G6536">
            <v>1979</v>
          </cell>
          <cell r="H6536">
            <v>30</v>
          </cell>
          <cell r="I6536">
            <v>1245187000000</v>
          </cell>
        </row>
        <row r="6537">
          <cell r="A6537" t="str">
            <v>Greece</v>
          </cell>
          <cell r="B6537">
            <v>300</v>
          </cell>
          <cell r="C6537">
            <v>203</v>
          </cell>
          <cell r="D6537">
            <v>3</v>
          </cell>
          <cell r="E6537" t="str">
            <v>Equals: VALUE ADDED, GROSS, at basic prices</v>
          </cell>
          <cell r="F6537">
            <v>12</v>
          </cell>
          <cell r="G6537">
            <v>1980</v>
          </cell>
          <cell r="H6537">
            <v>30</v>
          </cell>
          <cell r="I6537">
            <v>1523724000000</v>
          </cell>
        </row>
        <row r="6538">
          <cell r="A6538" t="str">
            <v>Greece</v>
          </cell>
          <cell r="B6538">
            <v>300</v>
          </cell>
          <cell r="C6538">
            <v>203</v>
          </cell>
          <cell r="D6538">
            <v>3</v>
          </cell>
          <cell r="E6538" t="str">
            <v>Equals: VALUE ADDED, GROSS, at basic prices</v>
          </cell>
          <cell r="F6538">
            <v>12</v>
          </cell>
          <cell r="G6538">
            <v>1981</v>
          </cell>
          <cell r="H6538">
            <v>30</v>
          </cell>
          <cell r="I6538">
            <v>1859971000000</v>
          </cell>
        </row>
        <row r="6539">
          <cell r="A6539" t="str">
            <v>Greece</v>
          </cell>
          <cell r="B6539">
            <v>300</v>
          </cell>
          <cell r="C6539">
            <v>203</v>
          </cell>
          <cell r="D6539">
            <v>3</v>
          </cell>
          <cell r="E6539" t="str">
            <v>Equals: VALUE ADDED, GROSS, at basic prices</v>
          </cell>
          <cell r="F6539">
            <v>12</v>
          </cell>
          <cell r="G6539">
            <v>1982</v>
          </cell>
          <cell r="H6539">
            <v>30</v>
          </cell>
          <cell r="I6539">
            <v>2310688000000</v>
          </cell>
        </row>
        <row r="6540">
          <cell r="A6540" t="str">
            <v>Greece</v>
          </cell>
          <cell r="B6540">
            <v>300</v>
          </cell>
          <cell r="C6540">
            <v>203</v>
          </cell>
          <cell r="D6540">
            <v>3</v>
          </cell>
          <cell r="E6540" t="str">
            <v>Equals: VALUE ADDED, GROSS, at basic prices</v>
          </cell>
          <cell r="F6540">
            <v>12</v>
          </cell>
          <cell r="G6540">
            <v>1983</v>
          </cell>
          <cell r="H6540">
            <v>30</v>
          </cell>
          <cell r="I6540">
            <v>2733244000000</v>
          </cell>
        </row>
        <row r="6541">
          <cell r="A6541" t="str">
            <v>Malta</v>
          </cell>
          <cell r="B6541">
            <v>470</v>
          </cell>
          <cell r="C6541">
            <v>201</v>
          </cell>
          <cell r="D6541">
            <v>13</v>
          </cell>
          <cell r="E6541" t="str">
            <v>Less: Financial intermediation services indirectly measured (FISIM) (only to be deducted if FISIM is not distributed to uses)</v>
          </cell>
          <cell r="F6541">
            <v>0</v>
          </cell>
          <cell r="G6541">
            <v>2000</v>
          </cell>
          <cell r="H6541">
            <v>100</v>
          </cell>
          <cell r="I6541">
            <v>51050000</v>
          </cell>
        </row>
        <row r="6542">
          <cell r="A6542" t="str">
            <v>Malta</v>
          </cell>
          <cell r="B6542">
            <v>470</v>
          </cell>
          <cell r="C6542">
            <v>201</v>
          </cell>
          <cell r="D6542">
            <v>13</v>
          </cell>
          <cell r="E6542" t="str">
            <v>Less: Financial intermediation services indirectly measured (FISIM) (only to be deducted if FISIM is not distributed to uses)</v>
          </cell>
          <cell r="F6542">
            <v>0</v>
          </cell>
          <cell r="G6542">
            <v>2001</v>
          </cell>
          <cell r="H6542">
            <v>100</v>
          </cell>
          <cell r="I6542">
            <v>54901000</v>
          </cell>
        </row>
        <row r="6543">
          <cell r="A6543" t="str">
            <v>Malta</v>
          </cell>
          <cell r="B6543">
            <v>470</v>
          </cell>
          <cell r="C6543">
            <v>201</v>
          </cell>
          <cell r="D6543">
            <v>13</v>
          </cell>
          <cell r="E6543" t="str">
            <v>Less: Financial intermediation services indirectly measured (FISIM) (only to be deducted if FISIM is not distributed to uses)</v>
          </cell>
          <cell r="F6543">
            <v>0</v>
          </cell>
          <cell r="G6543">
            <v>2002</v>
          </cell>
          <cell r="H6543">
            <v>100</v>
          </cell>
          <cell r="I6543">
            <v>54127000</v>
          </cell>
        </row>
        <row r="6544">
          <cell r="A6544" t="str">
            <v>Malta</v>
          </cell>
          <cell r="B6544">
            <v>470</v>
          </cell>
          <cell r="C6544">
            <v>201</v>
          </cell>
          <cell r="D6544">
            <v>13</v>
          </cell>
          <cell r="E6544" t="str">
            <v>Less: Financial intermediation services indirectly measured (FISIM) (only to be deducted if FISIM is not distributed to uses)</v>
          </cell>
          <cell r="F6544">
            <v>0</v>
          </cell>
          <cell r="G6544">
            <v>2003</v>
          </cell>
          <cell r="H6544">
            <v>100</v>
          </cell>
          <cell r="I6544">
            <v>68635000</v>
          </cell>
        </row>
        <row r="6545">
          <cell r="A6545" t="str">
            <v>Greece</v>
          </cell>
          <cell r="B6545">
            <v>300</v>
          </cell>
          <cell r="C6545">
            <v>203</v>
          </cell>
          <cell r="D6545">
            <v>3</v>
          </cell>
          <cell r="E6545" t="str">
            <v>Equals: VALUE ADDED, GROSS, at basic prices</v>
          </cell>
          <cell r="F6545">
            <v>12</v>
          </cell>
          <cell r="G6545">
            <v>1984</v>
          </cell>
          <cell r="H6545">
            <v>30</v>
          </cell>
          <cell r="I6545">
            <v>3362588000000</v>
          </cell>
        </row>
        <row r="6546">
          <cell r="A6546" t="str">
            <v>Greece</v>
          </cell>
          <cell r="B6546">
            <v>300</v>
          </cell>
          <cell r="C6546">
            <v>203</v>
          </cell>
          <cell r="D6546">
            <v>3</v>
          </cell>
          <cell r="E6546" t="str">
            <v>Equals: VALUE ADDED, GROSS, at basic prices</v>
          </cell>
          <cell r="F6546">
            <v>12</v>
          </cell>
          <cell r="G6546">
            <v>1985</v>
          </cell>
          <cell r="H6546">
            <v>30</v>
          </cell>
          <cell r="I6546">
            <v>4136852000000</v>
          </cell>
        </row>
        <row r="6547">
          <cell r="A6547" t="str">
            <v>Greece</v>
          </cell>
          <cell r="B6547">
            <v>300</v>
          </cell>
          <cell r="C6547">
            <v>203</v>
          </cell>
          <cell r="D6547">
            <v>3</v>
          </cell>
          <cell r="E6547" t="str">
            <v>Equals: VALUE ADDED, GROSS, at basic prices</v>
          </cell>
          <cell r="F6547">
            <v>12</v>
          </cell>
          <cell r="G6547">
            <v>1986</v>
          </cell>
          <cell r="H6547">
            <v>30</v>
          </cell>
          <cell r="I6547">
            <v>4872730000000</v>
          </cell>
        </row>
        <row r="6548">
          <cell r="A6548" t="str">
            <v>Greece</v>
          </cell>
          <cell r="B6548">
            <v>300</v>
          </cell>
          <cell r="C6548">
            <v>203</v>
          </cell>
          <cell r="D6548">
            <v>3</v>
          </cell>
          <cell r="E6548" t="str">
            <v>Equals: VALUE ADDED, GROSS, at basic prices</v>
          </cell>
          <cell r="F6548">
            <v>12</v>
          </cell>
          <cell r="G6548">
            <v>1987</v>
          </cell>
          <cell r="H6548">
            <v>30</v>
          </cell>
          <cell r="I6548">
            <v>5478103000000</v>
          </cell>
        </row>
        <row r="6549">
          <cell r="A6549" t="str">
            <v>Greece</v>
          </cell>
          <cell r="B6549">
            <v>300</v>
          </cell>
          <cell r="C6549">
            <v>203</v>
          </cell>
          <cell r="D6549">
            <v>3</v>
          </cell>
          <cell r="E6549" t="str">
            <v>Equals: VALUE ADDED, GROSS, at basic prices</v>
          </cell>
          <cell r="F6549">
            <v>12</v>
          </cell>
          <cell r="G6549">
            <v>1988</v>
          </cell>
          <cell r="H6549">
            <v>30</v>
          </cell>
          <cell r="I6549">
            <v>6620725000000</v>
          </cell>
        </row>
        <row r="6550">
          <cell r="A6550" t="str">
            <v>Greece</v>
          </cell>
          <cell r="B6550">
            <v>300</v>
          </cell>
          <cell r="C6550">
            <v>203</v>
          </cell>
          <cell r="D6550">
            <v>3</v>
          </cell>
          <cell r="E6550" t="str">
            <v>Equals: VALUE ADDED, GROSS, at basic prices</v>
          </cell>
          <cell r="F6550">
            <v>12</v>
          </cell>
          <cell r="G6550">
            <v>1995</v>
          </cell>
          <cell r="H6550">
            <v>200</v>
          </cell>
          <cell r="I6550">
            <v>73858000000</v>
          </cell>
        </row>
        <row r="6551">
          <cell r="A6551" t="str">
            <v>Greece</v>
          </cell>
          <cell r="B6551">
            <v>300</v>
          </cell>
          <cell r="C6551">
            <v>203</v>
          </cell>
          <cell r="D6551">
            <v>3</v>
          </cell>
          <cell r="E6551" t="str">
            <v>Equals: VALUE ADDED, GROSS, at basic prices</v>
          </cell>
          <cell r="F6551">
            <v>12</v>
          </cell>
          <cell r="G6551">
            <v>1996</v>
          </cell>
          <cell r="H6551">
            <v>200</v>
          </cell>
          <cell r="I6551">
            <v>80672000000</v>
          </cell>
        </row>
        <row r="6552">
          <cell r="A6552" t="str">
            <v>Greece</v>
          </cell>
          <cell r="B6552">
            <v>300</v>
          </cell>
          <cell r="C6552">
            <v>203</v>
          </cell>
          <cell r="D6552">
            <v>3</v>
          </cell>
          <cell r="E6552" t="str">
            <v>Equals: VALUE ADDED, GROSS, at basic prices</v>
          </cell>
          <cell r="F6552">
            <v>12</v>
          </cell>
          <cell r="G6552">
            <v>1997</v>
          </cell>
          <cell r="H6552">
            <v>200</v>
          </cell>
          <cell r="I6552">
            <v>88700000000</v>
          </cell>
        </row>
        <row r="6553">
          <cell r="A6553" t="str">
            <v>Greece</v>
          </cell>
          <cell r="B6553">
            <v>300</v>
          </cell>
          <cell r="C6553">
            <v>203</v>
          </cell>
          <cell r="D6553">
            <v>3</v>
          </cell>
          <cell r="E6553" t="str">
            <v>Equals: VALUE ADDED, GROSS, at basic prices</v>
          </cell>
          <cell r="F6553">
            <v>12</v>
          </cell>
          <cell r="G6553">
            <v>1998</v>
          </cell>
          <cell r="H6553">
            <v>200</v>
          </cell>
          <cell r="I6553">
            <v>96750000000</v>
          </cell>
        </row>
        <row r="6554">
          <cell r="A6554" t="str">
            <v>Greece</v>
          </cell>
          <cell r="B6554">
            <v>300</v>
          </cell>
          <cell r="C6554">
            <v>203</v>
          </cell>
          <cell r="D6554">
            <v>3</v>
          </cell>
          <cell r="E6554" t="str">
            <v>Equals: VALUE ADDED, GROSS, at basic prices</v>
          </cell>
          <cell r="F6554">
            <v>12</v>
          </cell>
          <cell r="G6554">
            <v>1999</v>
          </cell>
          <cell r="H6554">
            <v>200</v>
          </cell>
          <cell r="I6554">
            <v>101822000000</v>
          </cell>
        </row>
        <row r="6555">
          <cell r="A6555" t="str">
            <v>Greece</v>
          </cell>
          <cell r="B6555">
            <v>300</v>
          </cell>
          <cell r="C6555">
            <v>203</v>
          </cell>
          <cell r="D6555">
            <v>3</v>
          </cell>
          <cell r="E6555" t="str">
            <v>Equals: VALUE ADDED, GROSS, at basic prices</v>
          </cell>
          <cell r="F6555">
            <v>12</v>
          </cell>
          <cell r="G6555">
            <v>2000</v>
          </cell>
          <cell r="H6555">
            <v>200</v>
          </cell>
          <cell r="I6555">
            <v>109830000000</v>
          </cell>
        </row>
        <row r="6556">
          <cell r="A6556" t="str">
            <v>Greece</v>
          </cell>
          <cell r="B6556">
            <v>300</v>
          </cell>
          <cell r="C6556">
            <v>203</v>
          </cell>
          <cell r="D6556">
            <v>3</v>
          </cell>
          <cell r="E6556" t="str">
            <v>Equals: VALUE ADDED, GROSS, at basic prices</v>
          </cell>
          <cell r="F6556">
            <v>12</v>
          </cell>
          <cell r="G6556">
            <v>2001</v>
          </cell>
          <cell r="H6556">
            <v>200</v>
          </cell>
          <cell r="I6556">
            <v>118940000000</v>
          </cell>
        </row>
        <row r="6557">
          <cell r="A6557" t="str">
            <v>Greece</v>
          </cell>
          <cell r="B6557">
            <v>300</v>
          </cell>
          <cell r="C6557">
            <v>203</v>
          </cell>
          <cell r="D6557">
            <v>3</v>
          </cell>
          <cell r="E6557" t="str">
            <v>Equals: VALUE ADDED, GROSS, at basic prices</v>
          </cell>
          <cell r="F6557">
            <v>12</v>
          </cell>
          <cell r="G6557">
            <v>2002</v>
          </cell>
          <cell r="H6557">
            <v>200</v>
          </cell>
          <cell r="I6557">
            <v>128588000000</v>
          </cell>
        </row>
        <row r="6558">
          <cell r="A6558" t="str">
            <v>Greece</v>
          </cell>
          <cell r="B6558">
            <v>300</v>
          </cell>
          <cell r="C6558">
            <v>203</v>
          </cell>
          <cell r="D6558">
            <v>4</v>
          </cell>
          <cell r="E6558" t="str">
            <v>Compensation of employees</v>
          </cell>
          <cell r="F6558">
            <v>12</v>
          </cell>
          <cell r="G6558">
            <v>1995</v>
          </cell>
          <cell r="H6558">
            <v>200</v>
          </cell>
          <cell r="I6558">
            <v>25777000000</v>
          </cell>
        </row>
        <row r="6559">
          <cell r="A6559" t="str">
            <v>Greece</v>
          </cell>
          <cell r="B6559">
            <v>300</v>
          </cell>
          <cell r="C6559">
            <v>203</v>
          </cell>
          <cell r="D6559">
            <v>4</v>
          </cell>
          <cell r="E6559" t="str">
            <v>Compensation of employees</v>
          </cell>
          <cell r="F6559">
            <v>12</v>
          </cell>
          <cell r="G6559">
            <v>1996</v>
          </cell>
          <cell r="H6559">
            <v>200</v>
          </cell>
          <cell r="I6559">
            <v>28042000000</v>
          </cell>
        </row>
        <row r="6560">
          <cell r="A6560" t="str">
            <v>Greece</v>
          </cell>
          <cell r="B6560">
            <v>300</v>
          </cell>
          <cell r="C6560">
            <v>203</v>
          </cell>
          <cell r="D6560">
            <v>4</v>
          </cell>
          <cell r="E6560" t="str">
            <v>Compensation of employees</v>
          </cell>
          <cell r="F6560">
            <v>12</v>
          </cell>
          <cell r="G6560">
            <v>1997</v>
          </cell>
          <cell r="H6560">
            <v>200</v>
          </cell>
          <cell r="I6560">
            <v>31864000000</v>
          </cell>
        </row>
        <row r="6561">
          <cell r="A6561" t="str">
            <v>Greece</v>
          </cell>
          <cell r="B6561">
            <v>300</v>
          </cell>
          <cell r="C6561">
            <v>203</v>
          </cell>
          <cell r="D6561">
            <v>4</v>
          </cell>
          <cell r="E6561" t="str">
            <v>Compensation of employees</v>
          </cell>
          <cell r="F6561">
            <v>12</v>
          </cell>
          <cell r="G6561">
            <v>1998</v>
          </cell>
          <cell r="H6561">
            <v>200</v>
          </cell>
          <cell r="I6561">
            <v>35163000000</v>
          </cell>
        </row>
        <row r="6562">
          <cell r="A6562" t="str">
            <v>Greece</v>
          </cell>
          <cell r="B6562">
            <v>300</v>
          </cell>
          <cell r="C6562">
            <v>203</v>
          </cell>
          <cell r="D6562">
            <v>4</v>
          </cell>
          <cell r="E6562" t="str">
            <v>Compensation of employees</v>
          </cell>
          <cell r="F6562">
            <v>12</v>
          </cell>
          <cell r="G6562">
            <v>1999</v>
          </cell>
          <cell r="H6562">
            <v>200</v>
          </cell>
          <cell r="I6562">
            <v>38294000000</v>
          </cell>
        </row>
        <row r="6563">
          <cell r="A6563" t="str">
            <v>Greece</v>
          </cell>
          <cell r="B6563">
            <v>300</v>
          </cell>
          <cell r="C6563">
            <v>203</v>
          </cell>
          <cell r="D6563">
            <v>4</v>
          </cell>
          <cell r="E6563" t="str">
            <v>Compensation of employees</v>
          </cell>
          <cell r="F6563">
            <v>12</v>
          </cell>
          <cell r="G6563">
            <v>2000</v>
          </cell>
          <cell r="H6563">
            <v>200</v>
          </cell>
          <cell r="I6563">
            <v>40917000000</v>
          </cell>
        </row>
        <row r="6564">
          <cell r="A6564" t="str">
            <v>Greece</v>
          </cell>
          <cell r="B6564">
            <v>300</v>
          </cell>
          <cell r="C6564">
            <v>203</v>
          </cell>
          <cell r="D6564">
            <v>4</v>
          </cell>
          <cell r="E6564" t="str">
            <v>Compensation of employees</v>
          </cell>
          <cell r="F6564">
            <v>12</v>
          </cell>
          <cell r="G6564">
            <v>2001</v>
          </cell>
          <cell r="H6564">
            <v>200</v>
          </cell>
          <cell r="I6564">
            <v>43823000000</v>
          </cell>
        </row>
        <row r="6565">
          <cell r="A6565" t="str">
            <v>Greece</v>
          </cell>
          <cell r="B6565">
            <v>300</v>
          </cell>
          <cell r="C6565">
            <v>203</v>
          </cell>
          <cell r="D6565">
            <v>4</v>
          </cell>
          <cell r="E6565" t="str">
            <v>Compensation of employees</v>
          </cell>
          <cell r="F6565">
            <v>12</v>
          </cell>
          <cell r="G6565">
            <v>2002</v>
          </cell>
          <cell r="H6565">
            <v>200</v>
          </cell>
          <cell r="I6565">
            <v>46923000000</v>
          </cell>
        </row>
        <row r="6566">
          <cell r="A6566" t="str">
            <v>Greece</v>
          </cell>
          <cell r="B6566">
            <v>300</v>
          </cell>
          <cell r="C6566">
            <v>203</v>
          </cell>
          <cell r="D6566">
            <v>11</v>
          </cell>
          <cell r="E6566" t="str">
            <v>OPERATING SURPLUS, GROSS</v>
          </cell>
          <cell r="F6566">
            <v>12</v>
          </cell>
          <cell r="G6566">
            <v>1995</v>
          </cell>
          <cell r="H6566">
            <v>200</v>
          </cell>
          <cell r="I6566">
            <v>47810000000</v>
          </cell>
        </row>
        <row r="6567">
          <cell r="A6567" t="str">
            <v>Greece</v>
          </cell>
          <cell r="B6567">
            <v>300</v>
          </cell>
          <cell r="C6567">
            <v>203</v>
          </cell>
          <cell r="D6567">
            <v>11</v>
          </cell>
          <cell r="E6567" t="str">
            <v>OPERATING SURPLUS, GROSS</v>
          </cell>
          <cell r="F6567">
            <v>12</v>
          </cell>
          <cell r="G6567">
            <v>1996</v>
          </cell>
          <cell r="H6567">
            <v>200</v>
          </cell>
          <cell r="I6567">
            <v>52301000000</v>
          </cell>
        </row>
        <row r="6568">
          <cell r="A6568" t="str">
            <v>Greece</v>
          </cell>
          <cell r="B6568">
            <v>300</v>
          </cell>
          <cell r="C6568">
            <v>203</v>
          </cell>
          <cell r="D6568">
            <v>11</v>
          </cell>
          <cell r="E6568" t="str">
            <v>OPERATING SURPLUS, GROSS</v>
          </cell>
          <cell r="F6568">
            <v>12</v>
          </cell>
          <cell r="G6568">
            <v>1997</v>
          </cell>
          <cell r="H6568">
            <v>200</v>
          </cell>
          <cell r="I6568">
            <v>56517000000</v>
          </cell>
        </row>
        <row r="6569">
          <cell r="A6569" t="str">
            <v>Greece</v>
          </cell>
          <cell r="B6569">
            <v>300</v>
          </cell>
          <cell r="C6569">
            <v>203</v>
          </cell>
          <cell r="D6569">
            <v>11</v>
          </cell>
          <cell r="E6569" t="str">
            <v>OPERATING SURPLUS, GROSS</v>
          </cell>
          <cell r="F6569">
            <v>12</v>
          </cell>
          <cell r="G6569">
            <v>1998</v>
          </cell>
          <cell r="H6569">
            <v>200</v>
          </cell>
          <cell r="I6569">
            <v>61177000000</v>
          </cell>
        </row>
        <row r="6570">
          <cell r="A6570" t="str">
            <v>Greece</v>
          </cell>
          <cell r="B6570">
            <v>300</v>
          </cell>
          <cell r="C6570">
            <v>203</v>
          </cell>
          <cell r="D6570">
            <v>11</v>
          </cell>
          <cell r="E6570" t="str">
            <v>OPERATING SURPLUS, GROSS</v>
          </cell>
          <cell r="F6570">
            <v>12</v>
          </cell>
          <cell r="G6570">
            <v>1999</v>
          </cell>
          <cell r="H6570">
            <v>200</v>
          </cell>
          <cell r="I6570">
            <v>63081000000</v>
          </cell>
        </row>
        <row r="6571">
          <cell r="A6571" t="str">
            <v>Greece</v>
          </cell>
          <cell r="B6571">
            <v>300</v>
          </cell>
          <cell r="C6571">
            <v>203</v>
          </cell>
          <cell r="D6571">
            <v>11</v>
          </cell>
          <cell r="E6571" t="str">
            <v>OPERATING SURPLUS, GROSS</v>
          </cell>
          <cell r="F6571">
            <v>12</v>
          </cell>
          <cell r="G6571">
            <v>2000</v>
          </cell>
          <cell r="H6571">
            <v>200</v>
          </cell>
          <cell r="I6571">
            <v>68476000000</v>
          </cell>
        </row>
        <row r="6572">
          <cell r="A6572" t="str">
            <v>Greece</v>
          </cell>
          <cell r="B6572">
            <v>300</v>
          </cell>
          <cell r="C6572">
            <v>203</v>
          </cell>
          <cell r="D6572">
            <v>11</v>
          </cell>
          <cell r="E6572" t="str">
            <v>OPERATING SURPLUS, GROSS</v>
          </cell>
          <cell r="F6572">
            <v>12</v>
          </cell>
          <cell r="G6572">
            <v>2001</v>
          </cell>
          <cell r="H6572">
            <v>200</v>
          </cell>
          <cell r="I6572">
            <v>74772000000</v>
          </cell>
        </row>
        <row r="6573">
          <cell r="A6573" t="str">
            <v>Greece</v>
          </cell>
          <cell r="B6573">
            <v>300</v>
          </cell>
          <cell r="C6573">
            <v>203</v>
          </cell>
          <cell r="D6573">
            <v>11</v>
          </cell>
          <cell r="E6573" t="str">
            <v>OPERATING SURPLUS, GROSS</v>
          </cell>
          <cell r="F6573">
            <v>12</v>
          </cell>
          <cell r="G6573">
            <v>2002</v>
          </cell>
          <cell r="H6573">
            <v>200</v>
          </cell>
          <cell r="I6573">
            <v>81420000000</v>
          </cell>
        </row>
        <row r="6574">
          <cell r="A6574" t="str">
            <v>Malta</v>
          </cell>
          <cell r="B6574">
            <v>470</v>
          </cell>
          <cell r="C6574">
            <v>203</v>
          </cell>
          <cell r="D6574">
            <v>3</v>
          </cell>
          <cell r="E6574" t="str">
            <v>Equals: VALUE ADDED, GROSS, at basic prices</v>
          </cell>
          <cell r="F6574">
            <v>12</v>
          </cell>
          <cell r="G6574">
            <v>1973</v>
          </cell>
          <cell r="H6574">
            <v>10</v>
          </cell>
          <cell r="I6574">
            <v>100867000</v>
          </cell>
        </row>
        <row r="6575">
          <cell r="A6575" t="str">
            <v>Malta</v>
          </cell>
          <cell r="B6575">
            <v>470</v>
          </cell>
          <cell r="C6575">
            <v>203</v>
          </cell>
          <cell r="D6575">
            <v>3</v>
          </cell>
          <cell r="E6575" t="str">
            <v>Equals: VALUE ADDED, GROSS, at basic prices</v>
          </cell>
          <cell r="F6575">
            <v>12</v>
          </cell>
          <cell r="G6575">
            <v>1974</v>
          </cell>
          <cell r="H6575">
            <v>10</v>
          </cell>
          <cell r="I6575">
            <v>118614000</v>
          </cell>
        </row>
        <row r="6576">
          <cell r="A6576" t="str">
            <v>Malta</v>
          </cell>
          <cell r="B6576">
            <v>470</v>
          </cell>
          <cell r="C6576">
            <v>203</v>
          </cell>
          <cell r="D6576">
            <v>3</v>
          </cell>
          <cell r="E6576" t="str">
            <v>Equals: VALUE ADDED, GROSS, at basic prices</v>
          </cell>
          <cell r="F6576">
            <v>12</v>
          </cell>
          <cell r="G6576">
            <v>1975</v>
          </cell>
          <cell r="H6576">
            <v>10</v>
          </cell>
          <cell r="I6576">
            <v>152944000</v>
          </cell>
        </row>
        <row r="6577">
          <cell r="A6577" t="str">
            <v>Malta</v>
          </cell>
          <cell r="B6577">
            <v>470</v>
          </cell>
          <cell r="C6577">
            <v>203</v>
          </cell>
          <cell r="D6577">
            <v>3</v>
          </cell>
          <cell r="E6577" t="str">
            <v>Equals: VALUE ADDED, GROSS, at basic prices</v>
          </cell>
          <cell r="F6577">
            <v>12</v>
          </cell>
          <cell r="G6577">
            <v>1976</v>
          </cell>
          <cell r="H6577">
            <v>10</v>
          </cell>
          <cell r="I6577">
            <v>189448000</v>
          </cell>
        </row>
        <row r="6578">
          <cell r="A6578" t="str">
            <v>Malta</v>
          </cell>
          <cell r="B6578">
            <v>470</v>
          </cell>
          <cell r="C6578">
            <v>203</v>
          </cell>
          <cell r="D6578">
            <v>3</v>
          </cell>
          <cell r="E6578" t="str">
            <v>Equals: VALUE ADDED, GROSS, at basic prices</v>
          </cell>
          <cell r="F6578">
            <v>12</v>
          </cell>
          <cell r="G6578">
            <v>1977</v>
          </cell>
          <cell r="H6578">
            <v>10</v>
          </cell>
          <cell r="I6578">
            <v>219899000</v>
          </cell>
        </row>
        <row r="6579">
          <cell r="A6579" t="str">
            <v>Malta</v>
          </cell>
          <cell r="B6579">
            <v>470</v>
          </cell>
          <cell r="C6579">
            <v>203</v>
          </cell>
          <cell r="D6579">
            <v>3</v>
          </cell>
          <cell r="E6579" t="str">
            <v>Equals: VALUE ADDED, GROSS, at basic prices</v>
          </cell>
          <cell r="F6579">
            <v>12</v>
          </cell>
          <cell r="G6579">
            <v>1978</v>
          </cell>
          <cell r="H6579">
            <v>10</v>
          </cell>
          <cell r="I6579">
            <v>251260000</v>
          </cell>
        </row>
        <row r="6580">
          <cell r="A6580" t="str">
            <v>Malta</v>
          </cell>
          <cell r="B6580">
            <v>470</v>
          </cell>
          <cell r="C6580">
            <v>203</v>
          </cell>
          <cell r="D6580">
            <v>3</v>
          </cell>
          <cell r="E6580" t="str">
            <v>Equals: VALUE ADDED, GROSS, at basic prices</v>
          </cell>
          <cell r="F6580">
            <v>12</v>
          </cell>
          <cell r="G6580">
            <v>1979</v>
          </cell>
          <cell r="H6580">
            <v>10</v>
          </cell>
          <cell r="I6580">
            <v>293651000</v>
          </cell>
        </row>
        <row r="6581">
          <cell r="A6581" t="str">
            <v>Malta</v>
          </cell>
          <cell r="B6581">
            <v>470</v>
          </cell>
          <cell r="C6581">
            <v>203</v>
          </cell>
          <cell r="D6581">
            <v>3</v>
          </cell>
          <cell r="E6581" t="str">
            <v>Equals: VALUE ADDED, GROSS, at basic prices</v>
          </cell>
          <cell r="F6581">
            <v>12</v>
          </cell>
          <cell r="G6581">
            <v>1980</v>
          </cell>
          <cell r="H6581">
            <v>10</v>
          </cell>
          <cell r="I6581">
            <v>348612000</v>
          </cell>
        </row>
        <row r="6582">
          <cell r="A6582" t="str">
            <v>Malta</v>
          </cell>
          <cell r="B6582">
            <v>470</v>
          </cell>
          <cell r="C6582">
            <v>203</v>
          </cell>
          <cell r="D6582">
            <v>3</v>
          </cell>
          <cell r="E6582" t="str">
            <v>Equals: VALUE ADDED, GROSS, at basic prices</v>
          </cell>
          <cell r="F6582">
            <v>12</v>
          </cell>
          <cell r="G6582">
            <v>1981</v>
          </cell>
          <cell r="H6582">
            <v>10</v>
          </cell>
          <cell r="I6582">
            <v>390534000</v>
          </cell>
        </row>
        <row r="6583">
          <cell r="A6583" t="str">
            <v>Malta</v>
          </cell>
          <cell r="B6583">
            <v>470</v>
          </cell>
          <cell r="C6583">
            <v>203</v>
          </cell>
          <cell r="D6583">
            <v>3</v>
          </cell>
          <cell r="E6583" t="str">
            <v>Equals: VALUE ADDED, GROSS, at basic prices</v>
          </cell>
          <cell r="F6583">
            <v>12</v>
          </cell>
          <cell r="G6583">
            <v>1982</v>
          </cell>
          <cell r="H6583">
            <v>10</v>
          </cell>
          <cell r="I6583">
            <v>417745000</v>
          </cell>
        </row>
        <row r="6584">
          <cell r="A6584" t="str">
            <v>Malta</v>
          </cell>
          <cell r="B6584">
            <v>470</v>
          </cell>
          <cell r="C6584">
            <v>203</v>
          </cell>
          <cell r="D6584">
            <v>3</v>
          </cell>
          <cell r="E6584" t="str">
            <v>Equals: VALUE ADDED, GROSS, at basic prices</v>
          </cell>
          <cell r="F6584">
            <v>12</v>
          </cell>
          <cell r="G6584">
            <v>1983</v>
          </cell>
          <cell r="H6584">
            <v>10</v>
          </cell>
          <cell r="I6584">
            <v>417130000</v>
          </cell>
        </row>
        <row r="6585">
          <cell r="A6585" t="str">
            <v>Malta</v>
          </cell>
          <cell r="B6585">
            <v>470</v>
          </cell>
          <cell r="C6585">
            <v>203</v>
          </cell>
          <cell r="D6585">
            <v>3</v>
          </cell>
          <cell r="E6585" t="str">
            <v>Equals: VALUE ADDED, GROSS, at basic prices</v>
          </cell>
          <cell r="F6585">
            <v>12</v>
          </cell>
          <cell r="G6585">
            <v>1984</v>
          </cell>
          <cell r="H6585">
            <v>10</v>
          </cell>
          <cell r="I6585">
            <v>421377000</v>
          </cell>
        </row>
        <row r="6586">
          <cell r="A6586" t="str">
            <v>Malta</v>
          </cell>
          <cell r="B6586">
            <v>470</v>
          </cell>
          <cell r="C6586">
            <v>203</v>
          </cell>
          <cell r="D6586">
            <v>3</v>
          </cell>
          <cell r="E6586" t="str">
            <v>Equals: VALUE ADDED, GROSS, at basic prices</v>
          </cell>
          <cell r="F6586">
            <v>12</v>
          </cell>
          <cell r="G6586">
            <v>1985</v>
          </cell>
          <cell r="H6586">
            <v>10</v>
          </cell>
          <cell r="I6586">
            <v>430550000</v>
          </cell>
        </row>
        <row r="6587">
          <cell r="A6587" t="str">
            <v>Malta</v>
          </cell>
          <cell r="B6587">
            <v>470</v>
          </cell>
          <cell r="C6587">
            <v>203</v>
          </cell>
          <cell r="D6587">
            <v>3</v>
          </cell>
          <cell r="E6587" t="str">
            <v>Equals: VALUE ADDED, GROSS, at basic prices</v>
          </cell>
          <cell r="F6587">
            <v>12</v>
          </cell>
          <cell r="G6587">
            <v>1986</v>
          </cell>
          <cell r="H6587">
            <v>10</v>
          </cell>
          <cell r="I6587">
            <v>461766000</v>
          </cell>
        </row>
        <row r="6588">
          <cell r="A6588" t="str">
            <v>Malta</v>
          </cell>
          <cell r="B6588">
            <v>470</v>
          </cell>
          <cell r="C6588">
            <v>203</v>
          </cell>
          <cell r="D6588">
            <v>3</v>
          </cell>
          <cell r="E6588" t="str">
            <v>Equals: VALUE ADDED, GROSS, at basic prices</v>
          </cell>
          <cell r="F6588">
            <v>12</v>
          </cell>
          <cell r="G6588">
            <v>1987</v>
          </cell>
          <cell r="H6588">
            <v>10</v>
          </cell>
          <cell r="I6588">
            <v>495450000</v>
          </cell>
        </row>
        <row r="6589">
          <cell r="A6589" t="str">
            <v>Malta</v>
          </cell>
          <cell r="B6589">
            <v>470</v>
          </cell>
          <cell r="C6589">
            <v>203</v>
          </cell>
          <cell r="D6589">
            <v>3</v>
          </cell>
          <cell r="E6589" t="str">
            <v>Equals: VALUE ADDED, GROSS, at basic prices</v>
          </cell>
          <cell r="F6589">
            <v>12</v>
          </cell>
          <cell r="G6589">
            <v>1988</v>
          </cell>
          <cell r="H6589">
            <v>10</v>
          </cell>
          <cell r="I6589">
            <v>542634000</v>
          </cell>
        </row>
        <row r="6590">
          <cell r="A6590" t="str">
            <v>Malta</v>
          </cell>
          <cell r="B6590">
            <v>470</v>
          </cell>
          <cell r="C6590">
            <v>203</v>
          </cell>
          <cell r="D6590">
            <v>3</v>
          </cell>
          <cell r="E6590" t="str">
            <v>Equals: VALUE ADDED, GROSS, at basic prices</v>
          </cell>
          <cell r="F6590">
            <v>12</v>
          </cell>
          <cell r="G6590">
            <v>1989</v>
          </cell>
          <cell r="H6590">
            <v>10</v>
          </cell>
          <cell r="I6590">
            <v>596849000</v>
          </cell>
        </row>
        <row r="6591">
          <cell r="A6591" t="str">
            <v>Malta</v>
          </cell>
          <cell r="B6591">
            <v>470</v>
          </cell>
          <cell r="C6591">
            <v>203</v>
          </cell>
          <cell r="D6591">
            <v>3</v>
          </cell>
          <cell r="E6591" t="str">
            <v>Equals: VALUE ADDED, GROSS, at basic prices</v>
          </cell>
          <cell r="F6591">
            <v>12</v>
          </cell>
          <cell r="G6591">
            <v>1990</v>
          </cell>
          <cell r="H6591">
            <v>10</v>
          </cell>
          <cell r="I6591">
            <v>649591000</v>
          </cell>
        </row>
        <row r="6592">
          <cell r="A6592" t="str">
            <v>Malta</v>
          </cell>
          <cell r="B6592">
            <v>470</v>
          </cell>
          <cell r="C6592">
            <v>203</v>
          </cell>
          <cell r="D6592">
            <v>3</v>
          </cell>
          <cell r="E6592" t="str">
            <v>Equals: VALUE ADDED, GROSS, at basic prices</v>
          </cell>
          <cell r="F6592">
            <v>12</v>
          </cell>
          <cell r="G6592">
            <v>1991</v>
          </cell>
          <cell r="H6592">
            <v>10</v>
          </cell>
          <cell r="I6592">
            <v>709856000</v>
          </cell>
        </row>
        <row r="6593">
          <cell r="A6593" t="str">
            <v>Malta</v>
          </cell>
          <cell r="B6593">
            <v>470</v>
          </cell>
          <cell r="C6593">
            <v>203</v>
          </cell>
          <cell r="D6593">
            <v>3</v>
          </cell>
          <cell r="E6593" t="str">
            <v>Equals: VALUE ADDED, GROSS, at basic prices</v>
          </cell>
          <cell r="F6593">
            <v>12</v>
          </cell>
          <cell r="G6593">
            <v>1992</v>
          </cell>
          <cell r="H6593">
            <v>10</v>
          </cell>
          <cell r="I6593">
            <v>769638000</v>
          </cell>
        </row>
        <row r="6594">
          <cell r="A6594" t="str">
            <v>Malta</v>
          </cell>
          <cell r="B6594">
            <v>470</v>
          </cell>
          <cell r="C6594">
            <v>203</v>
          </cell>
          <cell r="D6594">
            <v>3</v>
          </cell>
          <cell r="E6594" t="str">
            <v>Equals: VALUE ADDED, GROSS, at basic prices</v>
          </cell>
          <cell r="F6594">
            <v>12</v>
          </cell>
          <cell r="G6594">
            <v>1993</v>
          </cell>
          <cell r="H6594">
            <v>10</v>
          </cell>
          <cell r="I6594">
            <v>834097000</v>
          </cell>
        </row>
        <row r="6595">
          <cell r="A6595" t="str">
            <v>Malta</v>
          </cell>
          <cell r="B6595">
            <v>470</v>
          </cell>
          <cell r="C6595">
            <v>203</v>
          </cell>
          <cell r="D6595">
            <v>3</v>
          </cell>
          <cell r="E6595" t="str">
            <v>Equals: VALUE ADDED, GROSS, at basic prices</v>
          </cell>
          <cell r="F6595">
            <v>12</v>
          </cell>
          <cell r="G6595">
            <v>1994</v>
          </cell>
          <cell r="H6595">
            <v>10</v>
          </cell>
          <cell r="I6595">
            <v>919000000</v>
          </cell>
        </row>
        <row r="6596">
          <cell r="A6596" t="str">
            <v>Malta</v>
          </cell>
          <cell r="B6596">
            <v>470</v>
          </cell>
          <cell r="C6596">
            <v>203</v>
          </cell>
          <cell r="D6596">
            <v>3</v>
          </cell>
          <cell r="E6596" t="str">
            <v>Equals: VALUE ADDED, GROSS, at basic prices</v>
          </cell>
          <cell r="F6596">
            <v>12</v>
          </cell>
          <cell r="G6596">
            <v>1995</v>
          </cell>
          <cell r="H6596">
            <v>10</v>
          </cell>
          <cell r="I6596">
            <v>989000000</v>
          </cell>
        </row>
        <row r="6597">
          <cell r="A6597" t="str">
            <v>Malta</v>
          </cell>
          <cell r="B6597">
            <v>470</v>
          </cell>
          <cell r="C6597">
            <v>203</v>
          </cell>
          <cell r="D6597">
            <v>3</v>
          </cell>
          <cell r="E6597" t="str">
            <v>Equals: VALUE ADDED, GROSS, at basic prices</v>
          </cell>
          <cell r="F6597">
            <v>12</v>
          </cell>
          <cell r="G6597">
            <v>1996</v>
          </cell>
          <cell r="H6597">
            <v>10</v>
          </cell>
          <cell r="I6597">
            <v>1053000000</v>
          </cell>
        </row>
        <row r="6598">
          <cell r="A6598" t="str">
            <v>Malta</v>
          </cell>
          <cell r="B6598">
            <v>470</v>
          </cell>
          <cell r="C6598">
            <v>203</v>
          </cell>
          <cell r="D6598">
            <v>3</v>
          </cell>
          <cell r="E6598" t="str">
            <v>Equals: VALUE ADDED, GROSS, at basic prices</v>
          </cell>
          <cell r="F6598">
            <v>12</v>
          </cell>
          <cell r="G6598">
            <v>1997</v>
          </cell>
          <cell r="H6598">
            <v>10</v>
          </cell>
          <cell r="I6598">
            <v>1111000000</v>
          </cell>
        </row>
        <row r="6599">
          <cell r="A6599" t="str">
            <v>Malta</v>
          </cell>
          <cell r="B6599">
            <v>470</v>
          </cell>
          <cell r="C6599">
            <v>203</v>
          </cell>
          <cell r="D6599">
            <v>3</v>
          </cell>
          <cell r="E6599" t="str">
            <v>Equals: VALUE ADDED, GROSS, at basic prices</v>
          </cell>
          <cell r="F6599">
            <v>12</v>
          </cell>
          <cell r="G6599">
            <v>2000</v>
          </cell>
          <cell r="H6599">
            <v>100</v>
          </cell>
          <cell r="I6599">
            <v>1538865000</v>
          </cell>
        </row>
        <row r="6600">
          <cell r="A6600" t="str">
            <v>Malta</v>
          </cell>
          <cell r="B6600">
            <v>470</v>
          </cell>
          <cell r="C6600">
            <v>203</v>
          </cell>
          <cell r="D6600">
            <v>3</v>
          </cell>
          <cell r="E6600" t="str">
            <v>Equals: VALUE ADDED, GROSS, at basic prices</v>
          </cell>
          <cell r="F6600">
            <v>12</v>
          </cell>
          <cell r="G6600">
            <v>2001</v>
          </cell>
          <cell r="H6600">
            <v>100</v>
          </cell>
          <cell r="I6600">
            <v>1575598000</v>
          </cell>
        </row>
        <row r="6601">
          <cell r="A6601" t="str">
            <v>Malta</v>
          </cell>
          <cell r="B6601">
            <v>470</v>
          </cell>
          <cell r="C6601">
            <v>203</v>
          </cell>
          <cell r="D6601">
            <v>3</v>
          </cell>
          <cell r="E6601" t="str">
            <v>Equals: VALUE ADDED, GROSS, at basic prices</v>
          </cell>
          <cell r="F6601">
            <v>12</v>
          </cell>
          <cell r="G6601">
            <v>2002</v>
          </cell>
          <cell r="H6601">
            <v>100</v>
          </cell>
          <cell r="I6601">
            <v>1588182000</v>
          </cell>
        </row>
        <row r="6602">
          <cell r="A6602" t="str">
            <v>Malta</v>
          </cell>
          <cell r="B6602">
            <v>470</v>
          </cell>
          <cell r="C6602">
            <v>203</v>
          </cell>
          <cell r="D6602">
            <v>3</v>
          </cell>
          <cell r="E6602" t="str">
            <v>Equals: VALUE ADDED, GROSS, at basic prices</v>
          </cell>
          <cell r="F6602">
            <v>12</v>
          </cell>
          <cell r="G6602">
            <v>2003</v>
          </cell>
          <cell r="H6602">
            <v>100</v>
          </cell>
          <cell r="I6602">
            <v>1676511000</v>
          </cell>
        </row>
        <row r="6603">
          <cell r="A6603" t="str">
            <v>Malta</v>
          </cell>
          <cell r="B6603">
            <v>470</v>
          </cell>
          <cell r="C6603">
            <v>203</v>
          </cell>
          <cell r="D6603">
            <v>4</v>
          </cell>
          <cell r="E6603" t="str">
            <v>Compensation of employees</v>
          </cell>
          <cell r="F6603">
            <v>12</v>
          </cell>
          <cell r="G6603">
            <v>1970</v>
          </cell>
          <cell r="H6603">
            <v>10</v>
          </cell>
          <cell r="I6603">
            <v>47147000</v>
          </cell>
        </row>
        <row r="6604">
          <cell r="A6604" t="str">
            <v>Malta</v>
          </cell>
          <cell r="B6604">
            <v>470</v>
          </cell>
          <cell r="C6604">
            <v>203</v>
          </cell>
          <cell r="D6604">
            <v>4</v>
          </cell>
          <cell r="E6604" t="str">
            <v>Compensation of employees</v>
          </cell>
          <cell r="F6604">
            <v>12</v>
          </cell>
          <cell r="G6604">
            <v>1971</v>
          </cell>
          <cell r="H6604">
            <v>10</v>
          </cell>
          <cell r="I6604">
            <v>50522000</v>
          </cell>
        </row>
        <row r="6605">
          <cell r="A6605" t="str">
            <v>Malta</v>
          </cell>
          <cell r="B6605">
            <v>470</v>
          </cell>
          <cell r="C6605">
            <v>203</v>
          </cell>
          <cell r="D6605">
            <v>4</v>
          </cell>
          <cell r="E6605" t="str">
            <v>Compensation of employees</v>
          </cell>
          <cell r="F6605">
            <v>12</v>
          </cell>
          <cell r="G6605">
            <v>1972</v>
          </cell>
          <cell r="H6605">
            <v>10</v>
          </cell>
          <cell r="I6605">
            <v>50706000</v>
          </cell>
        </row>
        <row r="6606">
          <cell r="A6606" t="str">
            <v>Malta</v>
          </cell>
          <cell r="B6606">
            <v>470</v>
          </cell>
          <cell r="C6606">
            <v>203</v>
          </cell>
          <cell r="D6606">
            <v>4</v>
          </cell>
          <cell r="E6606" t="str">
            <v>Compensation of employees</v>
          </cell>
          <cell r="F6606">
            <v>12</v>
          </cell>
          <cell r="G6606">
            <v>1973</v>
          </cell>
          <cell r="H6606">
            <v>10</v>
          </cell>
          <cell r="I6606">
            <v>55539000</v>
          </cell>
        </row>
        <row r="6607">
          <cell r="A6607" t="str">
            <v>Malta</v>
          </cell>
          <cell r="B6607">
            <v>470</v>
          </cell>
          <cell r="C6607">
            <v>203</v>
          </cell>
          <cell r="D6607">
            <v>4</v>
          </cell>
          <cell r="E6607" t="str">
            <v>Compensation of employees</v>
          </cell>
          <cell r="F6607">
            <v>12</v>
          </cell>
          <cell r="G6607">
            <v>1974</v>
          </cell>
          <cell r="H6607">
            <v>10</v>
          </cell>
          <cell r="I6607">
            <v>64638000</v>
          </cell>
        </row>
        <row r="6608">
          <cell r="A6608" t="str">
            <v>Malta</v>
          </cell>
          <cell r="B6608">
            <v>470</v>
          </cell>
          <cell r="C6608">
            <v>203</v>
          </cell>
          <cell r="D6608">
            <v>4</v>
          </cell>
          <cell r="E6608" t="str">
            <v>Compensation of employees</v>
          </cell>
          <cell r="F6608">
            <v>12</v>
          </cell>
          <cell r="G6608">
            <v>1975</v>
          </cell>
          <cell r="H6608">
            <v>10</v>
          </cell>
          <cell r="I6608">
            <v>82975000</v>
          </cell>
        </row>
        <row r="6609">
          <cell r="A6609" t="str">
            <v>Malta</v>
          </cell>
          <cell r="B6609">
            <v>470</v>
          </cell>
          <cell r="C6609">
            <v>203</v>
          </cell>
          <cell r="D6609">
            <v>4</v>
          </cell>
          <cell r="E6609" t="str">
            <v>Compensation of employees</v>
          </cell>
          <cell r="F6609">
            <v>12</v>
          </cell>
          <cell r="G6609">
            <v>1976</v>
          </cell>
          <cell r="H6609">
            <v>10</v>
          </cell>
          <cell r="I6609">
            <v>98379000</v>
          </cell>
        </row>
        <row r="6610">
          <cell r="A6610" t="str">
            <v>Malta</v>
          </cell>
          <cell r="B6610">
            <v>470</v>
          </cell>
          <cell r="C6610">
            <v>203</v>
          </cell>
          <cell r="D6610">
            <v>4</v>
          </cell>
          <cell r="E6610" t="str">
            <v>Compensation of employees</v>
          </cell>
          <cell r="F6610">
            <v>12</v>
          </cell>
          <cell r="G6610">
            <v>1977</v>
          </cell>
          <cell r="H6610">
            <v>10</v>
          </cell>
          <cell r="I6610">
            <v>113054000</v>
          </cell>
        </row>
        <row r="6611">
          <cell r="A6611" t="str">
            <v>Malta</v>
          </cell>
          <cell r="B6611">
            <v>470</v>
          </cell>
          <cell r="C6611">
            <v>203</v>
          </cell>
          <cell r="D6611">
            <v>4</v>
          </cell>
          <cell r="E6611" t="str">
            <v>Compensation of employees</v>
          </cell>
          <cell r="F6611">
            <v>12</v>
          </cell>
          <cell r="G6611">
            <v>1978</v>
          </cell>
          <cell r="H6611">
            <v>10</v>
          </cell>
          <cell r="I6611">
            <v>131460000</v>
          </cell>
        </row>
        <row r="6612">
          <cell r="A6612" t="str">
            <v>Malta</v>
          </cell>
          <cell r="B6612">
            <v>470</v>
          </cell>
          <cell r="C6612">
            <v>203</v>
          </cell>
          <cell r="D6612">
            <v>4</v>
          </cell>
          <cell r="E6612" t="str">
            <v>Compensation of employees</v>
          </cell>
          <cell r="F6612">
            <v>12</v>
          </cell>
          <cell r="G6612">
            <v>1979</v>
          </cell>
          <cell r="H6612">
            <v>10</v>
          </cell>
          <cell r="I6612">
            <v>152669000</v>
          </cell>
        </row>
        <row r="6613">
          <cell r="A6613" t="str">
            <v>Malta</v>
          </cell>
          <cell r="B6613">
            <v>470</v>
          </cell>
          <cell r="C6613">
            <v>203</v>
          </cell>
          <cell r="D6613">
            <v>4</v>
          </cell>
          <cell r="E6613" t="str">
            <v>Compensation of employees</v>
          </cell>
          <cell r="F6613">
            <v>12</v>
          </cell>
          <cell r="G6613">
            <v>1980</v>
          </cell>
          <cell r="H6613">
            <v>10</v>
          </cell>
          <cell r="I6613">
            <v>180553000</v>
          </cell>
        </row>
        <row r="6614">
          <cell r="A6614" t="str">
            <v>Malta</v>
          </cell>
          <cell r="B6614">
            <v>470</v>
          </cell>
          <cell r="C6614">
            <v>203</v>
          </cell>
          <cell r="D6614">
            <v>4</v>
          </cell>
          <cell r="E6614" t="str">
            <v>Compensation of employees</v>
          </cell>
          <cell r="F6614">
            <v>12</v>
          </cell>
          <cell r="G6614">
            <v>1981</v>
          </cell>
          <cell r="H6614">
            <v>10</v>
          </cell>
          <cell r="I6614">
            <v>203805000</v>
          </cell>
        </row>
        <row r="6615">
          <cell r="A6615" t="str">
            <v>Malta</v>
          </cell>
          <cell r="B6615">
            <v>470</v>
          </cell>
          <cell r="C6615">
            <v>203</v>
          </cell>
          <cell r="D6615">
            <v>4</v>
          </cell>
          <cell r="E6615" t="str">
            <v>Compensation of employees</v>
          </cell>
          <cell r="F6615">
            <v>12</v>
          </cell>
          <cell r="G6615">
            <v>1982</v>
          </cell>
          <cell r="H6615">
            <v>10</v>
          </cell>
          <cell r="I6615">
            <v>228625000</v>
          </cell>
        </row>
        <row r="6616">
          <cell r="A6616" t="str">
            <v>Malta</v>
          </cell>
          <cell r="B6616">
            <v>470</v>
          </cell>
          <cell r="C6616">
            <v>203</v>
          </cell>
          <cell r="D6616">
            <v>4</v>
          </cell>
          <cell r="E6616" t="str">
            <v>Compensation of employees</v>
          </cell>
          <cell r="F6616">
            <v>12</v>
          </cell>
          <cell r="G6616">
            <v>1983</v>
          </cell>
          <cell r="H6616">
            <v>10</v>
          </cell>
          <cell r="I6616">
            <v>223584000</v>
          </cell>
        </row>
        <row r="6617">
          <cell r="A6617" t="str">
            <v>Malta</v>
          </cell>
          <cell r="B6617">
            <v>470</v>
          </cell>
          <cell r="C6617">
            <v>203</v>
          </cell>
          <cell r="D6617">
            <v>4</v>
          </cell>
          <cell r="E6617" t="str">
            <v>Compensation of employees</v>
          </cell>
          <cell r="F6617">
            <v>12</v>
          </cell>
          <cell r="G6617">
            <v>1984</v>
          </cell>
          <cell r="H6617">
            <v>10</v>
          </cell>
          <cell r="I6617">
            <v>217928000</v>
          </cell>
        </row>
        <row r="6618">
          <cell r="A6618" t="str">
            <v>Malta</v>
          </cell>
          <cell r="B6618">
            <v>470</v>
          </cell>
          <cell r="C6618">
            <v>203</v>
          </cell>
          <cell r="D6618">
            <v>4</v>
          </cell>
          <cell r="E6618" t="str">
            <v>Compensation of employees</v>
          </cell>
          <cell r="F6618">
            <v>12</v>
          </cell>
          <cell r="G6618">
            <v>1985</v>
          </cell>
          <cell r="H6618">
            <v>10</v>
          </cell>
          <cell r="I6618">
            <v>222942000</v>
          </cell>
        </row>
        <row r="6619">
          <cell r="A6619" t="str">
            <v>Malta</v>
          </cell>
          <cell r="B6619">
            <v>470</v>
          </cell>
          <cell r="C6619">
            <v>203</v>
          </cell>
          <cell r="D6619">
            <v>4</v>
          </cell>
          <cell r="E6619" t="str">
            <v>Compensation of employees</v>
          </cell>
          <cell r="F6619">
            <v>12</v>
          </cell>
          <cell r="G6619">
            <v>1986</v>
          </cell>
          <cell r="H6619">
            <v>10</v>
          </cell>
          <cell r="I6619">
            <v>231617000</v>
          </cell>
        </row>
        <row r="6620">
          <cell r="A6620" t="str">
            <v>Malta</v>
          </cell>
          <cell r="B6620">
            <v>470</v>
          </cell>
          <cell r="C6620">
            <v>203</v>
          </cell>
          <cell r="D6620">
            <v>4</v>
          </cell>
          <cell r="E6620" t="str">
            <v>Compensation of employees</v>
          </cell>
          <cell r="F6620">
            <v>12</v>
          </cell>
          <cell r="G6620">
            <v>1987</v>
          </cell>
          <cell r="H6620">
            <v>10</v>
          </cell>
          <cell r="I6620">
            <v>254706000</v>
          </cell>
        </row>
        <row r="6621">
          <cell r="A6621" t="str">
            <v>Malta</v>
          </cell>
          <cell r="B6621">
            <v>470</v>
          </cell>
          <cell r="C6621">
            <v>203</v>
          </cell>
          <cell r="D6621">
            <v>4</v>
          </cell>
          <cell r="E6621" t="str">
            <v>Compensation of employees</v>
          </cell>
          <cell r="F6621">
            <v>12</v>
          </cell>
          <cell r="G6621">
            <v>1988</v>
          </cell>
          <cell r="H6621">
            <v>10</v>
          </cell>
          <cell r="I6621">
            <v>269569000</v>
          </cell>
        </row>
        <row r="6622">
          <cell r="A6622" t="str">
            <v>Malta</v>
          </cell>
          <cell r="B6622">
            <v>470</v>
          </cell>
          <cell r="C6622">
            <v>203</v>
          </cell>
          <cell r="D6622">
            <v>4</v>
          </cell>
          <cell r="E6622" t="str">
            <v>Compensation of employees</v>
          </cell>
          <cell r="F6622">
            <v>12</v>
          </cell>
          <cell r="G6622">
            <v>1989</v>
          </cell>
          <cell r="H6622">
            <v>10</v>
          </cell>
          <cell r="I6622">
            <v>288234000</v>
          </cell>
        </row>
        <row r="6623">
          <cell r="A6623" t="str">
            <v>Malta</v>
          </cell>
          <cell r="B6623">
            <v>470</v>
          </cell>
          <cell r="C6623">
            <v>203</v>
          </cell>
          <cell r="D6623">
            <v>4</v>
          </cell>
          <cell r="E6623" t="str">
            <v>Compensation of employees</v>
          </cell>
          <cell r="F6623">
            <v>12</v>
          </cell>
          <cell r="G6623">
            <v>1990</v>
          </cell>
          <cell r="H6623">
            <v>10</v>
          </cell>
          <cell r="I6623">
            <v>318990000</v>
          </cell>
        </row>
        <row r="6624">
          <cell r="A6624" t="str">
            <v>Malta</v>
          </cell>
          <cell r="B6624">
            <v>470</v>
          </cell>
          <cell r="C6624">
            <v>203</v>
          </cell>
          <cell r="D6624">
            <v>4</v>
          </cell>
          <cell r="E6624" t="str">
            <v>Compensation of employees</v>
          </cell>
          <cell r="F6624">
            <v>12</v>
          </cell>
          <cell r="G6624">
            <v>1991</v>
          </cell>
          <cell r="H6624">
            <v>10</v>
          </cell>
          <cell r="I6624">
            <v>353946000</v>
          </cell>
        </row>
        <row r="6625">
          <cell r="A6625" t="str">
            <v>Malta</v>
          </cell>
          <cell r="B6625">
            <v>470</v>
          </cell>
          <cell r="C6625">
            <v>203</v>
          </cell>
          <cell r="D6625">
            <v>4</v>
          </cell>
          <cell r="E6625" t="str">
            <v>Compensation of employees</v>
          </cell>
          <cell r="F6625">
            <v>12</v>
          </cell>
          <cell r="G6625">
            <v>1992</v>
          </cell>
          <cell r="H6625">
            <v>10</v>
          </cell>
          <cell r="I6625">
            <v>383543000</v>
          </cell>
        </row>
        <row r="6626">
          <cell r="A6626" t="str">
            <v>Malta</v>
          </cell>
          <cell r="B6626">
            <v>470</v>
          </cell>
          <cell r="C6626">
            <v>203</v>
          </cell>
          <cell r="D6626">
            <v>4</v>
          </cell>
          <cell r="E6626" t="str">
            <v>Compensation of employees</v>
          </cell>
          <cell r="F6626">
            <v>12</v>
          </cell>
          <cell r="G6626">
            <v>1993</v>
          </cell>
          <cell r="H6626">
            <v>10</v>
          </cell>
          <cell r="I6626">
            <v>428137000</v>
          </cell>
        </row>
        <row r="6627">
          <cell r="A6627" t="str">
            <v>Malta</v>
          </cell>
          <cell r="B6627">
            <v>470</v>
          </cell>
          <cell r="C6627">
            <v>203</v>
          </cell>
          <cell r="D6627">
            <v>4</v>
          </cell>
          <cell r="E6627" t="str">
            <v>Compensation of employees</v>
          </cell>
          <cell r="F6627">
            <v>12</v>
          </cell>
          <cell r="G6627">
            <v>1994</v>
          </cell>
          <cell r="H6627">
            <v>10</v>
          </cell>
          <cell r="I6627">
            <v>459000000</v>
          </cell>
        </row>
        <row r="6628">
          <cell r="A6628" t="str">
            <v>Malta</v>
          </cell>
          <cell r="B6628">
            <v>470</v>
          </cell>
          <cell r="C6628">
            <v>203</v>
          </cell>
          <cell r="D6628">
            <v>4</v>
          </cell>
          <cell r="E6628" t="str">
            <v>Compensation of employees</v>
          </cell>
          <cell r="F6628">
            <v>12</v>
          </cell>
          <cell r="G6628">
            <v>1995</v>
          </cell>
          <cell r="H6628">
            <v>10</v>
          </cell>
          <cell r="I6628">
            <v>517000000</v>
          </cell>
        </row>
        <row r="6629">
          <cell r="A6629" t="str">
            <v>Malta</v>
          </cell>
          <cell r="B6629">
            <v>470</v>
          </cell>
          <cell r="C6629">
            <v>203</v>
          </cell>
          <cell r="D6629">
            <v>4</v>
          </cell>
          <cell r="E6629" t="str">
            <v>Compensation of employees</v>
          </cell>
          <cell r="F6629">
            <v>12</v>
          </cell>
          <cell r="G6629">
            <v>1996</v>
          </cell>
          <cell r="H6629">
            <v>10</v>
          </cell>
          <cell r="I6629">
            <v>560000000</v>
          </cell>
        </row>
        <row r="6630">
          <cell r="A6630" t="str">
            <v>Malta</v>
          </cell>
          <cell r="B6630">
            <v>470</v>
          </cell>
          <cell r="C6630">
            <v>203</v>
          </cell>
          <cell r="D6630">
            <v>4</v>
          </cell>
          <cell r="E6630" t="str">
            <v>Compensation of employees</v>
          </cell>
          <cell r="F6630">
            <v>12</v>
          </cell>
          <cell r="G6630">
            <v>1997</v>
          </cell>
          <cell r="H6630">
            <v>10</v>
          </cell>
          <cell r="I6630">
            <v>577000000</v>
          </cell>
        </row>
        <row r="6631">
          <cell r="A6631" t="str">
            <v>Malta</v>
          </cell>
          <cell r="B6631">
            <v>470</v>
          </cell>
          <cell r="C6631">
            <v>203</v>
          </cell>
          <cell r="D6631">
            <v>4</v>
          </cell>
          <cell r="E6631" t="str">
            <v>Compensation of employees</v>
          </cell>
          <cell r="F6631">
            <v>12</v>
          </cell>
          <cell r="G6631">
            <v>2000</v>
          </cell>
          <cell r="H6631">
            <v>100</v>
          </cell>
          <cell r="I6631">
            <v>754036000</v>
          </cell>
        </row>
        <row r="6632">
          <cell r="A6632" t="str">
            <v>Malta</v>
          </cell>
          <cell r="B6632">
            <v>470</v>
          </cell>
          <cell r="C6632">
            <v>203</v>
          </cell>
          <cell r="D6632">
            <v>4</v>
          </cell>
          <cell r="E6632" t="str">
            <v>Compensation of employees</v>
          </cell>
          <cell r="F6632">
            <v>12</v>
          </cell>
          <cell r="G6632">
            <v>2001</v>
          </cell>
          <cell r="H6632">
            <v>100</v>
          </cell>
          <cell r="I6632">
            <v>816966000</v>
          </cell>
        </row>
        <row r="6633">
          <cell r="A6633" t="str">
            <v>Malta</v>
          </cell>
          <cell r="B6633">
            <v>470</v>
          </cell>
          <cell r="C6633">
            <v>203</v>
          </cell>
          <cell r="D6633">
            <v>4</v>
          </cell>
          <cell r="E6633" t="str">
            <v>Compensation of employees</v>
          </cell>
          <cell r="F6633">
            <v>12</v>
          </cell>
          <cell r="G6633">
            <v>2002</v>
          </cell>
          <cell r="H6633">
            <v>100</v>
          </cell>
          <cell r="I6633">
            <v>829517000</v>
          </cell>
        </row>
        <row r="6634">
          <cell r="A6634" t="str">
            <v>Malta</v>
          </cell>
          <cell r="B6634">
            <v>470</v>
          </cell>
          <cell r="C6634">
            <v>203</v>
          </cell>
          <cell r="D6634">
            <v>4</v>
          </cell>
          <cell r="E6634" t="str">
            <v>Compensation of employees</v>
          </cell>
          <cell r="F6634">
            <v>12</v>
          </cell>
          <cell r="G6634">
            <v>2003</v>
          </cell>
          <cell r="H6634">
            <v>100</v>
          </cell>
          <cell r="I6634">
            <v>861072000</v>
          </cell>
        </row>
        <row r="6635">
          <cell r="A6635" t="str">
            <v>Malta</v>
          </cell>
          <cell r="B6635">
            <v>470</v>
          </cell>
          <cell r="C6635">
            <v>203</v>
          </cell>
          <cell r="D6635">
            <v>11</v>
          </cell>
          <cell r="E6635" t="str">
            <v>OPERATING SURPLUS, GROSS</v>
          </cell>
          <cell r="F6635">
            <v>12</v>
          </cell>
          <cell r="G6635">
            <v>1970</v>
          </cell>
          <cell r="H6635">
            <v>10</v>
          </cell>
          <cell r="I6635">
            <v>35054000</v>
          </cell>
        </row>
        <row r="6636">
          <cell r="A6636" t="str">
            <v>Malta</v>
          </cell>
          <cell r="B6636">
            <v>470</v>
          </cell>
          <cell r="C6636">
            <v>203</v>
          </cell>
          <cell r="D6636">
            <v>11</v>
          </cell>
          <cell r="E6636" t="str">
            <v>OPERATING SURPLUS, GROSS</v>
          </cell>
          <cell r="F6636">
            <v>12</v>
          </cell>
          <cell r="G6636">
            <v>1971</v>
          </cell>
          <cell r="H6636">
            <v>10</v>
          </cell>
          <cell r="I6636">
            <v>34688000</v>
          </cell>
        </row>
        <row r="6637">
          <cell r="A6637" t="str">
            <v>Malta</v>
          </cell>
          <cell r="B6637">
            <v>470</v>
          </cell>
          <cell r="C6637">
            <v>203</v>
          </cell>
          <cell r="D6637">
            <v>11</v>
          </cell>
          <cell r="E6637" t="str">
            <v>OPERATING SURPLUS, GROSS</v>
          </cell>
          <cell r="F6637">
            <v>12</v>
          </cell>
          <cell r="G6637">
            <v>1972</v>
          </cell>
          <cell r="H6637">
            <v>10</v>
          </cell>
          <cell r="I6637">
            <v>38940000</v>
          </cell>
        </row>
        <row r="6638">
          <cell r="A6638" t="str">
            <v>Malta</v>
          </cell>
          <cell r="B6638">
            <v>470</v>
          </cell>
          <cell r="C6638">
            <v>203</v>
          </cell>
          <cell r="D6638">
            <v>11</v>
          </cell>
          <cell r="E6638" t="str">
            <v>OPERATING SURPLUS, GROSS</v>
          </cell>
          <cell r="F6638">
            <v>12</v>
          </cell>
          <cell r="G6638">
            <v>1973</v>
          </cell>
          <cell r="H6638">
            <v>10</v>
          </cell>
          <cell r="I6638">
            <v>45328000</v>
          </cell>
        </row>
        <row r="6639">
          <cell r="A6639" t="str">
            <v>Malta</v>
          </cell>
          <cell r="B6639">
            <v>470</v>
          </cell>
          <cell r="C6639">
            <v>203</v>
          </cell>
          <cell r="D6639">
            <v>11</v>
          </cell>
          <cell r="E6639" t="str">
            <v>OPERATING SURPLUS, GROSS</v>
          </cell>
          <cell r="F6639">
            <v>12</v>
          </cell>
          <cell r="G6639">
            <v>1974</v>
          </cell>
          <cell r="H6639">
            <v>10</v>
          </cell>
          <cell r="I6639">
            <v>53976000</v>
          </cell>
        </row>
        <row r="6640">
          <cell r="A6640" t="str">
            <v>Malta</v>
          </cell>
          <cell r="B6640">
            <v>470</v>
          </cell>
          <cell r="C6640">
            <v>203</v>
          </cell>
          <cell r="D6640">
            <v>11</v>
          </cell>
          <cell r="E6640" t="str">
            <v>OPERATING SURPLUS, GROSS</v>
          </cell>
          <cell r="F6640">
            <v>12</v>
          </cell>
          <cell r="G6640">
            <v>1975</v>
          </cell>
          <cell r="H6640">
            <v>10</v>
          </cell>
          <cell r="I6640">
            <v>69969000</v>
          </cell>
        </row>
        <row r="6641">
          <cell r="A6641" t="str">
            <v>Malta</v>
          </cell>
          <cell r="B6641">
            <v>470</v>
          </cell>
          <cell r="C6641">
            <v>203</v>
          </cell>
          <cell r="D6641">
            <v>11</v>
          </cell>
          <cell r="E6641" t="str">
            <v>OPERATING SURPLUS, GROSS</v>
          </cell>
          <cell r="F6641">
            <v>12</v>
          </cell>
          <cell r="G6641">
            <v>1976</v>
          </cell>
          <cell r="H6641">
            <v>10</v>
          </cell>
          <cell r="I6641">
            <v>91069000</v>
          </cell>
        </row>
        <row r="6642">
          <cell r="A6642" t="str">
            <v>Malta</v>
          </cell>
          <cell r="B6642">
            <v>470</v>
          </cell>
          <cell r="C6642">
            <v>203</v>
          </cell>
          <cell r="D6642">
            <v>11</v>
          </cell>
          <cell r="E6642" t="str">
            <v>OPERATING SURPLUS, GROSS</v>
          </cell>
          <cell r="F6642">
            <v>12</v>
          </cell>
          <cell r="G6642">
            <v>1977</v>
          </cell>
          <cell r="H6642">
            <v>10</v>
          </cell>
          <cell r="I6642">
            <v>106845000</v>
          </cell>
        </row>
        <row r="6643">
          <cell r="A6643" t="str">
            <v>Malta</v>
          </cell>
          <cell r="B6643">
            <v>470</v>
          </cell>
          <cell r="C6643">
            <v>203</v>
          </cell>
          <cell r="D6643">
            <v>11</v>
          </cell>
          <cell r="E6643" t="str">
            <v>OPERATING SURPLUS, GROSS</v>
          </cell>
          <cell r="F6643">
            <v>12</v>
          </cell>
          <cell r="G6643">
            <v>1978</v>
          </cell>
          <cell r="H6643">
            <v>10</v>
          </cell>
          <cell r="I6643">
            <v>119800000</v>
          </cell>
        </row>
        <row r="6644">
          <cell r="A6644" t="str">
            <v>Malta</v>
          </cell>
          <cell r="B6644">
            <v>470</v>
          </cell>
          <cell r="C6644">
            <v>203</v>
          </cell>
          <cell r="D6644">
            <v>11</v>
          </cell>
          <cell r="E6644" t="str">
            <v>OPERATING SURPLUS, GROSS</v>
          </cell>
          <cell r="F6644">
            <v>12</v>
          </cell>
          <cell r="G6644">
            <v>1979</v>
          </cell>
          <cell r="H6644">
            <v>10</v>
          </cell>
          <cell r="I6644">
            <v>140982000</v>
          </cell>
        </row>
        <row r="6645">
          <cell r="A6645" t="str">
            <v>Malta</v>
          </cell>
          <cell r="B6645">
            <v>470</v>
          </cell>
          <cell r="C6645">
            <v>203</v>
          </cell>
          <cell r="D6645">
            <v>11</v>
          </cell>
          <cell r="E6645" t="str">
            <v>OPERATING SURPLUS, GROSS</v>
          </cell>
          <cell r="F6645">
            <v>12</v>
          </cell>
          <cell r="G6645">
            <v>1980</v>
          </cell>
          <cell r="H6645">
            <v>10</v>
          </cell>
          <cell r="I6645">
            <v>168059000</v>
          </cell>
        </row>
        <row r="6646">
          <cell r="A6646" t="str">
            <v>Malta</v>
          </cell>
          <cell r="B6646">
            <v>470</v>
          </cell>
          <cell r="C6646">
            <v>203</v>
          </cell>
          <cell r="D6646">
            <v>11</v>
          </cell>
          <cell r="E6646" t="str">
            <v>OPERATING SURPLUS, GROSS</v>
          </cell>
          <cell r="F6646">
            <v>12</v>
          </cell>
          <cell r="G6646">
            <v>1981</v>
          </cell>
          <cell r="H6646">
            <v>10</v>
          </cell>
          <cell r="I6646">
            <v>186729000</v>
          </cell>
        </row>
        <row r="6647">
          <cell r="A6647" t="str">
            <v>Malta</v>
          </cell>
          <cell r="B6647">
            <v>470</v>
          </cell>
          <cell r="C6647">
            <v>203</v>
          </cell>
          <cell r="D6647">
            <v>11</v>
          </cell>
          <cell r="E6647" t="str">
            <v>OPERATING SURPLUS, GROSS</v>
          </cell>
          <cell r="F6647">
            <v>12</v>
          </cell>
          <cell r="G6647">
            <v>1982</v>
          </cell>
          <cell r="H6647">
            <v>10</v>
          </cell>
          <cell r="I6647">
            <v>189120000</v>
          </cell>
        </row>
        <row r="6648">
          <cell r="A6648" t="str">
            <v>Malta</v>
          </cell>
          <cell r="B6648">
            <v>470</v>
          </cell>
          <cell r="C6648">
            <v>203</v>
          </cell>
          <cell r="D6648">
            <v>11</v>
          </cell>
          <cell r="E6648" t="str">
            <v>OPERATING SURPLUS, GROSS</v>
          </cell>
          <cell r="F6648">
            <v>12</v>
          </cell>
          <cell r="G6648">
            <v>1983</v>
          </cell>
          <cell r="H6648">
            <v>10</v>
          </cell>
          <cell r="I6648">
            <v>193546000</v>
          </cell>
        </row>
        <row r="6649">
          <cell r="A6649" t="str">
            <v>Malta</v>
          </cell>
          <cell r="B6649">
            <v>470</v>
          </cell>
          <cell r="C6649">
            <v>203</v>
          </cell>
          <cell r="D6649">
            <v>11</v>
          </cell>
          <cell r="E6649" t="str">
            <v>OPERATING SURPLUS, GROSS</v>
          </cell>
          <cell r="F6649">
            <v>12</v>
          </cell>
          <cell r="G6649">
            <v>1984</v>
          </cell>
          <cell r="H6649">
            <v>10</v>
          </cell>
          <cell r="I6649">
            <v>203449000</v>
          </cell>
        </row>
        <row r="6650">
          <cell r="A6650" t="str">
            <v>Malta</v>
          </cell>
          <cell r="B6650">
            <v>470</v>
          </cell>
          <cell r="C6650">
            <v>203</v>
          </cell>
          <cell r="D6650">
            <v>11</v>
          </cell>
          <cell r="E6650" t="str">
            <v>OPERATING SURPLUS, GROSS</v>
          </cell>
          <cell r="F6650">
            <v>12</v>
          </cell>
          <cell r="G6650">
            <v>1985</v>
          </cell>
          <cell r="H6650">
            <v>10</v>
          </cell>
          <cell r="I6650">
            <v>207608000</v>
          </cell>
        </row>
        <row r="6651">
          <cell r="A6651" t="str">
            <v>Malta</v>
          </cell>
          <cell r="B6651">
            <v>470</v>
          </cell>
          <cell r="C6651">
            <v>203</v>
          </cell>
          <cell r="D6651">
            <v>11</v>
          </cell>
          <cell r="E6651" t="str">
            <v>OPERATING SURPLUS, GROSS</v>
          </cell>
          <cell r="F6651">
            <v>12</v>
          </cell>
          <cell r="G6651">
            <v>1986</v>
          </cell>
          <cell r="H6651">
            <v>10</v>
          </cell>
          <cell r="I6651">
            <v>230149000</v>
          </cell>
        </row>
        <row r="6652">
          <cell r="A6652" t="str">
            <v>Malta</v>
          </cell>
          <cell r="B6652">
            <v>470</v>
          </cell>
          <cell r="C6652">
            <v>203</v>
          </cell>
          <cell r="D6652">
            <v>11</v>
          </cell>
          <cell r="E6652" t="str">
            <v>OPERATING SURPLUS, GROSS</v>
          </cell>
          <cell r="F6652">
            <v>12</v>
          </cell>
          <cell r="G6652">
            <v>1987</v>
          </cell>
          <cell r="H6652">
            <v>10</v>
          </cell>
          <cell r="I6652">
            <v>240744000</v>
          </cell>
        </row>
        <row r="6653">
          <cell r="A6653" t="str">
            <v>Malta</v>
          </cell>
          <cell r="B6653">
            <v>470</v>
          </cell>
          <cell r="C6653">
            <v>203</v>
          </cell>
          <cell r="D6653">
            <v>11</v>
          </cell>
          <cell r="E6653" t="str">
            <v>OPERATING SURPLUS, GROSS</v>
          </cell>
          <cell r="F6653">
            <v>12</v>
          </cell>
          <cell r="G6653">
            <v>1988</v>
          </cell>
          <cell r="H6653">
            <v>10</v>
          </cell>
          <cell r="I6653">
            <v>273065000</v>
          </cell>
        </row>
        <row r="6654">
          <cell r="A6654" t="str">
            <v>Malta</v>
          </cell>
          <cell r="B6654">
            <v>470</v>
          </cell>
          <cell r="C6654">
            <v>203</v>
          </cell>
          <cell r="D6654">
            <v>11</v>
          </cell>
          <cell r="E6654" t="str">
            <v>OPERATING SURPLUS, GROSS</v>
          </cell>
          <cell r="F6654">
            <v>12</v>
          </cell>
          <cell r="G6654">
            <v>1989</v>
          </cell>
          <cell r="H6654">
            <v>10</v>
          </cell>
          <cell r="I6654">
            <v>308615000</v>
          </cell>
        </row>
        <row r="6655">
          <cell r="A6655" t="str">
            <v>Malta</v>
          </cell>
          <cell r="B6655">
            <v>470</v>
          </cell>
          <cell r="C6655">
            <v>203</v>
          </cell>
          <cell r="D6655">
            <v>11</v>
          </cell>
          <cell r="E6655" t="str">
            <v>OPERATING SURPLUS, GROSS</v>
          </cell>
          <cell r="F6655">
            <v>12</v>
          </cell>
          <cell r="G6655">
            <v>1990</v>
          </cell>
          <cell r="H6655">
            <v>10</v>
          </cell>
          <cell r="I6655">
            <v>330601000</v>
          </cell>
        </row>
        <row r="6656">
          <cell r="A6656" t="str">
            <v>Malta</v>
          </cell>
          <cell r="B6656">
            <v>470</v>
          </cell>
          <cell r="C6656">
            <v>203</v>
          </cell>
          <cell r="D6656">
            <v>11</v>
          </cell>
          <cell r="E6656" t="str">
            <v>OPERATING SURPLUS, GROSS</v>
          </cell>
          <cell r="F6656">
            <v>12</v>
          </cell>
          <cell r="G6656">
            <v>1991</v>
          </cell>
          <cell r="H6656">
            <v>10</v>
          </cell>
          <cell r="I6656">
            <v>355910000</v>
          </cell>
        </row>
        <row r="6657">
          <cell r="A6657" t="str">
            <v>Malta</v>
          </cell>
          <cell r="B6657">
            <v>470</v>
          </cell>
          <cell r="C6657">
            <v>203</v>
          </cell>
          <cell r="D6657">
            <v>11</v>
          </cell>
          <cell r="E6657" t="str">
            <v>OPERATING SURPLUS, GROSS</v>
          </cell>
          <cell r="F6657">
            <v>12</v>
          </cell>
          <cell r="G6657">
            <v>1992</v>
          </cell>
          <cell r="H6657">
            <v>10</v>
          </cell>
          <cell r="I6657">
            <v>386095000</v>
          </cell>
        </row>
        <row r="6658">
          <cell r="A6658" t="str">
            <v>Malta</v>
          </cell>
          <cell r="B6658">
            <v>470</v>
          </cell>
          <cell r="C6658">
            <v>203</v>
          </cell>
          <cell r="D6658">
            <v>11</v>
          </cell>
          <cell r="E6658" t="str">
            <v>OPERATING SURPLUS, GROSS</v>
          </cell>
          <cell r="F6658">
            <v>12</v>
          </cell>
          <cell r="G6658">
            <v>1993</v>
          </cell>
          <cell r="H6658">
            <v>10</v>
          </cell>
          <cell r="I6658">
            <v>405960000</v>
          </cell>
        </row>
        <row r="6659">
          <cell r="A6659" t="str">
            <v>Malta</v>
          </cell>
          <cell r="B6659">
            <v>470</v>
          </cell>
          <cell r="C6659">
            <v>203</v>
          </cell>
          <cell r="D6659">
            <v>11</v>
          </cell>
          <cell r="E6659" t="str">
            <v>OPERATING SURPLUS, GROSS</v>
          </cell>
          <cell r="F6659">
            <v>12</v>
          </cell>
          <cell r="G6659">
            <v>1994</v>
          </cell>
          <cell r="H6659">
            <v>10</v>
          </cell>
          <cell r="I6659">
            <v>460382000</v>
          </cell>
        </row>
        <row r="6660">
          <cell r="A6660" t="str">
            <v>Malta</v>
          </cell>
          <cell r="B6660">
            <v>470</v>
          </cell>
          <cell r="C6660">
            <v>203</v>
          </cell>
          <cell r="D6660">
            <v>11</v>
          </cell>
          <cell r="E6660" t="str">
            <v>OPERATING SURPLUS, GROSS</v>
          </cell>
          <cell r="F6660">
            <v>12</v>
          </cell>
          <cell r="G6660">
            <v>1995</v>
          </cell>
          <cell r="H6660">
            <v>10</v>
          </cell>
          <cell r="I6660">
            <v>471000000</v>
          </cell>
        </row>
        <row r="6661">
          <cell r="A6661" t="str">
            <v>Malta</v>
          </cell>
          <cell r="B6661">
            <v>470</v>
          </cell>
          <cell r="C6661">
            <v>203</v>
          </cell>
          <cell r="D6661">
            <v>11</v>
          </cell>
          <cell r="E6661" t="str">
            <v>OPERATING SURPLUS, GROSS</v>
          </cell>
          <cell r="F6661">
            <v>12</v>
          </cell>
          <cell r="G6661">
            <v>1996</v>
          </cell>
          <cell r="H6661">
            <v>10</v>
          </cell>
          <cell r="I6661">
            <v>493000000</v>
          </cell>
        </row>
        <row r="6662">
          <cell r="A6662" t="str">
            <v>Malta</v>
          </cell>
          <cell r="B6662">
            <v>470</v>
          </cell>
          <cell r="C6662">
            <v>203</v>
          </cell>
          <cell r="D6662">
            <v>11</v>
          </cell>
          <cell r="E6662" t="str">
            <v>OPERATING SURPLUS, GROSS</v>
          </cell>
          <cell r="F6662">
            <v>12</v>
          </cell>
          <cell r="G6662">
            <v>1997</v>
          </cell>
          <cell r="H6662">
            <v>10</v>
          </cell>
          <cell r="I6662">
            <v>534000000</v>
          </cell>
        </row>
        <row r="6663">
          <cell r="A6663" t="str">
            <v>Malta</v>
          </cell>
          <cell r="B6663">
            <v>470</v>
          </cell>
          <cell r="C6663">
            <v>203</v>
          </cell>
          <cell r="D6663">
            <v>11</v>
          </cell>
          <cell r="E6663" t="str">
            <v>OPERATING SURPLUS, GROSS</v>
          </cell>
          <cell r="F6663">
            <v>12</v>
          </cell>
          <cell r="G6663">
            <v>2000</v>
          </cell>
          <cell r="H6663">
            <v>100</v>
          </cell>
          <cell r="I6663">
            <v>739017000</v>
          </cell>
        </row>
        <row r="6664">
          <cell r="A6664" t="str">
            <v>Malta</v>
          </cell>
          <cell r="B6664">
            <v>470</v>
          </cell>
          <cell r="C6664">
            <v>203</v>
          </cell>
          <cell r="D6664">
            <v>11</v>
          </cell>
          <cell r="E6664" t="str">
            <v>OPERATING SURPLUS, GROSS</v>
          </cell>
          <cell r="F6664">
            <v>12</v>
          </cell>
          <cell r="G6664">
            <v>2001</v>
          </cell>
          <cell r="H6664">
            <v>100</v>
          </cell>
          <cell r="I6664">
            <v>711165000</v>
          </cell>
        </row>
        <row r="6665">
          <cell r="A6665" t="str">
            <v>Malta</v>
          </cell>
          <cell r="B6665">
            <v>470</v>
          </cell>
          <cell r="C6665">
            <v>203</v>
          </cell>
          <cell r="D6665">
            <v>11</v>
          </cell>
          <cell r="E6665" t="str">
            <v>OPERATING SURPLUS, GROSS</v>
          </cell>
          <cell r="F6665">
            <v>12</v>
          </cell>
          <cell r="G6665">
            <v>2002</v>
          </cell>
          <cell r="H6665">
            <v>100</v>
          </cell>
          <cell r="I6665">
            <v>725210000</v>
          </cell>
        </row>
        <row r="6666">
          <cell r="A6666" t="str">
            <v>Malta</v>
          </cell>
          <cell r="B6666">
            <v>470</v>
          </cell>
          <cell r="C6666">
            <v>203</v>
          </cell>
          <cell r="D6666">
            <v>11</v>
          </cell>
          <cell r="E6666" t="str">
            <v>OPERATING SURPLUS, GROSS</v>
          </cell>
          <cell r="F6666">
            <v>12</v>
          </cell>
          <cell r="G6666">
            <v>2003</v>
          </cell>
          <cell r="H6666">
            <v>100</v>
          </cell>
          <cell r="I6666">
            <v>767082000</v>
          </cell>
        </row>
        <row r="6667">
          <cell r="A6667" t="str">
            <v>Greece</v>
          </cell>
          <cell r="B6667">
            <v>300</v>
          </cell>
          <cell r="C6667">
            <v>203</v>
          </cell>
          <cell r="D6667">
            <v>22</v>
          </cell>
          <cell r="E6667" t="str">
            <v>Taxes on production and imports, less Subsidies</v>
          </cell>
          <cell r="F6667">
            <v>12</v>
          </cell>
          <cell r="G6667">
            <v>1995</v>
          </cell>
          <cell r="H6667">
            <v>200</v>
          </cell>
          <cell r="I6667">
            <v>271000000</v>
          </cell>
        </row>
        <row r="6668">
          <cell r="A6668" t="str">
            <v>Greece</v>
          </cell>
          <cell r="B6668">
            <v>300</v>
          </cell>
          <cell r="C6668">
            <v>203</v>
          </cell>
          <cell r="D6668">
            <v>22</v>
          </cell>
          <cell r="E6668" t="str">
            <v>Taxes on production and imports, less Subsidies</v>
          </cell>
          <cell r="F6668">
            <v>12</v>
          </cell>
          <cell r="G6668">
            <v>1996</v>
          </cell>
          <cell r="H6668">
            <v>200</v>
          </cell>
          <cell r="I6668">
            <v>329000000</v>
          </cell>
        </row>
        <row r="6669">
          <cell r="A6669" t="str">
            <v>Greece</v>
          </cell>
          <cell r="B6669">
            <v>300</v>
          </cell>
          <cell r="C6669">
            <v>203</v>
          </cell>
          <cell r="D6669">
            <v>22</v>
          </cell>
          <cell r="E6669" t="str">
            <v>Taxes on production and imports, less Subsidies</v>
          </cell>
          <cell r="F6669">
            <v>12</v>
          </cell>
          <cell r="G6669">
            <v>1997</v>
          </cell>
          <cell r="H6669">
            <v>200</v>
          </cell>
          <cell r="I6669">
            <v>319000000</v>
          </cell>
        </row>
        <row r="6670">
          <cell r="A6670" t="str">
            <v>Greece</v>
          </cell>
          <cell r="B6670">
            <v>300</v>
          </cell>
          <cell r="C6670">
            <v>203</v>
          </cell>
          <cell r="D6670">
            <v>22</v>
          </cell>
          <cell r="E6670" t="str">
            <v>Taxes on production and imports, less Subsidies</v>
          </cell>
          <cell r="F6670">
            <v>12</v>
          </cell>
          <cell r="G6670">
            <v>1998</v>
          </cell>
          <cell r="H6670">
            <v>200</v>
          </cell>
          <cell r="I6670">
            <v>410000000</v>
          </cell>
        </row>
        <row r="6671">
          <cell r="A6671" t="str">
            <v>Greece</v>
          </cell>
          <cell r="B6671">
            <v>300</v>
          </cell>
          <cell r="C6671">
            <v>203</v>
          </cell>
          <cell r="D6671">
            <v>22</v>
          </cell>
          <cell r="E6671" t="str">
            <v>Taxes on production and imports, less Subsidies</v>
          </cell>
          <cell r="F6671">
            <v>12</v>
          </cell>
          <cell r="G6671">
            <v>1999</v>
          </cell>
          <cell r="H6671">
            <v>200</v>
          </cell>
          <cell r="I6671">
            <v>448000000</v>
          </cell>
        </row>
        <row r="6672">
          <cell r="A6672" t="str">
            <v>Greece</v>
          </cell>
          <cell r="B6672">
            <v>300</v>
          </cell>
          <cell r="C6672">
            <v>203</v>
          </cell>
          <cell r="D6672">
            <v>22</v>
          </cell>
          <cell r="E6672" t="str">
            <v>Taxes on production and imports, less Subsidies</v>
          </cell>
          <cell r="F6672">
            <v>12</v>
          </cell>
          <cell r="G6672">
            <v>2000</v>
          </cell>
          <cell r="H6672">
            <v>200</v>
          </cell>
          <cell r="I6672">
            <v>438000000</v>
          </cell>
        </row>
        <row r="6673">
          <cell r="A6673" t="str">
            <v>Greece</v>
          </cell>
          <cell r="B6673">
            <v>300</v>
          </cell>
          <cell r="C6673">
            <v>203</v>
          </cell>
          <cell r="D6673">
            <v>22</v>
          </cell>
          <cell r="E6673" t="str">
            <v>Taxes on production and imports, less Subsidies</v>
          </cell>
          <cell r="F6673">
            <v>12</v>
          </cell>
          <cell r="G6673">
            <v>2001</v>
          </cell>
          <cell r="H6673">
            <v>200</v>
          </cell>
          <cell r="I6673">
            <v>345000000</v>
          </cell>
        </row>
        <row r="6674">
          <cell r="A6674" t="str">
            <v>Greece</v>
          </cell>
          <cell r="B6674">
            <v>300</v>
          </cell>
          <cell r="C6674">
            <v>203</v>
          </cell>
          <cell r="D6674">
            <v>22</v>
          </cell>
          <cell r="E6674" t="str">
            <v>Taxes on production and imports, less Subsidies</v>
          </cell>
          <cell r="F6674">
            <v>12</v>
          </cell>
          <cell r="G6674">
            <v>2002</v>
          </cell>
          <cell r="H6674">
            <v>200</v>
          </cell>
          <cell r="I6674">
            <v>245000000</v>
          </cell>
        </row>
        <row r="6675">
          <cell r="A6675" t="str">
            <v>Hungary</v>
          </cell>
          <cell r="B6675">
            <v>348</v>
          </cell>
          <cell r="C6675">
            <v>201</v>
          </cell>
          <cell r="D6675">
            <v>13</v>
          </cell>
          <cell r="E6675" t="str">
            <v>Less: Financial intermediation services indirectly measured (FISIM) (only to be deducted if FISIM is not distributed to uses)</v>
          </cell>
          <cell r="F6675">
            <v>0</v>
          </cell>
          <cell r="G6675">
            <v>1991</v>
          </cell>
          <cell r="H6675">
            <v>100</v>
          </cell>
          <cell r="I6675">
            <v>107739000000</v>
          </cell>
        </row>
        <row r="6676">
          <cell r="A6676" t="str">
            <v>Hungary</v>
          </cell>
          <cell r="B6676">
            <v>348</v>
          </cell>
          <cell r="C6676">
            <v>201</v>
          </cell>
          <cell r="D6676">
            <v>13</v>
          </cell>
          <cell r="E6676" t="str">
            <v>Less: Financial intermediation services indirectly measured (FISIM) (only to be deducted if FISIM is not distributed to uses)</v>
          </cell>
          <cell r="F6676">
            <v>0</v>
          </cell>
          <cell r="G6676">
            <v>1992</v>
          </cell>
          <cell r="H6676">
            <v>100</v>
          </cell>
          <cell r="I6676">
            <v>100643000000</v>
          </cell>
        </row>
        <row r="6677">
          <cell r="A6677" t="str">
            <v>Hungary</v>
          </cell>
          <cell r="B6677">
            <v>348</v>
          </cell>
          <cell r="C6677">
            <v>201</v>
          </cell>
          <cell r="D6677">
            <v>13</v>
          </cell>
          <cell r="E6677" t="str">
            <v>Less: Financial intermediation services indirectly measured (FISIM) (only to be deducted if FISIM is not distributed to uses)</v>
          </cell>
          <cell r="F6677">
            <v>0</v>
          </cell>
          <cell r="G6677">
            <v>1993</v>
          </cell>
          <cell r="H6677">
            <v>100</v>
          </cell>
          <cell r="I6677">
            <v>124440000000</v>
          </cell>
        </row>
        <row r="6678">
          <cell r="A6678" t="str">
            <v>Hungary</v>
          </cell>
          <cell r="B6678">
            <v>348</v>
          </cell>
          <cell r="C6678">
            <v>201</v>
          </cell>
          <cell r="D6678">
            <v>13</v>
          </cell>
          <cell r="E6678" t="str">
            <v>Less: Financial intermediation services indirectly measured (FISIM) (only to be deducted if FISIM is not distributed to uses)</v>
          </cell>
          <cell r="F6678">
            <v>0</v>
          </cell>
          <cell r="G6678">
            <v>1994</v>
          </cell>
          <cell r="H6678">
            <v>100</v>
          </cell>
          <cell r="I6678">
            <v>199082000000</v>
          </cell>
        </row>
        <row r="6679">
          <cell r="A6679" t="str">
            <v>Hungary</v>
          </cell>
          <cell r="B6679">
            <v>348</v>
          </cell>
          <cell r="C6679">
            <v>201</v>
          </cell>
          <cell r="D6679">
            <v>13</v>
          </cell>
          <cell r="E6679" t="str">
            <v>Less: Financial intermediation services indirectly measured (FISIM) (only to be deducted if FISIM is not distributed to uses)</v>
          </cell>
          <cell r="F6679">
            <v>0</v>
          </cell>
          <cell r="G6679">
            <v>1995</v>
          </cell>
          <cell r="H6679">
            <v>100</v>
          </cell>
          <cell r="I6679">
            <v>219248000000</v>
          </cell>
        </row>
        <row r="6680">
          <cell r="A6680" t="str">
            <v>Hungary</v>
          </cell>
          <cell r="B6680">
            <v>348</v>
          </cell>
          <cell r="C6680">
            <v>201</v>
          </cell>
          <cell r="D6680">
            <v>13</v>
          </cell>
          <cell r="E6680" t="str">
            <v>Less: Financial intermediation services indirectly measured (FISIM) (only to be deducted if FISIM is not distributed to uses)</v>
          </cell>
          <cell r="F6680">
            <v>0</v>
          </cell>
          <cell r="G6680">
            <v>1996</v>
          </cell>
          <cell r="H6680">
            <v>100</v>
          </cell>
          <cell r="I6680">
            <v>218848000000</v>
          </cell>
        </row>
        <row r="6681">
          <cell r="A6681" t="str">
            <v>Hungary</v>
          </cell>
          <cell r="B6681">
            <v>348</v>
          </cell>
          <cell r="C6681">
            <v>201</v>
          </cell>
          <cell r="D6681">
            <v>13</v>
          </cell>
          <cell r="E6681" t="str">
            <v>Less: Financial intermediation services indirectly measured (FISIM) (only to be deducted if FISIM is not distributed to uses)</v>
          </cell>
          <cell r="F6681">
            <v>0</v>
          </cell>
          <cell r="G6681">
            <v>1997</v>
          </cell>
          <cell r="H6681">
            <v>100</v>
          </cell>
          <cell r="I6681">
            <v>241807000000</v>
          </cell>
        </row>
        <row r="6682">
          <cell r="A6682" t="str">
            <v>Hungary</v>
          </cell>
          <cell r="B6682">
            <v>348</v>
          </cell>
          <cell r="C6682">
            <v>201</v>
          </cell>
          <cell r="D6682">
            <v>13</v>
          </cell>
          <cell r="E6682" t="str">
            <v>Less: Financial intermediation services indirectly measured (FISIM) (only to be deducted if FISIM is not distributed to uses)</v>
          </cell>
          <cell r="F6682">
            <v>0</v>
          </cell>
          <cell r="G6682">
            <v>1998</v>
          </cell>
          <cell r="H6682">
            <v>100</v>
          </cell>
          <cell r="I6682">
            <v>245081000000</v>
          </cell>
        </row>
        <row r="6683">
          <cell r="A6683" t="str">
            <v>Hungary</v>
          </cell>
          <cell r="B6683">
            <v>348</v>
          </cell>
          <cell r="C6683">
            <v>201</v>
          </cell>
          <cell r="D6683">
            <v>13</v>
          </cell>
          <cell r="E6683" t="str">
            <v>Less: Financial intermediation services indirectly measured (FISIM) (only to be deducted if FISIM is not distributed to uses)</v>
          </cell>
          <cell r="F6683">
            <v>0</v>
          </cell>
          <cell r="G6683">
            <v>1999</v>
          </cell>
          <cell r="H6683">
            <v>100</v>
          </cell>
          <cell r="I6683">
            <v>283809000000</v>
          </cell>
        </row>
        <row r="6684">
          <cell r="A6684" t="str">
            <v>Hungary</v>
          </cell>
          <cell r="B6684">
            <v>348</v>
          </cell>
          <cell r="C6684">
            <v>201</v>
          </cell>
          <cell r="D6684">
            <v>13</v>
          </cell>
          <cell r="E6684" t="str">
            <v>Less: Financial intermediation services indirectly measured (FISIM) (only to be deducted if FISIM is not distributed to uses)</v>
          </cell>
          <cell r="F6684">
            <v>0</v>
          </cell>
          <cell r="G6684">
            <v>2000</v>
          </cell>
          <cell r="H6684">
            <v>100</v>
          </cell>
          <cell r="I6684">
            <v>273135000000</v>
          </cell>
        </row>
        <row r="6685">
          <cell r="A6685" t="str">
            <v>Hungary</v>
          </cell>
          <cell r="B6685">
            <v>348</v>
          </cell>
          <cell r="C6685">
            <v>201</v>
          </cell>
          <cell r="D6685">
            <v>13</v>
          </cell>
          <cell r="E6685" t="str">
            <v>Less: Financial intermediation services indirectly measured (FISIM) (only to be deducted if FISIM is not distributed to uses)</v>
          </cell>
          <cell r="F6685">
            <v>0</v>
          </cell>
          <cell r="G6685">
            <v>2001</v>
          </cell>
          <cell r="H6685">
            <v>100</v>
          </cell>
          <cell r="I6685">
            <v>310708000000</v>
          </cell>
        </row>
        <row r="6686">
          <cell r="A6686" t="str">
            <v>Hungary</v>
          </cell>
          <cell r="B6686">
            <v>348</v>
          </cell>
          <cell r="C6686">
            <v>201</v>
          </cell>
          <cell r="D6686">
            <v>13</v>
          </cell>
          <cell r="E6686" t="str">
            <v>Less: Financial intermediation services indirectly measured (FISIM) (only to be deducted if FISIM is not distributed to uses)</v>
          </cell>
          <cell r="F6686">
            <v>0</v>
          </cell>
          <cell r="G6686">
            <v>2002</v>
          </cell>
          <cell r="H6686">
            <v>100</v>
          </cell>
          <cell r="I6686">
            <v>360077000000</v>
          </cell>
        </row>
        <row r="6687">
          <cell r="A6687" t="str">
            <v>Malta</v>
          </cell>
          <cell r="B6687">
            <v>470</v>
          </cell>
          <cell r="C6687">
            <v>203</v>
          </cell>
          <cell r="D6687">
            <v>22</v>
          </cell>
          <cell r="E6687" t="str">
            <v>Taxes on production and imports, less Subsidies</v>
          </cell>
          <cell r="F6687">
            <v>12</v>
          </cell>
          <cell r="G6687">
            <v>2000</v>
          </cell>
          <cell r="H6687">
            <v>100</v>
          </cell>
          <cell r="I6687">
            <v>-5237000</v>
          </cell>
        </row>
        <row r="6688">
          <cell r="A6688" t="str">
            <v>Malta</v>
          </cell>
          <cell r="B6688">
            <v>470</v>
          </cell>
          <cell r="C6688">
            <v>203</v>
          </cell>
          <cell r="D6688">
            <v>22</v>
          </cell>
          <cell r="E6688" t="str">
            <v>Taxes on production and imports, less Subsidies</v>
          </cell>
          <cell r="F6688">
            <v>12</v>
          </cell>
          <cell r="G6688">
            <v>2001</v>
          </cell>
          <cell r="H6688">
            <v>100</v>
          </cell>
          <cell r="I6688">
            <v>-7435000</v>
          </cell>
        </row>
        <row r="6689">
          <cell r="A6689" t="str">
            <v>Malta</v>
          </cell>
          <cell r="B6689">
            <v>470</v>
          </cell>
          <cell r="C6689">
            <v>203</v>
          </cell>
          <cell r="D6689">
            <v>22</v>
          </cell>
          <cell r="E6689" t="str">
            <v>Taxes on production and imports, less Subsidies</v>
          </cell>
          <cell r="F6689">
            <v>12</v>
          </cell>
          <cell r="G6689">
            <v>2002</v>
          </cell>
          <cell r="H6689">
            <v>100</v>
          </cell>
          <cell r="I6689">
            <v>-20672000</v>
          </cell>
        </row>
        <row r="6690">
          <cell r="A6690" t="str">
            <v>Malta</v>
          </cell>
          <cell r="B6690">
            <v>470</v>
          </cell>
          <cell r="C6690">
            <v>203</v>
          </cell>
          <cell r="D6690">
            <v>22</v>
          </cell>
          <cell r="E6690" t="str">
            <v>Taxes on production and imports, less Subsidies</v>
          </cell>
          <cell r="F6690">
            <v>12</v>
          </cell>
          <cell r="G6690">
            <v>2003</v>
          </cell>
          <cell r="H6690">
            <v>100</v>
          </cell>
          <cell r="I6690">
            <v>-20278000</v>
          </cell>
        </row>
        <row r="6691">
          <cell r="A6691" t="str">
            <v>Hungary</v>
          </cell>
          <cell r="B6691">
            <v>348</v>
          </cell>
          <cell r="C6691">
            <v>203</v>
          </cell>
          <cell r="D6691">
            <v>3</v>
          </cell>
          <cell r="E6691" t="str">
            <v>Equals: VALUE ADDED, GROSS, at basic prices</v>
          </cell>
          <cell r="F6691">
            <v>12</v>
          </cell>
          <cell r="G6691">
            <v>1980</v>
          </cell>
          <cell r="H6691">
            <v>20</v>
          </cell>
          <cell r="I6691">
            <v>645534000000</v>
          </cell>
        </row>
        <row r="6692">
          <cell r="A6692" t="str">
            <v>Hungary</v>
          </cell>
          <cell r="B6692">
            <v>348</v>
          </cell>
          <cell r="C6692">
            <v>203</v>
          </cell>
          <cell r="D6692">
            <v>3</v>
          </cell>
          <cell r="E6692" t="str">
            <v>Equals: VALUE ADDED, GROSS, at basic prices</v>
          </cell>
          <cell r="F6692">
            <v>12</v>
          </cell>
          <cell r="G6692">
            <v>1981</v>
          </cell>
          <cell r="H6692">
            <v>20</v>
          </cell>
          <cell r="I6692">
            <v>703452000000</v>
          </cell>
        </row>
        <row r="6693">
          <cell r="A6693" t="str">
            <v>Hungary</v>
          </cell>
          <cell r="B6693">
            <v>348</v>
          </cell>
          <cell r="C6693">
            <v>203</v>
          </cell>
          <cell r="D6693">
            <v>3</v>
          </cell>
          <cell r="E6693" t="str">
            <v>Equals: VALUE ADDED, GROSS, at basic prices</v>
          </cell>
          <cell r="F6693">
            <v>12</v>
          </cell>
          <cell r="G6693">
            <v>1982</v>
          </cell>
          <cell r="H6693">
            <v>20</v>
          </cell>
          <cell r="I6693">
            <v>758461000000</v>
          </cell>
        </row>
        <row r="6694">
          <cell r="A6694" t="str">
            <v>Hungary</v>
          </cell>
          <cell r="B6694">
            <v>348</v>
          </cell>
          <cell r="C6694">
            <v>203</v>
          </cell>
          <cell r="D6694">
            <v>3</v>
          </cell>
          <cell r="E6694" t="str">
            <v>Equals: VALUE ADDED, GROSS, at basic prices</v>
          </cell>
          <cell r="F6694">
            <v>12</v>
          </cell>
          <cell r="G6694">
            <v>1983</v>
          </cell>
          <cell r="H6694">
            <v>20</v>
          </cell>
          <cell r="I6694">
            <v>802194000000</v>
          </cell>
        </row>
        <row r="6695">
          <cell r="A6695" t="str">
            <v>Hungary</v>
          </cell>
          <cell r="B6695">
            <v>348</v>
          </cell>
          <cell r="C6695">
            <v>203</v>
          </cell>
          <cell r="D6695">
            <v>3</v>
          </cell>
          <cell r="E6695" t="str">
            <v>Equals: VALUE ADDED, GROSS, at basic prices</v>
          </cell>
          <cell r="F6695">
            <v>12</v>
          </cell>
          <cell r="G6695">
            <v>1984</v>
          </cell>
          <cell r="H6695">
            <v>20</v>
          </cell>
          <cell r="I6695">
            <v>875174000000</v>
          </cell>
        </row>
        <row r="6696">
          <cell r="A6696" t="str">
            <v>Hungary</v>
          </cell>
          <cell r="B6696">
            <v>348</v>
          </cell>
          <cell r="C6696">
            <v>203</v>
          </cell>
          <cell r="D6696">
            <v>3</v>
          </cell>
          <cell r="E6696" t="str">
            <v>Equals: VALUE ADDED, GROSS, at basic prices</v>
          </cell>
          <cell r="F6696">
            <v>12</v>
          </cell>
          <cell r="G6696">
            <v>1985</v>
          </cell>
          <cell r="H6696">
            <v>20</v>
          </cell>
          <cell r="I6696">
            <v>931429000000</v>
          </cell>
        </row>
        <row r="6697">
          <cell r="A6697" t="str">
            <v>Hungary</v>
          </cell>
          <cell r="B6697">
            <v>348</v>
          </cell>
          <cell r="C6697">
            <v>203</v>
          </cell>
          <cell r="D6697">
            <v>3</v>
          </cell>
          <cell r="E6697" t="str">
            <v>Equals: VALUE ADDED, GROSS, at basic prices</v>
          </cell>
          <cell r="F6697">
            <v>12</v>
          </cell>
          <cell r="G6697">
            <v>1986</v>
          </cell>
          <cell r="H6697">
            <v>20</v>
          </cell>
          <cell r="I6697">
            <v>997219000000</v>
          </cell>
        </row>
        <row r="6698">
          <cell r="A6698" t="str">
            <v>Hungary</v>
          </cell>
          <cell r="B6698">
            <v>348</v>
          </cell>
          <cell r="C6698">
            <v>203</v>
          </cell>
          <cell r="D6698">
            <v>3</v>
          </cell>
          <cell r="E6698" t="str">
            <v>Equals: VALUE ADDED, GROSS, at basic prices</v>
          </cell>
          <cell r="F6698">
            <v>12</v>
          </cell>
          <cell r="G6698">
            <v>1987</v>
          </cell>
          <cell r="H6698">
            <v>20</v>
          </cell>
          <cell r="I6698">
            <v>1110339000000</v>
          </cell>
        </row>
        <row r="6699">
          <cell r="A6699" t="str">
            <v>Hungary</v>
          </cell>
          <cell r="B6699">
            <v>348</v>
          </cell>
          <cell r="C6699">
            <v>203</v>
          </cell>
          <cell r="D6699">
            <v>3</v>
          </cell>
          <cell r="E6699" t="str">
            <v>Equals: VALUE ADDED, GROSS, at basic prices</v>
          </cell>
          <cell r="F6699">
            <v>12</v>
          </cell>
          <cell r="G6699">
            <v>1988</v>
          </cell>
          <cell r="H6699">
            <v>20</v>
          </cell>
          <cell r="I6699">
            <v>1214075000000</v>
          </cell>
        </row>
        <row r="6700">
          <cell r="A6700" t="str">
            <v>Hungary</v>
          </cell>
          <cell r="B6700">
            <v>348</v>
          </cell>
          <cell r="C6700">
            <v>203</v>
          </cell>
          <cell r="D6700">
            <v>3</v>
          </cell>
          <cell r="E6700" t="str">
            <v>Equals: VALUE ADDED, GROSS, at basic prices</v>
          </cell>
          <cell r="F6700">
            <v>12</v>
          </cell>
          <cell r="G6700">
            <v>1988</v>
          </cell>
          <cell r="H6700">
            <v>30</v>
          </cell>
          <cell r="I6700">
            <v>1262958000000</v>
          </cell>
        </row>
        <row r="6701">
          <cell r="A6701" t="str">
            <v>Hungary</v>
          </cell>
          <cell r="B6701">
            <v>348</v>
          </cell>
          <cell r="C6701">
            <v>203</v>
          </cell>
          <cell r="D6701">
            <v>3</v>
          </cell>
          <cell r="E6701" t="str">
            <v>Equals: VALUE ADDED, GROSS, at basic prices</v>
          </cell>
          <cell r="F6701">
            <v>12</v>
          </cell>
          <cell r="G6701">
            <v>1989</v>
          </cell>
          <cell r="H6701">
            <v>30</v>
          </cell>
          <cell r="I6701">
            <v>1497636000000</v>
          </cell>
        </row>
        <row r="6702">
          <cell r="A6702" t="str">
            <v>Hungary</v>
          </cell>
          <cell r="B6702">
            <v>348</v>
          </cell>
          <cell r="C6702">
            <v>203</v>
          </cell>
          <cell r="D6702">
            <v>3</v>
          </cell>
          <cell r="E6702" t="str">
            <v>Equals: VALUE ADDED, GROSS, at basic prices</v>
          </cell>
          <cell r="F6702">
            <v>12</v>
          </cell>
          <cell r="G6702">
            <v>1990</v>
          </cell>
          <cell r="H6702">
            <v>30</v>
          </cell>
          <cell r="I6702">
            <v>1796503000000</v>
          </cell>
        </row>
        <row r="6703">
          <cell r="A6703" t="str">
            <v>Hungary</v>
          </cell>
          <cell r="B6703">
            <v>348</v>
          </cell>
          <cell r="C6703">
            <v>203</v>
          </cell>
          <cell r="D6703">
            <v>3</v>
          </cell>
          <cell r="E6703" t="str">
            <v>Equals: VALUE ADDED, GROSS, at basic prices</v>
          </cell>
          <cell r="F6703">
            <v>12</v>
          </cell>
          <cell r="G6703">
            <v>1991</v>
          </cell>
          <cell r="H6703">
            <v>30</v>
          </cell>
          <cell r="I6703">
            <v>2039195000000</v>
          </cell>
        </row>
        <row r="6704">
          <cell r="A6704" t="str">
            <v>Hungary</v>
          </cell>
          <cell r="B6704">
            <v>348</v>
          </cell>
          <cell r="C6704">
            <v>203</v>
          </cell>
          <cell r="D6704">
            <v>3</v>
          </cell>
          <cell r="E6704" t="str">
            <v>Equals: VALUE ADDED, GROSS, at basic prices</v>
          </cell>
          <cell r="F6704">
            <v>12</v>
          </cell>
          <cell r="G6704">
            <v>1991</v>
          </cell>
          <cell r="H6704">
            <v>100</v>
          </cell>
          <cell r="I6704">
            <v>2317934000000</v>
          </cell>
        </row>
        <row r="6705">
          <cell r="A6705" t="str">
            <v>Hungary</v>
          </cell>
          <cell r="B6705">
            <v>348</v>
          </cell>
          <cell r="C6705">
            <v>203</v>
          </cell>
          <cell r="D6705">
            <v>3</v>
          </cell>
          <cell r="E6705" t="str">
            <v>Equals: VALUE ADDED, GROSS, at basic prices</v>
          </cell>
          <cell r="F6705">
            <v>12</v>
          </cell>
          <cell r="G6705">
            <v>1992</v>
          </cell>
          <cell r="H6705">
            <v>100</v>
          </cell>
          <cell r="I6705">
            <v>2645892100000</v>
          </cell>
        </row>
        <row r="6706">
          <cell r="A6706" t="str">
            <v>Hungary</v>
          </cell>
          <cell r="B6706">
            <v>348</v>
          </cell>
          <cell r="C6706">
            <v>203</v>
          </cell>
          <cell r="D6706">
            <v>3</v>
          </cell>
          <cell r="E6706" t="str">
            <v>Equals: VALUE ADDED, GROSS, at basic prices</v>
          </cell>
          <cell r="F6706">
            <v>12</v>
          </cell>
          <cell r="G6706">
            <v>1993</v>
          </cell>
          <cell r="H6706">
            <v>100</v>
          </cell>
          <cell r="I6706">
            <v>3168218800000</v>
          </cell>
        </row>
        <row r="6707">
          <cell r="A6707" t="str">
            <v>Hungary</v>
          </cell>
          <cell r="B6707">
            <v>348</v>
          </cell>
          <cell r="C6707">
            <v>203</v>
          </cell>
          <cell r="D6707">
            <v>3</v>
          </cell>
          <cell r="E6707" t="str">
            <v>Equals: VALUE ADDED, GROSS, at basic prices</v>
          </cell>
          <cell r="F6707">
            <v>12</v>
          </cell>
          <cell r="G6707">
            <v>1994</v>
          </cell>
          <cell r="H6707">
            <v>100</v>
          </cell>
          <cell r="I6707">
            <v>3951728900000</v>
          </cell>
        </row>
        <row r="6708">
          <cell r="A6708" t="str">
            <v>Hungary</v>
          </cell>
          <cell r="B6708">
            <v>348</v>
          </cell>
          <cell r="C6708">
            <v>203</v>
          </cell>
          <cell r="D6708">
            <v>3</v>
          </cell>
          <cell r="E6708" t="str">
            <v>Equals: VALUE ADDED, GROSS, at basic prices</v>
          </cell>
          <cell r="F6708">
            <v>12</v>
          </cell>
          <cell r="G6708">
            <v>1995</v>
          </cell>
          <cell r="H6708">
            <v>100</v>
          </cell>
          <cell r="I6708">
            <v>4932855000000</v>
          </cell>
        </row>
        <row r="6709">
          <cell r="A6709" t="str">
            <v>Hungary</v>
          </cell>
          <cell r="B6709">
            <v>348</v>
          </cell>
          <cell r="C6709">
            <v>203</v>
          </cell>
          <cell r="D6709">
            <v>3</v>
          </cell>
          <cell r="E6709" t="str">
            <v>Equals: VALUE ADDED, GROSS, at basic prices</v>
          </cell>
          <cell r="F6709">
            <v>12</v>
          </cell>
          <cell r="G6709">
            <v>1996</v>
          </cell>
          <cell r="H6709">
            <v>100</v>
          </cell>
          <cell r="I6709">
            <v>6061312000000</v>
          </cell>
        </row>
        <row r="6710">
          <cell r="A6710" t="str">
            <v>Hungary</v>
          </cell>
          <cell r="B6710">
            <v>348</v>
          </cell>
          <cell r="C6710">
            <v>203</v>
          </cell>
          <cell r="D6710">
            <v>3</v>
          </cell>
          <cell r="E6710" t="str">
            <v>Equals: VALUE ADDED, GROSS, at basic prices</v>
          </cell>
          <cell r="F6710">
            <v>12</v>
          </cell>
          <cell r="G6710">
            <v>1997</v>
          </cell>
          <cell r="H6710">
            <v>100</v>
          </cell>
          <cell r="I6710">
            <v>7555986000000</v>
          </cell>
        </row>
        <row r="6711">
          <cell r="A6711" t="str">
            <v>Hungary</v>
          </cell>
          <cell r="B6711">
            <v>348</v>
          </cell>
          <cell r="C6711">
            <v>203</v>
          </cell>
          <cell r="D6711">
            <v>3</v>
          </cell>
          <cell r="E6711" t="str">
            <v>Equals: VALUE ADDED, GROSS, at basic prices</v>
          </cell>
          <cell r="F6711">
            <v>12</v>
          </cell>
          <cell r="G6711">
            <v>1998</v>
          </cell>
          <cell r="H6711">
            <v>100</v>
          </cell>
          <cell r="I6711">
            <v>8873463000000</v>
          </cell>
        </row>
        <row r="6712">
          <cell r="A6712" t="str">
            <v>Hungary</v>
          </cell>
          <cell r="B6712">
            <v>348</v>
          </cell>
          <cell r="C6712">
            <v>203</v>
          </cell>
          <cell r="D6712">
            <v>3</v>
          </cell>
          <cell r="E6712" t="str">
            <v>Equals: VALUE ADDED, GROSS, at basic prices</v>
          </cell>
          <cell r="F6712">
            <v>12</v>
          </cell>
          <cell r="G6712">
            <v>1999</v>
          </cell>
          <cell r="H6712">
            <v>100</v>
          </cell>
          <cell r="I6712">
            <v>9973026000000</v>
          </cell>
        </row>
        <row r="6713">
          <cell r="A6713" t="str">
            <v>Hungary</v>
          </cell>
          <cell r="B6713">
            <v>348</v>
          </cell>
          <cell r="C6713">
            <v>203</v>
          </cell>
          <cell r="D6713">
            <v>3</v>
          </cell>
          <cell r="E6713" t="str">
            <v>Equals: VALUE ADDED, GROSS, at basic prices</v>
          </cell>
          <cell r="F6713">
            <v>12</v>
          </cell>
          <cell r="G6713">
            <v>2000</v>
          </cell>
          <cell r="H6713">
            <v>100</v>
          </cell>
          <cell r="I6713">
            <v>11482673000000</v>
          </cell>
        </row>
        <row r="6714">
          <cell r="A6714" t="str">
            <v>Hungary</v>
          </cell>
          <cell r="B6714">
            <v>348</v>
          </cell>
          <cell r="C6714">
            <v>203</v>
          </cell>
          <cell r="D6714">
            <v>3</v>
          </cell>
          <cell r="E6714" t="str">
            <v>Equals: VALUE ADDED, GROSS, at basic prices</v>
          </cell>
          <cell r="F6714">
            <v>12</v>
          </cell>
          <cell r="G6714">
            <v>2001</v>
          </cell>
          <cell r="H6714">
            <v>100</v>
          </cell>
          <cell r="I6714">
            <v>13077454000000</v>
          </cell>
        </row>
        <row r="6715">
          <cell r="A6715" t="str">
            <v>Hungary</v>
          </cell>
          <cell r="B6715">
            <v>348</v>
          </cell>
          <cell r="C6715">
            <v>203</v>
          </cell>
          <cell r="D6715">
            <v>3</v>
          </cell>
          <cell r="E6715" t="str">
            <v>Equals: VALUE ADDED, GROSS, at basic prices</v>
          </cell>
          <cell r="F6715">
            <v>12</v>
          </cell>
          <cell r="G6715">
            <v>2002</v>
          </cell>
          <cell r="H6715">
            <v>100</v>
          </cell>
          <cell r="I6715">
            <v>14807634000000</v>
          </cell>
        </row>
        <row r="6716">
          <cell r="A6716" t="str">
            <v>Mauritius</v>
          </cell>
          <cell r="B6716">
            <v>480</v>
          </cell>
          <cell r="C6716">
            <v>201</v>
          </cell>
          <cell r="D6716">
            <v>13</v>
          </cell>
          <cell r="E6716" t="str">
            <v>Less: Financial intermediation services indirectly measured (FISIM) (only to be deducted if FISIM is not distributed to uses)</v>
          </cell>
          <cell r="F6716">
            <v>0</v>
          </cell>
          <cell r="G6716">
            <v>1976</v>
          </cell>
          <cell r="H6716">
            <v>20</v>
          </cell>
          <cell r="I6716">
            <v>80000000</v>
          </cell>
        </row>
        <row r="6717">
          <cell r="A6717" t="str">
            <v>Mauritius</v>
          </cell>
          <cell r="B6717">
            <v>480</v>
          </cell>
          <cell r="C6717">
            <v>201</v>
          </cell>
          <cell r="D6717">
            <v>13</v>
          </cell>
          <cell r="E6717" t="str">
            <v>Less: Financial intermediation services indirectly measured (FISIM) (only to be deducted if FISIM is not distributed to uses)</v>
          </cell>
          <cell r="F6717">
            <v>0</v>
          </cell>
          <cell r="G6717">
            <v>1977</v>
          </cell>
          <cell r="H6717">
            <v>20</v>
          </cell>
          <cell r="I6717">
            <v>80000000</v>
          </cell>
        </row>
        <row r="6718">
          <cell r="A6718" t="str">
            <v>Mauritius</v>
          </cell>
          <cell r="B6718">
            <v>480</v>
          </cell>
          <cell r="C6718">
            <v>201</v>
          </cell>
          <cell r="D6718">
            <v>13</v>
          </cell>
          <cell r="E6718" t="str">
            <v>Less: Financial intermediation services indirectly measured (FISIM) (only to be deducted if FISIM is not distributed to uses)</v>
          </cell>
          <cell r="F6718">
            <v>0</v>
          </cell>
          <cell r="G6718">
            <v>1978</v>
          </cell>
          <cell r="H6718">
            <v>20</v>
          </cell>
          <cell r="I6718">
            <v>88000000</v>
          </cell>
        </row>
        <row r="6719">
          <cell r="A6719" t="str">
            <v>Mauritius</v>
          </cell>
          <cell r="B6719">
            <v>480</v>
          </cell>
          <cell r="C6719">
            <v>201</v>
          </cell>
          <cell r="D6719">
            <v>13</v>
          </cell>
          <cell r="E6719" t="str">
            <v>Less: Financial intermediation services indirectly measured (FISIM) (only to be deducted if FISIM is not distributed to uses)</v>
          </cell>
          <cell r="F6719">
            <v>0</v>
          </cell>
          <cell r="G6719">
            <v>1979</v>
          </cell>
          <cell r="H6719">
            <v>20</v>
          </cell>
          <cell r="I6719">
            <v>94000000</v>
          </cell>
        </row>
        <row r="6720">
          <cell r="A6720" t="str">
            <v>Mauritius</v>
          </cell>
          <cell r="B6720">
            <v>480</v>
          </cell>
          <cell r="C6720">
            <v>201</v>
          </cell>
          <cell r="D6720">
            <v>13</v>
          </cell>
          <cell r="E6720" t="str">
            <v>Less: Financial intermediation services indirectly measured (FISIM) (only to be deducted if FISIM is not distributed to uses)</v>
          </cell>
          <cell r="F6720">
            <v>0</v>
          </cell>
          <cell r="G6720">
            <v>1980</v>
          </cell>
          <cell r="H6720">
            <v>20</v>
          </cell>
          <cell r="I6720">
            <v>107000000</v>
          </cell>
        </row>
        <row r="6721">
          <cell r="A6721" t="str">
            <v>Mauritius</v>
          </cell>
          <cell r="B6721">
            <v>480</v>
          </cell>
          <cell r="C6721">
            <v>201</v>
          </cell>
          <cell r="D6721">
            <v>13</v>
          </cell>
          <cell r="E6721" t="str">
            <v>Less: Financial intermediation services indirectly measured (FISIM) (only to be deducted if FISIM is not distributed to uses)</v>
          </cell>
          <cell r="F6721">
            <v>0</v>
          </cell>
          <cell r="G6721">
            <v>1981</v>
          </cell>
          <cell r="H6721">
            <v>20</v>
          </cell>
          <cell r="I6721">
            <v>118000000</v>
          </cell>
        </row>
        <row r="6722">
          <cell r="A6722" t="str">
            <v>Mauritius</v>
          </cell>
          <cell r="B6722">
            <v>480</v>
          </cell>
          <cell r="C6722">
            <v>201</v>
          </cell>
          <cell r="D6722">
            <v>13</v>
          </cell>
          <cell r="E6722" t="str">
            <v>Less: Financial intermediation services indirectly measured (FISIM) (only to be deducted if FISIM is not distributed to uses)</v>
          </cell>
          <cell r="F6722">
            <v>0</v>
          </cell>
          <cell r="G6722">
            <v>1982</v>
          </cell>
          <cell r="H6722">
            <v>20</v>
          </cell>
          <cell r="I6722">
            <v>128000000</v>
          </cell>
        </row>
        <row r="6723">
          <cell r="A6723" t="str">
            <v>Mauritius</v>
          </cell>
          <cell r="B6723">
            <v>480</v>
          </cell>
          <cell r="C6723">
            <v>201</v>
          </cell>
          <cell r="D6723">
            <v>13</v>
          </cell>
          <cell r="E6723" t="str">
            <v>Less: Financial intermediation services indirectly measured (FISIM) (only to be deducted if FISIM is not distributed to uses)</v>
          </cell>
          <cell r="F6723">
            <v>0</v>
          </cell>
          <cell r="G6723">
            <v>1983</v>
          </cell>
          <cell r="H6723">
            <v>20</v>
          </cell>
          <cell r="I6723">
            <v>154000000</v>
          </cell>
        </row>
        <row r="6724">
          <cell r="A6724" t="str">
            <v>Mauritius</v>
          </cell>
          <cell r="B6724">
            <v>480</v>
          </cell>
          <cell r="C6724">
            <v>201</v>
          </cell>
          <cell r="D6724">
            <v>13</v>
          </cell>
          <cell r="E6724" t="str">
            <v>Less: Financial intermediation services indirectly measured (FISIM) (only to be deducted if FISIM is not distributed to uses)</v>
          </cell>
          <cell r="F6724">
            <v>0</v>
          </cell>
          <cell r="G6724">
            <v>1984</v>
          </cell>
          <cell r="H6724">
            <v>20</v>
          </cell>
          <cell r="I6724">
            <v>182000000</v>
          </cell>
        </row>
        <row r="6725">
          <cell r="A6725" t="str">
            <v>Mauritius</v>
          </cell>
          <cell r="B6725">
            <v>480</v>
          </cell>
          <cell r="C6725">
            <v>201</v>
          </cell>
          <cell r="D6725">
            <v>13</v>
          </cell>
          <cell r="E6725" t="str">
            <v>Less: Financial intermediation services indirectly measured (FISIM) (only to be deducted if FISIM is not distributed to uses)</v>
          </cell>
          <cell r="F6725">
            <v>0</v>
          </cell>
          <cell r="G6725">
            <v>1985</v>
          </cell>
          <cell r="H6725">
            <v>20</v>
          </cell>
          <cell r="I6725">
            <v>256000000</v>
          </cell>
        </row>
        <row r="6726">
          <cell r="A6726" t="str">
            <v>Mauritius</v>
          </cell>
          <cell r="B6726">
            <v>480</v>
          </cell>
          <cell r="C6726">
            <v>201</v>
          </cell>
          <cell r="D6726">
            <v>13</v>
          </cell>
          <cell r="E6726" t="str">
            <v>Less: Financial intermediation services indirectly measured (FISIM) (only to be deducted if FISIM is not distributed to uses)</v>
          </cell>
          <cell r="F6726">
            <v>0</v>
          </cell>
          <cell r="G6726">
            <v>1986</v>
          </cell>
          <cell r="H6726">
            <v>20</v>
          </cell>
          <cell r="I6726">
            <v>306000000</v>
          </cell>
        </row>
        <row r="6727">
          <cell r="A6727" t="str">
            <v>Mauritius</v>
          </cell>
          <cell r="B6727">
            <v>480</v>
          </cell>
          <cell r="C6727">
            <v>201</v>
          </cell>
          <cell r="D6727">
            <v>13</v>
          </cell>
          <cell r="E6727" t="str">
            <v>Less: Financial intermediation services indirectly measured (FISIM) (only to be deducted if FISIM is not distributed to uses)</v>
          </cell>
          <cell r="F6727">
            <v>0</v>
          </cell>
          <cell r="G6727">
            <v>1987</v>
          </cell>
          <cell r="H6727">
            <v>20</v>
          </cell>
          <cell r="I6727">
            <v>405000000</v>
          </cell>
        </row>
        <row r="6728">
          <cell r="A6728" t="str">
            <v>Mauritius</v>
          </cell>
          <cell r="B6728">
            <v>480</v>
          </cell>
          <cell r="C6728">
            <v>201</v>
          </cell>
          <cell r="D6728">
            <v>13</v>
          </cell>
          <cell r="E6728" t="str">
            <v>Less: Financial intermediation services indirectly measured (FISIM) (only to be deducted if FISIM is not distributed to uses)</v>
          </cell>
          <cell r="F6728">
            <v>0</v>
          </cell>
          <cell r="G6728">
            <v>1988</v>
          </cell>
          <cell r="H6728">
            <v>20</v>
          </cell>
          <cell r="I6728">
            <v>552000000</v>
          </cell>
        </row>
        <row r="6729">
          <cell r="A6729" t="str">
            <v>Mauritius</v>
          </cell>
          <cell r="B6729">
            <v>480</v>
          </cell>
          <cell r="C6729">
            <v>201</v>
          </cell>
          <cell r="D6729">
            <v>13</v>
          </cell>
          <cell r="E6729" t="str">
            <v>Less: Financial intermediation services indirectly measured (FISIM) (only to be deducted if FISIM is not distributed to uses)</v>
          </cell>
          <cell r="F6729">
            <v>0</v>
          </cell>
          <cell r="G6729">
            <v>1989</v>
          </cell>
          <cell r="H6729">
            <v>20</v>
          </cell>
          <cell r="I6729">
            <v>693000000</v>
          </cell>
        </row>
        <row r="6730">
          <cell r="A6730" t="str">
            <v>Mauritius</v>
          </cell>
          <cell r="B6730">
            <v>480</v>
          </cell>
          <cell r="C6730">
            <v>201</v>
          </cell>
          <cell r="D6730">
            <v>13</v>
          </cell>
          <cell r="E6730" t="str">
            <v>Less: Financial intermediation services indirectly measured (FISIM) (only to be deducted if FISIM is not distributed to uses)</v>
          </cell>
          <cell r="F6730">
            <v>0</v>
          </cell>
          <cell r="G6730">
            <v>1990</v>
          </cell>
          <cell r="H6730">
            <v>20</v>
          </cell>
          <cell r="I6730">
            <v>852000000</v>
          </cell>
        </row>
        <row r="6731">
          <cell r="A6731" t="str">
            <v>Mauritius</v>
          </cell>
          <cell r="B6731">
            <v>480</v>
          </cell>
          <cell r="C6731">
            <v>201</v>
          </cell>
          <cell r="D6731">
            <v>13</v>
          </cell>
          <cell r="E6731" t="str">
            <v>Less: Financial intermediation services indirectly measured (FISIM) (only to be deducted if FISIM is not distributed to uses)</v>
          </cell>
          <cell r="F6731">
            <v>0</v>
          </cell>
          <cell r="G6731">
            <v>1991</v>
          </cell>
          <cell r="H6731">
            <v>20</v>
          </cell>
          <cell r="I6731">
            <v>1053000000</v>
          </cell>
        </row>
        <row r="6732">
          <cell r="A6732" t="str">
            <v>Mauritius</v>
          </cell>
          <cell r="B6732">
            <v>480</v>
          </cell>
          <cell r="C6732">
            <v>201</v>
          </cell>
          <cell r="D6732">
            <v>13</v>
          </cell>
          <cell r="E6732" t="str">
            <v>Less: Financial intermediation services indirectly measured (FISIM) (only to be deducted if FISIM is not distributed to uses)</v>
          </cell>
          <cell r="F6732">
            <v>0</v>
          </cell>
          <cell r="G6732">
            <v>1992</v>
          </cell>
          <cell r="H6732">
            <v>20</v>
          </cell>
          <cell r="I6732">
            <v>1254000000</v>
          </cell>
        </row>
        <row r="6733">
          <cell r="A6733" t="str">
            <v>Mauritius</v>
          </cell>
          <cell r="B6733">
            <v>480</v>
          </cell>
          <cell r="C6733">
            <v>201</v>
          </cell>
          <cell r="D6733">
            <v>13</v>
          </cell>
          <cell r="E6733" t="str">
            <v>Less: Financial intermediation services indirectly measured (FISIM) (only to be deducted if FISIM is not distributed to uses)</v>
          </cell>
          <cell r="F6733">
            <v>0</v>
          </cell>
          <cell r="G6733">
            <v>1992</v>
          </cell>
          <cell r="H6733">
            <v>100</v>
          </cell>
          <cell r="I6733">
            <v>1307000000</v>
          </cell>
        </row>
        <row r="6734">
          <cell r="A6734" t="str">
            <v>Mauritius</v>
          </cell>
          <cell r="B6734">
            <v>480</v>
          </cell>
          <cell r="C6734">
            <v>201</v>
          </cell>
          <cell r="D6734">
            <v>13</v>
          </cell>
          <cell r="E6734" t="str">
            <v>Less: Financial intermediation services indirectly measured (FISIM) (only to be deducted if FISIM is not distributed to uses)</v>
          </cell>
          <cell r="F6734">
            <v>0</v>
          </cell>
          <cell r="G6734">
            <v>1993</v>
          </cell>
          <cell r="H6734">
            <v>100</v>
          </cell>
          <cell r="I6734">
            <v>1424000000</v>
          </cell>
        </row>
        <row r="6735">
          <cell r="A6735" t="str">
            <v>Mauritius</v>
          </cell>
          <cell r="B6735">
            <v>480</v>
          </cell>
          <cell r="C6735">
            <v>201</v>
          </cell>
          <cell r="D6735">
            <v>13</v>
          </cell>
          <cell r="E6735" t="str">
            <v>Less: Financial intermediation services indirectly measured (FISIM) (only to be deducted if FISIM is not distributed to uses)</v>
          </cell>
          <cell r="F6735">
            <v>0</v>
          </cell>
          <cell r="G6735">
            <v>1994</v>
          </cell>
          <cell r="H6735">
            <v>100</v>
          </cell>
          <cell r="I6735">
            <v>1898000000</v>
          </cell>
        </row>
        <row r="6736">
          <cell r="A6736" t="str">
            <v>Mauritius</v>
          </cell>
          <cell r="B6736">
            <v>480</v>
          </cell>
          <cell r="C6736">
            <v>201</v>
          </cell>
          <cell r="D6736">
            <v>13</v>
          </cell>
          <cell r="E6736" t="str">
            <v>Less: Financial intermediation services indirectly measured (FISIM) (only to be deducted if FISIM is not distributed to uses)</v>
          </cell>
          <cell r="F6736">
            <v>0</v>
          </cell>
          <cell r="G6736">
            <v>1995</v>
          </cell>
          <cell r="H6736">
            <v>100</v>
          </cell>
          <cell r="I6736">
            <v>2057000000</v>
          </cell>
        </row>
        <row r="6737">
          <cell r="A6737" t="str">
            <v>Mauritius</v>
          </cell>
          <cell r="B6737">
            <v>480</v>
          </cell>
          <cell r="C6737">
            <v>201</v>
          </cell>
          <cell r="D6737">
            <v>13</v>
          </cell>
          <cell r="E6737" t="str">
            <v>Less: Financial intermediation services indirectly measured (FISIM) (only to be deducted if FISIM is not distributed to uses)</v>
          </cell>
          <cell r="F6737">
            <v>0</v>
          </cell>
          <cell r="G6737">
            <v>1996</v>
          </cell>
          <cell r="H6737">
            <v>100</v>
          </cell>
          <cell r="I6737">
            <v>2148000000</v>
          </cell>
        </row>
        <row r="6738">
          <cell r="A6738" t="str">
            <v>Mauritius</v>
          </cell>
          <cell r="B6738">
            <v>480</v>
          </cell>
          <cell r="C6738">
            <v>201</v>
          </cell>
          <cell r="D6738">
            <v>13</v>
          </cell>
          <cell r="E6738" t="str">
            <v>Less: Financial intermediation services indirectly measured (FISIM) (only to be deducted if FISIM is not distributed to uses)</v>
          </cell>
          <cell r="F6738">
            <v>0</v>
          </cell>
          <cell r="G6738">
            <v>1997</v>
          </cell>
          <cell r="H6738">
            <v>100</v>
          </cell>
          <cell r="I6738">
            <v>2605000000</v>
          </cell>
        </row>
        <row r="6739">
          <cell r="A6739" t="str">
            <v>Mauritius</v>
          </cell>
          <cell r="B6739">
            <v>480</v>
          </cell>
          <cell r="C6739">
            <v>201</v>
          </cell>
          <cell r="D6739">
            <v>13</v>
          </cell>
          <cell r="E6739" t="str">
            <v>Less: Financial intermediation services indirectly measured (FISIM) (only to be deducted if FISIM is not distributed to uses)</v>
          </cell>
          <cell r="F6739">
            <v>0</v>
          </cell>
          <cell r="G6739">
            <v>1998</v>
          </cell>
          <cell r="H6739">
            <v>100</v>
          </cell>
          <cell r="I6739">
            <v>3496000000</v>
          </cell>
        </row>
        <row r="6740">
          <cell r="A6740" t="str">
            <v>Mauritius</v>
          </cell>
          <cell r="B6740">
            <v>480</v>
          </cell>
          <cell r="C6740">
            <v>201</v>
          </cell>
          <cell r="D6740">
            <v>13</v>
          </cell>
          <cell r="E6740" t="str">
            <v>Less: Financial intermediation services indirectly measured (FISIM) (only to be deducted if FISIM is not distributed to uses)</v>
          </cell>
          <cell r="F6740">
            <v>0</v>
          </cell>
          <cell r="G6740">
            <v>1999</v>
          </cell>
          <cell r="H6740">
            <v>100</v>
          </cell>
          <cell r="I6740">
            <v>4356000000</v>
          </cell>
        </row>
        <row r="6741">
          <cell r="A6741" t="str">
            <v>Mauritius</v>
          </cell>
          <cell r="B6741">
            <v>480</v>
          </cell>
          <cell r="C6741">
            <v>201</v>
          </cell>
          <cell r="D6741">
            <v>13</v>
          </cell>
          <cell r="E6741" t="str">
            <v>Less: Financial intermediation services indirectly measured (FISIM) (only to be deducted if FISIM is not distributed to uses)</v>
          </cell>
          <cell r="F6741">
            <v>0</v>
          </cell>
          <cell r="G6741">
            <v>2000</v>
          </cell>
          <cell r="H6741">
            <v>100</v>
          </cell>
          <cell r="I6741">
            <v>5707000000</v>
          </cell>
        </row>
        <row r="6742">
          <cell r="A6742" t="str">
            <v>Mauritius</v>
          </cell>
          <cell r="B6742">
            <v>480</v>
          </cell>
          <cell r="C6742">
            <v>201</v>
          </cell>
          <cell r="D6742">
            <v>13</v>
          </cell>
          <cell r="E6742" t="str">
            <v>Less: Financial intermediation services indirectly measured (FISIM) (only to be deducted if FISIM is not distributed to uses)</v>
          </cell>
          <cell r="F6742">
            <v>0</v>
          </cell>
          <cell r="G6742">
            <v>2001</v>
          </cell>
          <cell r="H6742">
            <v>100</v>
          </cell>
          <cell r="I6742">
            <v>6290000000</v>
          </cell>
        </row>
        <row r="6743">
          <cell r="A6743" t="str">
            <v>Mauritius</v>
          </cell>
          <cell r="B6743">
            <v>480</v>
          </cell>
          <cell r="C6743">
            <v>201</v>
          </cell>
          <cell r="D6743">
            <v>13</v>
          </cell>
          <cell r="E6743" t="str">
            <v>Less: Financial intermediation services indirectly measured (FISIM) (only to be deducted if FISIM is not distributed to uses)</v>
          </cell>
          <cell r="F6743">
            <v>0</v>
          </cell>
          <cell r="G6743">
            <v>2002</v>
          </cell>
          <cell r="H6743">
            <v>100</v>
          </cell>
          <cell r="I6743">
            <v>6900000000</v>
          </cell>
        </row>
        <row r="6744">
          <cell r="A6744" t="str">
            <v>Mauritius</v>
          </cell>
          <cell r="B6744">
            <v>480</v>
          </cell>
          <cell r="C6744">
            <v>201</v>
          </cell>
          <cell r="D6744">
            <v>13</v>
          </cell>
          <cell r="E6744" t="str">
            <v>Less: Financial intermediation services indirectly measured (FISIM) (only to be deducted if FISIM is not distributed to uses)</v>
          </cell>
          <cell r="F6744">
            <v>0</v>
          </cell>
          <cell r="G6744">
            <v>2003</v>
          </cell>
          <cell r="H6744">
            <v>100</v>
          </cell>
          <cell r="I6744">
            <v>7650000000</v>
          </cell>
        </row>
        <row r="6745">
          <cell r="A6745" t="str">
            <v>Mauritius</v>
          </cell>
          <cell r="B6745">
            <v>480</v>
          </cell>
          <cell r="C6745">
            <v>201</v>
          </cell>
          <cell r="D6745">
            <v>13</v>
          </cell>
          <cell r="E6745" t="str">
            <v>Less: Financial intermediation services indirectly measured (FISIM) (only to be deducted if FISIM is not distributed to uses)</v>
          </cell>
          <cell r="F6745">
            <v>0</v>
          </cell>
          <cell r="G6745">
            <v>2004</v>
          </cell>
          <cell r="H6745">
            <v>100</v>
          </cell>
          <cell r="I6745">
            <v>8200000000</v>
          </cell>
        </row>
        <row r="6746">
          <cell r="A6746" t="str">
            <v>Hungary</v>
          </cell>
          <cell r="B6746">
            <v>348</v>
          </cell>
          <cell r="C6746">
            <v>203</v>
          </cell>
          <cell r="D6746">
            <v>4</v>
          </cell>
          <cell r="E6746" t="str">
            <v>Compensation of employees</v>
          </cell>
          <cell r="F6746">
            <v>12</v>
          </cell>
          <cell r="G6746">
            <v>1980</v>
          </cell>
          <cell r="H6746">
            <v>20</v>
          </cell>
          <cell r="I6746">
            <v>311270000000</v>
          </cell>
        </row>
        <row r="6747">
          <cell r="A6747" t="str">
            <v>Hungary</v>
          </cell>
          <cell r="B6747">
            <v>348</v>
          </cell>
          <cell r="C6747">
            <v>203</v>
          </cell>
          <cell r="D6747">
            <v>4</v>
          </cell>
          <cell r="E6747" t="str">
            <v>Compensation of employees</v>
          </cell>
          <cell r="F6747">
            <v>12</v>
          </cell>
          <cell r="G6747">
            <v>1981</v>
          </cell>
          <cell r="H6747">
            <v>20</v>
          </cell>
          <cell r="I6747">
            <v>331792000000</v>
          </cell>
        </row>
        <row r="6748">
          <cell r="A6748" t="str">
            <v>Hungary</v>
          </cell>
          <cell r="B6748">
            <v>348</v>
          </cell>
          <cell r="C6748">
            <v>203</v>
          </cell>
          <cell r="D6748">
            <v>4</v>
          </cell>
          <cell r="E6748" t="str">
            <v>Compensation of employees</v>
          </cell>
          <cell r="F6748">
            <v>12</v>
          </cell>
          <cell r="G6748">
            <v>1982</v>
          </cell>
          <cell r="H6748">
            <v>20</v>
          </cell>
          <cell r="I6748">
            <v>358479000000</v>
          </cell>
        </row>
        <row r="6749">
          <cell r="A6749" t="str">
            <v>Hungary</v>
          </cell>
          <cell r="B6749">
            <v>348</v>
          </cell>
          <cell r="C6749">
            <v>203</v>
          </cell>
          <cell r="D6749">
            <v>4</v>
          </cell>
          <cell r="E6749" t="str">
            <v>Compensation of employees</v>
          </cell>
          <cell r="F6749">
            <v>12</v>
          </cell>
          <cell r="G6749">
            <v>1983</v>
          </cell>
          <cell r="H6749">
            <v>20</v>
          </cell>
          <cell r="I6749">
            <v>381368000000</v>
          </cell>
        </row>
        <row r="6750">
          <cell r="A6750" t="str">
            <v>Hungary</v>
          </cell>
          <cell r="B6750">
            <v>348</v>
          </cell>
          <cell r="C6750">
            <v>203</v>
          </cell>
          <cell r="D6750">
            <v>4</v>
          </cell>
          <cell r="E6750" t="str">
            <v>Compensation of employees</v>
          </cell>
          <cell r="F6750">
            <v>12</v>
          </cell>
          <cell r="G6750">
            <v>1984</v>
          </cell>
          <cell r="H6750">
            <v>20</v>
          </cell>
          <cell r="I6750">
            <v>432534000000</v>
          </cell>
        </row>
        <row r="6751">
          <cell r="A6751" t="str">
            <v>Hungary</v>
          </cell>
          <cell r="B6751">
            <v>348</v>
          </cell>
          <cell r="C6751">
            <v>203</v>
          </cell>
          <cell r="D6751">
            <v>4</v>
          </cell>
          <cell r="E6751" t="str">
            <v>Compensation of employees</v>
          </cell>
          <cell r="F6751">
            <v>12</v>
          </cell>
          <cell r="G6751">
            <v>1985</v>
          </cell>
          <cell r="H6751">
            <v>20</v>
          </cell>
          <cell r="I6751">
            <v>467777000000</v>
          </cell>
        </row>
        <row r="6752">
          <cell r="A6752" t="str">
            <v>Hungary</v>
          </cell>
          <cell r="B6752">
            <v>348</v>
          </cell>
          <cell r="C6752">
            <v>203</v>
          </cell>
          <cell r="D6752">
            <v>4</v>
          </cell>
          <cell r="E6752" t="str">
            <v>Compensation of employees</v>
          </cell>
          <cell r="F6752">
            <v>12</v>
          </cell>
          <cell r="G6752">
            <v>1986</v>
          </cell>
          <cell r="H6752">
            <v>20</v>
          </cell>
          <cell r="I6752">
            <v>503221000000</v>
          </cell>
        </row>
        <row r="6753">
          <cell r="A6753" t="str">
            <v>Hungary</v>
          </cell>
          <cell r="B6753">
            <v>348</v>
          </cell>
          <cell r="C6753">
            <v>203</v>
          </cell>
          <cell r="D6753">
            <v>4</v>
          </cell>
          <cell r="E6753" t="str">
            <v>Compensation of employees</v>
          </cell>
          <cell r="F6753">
            <v>12</v>
          </cell>
          <cell r="G6753">
            <v>1987</v>
          </cell>
          <cell r="H6753">
            <v>20</v>
          </cell>
          <cell r="I6753">
            <v>548142000000</v>
          </cell>
        </row>
        <row r="6754">
          <cell r="A6754" t="str">
            <v>Hungary</v>
          </cell>
          <cell r="B6754">
            <v>348</v>
          </cell>
          <cell r="C6754">
            <v>203</v>
          </cell>
          <cell r="D6754">
            <v>4</v>
          </cell>
          <cell r="E6754" t="str">
            <v>Compensation of employees</v>
          </cell>
          <cell r="F6754">
            <v>12</v>
          </cell>
          <cell r="G6754">
            <v>1988</v>
          </cell>
          <cell r="H6754">
            <v>20</v>
          </cell>
          <cell r="I6754">
            <v>695106000000</v>
          </cell>
        </row>
        <row r="6755">
          <cell r="A6755" t="str">
            <v>Hungary</v>
          </cell>
          <cell r="B6755">
            <v>348</v>
          </cell>
          <cell r="C6755">
            <v>203</v>
          </cell>
          <cell r="D6755">
            <v>4</v>
          </cell>
          <cell r="E6755" t="str">
            <v>Compensation of employees</v>
          </cell>
          <cell r="F6755">
            <v>12</v>
          </cell>
          <cell r="G6755">
            <v>1989</v>
          </cell>
          <cell r="H6755">
            <v>30</v>
          </cell>
          <cell r="I6755">
            <v>891472000000</v>
          </cell>
        </row>
        <row r="6756">
          <cell r="A6756" t="str">
            <v>Hungary</v>
          </cell>
          <cell r="B6756">
            <v>348</v>
          </cell>
          <cell r="C6756">
            <v>203</v>
          </cell>
          <cell r="D6756">
            <v>4</v>
          </cell>
          <cell r="E6756" t="str">
            <v>Compensation of employees</v>
          </cell>
          <cell r="F6756">
            <v>12</v>
          </cell>
          <cell r="G6756">
            <v>1995</v>
          </cell>
          <cell r="H6756">
            <v>100</v>
          </cell>
          <cell r="I6756">
            <v>2635002000000</v>
          </cell>
        </row>
        <row r="6757">
          <cell r="A6757" t="str">
            <v>Hungary</v>
          </cell>
          <cell r="B6757">
            <v>348</v>
          </cell>
          <cell r="C6757">
            <v>203</v>
          </cell>
          <cell r="D6757">
            <v>4</v>
          </cell>
          <cell r="E6757" t="str">
            <v>Compensation of employees</v>
          </cell>
          <cell r="F6757">
            <v>12</v>
          </cell>
          <cell r="G6757">
            <v>1996</v>
          </cell>
          <cell r="H6757">
            <v>100</v>
          </cell>
          <cell r="I6757">
            <v>3147447000000</v>
          </cell>
        </row>
        <row r="6758">
          <cell r="A6758" t="str">
            <v>Hungary</v>
          </cell>
          <cell r="B6758">
            <v>348</v>
          </cell>
          <cell r="C6758">
            <v>203</v>
          </cell>
          <cell r="D6758">
            <v>4</v>
          </cell>
          <cell r="E6758" t="str">
            <v>Compensation of employees</v>
          </cell>
          <cell r="F6758">
            <v>12</v>
          </cell>
          <cell r="G6758">
            <v>1997</v>
          </cell>
          <cell r="H6758">
            <v>100</v>
          </cell>
          <cell r="I6758">
            <v>3838875000000</v>
          </cell>
        </row>
        <row r="6759">
          <cell r="A6759" t="str">
            <v>Hungary</v>
          </cell>
          <cell r="B6759">
            <v>348</v>
          </cell>
          <cell r="C6759">
            <v>203</v>
          </cell>
          <cell r="D6759">
            <v>4</v>
          </cell>
          <cell r="E6759" t="str">
            <v>Compensation of employees</v>
          </cell>
          <cell r="F6759">
            <v>12</v>
          </cell>
          <cell r="G6759">
            <v>1998</v>
          </cell>
          <cell r="H6759">
            <v>100</v>
          </cell>
          <cell r="I6759">
            <v>4517992000000</v>
          </cell>
        </row>
        <row r="6760">
          <cell r="A6760" t="str">
            <v>Hungary</v>
          </cell>
          <cell r="B6760">
            <v>348</v>
          </cell>
          <cell r="C6760">
            <v>203</v>
          </cell>
          <cell r="D6760">
            <v>4</v>
          </cell>
          <cell r="E6760" t="str">
            <v>Compensation of employees</v>
          </cell>
          <cell r="F6760">
            <v>12</v>
          </cell>
          <cell r="G6760">
            <v>1999</v>
          </cell>
          <cell r="H6760">
            <v>100</v>
          </cell>
          <cell r="I6760">
            <v>4915944000000</v>
          </cell>
        </row>
        <row r="6761">
          <cell r="A6761" t="str">
            <v>Hungary</v>
          </cell>
          <cell r="B6761">
            <v>348</v>
          </cell>
          <cell r="C6761">
            <v>203</v>
          </cell>
          <cell r="D6761">
            <v>4</v>
          </cell>
          <cell r="E6761" t="str">
            <v>Compensation of employees</v>
          </cell>
          <cell r="F6761">
            <v>12</v>
          </cell>
          <cell r="G6761">
            <v>2000</v>
          </cell>
          <cell r="H6761">
            <v>100</v>
          </cell>
          <cell r="I6761">
            <v>5791281000000</v>
          </cell>
        </row>
        <row r="6762">
          <cell r="A6762" t="str">
            <v>Hungary</v>
          </cell>
          <cell r="B6762">
            <v>348</v>
          </cell>
          <cell r="C6762">
            <v>203</v>
          </cell>
          <cell r="D6762">
            <v>4</v>
          </cell>
          <cell r="E6762" t="str">
            <v>Compensation of employees</v>
          </cell>
          <cell r="F6762">
            <v>12</v>
          </cell>
          <cell r="G6762">
            <v>2001</v>
          </cell>
          <cell r="H6762">
            <v>100</v>
          </cell>
          <cell r="I6762">
            <v>6798695000000</v>
          </cell>
        </row>
        <row r="6763">
          <cell r="A6763" t="str">
            <v>Hungary</v>
          </cell>
          <cell r="B6763">
            <v>348</v>
          </cell>
          <cell r="C6763">
            <v>203</v>
          </cell>
          <cell r="D6763">
            <v>4</v>
          </cell>
          <cell r="E6763" t="str">
            <v>Compensation of employees</v>
          </cell>
          <cell r="F6763">
            <v>12</v>
          </cell>
          <cell r="G6763">
            <v>2002</v>
          </cell>
          <cell r="H6763">
            <v>100</v>
          </cell>
          <cell r="I6763">
            <v>7710098000000</v>
          </cell>
        </row>
        <row r="6764">
          <cell r="A6764" t="str">
            <v>Hungary</v>
          </cell>
          <cell r="B6764">
            <v>348</v>
          </cell>
          <cell r="C6764">
            <v>203</v>
          </cell>
          <cell r="D6764">
            <v>11</v>
          </cell>
          <cell r="E6764" t="str">
            <v>OPERATING SURPLUS, GROSS</v>
          </cell>
          <cell r="F6764">
            <v>12</v>
          </cell>
          <cell r="G6764">
            <v>1980</v>
          </cell>
          <cell r="H6764">
            <v>20</v>
          </cell>
          <cell r="I6764">
            <v>331634000000</v>
          </cell>
        </row>
        <row r="6765">
          <cell r="A6765" t="str">
            <v>Hungary</v>
          </cell>
          <cell r="B6765">
            <v>348</v>
          </cell>
          <cell r="C6765">
            <v>203</v>
          </cell>
          <cell r="D6765">
            <v>11</v>
          </cell>
          <cell r="E6765" t="str">
            <v>OPERATING SURPLUS, GROSS</v>
          </cell>
          <cell r="F6765">
            <v>12</v>
          </cell>
          <cell r="G6765">
            <v>1981</v>
          </cell>
          <cell r="H6765">
            <v>20</v>
          </cell>
          <cell r="I6765">
            <v>363371000000</v>
          </cell>
        </row>
        <row r="6766">
          <cell r="A6766" t="str">
            <v>Hungary</v>
          </cell>
          <cell r="B6766">
            <v>348</v>
          </cell>
          <cell r="C6766">
            <v>203</v>
          </cell>
          <cell r="D6766">
            <v>11</v>
          </cell>
          <cell r="E6766" t="str">
            <v>OPERATING SURPLUS, GROSS</v>
          </cell>
          <cell r="F6766">
            <v>12</v>
          </cell>
          <cell r="G6766">
            <v>1982</v>
          </cell>
          <cell r="H6766">
            <v>20</v>
          </cell>
          <cell r="I6766">
            <v>382732000000</v>
          </cell>
        </row>
        <row r="6767">
          <cell r="A6767" t="str">
            <v>Hungary</v>
          </cell>
          <cell r="B6767">
            <v>348</v>
          </cell>
          <cell r="C6767">
            <v>203</v>
          </cell>
          <cell r="D6767">
            <v>11</v>
          </cell>
          <cell r="E6767" t="str">
            <v>OPERATING SURPLUS, GROSS</v>
          </cell>
          <cell r="F6767">
            <v>12</v>
          </cell>
          <cell r="G6767">
            <v>1983</v>
          </cell>
          <cell r="H6767">
            <v>20</v>
          </cell>
          <cell r="I6767">
            <v>414012000000</v>
          </cell>
        </row>
        <row r="6768">
          <cell r="A6768" t="str">
            <v>Hungary</v>
          </cell>
          <cell r="B6768">
            <v>348</v>
          </cell>
          <cell r="C6768">
            <v>203</v>
          </cell>
          <cell r="D6768">
            <v>11</v>
          </cell>
          <cell r="E6768" t="str">
            <v>OPERATING SURPLUS, GROSS</v>
          </cell>
          <cell r="F6768">
            <v>12</v>
          </cell>
          <cell r="G6768">
            <v>1984</v>
          </cell>
          <cell r="H6768">
            <v>20</v>
          </cell>
          <cell r="I6768">
            <v>455460000000</v>
          </cell>
        </row>
        <row r="6769">
          <cell r="A6769" t="str">
            <v>Hungary</v>
          </cell>
          <cell r="B6769">
            <v>348</v>
          </cell>
          <cell r="C6769">
            <v>203</v>
          </cell>
          <cell r="D6769">
            <v>11</v>
          </cell>
          <cell r="E6769" t="str">
            <v>OPERATING SURPLUS, GROSS</v>
          </cell>
          <cell r="F6769">
            <v>12</v>
          </cell>
          <cell r="G6769">
            <v>1985</v>
          </cell>
          <cell r="H6769">
            <v>20</v>
          </cell>
          <cell r="I6769">
            <v>484838000000</v>
          </cell>
        </row>
        <row r="6770">
          <cell r="A6770" t="str">
            <v>Hungary</v>
          </cell>
          <cell r="B6770">
            <v>348</v>
          </cell>
          <cell r="C6770">
            <v>203</v>
          </cell>
          <cell r="D6770">
            <v>11</v>
          </cell>
          <cell r="E6770" t="str">
            <v>OPERATING SURPLUS, GROSS</v>
          </cell>
          <cell r="F6770">
            <v>12</v>
          </cell>
          <cell r="G6770">
            <v>1986</v>
          </cell>
          <cell r="H6770">
            <v>20</v>
          </cell>
          <cell r="I6770">
            <v>535530000000</v>
          </cell>
        </row>
        <row r="6771">
          <cell r="A6771" t="str">
            <v>Hungary</v>
          </cell>
          <cell r="B6771">
            <v>348</v>
          </cell>
          <cell r="C6771">
            <v>203</v>
          </cell>
          <cell r="D6771">
            <v>11</v>
          </cell>
          <cell r="E6771" t="str">
            <v>OPERATING SURPLUS, GROSS</v>
          </cell>
          <cell r="F6771">
            <v>12</v>
          </cell>
          <cell r="G6771">
            <v>1987</v>
          </cell>
          <cell r="H6771">
            <v>20</v>
          </cell>
          <cell r="I6771">
            <v>601776000000</v>
          </cell>
        </row>
        <row r="6772">
          <cell r="A6772" t="str">
            <v>Hungary</v>
          </cell>
          <cell r="B6772">
            <v>348</v>
          </cell>
          <cell r="C6772">
            <v>203</v>
          </cell>
          <cell r="D6772">
            <v>11</v>
          </cell>
          <cell r="E6772" t="str">
            <v>OPERATING SURPLUS, GROSS</v>
          </cell>
          <cell r="F6772">
            <v>12</v>
          </cell>
          <cell r="G6772">
            <v>1988</v>
          </cell>
          <cell r="H6772">
            <v>20</v>
          </cell>
          <cell r="I6772">
            <v>535608000000</v>
          </cell>
        </row>
        <row r="6773">
          <cell r="A6773" t="str">
            <v>Hungary</v>
          </cell>
          <cell r="B6773">
            <v>348</v>
          </cell>
          <cell r="C6773">
            <v>203</v>
          </cell>
          <cell r="D6773">
            <v>11</v>
          </cell>
          <cell r="E6773" t="str">
            <v>OPERATING SURPLUS, GROSS</v>
          </cell>
          <cell r="F6773">
            <v>12</v>
          </cell>
          <cell r="G6773">
            <v>1989</v>
          </cell>
          <cell r="H6773">
            <v>30</v>
          </cell>
          <cell r="I6773">
            <v>617432000000</v>
          </cell>
        </row>
        <row r="6774">
          <cell r="A6774" t="str">
            <v>Hungary</v>
          </cell>
          <cell r="B6774">
            <v>348</v>
          </cell>
          <cell r="C6774">
            <v>203</v>
          </cell>
          <cell r="D6774">
            <v>11</v>
          </cell>
          <cell r="E6774" t="str">
            <v>OPERATING SURPLUS, GROSS</v>
          </cell>
          <cell r="F6774">
            <v>12</v>
          </cell>
          <cell r="G6774">
            <v>1995</v>
          </cell>
          <cell r="H6774">
            <v>100</v>
          </cell>
          <cell r="I6774">
            <v>2312253000000</v>
          </cell>
        </row>
        <row r="6775">
          <cell r="A6775" t="str">
            <v>Hungary</v>
          </cell>
          <cell r="B6775">
            <v>348</v>
          </cell>
          <cell r="C6775">
            <v>203</v>
          </cell>
          <cell r="D6775">
            <v>11</v>
          </cell>
          <cell r="E6775" t="str">
            <v>OPERATING SURPLUS, GROSS</v>
          </cell>
          <cell r="F6775">
            <v>12</v>
          </cell>
          <cell r="G6775">
            <v>1996</v>
          </cell>
          <cell r="H6775">
            <v>100</v>
          </cell>
          <cell r="I6775">
            <v>2916876000000</v>
          </cell>
        </row>
        <row r="6776">
          <cell r="A6776" t="str">
            <v>Hungary</v>
          </cell>
          <cell r="B6776">
            <v>348</v>
          </cell>
          <cell r="C6776">
            <v>203</v>
          </cell>
          <cell r="D6776">
            <v>11</v>
          </cell>
          <cell r="E6776" t="str">
            <v>OPERATING SURPLUS, GROSS</v>
          </cell>
          <cell r="F6776">
            <v>12</v>
          </cell>
          <cell r="G6776">
            <v>1997</v>
          </cell>
          <cell r="H6776">
            <v>100</v>
          </cell>
          <cell r="I6776">
            <v>3728799000000</v>
          </cell>
        </row>
        <row r="6777">
          <cell r="A6777" t="str">
            <v>Hungary</v>
          </cell>
          <cell r="B6777">
            <v>348</v>
          </cell>
          <cell r="C6777">
            <v>203</v>
          </cell>
          <cell r="D6777">
            <v>11</v>
          </cell>
          <cell r="E6777" t="str">
            <v>OPERATING SURPLUS, GROSS</v>
          </cell>
          <cell r="F6777">
            <v>12</v>
          </cell>
          <cell r="G6777">
            <v>1998</v>
          </cell>
          <cell r="H6777">
            <v>100</v>
          </cell>
          <cell r="I6777">
            <v>4378362000000</v>
          </cell>
        </row>
        <row r="6778">
          <cell r="A6778" t="str">
            <v>Hungary</v>
          </cell>
          <cell r="B6778">
            <v>348</v>
          </cell>
          <cell r="C6778">
            <v>203</v>
          </cell>
          <cell r="D6778">
            <v>11</v>
          </cell>
          <cell r="E6778" t="str">
            <v>OPERATING SURPLUS, GROSS</v>
          </cell>
          <cell r="F6778">
            <v>12</v>
          </cell>
          <cell r="G6778">
            <v>1999</v>
          </cell>
          <cell r="H6778">
            <v>100</v>
          </cell>
          <cell r="I6778">
            <v>5057855000000</v>
          </cell>
        </row>
        <row r="6779">
          <cell r="A6779" t="str">
            <v>Hungary</v>
          </cell>
          <cell r="B6779">
            <v>348</v>
          </cell>
          <cell r="C6779">
            <v>203</v>
          </cell>
          <cell r="D6779">
            <v>11</v>
          </cell>
          <cell r="E6779" t="str">
            <v>OPERATING SURPLUS, GROSS</v>
          </cell>
          <cell r="F6779">
            <v>12</v>
          </cell>
          <cell r="G6779">
            <v>2000</v>
          </cell>
          <cell r="H6779">
            <v>100</v>
          </cell>
          <cell r="I6779">
            <v>5689245000000</v>
          </cell>
        </row>
        <row r="6780">
          <cell r="A6780" t="str">
            <v>Hungary</v>
          </cell>
          <cell r="B6780">
            <v>348</v>
          </cell>
          <cell r="C6780">
            <v>203</v>
          </cell>
          <cell r="D6780">
            <v>11</v>
          </cell>
          <cell r="E6780" t="str">
            <v>OPERATING SURPLUS, GROSS</v>
          </cell>
          <cell r="F6780">
            <v>12</v>
          </cell>
          <cell r="G6780">
            <v>2001</v>
          </cell>
          <cell r="H6780">
            <v>100</v>
          </cell>
          <cell r="I6780">
            <v>6307697000000</v>
          </cell>
        </row>
        <row r="6781">
          <cell r="A6781" t="str">
            <v>Hungary</v>
          </cell>
          <cell r="B6781">
            <v>348</v>
          </cell>
          <cell r="C6781">
            <v>203</v>
          </cell>
          <cell r="D6781">
            <v>11</v>
          </cell>
          <cell r="E6781" t="str">
            <v>OPERATING SURPLUS, GROSS</v>
          </cell>
          <cell r="F6781">
            <v>12</v>
          </cell>
          <cell r="G6781">
            <v>2002</v>
          </cell>
          <cell r="H6781">
            <v>100</v>
          </cell>
          <cell r="I6781">
            <v>7212024000000</v>
          </cell>
        </row>
        <row r="6782">
          <cell r="A6782" t="str">
            <v>Hungary</v>
          </cell>
          <cell r="B6782">
            <v>348</v>
          </cell>
          <cell r="C6782">
            <v>203</v>
          </cell>
          <cell r="D6782">
            <v>22</v>
          </cell>
          <cell r="E6782" t="str">
            <v>Taxes on production and imports, less Subsidies</v>
          </cell>
          <cell r="F6782">
            <v>12</v>
          </cell>
          <cell r="G6782">
            <v>1980</v>
          </cell>
          <cell r="H6782">
            <v>20</v>
          </cell>
          <cell r="I6782">
            <v>2630000000</v>
          </cell>
        </row>
        <row r="6783">
          <cell r="A6783" t="str">
            <v>Hungary</v>
          </cell>
          <cell r="B6783">
            <v>348</v>
          </cell>
          <cell r="C6783">
            <v>203</v>
          </cell>
          <cell r="D6783">
            <v>22</v>
          </cell>
          <cell r="E6783" t="str">
            <v>Taxes on production and imports, less Subsidies</v>
          </cell>
          <cell r="F6783">
            <v>12</v>
          </cell>
          <cell r="G6783">
            <v>1981</v>
          </cell>
          <cell r="H6783">
            <v>20</v>
          </cell>
          <cell r="I6783">
            <v>8289000000</v>
          </cell>
        </row>
        <row r="6784">
          <cell r="A6784" t="str">
            <v>Hungary</v>
          </cell>
          <cell r="B6784">
            <v>348</v>
          </cell>
          <cell r="C6784">
            <v>203</v>
          </cell>
          <cell r="D6784">
            <v>22</v>
          </cell>
          <cell r="E6784" t="str">
            <v>Taxes on production and imports, less Subsidies</v>
          </cell>
          <cell r="F6784">
            <v>12</v>
          </cell>
          <cell r="G6784">
            <v>1982</v>
          </cell>
          <cell r="H6784">
            <v>20</v>
          </cell>
          <cell r="I6784">
            <v>17250000000</v>
          </cell>
        </row>
        <row r="6785">
          <cell r="A6785" t="str">
            <v>Hungary</v>
          </cell>
          <cell r="B6785">
            <v>348</v>
          </cell>
          <cell r="C6785">
            <v>203</v>
          </cell>
          <cell r="D6785">
            <v>22</v>
          </cell>
          <cell r="E6785" t="str">
            <v>Taxes on production and imports, less Subsidies</v>
          </cell>
          <cell r="F6785">
            <v>12</v>
          </cell>
          <cell r="G6785">
            <v>1983</v>
          </cell>
          <cell r="H6785">
            <v>20</v>
          </cell>
          <cell r="I6785">
            <v>6814000000</v>
          </cell>
        </row>
        <row r="6786">
          <cell r="A6786" t="str">
            <v>Hungary</v>
          </cell>
          <cell r="B6786">
            <v>348</v>
          </cell>
          <cell r="C6786">
            <v>203</v>
          </cell>
          <cell r="D6786">
            <v>22</v>
          </cell>
          <cell r="E6786" t="str">
            <v>Taxes on production and imports, less Subsidies</v>
          </cell>
          <cell r="F6786">
            <v>12</v>
          </cell>
          <cell r="G6786">
            <v>1984</v>
          </cell>
          <cell r="H6786">
            <v>20</v>
          </cell>
          <cell r="I6786">
            <v>-12820000000</v>
          </cell>
        </row>
        <row r="6787">
          <cell r="A6787" t="str">
            <v>Hungary</v>
          </cell>
          <cell r="B6787">
            <v>348</v>
          </cell>
          <cell r="C6787">
            <v>203</v>
          </cell>
          <cell r="D6787">
            <v>22</v>
          </cell>
          <cell r="E6787" t="str">
            <v>Taxes on production and imports, less Subsidies</v>
          </cell>
          <cell r="F6787">
            <v>12</v>
          </cell>
          <cell r="G6787">
            <v>1985</v>
          </cell>
          <cell r="H6787">
            <v>20</v>
          </cell>
          <cell r="I6787">
            <v>-21186000000</v>
          </cell>
        </row>
        <row r="6788">
          <cell r="A6788" t="str">
            <v>Hungary</v>
          </cell>
          <cell r="B6788">
            <v>348</v>
          </cell>
          <cell r="C6788">
            <v>203</v>
          </cell>
          <cell r="D6788">
            <v>22</v>
          </cell>
          <cell r="E6788" t="str">
            <v>Taxes on production and imports, less Subsidies</v>
          </cell>
          <cell r="F6788">
            <v>12</v>
          </cell>
          <cell r="G6788">
            <v>1986</v>
          </cell>
          <cell r="H6788">
            <v>20</v>
          </cell>
          <cell r="I6788">
            <v>-41532000000</v>
          </cell>
        </row>
        <row r="6789">
          <cell r="A6789" t="str">
            <v>Hungary</v>
          </cell>
          <cell r="B6789">
            <v>348</v>
          </cell>
          <cell r="C6789">
            <v>203</v>
          </cell>
          <cell r="D6789">
            <v>22</v>
          </cell>
          <cell r="E6789" t="str">
            <v>Taxes on production and imports, less Subsidies</v>
          </cell>
          <cell r="F6789">
            <v>12</v>
          </cell>
          <cell r="G6789">
            <v>1987</v>
          </cell>
          <cell r="H6789">
            <v>20</v>
          </cell>
          <cell r="I6789">
            <v>-39579000000</v>
          </cell>
        </row>
        <row r="6790">
          <cell r="A6790" t="str">
            <v>Hungary</v>
          </cell>
          <cell r="B6790">
            <v>348</v>
          </cell>
          <cell r="C6790">
            <v>203</v>
          </cell>
          <cell r="D6790">
            <v>22</v>
          </cell>
          <cell r="E6790" t="str">
            <v>Taxes on production and imports, less Subsidies</v>
          </cell>
          <cell r="F6790">
            <v>12</v>
          </cell>
          <cell r="G6790">
            <v>1988</v>
          </cell>
          <cell r="H6790">
            <v>20</v>
          </cell>
          <cell r="I6790">
            <v>-16639000000</v>
          </cell>
        </row>
        <row r="6791">
          <cell r="A6791" t="str">
            <v>Hungary</v>
          </cell>
          <cell r="B6791">
            <v>348</v>
          </cell>
          <cell r="C6791">
            <v>203</v>
          </cell>
          <cell r="D6791">
            <v>22</v>
          </cell>
          <cell r="E6791" t="str">
            <v>Taxes on production and imports, less Subsidies</v>
          </cell>
          <cell r="F6791">
            <v>12</v>
          </cell>
          <cell r="G6791">
            <v>1989</v>
          </cell>
          <cell r="H6791">
            <v>30</v>
          </cell>
          <cell r="I6791">
            <v>-11268000000</v>
          </cell>
        </row>
        <row r="6792">
          <cell r="A6792" t="str">
            <v>Hungary</v>
          </cell>
          <cell r="B6792">
            <v>348</v>
          </cell>
          <cell r="C6792">
            <v>203</v>
          </cell>
          <cell r="D6792">
            <v>22</v>
          </cell>
          <cell r="E6792" t="str">
            <v>Taxes on production and imports, less Subsidies</v>
          </cell>
          <cell r="F6792">
            <v>12</v>
          </cell>
          <cell r="G6792">
            <v>1995</v>
          </cell>
          <cell r="H6792">
            <v>100</v>
          </cell>
          <cell r="I6792">
            <v>-14400000000</v>
          </cell>
        </row>
        <row r="6793">
          <cell r="A6793" t="str">
            <v>Hungary</v>
          </cell>
          <cell r="B6793">
            <v>348</v>
          </cell>
          <cell r="C6793">
            <v>203</v>
          </cell>
          <cell r="D6793">
            <v>22</v>
          </cell>
          <cell r="E6793" t="str">
            <v>Taxes on production and imports, less Subsidies</v>
          </cell>
          <cell r="F6793">
            <v>12</v>
          </cell>
          <cell r="G6793">
            <v>1996</v>
          </cell>
          <cell r="H6793">
            <v>100</v>
          </cell>
          <cell r="I6793">
            <v>-3011000000</v>
          </cell>
        </row>
        <row r="6794">
          <cell r="A6794" t="str">
            <v>Hungary</v>
          </cell>
          <cell r="B6794">
            <v>348</v>
          </cell>
          <cell r="C6794">
            <v>203</v>
          </cell>
          <cell r="D6794">
            <v>22</v>
          </cell>
          <cell r="E6794" t="str">
            <v>Taxes on production and imports, less Subsidies</v>
          </cell>
          <cell r="F6794">
            <v>12</v>
          </cell>
          <cell r="G6794">
            <v>1997</v>
          </cell>
          <cell r="H6794">
            <v>100</v>
          </cell>
          <cell r="I6794">
            <v>-11688000000</v>
          </cell>
        </row>
        <row r="6795">
          <cell r="A6795" t="str">
            <v>Hungary</v>
          </cell>
          <cell r="B6795">
            <v>348</v>
          </cell>
          <cell r="C6795">
            <v>203</v>
          </cell>
          <cell r="D6795">
            <v>22</v>
          </cell>
          <cell r="E6795" t="str">
            <v>Taxes on production and imports, less Subsidies</v>
          </cell>
          <cell r="F6795">
            <v>12</v>
          </cell>
          <cell r="G6795">
            <v>1998</v>
          </cell>
          <cell r="H6795">
            <v>100</v>
          </cell>
          <cell r="I6795">
            <v>-22891000000</v>
          </cell>
        </row>
        <row r="6796">
          <cell r="A6796" t="str">
            <v>Hungary</v>
          </cell>
          <cell r="B6796">
            <v>348</v>
          </cell>
          <cell r="C6796">
            <v>203</v>
          </cell>
          <cell r="D6796">
            <v>22</v>
          </cell>
          <cell r="E6796" t="str">
            <v>Taxes on production and imports, less Subsidies</v>
          </cell>
          <cell r="F6796">
            <v>12</v>
          </cell>
          <cell r="G6796">
            <v>1999</v>
          </cell>
          <cell r="H6796">
            <v>100</v>
          </cell>
          <cell r="I6796">
            <v>-773000000</v>
          </cell>
        </row>
        <row r="6797">
          <cell r="A6797" t="str">
            <v>Hungary</v>
          </cell>
          <cell r="B6797">
            <v>348</v>
          </cell>
          <cell r="C6797">
            <v>203</v>
          </cell>
          <cell r="D6797">
            <v>22</v>
          </cell>
          <cell r="E6797" t="str">
            <v>Taxes on production and imports, less Subsidies</v>
          </cell>
          <cell r="F6797">
            <v>12</v>
          </cell>
          <cell r="G6797">
            <v>2000</v>
          </cell>
          <cell r="H6797">
            <v>100</v>
          </cell>
          <cell r="I6797">
            <v>2147000000</v>
          </cell>
        </row>
        <row r="6798">
          <cell r="A6798" t="str">
            <v>Hungary</v>
          </cell>
          <cell r="B6798">
            <v>348</v>
          </cell>
          <cell r="C6798">
            <v>203</v>
          </cell>
          <cell r="D6798">
            <v>22</v>
          </cell>
          <cell r="E6798" t="str">
            <v>Taxes on production and imports, less Subsidies</v>
          </cell>
          <cell r="F6798">
            <v>12</v>
          </cell>
          <cell r="G6798">
            <v>2001</v>
          </cell>
          <cell r="H6798">
            <v>100</v>
          </cell>
          <cell r="I6798">
            <v>-7881000000</v>
          </cell>
        </row>
        <row r="6799">
          <cell r="A6799" t="str">
            <v>Hungary</v>
          </cell>
          <cell r="B6799">
            <v>348</v>
          </cell>
          <cell r="C6799">
            <v>203</v>
          </cell>
          <cell r="D6799">
            <v>22</v>
          </cell>
          <cell r="E6799" t="str">
            <v>Taxes on production and imports, less Subsidies</v>
          </cell>
          <cell r="F6799">
            <v>12</v>
          </cell>
          <cell r="G6799">
            <v>2002</v>
          </cell>
          <cell r="H6799">
            <v>100</v>
          </cell>
          <cell r="I6799">
            <v>-32669000000</v>
          </cell>
        </row>
        <row r="6800">
          <cell r="A6800" t="str">
            <v>Mauritius</v>
          </cell>
          <cell r="B6800">
            <v>480</v>
          </cell>
          <cell r="C6800">
            <v>203</v>
          </cell>
          <cell r="D6800">
            <v>3</v>
          </cell>
          <cell r="E6800" t="str">
            <v>Equals: VALUE ADDED, GROSS, at basic prices</v>
          </cell>
          <cell r="F6800">
            <v>12</v>
          </cell>
          <cell r="G6800">
            <v>1970</v>
          </cell>
          <cell r="H6800">
            <v>10</v>
          </cell>
          <cell r="I6800">
            <v>912000000</v>
          </cell>
        </row>
        <row r="6801">
          <cell r="A6801" t="str">
            <v>Mauritius</v>
          </cell>
          <cell r="B6801">
            <v>480</v>
          </cell>
          <cell r="C6801">
            <v>203</v>
          </cell>
          <cell r="D6801">
            <v>3</v>
          </cell>
          <cell r="E6801" t="str">
            <v>Equals: VALUE ADDED, GROSS, at basic prices</v>
          </cell>
          <cell r="F6801">
            <v>12</v>
          </cell>
          <cell r="G6801">
            <v>1971</v>
          </cell>
          <cell r="H6801">
            <v>10</v>
          </cell>
          <cell r="I6801">
            <v>1016000000</v>
          </cell>
        </row>
        <row r="6802">
          <cell r="A6802" t="str">
            <v>Mauritius</v>
          </cell>
          <cell r="B6802">
            <v>480</v>
          </cell>
          <cell r="C6802">
            <v>203</v>
          </cell>
          <cell r="D6802">
            <v>3</v>
          </cell>
          <cell r="E6802" t="str">
            <v>Equals: VALUE ADDED, GROSS, at basic prices</v>
          </cell>
          <cell r="F6802">
            <v>12</v>
          </cell>
          <cell r="G6802">
            <v>1972</v>
          </cell>
          <cell r="H6802">
            <v>10</v>
          </cell>
          <cell r="I6802">
            <v>1279000000</v>
          </cell>
        </row>
        <row r="6803">
          <cell r="A6803" t="str">
            <v>Mauritius</v>
          </cell>
          <cell r="B6803">
            <v>480</v>
          </cell>
          <cell r="C6803">
            <v>203</v>
          </cell>
          <cell r="D6803">
            <v>3</v>
          </cell>
          <cell r="E6803" t="str">
            <v>Equals: VALUE ADDED, GROSS, at basic prices</v>
          </cell>
          <cell r="F6803">
            <v>12</v>
          </cell>
          <cell r="G6803">
            <v>1973</v>
          </cell>
          <cell r="H6803">
            <v>10</v>
          </cell>
          <cell r="I6803">
            <v>1650000000</v>
          </cell>
        </row>
        <row r="6804">
          <cell r="A6804" t="str">
            <v>Mauritius</v>
          </cell>
          <cell r="B6804">
            <v>480</v>
          </cell>
          <cell r="C6804">
            <v>203</v>
          </cell>
          <cell r="D6804">
            <v>3</v>
          </cell>
          <cell r="E6804" t="str">
            <v>Equals: VALUE ADDED, GROSS, at basic prices</v>
          </cell>
          <cell r="F6804">
            <v>12</v>
          </cell>
          <cell r="G6804">
            <v>1974</v>
          </cell>
          <cell r="H6804">
            <v>10</v>
          </cell>
          <cell r="I6804">
            <v>2941000000</v>
          </cell>
        </row>
        <row r="6805">
          <cell r="A6805" t="str">
            <v>Mauritius</v>
          </cell>
          <cell r="B6805">
            <v>480</v>
          </cell>
          <cell r="C6805">
            <v>203</v>
          </cell>
          <cell r="D6805">
            <v>3</v>
          </cell>
          <cell r="E6805" t="str">
            <v>Equals: VALUE ADDED, GROSS, at basic prices</v>
          </cell>
          <cell r="F6805">
            <v>12</v>
          </cell>
          <cell r="G6805">
            <v>1975</v>
          </cell>
          <cell r="H6805">
            <v>10</v>
          </cell>
          <cell r="I6805">
            <v>3090000000</v>
          </cell>
        </row>
        <row r="6806">
          <cell r="A6806" t="str">
            <v>Mauritius</v>
          </cell>
          <cell r="B6806">
            <v>480</v>
          </cell>
          <cell r="C6806">
            <v>203</v>
          </cell>
          <cell r="D6806">
            <v>3</v>
          </cell>
          <cell r="E6806" t="str">
            <v>Equals: VALUE ADDED, GROSS, at basic prices</v>
          </cell>
          <cell r="F6806">
            <v>12</v>
          </cell>
          <cell r="G6806">
            <v>1976</v>
          </cell>
          <cell r="H6806">
            <v>20</v>
          </cell>
          <cell r="I6806">
            <v>4485000000</v>
          </cell>
        </row>
        <row r="6807">
          <cell r="A6807" t="str">
            <v>Mauritius</v>
          </cell>
          <cell r="B6807">
            <v>480</v>
          </cell>
          <cell r="C6807">
            <v>203</v>
          </cell>
          <cell r="D6807">
            <v>3</v>
          </cell>
          <cell r="E6807" t="str">
            <v>Equals: VALUE ADDED, GROSS, at basic prices</v>
          </cell>
          <cell r="F6807">
            <v>12</v>
          </cell>
          <cell r="G6807">
            <v>1977</v>
          </cell>
          <cell r="H6807">
            <v>20</v>
          </cell>
          <cell r="I6807">
            <v>5124000000</v>
          </cell>
        </row>
        <row r="6808">
          <cell r="A6808" t="str">
            <v>Mauritius</v>
          </cell>
          <cell r="B6808">
            <v>480</v>
          </cell>
          <cell r="C6808">
            <v>203</v>
          </cell>
          <cell r="D6808">
            <v>3</v>
          </cell>
          <cell r="E6808" t="str">
            <v>Equals: VALUE ADDED, GROSS, at basic prices</v>
          </cell>
          <cell r="F6808">
            <v>12</v>
          </cell>
          <cell r="G6808">
            <v>1978</v>
          </cell>
          <cell r="H6808">
            <v>20</v>
          </cell>
          <cell r="I6808">
            <v>5916000000</v>
          </cell>
        </row>
        <row r="6809">
          <cell r="A6809" t="str">
            <v>Mauritius</v>
          </cell>
          <cell r="B6809">
            <v>480</v>
          </cell>
          <cell r="C6809">
            <v>203</v>
          </cell>
          <cell r="D6809">
            <v>3</v>
          </cell>
          <cell r="E6809" t="str">
            <v>Equals: VALUE ADDED, GROSS, at basic prices</v>
          </cell>
          <cell r="F6809">
            <v>12</v>
          </cell>
          <cell r="G6809">
            <v>1979</v>
          </cell>
          <cell r="H6809">
            <v>20</v>
          </cell>
          <cell r="I6809">
            <v>7173000000</v>
          </cell>
        </row>
        <row r="6810">
          <cell r="A6810" t="str">
            <v>Mauritius</v>
          </cell>
          <cell r="B6810">
            <v>480</v>
          </cell>
          <cell r="C6810">
            <v>203</v>
          </cell>
          <cell r="D6810">
            <v>3</v>
          </cell>
          <cell r="E6810" t="str">
            <v>Equals: VALUE ADDED, GROSS, at basic prices</v>
          </cell>
          <cell r="F6810">
            <v>12</v>
          </cell>
          <cell r="G6810">
            <v>1980</v>
          </cell>
          <cell r="H6810">
            <v>20</v>
          </cell>
          <cell r="I6810">
            <v>8113000000</v>
          </cell>
        </row>
        <row r="6811">
          <cell r="A6811" t="str">
            <v>Mauritius</v>
          </cell>
          <cell r="B6811">
            <v>480</v>
          </cell>
          <cell r="C6811">
            <v>203</v>
          </cell>
          <cell r="D6811">
            <v>3</v>
          </cell>
          <cell r="E6811" t="str">
            <v>Equals: VALUE ADDED, GROSS, at basic prices</v>
          </cell>
          <cell r="F6811">
            <v>12</v>
          </cell>
          <cell r="G6811">
            <v>1981</v>
          </cell>
          <cell r="H6811">
            <v>20</v>
          </cell>
          <cell r="I6811">
            <v>9644000000</v>
          </cell>
        </row>
        <row r="6812">
          <cell r="A6812" t="str">
            <v>Mauritius</v>
          </cell>
          <cell r="B6812">
            <v>480</v>
          </cell>
          <cell r="C6812">
            <v>203</v>
          </cell>
          <cell r="D6812">
            <v>3</v>
          </cell>
          <cell r="E6812" t="str">
            <v>Equals: VALUE ADDED, GROSS, at basic prices</v>
          </cell>
          <cell r="F6812">
            <v>12</v>
          </cell>
          <cell r="G6812">
            <v>1982</v>
          </cell>
          <cell r="H6812">
            <v>20</v>
          </cell>
          <cell r="I6812">
            <v>11015000000</v>
          </cell>
        </row>
        <row r="6813">
          <cell r="A6813" t="str">
            <v>Mauritius</v>
          </cell>
          <cell r="B6813">
            <v>480</v>
          </cell>
          <cell r="C6813">
            <v>203</v>
          </cell>
          <cell r="D6813">
            <v>3</v>
          </cell>
          <cell r="E6813" t="str">
            <v>Equals: VALUE ADDED, GROSS, at basic prices</v>
          </cell>
          <cell r="F6813">
            <v>12</v>
          </cell>
          <cell r="G6813">
            <v>1983</v>
          </cell>
          <cell r="H6813">
            <v>20</v>
          </cell>
          <cell r="I6813">
            <v>11840000000</v>
          </cell>
        </row>
        <row r="6814">
          <cell r="A6814" t="str">
            <v>Mauritius</v>
          </cell>
          <cell r="B6814">
            <v>480</v>
          </cell>
          <cell r="C6814">
            <v>203</v>
          </cell>
          <cell r="D6814">
            <v>3</v>
          </cell>
          <cell r="E6814" t="str">
            <v>Equals: VALUE ADDED, GROSS, at basic prices</v>
          </cell>
          <cell r="F6814">
            <v>12</v>
          </cell>
          <cell r="G6814">
            <v>1984</v>
          </cell>
          <cell r="H6814">
            <v>20</v>
          </cell>
          <cell r="I6814">
            <v>13280000000</v>
          </cell>
        </row>
        <row r="6815">
          <cell r="A6815" t="str">
            <v>Mauritius</v>
          </cell>
          <cell r="B6815">
            <v>480</v>
          </cell>
          <cell r="C6815">
            <v>203</v>
          </cell>
          <cell r="D6815">
            <v>3</v>
          </cell>
          <cell r="E6815" t="str">
            <v>Equals: VALUE ADDED, GROSS, at basic prices</v>
          </cell>
          <cell r="F6815">
            <v>12</v>
          </cell>
          <cell r="G6815">
            <v>1985</v>
          </cell>
          <cell r="H6815">
            <v>20</v>
          </cell>
          <cell r="I6815">
            <v>15083000000</v>
          </cell>
        </row>
        <row r="6816">
          <cell r="A6816" t="str">
            <v>Mauritius</v>
          </cell>
          <cell r="B6816">
            <v>480</v>
          </cell>
          <cell r="C6816">
            <v>203</v>
          </cell>
          <cell r="D6816">
            <v>3</v>
          </cell>
          <cell r="E6816" t="str">
            <v>Equals: VALUE ADDED, GROSS, at basic prices</v>
          </cell>
          <cell r="F6816">
            <v>12</v>
          </cell>
          <cell r="G6816">
            <v>1986</v>
          </cell>
          <cell r="H6816">
            <v>20</v>
          </cell>
          <cell r="I6816">
            <v>17807000000</v>
          </cell>
        </row>
        <row r="6817">
          <cell r="A6817" t="str">
            <v>Mauritius</v>
          </cell>
          <cell r="B6817">
            <v>480</v>
          </cell>
          <cell r="C6817">
            <v>203</v>
          </cell>
          <cell r="D6817">
            <v>3</v>
          </cell>
          <cell r="E6817" t="str">
            <v>Equals: VALUE ADDED, GROSS, at basic prices</v>
          </cell>
          <cell r="F6817">
            <v>12</v>
          </cell>
          <cell r="G6817">
            <v>1987</v>
          </cell>
          <cell r="H6817">
            <v>20</v>
          </cell>
          <cell r="I6817">
            <v>21230000000</v>
          </cell>
        </row>
        <row r="6818">
          <cell r="A6818" t="str">
            <v>Mauritius</v>
          </cell>
          <cell r="B6818">
            <v>480</v>
          </cell>
          <cell r="C6818">
            <v>203</v>
          </cell>
          <cell r="D6818">
            <v>3</v>
          </cell>
          <cell r="E6818" t="str">
            <v>Equals: VALUE ADDED, GROSS, at basic prices</v>
          </cell>
          <cell r="F6818">
            <v>12</v>
          </cell>
          <cell r="G6818">
            <v>1988</v>
          </cell>
          <cell r="H6818">
            <v>20</v>
          </cell>
          <cell r="I6818">
            <v>24991000000</v>
          </cell>
        </row>
        <row r="6819">
          <cell r="A6819" t="str">
            <v>Mauritius</v>
          </cell>
          <cell r="B6819">
            <v>480</v>
          </cell>
          <cell r="C6819">
            <v>203</v>
          </cell>
          <cell r="D6819">
            <v>3</v>
          </cell>
          <cell r="E6819" t="str">
            <v>Equals: VALUE ADDED, GROSS, at basic prices</v>
          </cell>
          <cell r="F6819">
            <v>12</v>
          </cell>
          <cell r="G6819">
            <v>1989</v>
          </cell>
          <cell r="H6819">
            <v>20</v>
          </cell>
          <cell r="I6819">
            <v>28938000000</v>
          </cell>
        </row>
        <row r="6820">
          <cell r="A6820" t="str">
            <v>Mauritius</v>
          </cell>
          <cell r="B6820">
            <v>480</v>
          </cell>
          <cell r="C6820">
            <v>203</v>
          </cell>
          <cell r="D6820">
            <v>3</v>
          </cell>
          <cell r="E6820" t="str">
            <v>Equals: VALUE ADDED, GROSS, at basic prices</v>
          </cell>
          <cell r="F6820">
            <v>12</v>
          </cell>
          <cell r="G6820">
            <v>1990</v>
          </cell>
          <cell r="H6820">
            <v>20</v>
          </cell>
          <cell r="I6820">
            <v>34152000000</v>
          </cell>
        </row>
        <row r="6821">
          <cell r="A6821" t="str">
            <v>Mauritius</v>
          </cell>
          <cell r="B6821">
            <v>480</v>
          </cell>
          <cell r="C6821">
            <v>203</v>
          </cell>
          <cell r="D6821">
            <v>3</v>
          </cell>
          <cell r="E6821" t="str">
            <v>Equals: VALUE ADDED, GROSS, at basic prices</v>
          </cell>
          <cell r="F6821">
            <v>12</v>
          </cell>
          <cell r="G6821">
            <v>1991</v>
          </cell>
          <cell r="H6821">
            <v>20</v>
          </cell>
          <cell r="I6821">
            <v>38830000000</v>
          </cell>
        </row>
        <row r="6822">
          <cell r="A6822" t="str">
            <v>Mauritius</v>
          </cell>
          <cell r="B6822">
            <v>480</v>
          </cell>
          <cell r="C6822">
            <v>203</v>
          </cell>
          <cell r="D6822">
            <v>3</v>
          </cell>
          <cell r="E6822" t="str">
            <v>Equals: VALUE ADDED, GROSS, at basic prices</v>
          </cell>
          <cell r="F6822">
            <v>12</v>
          </cell>
          <cell r="G6822">
            <v>1992</v>
          </cell>
          <cell r="H6822">
            <v>20</v>
          </cell>
          <cell r="I6822">
            <v>44236000000</v>
          </cell>
        </row>
        <row r="6823">
          <cell r="A6823" t="str">
            <v>Mauritius</v>
          </cell>
          <cell r="B6823">
            <v>480</v>
          </cell>
          <cell r="C6823">
            <v>203</v>
          </cell>
          <cell r="D6823">
            <v>3</v>
          </cell>
          <cell r="E6823" t="str">
            <v>Equals: VALUE ADDED, GROSS, at basic prices</v>
          </cell>
          <cell r="F6823">
            <v>12</v>
          </cell>
          <cell r="G6823">
            <v>1993</v>
          </cell>
          <cell r="H6823">
            <v>20</v>
          </cell>
          <cell r="I6823">
            <v>50384000000</v>
          </cell>
        </row>
        <row r="6824">
          <cell r="A6824" t="str">
            <v>Mauritius</v>
          </cell>
          <cell r="B6824">
            <v>480</v>
          </cell>
          <cell r="C6824">
            <v>203</v>
          </cell>
          <cell r="D6824">
            <v>3</v>
          </cell>
          <cell r="E6824" t="str">
            <v>Equals: VALUE ADDED, GROSS, at basic prices</v>
          </cell>
          <cell r="F6824">
            <v>12</v>
          </cell>
          <cell r="G6824">
            <v>1994</v>
          </cell>
          <cell r="H6824">
            <v>20</v>
          </cell>
          <cell r="I6824">
            <v>56637000000</v>
          </cell>
        </row>
        <row r="6825">
          <cell r="A6825" t="str">
            <v>Mauritius</v>
          </cell>
          <cell r="B6825">
            <v>480</v>
          </cell>
          <cell r="C6825">
            <v>203</v>
          </cell>
          <cell r="D6825">
            <v>3</v>
          </cell>
          <cell r="E6825" t="str">
            <v>Equals: VALUE ADDED, GROSS, at basic prices</v>
          </cell>
          <cell r="F6825">
            <v>12</v>
          </cell>
          <cell r="G6825">
            <v>1995</v>
          </cell>
          <cell r="H6825">
            <v>20</v>
          </cell>
          <cell r="I6825">
            <v>62834000000</v>
          </cell>
        </row>
        <row r="6826">
          <cell r="A6826" t="str">
            <v>Mauritius</v>
          </cell>
          <cell r="B6826">
            <v>480</v>
          </cell>
          <cell r="C6826">
            <v>203</v>
          </cell>
          <cell r="D6826">
            <v>3</v>
          </cell>
          <cell r="E6826" t="str">
            <v>Equals: VALUE ADDED, GROSS, at basic prices</v>
          </cell>
          <cell r="F6826">
            <v>12</v>
          </cell>
          <cell r="G6826">
            <v>1996</v>
          </cell>
          <cell r="H6826">
            <v>20</v>
          </cell>
          <cell r="I6826">
            <v>70104000000</v>
          </cell>
        </row>
        <row r="6827">
          <cell r="A6827" t="str">
            <v>Mauritius</v>
          </cell>
          <cell r="B6827">
            <v>480</v>
          </cell>
          <cell r="C6827">
            <v>203</v>
          </cell>
          <cell r="D6827">
            <v>3</v>
          </cell>
          <cell r="E6827" t="str">
            <v>Equals: VALUE ADDED, GROSS, at basic prices</v>
          </cell>
          <cell r="F6827">
            <v>12</v>
          </cell>
          <cell r="G6827">
            <v>1997</v>
          </cell>
          <cell r="H6827">
            <v>20</v>
          </cell>
          <cell r="I6827">
            <v>77930000000</v>
          </cell>
        </row>
        <row r="6828">
          <cell r="A6828" t="str">
            <v>Mauritius</v>
          </cell>
          <cell r="B6828">
            <v>480</v>
          </cell>
          <cell r="C6828">
            <v>203</v>
          </cell>
          <cell r="D6828">
            <v>3</v>
          </cell>
          <cell r="E6828" t="str">
            <v>Equals: VALUE ADDED, GROSS, at basic prices</v>
          </cell>
          <cell r="F6828">
            <v>12</v>
          </cell>
          <cell r="G6828">
            <v>1997</v>
          </cell>
          <cell r="H6828">
            <v>100</v>
          </cell>
          <cell r="I6828">
            <v>77683000000</v>
          </cell>
        </row>
        <row r="6829">
          <cell r="A6829" t="str">
            <v>Mauritius</v>
          </cell>
          <cell r="B6829">
            <v>480</v>
          </cell>
          <cell r="C6829">
            <v>203</v>
          </cell>
          <cell r="D6829">
            <v>3</v>
          </cell>
          <cell r="E6829" t="str">
            <v>Equals: VALUE ADDED, GROSS, at basic prices</v>
          </cell>
          <cell r="F6829">
            <v>12</v>
          </cell>
          <cell r="G6829">
            <v>1998</v>
          </cell>
          <cell r="H6829">
            <v>100</v>
          </cell>
          <cell r="I6829">
            <v>87455000000</v>
          </cell>
        </row>
        <row r="6830">
          <cell r="A6830" t="str">
            <v>Mauritius</v>
          </cell>
          <cell r="B6830">
            <v>480</v>
          </cell>
          <cell r="C6830">
            <v>203</v>
          </cell>
          <cell r="D6830">
            <v>3</v>
          </cell>
          <cell r="E6830" t="str">
            <v>Equals: VALUE ADDED, GROSS, at basic prices</v>
          </cell>
          <cell r="F6830">
            <v>12</v>
          </cell>
          <cell r="G6830">
            <v>1999</v>
          </cell>
          <cell r="H6830">
            <v>100</v>
          </cell>
          <cell r="I6830">
            <v>93328000000</v>
          </cell>
        </row>
        <row r="6831">
          <cell r="A6831" t="str">
            <v>Mauritius</v>
          </cell>
          <cell r="B6831">
            <v>480</v>
          </cell>
          <cell r="C6831">
            <v>203</v>
          </cell>
          <cell r="D6831">
            <v>3</v>
          </cell>
          <cell r="E6831" t="str">
            <v>Equals: VALUE ADDED, GROSS, at basic prices</v>
          </cell>
          <cell r="F6831">
            <v>12</v>
          </cell>
          <cell r="G6831">
            <v>2000</v>
          </cell>
          <cell r="H6831">
            <v>100</v>
          </cell>
          <cell r="I6831">
            <v>104517000000</v>
          </cell>
        </row>
        <row r="6832">
          <cell r="A6832" t="str">
            <v>Mauritius</v>
          </cell>
          <cell r="B6832">
            <v>480</v>
          </cell>
          <cell r="C6832">
            <v>203</v>
          </cell>
          <cell r="D6832">
            <v>4</v>
          </cell>
          <cell r="E6832" t="str">
            <v>Compensation of employees</v>
          </cell>
          <cell r="F6832">
            <v>12</v>
          </cell>
          <cell r="G6832">
            <v>1970</v>
          </cell>
          <cell r="H6832">
            <v>10</v>
          </cell>
          <cell r="I6832">
            <v>516000000</v>
          </cell>
        </row>
        <row r="6833">
          <cell r="A6833" t="str">
            <v>Mauritius</v>
          </cell>
          <cell r="B6833">
            <v>480</v>
          </cell>
          <cell r="C6833">
            <v>203</v>
          </cell>
          <cell r="D6833">
            <v>4</v>
          </cell>
          <cell r="E6833" t="str">
            <v>Compensation of employees</v>
          </cell>
          <cell r="F6833">
            <v>12</v>
          </cell>
          <cell r="G6833">
            <v>1971</v>
          </cell>
          <cell r="H6833">
            <v>10</v>
          </cell>
          <cell r="I6833">
            <v>555000000</v>
          </cell>
        </row>
        <row r="6834">
          <cell r="A6834" t="str">
            <v>Mauritius</v>
          </cell>
          <cell r="B6834">
            <v>480</v>
          </cell>
          <cell r="C6834">
            <v>203</v>
          </cell>
          <cell r="D6834">
            <v>4</v>
          </cell>
          <cell r="E6834" t="str">
            <v>Compensation of employees</v>
          </cell>
          <cell r="F6834">
            <v>12</v>
          </cell>
          <cell r="G6834">
            <v>1972</v>
          </cell>
          <cell r="H6834">
            <v>10</v>
          </cell>
          <cell r="I6834">
            <v>656000000</v>
          </cell>
        </row>
        <row r="6835">
          <cell r="A6835" t="str">
            <v>Mauritius</v>
          </cell>
          <cell r="B6835">
            <v>480</v>
          </cell>
          <cell r="C6835">
            <v>203</v>
          </cell>
          <cell r="D6835">
            <v>4</v>
          </cell>
          <cell r="E6835" t="str">
            <v>Compensation of employees</v>
          </cell>
          <cell r="F6835">
            <v>12</v>
          </cell>
          <cell r="G6835">
            <v>1973</v>
          </cell>
          <cell r="H6835">
            <v>10</v>
          </cell>
          <cell r="I6835">
            <v>833000000</v>
          </cell>
        </row>
        <row r="6836">
          <cell r="A6836" t="str">
            <v>Mauritius</v>
          </cell>
          <cell r="B6836">
            <v>480</v>
          </cell>
          <cell r="C6836">
            <v>203</v>
          </cell>
          <cell r="D6836">
            <v>4</v>
          </cell>
          <cell r="E6836" t="str">
            <v>Compensation of employees</v>
          </cell>
          <cell r="F6836">
            <v>12</v>
          </cell>
          <cell r="G6836">
            <v>1974</v>
          </cell>
          <cell r="H6836">
            <v>10</v>
          </cell>
          <cell r="I6836">
            <v>1241000000</v>
          </cell>
        </row>
        <row r="6837">
          <cell r="A6837" t="str">
            <v>Mauritius</v>
          </cell>
          <cell r="B6837">
            <v>480</v>
          </cell>
          <cell r="C6837">
            <v>203</v>
          </cell>
          <cell r="D6837">
            <v>4</v>
          </cell>
          <cell r="E6837" t="str">
            <v>Compensation of employees</v>
          </cell>
          <cell r="F6837">
            <v>12</v>
          </cell>
          <cell r="G6837">
            <v>1975</v>
          </cell>
          <cell r="H6837">
            <v>10</v>
          </cell>
          <cell r="I6837">
            <v>1568000000</v>
          </cell>
        </row>
        <row r="6838">
          <cell r="A6838" t="str">
            <v>Mauritius</v>
          </cell>
          <cell r="B6838">
            <v>480</v>
          </cell>
          <cell r="C6838">
            <v>203</v>
          </cell>
          <cell r="D6838">
            <v>4</v>
          </cell>
          <cell r="E6838" t="str">
            <v>Compensation of employees</v>
          </cell>
          <cell r="F6838">
            <v>12</v>
          </cell>
          <cell r="G6838">
            <v>1976</v>
          </cell>
          <cell r="H6838">
            <v>20</v>
          </cell>
          <cell r="I6838">
            <v>2208000000</v>
          </cell>
        </row>
        <row r="6839">
          <cell r="A6839" t="str">
            <v>Mauritius</v>
          </cell>
          <cell r="B6839">
            <v>480</v>
          </cell>
          <cell r="C6839">
            <v>203</v>
          </cell>
          <cell r="D6839">
            <v>4</v>
          </cell>
          <cell r="E6839" t="str">
            <v>Compensation of employees</v>
          </cell>
          <cell r="F6839">
            <v>12</v>
          </cell>
          <cell r="G6839">
            <v>1977</v>
          </cell>
          <cell r="H6839">
            <v>20</v>
          </cell>
          <cell r="I6839">
            <v>2705000000</v>
          </cell>
        </row>
        <row r="6840">
          <cell r="A6840" t="str">
            <v>Mauritius</v>
          </cell>
          <cell r="B6840">
            <v>480</v>
          </cell>
          <cell r="C6840">
            <v>203</v>
          </cell>
          <cell r="D6840">
            <v>4</v>
          </cell>
          <cell r="E6840" t="str">
            <v>Compensation of employees</v>
          </cell>
          <cell r="F6840">
            <v>12</v>
          </cell>
          <cell r="G6840">
            <v>1978</v>
          </cell>
          <cell r="H6840">
            <v>20</v>
          </cell>
          <cell r="I6840">
            <v>3046000000</v>
          </cell>
        </row>
        <row r="6841">
          <cell r="A6841" t="str">
            <v>Mauritius</v>
          </cell>
          <cell r="B6841">
            <v>480</v>
          </cell>
          <cell r="C6841">
            <v>203</v>
          </cell>
          <cell r="D6841">
            <v>4</v>
          </cell>
          <cell r="E6841" t="str">
            <v>Compensation of employees</v>
          </cell>
          <cell r="F6841">
            <v>12</v>
          </cell>
          <cell r="G6841">
            <v>1979</v>
          </cell>
          <cell r="H6841">
            <v>20</v>
          </cell>
          <cell r="I6841">
            <v>3470000000</v>
          </cell>
        </row>
        <row r="6842">
          <cell r="A6842" t="str">
            <v>Mauritius</v>
          </cell>
          <cell r="B6842">
            <v>480</v>
          </cell>
          <cell r="C6842">
            <v>203</v>
          </cell>
          <cell r="D6842">
            <v>4</v>
          </cell>
          <cell r="E6842" t="str">
            <v>Compensation of employees</v>
          </cell>
          <cell r="F6842">
            <v>12</v>
          </cell>
          <cell r="G6842">
            <v>1980</v>
          </cell>
          <cell r="H6842">
            <v>20</v>
          </cell>
          <cell r="I6842">
            <v>3953000000</v>
          </cell>
        </row>
        <row r="6843">
          <cell r="A6843" t="str">
            <v>Mauritius</v>
          </cell>
          <cell r="B6843">
            <v>480</v>
          </cell>
          <cell r="C6843">
            <v>203</v>
          </cell>
          <cell r="D6843">
            <v>4</v>
          </cell>
          <cell r="E6843" t="str">
            <v>Compensation of employees</v>
          </cell>
          <cell r="F6843">
            <v>12</v>
          </cell>
          <cell r="G6843">
            <v>1981</v>
          </cell>
          <cell r="H6843">
            <v>20</v>
          </cell>
          <cell r="I6843">
            <v>4482000000</v>
          </cell>
        </row>
        <row r="6844">
          <cell r="A6844" t="str">
            <v>Mauritius</v>
          </cell>
          <cell r="B6844">
            <v>480</v>
          </cell>
          <cell r="C6844">
            <v>203</v>
          </cell>
          <cell r="D6844">
            <v>4</v>
          </cell>
          <cell r="E6844" t="str">
            <v>Compensation of employees</v>
          </cell>
          <cell r="F6844">
            <v>12</v>
          </cell>
          <cell r="G6844">
            <v>1982</v>
          </cell>
          <cell r="H6844">
            <v>20</v>
          </cell>
          <cell r="I6844">
            <v>4972000000</v>
          </cell>
        </row>
        <row r="6845">
          <cell r="A6845" t="str">
            <v>Mauritius</v>
          </cell>
          <cell r="B6845">
            <v>480</v>
          </cell>
          <cell r="C6845">
            <v>203</v>
          </cell>
          <cell r="D6845">
            <v>4</v>
          </cell>
          <cell r="E6845" t="str">
            <v>Compensation of employees</v>
          </cell>
          <cell r="F6845">
            <v>12</v>
          </cell>
          <cell r="G6845">
            <v>1983</v>
          </cell>
          <cell r="H6845">
            <v>20</v>
          </cell>
          <cell r="I6845">
            <v>5400000000</v>
          </cell>
        </row>
        <row r="6846">
          <cell r="A6846" t="str">
            <v>Mauritius</v>
          </cell>
          <cell r="B6846">
            <v>480</v>
          </cell>
          <cell r="C6846">
            <v>203</v>
          </cell>
          <cell r="D6846">
            <v>4</v>
          </cell>
          <cell r="E6846" t="str">
            <v>Compensation of employees</v>
          </cell>
          <cell r="F6846">
            <v>12</v>
          </cell>
          <cell r="G6846">
            <v>1984</v>
          </cell>
          <cell r="H6846">
            <v>20</v>
          </cell>
          <cell r="I6846">
            <v>5915000000</v>
          </cell>
        </row>
        <row r="6847">
          <cell r="A6847" t="str">
            <v>Mauritius</v>
          </cell>
          <cell r="B6847">
            <v>480</v>
          </cell>
          <cell r="C6847">
            <v>203</v>
          </cell>
          <cell r="D6847">
            <v>4</v>
          </cell>
          <cell r="E6847" t="str">
            <v>Compensation of employees</v>
          </cell>
          <cell r="F6847">
            <v>12</v>
          </cell>
          <cell r="G6847">
            <v>1985</v>
          </cell>
          <cell r="H6847">
            <v>20</v>
          </cell>
          <cell r="I6847">
            <v>6570000000</v>
          </cell>
        </row>
        <row r="6848">
          <cell r="A6848" t="str">
            <v>Mauritius</v>
          </cell>
          <cell r="B6848">
            <v>480</v>
          </cell>
          <cell r="C6848">
            <v>203</v>
          </cell>
          <cell r="D6848">
            <v>4</v>
          </cell>
          <cell r="E6848" t="str">
            <v>Compensation of employees</v>
          </cell>
          <cell r="F6848">
            <v>12</v>
          </cell>
          <cell r="G6848">
            <v>1986</v>
          </cell>
          <cell r="H6848">
            <v>20</v>
          </cell>
          <cell r="I6848">
            <v>7365000000</v>
          </cell>
        </row>
        <row r="6849">
          <cell r="A6849" t="str">
            <v>Mauritius</v>
          </cell>
          <cell r="B6849">
            <v>480</v>
          </cell>
          <cell r="C6849">
            <v>203</v>
          </cell>
          <cell r="D6849">
            <v>4</v>
          </cell>
          <cell r="E6849" t="str">
            <v>Compensation of employees</v>
          </cell>
          <cell r="F6849">
            <v>12</v>
          </cell>
          <cell r="G6849">
            <v>1987</v>
          </cell>
          <cell r="H6849">
            <v>20</v>
          </cell>
          <cell r="I6849">
            <v>8895000000</v>
          </cell>
        </row>
        <row r="6850">
          <cell r="A6850" t="str">
            <v>Mauritius</v>
          </cell>
          <cell r="B6850">
            <v>480</v>
          </cell>
          <cell r="C6850">
            <v>203</v>
          </cell>
          <cell r="D6850">
            <v>4</v>
          </cell>
          <cell r="E6850" t="str">
            <v>Compensation of employees</v>
          </cell>
          <cell r="F6850">
            <v>12</v>
          </cell>
          <cell r="G6850">
            <v>1988</v>
          </cell>
          <cell r="H6850">
            <v>20</v>
          </cell>
          <cell r="I6850">
            <v>10915000000</v>
          </cell>
        </row>
        <row r="6851">
          <cell r="A6851" t="str">
            <v>Mauritius</v>
          </cell>
          <cell r="B6851">
            <v>480</v>
          </cell>
          <cell r="C6851">
            <v>203</v>
          </cell>
          <cell r="D6851">
            <v>4</v>
          </cell>
          <cell r="E6851" t="str">
            <v>Compensation of employees</v>
          </cell>
          <cell r="F6851">
            <v>12</v>
          </cell>
          <cell r="G6851">
            <v>1989</v>
          </cell>
          <cell r="H6851">
            <v>20</v>
          </cell>
          <cell r="I6851">
            <v>12815000000</v>
          </cell>
        </row>
        <row r="6852">
          <cell r="A6852" t="str">
            <v>Mauritius</v>
          </cell>
          <cell r="B6852">
            <v>480</v>
          </cell>
          <cell r="C6852">
            <v>203</v>
          </cell>
          <cell r="D6852">
            <v>4</v>
          </cell>
          <cell r="E6852" t="str">
            <v>Compensation of employees</v>
          </cell>
          <cell r="F6852">
            <v>12</v>
          </cell>
          <cell r="G6852">
            <v>1990</v>
          </cell>
          <cell r="H6852">
            <v>20</v>
          </cell>
          <cell r="I6852">
            <v>14890000000</v>
          </cell>
        </row>
        <row r="6853">
          <cell r="A6853" t="str">
            <v>Mauritius</v>
          </cell>
          <cell r="B6853">
            <v>480</v>
          </cell>
          <cell r="C6853">
            <v>203</v>
          </cell>
          <cell r="D6853">
            <v>4</v>
          </cell>
          <cell r="E6853" t="str">
            <v>Compensation of employees</v>
          </cell>
          <cell r="F6853">
            <v>12</v>
          </cell>
          <cell r="G6853">
            <v>1991</v>
          </cell>
          <cell r="H6853">
            <v>20</v>
          </cell>
          <cell r="I6853">
            <v>17228000000</v>
          </cell>
        </row>
        <row r="6854">
          <cell r="A6854" t="str">
            <v>Mauritius</v>
          </cell>
          <cell r="B6854">
            <v>480</v>
          </cell>
          <cell r="C6854">
            <v>203</v>
          </cell>
          <cell r="D6854">
            <v>4</v>
          </cell>
          <cell r="E6854" t="str">
            <v>Compensation of employees</v>
          </cell>
          <cell r="F6854">
            <v>12</v>
          </cell>
          <cell r="G6854">
            <v>1992</v>
          </cell>
          <cell r="H6854">
            <v>20</v>
          </cell>
          <cell r="I6854">
            <v>20359000000</v>
          </cell>
        </row>
        <row r="6855">
          <cell r="A6855" t="str">
            <v>Mauritius</v>
          </cell>
          <cell r="B6855">
            <v>480</v>
          </cell>
          <cell r="C6855">
            <v>203</v>
          </cell>
          <cell r="D6855">
            <v>4</v>
          </cell>
          <cell r="E6855" t="str">
            <v>Compensation of employees</v>
          </cell>
          <cell r="F6855">
            <v>12</v>
          </cell>
          <cell r="G6855">
            <v>1993</v>
          </cell>
          <cell r="H6855">
            <v>20</v>
          </cell>
          <cell r="I6855">
            <v>23298000000</v>
          </cell>
        </row>
        <row r="6856">
          <cell r="A6856" t="str">
            <v>Mauritius</v>
          </cell>
          <cell r="B6856">
            <v>480</v>
          </cell>
          <cell r="C6856">
            <v>203</v>
          </cell>
          <cell r="D6856">
            <v>4</v>
          </cell>
          <cell r="E6856" t="str">
            <v>Compensation of employees</v>
          </cell>
          <cell r="F6856">
            <v>12</v>
          </cell>
          <cell r="G6856">
            <v>1994</v>
          </cell>
          <cell r="H6856">
            <v>20</v>
          </cell>
          <cell r="I6856">
            <v>26670000000</v>
          </cell>
        </row>
        <row r="6857">
          <cell r="A6857" t="str">
            <v>Mauritius</v>
          </cell>
          <cell r="B6857">
            <v>480</v>
          </cell>
          <cell r="C6857">
            <v>203</v>
          </cell>
          <cell r="D6857">
            <v>4</v>
          </cell>
          <cell r="E6857" t="str">
            <v>Compensation of employees</v>
          </cell>
          <cell r="F6857">
            <v>12</v>
          </cell>
          <cell r="G6857">
            <v>1995</v>
          </cell>
          <cell r="H6857">
            <v>20</v>
          </cell>
          <cell r="I6857">
            <v>28822000000</v>
          </cell>
        </row>
        <row r="6858">
          <cell r="A6858" t="str">
            <v>Mauritius</v>
          </cell>
          <cell r="B6858">
            <v>480</v>
          </cell>
          <cell r="C6858">
            <v>203</v>
          </cell>
          <cell r="D6858">
            <v>4</v>
          </cell>
          <cell r="E6858" t="str">
            <v>Compensation of employees</v>
          </cell>
          <cell r="F6858">
            <v>12</v>
          </cell>
          <cell r="G6858">
            <v>1996</v>
          </cell>
          <cell r="H6858">
            <v>20</v>
          </cell>
          <cell r="I6858">
            <v>31772000000</v>
          </cell>
        </row>
        <row r="6859">
          <cell r="A6859" t="str">
            <v>Mauritius</v>
          </cell>
          <cell r="B6859">
            <v>480</v>
          </cell>
          <cell r="C6859">
            <v>203</v>
          </cell>
          <cell r="D6859">
            <v>4</v>
          </cell>
          <cell r="E6859" t="str">
            <v>Compensation of employees</v>
          </cell>
          <cell r="F6859">
            <v>12</v>
          </cell>
          <cell r="G6859">
            <v>1997</v>
          </cell>
          <cell r="H6859">
            <v>20</v>
          </cell>
          <cell r="I6859">
            <v>34679000000</v>
          </cell>
        </row>
        <row r="6860">
          <cell r="A6860" t="str">
            <v>Mauritius</v>
          </cell>
          <cell r="B6860">
            <v>480</v>
          </cell>
          <cell r="C6860">
            <v>203</v>
          </cell>
          <cell r="D6860">
            <v>4</v>
          </cell>
          <cell r="E6860" t="str">
            <v>Compensation of employees</v>
          </cell>
          <cell r="F6860">
            <v>12</v>
          </cell>
          <cell r="G6860">
            <v>1997</v>
          </cell>
          <cell r="H6860">
            <v>100</v>
          </cell>
          <cell r="I6860">
            <v>34514000000</v>
          </cell>
        </row>
        <row r="6861">
          <cell r="A6861" t="str">
            <v>Mauritius</v>
          </cell>
          <cell r="B6861">
            <v>480</v>
          </cell>
          <cell r="C6861">
            <v>203</v>
          </cell>
          <cell r="D6861">
            <v>4</v>
          </cell>
          <cell r="E6861" t="str">
            <v>Compensation of employees</v>
          </cell>
          <cell r="F6861">
            <v>12</v>
          </cell>
          <cell r="G6861">
            <v>1998</v>
          </cell>
          <cell r="H6861">
            <v>100</v>
          </cell>
          <cell r="I6861">
            <v>38966000000</v>
          </cell>
        </row>
        <row r="6862">
          <cell r="A6862" t="str">
            <v>Mauritius</v>
          </cell>
          <cell r="B6862">
            <v>480</v>
          </cell>
          <cell r="C6862">
            <v>203</v>
          </cell>
          <cell r="D6862">
            <v>4</v>
          </cell>
          <cell r="E6862" t="str">
            <v>Compensation of employees</v>
          </cell>
          <cell r="F6862">
            <v>12</v>
          </cell>
          <cell r="G6862">
            <v>1999</v>
          </cell>
          <cell r="H6862">
            <v>100</v>
          </cell>
          <cell r="I6862">
            <v>42655000000</v>
          </cell>
        </row>
        <row r="6863">
          <cell r="A6863" t="str">
            <v>Mauritius</v>
          </cell>
          <cell r="B6863">
            <v>480</v>
          </cell>
          <cell r="C6863">
            <v>203</v>
          </cell>
          <cell r="D6863">
            <v>4</v>
          </cell>
          <cell r="E6863" t="str">
            <v>Compensation of employees</v>
          </cell>
          <cell r="F6863">
            <v>12</v>
          </cell>
          <cell r="G6863">
            <v>2000</v>
          </cell>
          <cell r="H6863">
            <v>100</v>
          </cell>
          <cell r="I6863">
            <v>45942000000</v>
          </cell>
        </row>
        <row r="6864">
          <cell r="A6864" t="str">
            <v>Mauritius</v>
          </cell>
          <cell r="B6864">
            <v>480</v>
          </cell>
          <cell r="C6864">
            <v>203</v>
          </cell>
          <cell r="D6864">
            <v>11</v>
          </cell>
          <cell r="E6864" t="str">
            <v>OPERATING SURPLUS, GROSS</v>
          </cell>
          <cell r="F6864">
            <v>12</v>
          </cell>
          <cell r="G6864">
            <v>1970</v>
          </cell>
          <cell r="H6864">
            <v>10</v>
          </cell>
          <cell r="I6864">
            <v>396000000</v>
          </cell>
        </row>
        <row r="6865">
          <cell r="A6865" t="str">
            <v>Mauritius</v>
          </cell>
          <cell r="B6865">
            <v>480</v>
          </cell>
          <cell r="C6865">
            <v>203</v>
          </cell>
          <cell r="D6865">
            <v>11</v>
          </cell>
          <cell r="E6865" t="str">
            <v>OPERATING SURPLUS, GROSS</v>
          </cell>
          <cell r="F6865">
            <v>12</v>
          </cell>
          <cell r="G6865">
            <v>1971</v>
          </cell>
          <cell r="H6865">
            <v>10</v>
          </cell>
          <cell r="I6865">
            <v>461000000</v>
          </cell>
        </row>
        <row r="6866">
          <cell r="A6866" t="str">
            <v>Mauritius</v>
          </cell>
          <cell r="B6866">
            <v>480</v>
          </cell>
          <cell r="C6866">
            <v>203</v>
          </cell>
          <cell r="D6866">
            <v>11</v>
          </cell>
          <cell r="E6866" t="str">
            <v>OPERATING SURPLUS, GROSS</v>
          </cell>
          <cell r="F6866">
            <v>12</v>
          </cell>
          <cell r="G6866">
            <v>1972</v>
          </cell>
          <cell r="H6866">
            <v>10</v>
          </cell>
          <cell r="I6866">
            <v>623000000</v>
          </cell>
        </row>
        <row r="6867">
          <cell r="A6867" t="str">
            <v>Mauritius</v>
          </cell>
          <cell r="B6867">
            <v>480</v>
          </cell>
          <cell r="C6867">
            <v>203</v>
          </cell>
          <cell r="D6867">
            <v>11</v>
          </cell>
          <cell r="E6867" t="str">
            <v>OPERATING SURPLUS, GROSS</v>
          </cell>
          <cell r="F6867">
            <v>12</v>
          </cell>
          <cell r="G6867">
            <v>1973</v>
          </cell>
          <cell r="H6867">
            <v>10</v>
          </cell>
          <cell r="I6867">
            <v>817000000</v>
          </cell>
        </row>
        <row r="6868">
          <cell r="A6868" t="str">
            <v>Mauritius</v>
          </cell>
          <cell r="B6868">
            <v>480</v>
          </cell>
          <cell r="C6868">
            <v>203</v>
          </cell>
          <cell r="D6868">
            <v>11</v>
          </cell>
          <cell r="E6868" t="str">
            <v>OPERATING SURPLUS, GROSS</v>
          </cell>
          <cell r="F6868">
            <v>12</v>
          </cell>
          <cell r="G6868">
            <v>1974</v>
          </cell>
          <cell r="H6868">
            <v>10</v>
          </cell>
          <cell r="I6868">
            <v>1700000000</v>
          </cell>
        </row>
        <row r="6869">
          <cell r="A6869" t="str">
            <v>Mauritius</v>
          </cell>
          <cell r="B6869">
            <v>480</v>
          </cell>
          <cell r="C6869">
            <v>203</v>
          </cell>
          <cell r="D6869">
            <v>11</v>
          </cell>
          <cell r="E6869" t="str">
            <v>OPERATING SURPLUS, GROSS</v>
          </cell>
          <cell r="F6869">
            <v>12</v>
          </cell>
          <cell r="G6869">
            <v>1975</v>
          </cell>
          <cell r="H6869">
            <v>10</v>
          </cell>
          <cell r="I6869">
            <v>1522000000</v>
          </cell>
        </row>
        <row r="6870">
          <cell r="A6870" t="str">
            <v>Mauritius</v>
          </cell>
          <cell r="B6870">
            <v>480</v>
          </cell>
          <cell r="C6870">
            <v>203</v>
          </cell>
          <cell r="D6870">
            <v>11</v>
          </cell>
          <cell r="E6870" t="str">
            <v>OPERATING SURPLUS, GROSS</v>
          </cell>
          <cell r="F6870">
            <v>12</v>
          </cell>
          <cell r="G6870">
            <v>1976</v>
          </cell>
          <cell r="H6870">
            <v>20</v>
          </cell>
          <cell r="I6870">
            <v>2037000000</v>
          </cell>
        </row>
        <row r="6871">
          <cell r="A6871" t="str">
            <v>Mauritius</v>
          </cell>
          <cell r="B6871">
            <v>480</v>
          </cell>
          <cell r="C6871">
            <v>203</v>
          </cell>
          <cell r="D6871">
            <v>11</v>
          </cell>
          <cell r="E6871" t="str">
            <v>OPERATING SURPLUS, GROSS</v>
          </cell>
          <cell r="F6871">
            <v>12</v>
          </cell>
          <cell r="G6871">
            <v>1977</v>
          </cell>
          <cell r="H6871">
            <v>20</v>
          </cell>
          <cell r="I6871">
            <v>2151000000</v>
          </cell>
        </row>
        <row r="6872">
          <cell r="A6872" t="str">
            <v>Mauritius</v>
          </cell>
          <cell r="B6872">
            <v>480</v>
          </cell>
          <cell r="C6872">
            <v>203</v>
          </cell>
          <cell r="D6872">
            <v>11</v>
          </cell>
          <cell r="E6872" t="str">
            <v>OPERATING SURPLUS, GROSS</v>
          </cell>
          <cell r="F6872">
            <v>12</v>
          </cell>
          <cell r="G6872">
            <v>1978</v>
          </cell>
          <cell r="H6872">
            <v>20</v>
          </cell>
          <cell r="I6872">
            <v>2537000000</v>
          </cell>
        </row>
        <row r="6873">
          <cell r="A6873" t="str">
            <v>Mauritius</v>
          </cell>
          <cell r="B6873">
            <v>480</v>
          </cell>
          <cell r="C6873">
            <v>203</v>
          </cell>
          <cell r="D6873">
            <v>11</v>
          </cell>
          <cell r="E6873" t="str">
            <v>OPERATING SURPLUS, GROSS</v>
          </cell>
          <cell r="F6873">
            <v>12</v>
          </cell>
          <cell r="G6873">
            <v>1979</v>
          </cell>
          <cell r="H6873">
            <v>20</v>
          </cell>
          <cell r="I6873">
            <v>3164000000</v>
          </cell>
        </row>
        <row r="6874">
          <cell r="A6874" t="str">
            <v>Mauritius</v>
          </cell>
          <cell r="B6874">
            <v>480</v>
          </cell>
          <cell r="C6874">
            <v>203</v>
          </cell>
          <cell r="D6874">
            <v>11</v>
          </cell>
          <cell r="E6874" t="str">
            <v>OPERATING SURPLUS, GROSS</v>
          </cell>
          <cell r="F6874">
            <v>12</v>
          </cell>
          <cell r="G6874">
            <v>1980</v>
          </cell>
          <cell r="H6874">
            <v>20</v>
          </cell>
          <cell r="I6874">
            <v>3543000000</v>
          </cell>
        </row>
        <row r="6875">
          <cell r="A6875" t="str">
            <v>Mauritius</v>
          </cell>
          <cell r="B6875">
            <v>480</v>
          </cell>
          <cell r="C6875">
            <v>203</v>
          </cell>
          <cell r="D6875">
            <v>11</v>
          </cell>
          <cell r="E6875" t="str">
            <v>OPERATING SURPLUS, GROSS</v>
          </cell>
          <cell r="F6875">
            <v>12</v>
          </cell>
          <cell r="G6875">
            <v>1981</v>
          </cell>
          <cell r="H6875">
            <v>20</v>
          </cell>
          <cell r="I6875">
            <v>4402000000</v>
          </cell>
        </row>
        <row r="6876">
          <cell r="A6876" t="str">
            <v>Mauritius</v>
          </cell>
          <cell r="B6876">
            <v>480</v>
          </cell>
          <cell r="C6876">
            <v>203</v>
          </cell>
          <cell r="D6876">
            <v>11</v>
          </cell>
          <cell r="E6876" t="str">
            <v>OPERATING SURPLUS, GROSS</v>
          </cell>
          <cell r="F6876">
            <v>12</v>
          </cell>
          <cell r="G6876">
            <v>1982</v>
          </cell>
          <cell r="H6876">
            <v>20</v>
          </cell>
          <cell r="I6876">
            <v>5176000000</v>
          </cell>
        </row>
        <row r="6877">
          <cell r="A6877" t="str">
            <v>Mauritius</v>
          </cell>
          <cell r="B6877">
            <v>480</v>
          </cell>
          <cell r="C6877">
            <v>203</v>
          </cell>
          <cell r="D6877">
            <v>11</v>
          </cell>
          <cell r="E6877" t="str">
            <v>OPERATING SURPLUS, GROSS</v>
          </cell>
          <cell r="F6877">
            <v>12</v>
          </cell>
          <cell r="G6877">
            <v>1983</v>
          </cell>
          <cell r="H6877">
            <v>20</v>
          </cell>
          <cell r="I6877">
            <v>5366000000</v>
          </cell>
        </row>
        <row r="6878">
          <cell r="A6878" t="str">
            <v>Mauritius</v>
          </cell>
          <cell r="B6878">
            <v>480</v>
          </cell>
          <cell r="C6878">
            <v>203</v>
          </cell>
          <cell r="D6878">
            <v>11</v>
          </cell>
          <cell r="E6878" t="str">
            <v>OPERATING SURPLUS, GROSS</v>
          </cell>
          <cell r="F6878">
            <v>12</v>
          </cell>
          <cell r="G6878">
            <v>1984</v>
          </cell>
          <cell r="H6878">
            <v>20</v>
          </cell>
          <cell r="I6878">
            <v>6316000000</v>
          </cell>
        </row>
        <row r="6879">
          <cell r="A6879" t="str">
            <v>Mauritius</v>
          </cell>
          <cell r="B6879">
            <v>480</v>
          </cell>
          <cell r="C6879">
            <v>203</v>
          </cell>
          <cell r="D6879">
            <v>11</v>
          </cell>
          <cell r="E6879" t="str">
            <v>OPERATING SURPLUS, GROSS</v>
          </cell>
          <cell r="F6879">
            <v>12</v>
          </cell>
          <cell r="G6879">
            <v>1985</v>
          </cell>
          <cell r="H6879">
            <v>20</v>
          </cell>
          <cell r="I6879">
            <v>7566000000</v>
          </cell>
        </row>
        <row r="6880">
          <cell r="A6880" t="str">
            <v>Mauritius</v>
          </cell>
          <cell r="B6880">
            <v>480</v>
          </cell>
          <cell r="C6880">
            <v>203</v>
          </cell>
          <cell r="D6880">
            <v>11</v>
          </cell>
          <cell r="E6880" t="str">
            <v>OPERATING SURPLUS, GROSS</v>
          </cell>
          <cell r="F6880">
            <v>12</v>
          </cell>
          <cell r="G6880">
            <v>1986</v>
          </cell>
          <cell r="H6880">
            <v>20</v>
          </cell>
          <cell r="I6880">
            <v>9391000000</v>
          </cell>
        </row>
        <row r="6881">
          <cell r="A6881" t="str">
            <v>Mauritius</v>
          </cell>
          <cell r="B6881">
            <v>480</v>
          </cell>
          <cell r="C6881">
            <v>203</v>
          </cell>
          <cell r="D6881">
            <v>11</v>
          </cell>
          <cell r="E6881" t="str">
            <v>OPERATING SURPLUS, GROSS</v>
          </cell>
          <cell r="F6881">
            <v>12</v>
          </cell>
          <cell r="G6881">
            <v>1987</v>
          </cell>
          <cell r="H6881">
            <v>20</v>
          </cell>
          <cell r="I6881">
            <v>11205000000</v>
          </cell>
        </row>
        <row r="6882">
          <cell r="A6882" t="str">
            <v>Mauritius</v>
          </cell>
          <cell r="B6882">
            <v>480</v>
          </cell>
          <cell r="C6882">
            <v>203</v>
          </cell>
          <cell r="D6882">
            <v>11</v>
          </cell>
          <cell r="E6882" t="str">
            <v>OPERATING SURPLUS, GROSS</v>
          </cell>
          <cell r="F6882">
            <v>12</v>
          </cell>
          <cell r="G6882">
            <v>1988</v>
          </cell>
          <cell r="H6882">
            <v>20</v>
          </cell>
          <cell r="I6882">
            <v>12818000000</v>
          </cell>
        </row>
        <row r="6883">
          <cell r="A6883" t="str">
            <v>Mauritius</v>
          </cell>
          <cell r="B6883">
            <v>480</v>
          </cell>
          <cell r="C6883">
            <v>203</v>
          </cell>
          <cell r="D6883">
            <v>11</v>
          </cell>
          <cell r="E6883" t="str">
            <v>OPERATING SURPLUS, GROSS</v>
          </cell>
          <cell r="F6883">
            <v>12</v>
          </cell>
          <cell r="G6883">
            <v>1989</v>
          </cell>
          <cell r="H6883">
            <v>20</v>
          </cell>
          <cell r="I6883">
            <v>14952000000</v>
          </cell>
        </row>
        <row r="6884">
          <cell r="A6884" t="str">
            <v>Mauritius</v>
          </cell>
          <cell r="B6884">
            <v>480</v>
          </cell>
          <cell r="C6884">
            <v>203</v>
          </cell>
          <cell r="D6884">
            <v>11</v>
          </cell>
          <cell r="E6884" t="str">
            <v>OPERATING SURPLUS, GROSS</v>
          </cell>
          <cell r="F6884">
            <v>12</v>
          </cell>
          <cell r="G6884">
            <v>1990</v>
          </cell>
          <cell r="H6884">
            <v>20</v>
          </cell>
          <cell r="I6884">
            <v>17752000000</v>
          </cell>
        </row>
        <row r="6885">
          <cell r="A6885" t="str">
            <v>Mauritius</v>
          </cell>
          <cell r="B6885">
            <v>480</v>
          </cell>
          <cell r="C6885">
            <v>203</v>
          </cell>
          <cell r="D6885">
            <v>11</v>
          </cell>
          <cell r="E6885" t="str">
            <v>OPERATING SURPLUS, GROSS</v>
          </cell>
          <cell r="F6885">
            <v>12</v>
          </cell>
          <cell r="G6885">
            <v>1991</v>
          </cell>
          <cell r="H6885">
            <v>20</v>
          </cell>
          <cell r="I6885">
            <v>19917000000</v>
          </cell>
        </row>
        <row r="6886">
          <cell r="A6886" t="str">
            <v>Mauritius</v>
          </cell>
          <cell r="B6886">
            <v>480</v>
          </cell>
          <cell r="C6886">
            <v>203</v>
          </cell>
          <cell r="D6886">
            <v>11</v>
          </cell>
          <cell r="E6886" t="str">
            <v>OPERATING SURPLUS, GROSS</v>
          </cell>
          <cell r="F6886">
            <v>12</v>
          </cell>
          <cell r="G6886">
            <v>1992</v>
          </cell>
          <cell r="H6886">
            <v>20</v>
          </cell>
          <cell r="I6886">
            <v>22034000000</v>
          </cell>
        </row>
        <row r="6887">
          <cell r="A6887" t="str">
            <v>Mauritius</v>
          </cell>
          <cell r="B6887">
            <v>480</v>
          </cell>
          <cell r="C6887">
            <v>203</v>
          </cell>
          <cell r="D6887">
            <v>11</v>
          </cell>
          <cell r="E6887" t="str">
            <v>OPERATING SURPLUS, GROSS</v>
          </cell>
          <cell r="F6887">
            <v>12</v>
          </cell>
          <cell r="G6887">
            <v>1993</v>
          </cell>
          <cell r="H6887">
            <v>20</v>
          </cell>
          <cell r="I6887">
            <v>24849000000</v>
          </cell>
        </row>
        <row r="6888">
          <cell r="A6888" t="str">
            <v>Mauritius</v>
          </cell>
          <cell r="B6888">
            <v>480</v>
          </cell>
          <cell r="C6888">
            <v>203</v>
          </cell>
          <cell r="D6888">
            <v>11</v>
          </cell>
          <cell r="E6888" t="str">
            <v>OPERATING SURPLUS, GROSS</v>
          </cell>
          <cell r="F6888">
            <v>12</v>
          </cell>
          <cell r="G6888">
            <v>1994</v>
          </cell>
          <cell r="H6888">
            <v>20</v>
          </cell>
          <cell r="I6888">
            <v>27816000000</v>
          </cell>
        </row>
        <row r="6889">
          <cell r="A6889" t="str">
            <v>Mauritius</v>
          </cell>
          <cell r="B6889">
            <v>480</v>
          </cell>
          <cell r="C6889">
            <v>203</v>
          </cell>
          <cell r="D6889">
            <v>11</v>
          </cell>
          <cell r="E6889" t="str">
            <v>OPERATING SURPLUS, GROSS</v>
          </cell>
          <cell r="F6889">
            <v>12</v>
          </cell>
          <cell r="G6889">
            <v>1995</v>
          </cell>
          <cell r="H6889">
            <v>20</v>
          </cell>
          <cell r="I6889">
            <v>31872000000</v>
          </cell>
        </row>
        <row r="6890">
          <cell r="A6890" t="str">
            <v>Mauritius</v>
          </cell>
          <cell r="B6890">
            <v>480</v>
          </cell>
          <cell r="C6890">
            <v>203</v>
          </cell>
          <cell r="D6890">
            <v>11</v>
          </cell>
          <cell r="E6890" t="str">
            <v>OPERATING SURPLUS, GROSS</v>
          </cell>
          <cell r="F6890">
            <v>12</v>
          </cell>
          <cell r="G6890">
            <v>1996</v>
          </cell>
          <cell r="H6890">
            <v>20</v>
          </cell>
          <cell r="I6890">
            <v>36209000000</v>
          </cell>
        </row>
        <row r="6891">
          <cell r="A6891" t="str">
            <v>Mauritius</v>
          </cell>
          <cell r="B6891">
            <v>480</v>
          </cell>
          <cell r="C6891">
            <v>203</v>
          </cell>
          <cell r="D6891">
            <v>11</v>
          </cell>
          <cell r="E6891" t="str">
            <v>OPERATING SURPLUS, GROSS</v>
          </cell>
          <cell r="F6891">
            <v>12</v>
          </cell>
          <cell r="G6891">
            <v>1997</v>
          </cell>
          <cell r="H6891">
            <v>20</v>
          </cell>
          <cell r="I6891">
            <v>40622000000</v>
          </cell>
        </row>
        <row r="6892">
          <cell r="A6892" t="str">
            <v>Mauritius</v>
          </cell>
          <cell r="B6892">
            <v>480</v>
          </cell>
          <cell r="C6892">
            <v>203</v>
          </cell>
          <cell r="D6892">
            <v>11</v>
          </cell>
          <cell r="E6892" t="str">
            <v>OPERATING SURPLUS, GROSS</v>
          </cell>
          <cell r="F6892">
            <v>12</v>
          </cell>
          <cell r="G6892">
            <v>1997</v>
          </cell>
          <cell r="H6892">
            <v>100</v>
          </cell>
          <cell r="I6892">
            <v>42403000000</v>
          </cell>
        </row>
        <row r="6893">
          <cell r="A6893" t="str">
            <v>Mauritius</v>
          </cell>
          <cell r="B6893">
            <v>480</v>
          </cell>
          <cell r="C6893">
            <v>203</v>
          </cell>
          <cell r="D6893">
            <v>11</v>
          </cell>
          <cell r="E6893" t="str">
            <v>OPERATING SURPLUS, GROSS</v>
          </cell>
          <cell r="F6893">
            <v>12</v>
          </cell>
          <cell r="G6893">
            <v>1998</v>
          </cell>
          <cell r="H6893">
            <v>100</v>
          </cell>
          <cell r="I6893">
            <v>47666000000</v>
          </cell>
        </row>
        <row r="6894">
          <cell r="A6894" t="str">
            <v>Mauritius</v>
          </cell>
          <cell r="B6894">
            <v>480</v>
          </cell>
          <cell r="C6894">
            <v>203</v>
          </cell>
          <cell r="D6894">
            <v>11</v>
          </cell>
          <cell r="E6894" t="str">
            <v>OPERATING SURPLUS, GROSS</v>
          </cell>
          <cell r="F6894">
            <v>12</v>
          </cell>
          <cell r="G6894">
            <v>1999</v>
          </cell>
          <cell r="H6894">
            <v>100</v>
          </cell>
          <cell r="I6894">
            <v>49808000000</v>
          </cell>
        </row>
        <row r="6895">
          <cell r="A6895" t="str">
            <v>Mauritius</v>
          </cell>
          <cell r="B6895">
            <v>480</v>
          </cell>
          <cell r="C6895">
            <v>203</v>
          </cell>
          <cell r="D6895">
            <v>11</v>
          </cell>
          <cell r="E6895" t="str">
            <v>OPERATING SURPLUS, GROSS</v>
          </cell>
          <cell r="F6895">
            <v>12</v>
          </cell>
          <cell r="G6895">
            <v>2000</v>
          </cell>
          <cell r="H6895">
            <v>100</v>
          </cell>
          <cell r="I6895">
            <v>57495000000</v>
          </cell>
        </row>
        <row r="6896">
          <cell r="A6896" t="str">
            <v>Ireland</v>
          </cell>
          <cell r="B6896">
            <v>372</v>
          </cell>
          <cell r="C6896">
            <v>203</v>
          </cell>
          <cell r="D6896">
            <v>3</v>
          </cell>
          <cell r="E6896" t="str">
            <v>Equals: VALUE ADDED, GROSS, at basic prices</v>
          </cell>
          <cell r="F6896">
            <v>12</v>
          </cell>
          <cell r="G6896">
            <v>1970</v>
          </cell>
          <cell r="H6896">
            <v>30</v>
          </cell>
          <cell r="I6896">
            <v>1432100000</v>
          </cell>
        </row>
        <row r="6897">
          <cell r="A6897" t="str">
            <v>Ireland</v>
          </cell>
          <cell r="B6897">
            <v>372</v>
          </cell>
          <cell r="C6897">
            <v>203</v>
          </cell>
          <cell r="D6897">
            <v>3</v>
          </cell>
          <cell r="E6897" t="str">
            <v>Equals: VALUE ADDED, GROSS, at basic prices</v>
          </cell>
          <cell r="F6897">
            <v>12</v>
          </cell>
          <cell r="G6897">
            <v>1971</v>
          </cell>
          <cell r="H6897">
            <v>30</v>
          </cell>
          <cell r="I6897">
            <v>1635700000</v>
          </cell>
        </row>
        <row r="6898">
          <cell r="A6898" t="str">
            <v>Ireland</v>
          </cell>
          <cell r="B6898">
            <v>372</v>
          </cell>
          <cell r="C6898">
            <v>203</v>
          </cell>
          <cell r="D6898">
            <v>3</v>
          </cell>
          <cell r="E6898" t="str">
            <v>Equals: VALUE ADDED, GROSS, at basic prices</v>
          </cell>
          <cell r="F6898">
            <v>12</v>
          </cell>
          <cell r="G6898">
            <v>1972</v>
          </cell>
          <cell r="H6898">
            <v>30</v>
          </cell>
          <cell r="I6898">
            <v>1994700000</v>
          </cell>
        </row>
        <row r="6899">
          <cell r="A6899" t="str">
            <v>Ireland</v>
          </cell>
          <cell r="B6899">
            <v>372</v>
          </cell>
          <cell r="C6899">
            <v>203</v>
          </cell>
          <cell r="D6899">
            <v>3</v>
          </cell>
          <cell r="E6899" t="str">
            <v>Equals: VALUE ADDED, GROSS, at basic prices</v>
          </cell>
          <cell r="F6899">
            <v>12</v>
          </cell>
          <cell r="G6899">
            <v>1973</v>
          </cell>
          <cell r="H6899">
            <v>30</v>
          </cell>
          <cell r="I6899">
            <v>2462400000</v>
          </cell>
        </row>
        <row r="6900">
          <cell r="A6900" t="str">
            <v>Ireland</v>
          </cell>
          <cell r="B6900">
            <v>372</v>
          </cell>
          <cell r="C6900">
            <v>203</v>
          </cell>
          <cell r="D6900">
            <v>3</v>
          </cell>
          <cell r="E6900" t="str">
            <v>Equals: VALUE ADDED, GROSS, at basic prices</v>
          </cell>
          <cell r="F6900">
            <v>12</v>
          </cell>
          <cell r="G6900">
            <v>1974</v>
          </cell>
          <cell r="H6900">
            <v>30</v>
          </cell>
          <cell r="I6900">
            <v>2837200000</v>
          </cell>
        </row>
        <row r="6901">
          <cell r="A6901" t="str">
            <v>Ireland</v>
          </cell>
          <cell r="B6901">
            <v>372</v>
          </cell>
          <cell r="C6901">
            <v>203</v>
          </cell>
          <cell r="D6901">
            <v>3</v>
          </cell>
          <cell r="E6901" t="str">
            <v>Equals: VALUE ADDED, GROSS, at basic prices</v>
          </cell>
          <cell r="F6901">
            <v>12</v>
          </cell>
          <cell r="G6901">
            <v>1975</v>
          </cell>
          <cell r="H6901">
            <v>30</v>
          </cell>
          <cell r="I6901">
            <v>3505100000</v>
          </cell>
        </row>
        <row r="6902">
          <cell r="A6902" t="str">
            <v>Ireland</v>
          </cell>
          <cell r="B6902">
            <v>372</v>
          </cell>
          <cell r="C6902">
            <v>203</v>
          </cell>
          <cell r="D6902">
            <v>3</v>
          </cell>
          <cell r="E6902" t="str">
            <v>Equals: VALUE ADDED, GROSS, at basic prices</v>
          </cell>
          <cell r="F6902">
            <v>12</v>
          </cell>
          <cell r="G6902">
            <v>1976</v>
          </cell>
          <cell r="H6902">
            <v>30</v>
          </cell>
          <cell r="I6902">
            <v>4195000000</v>
          </cell>
        </row>
        <row r="6903">
          <cell r="A6903" t="str">
            <v>Ireland</v>
          </cell>
          <cell r="B6903">
            <v>372</v>
          </cell>
          <cell r="C6903">
            <v>203</v>
          </cell>
          <cell r="D6903">
            <v>3</v>
          </cell>
          <cell r="E6903" t="str">
            <v>Equals: VALUE ADDED, GROSS, at basic prices</v>
          </cell>
          <cell r="F6903">
            <v>12</v>
          </cell>
          <cell r="G6903">
            <v>1977</v>
          </cell>
          <cell r="H6903">
            <v>30</v>
          </cell>
          <cell r="I6903">
            <v>5363700000</v>
          </cell>
        </row>
        <row r="6904">
          <cell r="A6904" t="str">
            <v>Ireland</v>
          </cell>
          <cell r="B6904">
            <v>372</v>
          </cell>
          <cell r="C6904">
            <v>203</v>
          </cell>
          <cell r="D6904">
            <v>3</v>
          </cell>
          <cell r="E6904" t="str">
            <v>Equals: VALUE ADDED, GROSS, at basic prices</v>
          </cell>
          <cell r="F6904">
            <v>12</v>
          </cell>
          <cell r="G6904">
            <v>1978</v>
          </cell>
          <cell r="H6904">
            <v>30</v>
          </cell>
          <cell r="I6904">
            <v>6520800000</v>
          </cell>
        </row>
        <row r="6905">
          <cell r="A6905" t="str">
            <v>Ireland</v>
          </cell>
          <cell r="B6905">
            <v>372</v>
          </cell>
          <cell r="C6905">
            <v>203</v>
          </cell>
          <cell r="D6905">
            <v>3</v>
          </cell>
          <cell r="E6905" t="str">
            <v>Equals: VALUE ADDED, GROSS, at basic prices</v>
          </cell>
          <cell r="F6905">
            <v>12</v>
          </cell>
          <cell r="G6905">
            <v>1979</v>
          </cell>
          <cell r="H6905">
            <v>30</v>
          </cell>
          <cell r="I6905">
            <v>7660200000</v>
          </cell>
        </row>
        <row r="6906">
          <cell r="A6906" t="str">
            <v>Ireland</v>
          </cell>
          <cell r="B6906">
            <v>372</v>
          </cell>
          <cell r="C6906">
            <v>203</v>
          </cell>
          <cell r="D6906">
            <v>3</v>
          </cell>
          <cell r="E6906" t="str">
            <v>Equals: VALUE ADDED, GROSS, at basic prices</v>
          </cell>
          <cell r="F6906">
            <v>12</v>
          </cell>
          <cell r="G6906">
            <v>1980</v>
          </cell>
          <cell r="H6906">
            <v>30</v>
          </cell>
          <cell r="I6906">
            <v>8919000000</v>
          </cell>
        </row>
        <row r="6907">
          <cell r="A6907" t="str">
            <v>Ireland</v>
          </cell>
          <cell r="B6907">
            <v>372</v>
          </cell>
          <cell r="C6907">
            <v>203</v>
          </cell>
          <cell r="D6907">
            <v>3</v>
          </cell>
          <cell r="E6907" t="str">
            <v>Equals: VALUE ADDED, GROSS, at basic prices</v>
          </cell>
          <cell r="F6907">
            <v>12</v>
          </cell>
          <cell r="G6907">
            <v>1981</v>
          </cell>
          <cell r="H6907">
            <v>30</v>
          </cell>
          <cell r="I6907">
            <v>10663600000</v>
          </cell>
        </row>
        <row r="6908">
          <cell r="A6908" t="str">
            <v>Ireland</v>
          </cell>
          <cell r="B6908">
            <v>372</v>
          </cell>
          <cell r="C6908">
            <v>203</v>
          </cell>
          <cell r="D6908">
            <v>3</v>
          </cell>
          <cell r="E6908" t="str">
            <v>Equals: VALUE ADDED, GROSS, at basic prices</v>
          </cell>
          <cell r="F6908">
            <v>12</v>
          </cell>
          <cell r="G6908">
            <v>1982</v>
          </cell>
          <cell r="H6908">
            <v>30</v>
          </cell>
          <cell r="I6908">
            <v>12400800000</v>
          </cell>
        </row>
        <row r="6909">
          <cell r="A6909" t="str">
            <v>Ireland</v>
          </cell>
          <cell r="B6909">
            <v>372</v>
          </cell>
          <cell r="C6909">
            <v>203</v>
          </cell>
          <cell r="D6909">
            <v>3</v>
          </cell>
          <cell r="E6909" t="str">
            <v>Equals: VALUE ADDED, GROSS, at basic prices</v>
          </cell>
          <cell r="F6909">
            <v>12</v>
          </cell>
          <cell r="G6909">
            <v>1983</v>
          </cell>
          <cell r="H6909">
            <v>30</v>
          </cell>
          <cell r="I6909">
            <v>13717700000</v>
          </cell>
        </row>
        <row r="6910">
          <cell r="A6910" t="str">
            <v>Ireland</v>
          </cell>
          <cell r="B6910">
            <v>372</v>
          </cell>
          <cell r="C6910">
            <v>203</v>
          </cell>
          <cell r="D6910">
            <v>3</v>
          </cell>
          <cell r="E6910" t="str">
            <v>Equals: VALUE ADDED, GROSS, at basic prices</v>
          </cell>
          <cell r="F6910">
            <v>12</v>
          </cell>
          <cell r="G6910">
            <v>1984</v>
          </cell>
          <cell r="H6910">
            <v>30</v>
          </cell>
          <cell r="I6910">
            <v>15176800000</v>
          </cell>
        </row>
        <row r="6911">
          <cell r="A6911" t="str">
            <v>Ireland</v>
          </cell>
          <cell r="B6911">
            <v>372</v>
          </cell>
          <cell r="C6911">
            <v>203</v>
          </cell>
          <cell r="D6911">
            <v>3</v>
          </cell>
          <cell r="E6911" t="str">
            <v>Equals: VALUE ADDED, GROSS, at basic prices</v>
          </cell>
          <cell r="F6911">
            <v>12</v>
          </cell>
          <cell r="G6911">
            <v>1985</v>
          </cell>
          <cell r="H6911">
            <v>30</v>
          </cell>
          <cell r="I6911">
            <v>16559200000</v>
          </cell>
        </row>
        <row r="6912">
          <cell r="A6912" t="str">
            <v>Ireland</v>
          </cell>
          <cell r="B6912">
            <v>372</v>
          </cell>
          <cell r="C6912">
            <v>203</v>
          </cell>
          <cell r="D6912">
            <v>3</v>
          </cell>
          <cell r="E6912" t="str">
            <v>Equals: VALUE ADDED, GROSS, at basic prices</v>
          </cell>
          <cell r="F6912">
            <v>12</v>
          </cell>
          <cell r="G6912">
            <v>1986</v>
          </cell>
          <cell r="H6912">
            <v>30</v>
          </cell>
          <cell r="I6912">
            <v>17448400000</v>
          </cell>
        </row>
        <row r="6913">
          <cell r="A6913" t="str">
            <v>Ireland</v>
          </cell>
          <cell r="B6913">
            <v>372</v>
          </cell>
          <cell r="C6913">
            <v>203</v>
          </cell>
          <cell r="D6913">
            <v>3</v>
          </cell>
          <cell r="E6913" t="str">
            <v>Equals: VALUE ADDED, GROSS, at basic prices</v>
          </cell>
          <cell r="F6913">
            <v>12</v>
          </cell>
          <cell r="G6913">
            <v>1986</v>
          </cell>
          <cell r="H6913">
            <v>40</v>
          </cell>
          <cell r="I6913">
            <v>18277200000</v>
          </cell>
        </row>
        <row r="6914">
          <cell r="A6914" t="str">
            <v>Ireland</v>
          </cell>
          <cell r="B6914">
            <v>372</v>
          </cell>
          <cell r="C6914">
            <v>203</v>
          </cell>
          <cell r="D6914">
            <v>3</v>
          </cell>
          <cell r="E6914" t="str">
            <v>Equals: VALUE ADDED, GROSS, at basic prices</v>
          </cell>
          <cell r="F6914">
            <v>12</v>
          </cell>
          <cell r="G6914">
            <v>1987</v>
          </cell>
          <cell r="H6914">
            <v>40</v>
          </cell>
          <cell r="I6914">
            <v>19599500000</v>
          </cell>
        </row>
        <row r="6915">
          <cell r="A6915" t="str">
            <v>Ireland</v>
          </cell>
          <cell r="B6915">
            <v>372</v>
          </cell>
          <cell r="C6915">
            <v>203</v>
          </cell>
          <cell r="D6915">
            <v>3</v>
          </cell>
          <cell r="E6915" t="str">
            <v>Equals: VALUE ADDED, GROSS, at basic prices</v>
          </cell>
          <cell r="F6915">
            <v>12</v>
          </cell>
          <cell r="G6915">
            <v>1988</v>
          </cell>
          <cell r="H6915">
            <v>40</v>
          </cell>
          <cell r="I6915">
            <v>21304400000</v>
          </cell>
        </row>
        <row r="6916">
          <cell r="A6916" t="str">
            <v>Ireland</v>
          </cell>
          <cell r="B6916">
            <v>372</v>
          </cell>
          <cell r="C6916">
            <v>203</v>
          </cell>
          <cell r="D6916">
            <v>3</v>
          </cell>
          <cell r="E6916" t="str">
            <v>Equals: VALUE ADDED, GROSS, at basic prices</v>
          </cell>
          <cell r="F6916">
            <v>12</v>
          </cell>
          <cell r="G6916">
            <v>1989</v>
          </cell>
          <cell r="H6916">
            <v>40</v>
          </cell>
          <cell r="I6916">
            <v>23721300000</v>
          </cell>
        </row>
        <row r="6917">
          <cell r="A6917" t="str">
            <v>Ireland</v>
          </cell>
          <cell r="B6917">
            <v>372</v>
          </cell>
          <cell r="C6917">
            <v>203</v>
          </cell>
          <cell r="D6917">
            <v>3</v>
          </cell>
          <cell r="E6917" t="str">
            <v>Equals: VALUE ADDED, GROSS, at basic prices</v>
          </cell>
          <cell r="F6917">
            <v>12</v>
          </cell>
          <cell r="G6917">
            <v>1990</v>
          </cell>
          <cell r="H6917">
            <v>40</v>
          </cell>
          <cell r="I6917">
            <v>25646500000</v>
          </cell>
        </row>
        <row r="6918">
          <cell r="A6918" t="str">
            <v>Ireland</v>
          </cell>
          <cell r="B6918">
            <v>372</v>
          </cell>
          <cell r="C6918">
            <v>203</v>
          </cell>
          <cell r="D6918">
            <v>3</v>
          </cell>
          <cell r="E6918" t="str">
            <v>Equals: VALUE ADDED, GROSS, at basic prices</v>
          </cell>
          <cell r="F6918">
            <v>12</v>
          </cell>
          <cell r="G6918">
            <v>1990</v>
          </cell>
          <cell r="H6918">
            <v>200</v>
          </cell>
          <cell r="I6918">
            <v>32594479562.295898</v>
          </cell>
        </row>
        <row r="6919">
          <cell r="A6919" t="str">
            <v>Ireland</v>
          </cell>
          <cell r="B6919">
            <v>372</v>
          </cell>
          <cell r="C6919">
            <v>203</v>
          </cell>
          <cell r="D6919">
            <v>3</v>
          </cell>
          <cell r="E6919" t="str">
            <v>Equals: VALUE ADDED, GROSS, at basic prices</v>
          </cell>
          <cell r="F6919">
            <v>12</v>
          </cell>
          <cell r="G6919">
            <v>1991</v>
          </cell>
          <cell r="H6919">
            <v>200</v>
          </cell>
          <cell r="I6919">
            <v>33988257031.809502</v>
          </cell>
        </row>
        <row r="6920">
          <cell r="A6920" t="str">
            <v>Ireland</v>
          </cell>
          <cell r="B6920">
            <v>372</v>
          </cell>
          <cell r="C6920">
            <v>203</v>
          </cell>
          <cell r="D6920">
            <v>3</v>
          </cell>
          <cell r="E6920" t="str">
            <v>Equals: VALUE ADDED, GROSS, at basic prices</v>
          </cell>
          <cell r="F6920">
            <v>12</v>
          </cell>
          <cell r="G6920">
            <v>1992</v>
          </cell>
          <cell r="H6920">
            <v>200</v>
          </cell>
          <cell r="I6920">
            <v>35843973944.974602</v>
          </cell>
        </row>
        <row r="6921">
          <cell r="A6921" t="str">
            <v>Ireland</v>
          </cell>
          <cell r="B6921">
            <v>372</v>
          </cell>
          <cell r="C6921">
            <v>203</v>
          </cell>
          <cell r="D6921">
            <v>3</v>
          </cell>
          <cell r="E6921" t="str">
            <v>Equals: VALUE ADDED, GROSS, at basic prices</v>
          </cell>
          <cell r="F6921">
            <v>12</v>
          </cell>
          <cell r="G6921">
            <v>1993</v>
          </cell>
          <cell r="H6921">
            <v>200</v>
          </cell>
          <cell r="I6921">
            <v>39091850748.637604</v>
          </cell>
        </row>
        <row r="6922">
          <cell r="A6922" t="str">
            <v>Ireland</v>
          </cell>
          <cell r="B6922">
            <v>372</v>
          </cell>
          <cell r="C6922">
            <v>203</v>
          </cell>
          <cell r="D6922">
            <v>3</v>
          </cell>
          <cell r="E6922" t="str">
            <v>Equals: VALUE ADDED, GROSS, at basic prices</v>
          </cell>
          <cell r="F6922">
            <v>12</v>
          </cell>
          <cell r="G6922">
            <v>1994</v>
          </cell>
          <cell r="H6922">
            <v>200</v>
          </cell>
          <cell r="I6922">
            <v>41469348624.365799</v>
          </cell>
        </row>
        <row r="6923">
          <cell r="A6923" t="str">
            <v>Mongolia</v>
          </cell>
          <cell r="B6923">
            <v>496</v>
          </cell>
          <cell r="C6923">
            <v>201</v>
          </cell>
          <cell r="D6923">
            <v>13</v>
          </cell>
          <cell r="E6923" t="str">
            <v>Less: Financial intermediation services indirectly measured (FISIM) (only to be deducted if FISIM is not distributed to uses)</v>
          </cell>
          <cell r="F6923">
            <v>0</v>
          </cell>
          <cell r="G6923">
            <v>1995</v>
          </cell>
          <cell r="H6923">
            <v>20</v>
          </cell>
          <cell r="I6923">
            <v>5471000000</v>
          </cell>
        </row>
        <row r="6924">
          <cell r="A6924" t="str">
            <v>Mongolia</v>
          </cell>
          <cell r="B6924">
            <v>496</v>
          </cell>
          <cell r="C6924">
            <v>201</v>
          </cell>
          <cell r="D6924">
            <v>13</v>
          </cell>
          <cell r="E6924" t="str">
            <v>Less: Financial intermediation services indirectly measured (FISIM) (only to be deducted if FISIM is not distributed to uses)</v>
          </cell>
          <cell r="F6924">
            <v>0</v>
          </cell>
          <cell r="G6924">
            <v>1996</v>
          </cell>
          <cell r="H6924">
            <v>20</v>
          </cell>
          <cell r="I6924">
            <v>11091200000</v>
          </cell>
        </row>
        <row r="6925">
          <cell r="A6925" t="str">
            <v>Mongolia</v>
          </cell>
          <cell r="B6925">
            <v>496</v>
          </cell>
          <cell r="C6925">
            <v>201</v>
          </cell>
          <cell r="D6925">
            <v>13</v>
          </cell>
          <cell r="E6925" t="str">
            <v>Less: Financial intermediation services indirectly measured (FISIM) (only to be deducted if FISIM is not distributed to uses)</v>
          </cell>
          <cell r="F6925">
            <v>0</v>
          </cell>
          <cell r="G6925">
            <v>1997</v>
          </cell>
          <cell r="H6925">
            <v>20</v>
          </cell>
          <cell r="I6925">
            <v>13971300000</v>
          </cell>
        </row>
        <row r="6926">
          <cell r="A6926" t="str">
            <v>Mongolia</v>
          </cell>
          <cell r="B6926">
            <v>496</v>
          </cell>
          <cell r="C6926">
            <v>201</v>
          </cell>
          <cell r="D6926">
            <v>13</v>
          </cell>
          <cell r="E6926" t="str">
            <v>Less: Financial intermediation services indirectly measured (FISIM) (only to be deducted if FISIM is not distributed to uses)</v>
          </cell>
          <cell r="F6926">
            <v>0</v>
          </cell>
          <cell r="G6926">
            <v>1998</v>
          </cell>
          <cell r="H6926">
            <v>20</v>
          </cell>
          <cell r="I6926">
            <v>13549600000</v>
          </cell>
        </row>
        <row r="6927">
          <cell r="A6927" t="str">
            <v>Mongolia</v>
          </cell>
          <cell r="B6927">
            <v>496</v>
          </cell>
          <cell r="C6927">
            <v>201</v>
          </cell>
          <cell r="D6927">
            <v>13</v>
          </cell>
          <cell r="E6927" t="str">
            <v>Less: Financial intermediation services indirectly measured (FISIM) (only to be deducted if FISIM is not distributed to uses)</v>
          </cell>
          <cell r="F6927">
            <v>0</v>
          </cell>
          <cell r="G6927">
            <v>1999</v>
          </cell>
          <cell r="H6927">
            <v>20</v>
          </cell>
          <cell r="I6927">
            <v>16499000000</v>
          </cell>
        </row>
        <row r="6928">
          <cell r="A6928" t="str">
            <v>Mongolia</v>
          </cell>
          <cell r="B6928">
            <v>496</v>
          </cell>
          <cell r="C6928">
            <v>201</v>
          </cell>
          <cell r="D6928">
            <v>13</v>
          </cell>
          <cell r="E6928" t="str">
            <v>Less: Financial intermediation services indirectly measured (FISIM) (only to be deducted if FISIM is not distributed to uses)</v>
          </cell>
          <cell r="F6928">
            <v>0</v>
          </cell>
          <cell r="G6928">
            <v>2000</v>
          </cell>
          <cell r="H6928">
            <v>20</v>
          </cell>
          <cell r="I6928">
            <v>24842000000</v>
          </cell>
        </row>
        <row r="6929">
          <cell r="A6929" t="str">
            <v>Mongolia</v>
          </cell>
          <cell r="B6929">
            <v>496</v>
          </cell>
          <cell r="C6929">
            <v>201</v>
          </cell>
          <cell r="D6929">
            <v>13</v>
          </cell>
          <cell r="E6929" t="str">
            <v>Less: Financial intermediation services indirectly measured (FISIM) (only to be deducted if FISIM is not distributed to uses)</v>
          </cell>
          <cell r="F6929">
            <v>0</v>
          </cell>
          <cell r="G6929">
            <v>2001</v>
          </cell>
          <cell r="H6929">
            <v>20</v>
          </cell>
          <cell r="I6929">
            <v>35124000000</v>
          </cell>
        </row>
        <row r="6930">
          <cell r="A6930" t="str">
            <v>Mongolia</v>
          </cell>
          <cell r="B6930">
            <v>496</v>
          </cell>
          <cell r="C6930">
            <v>201</v>
          </cell>
          <cell r="D6930">
            <v>13</v>
          </cell>
          <cell r="E6930" t="str">
            <v>Less: Financial intermediation services indirectly measured (FISIM) (only to be deducted if FISIM is not distributed to uses)</v>
          </cell>
          <cell r="F6930">
            <v>0</v>
          </cell>
          <cell r="G6930">
            <v>2002</v>
          </cell>
          <cell r="H6930">
            <v>20</v>
          </cell>
          <cell r="I6930">
            <v>35490000000</v>
          </cell>
        </row>
        <row r="6931">
          <cell r="A6931" t="str">
            <v>Ireland</v>
          </cell>
          <cell r="B6931">
            <v>372</v>
          </cell>
          <cell r="C6931">
            <v>203</v>
          </cell>
          <cell r="D6931">
            <v>3</v>
          </cell>
          <cell r="E6931" t="str">
            <v>Equals: VALUE ADDED, GROSS, at basic prices</v>
          </cell>
          <cell r="F6931">
            <v>12</v>
          </cell>
          <cell r="G6931">
            <v>1995</v>
          </cell>
          <cell r="H6931">
            <v>200</v>
          </cell>
          <cell r="I6931">
            <v>47104300000</v>
          </cell>
        </row>
        <row r="6932">
          <cell r="A6932" t="str">
            <v>Ireland</v>
          </cell>
          <cell r="B6932">
            <v>372</v>
          </cell>
          <cell r="C6932">
            <v>203</v>
          </cell>
          <cell r="D6932">
            <v>3</v>
          </cell>
          <cell r="E6932" t="str">
            <v>Equals: VALUE ADDED, GROSS, at basic prices</v>
          </cell>
          <cell r="F6932">
            <v>12</v>
          </cell>
          <cell r="G6932">
            <v>1996</v>
          </cell>
          <cell r="H6932">
            <v>200</v>
          </cell>
          <cell r="I6932">
            <v>51942200000</v>
          </cell>
        </row>
        <row r="6933">
          <cell r="A6933" t="str">
            <v>Ireland</v>
          </cell>
          <cell r="B6933">
            <v>372</v>
          </cell>
          <cell r="C6933">
            <v>203</v>
          </cell>
          <cell r="D6933">
            <v>3</v>
          </cell>
          <cell r="E6933" t="str">
            <v>Equals: VALUE ADDED, GROSS, at basic prices</v>
          </cell>
          <cell r="F6933">
            <v>12</v>
          </cell>
          <cell r="G6933">
            <v>1997</v>
          </cell>
          <cell r="H6933">
            <v>200</v>
          </cell>
          <cell r="I6933">
            <v>59592618583</v>
          </cell>
        </row>
        <row r="6934">
          <cell r="A6934" t="str">
            <v>Ireland</v>
          </cell>
          <cell r="B6934">
            <v>372</v>
          </cell>
          <cell r="C6934">
            <v>203</v>
          </cell>
          <cell r="D6934">
            <v>3</v>
          </cell>
          <cell r="E6934" t="str">
            <v>Equals: VALUE ADDED, GROSS, at basic prices</v>
          </cell>
          <cell r="F6934">
            <v>12</v>
          </cell>
          <cell r="G6934">
            <v>1998</v>
          </cell>
          <cell r="H6934">
            <v>200</v>
          </cell>
          <cell r="I6934">
            <v>70201370246</v>
          </cell>
        </row>
        <row r="6935">
          <cell r="A6935" t="str">
            <v>Ireland</v>
          </cell>
          <cell r="B6935">
            <v>372</v>
          </cell>
          <cell r="C6935">
            <v>203</v>
          </cell>
          <cell r="D6935">
            <v>3</v>
          </cell>
          <cell r="E6935" t="str">
            <v>Equals: VALUE ADDED, GROSS, at basic prices</v>
          </cell>
          <cell r="F6935">
            <v>12</v>
          </cell>
          <cell r="G6935">
            <v>1999</v>
          </cell>
          <cell r="H6935">
            <v>200</v>
          </cell>
          <cell r="I6935">
            <v>79879331248</v>
          </cell>
        </row>
        <row r="6936">
          <cell r="A6936" t="str">
            <v>Ireland</v>
          </cell>
          <cell r="B6936">
            <v>372</v>
          </cell>
          <cell r="C6936">
            <v>203</v>
          </cell>
          <cell r="D6936">
            <v>3</v>
          </cell>
          <cell r="E6936" t="str">
            <v>Equals: VALUE ADDED, GROSS, at basic prices</v>
          </cell>
          <cell r="F6936">
            <v>12</v>
          </cell>
          <cell r="G6936">
            <v>2000</v>
          </cell>
          <cell r="H6936">
            <v>200</v>
          </cell>
          <cell r="I6936">
            <v>91752828334</v>
          </cell>
        </row>
        <row r="6937">
          <cell r="A6937" t="str">
            <v>Ireland</v>
          </cell>
          <cell r="B6937">
            <v>372</v>
          </cell>
          <cell r="C6937">
            <v>203</v>
          </cell>
          <cell r="D6937">
            <v>3</v>
          </cell>
          <cell r="E6937" t="str">
            <v>Equals: VALUE ADDED, GROSS, at basic prices</v>
          </cell>
          <cell r="F6937">
            <v>12</v>
          </cell>
          <cell r="G6937">
            <v>2001</v>
          </cell>
          <cell r="H6937">
            <v>200</v>
          </cell>
          <cell r="I6937">
            <v>102675489439</v>
          </cell>
        </row>
        <row r="6938">
          <cell r="A6938" t="str">
            <v>Ireland</v>
          </cell>
          <cell r="B6938">
            <v>372</v>
          </cell>
          <cell r="C6938">
            <v>203</v>
          </cell>
          <cell r="D6938">
            <v>3</v>
          </cell>
          <cell r="E6938" t="str">
            <v>Equals: VALUE ADDED, GROSS, at basic prices</v>
          </cell>
          <cell r="F6938">
            <v>12</v>
          </cell>
          <cell r="G6938">
            <v>2002</v>
          </cell>
          <cell r="H6938">
            <v>200</v>
          </cell>
          <cell r="I6938">
            <v>115451150945</v>
          </cell>
        </row>
        <row r="6939">
          <cell r="A6939" t="str">
            <v>Ireland</v>
          </cell>
          <cell r="B6939">
            <v>372</v>
          </cell>
          <cell r="C6939">
            <v>203</v>
          </cell>
          <cell r="D6939">
            <v>4</v>
          </cell>
          <cell r="E6939" t="str">
            <v>Compensation of employees</v>
          </cell>
          <cell r="F6939">
            <v>12</v>
          </cell>
          <cell r="G6939">
            <v>1970</v>
          </cell>
          <cell r="H6939">
            <v>30</v>
          </cell>
          <cell r="I6939">
            <v>844800000</v>
          </cell>
        </row>
        <row r="6940">
          <cell r="A6940" t="str">
            <v>Ireland</v>
          </cell>
          <cell r="B6940">
            <v>372</v>
          </cell>
          <cell r="C6940">
            <v>203</v>
          </cell>
          <cell r="D6940">
            <v>4</v>
          </cell>
          <cell r="E6940" t="str">
            <v>Compensation of employees</v>
          </cell>
          <cell r="F6940">
            <v>12</v>
          </cell>
          <cell r="G6940">
            <v>1971</v>
          </cell>
          <cell r="H6940">
            <v>30</v>
          </cell>
          <cell r="I6940">
            <v>979100000</v>
          </cell>
        </row>
        <row r="6941">
          <cell r="A6941" t="str">
            <v>Ireland</v>
          </cell>
          <cell r="B6941">
            <v>372</v>
          </cell>
          <cell r="C6941">
            <v>203</v>
          </cell>
          <cell r="D6941">
            <v>4</v>
          </cell>
          <cell r="E6941" t="str">
            <v>Compensation of employees</v>
          </cell>
          <cell r="F6941">
            <v>12</v>
          </cell>
          <cell r="G6941">
            <v>1972</v>
          </cell>
          <cell r="H6941">
            <v>30</v>
          </cell>
          <cell r="I6941">
            <v>1144300000</v>
          </cell>
        </row>
        <row r="6942">
          <cell r="A6942" t="str">
            <v>Ireland</v>
          </cell>
          <cell r="B6942">
            <v>372</v>
          </cell>
          <cell r="C6942">
            <v>203</v>
          </cell>
          <cell r="D6942">
            <v>4</v>
          </cell>
          <cell r="E6942" t="str">
            <v>Compensation of employees</v>
          </cell>
          <cell r="F6942">
            <v>12</v>
          </cell>
          <cell r="G6942">
            <v>1973</v>
          </cell>
          <cell r="H6942">
            <v>30</v>
          </cell>
          <cell r="I6942">
            <v>1393100000</v>
          </cell>
        </row>
        <row r="6943">
          <cell r="A6943" t="str">
            <v>Ireland</v>
          </cell>
          <cell r="B6943">
            <v>372</v>
          </cell>
          <cell r="C6943">
            <v>203</v>
          </cell>
          <cell r="D6943">
            <v>4</v>
          </cell>
          <cell r="E6943" t="str">
            <v>Compensation of employees</v>
          </cell>
          <cell r="F6943">
            <v>12</v>
          </cell>
          <cell r="G6943">
            <v>1974</v>
          </cell>
          <cell r="H6943">
            <v>30</v>
          </cell>
          <cell r="I6943">
            <v>1686800000</v>
          </cell>
        </row>
        <row r="6944">
          <cell r="A6944" t="str">
            <v>Ireland</v>
          </cell>
          <cell r="B6944">
            <v>372</v>
          </cell>
          <cell r="C6944">
            <v>203</v>
          </cell>
          <cell r="D6944">
            <v>4</v>
          </cell>
          <cell r="E6944" t="str">
            <v>Compensation of employees</v>
          </cell>
          <cell r="F6944">
            <v>12</v>
          </cell>
          <cell r="G6944">
            <v>1975</v>
          </cell>
          <cell r="H6944">
            <v>30</v>
          </cell>
          <cell r="I6944">
            <v>2157600000</v>
          </cell>
        </row>
        <row r="6945">
          <cell r="A6945" t="str">
            <v>Ireland</v>
          </cell>
          <cell r="B6945">
            <v>372</v>
          </cell>
          <cell r="C6945">
            <v>203</v>
          </cell>
          <cell r="D6945">
            <v>4</v>
          </cell>
          <cell r="E6945" t="str">
            <v>Compensation of employees</v>
          </cell>
          <cell r="F6945">
            <v>12</v>
          </cell>
          <cell r="G6945">
            <v>1976</v>
          </cell>
          <cell r="H6945">
            <v>30</v>
          </cell>
          <cell r="I6945">
            <v>2566300000</v>
          </cell>
        </row>
        <row r="6946">
          <cell r="A6946" t="str">
            <v>Ireland</v>
          </cell>
          <cell r="B6946">
            <v>372</v>
          </cell>
          <cell r="C6946">
            <v>203</v>
          </cell>
          <cell r="D6946">
            <v>4</v>
          </cell>
          <cell r="E6946" t="str">
            <v>Compensation of employees</v>
          </cell>
          <cell r="F6946">
            <v>12</v>
          </cell>
          <cell r="G6946">
            <v>1977</v>
          </cell>
          <cell r="H6946">
            <v>30</v>
          </cell>
          <cell r="I6946">
            <v>3032400000</v>
          </cell>
        </row>
        <row r="6947">
          <cell r="A6947" t="str">
            <v>Ireland</v>
          </cell>
          <cell r="B6947">
            <v>372</v>
          </cell>
          <cell r="C6947">
            <v>203</v>
          </cell>
          <cell r="D6947">
            <v>4</v>
          </cell>
          <cell r="E6947" t="str">
            <v>Compensation of employees</v>
          </cell>
          <cell r="F6947">
            <v>12</v>
          </cell>
          <cell r="G6947">
            <v>1978</v>
          </cell>
          <cell r="H6947">
            <v>30</v>
          </cell>
          <cell r="I6947">
            <v>3621100000</v>
          </cell>
        </row>
        <row r="6948">
          <cell r="A6948" t="str">
            <v>Ireland</v>
          </cell>
          <cell r="B6948">
            <v>372</v>
          </cell>
          <cell r="C6948">
            <v>203</v>
          </cell>
          <cell r="D6948">
            <v>4</v>
          </cell>
          <cell r="E6948" t="str">
            <v>Compensation of employees</v>
          </cell>
          <cell r="F6948">
            <v>12</v>
          </cell>
          <cell r="G6948">
            <v>1979</v>
          </cell>
          <cell r="H6948">
            <v>30</v>
          </cell>
          <cell r="I6948">
            <v>4495200000</v>
          </cell>
        </row>
        <row r="6949">
          <cell r="A6949" t="str">
            <v>Ireland</v>
          </cell>
          <cell r="B6949">
            <v>372</v>
          </cell>
          <cell r="C6949">
            <v>203</v>
          </cell>
          <cell r="D6949">
            <v>4</v>
          </cell>
          <cell r="E6949" t="str">
            <v>Compensation of employees</v>
          </cell>
          <cell r="F6949">
            <v>12</v>
          </cell>
          <cell r="G6949">
            <v>1980</v>
          </cell>
          <cell r="H6949">
            <v>30</v>
          </cell>
          <cell r="I6949">
            <v>5585000000</v>
          </cell>
        </row>
        <row r="6950">
          <cell r="A6950" t="str">
            <v>Ireland</v>
          </cell>
          <cell r="B6950">
            <v>372</v>
          </cell>
          <cell r="C6950">
            <v>203</v>
          </cell>
          <cell r="D6950">
            <v>4</v>
          </cell>
          <cell r="E6950" t="str">
            <v>Compensation of employees</v>
          </cell>
          <cell r="F6950">
            <v>12</v>
          </cell>
          <cell r="G6950">
            <v>1981</v>
          </cell>
          <cell r="H6950">
            <v>30</v>
          </cell>
          <cell r="I6950">
            <v>6618300000</v>
          </cell>
        </row>
        <row r="6951">
          <cell r="A6951" t="str">
            <v>Ireland</v>
          </cell>
          <cell r="B6951">
            <v>372</v>
          </cell>
          <cell r="C6951">
            <v>203</v>
          </cell>
          <cell r="D6951">
            <v>4</v>
          </cell>
          <cell r="E6951" t="str">
            <v>Compensation of employees</v>
          </cell>
          <cell r="F6951">
            <v>12</v>
          </cell>
          <cell r="G6951">
            <v>1982</v>
          </cell>
          <cell r="H6951">
            <v>30</v>
          </cell>
          <cell r="I6951">
            <v>7551600000</v>
          </cell>
        </row>
        <row r="6952">
          <cell r="A6952" t="str">
            <v>Ireland</v>
          </cell>
          <cell r="B6952">
            <v>372</v>
          </cell>
          <cell r="C6952">
            <v>203</v>
          </cell>
          <cell r="D6952">
            <v>4</v>
          </cell>
          <cell r="E6952" t="str">
            <v>Compensation of employees</v>
          </cell>
          <cell r="F6952">
            <v>12</v>
          </cell>
          <cell r="G6952">
            <v>1983</v>
          </cell>
          <cell r="H6952">
            <v>30</v>
          </cell>
          <cell r="I6952">
            <v>8253700000</v>
          </cell>
        </row>
        <row r="6953">
          <cell r="A6953" t="str">
            <v>Ireland</v>
          </cell>
          <cell r="B6953">
            <v>372</v>
          </cell>
          <cell r="C6953">
            <v>203</v>
          </cell>
          <cell r="D6953">
            <v>4</v>
          </cell>
          <cell r="E6953" t="str">
            <v>Compensation of employees</v>
          </cell>
          <cell r="F6953">
            <v>12</v>
          </cell>
          <cell r="G6953">
            <v>1984</v>
          </cell>
          <cell r="H6953">
            <v>30</v>
          </cell>
          <cell r="I6953">
            <v>8957100000</v>
          </cell>
        </row>
        <row r="6954">
          <cell r="A6954" t="str">
            <v>Ireland</v>
          </cell>
          <cell r="B6954">
            <v>372</v>
          </cell>
          <cell r="C6954">
            <v>203</v>
          </cell>
          <cell r="D6954">
            <v>4</v>
          </cell>
          <cell r="E6954" t="str">
            <v>Compensation of employees</v>
          </cell>
          <cell r="F6954">
            <v>12</v>
          </cell>
          <cell r="G6954">
            <v>1985</v>
          </cell>
          <cell r="H6954">
            <v>30</v>
          </cell>
          <cell r="I6954">
            <v>9600900000</v>
          </cell>
        </row>
        <row r="6955">
          <cell r="A6955" t="str">
            <v>Ireland</v>
          </cell>
          <cell r="B6955">
            <v>372</v>
          </cell>
          <cell r="C6955">
            <v>203</v>
          </cell>
          <cell r="D6955">
            <v>4</v>
          </cell>
          <cell r="E6955" t="str">
            <v>Compensation of employees</v>
          </cell>
          <cell r="F6955">
            <v>12</v>
          </cell>
          <cell r="G6955">
            <v>1986</v>
          </cell>
          <cell r="H6955">
            <v>30</v>
          </cell>
          <cell r="I6955">
            <v>10254800000</v>
          </cell>
        </row>
        <row r="6956">
          <cell r="A6956" t="str">
            <v>Ireland</v>
          </cell>
          <cell r="B6956">
            <v>372</v>
          </cell>
          <cell r="C6956">
            <v>203</v>
          </cell>
          <cell r="D6956">
            <v>4</v>
          </cell>
          <cell r="E6956" t="str">
            <v>Compensation of employees</v>
          </cell>
          <cell r="F6956">
            <v>12</v>
          </cell>
          <cell r="G6956">
            <v>1986</v>
          </cell>
          <cell r="H6956">
            <v>40</v>
          </cell>
          <cell r="I6956">
            <v>10264400000</v>
          </cell>
        </row>
        <row r="6957">
          <cell r="A6957" t="str">
            <v>Ireland</v>
          </cell>
          <cell r="B6957">
            <v>372</v>
          </cell>
          <cell r="C6957">
            <v>203</v>
          </cell>
          <cell r="D6957">
            <v>4</v>
          </cell>
          <cell r="E6957" t="str">
            <v>Compensation of employees</v>
          </cell>
          <cell r="F6957">
            <v>12</v>
          </cell>
          <cell r="G6957">
            <v>1987</v>
          </cell>
          <cell r="H6957">
            <v>40</v>
          </cell>
          <cell r="I6957">
            <v>10796700000</v>
          </cell>
        </row>
        <row r="6958">
          <cell r="A6958" t="str">
            <v>Ireland</v>
          </cell>
          <cell r="B6958">
            <v>372</v>
          </cell>
          <cell r="C6958">
            <v>203</v>
          </cell>
          <cell r="D6958">
            <v>4</v>
          </cell>
          <cell r="E6958" t="str">
            <v>Compensation of employees</v>
          </cell>
          <cell r="F6958">
            <v>12</v>
          </cell>
          <cell r="G6958">
            <v>1988</v>
          </cell>
          <cell r="H6958">
            <v>40</v>
          </cell>
          <cell r="I6958">
            <v>11259700000</v>
          </cell>
        </row>
        <row r="6959">
          <cell r="A6959" t="str">
            <v>Ireland</v>
          </cell>
          <cell r="B6959">
            <v>372</v>
          </cell>
          <cell r="C6959">
            <v>203</v>
          </cell>
          <cell r="D6959">
            <v>4</v>
          </cell>
          <cell r="E6959" t="str">
            <v>Compensation of employees</v>
          </cell>
          <cell r="F6959">
            <v>12</v>
          </cell>
          <cell r="G6959">
            <v>1989</v>
          </cell>
          <cell r="H6959">
            <v>40</v>
          </cell>
          <cell r="I6959">
            <v>12019100000</v>
          </cell>
        </row>
        <row r="6960">
          <cell r="A6960" t="str">
            <v>Ireland</v>
          </cell>
          <cell r="B6960">
            <v>372</v>
          </cell>
          <cell r="C6960">
            <v>203</v>
          </cell>
          <cell r="D6960">
            <v>4</v>
          </cell>
          <cell r="E6960" t="str">
            <v>Compensation of employees</v>
          </cell>
          <cell r="F6960">
            <v>12</v>
          </cell>
          <cell r="G6960">
            <v>1990</v>
          </cell>
          <cell r="H6960">
            <v>40</v>
          </cell>
          <cell r="I6960">
            <v>12995300000</v>
          </cell>
        </row>
        <row r="6961">
          <cell r="A6961" t="str">
            <v>Ireland</v>
          </cell>
          <cell r="B6961">
            <v>372</v>
          </cell>
          <cell r="C6961">
            <v>203</v>
          </cell>
          <cell r="D6961">
            <v>4</v>
          </cell>
          <cell r="E6961" t="str">
            <v>Compensation of employees</v>
          </cell>
          <cell r="F6961">
            <v>12</v>
          </cell>
          <cell r="G6961">
            <v>1990</v>
          </cell>
          <cell r="H6961">
            <v>200</v>
          </cell>
          <cell r="I6961">
            <v>16806022349.929701</v>
          </cell>
        </row>
        <row r="6962">
          <cell r="A6962" t="str">
            <v>Ireland</v>
          </cell>
          <cell r="B6962">
            <v>372</v>
          </cell>
          <cell r="C6962">
            <v>203</v>
          </cell>
          <cell r="D6962">
            <v>4</v>
          </cell>
          <cell r="E6962" t="str">
            <v>Compensation of employees</v>
          </cell>
          <cell r="F6962">
            <v>12</v>
          </cell>
          <cell r="G6962">
            <v>1991</v>
          </cell>
          <cell r="H6962">
            <v>200</v>
          </cell>
          <cell r="I6962">
            <v>17861350211.538399</v>
          </cell>
        </row>
        <row r="6963">
          <cell r="A6963" t="str">
            <v>Ireland</v>
          </cell>
          <cell r="B6963">
            <v>372</v>
          </cell>
          <cell r="C6963">
            <v>203</v>
          </cell>
          <cell r="D6963">
            <v>4</v>
          </cell>
          <cell r="E6963" t="str">
            <v>Compensation of employees</v>
          </cell>
          <cell r="F6963">
            <v>12</v>
          </cell>
          <cell r="G6963">
            <v>1992</v>
          </cell>
          <cell r="H6963">
            <v>200</v>
          </cell>
          <cell r="I6963">
            <v>19175423701.4389</v>
          </cell>
        </row>
        <row r="6964">
          <cell r="A6964" t="str">
            <v>Ireland</v>
          </cell>
          <cell r="B6964">
            <v>372</v>
          </cell>
          <cell r="C6964">
            <v>203</v>
          </cell>
          <cell r="D6964">
            <v>4</v>
          </cell>
          <cell r="E6964" t="str">
            <v>Compensation of employees</v>
          </cell>
          <cell r="F6964">
            <v>12</v>
          </cell>
          <cell r="G6964">
            <v>1993</v>
          </cell>
          <cell r="H6964">
            <v>200</v>
          </cell>
          <cell r="I6964">
            <v>20653345903.317101</v>
          </cell>
        </row>
        <row r="6965">
          <cell r="A6965" t="str">
            <v>Ireland</v>
          </cell>
          <cell r="B6965">
            <v>372</v>
          </cell>
          <cell r="C6965">
            <v>203</v>
          </cell>
          <cell r="D6965">
            <v>4</v>
          </cell>
          <cell r="E6965" t="str">
            <v>Compensation of employees</v>
          </cell>
          <cell r="F6965">
            <v>12</v>
          </cell>
          <cell r="G6965">
            <v>1994</v>
          </cell>
          <cell r="H6965">
            <v>200</v>
          </cell>
          <cell r="I6965">
            <v>21973313545.311901</v>
          </cell>
        </row>
        <row r="6966">
          <cell r="A6966" t="str">
            <v>Ireland</v>
          </cell>
          <cell r="B6966">
            <v>372</v>
          </cell>
          <cell r="C6966">
            <v>203</v>
          </cell>
          <cell r="D6966">
            <v>4</v>
          </cell>
          <cell r="E6966" t="str">
            <v>Compensation of employees</v>
          </cell>
          <cell r="F6966">
            <v>12</v>
          </cell>
          <cell r="G6966">
            <v>1995</v>
          </cell>
          <cell r="H6966">
            <v>200</v>
          </cell>
          <cell r="I6966">
            <v>23846875531</v>
          </cell>
        </row>
        <row r="6967">
          <cell r="A6967" t="str">
            <v>Ireland</v>
          </cell>
          <cell r="B6967">
            <v>372</v>
          </cell>
          <cell r="C6967">
            <v>203</v>
          </cell>
          <cell r="D6967">
            <v>4</v>
          </cell>
          <cell r="E6967" t="str">
            <v>Compensation of employees</v>
          </cell>
          <cell r="F6967">
            <v>12</v>
          </cell>
          <cell r="G6967">
            <v>1996</v>
          </cell>
          <cell r="H6967">
            <v>200</v>
          </cell>
          <cell r="I6967">
            <v>25782502996</v>
          </cell>
        </row>
        <row r="6968">
          <cell r="A6968" t="str">
            <v>Ireland</v>
          </cell>
          <cell r="B6968">
            <v>372</v>
          </cell>
          <cell r="C6968">
            <v>203</v>
          </cell>
          <cell r="D6968">
            <v>4</v>
          </cell>
          <cell r="E6968" t="str">
            <v>Compensation of employees</v>
          </cell>
          <cell r="F6968">
            <v>12</v>
          </cell>
          <cell r="G6968">
            <v>1997</v>
          </cell>
          <cell r="H6968">
            <v>200</v>
          </cell>
          <cell r="I6968">
            <v>28527222381</v>
          </cell>
        </row>
        <row r="6969">
          <cell r="A6969" t="str">
            <v>Ireland</v>
          </cell>
          <cell r="B6969">
            <v>372</v>
          </cell>
          <cell r="C6969">
            <v>203</v>
          </cell>
          <cell r="D6969">
            <v>4</v>
          </cell>
          <cell r="E6969" t="str">
            <v>Compensation of employees</v>
          </cell>
          <cell r="F6969">
            <v>12</v>
          </cell>
          <cell r="G6969">
            <v>1998</v>
          </cell>
          <cell r="H6969">
            <v>200</v>
          </cell>
          <cell r="I6969">
            <v>32321318703</v>
          </cell>
        </row>
        <row r="6970">
          <cell r="A6970" t="str">
            <v>Ireland</v>
          </cell>
          <cell r="B6970">
            <v>372</v>
          </cell>
          <cell r="C6970">
            <v>203</v>
          </cell>
          <cell r="D6970">
            <v>4</v>
          </cell>
          <cell r="E6970" t="str">
            <v>Compensation of employees</v>
          </cell>
          <cell r="F6970">
            <v>12</v>
          </cell>
          <cell r="G6970">
            <v>1999</v>
          </cell>
          <cell r="H6970">
            <v>200</v>
          </cell>
          <cell r="I6970">
            <v>36474698378</v>
          </cell>
        </row>
        <row r="6971">
          <cell r="A6971" t="str">
            <v>Ireland</v>
          </cell>
          <cell r="B6971">
            <v>372</v>
          </cell>
          <cell r="C6971">
            <v>203</v>
          </cell>
          <cell r="D6971">
            <v>4</v>
          </cell>
          <cell r="E6971" t="str">
            <v>Compensation of employees</v>
          </cell>
          <cell r="F6971">
            <v>12</v>
          </cell>
          <cell r="G6971">
            <v>2000</v>
          </cell>
          <cell r="H6971">
            <v>200</v>
          </cell>
          <cell r="I6971">
            <v>41811483713</v>
          </cell>
        </row>
        <row r="6972">
          <cell r="A6972" t="str">
            <v>Ireland</v>
          </cell>
          <cell r="B6972">
            <v>372</v>
          </cell>
          <cell r="C6972">
            <v>203</v>
          </cell>
          <cell r="D6972">
            <v>4</v>
          </cell>
          <cell r="E6972" t="str">
            <v>Compensation of employees</v>
          </cell>
          <cell r="F6972">
            <v>12</v>
          </cell>
          <cell r="G6972">
            <v>2001</v>
          </cell>
          <cell r="H6972">
            <v>200</v>
          </cell>
          <cell r="I6972">
            <v>47253987398</v>
          </cell>
        </row>
        <row r="6973">
          <cell r="A6973" t="str">
            <v>Mongolia</v>
          </cell>
          <cell r="B6973">
            <v>496</v>
          </cell>
          <cell r="C6973">
            <v>203</v>
          </cell>
          <cell r="D6973">
            <v>3</v>
          </cell>
          <cell r="E6973" t="str">
            <v>Equals: VALUE ADDED, GROSS, at basic prices</v>
          </cell>
          <cell r="F6973">
            <v>12</v>
          </cell>
          <cell r="G6973">
            <v>1995</v>
          </cell>
          <cell r="H6973">
            <v>20</v>
          </cell>
          <cell r="I6973">
            <v>520417000000</v>
          </cell>
        </row>
        <row r="6974">
          <cell r="A6974" t="str">
            <v>Mongolia</v>
          </cell>
          <cell r="B6974">
            <v>496</v>
          </cell>
          <cell r="C6974">
            <v>203</v>
          </cell>
          <cell r="D6974">
            <v>3</v>
          </cell>
          <cell r="E6974" t="str">
            <v>Equals: VALUE ADDED, GROSS, at basic prices</v>
          </cell>
          <cell r="F6974">
            <v>12</v>
          </cell>
          <cell r="G6974">
            <v>1996</v>
          </cell>
          <cell r="H6974">
            <v>20</v>
          </cell>
          <cell r="I6974">
            <v>611107000000</v>
          </cell>
        </row>
        <row r="6975">
          <cell r="A6975" t="str">
            <v>Mongolia</v>
          </cell>
          <cell r="B6975">
            <v>496</v>
          </cell>
          <cell r="C6975">
            <v>203</v>
          </cell>
          <cell r="D6975">
            <v>3</v>
          </cell>
          <cell r="E6975" t="str">
            <v>Equals: VALUE ADDED, GROSS, at basic prices</v>
          </cell>
          <cell r="F6975">
            <v>12</v>
          </cell>
          <cell r="G6975">
            <v>1997</v>
          </cell>
          <cell r="H6975">
            <v>20</v>
          </cell>
          <cell r="I6975">
            <v>779281000000</v>
          </cell>
        </row>
        <row r="6976">
          <cell r="A6976" t="str">
            <v>Mongolia</v>
          </cell>
          <cell r="B6976">
            <v>496</v>
          </cell>
          <cell r="C6976">
            <v>203</v>
          </cell>
          <cell r="D6976">
            <v>3</v>
          </cell>
          <cell r="E6976" t="str">
            <v>Equals: VALUE ADDED, GROSS, at basic prices</v>
          </cell>
          <cell r="F6976">
            <v>12</v>
          </cell>
          <cell r="G6976">
            <v>1998</v>
          </cell>
          <cell r="H6976">
            <v>20</v>
          </cell>
          <cell r="I6976">
            <v>759244000000</v>
          </cell>
        </row>
        <row r="6977">
          <cell r="A6977" t="str">
            <v>Mongolia</v>
          </cell>
          <cell r="B6977">
            <v>496</v>
          </cell>
          <cell r="C6977">
            <v>203</v>
          </cell>
          <cell r="D6977">
            <v>3</v>
          </cell>
          <cell r="E6977" t="str">
            <v>Equals: VALUE ADDED, GROSS, at basic prices</v>
          </cell>
          <cell r="F6977">
            <v>12</v>
          </cell>
          <cell r="G6977">
            <v>1999</v>
          </cell>
          <cell r="H6977">
            <v>20</v>
          </cell>
          <cell r="I6977">
            <v>846515000000</v>
          </cell>
        </row>
        <row r="6978">
          <cell r="A6978" t="str">
            <v>Mongolia</v>
          </cell>
          <cell r="B6978">
            <v>496</v>
          </cell>
          <cell r="C6978">
            <v>203</v>
          </cell>
          <cell r="D6978">
            <v>3</v>
          </cell>
          <cell r="E6978" t="str">
            <v>Equals: VALUE ADDED, GROSS, at basic prices</v>
          </cell>
          <cell r="F6978">
            <v>12</v>
          </cell>
          <cell r="G6978">
            <v>2000</v>
          </cell>
          <cell r="H6978">
            <v>20</v>
          </cell>
          <cell r="I6978">
            <v>906836000000</v>
          </cell>
        </row>
        <row r="6979">
          <cell r="A6979" t="str">
            <v>Mongolia</v>
          </cell>
          <cell r="B6979">
            <v>496</v>
          </cell>
          <cell r="C6979">
            <v>203</v>
          </cell>
          <cell r="D6979">
            <v>3</v>
          </cell>
          <cell r="E6979" t="str">
            <v>Equals: VALUE ADDED, GROSS, at basic prices</v>
          </cell>
          <cell r="F6979">
            <v>12</v>
          </cell>
          <cell r="G6979">
            <v>2001</v>
          </cell>
          <cell r="H6979">
            <v>20</v>
          </cell>
          <cell r="I6979">
            <v>972143000000</v>
          </cell>
        </row>
        <row r="6980">
          <cell r="A6980" t="str">
            <v>Mongolia</v>
          </cell>
          <cell r="B6980">
            <v>496</v>
          </cell>
          <cell r="C6980">
            <v>203</v>
          </cell>
          <cell r="D6980">
            <v>3</v>
          </cell>
          <cell r="E6980" t="str">
            <v>Equals: VALUE ADDED, GROSS, at basic prices</v>
          </cell>
          <cell r="F6980">
            <v>12</v>
          </cell>
          <cell r="G6980">
            <v>2002</v>
          </cell>
          <cell r="H6980">
            <v>20</v>
          </cell>
          <cell r="I6980">
            <v>1090174000000</v>
          </cell>
        </row>
        <row r="6981">
          <cell r="A6981" t="str">
            <v>Mongolia</v>
          </cell>
          <cell r="B6981">
            <v>496</v>
          </cell>
          <cell r="C6981">
            <v>203</v>
          </cell>
          <cell r="D6981">
            <v>4</v>
          </cell>
          <cell r="E6981" t="str">
            <v>Compensation of employees</v>
          </cell>
          <cell r="F6981">
            <v>12</v>
          </cell>
          <cell r="G6981">
            <v>1995</v>
          </cell>
          <cell r="H6981">
            <v>20</v>
          </cell>
          <cell r="I6981">
            <v>143292000000</v>
          </cell>
        </row>
        <row r="6982">
          <cell r="A6982" t="str">
            <v>Mongolia</v>
          </cell>
          <cell r="B6982">
            <v>496</v>
          </cell>
          <cell r="C6982">
            <v>203</v>
          </cell>
          <cell r="D6982">
            <v>4</v>
          </cell>
          <cell r="E6982" t="str">
            <v>Compensation of employees</v>
          </cell>
          <cell r="F6982">
            <v>12</v>
          </cell>
          <cell r="G6982">
            <v>1996</v>
          </cell>
          <cell r="H6982">
            <v>20</v>
          </cell>
          <cell r="I6982">
            <v>153994000000</v>
          </cell>
        </row>
        <row r="6983">
          <cell r="A6983" t="str">
            <v>Mongolia</v>
          </cell>
          <cell r="B6983">
            <v>496</v>
          </cell>
          <cell r="C6983">
            <v>203</v>
          </cell>
          <cell r="D6983">
            <v>4</v>
          </cell>
          <cell r="E6983" t="str">
            <v>Compensation of employees</v>
          </cell>
          <cell r="F6983">
            <v>12</v>
          </cell>
          <cell r="G6983">
            <v>1997</v>
          </cell>
          <cell r="H6983">
            <v>20</v>
          </cell>
          <cell r="I6983">
            <v>180307000000</v>
          </cell>
        </row>
        <row r="6984">
          <cell r="A6984" t="str">
            <v>Mongolia</v>
          </cell>
          <cell r="B6984">
            <v>496</v>
          </cell>
          <cell r="C6984">
            <v>203</v>
          </cell>
          <cell r="D6984">
            <v>4</v>
          </cell>
          <cell r="E6984" t="str">
            <v>Compensation of employees</v>
          </cell>
          <cell r="F6984">
            <v>12</v>
          </cell>
          <cell r="G6984">
            <v>1998</v>
          </cell>
          <cell r="H6984">
            <v>20</v>
          </cell>
          <cell r="I6984">
            <v>214291000000</v>
          </cell>
        </row>
        <row r="6985">
          <cell r="A6985" t="str">
            <v>Mongolia</v>
          </cell>
          <cell r="B6985">
            <v>496</v>
          </cell>
          <cell r="C6985">
            <v>203</v>
          </cell>
          <cell r="D6985">
            <v>4</v>
          </cell>
          <cell r="E6985" t="str">
            <v>Compensation of employees</v>
          </cell>
          <cell r="F6985">
            <v>12</v>
          </cell>
          <cell r="G6985">
            <v>1999</v>
          </cell>
          <cell r="H6985">
            <v>20</v>
          </cell>
          <cell r="I6985">
            <v>226597000000</v>
          </cell>
        </row>
        <row r="6986">
          <cell r="A6986" t="str">
            <v>Mongolia</v>
          </cell>
          <cell r="B6986">
            <v>496</v>
          </cell>
          <cell r="C6986">
            <v>203</v>
          </cell>
          <cell r="D6986">
            <v>4</v>
          </cell>
          <cell r="E6986" t="str">
            <v>Compensation of employees</v>
          </cell>
          <cell r="F6986">
            <v>12</v>
          </cell>
          <cell r="G6986">
            <v>2000</v>
          </cell>
          <cell r="H6986">
            <v>20</v>
          </cell>
          <cell r="I6986">
            <v>267735000000</v>
          </cell>
        </row>
        <row r="6987">
          <cell r="A6987" t="str">
            <v>Mongolia</v>
          </cell>
          <cell r="B6987">
            <v>496</v>
          </cell>
          <cell r="C6987">
            <v>203</v>
          </cell>
          <cell r="D6987">
            <v>4</v>
          </cell>
          <cell r="E6987" t="str">
            <v>Compensation of employees</v>
          </cell>
          <cell r="F6987">
            <v>12</v>
          </cell>
          <cell r="G6987">
            <v>2001</v>
          </cell>
          <cell r="H6987">
            <v>20</v>
          </cell>
          <cell r="I6987">
            <v>289337000000</v>
          </cell>
        </row>
        <row r="6988">
          <cell r="A6988" t="str">
            <v>Mongolia</v>
          </cell>
          <cell r="B6988">
            <v>496</v>
          </cell>
          <cell r="C6988">
            <v>203</v>
          </cell>
          <cell r="D6988">
            <v>4</v>
          </cell>
          <cell r="E6988" t="str">
            <v>Compensation of employees</v>
          </cell>
          <cell r="F6988">
            <v>12</v>
          </cell>
          <cell r="G6988">
            <v>2002</v>
          </cell>
          <cell r="H6988">
            <v>20</v>
          </cell>
          <cell r="I6988">
            <v>345168000000</v>
          </cell>
        </row>
        <row r="6989">
          <cell r="A6989" t="str">
            <v>Mongolia</v>
          </cell>
          <cell r="B6989">
            <v>496</v>
          </cell>
          <cell r="C6989">
            <v>203</v>
          </cell>
          <cell r="D6989">
            <v>11</v>
          </cell>
          <cell r="E6989" t="str">
            <v>OPERATING SURPLUS, GROSS</v>
          </cell>
          <cell r="F6989">
            <v>12</v>
          </cell>
          <cell r="G6989">
            <v>1995</v>
          </cell>
          <cell r="H6989">
            <v>20</v>
          </cell>
          <cell r="I6989">
            <v>148383000000</v>
          </cell>
        </row>
        <row r="6990">
          <cell r="A6990" t="str">
            <v>Mongolia</v>
          </cell>
          <cell r="B6990">
            <v>496</v>
          </cell>
          <cell r="C6990">
            <v>203</v>
          </cell>
          <cell r="D6990">
            <v>11</v>
          </cell>
          <cell r="E6990" t="str">
            <v>OPERATING SURPLUS, GROSS</v>
          </cell>
          <cell r="F6990">
            <v>12</v>
          </cell>
          <cell r="G6990">
            <v>1996</v>
          </cell>
          <cell r="H6990">
            <v>20</v>
          </cell>
          <cell r="I6990">
            <v>162426000000</v>
          </cell>
        </row>
        <row r="6991">
          <cell r="A6991" t="str">
            <v>Mongolia</v>
          </cell>
          <cell r="B6991">
            <v>496</v>
          </cell>
          <cell r="C6991">
            <v>203</v>
          </cell>
          <cell r="D6991">
            <v>11</v>
          </cell>
          <cell r="E6991" t="str">
            <v>OPERATING SURPLUS, GROSS</v>
          </cell>
          <cell r="F6991">
            <v>12</v>
          </cell>
          <cell r="G6991">
            <v>1997</v>
          </cell>
          <cell r="H6991">
            <v>20</v>
          </cell>
          <cell r="I6991">
            <v>251209000000</v>
          </cell>
        </row>
        <row r="6992">
          <cell r="A6992" t="str">
            <v>Mongolia</v>
          </cell>
          <cell r="B6992">
            <v>496</v>
          </cell>
          <cell r="C6992">
            <v>203</v>
          </cell>
          <cell r="D6992">
            <v>11</v>
          </cell>
          <cell r="E6992" t="str">
            <v>OPERATING SURPLUS, GROSS</v>
          </cell>
          <cell r="F6992">
            <v>12</v>
          </cell>
          <cell r="G6992">
            <v>1998</v>
          </cell>
          <cell r="H6992">
            <v>20</v>
          </cell>
          <cell r="I6992">
            <v>185536000000</v>
          </cell>
        </row>
        <row r="6993">
          <cell r="A6993" t="str">
            <v>Mongolia</v>
          </cell>
          <cell r="B6993">
            <v>496</v>
          </cell>
          <cell r="C6993">
            <v>203</v>
          </cell>
          <cell r="D6993">
            <v>11</v>
          </cell>
          <cell r="E6993" t="str">
            <v>OPERATING SURPLUS, GROSS</v>
          </cell>
          <cell r="F6993">
            <v>12</v>
          </cell>
          <cell r="G6993">
            <v>1999</v>
          </cell>
          <cell r="H6993">
            <v>20</v>
          </cell>
          <cell r="I6993">
            <v>213517000000</v>
          </cell>
        </row>
        <row r="6994">
          <cell r="A6994" t="str">
            <v>Mongolia</v>
          </cell>
          <cell r="B6994">
            <v>496</v>
          </cell>
          <cell r="C6994">
            <v>203</v>
          </cell>
          <cell r="D6994">
            <v>11</v>
          </cell>
          <cell r="E6994" t="str">
            <v>OPERATING SURPLUS, GROSS</v>
          </cell>
          <cell r="F6994">
            <v>12</v>
          </cell>
          <cell r="G6994">
            <v>2000</v>
          </cell>
          <cell r="H6994">
            <v>20</v>
          </cell>
          <cell r="I6994">
            <v>245804000000</v>
          </cell>
        </row>
        <row r="6995">
          <cell r="A6995" t="str">
            <v>Mongolia</v>
          </cell>
          <cell r="B6995">
            <v>496</v>
          </cell>
          <cell r="C6995">
            <v>203</v>
          </cell>
          <cell r="D6995">
            <v>11</v>
          </cell>
          <cell r="E6995" t="str">
            <v>OPERATING SURPLUS, GROSS</v>
          </cell>
          <cell r="F6995">
            <v>12</v>
          </cell>
          <cell r="G6995">
            <v>2001</v>
          </cell>
          <cell r="H6995">
            <v>20</v>
          </cell>
          <cell r="I6995">
            <v>279041000000</v>
          </cell>
        </row>
        <row r="6996">
          <cell r="A6996" t="str">
            <v>Mongolia</v>
          </cell>
          <cell r="B6996">
            <v>496</v>
          </cell>
          <cell r="C6996">
            <v>203</v>
          </cell>
          <cell r="D6996">
            <v>11</v>
          </cell>
          <cell r="E6996" t="str">
            <v>OPERATING SURPLUS, GROSS</v>
          </cell>
          <cell r="F6996">
            <v>12</v>
          </cell>
          <cell r="G6996">
            <v>2002</v>
          </cell>
          <cell r="H6996">
            <v>20</v>
          </cell>
          <cell r="I6996">
            <v>347203000000</v>
          </cell>
        </row>
        <row r="6997">
          <cell r="A6997" t="str">
            <v>Mongolia</v>
          </cell>
          <cell r="B6997">
            <v>496</v>
          </cell>
          <cell r="C6997">
            <v>203</v>
          </cell>
          <cell r="D6997">
            <v>12</v>
          </cell>
          <cell r="E6997" t="str">
            <v>MIXED INCOME, GROSS</v>
          </cell>
          <cell r="F6997">
            <v>12</v>
          </cell>
          <cell r="G6997">
            <v>1995</v>
          </cell>
          <cell r="H6997">
            <v>20</v>
          </cell>
          <cell r="I6997">
            <v>228742000000</v>
          </cell>
        </row>
        <row r="6998">
          <cell r="A6998" t="str">
            <v>Mongolia</v>
          </cell>
          <cell r="B6998">
            <v>496</v>
          </cell>
          <cell r="C6998">
            <v>203</v>
          </cell>
          <cell r="D6998">
            <v>12</v>
          </cell>
          <cell r="E6998" t="str">
            <v>MIXED INCOME, GROSS</v>
          </cell>
          <cell r="F6998">
            <v>12</v>
          </cell>
          <cell r="G6998">
            <v>1996</v>
          </cell>
          <cell r="H6998">
            <v>20</v>
          </cell>
          <cell r="I6998">
            <v>294687000000</v>
          </cell>
        </row>
        <row r="6999">
          <cell r="A6999" t="str">
            <v>Mongolia</v>
          </cell>
          <cell r="B6999">
            <v>496</v>
          </cell>
          <cell r="C6999">
            <v>203</v>
          </cell>
          <cell r="D6999">
            <v>12</v>
          </cell>
          <cell r="E6999" t="str">
            <v>MIXED INCOME, GROSS</v>
          </cell>
          <cell r="F6999">
            <v>12</v>
          </cell>
          <cell r="G6999">
            <v>1997</v>
          </cell>
          <cell r="H6999">
            <v>20</v>
          </cell>
          <cell r="I6999">
            <v>347766000000</v>
          </cell>
        </row>
        <row r="7000">
          <cell r="A7000" t="str">
            <v>Mongolia</v>
          </cell>
          <cell r="B7000">
            <v>496</v>
          </cell>
          <cell r="C7000">
            <v>203</v>
          </cell>
          <cell r="D7000">
            <v>12</v>
          </cell>
          <cell r="E7000" t="str">
            <v>MIXED INCOME, GROSS</v>
          </cell>
          <cell r="F7000">
            <v>12</v>
          </cell>
          <cell r="G7000">
            <v>1998</v>
          </cell>
          <cell r="H7000">
            <v>20</v>
          </cell>
          <cell r="I7000">
            <v>359417000000</v>
          </cell>
        </row>
        <row r="7001">
          <cell r="A7001" t="str">
            <v>Mongolia</v>
          </cell>
          <cell r="B7001">
            <v>496</v>
          </cell>
          <cell r="C7001">
            <v>203</v>
          </cell>
          <cell r="D7001">
            <v>12</v>
          </cell>
          <cell r="E7001" t="str">
            <v>MIXED INCOME, GROSS</v>
          </cell>
          <cell r="F7001">
            <v>12</v>
          </cell>
          <cell r="G7001">
            <v>1999</v>
          </cell>
          <cell r="H7001">
            <v>20</v>
          </cell>
          <cell r="I7001">
            <v>406401000000</v>
          </cell>
        </row>
        <row r="7002">
          <cell r="A7002" t="str">
            <v>Mongolia</v>
          </cell>
          <cell r="B7002">
            <v>496</v>
          </cell>
          <cell r="C7002">
            <v>203</v>
          </cell>
          <cell r="D7002">
            <v>12</v>
          </cell>
          <cell r="E7002" t="str">
            <v>MIXED INCOME, GROSS</v>
          </cell>
          <cell r="F7002">
            <v>12</v>
          </cell>
          <cell r="G7002">
            <v>2000</v>
          </cell>
          <cell r="H7002">
            <v>20</v>
          </cell>
          <cell r="I7002">
            <v>393296000000</v>
          </cell>
        </row>
        <row r="7003">
          <cell r="A7003" t="str">
            <v>Mongolia</v>
          </cell>
          <cell r="B7003">
            <v>496</v>
          </cell>
          <cell r="C7003">
            <v>203</v>
          </cell>
          <cell r="D7003">
            <v>12</v>
          </cell>
          <cell r="E7003" t="str">
            <v>MIXED INCOME, GROSS</v>
          </cell>
          <cell r="F7003">
            <v>12</v>
          </cell>
          <cell r="G7003">
            <v>2001</v>
          </cell>
          <cell r="H7003">
            <v>20</v>
          </cell>
          <cell r="I7003">
            <v>403765000000</v>
          </cell>
        </row>
        <row r="7004">
          <cell r="A7004" t="str">
            <v>Mongolia</v>
          </cell>
          <cell r="B7004">
            <v>496</v>
          </cell>
          <cell r="C7004">
            <v>203</v>
          </cell>
          <cell r="D7004">
            <v>12</v>
          </cell>
          <cell r="E7004" t="str">
            <v>MIXED INCOME, GROSS</v>
          </cell>
          <cell r="F7004">
            <v>12</v>
          </cell>
          <cell r="G7004">
            <v>2002</v>
          </cell>
          <cell r="H7004">
            <v>20</v>
          </cell>
          <cell r="I7004">
            <v>397804000000</v>
          </cell>
        </row>
        <row r="7005">
          <cell r="A7005" t="str">
            <v>Ireland</v>
          </cell>
          <cell r="B7005">
            <v>372</v>
          </cell>
          <cell r="C7005">
            <v>203</v>
          </cell>
          <cell r="D7005">
            <v>11</v>
          </cell>
          <cell r="E7005" t="str">
            <v>OPERATING SURPLUS, GROSS</v>
          </cell>
          <cell r="F7005">
            <v>12</v>
          </cell>
          <cell r="G7005">
            <v>1980</v>
          </cell>
          <cell r="H7005">
            <v>30</v>
          </cell>
          <cell r="I7005">
            <v>3333300000</v>
          </cell>
        </row>
        <row r="7006">
          <cell r="A7006" t="str">
            <v>Ireland</v>
          </cell>
          <cell r="B7006">
            <v>372</v>
          </cell>
          <cell r="C7006">
            <v>203</v>
          </cell>
          <cell r="D7006">
            <v>11</v>
          </cell>
          <cell r="E7006" t="str">
            <v>OPERATING SURPLUS, GROSS</v>
          </cell>
          <cell r="F7006">
            <v>12</v>
          </cell>
          <cell r="G7006">
            <v>1981</v>
          </cell>
          <cell r="H7006">
            <v>30</v>
          </cell>
          <cell r="I7006">
            <v>3976500000</v>
          </cell>
        </row>
        <row r="7007">
          <cell r="A7007" t="str">
            <v>Ireland</v>
          </cell>
          <cell r="B7007">
            <v>372</v>
          </cell>
          <cell r="C7007">
            <v>203</v>
          </cell>
          <cell r="D7007">
            <v>11</v>
          </cell>
          <cell r="E7007" t="str">
            <v>OPERATING SURPLUS, GROSS</v>
          </cell>
          <cell r="F7007">
            <v>12</v>
          </cell>
          <cell r="G7007">
            <v>1982</v>
          </cell>
          <cell r="H7007">
            <v>30</v>
          </cell>
          <cell r="I7007">
            <v>4818400000</v>
          </cell>
        </row>
        <row r="7008">
          <cell r="A7008" t="str">
            <v>Ireland</v>
          </cell>
          <cell r="B7008">
            <v>372</v>
          </cell>
          <cell r="C7008">
            <v>203</v>
          </cell>
          <cell r="D7008">
            <v>11</v>
          </cell>
          <cell r="E7008" t="str">
            <v>OPERATING SURPLUS, GROSS</v>
          </cell>
          <cell r="F7008">
            <v>12</v>
          </cell>
          <cell r="G7008">
            <v>1983</v>
          </cell>
          <cell r="H7008">
            <v>30</v>
          </cell>
          <cell r="I7008">
            <v>5427700000</v>
          </cell>
        </row>
        <row r="7009">
          <cell r="A7009" t="str">
            <v>Ireland</v>
          </cell>
          <cell r="B7009">
            <v>372</v>
          </cell>
          <cell r="C7009">
            <v>203</v>
          </cell>
          <cell r="D7009">
            <v>11</v>
          </cell>
          <cell r="E7009" t="str">
            <v>OPERATING SURPLUS, GROSS</v>
          </cell>
          <cell r="F7009">
            <v>12</v>
          </cell>
          <cell r="G7009">
            <v>1984</v>
          </cell>
          <cell r="H7009">
            <v>30</v>
          </cell>
          <cell r="I7009">
            <v>6310900000</v>
          </cell>
        </row>
        <row r="7010">
          <cell r="A7010" t="str">
            <v>Ireland</v>
          </cell>
          <cell r="B7010">
            <v>372</v>
          </cell>
          <cell r="C7010">
            <v>203</v>
          </cell>
          <cell r="D7010">
            <v>11</v>
          </cell>
          <cell r="E7010" t="str">
            <v>OPERATING SURPLUS, GROSS</v>
          </cell>
          <cell r="F7010">
            <v>12</v>
          </cell>
          <cell r="G7010">
            <v>1985</v>
          </cell>
          <cell r="H7010">
            <v>30</v>
          </cell>
          <cell r="I7010">
            <v>7189300000</v>
          </cell>
        </row>
        <row r="7011">
          <cell r="A7011" t="str">
            <v>Ireland</v>
          </cell>
          <cell r="B7011">
            <v>372</v>
          </cell>
          <cell r="C7011">
            <v>203</v>
          </cell>
          <cell r="D7011">
            <v>11</v>
          </cell>
          <cell r="E7011" t="str">
            <v>OPERATING SURPLUS, GROSS</v>
          </cell>
          <cell r="F7011">
            <v>12</v>
          </cell>
          <cell r="G7011">
            <v>1986</v>
          </cell>
          <cell r="H7011">
            <v>30</v>
          </cell>
          <cell r="I7011">
            <v>7435000000</v>
          </cell>
        </row>
        <row r="7012">
          <cell r="A7012" t="str">
            <v>Ireland</v>
          </cell>
          <cell r="B7012">
            <v>372</v>
          </cell>
          <cell r="C7012">
            <v>203</v>
          </cell>
          <cell r="D7012">
            <v>11</v>
          </cell>
          <cell r="E7012" t="str">
            <v>OPERATING SURPLUS, GROSS</v>
          </cell>
          <cell r="F7012">
            <v>12</v>
          </cell>
          <cell r="G7012">
            <v>1986</v>
          </cell>
          <cell r="H7012">
            <v>40</v>
          </cell>
          <cell r="I7012">
            <v>8069600000</v>
          </cell>
        </row>
        <row r="7013">
          <cell r="A7013" t="str">
            <v>Ireland</v>
          </cell>
          <cell r="B7013">
            <v>372</v>
          </cell>
          <cell r="C7013">
            <v>203</v>
          </cell>
          <cell r="D7013">
            <v>11</v>
          </cell>
          <cell r="E7013" t="str">
            <v>OPERATING SURPLUS, GROSS</v>
          </cell>
          <cell r="F7013">
            <v>12</v>
          </cell>
          <cell r="G7013">
            <v>1987</v>
          </cell>
          <cell r="H7013">
            <v>40</v>
          </cell>
          <cell r="I7013">
            <v>8808600000</v>
          </cell>
        </row>
        <row r="7014">
          <cell r="A7014" t="str">
            <v>Ireland</v>
          </cell>
          <cell r="B7014">
            <v>372</v>
          </cell>
          <cell r="C7014">
            <v>203</v>
          </cell>
          <cell r="D7014">
            <v>11</v>
          </cell>
          <cell r="E7014" t="str">
            <v>OPERATING SURPLUS, GROSS</v>
          </cell>
          <cell r="F7014">
            <v>12</v>
          </cell>
          <cell r="G7014">
            <v>1988</v>
          </cell>
          <cell r="H7014">
            <v>40</v>
          </cell>
          <cell r="I7014">
            <v>10246000000</v>
          </cell>
        </row>
        <row r="7015">
          <cell r="A7015" t="str">
            <v>Ireland</v>
          </cell>
          <cell r="B7015">
            <v>372</v>
          </cell>
          <cell r="C7015">
            <v>203</v>
          </cell>
          <cell r="D7015">
            <v>11</v>
          </cell>
          <cell r="E7015" t="str">
            <v>OPERATING SURPLUS, GROSS</v>
          </cell>
          <cell r="F7015">
            <v>12</v>
          </cell>
          <cell r="G7015">
            <v>1989</v>
          </cell>
          <cell r="H7015">
            <v>40</v>
          </cell>
          <cell r="I7015">
            <v>11322400000</v>
          </cell>
        </row>
        <row r="7016">
          <cell r="A7016" t="str">
            <v>Ireland</v>
          </cell>
          <cell r="B7016">
            <v>372</v>
          </cell>
          <cell r="C7016">
            <v>203</v>
          </cell>
          <cell r="D7016">
            <v>11</v>
          </cell>
          <cell r="E7016" t="str">
            <v>OPERATING SURPLUS, GROSS</v>
          </cell>
          <cell r="F7016">
            <v>12</v>
          </cell>
          <cell r="G7016">
            <v>1990</v>
          </cell>
          <cell r="H7016">
            <v>40</v>
          </cell>
          <cell r="I7016">
            <v>12686500000</v>
          </cell>
        </row>
        <row r="7017">
          <cell r="A7017" t="str">
            <v>Ireland</v>
          </cell>
          <cell r="B7017">
            <v>372</v>
          </cell>
          <cell r="C7017">
            <v>203</v>
          </cell>
          <cell r="D7017">
            <v>11</v>
          </cell>
          <cell r="E7017" t="str">
            <v>OPERATING SURPLUS, GROSS</v>
          </cell>
          <cell r="F7017">
            <v>12</v>
          </cell>
          <cell r="G7017">
            <v>1990</v>
          </cell>
          <cell r="H7017">
            <v>200</v>
          </cell>
          <cell r="I7017">
            <v>15520250651.375601</v>
          </cell>
        </row>
        <row r="7018">
          <cell r="A7018" t="str">
            <v>Ireland</v>
          </cell>
          <cell r="B7018">
            <v>372</v>
          </cell>
          <cell r="C7018">
            <v>203</v>
          </cell>
          <cell r="D7018">
            <v>11</v>
          </cell>
          <cell r="E7018" t="str">
            <v>OPERATING SURPLUS, GROSS</v>
          </cell>
          <cell r="F7018">
            <v>12</v>
          </cell>
          <cell r="G7018">
            <v>1991</v>
          </cell>
          <cell r="H7018">
            <v>200</v>
          </cell>
          <cell r="I7018">
            <v>15790437513.6497</v>
          </cell>
        </row>
        <row r="7019">
          <cell r="A7019" t="str">
            <v>Ireland</v>
          </cell>
          <cell r="B7019">
            <v>372</v>
          </cell>
          <cell r="C7019">
            <v>203</v>
          </cell>
          <cell r="D7019">
            <v>11</v>
          </cell>
          <cell r="E7019" t="str">
            <v>OPERATING SURPLUS, GROSS</v>
          </cell>
          <cell r="F7019">
            <v>12</v>
          </cell>
          <cell r="G7019">
            <v>1992</v>
          </cell>
          <cell r="H7019">
            <v>200</v>
          </cell>
          <cell r="I7019">
            <v>16312954051.988199</v>
          </cell>
        </row>
        <row r="7020">
          <cell r="A7020" t="str">
            <v>Ireland</v>
          </cell>
          <cell r="B7020">
            <v>372</v>
          </cell>
          <cell r="C7020">
            <v>203</v>
          </cell>
          <cell r="D7020">
            <v>11</v>
          </cell>
          <cell r="E7020" t="str">
            <v>OPERATING SURPLUS, GROSS</v>
          </cell>
          <cell r="F7020">
            <v>12</v>
          </cell>
          <cell r="G7020">
            <v>1993</v>
          </cell>
          <cell r="H7020">
            <v>200</v>
          </cell>
          <cell r="I7020">
            <v>18084880995.068298</v>
          </cell>
        </row>
        <row r="7021">
          <cell r="A7021" t="str">
            <v>Ireland</v>
          </cell>
          <cell r="B7021">
            <v>372</v>
          </cell>
          <cell r="C7021">
            <v>203</v>
          </cell>
          <cell r="D7021">
            <v>11</v>
          </cell>
          <cell r="E7021" t="str">
            <v>OPERATING SURPLUS, GROSS</v>
          </cell>
          <cell r="F7021">
            <v>12</v>
          </cell>
          <cell r="G7021">
            <v>1994</v>
          </cell>
          <cell r="H7021">
            <v>200</v>
          </cell>
          <cell r="I7021">
            <v>19105510237.898102</v>
          </cell>
        </row>
        <row r="7022">
          <cell r="A7022" t="str">
            <v>Ireland</v>
          </cell>
          <cell r="B7022">
            <v>372</v>
          </cell>
          <cell r="C7022">
            <v>203</v>
          </cell>
          <cell r="D7022">
            <v>11</v>
          </cell>
          <cell r="E7022" t="str">
            <v>OPERATING SURPLUS, GROSS</v>
          </cell>
          <cell r="F7022">
            <v>12</v>
          </cell>
          <cell r="G7022">
            <v>1995</v>
          </cell>
          <cell r="H7022">
            <v>200</v>
          </cell>
          <cell r="I7022">
            <v>22954432083</v>
          </cell>
        </row>
        <row r="7023">
          <cell r="A7023" t="str">
            <v>Ireland</v>
          </cell>
          <cell r="B7023">
            <v>372</v>
          </cell>
          <cell r="C7023">
            <v>203</v>
          </cell>
          <cell r="D7023">
            <v>11</v>
          </cell>
          <cell r="E7023" t="str">
            <v>OPERATING SURPLUS, GROSS</v>
          </cell>
          <cell r="F7023">
            <v>12</v>
          </cell>
          <cell r="G7023">
            <v>1996</v>
          </cell>
          <cell r="H7023">
            <v>200</v>
          </cell>
          <cell r="I7023">
            <v>25862782964</v>
          </cell>
        </row>
        <row r="7024">
          <cell r="A7024" t="str">
            <v>Ireland</v>
          </cell>
          <cell r="B7024">
            <v>372</v>
          </cell>
          <cell r="C7024">
            <v>203</v>
          </cell>
          <cell r="D7024">
            <v>11</v>
          </cell>
          <cell r="E7024" t="str">
            <v>OPERATING SURPLUS, GROSS</v>
          </cell>
          <cell r="F7024">
            <v>12</v>
          </cell>
          <cell r="G7024">
            <v>1997</v>
          </cell>
          <cell r="H7024">
            <v>200</v>
          </cell>
          <cell r="I7024">
            <v>30848445907</v>
          </cell>
        </row>
        <row r="7025">
          <cell r="A7025" t="str">
            <v>Ireland</v>
          </cell>
          <cell r="B7025">
            <v>372</v>
          </cell>
          <cell r="C7025">
            <v>203</v>
          </cell>
          <cell r="D7025">
            <v>11</v>
          </cell>
          <cell r="E7025" t="str">
            <v>OPERATING SURPLUS, GROSS</v>
          </cell>
          <cell r="F7025">
            <v>12</v>
          </cell>
          <cell r="G7025">
            <v>1998</v>
          </cell>
          <cell r="H7025">
            <v>200</v>
          </cell>
          <cell r="I7025">
            <v>37503713954</v>
          </cell>
        </row>
        <row r="7026">
          <cell r="A7026" t="str">
            <v>Ireland</v>
          </cell>
          <cell r="B7026">
            <v>372</v>
          </cell>
          <cell r="C7026">
            <v>203</v>
          </cell>
          <cell r="D7026">
            <v>11</v>
          </cell>
          <cell r="E7026" t="str">
            <v>OPERATING SURPLUS, GROSS</v>
          </cell>
          <cell r="F7026">
            <v>12</v>
          </cell>
          <cell r="G7026">
            <v>1999</v>
          </cell>
          <cell r="H7026">
            <v>200</v>
          </cell>
          <cell r="I7026">
            <v>43236152261</v>
          </cell>
        </row>
        <row r="7027">
          <cell r="A7027" t="str">
            <v>Ireland</v>
          </cell>
          <cell r="B7027">
            <v>372</v>
          </cell>
          <cell r="C7027">
            <v>203</v>
          </cell>
          <cell r="D7027">
            <v>11</v>
          </cell>
          <cell r="E7027" t="str">
            <v>OPERATING SURPLUS, GROSS</v>
          </cell>
          <cell r="F7027">
            <v>12</v>
          </cell>
          <cell r="G7027">
            <v>2000</v>
          </cell>
          <cell r="H7027">
            <v>200</v>
          </cell>
          <cell r="I7027">
            <v>49474096691</v>
          </cell>
        </row>
        <row r="7028">
          <cell r="A7028" t="str">
            <v>Ireland</v>
          </cell>
          <cell r="B7028">
            <v>372</v>
          </cell>
          <cell r="C7028">
            <v>203</v>
          </cell>
          <cell r="D7028">
            <v>11</v>
          </cell>
          <cell r="E7028" t="str">
            <v>OPERATING SURPLUS, GROSS</v>
          </cell>
          <cell r="F7028">
            <v>12</v>
          </cell>
          <cell r="G7028">
            <v>2001</v>
          </cell>
          <cell r="H7028">
            <v>200</v>
          </cell>
          <cell r="I7028">
            <v>55361057595</v>
          </cell>
        </row>
        <row r="7029">
          <cell r="A7029" t="str">
            <v>Morocco</v>
          </cell>
          <cell r="B7029">
            <v>504</v>
          </cell>
          <cell r="C7029">
            <v>201</v>
          </cell>
          <cell r="D7029">
            <v>13</v>
          </cell>
          <cell r="E7029" t="str">
            <v>Less: Financial intermediation services indirectly measured (FISIM) (only to be deducted if FISIM is not distributed to uses)</v>
          </cell>
          <cell r="F7029">
            <v>0</v>
          </cell>
          <cell r="G7029">
            <v>1970</v>
          </cell>
          <cell r="H7029">
            <v>20</v>
          </cell>
          <cell r="I7029">
            <v>280000000</v>
          </cell>
        </row>
        <row r="7030">
          <cell r="A7030" t="str">
            <v>Morocco</v>
          </cell>
          <cell r="B7030">
            <v>504</v>
          </cell>
          <cell r="C7030">
            <v>201</v>
          </cell>
          <cell r="D7030">
            <v>13</v>
          </cell>
          <cell r="E7030" t="str">
            <v>Less: Financial intermediation services indirectly measured (FISIM) (only to be deducted if FISIM is not distributed to uses)</v>
          </cell>
          <cell r="F7030">
            <v>0</v>
          </cell>
          <cell r="G7030">
            <v>1971</v>
          </cell>
          <cell r="H7030">
            <v>20</v>
          </cell>
          <cell r="I7030">
            <v>280000000</v>
          </cell>
        </row>
        <row r="7031">
          <cell r="A7031" t="str">
            <v>Morocco</v>
          </cell>
          <cell r="B7031">
            <v>504</v>
          </cell>
          <cell r="C7031">
            <v>201</v>
          </cell>
          <cell r="D7031">
            <v>13</v>
          </cell>
          <cell r="E7031" t="str">
            <v>Less: Financial intermediation services indirectly measured (FISIM) (only to be deducted if FISIM is not distributed to uses)</v>
          </cell>
          <cell r="F7031">
            <v>0</v>
          </cell>
          <cell r="G7031">
            <v>1972</v>
          </cell>
          <cell r="H7031">
            <v>20</v>
          </cell>
          <cell r="I7031">
            <v>320000000</v>
          </cell>
        </row>
        <row r="7032">
          <cell r="A7032" t="str">
            <v>Morocco</v>
          </cell>
          <cell r="B7032">
            <v>504</v>
          </cell>
          <cell r="C7032">
            <v>201</v>
          </cell>
          <cell r="D7032">
            <v>13</v>
          </cell>
          <cell r="E7032" t="str">
            <v>Less: Financial intermediation services indirectly measured (FISIM) (only to be deducted if FISIM is not distributed to uses)</v>
          </cell>
          <cell r="F7032">
            <v>0</v>
          </cell>
          <cell r="G7032">
            <v>1973</v>
          </cell>
          <cell r="H7032">
            <v>20</v>
          </cell>
          <cell r="I7032">
            <v>400000000</v>
          </cell>
        </row>
        <row r="7033">
          <cell r="A7033" t="str">
            <v>Morocco</v>
          </cell>
          <cell r="B7033">
            <v>504</v>
          </cell>
          <cell r="C7033">
            <v>201</v>
          </cell>
          <cell r="D7033">
            <v>13</v>
          </cell>
          <cell r="E7033" t="str">
            <v>Less: Financial intermediation services indirectly measured (FISIM) (only to be deducted if FISIM is not distributed to uses)</v>
          </cell>
          <cell r="F7033">
            <v>0</v>
          </cell>
          <cell r="G7033">
            <v>1974</v>
          </cell>
          <cell r="H7033">
            <v>20</v>
          </cell>
          <cell r="I7033">
            <v>570000000</v>
          </cell>
        </row>
        <row r="7034">
          <cell r="A7034" t="str">
            <v>Morocco</v>
          </cell>
          <cell r="B7034">
            <v>504</v>
          </cell>
          <cell r="C7034">
            <v>201</v>
          </cell>
          <cell r="D7034">
            <v>13</v>
          </cell>
          <cell r="E7034" t="str">
            <v>Less: Financial intermediation services indirectly measured (FISIM) (only to be deducted if FISIM is not distributed to uses)</v>
          </cell>
          <cell r="F7034">
            <v>0</v>
          </cell>
          <cell r="G7034">
            <v>1975</v>
          </cell>
          <cell r="H7034">
            <v>20</v>
          </cell>
          <cell r="I7034">
            <v>690000000</v>
          </cell>
        </row>
        <row r="7035">
          <cell r="A7035" t="str">
            <v>Morocco</v>
          </cell>
          <cell r="B7035">
            <v>504</v>
          </cell>
          <cell r="C7035">
            <v>201</v>
          </cell>
          <cell r="D7035">
            <v>13</v>
          </cell>
          <cell r="E7035" t="str">
            <v>Less: Financial intermediation services indirectly measured (FISIM) (only to be deducted if FISIM is not distributed to uses)</v>
          </cell>
          <cell r="F7035">
            <v>0</v>
          </cell>
          <cell r="G7035">
            <v>1976</v>
          </cell>
          <cell r="H7035">
            <v>20</v>
          </cell>
          <cell r="I7035">
            <v>830000000</v>
          </cell>
        </row>
        <row r="7036">
          <cell r="A7036" t="str">
            <v>Morocco</v>
          </cell>
          <cell r="B7036">
            <v>504</v>
          </cell>
          <cell r="C7036">
            <v>201</v>
          </cell>
          <cell r="D7036">
            <v>13</v>
          </cell>
          <cell r="E7036" t="str">
            <v>Less: Financial intermediation services indirectly measured (FISIM) (only to be deducted if FISIM is not distributed to uses)</v>
          </cell>
          <cell r="F7036">
            <v>0</v>
          </cell>
          <cell r="G7036">
            <v>1977</v>
          </cell>
          <cell r="H7036">
            <v>20</v>
          </cell>
          <cell r="I7036">
            <v>1020000000</v>
          </cell>
        </row>
        <row r="7037">
          <cell r="A7037" t="str">
            <v>Morocco</v>
          </cell>
          <cell r="B7037">
            <v>504</v>
          </cell>
          <cell r="C7037">
            <v>201</v>
          </cell>
          <cell r="D7037">
            <v>13</v>
          </cell>
          <cell r="E7037" t="str">
            <v>Less: Financial intermediation services indirectly measured (FISIM) (only to be deducted if FISIM is not distributed to uses)</v>
          </cell>
          <cell r="F7037">
            <v>0</v>
          </cell>
          <cell r="G7037">
            <v>1978</v>
          </cell>
          <cell r="H7037">
            <v>20</v>
          </cell>
          <cell r="I7037">
            <v>1110000000</v>
          </cell>
        </row>
        <row r="7038">
          <cell r="A7038" t="str">
            <v>Morocco</v>
          </cell>
          <cell r="B7038">
            <v>504</v>
          </cell>
          <cell r="C7038">
            <v>201</v>
          </cell>
          <cell r="D7038">
            <v>13</v>
          </cell>
          <cell r="E7038" t="str">
            <v>Less: Financial intermediation services indirectly measured (FISIM) (only to be deducted if FISIM is not distributed to uses)</v>
          </cell>
          <cell r="F7038">
            <v>0</v>
          </cell>
          <cell r="G7038">
            <v>1979</v>
          </cell>
          <cell r="H7038">
            <v>20</v>
          </cell>
          <cell r="I7038">
            <v>1200000000</v>
          </cell>
        </row>
        <row r="7039">
          <cell r="A7039" t="str">
            <v>Morocco</v>
          </cell>
          <cell r="B7039">
            <v>504</v>
          </cell>
          <cell r="C7039">
            <v>201</v>
          </cell>
          <cell r="D7039">
            <v>13</v>
          </cell>
          <cell r="E7039" t="str">
            <v>Less: Financial intermediation services indirectly measured (FISIM) (only to be deducted if FISIM is not distributed to uses)</v>
          </cell>
          <cell r="F7039">
            <v>0</v>
          </cell>
          <cell r="G7039">
            <v>1980</v>
          </cell>
          <cell r="H7039">
            <v>20</v>
          </cell>
          <cell r="I7039">
            <v>1570000000</v>
          </cell>
        </row>
        <row r="7040">
          <cell r="A7040" t="str">
            <v>Morocco</v>
          </cell>
          <cell r="B7040">
            <v>504</v>
          </cell>
          <cell r="C7040">
            <v>201</v>
          </cell>
          <cell r="D7040">
            <v>13</v>
          </cell>
          <cell r="E7040" t="str">
            <v>Less: Financial intermediation services indirectly measured (FISIM) (only to be deducted if FISIM is not distributed to uses)</v>
          </cell>
          <cell r="F7040">
            <v>0</v>
          </cell>
          <cell r="G7040">
            <v>1981</v>
          </cell>
          <cell r="H7040">
            <v>20</v>
          </cell>
          <cell r="I7040">
            <v>1800000000</v>
          </cell>
        </row>
        <row r="7041">
          <cell r="A7041" t="str">
            <v>Morocco</v>
          </cell>
          <cell r="B7041">
            <v>504</v>
          </cell>
          <cell r="C7041">
            <v>201</v>
          </cell>
          <cell r="D7041">
            <v>13</v>
          </cell>
          <cell r="E7041" t="str">
            <v>Less: Financial intermediation services indirectly measured (FISIM) (only to be deducted if FISIM is not distributed to uses)</v>
          </cell>
          <cell r="F7041">
            <v>0</v>
          </cell>
          <cell r="G7041">
            <v>1982</v>
          </cell>
          <cell r="H7041">
            <v>20</v>
          </cell>
          <cell r="I7041">
            <v>1780000000</v>
          </cell>
        </row>
        <row r="7042">
          <cell r="A7042" t="str">
            <v>Morocco</v>
          </cell>
          <cell r="B7042">
            <v>504</v>
          </cell>
          <cell r="C7042">
            <v>201</v>
          </cell>
          <cell r="D7042">
            <v>13</v>
          </cell>
          <cell r="E7042" t="str">
            <v>Less: Financial intermediation services indirectly measured (FISIM) (only to be deducted if FISIM is not distributed to uses)</v>
          </cell>
          <cell r="F7042">
            <v>0</v>
          </cell>
          <cell r="G7042">
            <v>1983</v>
          </cell>
          <cell r="H7042">
            <v>20</v>
          </cell>
          <cell r="I7042">
            <v>2390000000</v>
          </cell>
        </row>
        <row r="7043">
          <cell r="A7043" t="str">
            <v>Morocco</v>
          </cell>
          <cell r="B7043">
            <v>504</v>
          </cell>
          <cell r="C7043">
            <v>201</v>
          </cell>
          <cell r="D7043">
            <v>13</v>
          </cell>
          <cell r="E7043" t="str">
            <v>Less: Financial intermediation services indirectly measured (FISIM) (only to be deducted if FISIM is not distributed to uses)</v>
          </cell>
          <cell r="F7043">
            <v>0</v>
          </cell>
          <cell r="G7043">
            <v>1984</v>
          </cell>
          <cell r="H7043">
            <v>20</v>
          </cell>
          <cell r="I7043">
            <v>2970000000</v>
          </cell>
        </row>
        <row r="7044">
          <cell r="A7044" t="str">
            <v>Morocco</v>
          </cell>
          <cell r="B7044">
            <v>504</v>
          </cell>
          <cell r="C7044">
            <v>201</v>
          </cell>
          <cell r="D7044">
            <v>13</v>
          </cell>
          <cell r="E7044" t="str">
            <v>Less: Financial intermediation services indirectly measured (FISIM) (only to be deducted if FISIM is not distributed to uses)</v>
          </cell>
          <cell r="F7044">
            <v>0</v>
          </cell>
          <cell r="G7044">
            <v>1985</v>
          </cell>
          <cell r="H7044">
            <v>20</v>
          </cell>
          <cell r="I7044">
            <v>3670000000</v>
          </cell>
        </row>
        <row r="7045">
          <cell r="A7045" t="str">
            <v>Morocco</v>
          </cell>
          <cell r="B7045">
            <v>504</v>
          </cell>
          <cell r="C7045">
            <v>201</v>
          </cell>
          <cell r="D7045">
            <v>13</v>
          </cell>
          <cell r="E7045" t="str">
            <v>Less: Financial intermediation services indirectly measured (FISIM) (only to be deducted if FISIM is not distributed to uses)</v>
          </cell>
          <cell r="F7045">
            <v>0</v>
          </cell>
          <cell r="G7045">
            <v>1986</v>
          </cell>
          <cell r="H7045">
            <v>20</v>
          </cell>
          <cell r="I7045">
            <v>4200000000</v>
          </cell>
        </row>
        <row r="7046">
          <cell r="A7046" t="str">
            <v>Morocco</v>
          </cell>
          <cell r="B7046">
            <v>504</v>
          </cell>
          <cell r="C7046">
            <v>201</v>
          </cell>
          <cell r="D7046">
            <v>13</v>
          </cell>
          <cell r="E7046" t="str">
            <v>Less: Financial intermediation services indirectly measured (FISIM) (only to be deducted if FISIM is not distributed to uses)</v>
          </cell>
          <cell r="F7046">
            <v>0</v>
          </cell>
          <cell r="G7046">
            <v>1987</v>
          </cell>
          <cell r="H7046">
            <v>20</v>
          </cell>
          <cell r="I7046">
            <v>5030000000</v>
          </cell>
        </row>
        <row r="7047">
          <cell r="A7047" t="str">
            <v>Morocco</v>
          </cell>
          <cell r="B7047">
            <v>504</v>
          </cell>
          <cell r="C7047">
            <v>201</v>
          </cell>
          <cell r="D7047">
            <v>13</v>
          </cell>
          <cell r="E7047" t="str">
            <v>Less: Financial intermediation services indirectly measured (FISIM) (only to be deducted if FISIM is not distributed to uses)</v>
          </cell>
          <cell r="F7047">
            <v>0</v>
          </cell>
          <cell r="G7047">
            <v>1988</v>
          </cell>
          <cell r="H7047">
            <v>20</v>
          </cell>
          <cell r="I7047">
            <v>5460000000</v>
          </cell>
        </row>
        <row r="7048">
          <cell r="A7048" t="str">
            <v>Morocco</v>
          </cell>
          <cell r="B7048">
            <v>504</v>
          </cell>
          <cell r="C7048">
            <v>201</v>
          </cell>
          <cell r="D7048">
            <v>13</v>
          </cell>
          <cell r="E7048" t="str">
            <v>Less: Financial intermediation services indirectly measured (FISIM) (only to be deducted if FISIM is not distributed to uses)</v>
          </cell>
          <cell r="F7048">
            <v>0</v>
          </cell>
          <cell r="G7048">
            <v>1989</v>
          </cell>
          <cell r="H7048">
            <v>20</v>
          </cell>
          <cell r="I7048">
            <v>6540000000</v>
          </cell>
        </row>
        <row r="7049">
          <cell r="A7049" t="str">
            <v>Morocco</v>
          </cell>
          <cell r="B7049">
            <v>504</v>
          </cell>
          <cell r="C7049">
            <v>201</v>
          </cell>
          <cell r="D7049">
            <v>13</v>
          </cell>
          <cell r="E7049" t="str">
            <v>Less: Financial intermediation services indirectly measured (FISIM) (only to be deducted if FISIM is not distributed to uses)</v>
          </cell>
          <cell r="F7049">
            <v>0</v>
          </cell>
          <cell r="G7049">
            <v>1990</v>
          </cell>
          <cell r="H7049">
            <v>20</v>
          </cell>
          <cell r="I7049">
            <v>7990000000</v>
          </cell>
        </row>
        <row r="7050">
          <cell r="A7050" t="str">
            <v>Morocco</v>
          </cell>
          <cell r="B7050">
            <v>504</v>
          </cell>
          <cell r="C7050">
            <v>201</v>
          </cell>
          <cell r="D7050">
            <v>13</v>
          </cell>
          <cell r="E7050" t="str">
            <v>Less: Financial intermediation services indirectly measured (FISIM) (only to be deducted if FISIM is not distributed to uses)</v>
          </cell>
          <cell r="F7050">
            <v>0</v>
          </cell>
          <cell r="G7050">
            <v>1991</v>
          </cell>
          <cell r="H7050">
            <v>20</v>
          </cell>
          <cell r="I7050">
            <v>9640000000</v>
          </cell>
        </row>
        <row r="7051">
          <cell r="A7051" t="str">
            <v>Morocco</v>
          </cell>
          <cell r="B7051">
            <v>504</v>
          </cell>
          <cell r="C7051">
            <v>201</v>
          </cell>
          <cell r="D7051">
            <v>13</v>
          </cell>
          <cell r="E7051" t="str">
            <v>Less: Financial intermediation services indirectly measured (FISIM) (only to be deducted if FISIM is not distributed to uses)</v>
          </cell>
          <cell r="F7051">
            <v>0</v>
          </cell>
          <cell r="G7051">
            <v>1992</v>
          </cell>
          <cell r="H7051">
            <v>20</v>
          </cell>
          <cell r="I7051">
            <v>10940000000</v>
          </cell>
        </row>
        <row r="7052">
          <cell r="A7052" t="str">
            <v>Morocco</v>
          </cell>
          <cell r="B7052">
            <v>504</v>
          </cell>
          <cell r="C7052">
            <v>201</v>
          </cell>
          <cell r="D7052">
            <v>13</v>
          </cell>
          <cell r="E7052" t="str">
            <v>Less: Financial intermediation services indirectly measured (FISIM) (only to be deducted if FISIM is not distributed to uses)</v>
          </cell>
          <cell r="F7052">
            <v>0</v>
          </cell>
          <cell r="G7052">
            <v>1993</v>
          </cell>
          <cell r="H7052">
            <v>20</v>
          </cell>
          <cell r="I7052">
            <v>11510000000</v>
          </cell>
        </row>
        <row r="7053">
          <cell r="A7053" t="str">
            <v>Morocco</v>
          </cell>
          <cell r="B7053">
            <v>504</v>
          </cell>
          <cell r="C7053">
            <v>201</v>
          </cell>
          <cell r="D7053">
            <v>13</v>
          </cell>
          <cell r="E7053" t="str">
            <v>Less: Financial intermediation services indirectly measured (FISIM) (only to be deducted if FISIM is not distributed to uses)</v>
          </cell>
          <cell r="F7053">
            <v>0</v>
          </cell>
          <cell r="G7053">
            <v>1994</v>
          </cell>
          <cell r="H7053">
            <v>20</v>
          </cell>
          <cell r="I7053">
            <v>11437000000</v>
          </cell>
        </row>
        <row r="7054">
          <cell r="A7054" t="str">
            <v>Morocco</v>
          </cell>
          <cell r="B7054">
            <v>504</v>
          </cell>
          <cell r="C7054">
            <v>201</v>
          </cell>
          <cell r="D7054">
            <v>13</v>
          </cell>
          <cell r="E7054" t="str">
            <v>Less: Financial intermediation services indirectly measured (FISIM) (only to be deducted if FISIM is not distributed to uses)</v>
          </cell>
          <cell r="F7054">
            <v>0</v>
          </cell>
          <cell r="G7054">
            <v>1995</v>
          </cell>
          <cell r="H7054">
            <v>20</v>
          </cell>
          <cell r="I7054">
            <v>13218000000</v>
          </cell>
        </row>
        <row r="7055">
          <cell r="A7055" t="str">
            <v>Morocco</v>
          </cell>
          <cell r="B7055">
            <v>504</v>
          </cell>
          <cell r="C7055">
            <v>201</v>
          </cell>
          <cell r="D7055">
            <v>13</v>
          </cell>
          <cell r="E7055" t="str">
            <v>Less: Financial intermediation services indirectly measured (FISIM) (only to be deducted if FISIM is not distributed to uses)</v>
          </cell>
          <cell r="F7055">
            <v>0</v>
          </cell>
          <cell r="G7055">
            <v>1996</v>
          </cell>
          <cell r="H7055">
            <v>20</v>
          </cell>
          <cell r="I7055">
            <v>13463000000</v>
          </cell>
        </row>
        <row r="7056">
          <cell r="A7056" t="str">
            <v>Morocco</v>
          </cell>
          <cell r="B7056">
            <v>504</v>
          </cell>
          <cell r="C7056">
            <v>201</v>
          </cell>
          <cell r="D7056">
            <v>13</v>
          </cell>
          <cell r="E7056" t="str">
            <v>Less: Financial intermediation services indirectly measured (FISIM) (only to be deducted if FISIM is not distributed to uses)</v>
          </cell>
          <cell r="F7056">
            <v>0</v>
          </cell>
          <cell r="G7056">
            <v>1997</v>
          </cell>
          <cell r="H7056">
            <v>20</v>
          </cell>
          <cell r="I7056">
            <v>13850000000</v>
          </cell>
        </row>
        <row r="7057">
          <cell r="A7057" t="str">
            <v>Morocco</v>
          </cell>
          <cell r="B7057">
            <v>504</v>
          </cell>
          <cell r="C7057">
            <v>201</v>
          </cell>
          <cell r="D7057">
            <v>13</v>
          </cell>
          <cell r="E7057" t="str">
            <v>Less: Financial intermediation services indirectly measured (FISIM) (only to be deducted if FISIM is not distributed to uses)</v>
          </cell>
          <cell r="F7057">
            <v>0</v>
          </cell>
          <cell r="G7057">
            <v>1998</v>
          </cell>
          <cell r="H7057">
            <v>20</v>
          </cell>
          <cell r="I7057">
            <v>14144000000</v>
          </cell>
        </row>
        <row r="7058">
          <cell r="A7058" t="str">
            <v>Morocco</v>
          </cell>
          <cell r="B7058">
            <v>504</v>
          </cell>
          <cell r="C7058">
            <v>201</v>
          </cell>
          <cell r="D7058">
            <v>13</v>
          </cell>
          <cell r="E7058" t="str">
            <v>Less: Financial intermediation services indirectly measured (FISIM) (only to be deducted if FISIM is not distributed to uses)</v>
          </cell>
          <cell r="F7058">
            <v>0</v>
          </cell>
          <cell r="G7058">
            <v>1999</v>
          </cell>
          <cell r="H7058">
            <v>20</v>
          </cell>
          <cell r="I7058">
            <v>15495000000</v>
          </cell>
        </row>
        <row r="7059">
          <cell r="A7059" t="str">
            <v>Morocco</v>
          </cell>
          <cell r="B7059">
            <v>504</v>
          </cell>
          <cell r="C7059">
            <v>201</v>
          </cell>
          <cell r="D7059">
            <v>13</v>
          </cell>
          <cell r="E7059" t="str">
            <v>Less: Financial intermediation services indirectly measured (FISIM) (only to be deducted if FISIM is not distributed to uses)</v>
          </cell>
          <cell r="F7059">
            <v>0</v>
          </cell>
          <cell r="G7059">
            <v>2000</v>
          </cell>
          <cell r="H7059">
            <v>20</v>
          </cell>
          <cell r="I7059">
            <v>17187000000</v>
          </cell>
        </row>
        <row r="7060">
          <cell r="A7060" t="str">
            <v>Morocco</v>
          </cell>
          <cell r="B7060">
            <v>504</v>
          </cell>
          <cell r="C7060">
            <v>201</v>
          </cell>
          <cell r="D7060">
            <v>13</v>
          </cell>
          <cell r="E7060" t="str">
            <v>Less: Financial intermediation services indirectly measured (FISIM) (only to be deducted if FISIM is not distributed to uses)</v>
          </cell>
          <cell r="F7060">
            <v>0</v>
          </cell>
          <cell r="G7060">
            <v>2001</v>
          </cell>
          <cell r="H7060">
            <v>20</v>
          </cell>
          <cell r="I7060">
            <v>18184000000</v>
          </cell>
        </row>
        <row r="7061">
          <cell r="A7061" t="str">
            <v>Morocco</v>
          </cell>
          <cell r="B7061">
            <v>504</v>
          </cell>
          <cell r="C7061">
            <v>201</v>
          </cell>
          <cell r="D7061">
            <v>13</v>
          </cell>
          <cell r="E7061" t="str">
            <v>Less: Financial intermediation services indirectly measured (FISIM) (only to be deducted if FISIM is not distributed to uses)</v>
          </cell>
          <cell r="F7061">
            <v>0</v>
          </cell>
          <cell r="G7061">
            <v>2002</v>
          </cell>
          <cell r="H7061">
            <v>20</v>
          </cell>
          <cell r="I7061">
            <v>19092000000</v>
          </cell>
        </row>
        <row r="7062">
          <cell r="A7062" t="str">
            <v>Morocco</v>
          </cell>
          <cell r="B7062">
            <v>504</v>
          </cell>
          <cell r="C7062">
            <v>201</v>
          </cell>
          <cell r="D7062">
            <v>13</v>
          </cell>
          <cell r="E7062" t="str">
            <v>Less: Financial intermediation services indirectly measured (FISIM) (only to be deducted if FISIM is not distributed to uses)</v>
          </cell>
          <cell r="F7062">
            <v>0</v>
          </cell>
          <cell r="G7062">
            <v>2003</v>
          </cell>
          <cell r="H7062">
            <v>20</v>
          </cell>
          <cell r="I7062">
            <v>20810000000</v>
          </cell>
        </row>
        <row r="7063">
          <cell r="A7063" t="str">
            <v>Namibia</v>
          </cell>
          <cell r="B7063">
            <v>516</v>
          </cell>
          <cell r="C7063">
            <v>201</v>
          </cell>
          <cell r="D7063">
            <v>13</v>
          </cell>
          <cell r="E7063" t="str">
            <v>Less: Financial intermediation services indirectly measured (FISIM) (only to be deducted if FISIM is not distributed to uses)</v>
          </cell>
          <cell r="F7063">
            <v>0</v>
          </cell>
          <cell r="G7063">
            <v>1990</v>
          </cell>
          <cell r="H7063">
            <v>100</v>
          </cell>
          <cell r="I7063">
            <v>158000000</v>
          </cell>
        </row>
        <row r="7064">
          <cell r="A7064" t="str">
            <v>Namibia</v>
          </cell>
          <cell r="B7064">
            <v>516</v>
          </cell>
          <cell r="C7064">
            <v>201</v>
          </cell>
          <cell r="D7064">
            <v>13</v>
          </cell>
          <cell r="E7064" t="str">
            <v>Less: Financial intermediation services indirectly measured (FISIM) (only to be deducted if FISIM is not distributed to uses)</v>
          </cell>
          <cell r="F7064">
            <v>0</v>
          </cell>
          <cell r="G7064">
            <v>1991</v>
          </cell>
          <cell r="H7064">
            <v>100</v>
          </cell>
          <cell r="I7064">
            <v>224000000</v>
          </cell>
        </row>
        <row r="7065">
          <cell r="A7065" t="str">
            <v>Namibia</v>
          </cell>
          <cell r="B7065">
            <v>516</v>
          </cell>
          <cell r="C7065">
            <v>201</v>
          </cell>
          <cell r="D7065">
            <v>13</v>
          </cell>
          <cell r="E7065" t="str">
            <v>Less: Financial intermediation services indirectly measured (FISIM) (only to be deducted if FISIM is not distributed to uses)</v>
          </cell>
          <cell r="F7065">
            <v>0</v>
          </cell>
          <cell r="G7065">
            <v>1992</v>
          </cell>
          <cell r="H7065">
            <v>100</v>
          </cell>
          <cell r="I7065">
            <v>254000000</v>
          </cell>
        </row>
        <row r="7066">
          <cell r="A7066" t="str">
            <v>Namibia</v>
          </cell>
          <cell r="B7066">
            <v>516</v>
          </cell>
          <cell r="C7066">
            <v>201</v>
          </cell>
          <cell r="D7066">
            <v>13</v>
          </cell>
          <cell r="E7066" t="str">
            <v>Less: Financial intermediation services indirectly measured (FISIM) (only to be deducted if FISIM is not distributed to uses)</v>
          </cell>
          <cell r="F7066">
            <v>0</v>
          </cell>
          <cell r="G7066">
            <v>1993</v>
          </cell>
          <cell r="H7066">
            <v>100</v>
          </cell>
          <cell r="I7066">
            <v>92000000</v>
          </cell>
        </row>
        <row r="7067">
          <cell r="A7067" t="str">
            <v>Ireland</v>
          </cell>
          <cell r="B7067">
            <v>372</v>
          </cell>
          <cell r="C7067">
            <v>203</v>
          </cell>
          <cell r="D7067">
            <v>22</v>
          </cell>
          <cell r="E7067" t="str">
            <v>Taxes on production and imports, less Subsidies</v>
          </cell>
          <cell r="F7067">
            <v>12</v>
          </cell>
          <cell r="G7067">
            <v>1980</v>
          </cell>
          <cell r="H7067">
            <v>30</v>
          </cell>
          <cell r="I7067">
            <v>700000</v>
          </cell>
        </row>
        <row r="7068">
          <cell r="A7068" t="str">
            <v>Ireland</v>
          </cell>
          <cell r="B7068">
            <v>372</v>
          </cell>
          <cell r="C7068">
            <v>203</v>
          </cell>
          <cell r="D7068">
            <v>22</v>
          </cell>
          <cell r="E7068" t="str">
            <v>Taxes on production and imports, less Subsidies</v>
          </cell>
          <cell r="F7068">
            <v>12</v>
          </cell>
          <cell r="G7068">
            <v>1981</v>
          </cell>
          <cell r="H7068">
            <v>30</v>
          </cell>
          <cell r="I7068">
            <v>68800000</v>
          </cell>
        </row>
        <row r="7069">
          <cell r="A7069" t="str">
            <v>Ireland</v>
          </cell>
          <cell r="B7069">
            <v>372</v>
          </cell>
          <cell r="C7069">
            <v>203</v>
          </cell>
          <cell r="D7069">
            <v>22</v>
          </cell>
          <cell r="E7069" t="str">
            <v>Taxes on production and imports, less Subsidies</v>
          </cell>
          <cell r="F7069">
            <v>12</v>
          </cell>
          <cell r="G7069">
            <v>1982</v>
          </cell>
          <cell r="H7069">
            <v>30</v>
          </cell>
          <cell r="I7069">
            <v>30900000</v>
          </cell>
        </row>
        <row r="7070">
          <cell r="A7070" t="str">
            <v>Ireland</v>
          </cell>
          <cell r="B7070">
            <v>372</v>
          </cell>
          <cell r="C7070">
            <v>203</v>
          </cell>
          <cell r="D7070">
            <v>22</v>
          </cell>
          <cell r="E7070" t="str">
            <v>Taxes on production and imports, less Subsidies</v>
          </cell>
          <cell r="F7070">
            <v>12</v>
          </cell>
          <cell r="G7070">
            <v>1983</v>
          </cell>
          <cell r="H7070">
            <v>30</v>
          </cell>
          <cell r="I7070">
            <v>36300000</v>
          </cell>
        </row>
        <row r="7071">
          <cell r="A7071" t="str">
            <v>Ireland</v>
          </cell>
          <cell r="B7071">
            <v>372</v>
          </cell>
          <cell r="C7071">
            <v>203</v>
          </cell>
          <cell r="D7071">
            <v>22</v>
          </cell>
          <cell r="E7071" t="str">
            <v>Taxes on production and imports, less Subsidies</v>
          </cell>
          <cell r="F7071">
            <v>12</v>
          </cell>
          <cell r="G7071">
            <v>1984</v>
          </cell>
          <cell r="H7071">
            <v>30</v>
          </cell>
          <cell r="I7071">
            <v>-91200000</v>
          </cell>
        </row>
        <row r="7072">
          <cell r="A7072" t="str">
            <v>Ireland</v>
          </cell>
          <cell r="B7072">
            <v>372</v>
          </cell>
          <cell r="C7072">
            <v>203</v>
          </cell>
          <cell r="D7072">
            <v>22</v>
          </cell>
          <cell r="E7072" t="str">
            <v>Taxes on production and imports, less Subsidies</v>
          </cell>
          <cell r="F7072">
            <v>12</v>
          </cell>
          <cell r="G7072">
            <v>1985</v>
          </cell>
          <cell r="H7072">
            <v>30</v>
          </cell>
          <cell r="I7072">
            <v>-231000000</v>
          </cell>
        </row>
        <row r="7073">
          <cell r="A7073" t="str">
            <v>Ireland</v>
          </cell>
          <cell r="B7073">
            <v>372</v>
          </cell>
          <cell r="C7073">
            <v>203</v>
          </cell>
          <cell r="D7073">
            <v>22</v>
          </cell>
          <cell r="E7073" t="str">
            <v>Taxes on production and imports, less Subsidies</v>
          </cell>
          <cell r="F7073">
            <v>12</v>
          </cell>
          <cell r="G7073">
            <v>1986</v>
          </cell>
          <cell r="H7073">
            <v>30</v>
          </cell>
          <cell r="I7073">
            <v>-241400000</v>
          </cell>
        </row>
        <row r="7074">
          <cell r="A7074" t="str">
            <v>Ireland</v>
          </cell>
          <cell r="B7074">
            <v>372</v>
          </cell>
          <cell r="C7074">
            <v>203</v>
          </cell>
          <cell r="D7074">
            <v>22</v>
          </cell>
          <cell r="E7074" t="str">
            <v>Taxes on production and imports, less Subsidies</v>
          </cell>
          <cell r="F7074">
            <v>12</v>
          </cell>
          <cell r="G7074">
            <v>1986</v>
          </cell>
          <cell r="H7074">
            <v>40</v>
          </cell>
          <cell r="I7074">
            <v>-56800000</v>
          </cell>
        </row>
        <row r="7075">
          <cell r="A7075" t="str">
            <v>Ireland</v>
          </cell>
          <cell r="B7075">
            <v>372</v>
          </cell>
          <cell r="C7075">
            <v>203</v>
          </cell>
          <cell r="D7075">
            <v>22</v>
          </cell>
          <cell r="E7075" t="str">
            <v>Taxes on production and imports, less Subsidies</v>
          </cell>
          <cell r="F7075">
            <v>12</v>
          </cell>
          <cell r="G7075">
            <v>1987</v>
          </cell>
          <cell r="H7075">
            <v>40</v>
          </cell>
          <cell r="I7075">
            <v>-5800000</v>
          </cell>
        </row>
        <row r="7076">
          <cell r="A7076" t="str">
            <v>Ireland</v>
          </cell>
          <cell r="B7076">
            <v>372</v>
          </cell>
          <cell r="C7076">
            <v>203</v>
          </cell>
          <cell r="D7076">
            <v>22</v>
          </cell>
          <cell r="E7076" t="str">
            <v>Taxes on production and imports, less Subsidies</v>
          </cell>
          <cell r="F7076">
            <v>12</v>
          </cell>
          <cell r="G7076">
            <v>1988</v>
          </cell>
          <cell r="H7076">
            <v>40</v>
          </cell>
          <cell r="I7076">
            <v>-201300000</v>
          </cell>
        </row>
        <row r="7077">
          <cell r="A7077" t="str">
            <v>Ireland</v>
          </cell>
          <cell r="B7077">
            <v>372</v>
          </cell>
          <cell r="C7077">
            <v>203</v>
          </cell>
          <cell r="D7077">
            <v>22</v>
          </cell>
          <cell r="E7077" t="str">
            <v>Taxes on production and imports, less Subsidies</v>
          </cell>
          <cell r="F7077">
            <v>12</v>
          </cell>
          <cell r="G7077">
            <v>1989</v>
          </cell>
          <cell r="H7077">
            <v>40</v>
          </cell>
          <cell r="I7077">
            <v>379800000</v>
          </cell>
        </row>
        <row r="7078">
          <cell r="A7078" t="str">
            <v>Ireland</v>
          </cell>
          <cell r="B7078">
            <v>372</v>
          </cell>
          <cell r="C7078">
            <v>203</v>
          </cell>
          <cell r="D7078">
            <v>22</v>
          </cell>
          <cell r="E7078" t="str">
            <v>Taxes on production and imports, less Subsidies</v>
          </cell>
          <cell r="F7078">
            <v>12</v>
          </cell>
          <cell r="G7078">
            <v>1990</v>
          </cell>
          <cell r="H7078">
            <v>40</v>
          </cell>
          <cell r="I7078">
            <v>-35400000</v>
          </cell>
        </row>
        <row r="7079">
          <cell r="A7079" t="str">
            <v>Namibia</v>
          </cell>
          <cell r="B7079">
            <v>516</v>
          </cell>
          <cell r="C7079">
            <v>201</v>
          </cell>
          <cell r="D7079">
            <v>13</v>
          </cell>
          <cell r="E7079" t="str">
            <v>Less: Financial intermediation services indirectly measured (FISIM) (only to be deducted if FISIM is not distributed to uses)</v>
          </cell>
          <cell r="F7079">
            <v>0</v>
          </cell>
          <cell r="G7079">
            <v>1994</v>
          </cell>
          <cell r="H7079">
            <v>100</v>
          </cell>
          <cell r="I7079">
            <v>87000000</v>
          </cell>
        </row>
        <row r="7080">
          <cell r="A7080" t="str">
            <v>Namibia</v>
          </cell>
          <cell r="B7080">
            <v>516</v>
          </cell>
          <cell r="C7080">
            <v>201</v>
          </cell>
          <cell r="D7080">
            <v>13</v>
          </cell>
          <cell r="E7080" t="str">
            <v>Less: Financial intermediation services indirectly measured (FISIM) (only to be deducted if FISIM is not distributed to uses)</v>
          </cell>
          <cell r="F7080">
            <v>0</v>
          </cell>
          <cell r="G7080">
            <v>1995</v>
          </cell>
          <cell r="H7080">
            <v>100</v>
          </cell>
          <cell r="I7080">
            <v>109000000</v>
          </cell>
        </row>
        <row r="7081">
          <cell r="A7081" t="str">
            <v>Namibia</v>
          </cell>
          <cell r="B7081">
            <v>516</v>
          </cell>
          <cell r="C7081">
            <v>201</v>
          </cell>
          <cell r="D7081">
            <v>13</v>
          </cell>
          <cell r="E7081" t="str">
            <v>Less: Financial intermediation services indirectly measured (FISIM) (only to be deducted if FISIM is not distributed to uses)</v>
          </cell>
          <cell r="F7081">
            <v>0</v>
          </cell>
          <cell r="G7081">
            <v>1996</v>
          </cell>
          <cell r="H7081">
            <v>100</v>
          </cell>
          <cell r="I7081">
            <v>162000000</v>
          </cell>
        </row>
        <row r="7082">
          <cell r="A7082" t="str">
            <v>Namibia</v>
          </cell>
          <cell r="B7082">
            <v>516</v>
          </cell>
          <cell r="C7082">
            <v>201</v>
          </cell>
          <cell r="D7082">
            <v>13</v>
          </cell>
          <cell r="E7082" t="str">
            <v>Less: Financial intermediation services indirectly measured (FISIM) (only to be deducted if FISIM is not distributed to uses)</v>
          </cell>
          <cell r="F7082">
            <v>0</v>
          </cell>
          <cell r="G7082">
            <v>1997</v>
          </cell>
          <cell r="H7082">
            <v>100</v>
          </cell>
          <cell r="I7082">
            <v>209000000</v>
          </cell>
        </row>
        <row r="7083">
          <cell r="A7083" t="str">
            <v>Namibia</v>
          </cell>
          <cell r="B7083">
            <v>516</v>
          </cell>
          <cell r="C7083">
            <v>201</v>
          </cell>
          <cell r="D7083">
            <v>13</v>
          </cell>
          <cell r="E7083" t="str">
            <v>Less: Financial intermediation services indirectly measured (FISIM) (only to be deducted if FISIM is not distributed to uses)</v>
          </cell>
          <cell r="F7083">
            <v>0</v>
          </cell>
          <cell r="G7083">
            <v>1998</v>
          </cell>
          <cell r="H7083">
            <v>100</v>
          </cell>
          <cell r="I7083">
            <v>216000000</v>
          </cell>
        </row>
        <row r="7084">
          <cell r="A7084" t="str">
            <v>Namibia</v>
          </cell>
          <cell r="B7084">
            <v>516</v>
          </cell>
          <cell r="C7084">
            <v>201</v>
          </cell>
          <cell r="D7084">
            <v>13</v>
          </cell>
          <cell r="E7084" t="str">
            <v>Less: Financial intermediation services indirectly measured (FISIM) (only to be deducted if FISIM is not distributed to uses)</v>
          </cell>
          <cell r="F7084">
            <v>0</v>
          </cell>
          <cell r="G7084">
            <v>1999</v>
          </cell>
          <cell r="H7084">
            <v>100</v>
          </cell>
          <cell r="I7084">
            <v>259000000</v>
          </cell>
        </row>
        <row r="7085">
          <cell r="A7085" t="str">
            <v>Namibia</v>
          </cell>
          <cell r="B7085">
            <v>516</v>
          </cell>
          <cell r="C7085">
            <v>201</v>
          </cell>
          <cell r="D7085">
            <v>13</v>
          </cell>
          <cell r="E7085" t="str">
            <v>Less: Financial intermediation services indirectly measured (FISIM) (only to be deducted if FISIM is not distributed to uses)</v>
          </cell>
          <cell r="F7085">
            <v>0</v>
          </cell>
          <cell r="G7085">
            <v>2000</v>
          </cell>
          <cell r="H7085">
            <v>100</v>
          </cell>
          <cell r="I7085">
            <v>273000000</v>
          </cell>
        </row>
        <row r="7086">
          <cell r="A7086" t="str">
            <v>Namibia</v>
          </cell>
          <cell r="B7086">
            <v>516</v>
          </cell>
          <cell r="C7086">
            <v>201</v>
          </cell>
          <cell r="D7086">
            <v>13</v>
          </cell>
          <cell r="E7086" t="str">
            <v>Less: Financial intermediation services indirectly measured (FISIM) (only to be deducted if FISIM is not distributed to uses)</v>
          </cell>
          <cell r="F7086">
            <v>0</v>
          </cell>
          <cell r="G7086">
            <v>2001</v>
          </cell>
          <cell r="H7086">
            <v>100</v>
          </cell>
          <cell r="I7086">
            <v>328000000</v>
          </cell>
        </row>
        <row r="7087">
          <cell r="A7087" t="str">
            <v>Cote d'Ivoire</v>
          </cell>
          <cell r="B7087">
            <v>384</v>
          </cell>
          <cell r="C7087">
            <v>201</v>
          </cell>
          <cell r="D7087">
            <v>13</v>
          </cell>
          <cell r="E7087" t="str">
            <v>Less: Financial intermediation services indirectly measured (FISIM) (only to be deducted if FISIM is not distributed to uses)</v>
          </cell>
          <cell r="F7087">
            <v>0</v>
          </cell>
          <cell r="G7087">
            <v>1970</v>
          </cell>
          <cell r="H7087">
            <v>10</v>
          </cell>
          <cell r="I7087">
            <v>5125000000</v>
          </cell>
        </row>
        <row r="7088">
          <cell r="A7088" t="str">
            <v>Cote d'Ivoire</v>
          </cell>
          <cell r="B7088">
            <v>384</v>
          </cell>
          <cell r="C7088">
            <v>201</v>
          </cell>
          <cell r="D7088">
            <v>13</v>
          </cell>
          <cell r="E7088" t="str">
            <v>Less: Financial intermediation services indirectly measured (FISIM) (only to be deducted if FISIM is not distributed to uses)</v>
          </cell>
          <cell r="F7088">
            <v>0</v>
          </cell>
          <cell r="G7088">
            <v>1971</v>
          </cell>
          <cell r="H7088">
            <v>10</v>
          </cell>
          <cell r="I7088">
            <v>6345000000</v>
          </cell>
        </row>
        <row r="7089">
          <cell r="A7089" t="str">
            <v>Cote d'Ivoire</v>
          </cell>
          <cell r="B7089">
            <v>384</v>
          </cell>
          <cell r="C7089">
            <v>201</v>
          </cell>
          <cell r="D7089">
            <v>13</v>
          </cell>
          <cell r="E7089" t="str">
            <v>Less: Financial intermediation services indirectly measured (FISIM) (only to be deducted if FISIM is not distributed to uses)</v>
          </cell>
          <cell r="F7089">
            <v>0</v>
          </cell>
          <cell r="G7089">
            <v>1972</v>
          </cell>
          <cell r="H7089">
            <v>10</v>
          </cell>
          <cell r="I7089">
            <v>8123000000</v>
          </cell>
        </row>
        <row r="7090">
          <cell r="A7090" t="str">
            <v>Cote d'Ivoire</v>
          </cell>
          <cell r="B7090">
            <v>384</v>
          </cell>
          <cell r="C7090">
            <v>201</v>
          </cell>
          <cell r="D7090">
            <v>13</v>
          </cell>
          <cell r="E7090" t="str">
            <v>Less: Financial intermediation services indirectly measured (FISIM) (only to be deducted if FISIM is not distributed to uses)</v>
          </cell>
          <cell r="F7090">
            <v>0</v>
          </cell>
          <cell r="G7090">
            <v>1973</v>
          </cell>
          <cell r="H7090">
            <v>10</v>
          </cell>
          <cell r="I7090">
            <v>10405000000</v>
          </cell>
        </row>
        <row r="7091">
          <cell r="A7091" t="str">
            <v>Cote d'Ivoire</v>
          </cell>
          <cell r="B7091">
            <v>384</v>
          </cell>
          <cell r="C7091">
            <v>201</v>
          </cell>
          <cell r="D7091">
            <v>13</v>
          </cell>
          <cell r="E7091" t="str">
            <v>Less: Financial intermediation services indirectly measured (FISIM) (only to be deducted if FISIM is not distributed to uses)</v>
          </cell>
          <cell r="F7091">
            <v>0</v>
          </cell>
          <cell r="G7091">
            <v>1974</v>
          </cell>
          <cell r="H7091">
            <v>10</v>
          </cell>
          <cell r="I7091">
            <v>11332000000</v>
          </cell>
        </row>
        <row r="7092">
          <cell r="A7092" t="str">
            <v>Cote d'Ivoire</v>
          </cell>
          <cell r="B7092">
            <v>384</v>
          </cell>
          <cell r="C7092">
            <v>201</v>
          </cell>
          <cell r="D7092">
            <v>13</v>
          </cell>
          <cell r="E7092" t="str">
            <v>Less: Financial intermediation services indirectly measured (FISIM) (only to be deducted if FISIM is not distributed to uses)</v>
          </cell>
          <cell r="F7092">
            <v>0</v>
          </cell>
          <cell r="G7092">
            <v>1975</v>
          </cell>
          <cell r="H7092">
            <v>10</v>
          </cell>
          <cell r="I7092">
            <v>14821000000</v>
          </cell>
        </row>
        <row r="7093">
          <cell r="A7093" t="str">
            <v>Cote d'Ivoire</v>
          </cell>
          <cell r="B7093">
            <v>384</v>
          </cell>
          <cell r="C7093">
            <v>201</v>
          </cell>
          <cell r="D7093">
            <v>13</v>
          </cell>
          <cell r="E7093" t="str">
            <v>Less: Financial intermediation services indirectly measured (FISIM) (only to be deducted if FISIM is not distributed to uses)</v>
          </cell>
          <cell r="F7093">
            <v>0</v>
          </cell>
          <cell r="G7093">
            <v>1976</v>
          </cell>
          <cell r="H7093">
            <v>10</v>
          </cell>
          <cell r="I7093">
            <v>16226000000</v>
          </cell>
        </row>
        <row r="7094">
          <cell r="A7094" t="str">
            <v>Cote d'Ivoire</v>
          </cell>
          <cell r="B7094">
            <v>384</v>
          </cell>
          <cell r="C7094">
            <v>201</v>
          </cell>
          <cell r="D7094">
            <v>13</v>
          </cell>
          <cell r="E7094" t="str">
            <v>Less: Financial intermediation services indirectly measured (FISIM) (only to be deducted if FISIM is not distributed to uses)</v>
          </cell>
          <cell r="F7094">
            <v>0</v>
          </cell>
          <cell r="G7094">
            <v>1977</v>
          </cell>
          <cell r="H7094">
            <v>10</v>
          </cell>
          <cell r="I7094">
            <v>27246000000</v>
          </cell>
        </row>
        <row r="7095">
          <cell r="A7095" t="str">
            <v>Cote d'Ivoire</v>
          </cell>
          <cell r="B7095">
            <v>384</v>
          </cell>
          <cell r="C7095">
            <v>201</v>
          </cell>
          <cell r="D7095">
            <v>13</v>
          </cell>
          <cell r="E7095" t="str">
            <v>Less: Financial intermediation services indirectly measured (FISIM) (only to be deducted if FISIM is not distributed to uses)</v>
          </cell>
          <cell r="F7095">
            <v>0</v>
          </cell>
          <cell r="G7095">
            <v>1978</v>
          </cell>
          <cell r="H7095">
            <v>10</v>
          </cell>
          <cell r="I7095">
            <v>36173000000</v>
          </cell>
        </row>
        <row r="7096">
          <cell r="A7096" t="str">
            <v>Cote d'Ivoire</v>
          </cell>
          <cell r="B7096">
            <v>384</v>
          </cell>
          <cell r="C7096">
            <v>201</v>
          </cell>
          <cell r="D7096">
            <v>13</v>
          </cell>
          <cell r="E7096" t="str">
            <v>Less: Financial intermediation services indirectly measured (FISIM) (only to be deducted if FISIM is not distributed to uses)</v>
          </cell>
          <cell r="F7096">
            <v>0</v>
          </cell>
          <cell r="G7096">
            <v>1979</v>
          </cell>
          <cell r="H7096">
            <v>10</v>
          </cell>
          <cell r="I7096">
            <v>43246000000</v>
          </cell>
        </row>
        <row r="7097">
          <cell r="A7097" t="str">
            <v>Cote d'Ivoire</v>
          </cell>
          <cell r="B7097">
            <v>384</v>
          </cell>
          <cell r="C7097">
            <v>201</v>
          </cell>
          <cell r="D7097">
            <v>13</v>
          </cell>
          <cell r="E7097" t="str">
            <v>Less: Financial intermediation services indirectly measured (FISIM) (only to be deducted if FISIM is not distributed to uses)</v>
          </cell>
          <cell r="F7097">
            <v>0</v>
          </cell>
          <cell r="G7097">
            <v>1980</v>
          </cell>
          <cell r="H7097">
            <v>10</v>
          </cell>
          <cell r="I7097">
            <v>67651000000</v>
          </cell>
        </row>
        <row r="7098">
          <cell r="A7098" t="str">
            <v>Cote d'Ivoire</v>
          </cell>
          <cell r="B7098">
            <v>384</v>
          </cell>
          <cell r="C7098">
            <v>201</v>
          </cell>
          <cell r="D7098">
            <v>13</v>
          </cell>
          <cell r="E7098" t="str">
            <v>Less: Financial intermediation services indirectly measured (FISIM) (only to be deducted if FISIM is not distributed to uses)</v>
          </cell>
          <cell r="F7098">
            <v>0</v>
          </cell>
          <cell r="G7098">
            <v>1981</v>
          </cell>
          <cell r="H7098">
            <v>10</v>
          </cell>
          <cell r="I7098">
            <v>81266000000</v>
          </cell>
        </row>
        <row r="7099">
          <cell r="A7099" t="str">
            <v>Cote d'Ivoire</v>
          </cell>
          <cell r="B7099">
            <v>384</v>
          </cell>
          <cell r="C7099">
            <v>201</v>
          </cell>
          <cell r="D7099">
            <v>13</v>
          </cell>
          <cell r="E7099" t="str">
            <v>Less: Financial intermediation services indirectly measured (FISIM) (only to be deducted if FISIM is not distributed to uses)</v>
          </cell>
          <cell r="F7099">
            <v>0</v>
          </cell>
          <cell r="G7099">
            <v>1982</v>
          </cell>
          <cell r="H7099">
            <v>10</v>
          </cell>
          <cell r="I7099">
            <v>86772000000</v>
          </cell>
        </row>
        <row r="7100">
          <cell r="A7100" t="str">
            <v>Cote d'Ivoire</v>
          </cell>
          <cell r="B7100">
            <v>384</v>
          </cell>
          <cell r="C7100">
            <v>201</v>
          </cell>
          <cell r="D7100">
            <v>13</v>
          </cell>
          <cell r="E7100" t="str">
            <v>Less: Financial intermediation services indirectly measured (FISIM) (only to be deducted if FISIM is not distributed to uses)</v>
          </cell>
          <cell r="F7100">
            <v>0</v>
          </cell>
          <cell r="G7100">
            <v>1986</v>
          </cell>
          <cell r="H7100">
            <v>10</v>
          </cell>
          <cell r="I7100">
            <v>108000000000</v>
          </cell>
        </row>
        <row r="7101">
          <cell r="A7101" t="str">
            <v>Cote d'Ivoire</v>
          </cell>
          <cell r="B7101">
            <v>384</v>
          </cell>
          <cell r="C7101">
            <v>201</v>
          </cell>
          <cell r="D7101">
            <v>13</v>
          </cell>
          <cell r="E7101" t="str">
            <v>Less: Financial intermediation services indirectly measured (FISIM) (only to be deducted if FISIM is not distributed to uses)</v>
          </cell>
          <cell r="F7101">
            <v>0</v>
          </cell>
          <cell r="G7101">
            <v>1987</v>
          </cell>
          <cell r="H7101">
            <v>10</v>
          </cell>
          <cell r="I7101">
            <v>103000000000</v>
          </cell>
        </row>
        <row r="7102">
          <cell r="A7102" t="str">
            <v>Cote d'Ivoire</v>
          </cell>
          <cell r="B7102">
            <v>384</v>
          </cell>
          <cell r="C7102">
            <v>201</v>
          </cell>
          <cell r="D7102">
            <v>13</v>
          </cell>
          <cell r="E7102" t="str">
            <v>Less: Financial intermediation services indirectly measured (FISIM) (only to be deducted if FISIM is not distributed to uses)</v>
          </cell>
          <cell r="F7102">
            <v>0</v>
          </cell>
          <cell r="G7102">
            <v>1988</v>
          </cell>
          <cell r="H7102">
            <v>10</v>
          </cell>
          <cell r="I7102">
            <v>96000000000</v>
          </cell>
        </row>
        <row r="7103">
          <cell r="A7103" t="str">
            <v>Cote d'Ivoire</v>
          </cell>
          <cell r="B7103">
            <v>384</v>
          </cell>
          <cell r="C7103">
            <v>201</v>
          </cell>
          <cell r="D7103">
            <v>13</v>
          </cell>
          <cell r="E7103" t="str">
            <v>Less: Financial intermediation services indirectly measured (FISIM) (only to be deducted if FISIM is not distributed to uses)</v>
          </cell>
          <cell r="F7103">
            <v>0</v>
          </cell>
          <cell r="G7103">
            <v>1989</v>
          </cell>
          <cell r="H7103">
            <v>10</v>
          </cell>
          <cell r="I7103">
            <v>116000000000</v>
          </cell>
        </row>
        <row r="7104">
          <cell r="A7104" t="str">
            <v>Cote d'Ivoire</v>
          </cell>
          <cell r="B7104">
            <v>384</v>
          </cell>
          <cell r="C7104">
            <v>201</v>
          </cell>
          <cell r="D7104">
            <v>13</v>
          </cell>
          <cell r="E7104" t="str">
            <v>Less: Financial intermediation services indirectly measured (FISIM) (only to be deducted if FISIM is not distributed to uses)</v>
          </cell>
          <cell r="F7104">
            <v>0</v>
          </cell>
          <cell r="G7104">
            <v>1990</v>
          </cell>
          <cell r="H7104">
            <v>10</v>
          </cell>
          <cell r="I7104">
            <v>121000000000</v>
          </cell>
        </row>
        <row r="7105">
          <cell r="A7105" t="str">
            <v>Cote d'Ivoire</v>
          </cell>
          <cell r="B7105">
            <v>384</v>
          </cell>
          <cell r="C7105">
            <v>201</v>
          </cell>
          <cell r="D7105">
            <v>13</v>
          </cell>
          <cell r="E7105" t="str">
            <v>Less: Financial intermediation services indirectly measured (FISIM) (only to be deducted if FISIM is not distributed to uses)</v>
          </cell>
          <cell r="F7105">
            <v>0</v>
          </cell>
          <cell r="G7105">
            <v>1991</v>
          </cell>
          <cell r="H7105">
            <v>10</v>
          </cell>
          <cell r="I7105">
            <v>100000000000</v>
          </cell>
        </row>
        <row r="7106">
          <cell r="A7106" t="str">
            <v>Cote d'Ivoire</v>
          </cell>
          <cell r="B7106">
            <v>384</v>
          </cell>
          <cell r="C7106">
            <v>201</v>
          </cell>
          <cell r="D7106">
            <v>13</v>
          </cell>
          <cell r="E7106" t="str">
            <v>Less: Financial intermediation services indirectly measured (FISIM) (only to be deducted if FISIM is not distributed to uses)</v>
          </cell>
          <cell r="F7106">
            <v>0</v>
          </cell>
          <cell r="G7106">
            <v>1992</v>
          </cell>
          <cell r="H7106">
            <v>10</v>
          </cell>
          <cell r="I7106">
            <v>101000000000</v>
          </cell>
        </row>
        <row r="7107">
          <cell r="A7107" t="str">
            <v>Cote d'Ivoire</v>
          </cell>
          <cell r="B7107">
            <v>384</v>
          </cell>
          <cell r="C7107">
            <v>201</v>
          </cell>
          <cell r="D7107">
            <v>13</v>
          </cell>
          <cell r="E7107" t="str">
            <v>Less: Financial intermediation services indirectly measured (FISIM) (only to be deducted if FISIM is not distributed to uses)</v>
          </cell>
          <cell r="F7107">
            <v>0</v>
          </cell>
          <cell r="G7107">
            <v>1993</v>
          </cell>
          <cell r="H7107">
            <v>10</v>
          </cell>
          <cell r="I7107">
            <v>88000000000</v>
          </cell>
        </row>
        <row r="7108">
          <cell r="A7108" t="str">
            <v>Cote d'Ivoire</v>
          </cell>
          <cell r="B7108">
            <v>384</v>
          </cell>
          <cell r="C7108">
            <v>201</v>
          </cell>
          <cell r="D7108">
            <v>13</v>
          </cell>
          <cell r="E7108" t="str">
            <v>Less: Financial intermediation services indirectly measured (FISIM) (only to be deducted if FISIM is not distributed to uses)</v>
          </cell>
          <cell r="F7108">
            <v>0</v>
          </cell>
          <cell r="G7108">
            <v>1994</v>
          </cell>
          <cell r="H7108">
            <v>10</v>
          </cell>
          <cell r="I7108">
            <v>125000000000</v>
          </cell>
        </row>
        <row r="7109">
          <cell r="A7109" t="str">
            <v>Cote d'Ivoire</v>
          </cell>
          <cell r="B7109">
            <v>384</v>
          </cell>
          <cell r="C7109">
            <v>201</v>
          </cell>
          <cell r="D7109">
            <v>13</v>
          </cell>
          <cell r="E7109" t="str">
            <v>Less: Financial intermediation services indirectly measured (FISIM) (only to be deducted if FISIM is not distributed to uses)</v>
          </cell>
          <cell r="F7109">
            <v>0</v>
          </cell>
          <cell r="G7109">
            <v>1995</v>
          </cell>
          <cell r="H7109">
            <v>10</v>
          </cell>
          <cell r="I7109">
            <v>200000000000</v>
          </cell>
        </row>
        <row r="7110">
          <cell r="A7110" t="str">
            <v>Cote d'Ivoire</v>
          </cell>
          <cell r="B7110">
            <v>384</v>
          </cell>
          <cell r="C7110">
            <v>201</v>
          </cell>
          <cell r="D7110">
            <v>13</v>
          </cell>
          <cell r="E7110" t="str">
            <v>Less: Financial intermediation services indirectly measured (FISIM) (only to be deducted if FISIM is not distributed to uses)</v>
          </cell>
          <cell r="F7110">
            <v>0</v>
          </cell>
          <cell r="G7110">
            <v>1996</v>
          </cell>
          <cell r="H7110">
            <v>10</v>
          </cell>
          <cell r="I7110">
            <v>186000000000</v>
          </cell>
        </row>
        <row r="7111">
          <cell r="A7111" t="str">
            <v>Cote d'Ivoire</v>
          </cell>
          <cell r="B7111">
            <v>384</v>
          </cell>
          <cell r="C7111">
            <v>201</v>
          </cell>
          <cell r="D7111">
            <v>13</v>
          </cell>
          <cell r="E7111" t="str">
            <v>Less: Financial intermediation services indirectly measured (FISIM) (only to be deducted if FISIM is not distributed to uses)</v>
          </cell>
          <cell r="F7111">
            <v>0</v>
          </cell>
          <cell r="G7111">
            <v>1997</v>
          </cell>
          <cell r="H7111">
            <v>10</v>
          </cell>
          <cell r="I7111">
            <v>205000000000</v>
          </cell>
        </row>
        <row r="7112">
          <cell r="A7112" t="str">
            <v>Cote d'Ivoire</v>
          </cell>
          <cell r="B7112">
            <v>384</v>
          </cell>
          <cell r="C7112">
            <v>201</v>
          </cell>
          <cell r="D7112">
            <v>13</v>
          </cell>
          <cell r="E7112" t="str">
            <v>Less: Financial intermediation services indirectly measured (FISIM) (only to be deducted if FISIM is not distributed to uses)</v>
          </cell>
          <cell r="F7112">
            <v>0</v>
          </cell>
          <cell r="G7112">
            <v>1998</v>
          </cell>
          <cell r="H7112">
            <v>10</v>
          </cell>
          <cell r="I7112">
            <v>240000000000</v>
          </cell>
        </row>
        <row r="7113">
          <cell r="A7113" t="str">
            <v>Cote d'Ivoire</v>
          </cell>
          <cell r="B7113">
            <v>384</v>
          </cell>
          <cell r="C7113">
            <v>201</v>
          </cell>
          <cell r="D7113">
            <v>13</v>
          </cell>
          <cell r="E7113" t="str">
            <v>Less: Financial intermediation services indirectly measured (FISIM) (only to be deducted if FISIM is not distributed to uses)</v>
          </cell>
          <cell r="F7113">
            <v>0</v>
          </cell>
          <cell r="G7113">
            <v>1999</v>
          </cell>
          <cell r="H7113">
            <v>10</v>
          </cell>
          <cell r="I7113">
            <v>263000000000</v>
          </cell>
        </row>
        <row r="7114">
          <cell r="A7114" t="str">
            <v>Cote d'Ivoire</v>
          </cell>
          <cell r="B7114">
            <v>384</v>
          </cell>
          <cell r="C7114">
            <v>201</v>
          </cell>
          <cell r="D7114">
            <v>13</v>
          </cell>
          <cell r="E7114" t="str">
            <v>Less: Financial intermediation services indirectly measured (FISIM) (only to be deducted if FISIM is not distributed to uses)</v>
          </cell>
          <cell r="F7114">
            <v>0</v>
          </cell>
          <cell r="G7114">
            <v>2000</v>
          </cell>
          <cell r="H7114">
            <v>10</v>
          </cell>
          <cell r="I7114">
            <v>269000000000</v>
          </cell>
        </row>
        <row r="7115">
          <cell r="A7115" t="str">
            <v>Namibia</v>
          </cell>
          <cell r="B7115">
            <v>516</v>
          </cell>
          <cell r="C7115">
            <v>203</v>
          </cell>
          <cell r="D7115">
            <v>3</v>
          </cell>
          <cell r="E7115" t="str">
            <v>Equals: VALUE ADDED, GROSS, at basic prices</v>
          </cell>
          <cell r="F7115">
            <v>12</v>
          </cell>
          <cell r="G7115">
            <v>1989</v>
          </cell>
          <cell r="H7115">
            <v>100</v>
          </cell>
          <cell r="I7115">
            <v>5179000000</v>
          </cell>
        </row>
        <row r="7116">
          <cell r="A7116" t="str">
            <v>Namibia</v>
          </cell>
          <cell r="B7116">
            <v>516</v>
          </cell>
          <cell r="C7116">
            <v>203</v>
          </cell>
          <cell r="D7116">
            <v>3</v>
          </cell>
          <cell r="E7116" t="str">
            <v>Equals: VALUE ADDED, GROSS, at basic prices</v>
          </cell>
          <cell r="F7116">
            <v>12</v>
          </cell>
          <cell r="G7116">
            <v>1990</v>
          </cell>
          <cell r="H7116">
            <v>100</v>
          </cell>
          <cell r="I7116">
            <v>5479000000</v>
          </cell>
        </row>
        <row r="7117">
          <cell r="A7117" t="str">
            <v>Namibia</v>
          </cell>
          <cell r="B7117">
            <v>516</v>
          </cell>
          <cell r="C7117">
            <v>203</v>
          </cell>
          <cell r="D7117">
            <v>3</v>
          </cell>
          <cell r="E7117" t="str">
            <v>Equals: VALUE ADDED, GROSS, at basic prices</v>
          </cell>
          <cell r="F7117">
            <v>12</v>
          </cell>
          <cell r="G7117">
            <v>1991</v>
          </cell>
          <cell r="H7117">
            <v>100</v>
          </cell>
          <cell r="I7117">
            <v>6223000000</v>
          </cell>
        </row>
        <row r="7118">
          <cell r="A7118" t="str">
            <v>Namibia</v>
          </cell>
          <cell r="B7118">
            <v>516</v>
          </cell>
          <cell r="C7118">
            <v>203</v>
          </cell>
          <cell r="D7118">
            <v>3</v>
          </cell>
          <cell r="E7118" t="str">
            <v>Equals: VALUE ADDED, GROSS, at basic prices</v>
          </cell>
          <cell r="F7118">
            <v>12</v>
          </cell>
          <cell r="G7118">
            <v>1992</v>
          </cell>
          <cell r="H7118">
            <v>100</v>
          </cell>
          <cell r="I7118">
            <v>7215000000</v>
          </cell>
        </row>
        <row r="7119">
          <cell r="A7119" t="str">
            <v>Namibia</v>
          </cell>
          <cell r="B7119">
            <v>516</v>
          </cell>
          <cell r="C7119">
            <v>203</v>
          </cell>
          <cell r="D7119">
            <v>3</v>
          </cell>
          <cell r="E7119" t="str">
            <v>Equals: VALUE ADDED, GROSS, at basic prices</v>
          </cell>
          <cell r="F7119">
            <v>12</v>
          </cell>
          <cell r="G7119">
            <v>1993</v>
          </cell>
          <cell r="H7119">
            <v>100</v>
          </cell>
          <cell r="I7119">
            <v>8322000000</v>
          </cell>
        </row>
        <row r="7120">
          <cell r="A7120" t="str">
            <v>Namibia</v>
          </cell>
          <cell r="B7120">
            <v>516</v>
          </cell>
          <cell r="C7120">
            <v>203</v>
          </cell>
          <cell r="D7120">
            <v>3</v>
          </cell>
          <cell r="E7120" t="str">
            <v>Equals: VALUE ADDED, GROSS, at basic prices</v>
          </cell>
          <cell r="F7120">
            <v>12</v>
          </cell>
          <cell r="G7120">
            <v>1994</v>
          </cell>
          <cell r="H7120">
            <v>100</v>
          </cell>
          <cell r="I7120">
            <v>10337000000</v>
          </cell>
        </row>
        <row r="7121">
          <cell r="A7121" t="str">
            <v>Namibia</v>
          </cell>
          <cell r="B7121">
            <v>516</v>
          </cell>
          <cell r="C7121">
            <v>203</v>
          </cell>
          <cell r="D7121">
            <v>3</v>
          </cell>
          <cell r="E7121" t="str">
            <v>Equals: VALUE ADDED, GROSS, at basic prices</v>
          </cell>
          <cell r="F7121">
            <v>12</v>
          </cell>
          <cell r="G7121">
            <v>1995</v>
          </cell>
          <cell r="H7121">
            <v>100</v>
          </cell>
          <cell r="I7121">
            <v>11251000000</v>
          </cell>
        </row>
        <row r="7122">
          <cell r="A7122" t="str">
            <v>Namibia</v>
          </cell>
          <cell r="B7122">
            <v>516</v>
          </cell>
          <cell r="C7122">
            <v>203</v>
          </cell>
          <cell r="D7122">
            <v>3</v>
          </cell>
          <cell r="E7122" t="str">
            <v>Equals: VALUE ADDED, GROSS, at basic prices</v>
          </cell>
          <cell r="F7122">
            <v>12</v>
          </cell>
          <cell r="G7122">
            <v>1996</v>
          </cell>
          <cell r="H7122">
            <v>100</v>
          </cell>
          <cell r="I7122">
            <v>13406000000</v>
          </cell>
        </row>
        <row r="7123">
          <cell r="A7123" t="str">
            <v>Namibia</v>
          </cell>
          <cell r="B7123">
            <v>516</v>
          </cell>
          <cell r="C7123">
            <v>203</v>
          </cell>
          <cell r="D7123">
            <v>3</v>
          </cell>
          <cell r="E7123" t="str">
            <v>Equals: VALUE ADDED, GROSS, at basic prices</v>
          </cell>
          <cell r="F7123">
            <v>12</v>
          </cell>
          <cell r="G7123">
            <v>1997</v>
          </cell>
          <cell r="H7123">
            <v>100</v>
          </cell>
          <cell r="I7123">
            <v>14953000000</v>
          </cell>
        </row>
        <row r="7124">
          <cell r="A7124" t="str">
            <v>Namibia</v>
          </cell>
          <cell r="B7124">
            <v>516</v>
          </cell>
          <cell r="C7124">
            <v>203</v>
          </cell>
          <cell r="D7124">
            <v>3</v>
          </cell>
          <cell r="E7124" t="str">
            <v>Equals: VALUE ADDED, GROSS, at basic prices</v>
          </cell>
          <cell r="F7124">
            <v>12</v>
          </cell>
          <cell r="G7124">
            <v>1998</v>
          </cell>
          <cell r="H7124">
            <v>100</v>
          </cell>
          <cell r="I7124">
            <v>16752000000</v>
          </cell>
        </row>
        <row r="7125">
          <cell r="A7125" t="str">
            <v>Namibia</v>
          </cell>
          <cell r="B7125">
            <v>516</v>
          </cell>
          <cell r="C7125">
            <v>203</v>
          </cell>
          <cell r="D7125">
            <v>3</v>
          </cell>
          <cell r="E7125" t="str">
            <v>Equals: VALUE ADDED, GROSS, at basic prices</v>
          </cell>
          <cell r="F7125">
            <v>12</v>
          </cell>
          <cell r="G7125">
            <v>1999</v>
          </cell>
          <cell r="H7125">
            <v>100</v>
          </cell>
          <cell r="I7125">
            <v>18228000000</v>
          </cell>
        </row>
        <row r="7126">
          <cell r="A7126" t="str">
            <v>Namibia</v>
          </cell>
          <cell r="B7126">
            <v>516</v>
          </cell>
          <cell r="C7126">
            <v>203</v>
          </cell>
          <cell r="D7126">
            <v>3</v>
          </cell>
          <cell r="E7126" t="str">
            <v>Equals: VALUE ADDED, GROSS, at basic prices</v>
          </cell>
          <cell r="F7126">
            <v>12</v>
          </cell>
          <cell r="G7126">
            <v>2000</v>
          </cell>
          <cell r="H7126">
            <v>100</v>
          </cell>
          <cell r="I7126">
            <v>21343000000</v>
          </cell>
        </row>
        <row r="7127">
          <cell r="A7127" t="str">
            <v>Namibia</v>
          </cell>
          <cell r="B7127">
            <v>516</v>
          </cell>
          <cell r="C7127">
            <v>203</v>
          </cell>
          <cell r="D7127">
            <v>3</v>
          </cell>
          <cell r="E7127" t="str">
            <v>Equals: VALUE ADDED, GROSS, at basic prices</v>
          </cell>
          <cell r="F7127">
            <v>12</v>
          </cell>
          <cell r="G7127">
            <v>2001</v>
          </cell>
          <cell r="H7127">
            <v>100</v>
          </cell>
          <cell r="I7127">
            <v>24401000000</v>
          </cell>
        </row>
        <row r="7128">
          <cell r="A7128" t="str">
            <v>Namibia</v>
          </cell>
          <cell r="B7128">
            <v>516</v>
          </cell>
          <cell r="C7128">
            <v>203</v>
          </cell>
          <cell r="D7128">
            <v>4</v>
          </cell>
          <cell r="E7128" t="str">
            <v>Compensation of employees</v>
          </cell>
          <cell r="F7128">
            <v>12</v>
          </cell>
          <cell r="G7128">
            <v>1989</v>
          </cell>
          <cell r="H7128">
            <v>100</v>
          </cell>
          <cell r="I7128">
            <v>2143000000</v>
          </cell>
        </row>
        <row r="7129">
          <cell r="A7129" t="str">
            <v>Namibia</v>
          </cell>
          <cell r="B7129">
            <v>516</v>
          </cell>
          <cell r="C7129">
            <v>203</v>
          </cell>
          <cell r="D7129">
            <v>4</v>
          </cell>
          <cell r="E7129" t="str">
            <v>Compensation of employees</v>
          </cell>
          <cell r="F7129">
            <v>12</v>
          </cell>
          <cell r="G7129">
            <v>1990</v>
          </cell>
          <cell r="H7129">
            <v>100</v>
          </cell>
          <cell r="I7129">
            <v>2486000000</v>
          </cell>
        </row>
        <row r="7130">
          <cell r="A7130" t="str">
            <v>Namibia</v>
          </cell>
          <cell r="B7130">
            <v>516</v>
          </cell>
          <cell r="C7130">
            <v>203</v>
          </cell>
          <cell r="D7130">
            <v>4</v>
          </cell>
          <cell r="E7130" t="str">
            <v>Compensation of employees</v>
          </cell>
          <cell r="F7130">
            <v>12</v>
          </cell>
          <cell r="G7130">
            <v>1991</v>
          </cell>
          <cell r="H7130">
            <v>100</v>
          </cell>
          <cell r="I7130">
            <v>2975000000</v>
          </cell>
        </row>
        <row r="7131">
          <cell r="A7131" t="str">
            <v>Namibia</v>
          </cell>
          <cell r="B7131">
            <v>516</v>
          </cell>
          <cell r="C7131">
            <v>203</v>
          </cell>
          <cell r="D7131">
            <v>4</v>
          </cell>
          <cell r="E7131" t="str">
            <v>Compensation of employees</v>
          </cell>
          <cell r="F7131">
            <v>12</v>
          </cell>
          <cell r="G7131">
            <v>1992</v>
          </cell>
          <cell r="H7131">
            <v>100</v>
          </cell>
          <cell r="I7131">
            <v>3547000000</v>
          </cell>
        </row>
        <row r="7132">
          <cell r="A7132" t="str">
            <v>Namibia</v>
          </cell>
          <cell r="B7132">
            <v>516</v>
          </cell>
          <cell r="C7132">
            <v>203</v>
          </cell>
          <cell r="D7132">
            <v>4</v>
          </cell>
          <cell r="E7132" t="str">
            <v>Compensation of employees</v>
          </cell>
          <cell r="F7132">
            <v>12</v>
          </cell>
          <cell r="G7132">
            <v>1993</v>
          </cell>
          <cell r="H7132">
            <v>100</v>
          </cell>
          <cell r="I7132">
            <v>4093000000</v>
          </cell>
        </row>
        <row r="7133">
          <cell r="A7133" t="str">
            <v>Namibia</v>
          </cell>
          <cell r="B7133">
            <v>516</v>
          </cell>
          <cell r="C7133">
            <v>203</v>
          </cell>
          <cell r="D7133">
            <v>4</v>
          </cell>
          <cell r="E7133" t="str">
            <v>Compensation of employees</v>
          </cell>
          <cell r="F7133">
            <v>12</v>
          </cell>
          <cell r="G7133">
            <v>1994</v>
          </cell>
          <cell r="H7133">
            <v>100</v>
          </cell>
          <cell r="I7133">
            <v>4649000000</v>
          </cell>
        </row>
        <row r="7134">
          <cell r="A7134" t="str">
            <v>Namibia</v>
          </cell>
          <cell r="B7134">
            <v>516</v>
          </cell>
          <cell r="C7134">
            <v>203</v>
          </cell>
          <cell r="D7134">
            <v>4</v>
          </cell>
          <cell r="E7134" t="str">
            <v>Compensation of employees</v>
          </cell>
          <cell r="F7134">
            <v>12</v>
          </cell>
          <cell r="G7134">
            <v>1995</v>
          </cell>
          <cell r="H7134">
            <v>100</v>
          </cell>
          <cell r="I7134">
            <v>5351000000</v>
          </cell>
        </row>
        <row r="7135">
          <cell r="A7135" t="str">
            <v>Namibia</v>
          </cell>
          <cell r="B7135">
            <v>516</v>
          </cell>
          <cell r="C7135">
            <v>203</v>
          </cell>
          <cell r="D7135">
            <v>4</v>
          </cell>
          <cell r="E7135" t="str">
            <v>Compensation of employees</v>
          </cell>
          <cell r="F7135">
            <v>12</v>
          </cell>
          <cell r="G7135">
            <v>1996</v>
          </cell>
          <cell r="H7135">
            <v>100</v>
          </cell>
          <cell r="I7135">
            <v>6283000000</v>
          </cell>
        </row>
        <row r="7136">
          <cell r="A7136" t="str">
            <v>Namibia</v>
          </cell>
          <cell r="B7136">
            <v>516</v>
          </cell>
          <cell r="C7136">
            <v>203</v>
          </cell>
          <cell r="D7136">
            <v>4</v>
          </cell>
          <cell r="E7136" t="str">
            <v>Compensation of employees</v>
          </cell>
          <cell r="F7136">
            <v>12</v>
          </cell>
          <cell r="G7136">
            <v>1997</v>
          </cell>
          <cell r="H7136">
            <v>100</v>
          </cell>
          <cell r="I7136">
            <v>6990000000</v>
          </cell>
        </row>
        <row r="7137">
          <cell r="A7137" t="str">
            <v>Namibia</v>
          </cell>
          <cell r="B7137">
            <v>516</v>
          </cell>
          <cell r="C7137">
            <v>203</v>
          </cell>
          <cell r="D7137">
            <v>4</v>
          </cell>
          <cell r="E7137" t="str">
            <v>Compensation of employees</v>
          </cell>
          <cell r="F7137">
            <v>12</v>
          </cell>
          <cell r="G7137">
            <v>1998</v>
          </cell>
          <cell r="H7137">
            <v>100</v>
          </cell>
          <cell r="I7137">
            <v>7801000000</v>
          </cell>
        </row>
        <row r="7138">
          <cell r="A7138" t="str">
            <v>Namibia</v>
          </cell>
          <cell r="B7138">
            <v>516</v>
          </cell>
          <cell r="C7138">
            <v>203</v>
          </cell>
          <cell r="D7138">
            <v>4</v>
          </cell>
          <cell r="E7138" t="str">
            <v>Compensation of employees</v>
          </cell>
          <cell r="F7138">
            <v>12</v>
          </cell>
          <cell r="G7138">
            <v>1999</v>
          </cell>
          <cell r="H7138">
            <v>100</v>
          </cell>
          <cell r="I7138">
            <v>8303000000</v>
          </cell>
        </row>
        <row r="7139">
          <cell r="A7139" t="str">
            <v>Namibia</v>
          </cell>
          <cell r="B7139">
            <v>516</v>
          </cell>
          <cell r="C7139">
            <v>203</v>
          </cell>
          <cell r="D7139">
            <v>4</v>
          </cell>
          <cell r="E7139" t="str">
            <v>Compensation of employees</v>
          </cell>
          <cell r="F7139">
            <v>12</v>
          </cell>
          <cell r="G7139">
            <v>2000</v>
          </cell>
          <cell r="H7139">
            <v>100</v>
          </cell>
          <cell r="I7139">
            <v>9340000000</v>
          </cell>
        </row>
        <row r="7140">
          <cell r="A7140" t="str">
            <v>Namibia</v>
          </cell>
          <cell r="B7140">
            <v>516</v>
          </cell>
          <cell r="C7140">
            <v>203</v>
          </cell>
          <cell r="D7140">
            <v>4</v>
          </cell>
          <cell r="E7140" t="str">
            <v>Compensation of employees</v>
          </cell>
          <cell r="F7140">
            <v>12</v>
          </cell>
          <cell r="G7140">
            <v>2001</v>
          </cell>
          <cell r="H7140">
            <v>100</v>
          </cell>
          <cell r="I7140">
            <v>10420000000</v>
          </cell>
        </row>
        <row r="7141">
          <cell r="A7141" t="str">
            <v>Cote d'Ivoire</v>
          </cell>
          <cell r="B7141">
            <v>384</v>
          </cell>
          <cell r="C7141">
            <v>203</v>
          </cell>
          <cell r="D7141">
            <v>3</v>
          </cell>
          <cell r="E7141" t="str">
            <v>Equals: VALUE ADDED, GROSS, at basic prices</v>
          </cell>
          <cell r="F7141">
            <v>12</v>
          </cell>
          <cell r="G7141">
            <v>1974</v>
          </cell>
          <cell r="H7141">
            <v>10</v>
          </cell>
          <cell r="I7141">
            <v>698919000000</v>
          </cell>
        </row>
        <row r="7142">
          <cell r="A7142" t="str">
            <v>Cote d'Ivoire</v>
          </cell>
          <cell r="B7142">
            <v>384</v>
          </cell>
          <cell r="C7142">
            <v>203</v>
          </cell>
          <cell r="D7142">
            <v>3</v>
          </cell>
          <cell r="E7142" t="str">
            <v>Equals: VALUE ADDED, GROSS, at basic prices</v>
          </cell>
          <cell r="F7142">
            <v>12</v>
          </cell>
          <cell r="G7142">
            <v>1975</v>
          </cell>
          <cell r="H7142">
            <v>10</v>
          </cell>
          <cell r="I7142">
            <v>792078000000</v>
          </cell>
        </row>
        <row r="7143">
          <cell r="A7143" t="str">
            <v>Cote d'Ivoire</v>
          </cell>
          <cell r="B7143">
            <v>384</v>
          </cell>
          <cell r="C7143">
            <v>203</v>
          </cell>
          <cell r="D7143">
            <v>3</v>
          </cell>
          <cell r="E7143" t="str">
            <v>Equals: VALUE ADDED, GROSS, at basic prices</v>
          </cell>
          <cell r="F7143">
            <v>12</v>
          </cell>
          <cell r="G7143">
            <v>1976</v>
          </cell>
          <cell r="H7143">
            <v>10</v>
          </cell>
          <cell r="I7143">
            <v>1041545000000</v>
          </cell>
        </row>
        <row r="7144">
          <cell r="A7144" t="str">
            <v>Cote d'Ivoire</v>
          </cell>
          <cell r="B7144">
            <v>384</v>
          </cell>
          <cell r="C7144">
            <v>203</v>
          </cell>
          <cell r="D7144">
            <v>3</v>
          </cell>
          <cell r="E7144" t="str">
            <v>Equals: VALUE ADDED, GROSS, at basic prices</v>
          </cell>
          <cell r="F7144">
            <v>12</v>
          </cell>
          <cell r="G7144">
            <v>1977</v>
          </cell>
          <cell r="H7144">
            <v>10</v>
          </cell>
          <cell r="I7144">
            <v>1449296000000</v>
          </cell>
        </row>
        <row r="7145">
          <cell r="A7145" t="str">
            <v>Cote d'Ivoire</v>
          </cell>
          <cell r="B7145">
            <v>384</v>
          </cell>
          <cell r="C7145">
            <v>203</v>
          </cell>
          <cell r="D7145">
            <v>3</v>
          </cell>
          <cell r="E7145" t="str">
            <v>Equals: VALUE ADDED, GROSS, at basic prices</v>
          </cell>
          <cell r="F7145">
            <v>12</v>
          </cell>
          <cell r="G7145">
            <v>1978</v>
          </cell>
          <cell r="H7145">
            <v>10</v>
          </cell>
          <cell r="I7145">
            <v>1693472000000</v>
          </cell>
        </row>
        <row r="7146">
          <cell r="A7146" t="str">
            <v>Cote d'Ivoire</v>
          </cell>
          <cell r="B7146">
            <v>384</v>
          </cell>
          <cell r="C7146">
            <v>203</v>
          </cell>
          <cell r="D7146">
            <v>3</v>
          </cell>
          <cell r="E7146" t="str">
            <v>Equals: VALUE ADDED, GROSS, at basic prices</v>
          </cell>
          <cell r="F7146">
            <v>12</v>
          </cell>
          <cell r="G7146">
            <v>1979</v>
          </cell>
          <cell r="H7146">
            <v>10</v>
          </cell>
          <cell r="I7146">
            <v>1858764000000</v>
          </cell>
        </row>
        <row r="7147">
          <cell r="A7147" t="str">
            <v>Cote d'Ivoire</v>
          </cell>
          <cell r="B7147">
            <v>384</v>
          </cell>
          <cell r="C7147">
            <v>203</v>
          </cell>
          <cell r="D7147">
            <v>3</v>
          </cell>
          <cell r="E7147" t="str">
            <v>Equals: VALUE ADDED, GROSS, at basic prices</v>
          </cell>
          <cell r="F7147">
            <v>12</v>
          </cell>
          <cell r="G7147">
            <v>1989</v>
          </cell>
          <cell r="H7147">
            <v>10</v>
          </cell>
          <cell r="I7147">
            <v>3224000000000</v>
          </cell>
        </row>
        <row r="7148">
          <cell r="A7148" t="str">
            <v>Cote d'Ivoire</v>
          </cell>
          <cell r="B7148">
            <v>384</v>
          </cell>
          <cell r="C7148">
            <v>203</v>
          </cell>
          <cell r="D7148">
            <v>3</v>
          </cell>
          <cell r="E7148" t="str">
            <v>Equals: VALUE ADDED, GROSS, at basic prices</v>
          </cell>
          <cell r="F7148">
            <v>12</v>
          </cell>
          <cell r="G7148">
            <v>1990</v>
          </cell>
          <cell r="H7148">
            <v>10</v>
          </cell>
          <cell r="I7148">
            <v>3044000000000</v>
          </cell>
        </row>
        <row r="7149">
          <cell r="A7149" t="str">
            <v>Cote d'Ivoire</v>
          </cell>
          <cell r="B7149">
            <v>384</v>
          </cell>
          <cell r="C7149">
            <v>203</v>
          </cell>
          <cell r="D7149">
            <v>3</v>
          </cell>
          <cell r="E7149" t="str">
            <v>Equals: VALUE ADDED, GROSS, at basic prices</v>
          </cell>
          <cell r="F7149">
            <v>12</v>
          </cell>
          <cell r="G7149">
            <v>1991</v>
          </cell>
          <cell r="H7149">
            <v>10</v>
          </cell>
          <cell r="I7149">
            <v>3107000000000</v>
          </cell>
        </row>
        <row r="7150">
          <cell r="A7150" t="str">
            <v>Cote d'Ivoire</v>
          </cell>
          <cell r="B7150">
            <v>384</v>
          </cell>
          <cell r="C7150">
            <v>203</v>
          </cell>
          <cell r="D7150">
            <v>3</v>
          </cell>
          <cell r="E7150" t="str">
            <v>Equals: VALUE ADDED, GROSS, at basic prices</v>
          </cell>
          <cell r="F7150">
            <v>12</v>
          </cell>
          <cell r="G7150">
            <v>1992</v>
          </cell>
          <cell r="H7150">
            <v>10</v>
          </cell>
          <cell r="I7150">
            <v>3016000000000</v>
          </cell>
        </row>
        <row r="7151">
          <cell r="A7151" t="str">
            <v>Cote d'Ivoire</v>
          </cell>
          <cell r="B7151">
            <v>384</v>
          </cell>
          <cell r="C7151">
            <v>203</v>
          </cell>
          <cell r="D7151">
            <v>3</v>
          </cell>
          <cell r="E7151" t="str">
            <v>Equals: VALUE ADDED, GROSS, at basic prices</v>
          </cell>
          <cell r="F7151">
            <v>12</v>
          </cell>
          <cell r="G7151">
            <v>1993</v>
          </cell>
          <cell r="H7151">
            <v>10</v>
          </cell>
          <cell r="I7151">
            <v>3006000000000</v>
          </cell>
        </row>
        <row r="7152">
          <cell r="A7152" t="str">
            <v>Cote d'Ivoire</v>
          </cell>
          <cell r="B7152">
            <v>384</v>
          </cell>
          <cell r="C7152">
            <v>203</v>
          </cell>
          <cell r="D7152">
            <v>3</v>
          </cell>
          <cell r="E7152" t="str">
            <v>Equals: VALUE ADDED, GROSS, at basic prices</v>
          </cell>
          <cell r="F7152">
            <v>12</v>
          </cell>
          <cell r="G7152">
            <v>1994</v>
          </cell>
          <cell r="H7152">
            <v>10</v>
          </cell>
          <cell r="I7152">
            <v>4426000000000</v>
          </cell>
        </row>
        <row r="7153">
          <cell r="A7153" t="str">
            <v>Cote d'Ivoire</v>
          </cell>
          <cell r="B7153">
            <v>384</v>
          </cell>
          <cell r="C7153">
            <v>203</v>
          </cell>
          <cell r="D7153">
            <v>3</v>
          </cell>
          <cell r="E7153" t="str">
            <v>Equals: VALUE ADDED, GROSS, at basic prices</v>
          </cell>
          <cell r="F7153">
            <v>12</v>
          </cell>
          <cell r="G7153">
            <v>1995</v>
          </cell>
          <cell r="H7153">
            <v>10</v>
          </cell>
          <cell r="I7153">
            <v>4911000000000</v>
          </cell>
        </row>
        <row r="7154">
          <cell r="A7154" t="str">
            <v>Cote d'Ivoire</v>
          </cell>
          <cell r="B7154">
            <v>384</v>
          </cell>
          <cell r="C7154">
            <v>203</v>
          </cell>
          <cell r="D7154">
            <v>3</v>
          </cell>
          <cell r="E7154" t="str">
            <v>Equals: VALUE ADDED, GROSS, at basic prices</v>
          </cell>
          <cell r="F7154">
            <v>12</v>
          </cell>
          <cell r="G7154">
            <v>1996</v>
          </cell>
          <cell r="H7154">
            <v>10</v>
          </cell>
          <cell r="I7154">
            <v>5498000000000</v>
          </cell>
        </row>
        <row r="7155">
          <cell r="A7155" t="str">
            <v>Cote d'Ivoire</v>
          </cell>
          <cell r="B7155">
            <v>384</v>
          </cell>
          <cell r="C7155">
            <v>203</v>
          </cell>
          <cell r="D7155">
            <v>3</v>
          </cell>
          <cell r="E7155" t="str">
            <v>Equals: VALUE ADDED, GROSS, at basic prices</v>
          </cell>
          <cell r="F7155">
            <v>12</v>
          </cell>
          <cell r="G7155">
            <v>1997</v>
          </cell>
          <cell r="H7155">
            <v>10</v>
          </cell>
          <cell r="I7155">
            <v>6166456000000</v>
          </cell>
        </row>
        <row r="7156">
          <cell r="A7156" t="str">
            <v>Cote d'Ivoire</v>
          </cell>
          <cell r="B7156">
            <v>384</v>
          </cell>
          <cell r="C7156">
            <v>203</v>
          </cell>
          <cell r="D7156">
            <v>3</v>
          </cell>
          <cell r="E7156" t="str">
            <v>Equals: VALUE ADDED, GROSS, at basic prices</v>
          </cell>
          <cell r="F7156">
            <v>12</v>
          </cell>
          <cell r="G7156">
            <v>1998</v>
          </cell>
          <cell r="H7156">
            <v>10</v>
          </cell>
          <cell r="I7156">
            <v>6743552000000</v>
          </cell>
        </row>
        <row r="7157">
          <cell r="A7157" t="str">
            <v>Cote d'Ivoire</v>
          </cell>
          <cell r="B7157">
            <v>384</v>
          </cell>
          <cell r="C7157">
            <v>203</v>
          </cell>
          <cell r="D7157">
            <v>3</v>
          </cell>
          <cell r="E7157" t="str">
            <v>Equals: VALUE ADDED, GROSS, at basic prices</v>
          </cell>
          <cell r="F7157">
            <v>12</v>
          </cell>
          <cell r="G7157">
            <v>1999</v>
          </cell>
          <cell r="H7157">
            <v>10</v>
          </cell>
          <cell r="I7157">
            <v>7186000000000</v>
          </cell>
        </row>
        <row r="7158">
          <cell r="A7158" t="str">
            <v>Cote d'Ivoire</v>
          </cell>
          <cell r="B7158">
            <v>384</v>
          </cell>
          <cell r="C7158">
            <v>203</v>
          </cell>
          <cell r="D7158">
            <v>3</v>
          </cell>
          <cell r="E7158" t="str">
            <v>Equals: VALUE ADDED, GROSS, at basic prices</v>
          </cell>
          <cell r="F7158">
            <v>12</v>
          </cell>
          <cell r="G7158">
            <v>2000</v>
          </cell>
          <cell r="H7158">
            <v>10</v>
          </cell>
          <cell r="I7158">
            <v>7054000000000</v>
          </cell>
        </row>
        <row r="7159">
          <cell r="A7159" t="str">
            <v>Cote d'Ivoire</v>
          </cell>
          <cell r="B7159">
            <v>384</v>
          </cell>
          <cell r="C7159">
            <v>203</v>
          </cell>
          <cell r="D7159">
            <v>4</v>
          </cell>
          <cell r="E7159" t="str">
            <v>Compensation of employees</v>
          </cell>
          <cell r="F7159">
            <v>12</v>
          </cell>
          <cell r="G7159">
            <v>1974</v>
          </cell>
          <cell r="H7159">
            <v>10</v>
          </cell>
          <cell r="I7159">
            <v>236140000000</v>
          </cell>
        </row>
        <row r="7160">
          <cell r="A7160" t="str">
            <v>Cote d'Ivoire</v>
          </cell>
          <cell r="B7160">
            <v>384</v>
          </cell>
          <cell r="C7160">
            <v>203</v>
          </cell>
          <cell r="D7160">
            <v>4</v>
          </cell>
          <cell r="E7160" t="str">
            <v>Compensation of employees</v>
          </cell>
          <cell r="F7160">
            <v>12</v>
          </cell>
          <cell r="G7160">
            <v>1975</v>
          </cell>
          <cell r="H7160">
            <v>10</v>
          </cell>
          <cell r="I7160">
            <v>285403000000</v>
          </cell>
        </row>
        <row r="7161">
          <cell r="A7161" t="str">
            <v>Cote d'Ivoire</v>
          </cell>
          <cell r="B7161">
            <v>384</v>
          </cell>
          <cell r="C7161">
            <v>203</v>
          </cell>
          <cell r="D7161">
            <v>4</v>
          </cell>
          <cell r="E7161" t="str">
            <v>Compensation of employees</v>
          </cell>
          <cell r="F7161">
            <v>12</v>
          </cell>
          <cell r="G7161">
            <v>1976</v>
          </cell>
          <cell r="H7161">
            <v>10</v>
          </cell>
          <cell r="I7161">
            <v>364541000000</v>
          </cell>
        </row>
        <row r="7162">
          <cell r="A7162" t="str">
            <v>Cote d'Ivoire</v>
          </cell>
          <cell r="B7162">
            <v>384</v>
          </cell>
          <cell r="C7162">
            <v>203</v>
          </cell>
          <cell r="D7162">
            <v>4</v>
          </cell>
          <cell r="E7162" t="str">
            <v>Compensation of employees</v>
          </cell>
          <cell r="F7162">
            <v>12</v>
          </cell>
          <cell r="G7162">
            <v>1977</v>
          </cell>
          <cell r="H7162">
            <v>10</v>
          </cell>
          <cell r="I7162">
            <v>442420000000</v>
          </cell>
        </row>
        <row r="7163">
          <cell r="A7163" t="str">
            <v>Cote d'Ivoire</v>
          </cell>
          <cell r="B7163">
            <v>384</v>
          </cell>
          <cell r="C7163">
            <v>203</v>
          </cell>
          <cell r="D7163">
            <v>4</v>
          </cell>
          <cell r="E7163" t="str">
            <v>Compensation of employees</v>
          </cell>
          <cell r="F7163">
            <v>12</v>
          </cell>
          <cell r="G7163">
            <v>1978</v>
          </cell>
          <cell r="H7163">
            <v>10</v>
          </cell>
          <cell r="I7163">
            <v>544630000000</v>
          </cell>
        </row>
        <row r="7164">
          <cell r="A7164" t="str">
            <v>Cote d'Ivoire</v>
          </cell>
          <cell r="B7164">
            <v>384</v>
          </cell>
          <cell r="C7164">
            <v>203</v>
          </cell>
          <cell r="D7164">
            <v>4</v>
          </cell>
          <cell r="E7164" t="str">
            <v>Compensation of employees</v>
          </cell>
          <cell r="F7164">
            <v>12</v>
          </cell>
          <cell r="G7164">
            <v>1979</v>
          </cell>
          <cell r="H7164">
            <v>10</v>
          </cell>
          <cell r="I7164">
            <v>649821000000</v>
          </cell>
        </row>
        <row r="7165">
          <cell r="A7165" t="str">
            <v>Cote d'Ivoire</v>
          </cell>
          <cell r="B7165">
            <v>384</v>
          </cell>
          <cell r="C7165">
            <v>203</v>
          </cell>
          <cell r="D7165">
            <v>4</v>
          </cell>
          <cell r="E7165" t="str">
            <v>Compensation of employees</v>
          </cell>
          <cell r="F7165">
            <v>12</v>
          </cell>
          <cell r="G7165">
            <v>1989</v>
          </cell>
          <cell r="H7165">
            <v>10</v>
          </cell>
          <cell r="I7165">
            <v>1100000000000</v>
          </cell>
        </row>
        <row r="7166">
          <cell r="A7166" t="str">
            <v>Cote d'Ivoire</v>
          </cell>
          <cell r="B7166">
            <v>384</v>
          </cell>
          <cell r="C7166">
            <v>203</v>
          </cell>
          <cell r="D7166">
            <v>4</v>
          </cell>
          <cell r="E7166" t="str">
            <v>Compensation of employees</v>
          </cell>
          <cell r="F7166">
            <v>12</v>
          </cell>
          <cell r="G7166">
            <v>1990</v>
          </cell>
          <cell r="H7166">
            <v>10</v>
          </cell>
          <cell r="I7166">
            <v>1054000000000</v>
          </cell>
        </row>
        <row r="7167">
          <cell r="A7167" t="str">
            <v>Cote d'Ivoire</v>
          </cell>
          <cell r="B7167">
            <v>384</v>
          </cell>
          <cell r="C7167">
            <v>203</v>
          </cell>
          <cell r="D7167">
            <v>4</v>
          </cell>
          <cell r="E7167" t="str">
            <v>Compensation of employees</v>
          </cell>
          <cell r="F7167">
            <v>12</v>
          </cell>
          <cell r="G7167">
            <v>1991</v>
          </cell>
          <cell r="H7167">
            <v>10</v>
          </cell>
          <cell r="I7167">
            <v>1048000000000</v>
          </cell>
        </row>
        <row r="7168">
          <cell r="A7168" t="str">
            <v>Cote d'Ivoire</v>
          </cell>
          <cell r="B7168">
            <v>384</v>
          </cell>
          <cell r="C7168">
            <v>203</v>
          </cell>
          <cell r="D7168">
            <v>4</v>
          </cell>
          <cell r="E7168" t="str">
            <v>Compensation of employees</v>
          </cell>
          <cell r="F7168">
            <v>12</v>
          </cell>
          <cell r="G7168">
            <v>1992</v>
          </cell>
          <cell r="H7168">
            <v>10</v>
          </cell>
          <cell r="I7168">
            <v>1038000000000</v>
          </cell>
        </row>
        <row r="7169">
          <cell r="A7169" t="str">
            <v>Cote d'Ivoire</v>
          </cell>
          <cell r="B7169">
            <v>384</v>
          </cell>
          <cell r="C7169">
            <v>203</v>
          </cell>
          <cell r="D7169">
            <v>4</v>
          </cell>
          <cell r="E7169" t="str">
            <v>Compensation of employees</v>
          </cell>
          <cell r="F7169">
            <v>12</v>
          </cell>
          <cell r="G7169">
            <v>1993</v>
          </cell>
          <cell r="H7169">
            <v>10</v>
          </cell>
          <cell r="I7169">
            <v>1018000000000</v>
          </cell>
        </row>
        <row r="7170">
          <cell r="A7170" t="str">
            <v>Cote d'Ivoire</v>
          </cell>
          <cell r="B7170">
            <v>384</v>
          </cell>
          <cell r="C7170">
            <v>203</v>
          </cell>
          <cell r="D7170">
            <v>4</v>
          </cell>
          <cell r="E7170" t="str">
            <v>Compensation of employees</v>
          </cell>
          <cell r="F7170">
            <v>12</v>
          </cell>
          <cell r="G7170">
            <v>1994</v>
          </cell>
          <cell r="H7170">
            <v>10</v>
          </cell>
          <cell r="I7170">
            <v>1147000000000</v>
          </cell>
        </row>
        <row r="7171">
          <cell r="A7171" t="str">
            <v>Cote d'Ivoire</v>
          </cell>
          <cell r="B7171">
            <v>384</v>
          </cell>
          <cell r="C7171">
            <v>203</v>
          </cell>
          <cell r="D7171">
            <v>4</v>
          </cell>
          <cell r="E7171" t="str">
            <v>Compensation of employees</v>
          </cell>
          <cell r="F7171">
            <v>12</v>
          </cell>
          <cell r="G7171">
            <v>1995</v>
          </cell>
          <cell r="H7171">
            <v>10</v>
          </cell>
          <cell r="I7171">
            <v>1184000000000</v>
          </cell>
        </row>
        <row r="7172">
          <cell r="A7172" t="str">
            <v>Cote d'Ivoire</v>
          </cell>
          <cell r="B7172">
            <v>384</v>
          </cell>
          <cell r="C7172">
            <v>203</v>
          </cell>
          <cell r="D7172">
            <v>4</v>
          </cell>
          <cell r="E7172" t="str">
            <v>Compensation of employees</v>
          </cell>
          <cell r="F7172">
            <v>12</v>
          </cell>
          <cell r="G7172">
            <v>1996</v>
          </cell>
          <cell r="H7172">
            <v>10</v>
          </cell>
          <cell r="I7172">
            <v>1476000000000</v>
          </cell>
        </row>
        <row r="7173">
          <cell r="A7173" t="str">
            <v>Cote d'Ivoire</v>
          </cell>
          <cell r="B7173">
            <v>384</v>
          </cell>
          <cell r="C7173">
            <v>203</v>
          </cell>
          <cell r="D7173">
            <v>4</v>
          </cell>
          <cell r="E7173" t="str">
            <v>Compensation of employees</v>
          </cell>
          <cell r="F7173">
            <v>12</v>
          </cell>
          <cell r="G7173">
            <v>1997</v>
          </cell>
          <cell r="H7173">
            <v>10</v>
          </cell>
          <cell r="I7173">
            <v>1644187000000</v>
          </cell>
        </row>
        <row r="7174">
          <cell r="A7174" t="str">
            <v>Cote d'Ivoire</v>
          </cell>
          <cell r="B7174">
            <v>384</v>
          </cell>
          <cell r="C7174">
            <v>203</v>
          </cell>
          <cell r="D7174">
            <v>4</v>
          </cell>
          <cell r="E7174" t="str">
            <v>Compensation of employees</v>
          </cell>
          <cell r="F7174">
            <v>12</v>
          </cell>
          <cell r="G7174">
            <v>1998</v>
          </cell>
          <cell r="H7174">
            <v>10</v>
          </cell>
          <cell r="I7174">
            <v>1601793000000</v>
          </cell>
        </row>
        <row r="7175">
          <cell r="A7175" t="str">
            <v>Cote d'Ivoire</v>
          </cell>
          <cell r="B7175">
            <v>384</v>
          </cell>
          <cell r="C7175">
            <v>203</v>
          </cell>
          <cell r="D7175">
            <v>4</v>
          </cell>
          <cell r="E7175" t="str">
            <v>Compensation of employees</v>
          </cell>
          <cell r="F7175">
            <v>12</v>
          </cell>
          <cell r="G7175">
            <v>1999</v>
          </cell>
          <cell r="H7175">
            <v>10</v>
          </cell>
          <cell r="I7175">
            <v>1735200000000</v>
          </cell>
        </row>
        <row r="7176">
          <cell r="A7176" t="str">
            <v>Cote d'Ivoire</v>
          </cell>
          <cell r="B7176">
            <v>384</v>
          </cell>
          <cell r="C7176">
            <v>203</v>
          </cell>
          <cell r="D7176">
            <v>4</v>
          </cell>
          <cell r="E7176" t="str">
            <v>Compensation of employees</v>
          </cell>
          <cell r="F7176">
            <v>12</v>
          </cell>
          <cell r="G7176">
            <v>2000</v>
          </cell>
          <cell r="H7176">
            <v>10</v>
          </cell>
          <cell r="I7176">
            <v>1762700000000</v>
          </cell>
        </row>
        <row r="7177">
          <cell r="A7177" t="str">
            <v>Namibia</v>
          </cell>
          <cell r="B7177">
            <v>516</v>
          </cell>
          <cell r="C7177">
            <v>203</v>
          </cell>
          <cell r="D7177">
            <v>11</v>
          </cell>
          <cell r="E7177" t="str">
            <v>OPERATING SURPLUS, GROSS</v>
          </cell>
          <cell r="F7177">
            <v>12</v>
          </cell>
          <cell r="G7177">
            <v>1989</v>
          </cell>
          <cell r="H7177">
            <v>100</v>
          </cell>
          <cell r="I7177">
            <v>2201000000</v>
          </cell>
        </row>
        <row r="7178">
          <cell r="A7178" t="str">
            <v>Namibia</v>
          </cell>
          <cell r="B7178">
            <v>516</v>
          </cell>
          <cell r="C7178">
            <v>203</v>
          </cell>
          <cell r="D7178">
            <v>11</v>
          </cell>
          <cell r="E7178" t="str">
            <v>OPERATING SURPLUS, GROSS</v>
          </cell>
          <cell r="F7178">
            <v>12</v>
          </cell>
          <cell r="G7178">
            <v>1990</v>
          </cell>
          <cell r="H7178">
            <v>100</v>
          </cell>
          <cell r="I7178">
            <v>1992000000</v>
          </cell>
        </row>
        <row r="7179">
          <cell r="A7179" t="str">
            <v>Namibia</v>
          </cell>
          <cell r="B7179">
            <v>516</v>
          </cell>
          <cell r="C7179">
            <v>203</v>
          </cell>
          <cell r="D7179">
            <v>11</v>
          </cell>
          <cell r="E7179" t="str">
            <v>OPERATING SURPLUS, GROSS</v>
          </cell>
          <cell r="F7179">
            <v>12</v>
          </cell>
          <cell r="G7179">
            <v>1991</v>
          </cell>
          <cell r="H7179">
            <v>100</v>
          </cell>
          <cell r="I7179">
            <v>2120000000</v>
          </cell>
        </row>
        <row r="7180">
          <cell r="A7180" t="str">
            <v>Namibia</v>
          </cell>
          <cell r="B7180">
            <v>516</v>
          </cell>
          <cell r="C7180">
            <v>203</v>
          </cell>
          <cell r="D7180">
            <v>11</v>
          </cell>
          <cell r="E7180" t="str">
            <v>OPERATING SURPLUS, GROSS</v>
          </cell>
          <cell r="F7180">
            <v>12</v>
          </cell>
          <cell r="G7180">
            <v>1992</v>
          </cell>
          <cell r="H7180">
            <v>100</v>
          </cell>
          <cell r="I7180">
            <v>2445000000</v>
          </cell>
        </row>
        <row r="7181">
          <cell r="A7181" t="str">
            <v>Namibia</v>
          </cell>
          <cell r="B7181">
            <v>516</v>
          </cell>
          <cell r="C7181">
            <v>203</v>
          </cell>
          <cell r="D7181">
            <v>11</v>
          </cell>
          <cell r="E7181" t="str">
            <v>OPERATING SURPLUS, GROSS</v>
          </cell>
          <cell r="F7181">
            <v>12</v>
          </cell>
          <cell r="G7181">
            <v>1993</v>
          </cell>
          <cell r="H7181">
            <v>100</v>
          </cell>
          <cell r="I7181">
            <v>4118000000</v>
          </cell>
        </row>
        <row r="7182">
          <cell r="A7182" t="str">
            <v>Namibia</v>
          </cell>
          <cell r="B7182">
            <v>516</v>
          </cell>
          <cell r="C7182">
            <v>203</v>
          </cell>
          <cell r="D7182">
            <v>11</v>
          </cell>
          <cell r="E7182" t="str">
            <v>OPERATING SURPLUS, GROSS</v>
          </cell>
          <cell r="F7182">
            <v>12</v>
          </cell>
          <cell r="G7182">
            <v>1994</v>
          </cell>
          <cell r="H7182">
            <v>100</v>
          </cell>
          <cell r="I7182">
            <v>5510000000</v>
          </cell>
        </row>
        <row r="7183">
          <cell r="A7183" t="str">
            <v>Namibia</v>
          </cell>
          <cell r="B7183">
            <v>516</v>
          </cell>
          <cell r="C7183">
            <v>203</v>
          </cell>
          <cell r="D7183">
            <v>11</v>
          </cell>
          <cell r="E7183" t="str">
            <v>OPERATING SURPLUS, GROSS</v>
          </cell>
          <cell r="F7183">
            <v>12</v>
          </cell>
          <cell r="G7183">
            <v>1995</v>
          </cell>
          <cell r="H7183">
            <v>100</v>
          </cell>
          <cell r="I7183">
            <v>5723000000</v>
          </cell>
        </row>
        <row r="7184">
          <cell r="A7184" t="str">
            <v>Namibia</v>
          </cell>
          <cell r="B7184">
            <v>516</v>
          </cell>
          <cell r="C7184">
            <v>203</v>
          </cell>
          <cell r="D7184">
            <v>11</v>
          </cell>
          <cell r="E7184" t="str">
            <v>OPERATING SURPLUS, GROSS</v>
          </cell>
          <cell r="F7184">
            <v>12</v>
          </cell>
          <cell r="G7184">
            <v>1996</v>
          </cell>
          <cell r="H7184">
            <v>100</v>
          </cell>
          <cell r="I7184">
            <v>6974000000</v>
          </cell>
        </row>
        <row r="7185">
          <cell r="A7185" t="str">
            <v>Namibia</v>
          </cell>
          <cell r="B7185">
            <v>516</v>
          </cell>
          <cell r="C7185">
            <v>203</v>
          </cell>
          <cell r="D7185">
            <v>11</v>
          </cell>
          <cell r="E7185" t="str">
            <v>OPERATING SURPLUS, GROSS</v>
          </cell>
          <cell r="F7185">
            <v>12</v>
          </cell>
          <cell r="G7185">
            <v>1997</v>
          </cell>
          <cell r="H7185">
            <v>100</v>
          </cell>
          <cell r="I7185">
            <v>7790000000</v>
          </cell>
        </row>
        <row r="7186">
          <cell r="A7186" t="str">
            <v>Namibia</v>
          </cell>
          <cell r="B7186">
            <v>516</v>
          </cell>
          <cell r="C7186">
            <v>203</v>
          </cell>
          <cell r="D7186">
            <v>11</v>
          </cell>
          <cell r="E7186" t="str">
            <v>OPERATING SURPLUS, GROSS</v>
          </cell>
          <cell r="F7186">
            <v>12</v>
          </cell>
          <cell r="G7186">
            <v>1998</v>
          </cell>
          <cell r="H7186">
            <v>100</v>
          </cell>
          <cell r="I7186">
            <v>8759000000</v>
          </cell>
        </row>
        <row r="7187">
          <cell r="A7187" t="str">
            <v>Namibia</v>
          </cell>
          <cell r="B7187">
            <v>516</v>
          </cell>
          <cell r="C7187">
            <v>203</v>
          </cell>
          <cell r="D7187">
            <v>11</v>
          </cell>
          <cell r="E7187" t="str">
            <v>OPERATING SURPLUS, GROSS</v>
          </cell>
          <cell r="F7187">
            <v>12</v>
          </cell>
          <cell r="G7187">
            <v>1999</v>
          </cell>
          <cell r="H7187">
            <v>100</v>
          </cell>
          <cell r="I7187">
            <v>9725000000</v>
          </cell>
        </row>
        <row r="7188">
          <cell r="A7188" t="str">
            <v>Namibia</v>
          </cell>
          <cell r="B7188">
            <v>516</v>
          </cell>
          <cell r="C7188">
            <v>203</v>
          </cell>
          <cell r="D7188">
            <v>11</v>
          </cell>
          <cell r="E7188" t="str">
            <v>OPERATING SURPLUS, GROSS</v>
          </cell>
          <cell r="F7188">
            <v>12</v>
          </cell>
          <cell r="G7188">
            <v>2000</v>
          </cell>
          <cell r="H7188">
            <v>100</v>
          </cell>
          <cell r="I7188">
            <v>11787000000</v>
          </cell>
        </row>
        <row r="7189">
          <cell r="A7189" t="str">
            <v>Namibia</v>
          </cell>
          <cell r="B7189">
            <v>516</v>
          </cell>
          <cell r="C7189">
            <v>203</v>
          </cell>
          <cell r="D7189">
            <v>11</v>
          </cell>
          <cell r="E7189" t="str">
            <v>OPERATING SURPLUS, GROSS</v>
          </cell>
          <cell r="F7189">
            <v>12</v>
          </cell>
          <cell r="G7189">
            <v>2001</v>
          </cell>
          <cell r="H7189">
            <v>100</v>
          </cell>
          <cell r="I7189">
            <v>13883000000</v>
          </cell>
        </row>
        <row r="7190">
          <cell r="A7190" t="str">
            <v>Cote d'Ivoire</v>
          </cell>
          <cell r="B7190">
            <v>384</v>
          </cell>
          <cell r="C7190">
            <v>203</v>
          </cell>
          <cell r="D7190">
            <v>11</v>
          </cell>
          <cell r="E7190" t="str">
            <v>OPERATING SURPLUS, GROSS</v>
          </cell>
          <cell r="F7190">
            <v>12</v>
          </cell>
          <cell r="G7190">
            <v>1974</v>
          </cell>
          <cell r="H7190">
            <v>10</v>
          </cell>
          <cell r="I7190">
            <v>349648000000</v>
          </cell>
        </row>
        <row r="7191">
          <cell r="A7191" t="str">
            <v>Cote d'Ivoire</v>
          </cell>
          <cell r="B7191">
            <v>384</v>
          </cell>
          <cell r="C7191">
            <v>203</v>
          </cell>
          <cell r="D7191">
            <v>11</v>
          </cell>
          <cell r="E7191" t="str">
            <v>OPERATING SURPLUS, GROSS</v>
          </cell>
          <cell r="F7191">
            <v>12</v>
          </cell>
          <cell r="G7191">
            <v>1975</v>
          </cell>
          <cell r="H7191">
            <v>10</v>
          </cell>
          <cell r="I7191">
            <v>414215000000</v>
          </cell>
        </row>
        <row r="7192">
          <cell r="A7192" t="str">
            <v>Cote d'Ivoire</v>
          </cell>
          <cell r="B7192">
            <v>384</v>
          </cell>
          <cell r="C7192">
            <v>203</v>
          </cell>
          <cell r="D7192">
            <v>11</v>
          </cell>
          <cell r="E7192" t="str">
            <v>OPERATING SURPLUS, GROSS</v>
          </cell>
          <cell r="F7192">
            <v>12</v>
          </cell>
          <cell r="G7192">
            <v>1976</v>
          </cell>
          <cell r="H7192">
            <v>10</v>
          </cell>
          <cell r="I7192">
            <v>465838010000</v>
          </cell>
        </row>
        <row r="7193">
          <cell r="A7193" t="str">
            <v>Cote d'Ivoire</v>
          </cell>
          <cell r="B7193">
            <v>384</v>
          </cell>
          <cell r="C7193">
            <v>203</v>
          </cell>
          <cell r="D7193">
            <v>11</v>
          </cell>
          <cell r="E7193" t="str">
            <v>OPERATING SURPLUS, GROSS</v>
          </cell>
          <cell r="F7193">
            <v>12</v>
          </cell>
          <cell r="G7193">
            <v>1977</v>
          </cell>
          <cell r="H7193">
            <v>10</v>
          </cell>
          <cell r="I7193">
            <v>622618000000</v>
          </cell>
        </row>
        <row r="7194">
          <cell r="A7194" t="str">
            <v>Cote d'Ivoire</v>
          </cell>
          <cell r="B7194">
            <v>384</v>
          </cell>
          <cell r="C7194">
            <v>203</v>
          </cell>
          <cell r="D7194">
            <v>11</v>
          </cell>
          <cell r="E7194" t="str">
            <v>OPERATING SURPLUS, GROSS</v>
          </cell>
          <cell r="F7194">
            <v>12</v>
          </cell>
          <cell r="G7194">
            <v>1978</v>
          </cell>
          <cell r="H7194">
            <v>10</v>
          </cell>
          <cell r="I7194">
            <v>825962000000</v>
          </cell>
        </row>
        <row r="7195">
          <cell r="A7195" t="str">
            <v>Cote d'Ivoire</v>
          </cell>
          <cell r="B7195">
            <v>384</v>
          </cell>
          <cell r="C7195">
            <v>203</v>
          </cell>
          <cell r="D7195">
            <v>11</v>
          </cell>
          <cell r="E7195" t="str">
            <v>OPERATING SURPLUS, GROSS</v>
          </cell>
          <cell r="F7195">
            <v>12</v>
          </cell>
          <cell r="G7195">
            <v>1979</v>
          </cell>
          <cell r="H7195">
            <v>10</v>
          </cell>
          <cell r="I7195">
            <v>889611000000</v>
          </cell>
        </row>
        <row r="7196">
          <cell r="A7196" t="str">
            <v>Cote d'Ivoire</v>
          </cell>
          <cell r="B7196">
            <v>384</v>
          </cell>
          <cell r="C7196">
            <v>203</v>
          </cell>
          <cell r="D7196">
            <v>11</v>
          </cell>
          <cell r="E7196" t="str">
            <v>OPERATING SURPLUS, GROSS</v>
          </cell>
          <cell r="F7196">
            <v>12</v>
          </cell>
          <cell r="G7196">
            <v>1989</v>
          </cell>
          <cell r="H7196">
            <v>10</v>
          </cell>
          <cell r="I7196">
            <v>515000000000</v>
          </cell>
        </row>
        <row r="7197">
          <cell r="A7197" t="str">
            <v>Cote d'Ivoire</v>
          </cell>
          <cell r="B7197">
            <v>384</v>
          </cell>
          <cell r="C7197">
            <v>203</v>
          </cell>
          <cell r="D7197">
            <v>11</v>
          </cell>
          <cell r="E7197" t="str">
            <v>OPERATING SURPLUS, GROSS</v>
          </cell>
          <cell r="F7197">
            <v>12</v>
          </cell>
          <cell r="G7197">
            <v>1990</v>
          </cell>
          <cell r="H7197">
            <v>10</v>
          </cell>
          <cell r="I7197">
            <v>528000000000</v>
          </cell>
        </row>
        <row r="7198">
          <cell r="A7198" t="str">
            <v>Cote d'Ivoire</v>
          </cell>
          <cell r="B7198">
            <v>384</v>
          </cell>
          <cell r="C7198">
            <v>203</v>
          </cell>
          <cell r="D7198">
            <v>11</v>
          </cell>
          <cell r="E7198" t="str">
            <v>OPERATING SURPLUS, GROSS</v>
          </cell>
          <cell r="F7198">
            <v>12</v>
          </cell>
          <cell r="G7198">
            <v>1991</v>
          </cell>
          <cell r="H7198">
            <v>10</v>
          </cell>
          <cell r="I7198">
            <v>513000000000</v>
          </cell>
        </row>
        <row r="7199">
          <cell r="A7199" t="str">
            <v>Cote d'Ivoire</v>
          </cell>
          <cell r="B7199">
            <v>384</v>
          </cell>
          <cell r="C7199">
            <v>203</v>
          </cell>
          <cell r="D7199">
            <v>11</v>
          </cell>
          <cell r="E7199" t="str">
            <v>OPERATING SURPLUS, GROSS</v>
          </cell>
          <cell r="F7199">
            <v>12</v>
          </cell>
          <cell r="G7199">
            <v>1992</v>
          </cell>
          <cell r="H7199">
            <v>10</v>
          </cell>
          <cell r="I7199">
            <v>505000000000</v>
          </cell>
        </row>
        <row r="7200">
          <cell r="A7200" t="str">
            <v>Cote d'Ivoire</v>
          </cell>
          <cell r="B7200">
            <v>384</v>
          </cell>
          <cell r="C7200">
            <v>203</v>
          </cell>
          <cell r="D7200">
            <v>11</v>
          </cell>
          <cell r="E7200" t="str">
            <v>OPERATING SURPLUS, GROSS</v>
          </cell>
          <cell r="F7200">
            <v>12</v>
          </cell>
          <cell r="G7200">
            <v>1993</v>
          </cell>
          <cell r="H7200">
            <v>10</v>
          </cell>
          <cell r="I7200">
            <v>576000000000</v>
          </cell>
        </row>
        <row r="7201">
          <cell r="A7201" t="str">
            <v>Cote d'Ivoire</v>
          </cell>
          <cell r="B7201">
            <v>384</v>
          </cell>
          <cell r="C7201">
            <v>203</v>
          </cell>
          <cell r="D7201">
            <v>11</v>
          </cell>
          <cell r="E7201" t="str">
            <v>OPERATING SURPLUS, GROSS</v>
          </cell>
          <cell r="F7201">
            <v>12</v>
          </cell>
          <cell r="G7201">
            <v>1994</v>
          </cell>
          <cell r="H7201">
            <v>10</v>
          </cell>
          <cell r="I7201">
            <v>1255000000000</v>
          </cell>
        </row>
        <row r="7202">
          <cell r="A7202" t="str">
            <v>Cote d'Ivoire</v>
          </cell>
          <cell r="B7202">
            <v>384</v>
          </cell>
          <cell r="C7202">
            <v>203</v>
          </cell>
          <cell r="D7202">
            <v>11</v>
          </cell>
          <cell r="E7202" t="str">
            <v>OPERATING SURPLUS, GROSS</v>
          </cell>
          <cell r="F7202">
            <v>12</v>
          </cell>
          <cell r="G7202">
            <v>1995</v>
          </cell>
          <cell r="H7202">
            <v>10</v>
          </cell>
          <cell r="I7202">
            <v>1146000000000</v>
          </cell>
        </row>
        <row r="7203">
          <cell r="A7203" t="str">
            <v>Cote d'Ivoire</v>
          </cell>
          <cell r="B7203">
            <v>384</v>
          </cell>
          <cell r="C7203">
            <v>203</v>
          </cell>
          <cell r="D7203">
            <v>11</v>
          </cell>
          <cell r="E7203" t="str">
            <v>OPERATING SURPLUS, GROSS</v>
          </cell>
          <cell r="F7203">
            <v>12</v>
          </cell>
          <cell r="G7203">
            <v>1996</v>
          </cell>
          <cell r="H7203">
            <v>10</v>
          </cell>
          <cell r="I7203">
            <v>1512000000000</v>
          </cell>
        </row>
        <row r="7204">
          <cell r="A7204" t="str">
            <v>Cote d'Ivoire</v>
          </cell>
          <cell r="B7204">
            <v>384</v>
          </cell>
          <cell r="C7204">
            <v>203</v>
          </cell>
          <cell r="D7204">
            <v>11</v>
          </cell>
          <cell r="E7204" t="str">
            <v>OPERATING SURPLUS, GROSS</v>
          </cell>
          <cell r="F7204">
            <v>12</v>
          </cell>
          <cell r="G7204">
            <v>1997</v>
          </cell>
          <cell r="H7204">
            <v>10</v>
          </cell>
          <cell r="I7204">
            <v>1886396000000</v>
          </cell>
        </row>
        <row r="7205">
          <cell r="A7205" t="str">
            <v>Cote d'Ivoire</v>
          </cell>
          <cell r="B7205">
            <v>384</v>
          </cell>
          <cell r="C7205">
            <v>203</v>
          </cell>
          <cell r="D7205">
            <v>11</v>
          </cell>
          <cell r="E7205" t="str">
            <v>OPERATING SURPLUS, GROSS</v>
          </cell>
          <cell r="F7205">
            <v>12</v>
          </cell>
          <cell r="G7205">
            <v>1998</v>
          </cell>
          <cell r="H7205">
            <v>10</v>
          </cell>
          <cell r="I7205">
            <v>1954691000000</v>
          </cell>
        </row>
        <row r="7206">
          <cell r="A7206" t="str">
            <v>Cote d'Ivoire</v>
          </cell>
          <cell r="B7206">
            <v>384</v>
          </cell>
          <cell r="C7206">
            <v>203</v>
          </cell>
          <cell r="D7206">
            <v>11</v>
          </cell>
          <cell r="E7206" t="str">
            <v>OPERATING SURPLUS, GROSS</v>
          </cell>
          <cell r="F7206">
            <v>12</v>
          </cell>
          <cell r="G7206">
            <v>1999</v>
          </cell>
          <cell r="H7206">
            <v>10</v>
          </cell>
          <cell r="I7206">
            <v>2088300000000</v>
          </cell>
        </row>
        <row r="7207">
          <cell r="A7207" t="str">
            <v>Cote d'Ivoire</v>
          </cell>
          <cell r="B7207">
            <v>384</v>
          </cell>
          <cell r="C7207">
            <v>203</v>
          </cell>
          <cell r="D7207">
            <v>11</v>
          </cell>
          <cell r="E7207" t="str">
            <v>OPERATING SURPLUS, GROSS</v>
          </cell>
          <cell r="F7207">
            <v>12</v>
          </cell>
          <cell r="G7207">
            <v>2000</v>
          </cell>
          <cell r="H7207">
            <v>10</v>
          </cell>
          <cell r="I7207">
            <v>1884400000000</v>
          </cell>
        </row>
        <row r="7208">
          <cell r="A7208" t="str">
            <v>Cote d'Ivoire</v>
          </cell>
          <cell r="B7208">
            <v>384</v>
          </cell>
          <cell r="C7208">
            <v>203</v>
          </cell>
          <cell r="D7208">
            <v>12</v>
          </cell>
          <cell r="E7208" t="str">
            <v>MIXED INCOME, GROSS</v>
          </cell>
          <cell r="F7208">
            <v>12</v>
          </cell>
          <cell r="G7208">
            <v>1989</v>
          </cell>
          <cell r="H7208">
            <v>10</v>
          </cell>
          <cell r="I7208">
            <v>1406000000000</v>
          </cell>
        </row>
        <row r="7209">
          <cell r="A7209" t="str">
            <v>Cote d'Ivoire</v>
          </cell>
          <cell r="B7209">
            <v>384</v>
          </cell>
          <cell r="C7209">
            <v>203</v>
          </cell>
          <cell r="D7209">
            <v>12</v>
          </cell>
          <cell r="E7209" t="str">
            <v>MIXED INCOME, GROSS</v>
          </cell>
          <cell r="F7209">
            <v>12</v>
          </cell>
          <cell r="G7209">
            <v>1990</v>
          </cell>
          <cell r="H7209">
            <v>10</v>
          </cell>
          <cell r="I7209">
            <v>1325000000000</v>
          </cell>
        </row>
        <row r="7210">
          <cell r="A7210" t="str">
            <v>Cote d'Ivoire</v>
          </cell>
          <cell r="B7210">
            <v>384</v>
          </cell>
          <cell r="C7210">
            <v>203</v>
          </cell>
          <cell r="D7210">
            <v>12</v>
          </cell>
          <cell r="E7210" t="str">
            <v>MIXED INCOME, GROSS</v>
          </cell>
          <cell r="F7210">
            <v>12</v>
          </cell>
          <cell r="G7210">
            <v>1991</v>
          </cell>
          <cell r="H7210">
            <v>10</v>
          </cell>
          <cell r="I7210">
            <v>1378000000000</v>
          </cell>
        </row>
        <row r="7211">
          <cell r="A7211" t="str">
            <v>Cote d'Ivoire</v>
          </cell>
          <cell r="B7211">
            <v>384</v>
          </cell>
          <cell r="C7211">
            <v>203</v>
          </cell>
          <cell r="D7211">
            <v>12</v>
          </cell>
          <cell r="E7211" t="str">
            <v>MIXED INCOME, GROSS</v>
          </cell>
          <cell r="F7211">
            <v>12</v>
          </cell>
          <cell r="G7211">
            <v>1992</v>
          </cell>
          <cell r="H7211">
            <v>10</v>
          </cell>
          <cell r="I7211">
            <v>1333000000000</v>
          </cell>
        </row>
        <row r="7212">
          <cell r="A7212" t="str">
            <v>Cote d'Ivoire</v>
          </cell>
          <cell r="B7212">
            <v>384</v>
          </cell>
          <cell r="C7212">
            <v>203</v>
          </cell>
          <cell r="D7212">
            <v>12</v>
          </cell>
          <cell r="E7212" t="str">
            <v>MIXED INCOME, GROSS</v>
          </cell>
          <cell r="F7212">
            <v>12</v>
          </cell>
          <cell r="G7212">
            <v>1993</v>
          </cell>
          <cell r="H7212">
            <v>10</v>
          </cell>
          <cell r="I7212">
            <v>1322000000000</v>
          </cell>
        </row>
        <row r="7213">
          <cell r="A7213" t="str">
            <v>Cote d'Ivoire</v>
          </cell>
          <cell r="B7213">
            <v>384</v>
          </cell>
          <cell r="C7213">
            <v>203</v>
          </cell>
          <cell r="D7213">
            <v>12</v>
          </cell>
          <cell r="E7213" t="str">
            <v>MIXED INCOME, GROSS</v>
          </cell>
          <cell r="F7213">
            <v>12</v>
          </cell>
          <cell r="G7213">
            <v>1994</v>
          </cell>
          <cell r="H7213">
            <v>10</v>
          </cell>
          <cell r="I7213">
            <v>2011000000000</v>
          </cell>
        </row>
        <row r="7214">
          <cell r="A7214" t="str">
            <v>Cote d'Ivoire</v>
          </cell>
          <cell r="B7214">
            <v>384</v>
          </cell>
          <cell r="C7214">
            <v>203</v>
          </cell>
          <cell r="D7214">
            <v>12</v>
          </cell>
          <cell r="E7214" t="str">
            <v>MIXED INCOME, GROSS</v>
          </cell>
          <cell r="F7214">
            <v>12</v>
          </cell>
          <cell r="G7214">
            <v>1995</v>
          </cell>
          <cell r="H7214">
            <v>10</v>
          </cell>
          <cell r="I7214">
            <v>2412000000000</v>
          </cell>
        </row>
        <row r="7215">
          <cell r="A7215" t="str">
            <v>Cote d'Ivoire</v>
          </cell>
          <cell r="B7215">
            <v>384</v>
          </cell>
          <cell r="C7215">
            <v>203</v>
          </cell>
          <cell r="D7215">
            <v>12</v>
          </cell>
          <cell r="E7215" t="str">
            <v>MIXED INCOME, GROSS</v>
          </cell>
          <cell r="F7215">
            <v>12</v>
          </cell>
          <cell r="G7215">
            <v>1996</v>
          </cell>
          <cell r="H7215">
            <v>10</v>
          </cell>
          <cell r="I7215">
            <v>2520000000000</v>
          </cell>
        </row>
        <row r="7216">
          <cell r="A7216" t="str">
            <v>Cote d'Ivoire</v>
          </cell>
          <cell r="B7216">
            <v>384</v>
          </cell>
          <cell r="C7216">
            <v>203</v>
          </cell>
          <cell r="D7216">
            <v>12</v>
          </cell>
          <cell r="E7216" t="str">
            <v>MIXED INCOME, GROSS</v>
          </cell>
          <cell r="F7216">
            <v>12</v>
          </cell>
          <cell r="G7216">
            <v>1997</v>
          </cell>
          <cell r="H7216">
            <v>10</v>
          </cell>
          <cell r="I7216">
            <v>2745363000000</v>
          </cell>
        </row>
        <row r="7217">
          <cell r="A7217" t="str">
            <v>Cote d'Ivoire</v>
          </cell>
          <cell r="B7217">
            <v>384</v>
          </cell>
          <cell r="C7217">
            <v>203</v>
          </cell>
          <cell r="D7217">
            <v>12</v>
          </cell>
          <cell r="E7217" t="str">
            <v>MIXED INCOME, GROSS</v>
          </cell>
          <cell r="F7217">
            <v>12</v>
          </cell>
          <cell r="G7217">
            <v>1998</v>
          </cell>
          <cell r="H7217">
            <v>10</v>
          </cell>
          <cell r="I7217">
            <v>3223691000000</v>
          </cell>
        </row>
        <row r="7218">
          <cell r="A7218" t="str">
            <v>Cote d'Ivoire</v>
          </cell>
          <cell r="B7218">
            <v>384</v>
          </cell>
          <cell r="C7218">
            <v>203</v>
          </cell>
          <cell r="D7218">
            <v>12</v>
          </cell>
          <cell r="E7218" t="str">
            <v>MIXED INCOME, GROSS</v>
          </cell>
          <cell r="F7218">
            <v>12</v>
          </cell>
          <cell r="G7218">
            <v>1999</v>
          </cell>
          <cell r="H7218">
            <v>10</v>
          </cell>
          <cell r="I7218">
            <v>3527900000000</v>
          </cell>
        </row>
        <row r="7219">
          <cell r="A7219" t="str">
            <v>Cote d'Ivoire</v>
          </cell>
          <cell r="B7219">
            <v>384</v>
          </cell>
          <cell r="C7219">
            <v>203</v>
          </cell>
          <cell r="D7219">
            <v>12</v>
          </cell>
          <cell r="E7219" t="str">
            <v>MIXED INCOME, GROSS</v>
          </cell>
          <cell r="F7219">
            <v>12</v>
          </cell>
          <cell r="G7219">
            <v>2000</v>
          </cell>
          <cell r="H7219">
            <v>10</v>
          </cell>
          <cell r="I7219">
            <v>3554400000000</v>
          </cell>
        </row>
        <row r="7220">
          <cell r="A7220" t="str">
            <v>Cote d'Ivoire</v>
          </cell>
          <cell r="B7220">
            <v>384</v>
          </cell>
          <cell r="C7220">
            <v>203</v>
          </cell>
          <cell r="D7220">
            <v>22</v>
          </cell>
          <cell r="E7220" t="str">
            <v>Taxes on production and imports, less Subsidies</v>
          </cell>
          <cell r="F7220">
            <v>12</v>
          </cell>
          <cell r="G7220">
            <v>1974</v>
          </cell>
          <cell r="H7220">
            <v>10</v>
          </cell>
          <cell r="I7220">
            <v>37957000000</v>
          </cell>
        </row>
        <row r="7221">
          <cell r="A7221" t="str">
            <v>Cote d'Ivoire</v>
          </cell>
          <cell r="B7221">
            <v>384</v>
          </cell>
          <cell r="C7221">
            <v>203</v>
          </cell>
          <cell r="D7221">
            <v>22</v>
          </cell>
          <cell r="E7221" t="str">
            <v>Taxes on production and imports, less Subsidies</v>
          </cell>
          <cell r="F7221">
            <v>12</v>
          </cell>
          <cell r="G7221">
            <v>1975</v>
          </cell>
          <cell r="H7221">
            <v>10</v>
          </cell>
          <cell r="I7221">
            <v>83298000000</v>
          </cell>
        </row>
        <row r="7222">
          <cell r="A7222" t="str">
            <v>Cote d'Ivoire</v>
          </cell>
          <cell r="B7222">
            <v>384</v>
          </cell>
          <cell r="C7222">
            <v>203</v>
          </cell>
          <cell r="D7222">
            <v>22</v>
          </cell>
          <cell r="E7222" t="str">
            <v>Taxes on production and imports, less Subsidies</v>
          </cell>
          <cell r="F7222">
            <v>12</v>
          </cell>
          <cell r="G7222">
            <v>1976</v>
          </cell>
          <cell r="H7222">
            <v>10</v>
          </cell>
          <cell r="I7222">
            <v>31554000000</v>
          </cell>
        </row>
        <row r="7223">
          <cell r="A7223" t="str">
            <v>Cote d'Ivoire</v>
          </cell>
          <cell r="B7223">
            <v>384</v>
          </cell>
          <cell r="C7223">
            <v>203</v>
          </cell>
          <cell r="D7223">
            <v>22</v>
          </cell>
          <cell r="E7223" t="str">
            <v>Taxes on production and imports, less Subsidies</v>
          </cell>
          <cell r="F7223">
            <v>12</v>
          </cell>
          <cell r="G7223">
            <v>1977</v>
          </cell>
          <cell r="H7223">
            <v>10</v>
          </cell>
          <cell r="I7223">
            <v>-64446000000</v>
          </cell>
        </row>
        <row r="7224">
          <cell r="A7224" t="str">
            <v>Cote d'Ivoire</v>
          </cell>
          <cell r="B7224">
            <v>384</v>
          </cell>
          <cell r="C7224">
            <v>203</v>
          </cell>
          <cell r="D7224">
            <v>22</v>
          </cell>
          <cell r="E7224" t="str">
            <v>Taxes on production and imports, less Subsidies</v>
          </cell>
          <cell r="F7224">
            <v>12</v>
          </cell>
          <cell r="G7224">
            <v>1978</v>
          </cell>
          <cell r="H7224">
            <v>10</v>
          </cell>
          <cell r="I7224">
            <v>50838000000</v>
          </cell>
        </row>
        <row r="7225">
          <cell r="A7225" t="str">
            <v>Cote d'Ivoire</v>
          </cell>
          <cell r="B7225">
            <v>384</v>
          </cell>
          <cell r="C7225">
            <v>203</v>
          </cell>
          <cell r="D7225">
            <v>22</v>
          </cell>
          <cell r="E7225" t="str">
            <v>Taxes on production and imports, less Subsidies</v>
          </cell>
          <cell r="F7225">
            <v>12</v>
          </cell>
          <cell r="G7225">
            <v>1979</v>
          </cell>
          <cell r="H7225">
            <v>10</v>
          </cell>
          <cell r="I7225">
            <v>108852000000</v>
          </cell>
        </row>
        <row r="7226">
          <cell r="A7226" t="str">
            <v>Cote d'Ivoire</v>
          </cell>
          <cell r="B7226">
            <v>384</v>
          </cell>
          <cell r="C7226">
            <v>203</v>
          </cell>
          <cell r="D7226">
            <v>22</v>
          </cell>
          <cell r="E7226" t="str">
            <v>Taxes on production and imports, less Subsidies</v>
          </cell>
          <cell r="F7226">
            <v>12</v>
          </cell>
          <cell r="G7226">
            <v>1989</v>
          </cell>
          <cell r="H7226">
            <v>10</v>
          </cell>
          <cell r="I7226">
            <v>202000000000</v>
          </cell>
        </row>
        <row r="7227">
          <cell r="A7227" t="str">
            <v>Cote d'Ivoire</v>
          </cell>
          <cell r="B7227">
            <v>384</v>
          </cell>
          <cell r="C7227">
            <v>203</v>
          </cell>
          <cell r="D7227">
            <v>22</v>
          </cell>
          <cell r="E7227" t="str">
            <v>Taxes on production and imports, less Subsidies</v>
          </cell>
          <cell r="F7227">
            <v>12</v>
          </cell>
          <cell r="G7227">
            <v>1990</v>
          </cell>
          <cell r="H7227">
            <v>10</v>
          </cell>
          <cell r="I7227">
            <v>137000000000</v>
          </cell>
        </row>
        <row r="7228">
          <cell r="A7228" t="str">
            <v>Cote d'Ivoire</v>
          </cell>
          <cell r="B7228">
            <v>384</v>
          </cell>
          <cell r="C7228">
            <v>203</v>
          </cell>
          <cell r="D7228">
            <v>22</v>
          </cell>
          <cell r="E7228" t="str">
            <v>Taxes on production and imports, less Subsidies</v>
          </cell>
          <cell r="F7228">
            <v>12</v>
          </cell>
          <cell r="G7228">
            <v>1991</v>
          </cell>
          <cell r="H7228">
            <v>10</v>
          </cell>
          <cell r="I7228">
            <v>168000000000</v>
          </cell>
        </row>
        <row r="7229">
          <cell r="A7229" t="str">
            <v>Cote d'Ivoire</v>
          </cell>
          <cell r="B7229">
            <v>384</v>
          </cell>
          <cell r="C7229">
            <v>203</v>
          </cell>
          <cell r="D7229">
            <v>22</v>
          </cell>
          <cell r="E7229" t="str">
            <v>Taxes on production and imports, less Subsidies</v>
          </cell>
          <cell r="F7229">
            <v>12</v>
          </cell>
          <cell r="G7229">
            <v>1992</v>
          </cell>
          <cell r="H7229">
            <v>10</v>
          </cell>
          <cell r="I7229">
            <v>140000000000</v>
          </cell>
        </row>
        <row r="7230">
          <cell r="A7230" t="str">
            <v>Cote d'Ivoire</v>
          </cell>
          <cell r="B7230">
            <v>384</v>
          </cell>
          <cell r="C7230">
            <v>203</v>
          </cell>
          <cell r="D7230">
            <v>22</v>
          </cell>
          <cell r="E7230" t="str">
            <v>Taxes on production and imports, less Subsidies</v>
          </cell>
          <cell r="F7230">
            <v>12</v>
          </cell>
          <cell r="G7230">
            <v>1993</v>
          </cell>
          <cell r="H7230">
            <v>10</v>
          </cell>
          <cell r="I7230">
            <v>90000000000</v>
          </cell>
        </row>
        <row r="7231">
          <cell r="A7231" t="str">
            <v>Cote d'Ivoire</v>
          </cell>
          <cell r="B7231">
            <v>384</v>
          </cell>
          <cell r="C7231">
            <v>203</v>
          </cell>
          <cell r="D7231">
            <v>22</v>
          </cell>
          <cell r="E7231" t="str">
            <v>Taxes on production and imports, less Subsidies</v>
          </cell>
          <cell r="F7231">
            <v>12</v>
          </cell>
          <cell r="G7231">
            <v>1994</v>
          </cell>
          <cell r="H7231">
            <v>10</v>
          </cell>
          <cell r="I7231">
            <v>14000000000</v>
          </cell>
        </row>
        <row r="7232">
          <cell r="A7232" t="str">
            <v>Cote d'Ivoire</v>
          </cell>
          <cell r="B7232">
            <v>384</v>
          </cell>
          <cell r="C7232">
            <v>203</v>
          </cell>
          <cell r="D7232">
            <v>22</v>
          </cell>
          <cell r="E7232" t="str">
            <v>Taxes on production and imports, less Subsidies</v>
          </cell>
          <cell r="F7232">
            <v>12</v>
          </cell>
          <cell r="G7232">
            <v>1995</v>
          </cell>
          <cell r="H7232">
            <v>10</v>
          </cell>
          <cell r="I7232">
            <v>169000000000</v>
          </cell>
        </row>
        <row r="7233">
          <cell r="A7233" t="str">
            <v>Cote d'Ivoire</v>
          </cell>
          <cell r="B7233">
            <v>384</v>
          </cell>
          <cell r="C7233">
            <v>203</v>
          </cell>
          <cell r="D7233">
            <v>22</v>
          </cell>
          <cell r="E7233" t="str">
            <v>Taxes on production and imports, less Subsidies</v>
          </cell>
          <cell r="F7233">
            <v>12</v>
          </cell>
          <cell r="G7233">
            <v>1996</v>
          </cell>
          <cell r="H7233">
            <v>10</v>
          </cell>
          <cell r="I7233">
            <v>176000000000</v>
          </cell>
        </row>
        <row r="7234">
          <cell r="A7234" t="str">
            <v>Cote d'Ivoire</v>
          </cell>
          <cell r="B7234">
            <v>384</v>
          </cell>
          <cell r="C7234">
            <v>203</v>
          </cell>
          <cell r="D7234">
            <v>22</v>
          </cell>
          <cell r="E7234" t="str">
            <v>Taxes on production and imports, less Subsidies</v>
          </cell>
          <cell r="F7234">
            <v>12</v>
          </cell>
          <cell r="G7234">
            <v>1997</v>
          </cell>
          <cell r="H7234">
            <v>10</v>
          </cell>
          <cell r="I7234">
            <v>176170000000</v>
          </cell>
        </row>
        <row r="7235">
          <cell r="A7235" t="str">
            <v>Cote d'Ivoire</v>
          </cell>
          <cell r="B7235">
            <v>384</v>
          </cell>
          <cell r="C7235">
            <v>203</v>
          </cell>
          <cell r="D7235">
            <v>22</v>
          </cell>
          <cell r="E7235" t="str">
            <v>Taxes on production and imports, less Subsidies</v>
          </cell>
          <cell r="F7235">
            <v>12</v>
          </cell>
          <cell r="G7235">
            <v>1998</v>
          </cell>
          <cell r="H7235">
            <v>10</v>
          </cell>
          <cell r="I7235">
            <v>203375000000</v>
          </cell>
        </row>
        <row r="7236">
          <cell r="A7236" t="str">
            <v>Cote d'Ivoire</v>
          </cell>
          <cell r="B7236">
            <v>384</v>
          </cell>
          <cell r="C7236">
            <v>203</v>
          </cell>
          <cell r="D7236">
            <v>22</v>
          </cell>
          <cell r="E7236" t="str">
            <v>Taxes on production and imports, less Subsidies</v>
          </cell>
          <cell r="F7236">
            <v>12</v>
          </cell>
          <cell r="G7236">
            <v>1999</v>
          </cell>
          <cell r="H7236">
            <v>10</v>
          </cell>
          <cell r="I7236">
            <v>158300000000</v>
          </cell>
        </row>
        <row r="7237">
          <cell r="A7237" t="str">
            <v>Cote d'Ivoire</v>
          </cell>
          <cell r="B7237">
            <v>384</v>
          </cell>
          <cell r="C7237">
            <v>203</v>
          </cell>
          <cell r="D7237">
            <v>22</v>
          </cell>
          <cell r="E7237" t="str">
            <v>Taxes on production and imports, less Subsidies</v>
          </cell>
          <cell r="F7237">
            <v>12</v>
          </cell>
          <cell r="G7237">
            <v>2000</v>
          </cell>
          <cell r="H7237">
            <v>10</v>
          </cell>
          <cell r="I7237">
            <v>213200000000</v>
          </cell>
        </row>
        <row r="7238">
          <cell r="A7238" t="str">
            <v>Kazakhstan</v>
          </cell>
          <cell r="B7238">
            <v>398</v>
          </cell>
          <cell r="C7238">
            <v>201</v>
          </cell>
          <cell r="D7238">
            <v>13</v>
          </cell>
          <cell r="E7238" t="str">
            <v>Less: Financial intermediation services indirectly measured (FISIM) (only to be deducted if FISIM is not distributed to uses)</v>
          </cell>
          <cell r="F7238">
            <v>0</v>
          </cell>
          <cell r="G7238">
            <v>1990</v>
          </cell>
          <cell r="H7238">
            <v>100</v>
          </cell>
          <cell r="I7238">
            <v>400000000</v>
          </cell>
        </row>
        <row r="7239">
          <cell r="A7239" t="str">
            <v>Kazakhstan</v>
          </cell>
          <cell r="B7239">
            <v>398</v>
          </cell>
          <cell r="C7239">
            <v>201</v>
          </cell>
          <cell r="D7239">
            <v>13</v>
          </cell>
          <cell r="E7239" t="str">
            <v>Less: Financial intermediation services indirectly measured (FISIM) (only to be deducted if FISIM is not distributed to uses)</v>
          </cell>
          <cell r="F7239">
            <v>0</v>
          </cell>
          <cell r="G7239">
            <v>1991</v>
          </cell>
          <cell r="H7239">
            <v>100</v>
          </cell>
          <cell r="I7239">
            <v>2100000000</v>
          </cell>
        </row>
        <row r="7240">
          <cell r="A7240" t="str">
            <v>Kazakhstan</v>
          </cell>
          <cell r="B7240">
            <v>398</v>
          </cell>
          <cell r="C7240">
            <v>201</v>
          </cell>
          <cell r="D7240">
            <v>13</v>
          </cell>
          <cell r="E7240" t="str">
            <v>Less: Financial intermediation services indirectly measured (FISIM) (only to be deducted if FISIM is not distributed to uses)</v>
          </cell>
          <cell r="F7240">
            <v>0</v>
          </cell>
          <cell r="G7240">
            <v>1992</v>
          </cell>
          <cell r="H7240">
            <v>100</v>
          </cell>
          <cell r="I7240">
            <v>63800000000</v>
          </cell>
        </row>
        <row r="7241">
          <cell r="A7241" t="str">
            <v>Kazakhstan</v>
          </cell>
          <cell r="B7241">
            <v>398</v>
          </cell>
          <cell r="C7241">
            <v>201</v>
          </cell>
          <cell r="D7241">
            <v>13</v>
          </cell>
          <cell r="E7241" t="str">
            <v>Less: Financial intermediation services indirectly measured (FISIM) (only to be deducted if FISIM is not distributed to uses)</v>
          </cell>
          <cell r="F7241">
            <v>0</v>
          </cell>
          <cell r="G7241">
            <v>1993</v>
          </cell>
          <cell r="H7241">
            <v>200</v>
          </cell>
          <cell r="I7241">
            <v>1933300000</v>
          </cell>
        </row>
        <row r="7242">
          <cell r="A7242" t="str">
            <v>Kazakhstan</v>
          </cell>
          <cell r="B7242">
            <v>398</v>
          </cell>
          <cell r="C7242">
            <v>201</v>
          </cell>
          <cell r="D7242">
            <v>13</v>
          </cell>
          <cell r="E7242" t="str">
            <v>Less: Financial intermediation services indirectly measured (FISIM) (only to be deducted if FISIM is not distributed to uses)</v>
          </cell>
          <cell r="F7242">
            <v>0</v>
          </cell>
          <cell r="G7242">
            <v>1994</v>
          </cell>
          <cell r="H7242">
            <v>200</v>
          </cell>
          <cell r="I7242">
            <v>5455600000</v>
          </cell>
        </row>
        <row r="7243">
          <cell r="A7243" t="str">
            <v>Kazakhstan</v>
          </cell>
          <cell r="B7243">
            <v>398</v>
          </cell>
          <cell r="C7243">
            <v>201</v>
          </cell>
          <cell r="D7243">
            <v>13</v>
          </cell>
          <cell r="E7243" t="str">
            <v>Less: Financial intermediation services indirectly measured (FISIM) (only to be deducted if FISIM is not distributed to uses)</v>
          </cell>
          <cell r="F7243">
            <v>0</v>
          </cell>
          <cell r="G7243">
            <v>1995</v>
          </cell>
          <cell r="H7243">
            <v>200</v>
          </cell>
          <cell r="I7243">
            <v>6696100000</v>
          </cell>
        </row>
        <row r="7244">
          <cell r="A7244" t="str">
            <v>Kazakhstan</v>
          </cell>
          <cell r="B7244">
            <v>398</v>
          </cell>
          <cell r="C7244">
            <v>201</v>
          </cell>
          <cell r="D7244">
            <v>13</v>
          </cell>
          <cell r="E7244" t="str">
            <v>Less: Financial intermediation services indirectly measured (FISIM) (only to be deducted if FISIM is not distributed to uses)</v>
          </cell>
          <cell r="F7244">
            <v>0</v>
          </cell>
          <cell r="G7244">
            <v>1996</v>
          </cell>
          <cell r="H7244">
            <v>200</v>
          </cell>
          <cell r="I7244">
            <v>10696000000</v>
          </cell>
        </row>
        <row r="7245">
          <cell r="A7245" t="str">
            <v>Kazakhstan</v>
          </cell>
          <cell r="B7245">
            <v>398</v>
          </cell>
          <cell r="C7245">
            <v>201</v>
          </cell>
          <cell r="D7245">
            <v>13</v>
          </cell>
          <cell r="E7245" t="str">
            <v>Less: Financial intermediation services indirectly measured (FISIM) (only to be deducted if FISIM is not distributed to uses)</v>
          </cell>
          <cell r="F7245">
            <v>0</v>
          </cell>
          <cell r="G7245">
            <v>1997</v>
          </cell>
          <cell r="H7245">
            <v>200</v>
          </cell>
          <cell r="I7245">
            <v>8041400000</v>
          </cell>
        </row>
        <row r="7246">
          <cell r="A7246" t="str">
            <v>Kazakhstan</v>
          </cell>
          <cell r="B7246">
            <v>398</v>
          </cell>
          <cell r="C7246">
            <v>201</v>
          </cell>
          <cell r="D7246">
            <v>13</v>
          </cell>
          <cell r="E7246" t="str">
            <v>Less: Financial intermediation services indirectly measured (FISIM) (only to be deducted if FISIM is not distributed to uses)</v>
          </cell>
          <cell r="F7246">
            <v>0</v>
          </cell>
          <cell r="G7246">
            <v>1998</v>
          </cell>
          <cell r="H7246">
            <v>200</v>
          </cell>
          <cell r="I7246">
            <v>10370400000</v>
          </cell>
        </row>
        <row r="7247">
          <cell r="A7247" t="str">
            <v>Kazakhstan</v>
          </cell>
          <cell r="B7247">
            <v>398</v>
          </cell>
          <cell r="C7247">
            <v>201</v>
          </cell>
          <cell r="D7247">
            <v>13</v>
          </cell>
          <cell r="E7247" t="str">
            <v>Less: Financial intermediation services indirectly measured (FISIM) (only to be deducted if FISIM is not distributed to uses)</v>
          </cell>
          <cell r="F7247">
            <v>0</v>
          </cell>
          <cell r="G7247">
            <v>1999</v>
          </cell>
          <cell r="H7247">
            <v>200</v>
          </cell>
          <cell r="I7247">
            <v>18660600000</v>
          </cell>
        </row>
        <row r="7248">
          <cell r="A7248" t="str">
            <v>Kazakhstan</v>
          </cell>
          <cell r="B7248">
            <v>398</v>
          </cell>
          <cell r="C7248">
            <v>201</v>
          </cell>
          <cell r="D7248">
            <v>13</v>
          </cell>
          <cell r="E7248" t="str">
            <v>Less: Financial intermediation services indirectly measured (FISIM) (only to be deducted if FISIM is not distributed to uses)</v>
          </cell>
          <cell r="F7248">
            <v>0</v>
          </cell>
          <cell r="G7248">
            <v>2000</v>
          </cell>
          <cell r="H7248">
            <v>200</v>
          </cell>
          <cell r="I7248">
            <v>23660000000</v>
          </cell>
        </row>
        <row r="7249">
          <cell r="A7249" t="str">
            <v>Kazakhstan</v>
          </cell>
          <cell r="B7249">
            <v>398</v>
          </cell>
          <cell r="C7249">
            <v>201</v>
          </cell>
          <cell r="D7249">
            <v>13</v>
          </cell>
          <cell r="E7249" t="str">
            <v>Less: Financial intermediation services indirectly measured (FISIM) (only to be deducted if FISIM is not distributed to uses)</v>
          </cell>
          <cell r="F7249">
            <v>0</v>
          </cell>
          <cell r="G7249">
            <v>2001</v>
          </cell>
          <cell r="H7249">
            <v>200</v>
          </cell>
          <cell r="I7249">
            <v>37339500000</v>
          </cell>
        </row>
        <row r="7250">
          <cell r="A7250" t="str">
            <v>Kazakhstan</v>
          </cell>
          <cell r="B7250">
            <v>398</v>
          </cell>
          <cell r="C7250">
            <v>201</v>
          </cell>
          <cell r="D7250">
            <v>13</v>
          </cell>
          <cell r="E7250" t="str">
            <v>Less: Financial intermediation services indirectly measured (FISIM) (only to be deducted if FISIM is not distributed to uses)</v>
          </cell>
          <cell r="F7250">
            <v>0</v>
          </cell>
          <cell r="G7250">
            <v>2002</v>
          </cell>
          <cell r="H7250">
            <v>200</v>
          </cell>
          <cell r="I7250">
            <v>55702800000</v>
          </cell>
        </row>
        <row r="7251">
          <cell r="A7251" t="str">
            <v>Kazakhstan</v>
          </cell>
          <cell r="B7251">
            <v>398</v>
          </cell>
          <cell r="C7251">
            <v>201</v>
          </cell>
          <cell r="D7251">
            <v>13</v>
          </cell>
          <cell r="E7251" t="str">
            <v>Less: Financial intermediation services indirectly measured (FISIM) (only to be deducted if FISIM is not distributed to uses)</v>
          </cell>
          <cell r="F7251">
            <v>0</v>
          </cell>
          <cell r="G7251">
            <v>2003</v>
          </cell>
          <cell r="H7251">
            <v>200</v>
          </cell>
          <cell r="I7251">
            <v>71332100000</v>
          </cell>
        </row>
        <row r="7252">
          <cell r="A7252" t="str">
            <v>Kazakhstan</v>
          </cell>
          <cell r="B7252">
            <v>398</v>
          </cell>
          <cell r="C7252">
            <v>201</v>
          </cell>
          <cell r="D7252">
            <v>13</v>
          </cell>
          <cell r="E7252" t="str">
            <v>Less: Financial intermediation services indirectly measured (FISIM) (only to be deducted if FISIM is not distributed to uses)</v>
          </cell>
          <cell r="F7252">
            <v>0</v>
          </cell>
          <cell r="G7252">
            <v>2004</v>
          </cell>
          <cell r="H7252">
            <v>200</v>
          </cell>
          <cell r="I7252">
            <v>100300000000</v>
          </cell>
        </row>
        <row r="7253">
          <cell r="A7253" t="str">
            <v>Namibia</v>
          </cell>
          <cell r="B7253">
            <v>516</v>
          </cell>
          <cell r="C7253">
            <v>203</v>
          </cell>
          <cell r="D7253">
            <v>22</v>
          </cell>
          <cell r="E7253" t="str">
            <v>Taxes on production and imports, less Subsidies</v>
          </cell>
          <cell r="F7253">
            <v>12</v>
          </cell>
          <cell r="G7253">
            <v>1989</v>
          </cell>
          <cell r="H7253">
            <v>100</v>
          </cell>
          <cell r="I7253">
            <v>3000000</v>
          </cell>
        </row>
        <row r="7254">
          <cell r="A7254" t="str">
            <v>Namibia</v>
          </cell>
          <cell r="B7254">
            <v>516</v>
          </cell>
          <cell r="C7254">
            <v>203</v>
          </cell>
          <cell r="D7254">
            <v>22</v>
          </cell>
          <cell r="E7254" t="str">
            <v>Taxes on production and imports, less Subsidies</v>
          </cell>
          <cell r="F7254">
            <v>12</v>
          </cell>
          <cell r="G7254">
            <v>1990</v>
          </cell>
          <cell r="H7254">
            <v>100</v>
          </cell>
          <cell r="I7254">
            <v>41000000</v>
          </cell>
        </row>
        <row r="7255">
          <cell r="A7255" t="str">
            <v>Namibia</v>
          </cell>
          <cell r="B7255">
            <v>516</v>
          </cell>
          <cell r="C7255">
            <v>203</v>
          </cell>
          <cell r="D7255">
            <v>22</v>
          </cell>
          <cell r="E7255" t="str">
            <v>Taxes on production and imports, less Subsidies</v>
          </cell>
          <cell r="F7255">
            <v>12</v>
          </cell>
          <cell r="G7255">
            <v>1991</v>
          </cell>
          <cell r="H7255">
            <v>100</v>
          </cell>
          <cell r="I7255">
            <v>63000000</v>
          </cell>
        </row>
        <row r="7256">
          <cell r="A7256" t="str">
            <v>Namibia</v>
          </cell>
          <cell r="B7256">
            <v>516</v>
          </cell>
          <cell r="C7256">
            <v>203</v>
          </cell>
          <cell r="D7256">
            <v>22</v>
          </cell>
          <cell r="E7256" t="str">
            <v>Taxes on production and imports, less Subsidies</v>
          </cell>
          <cell r="F7256">
            <v>12</v>
          </cell>
          <cell r="G7256">
            <v>1992</v>
          </cell>
          <cell r="H7256">
            <v>100</v>
          </cell>
          <cell r="I7256">
            <v>40000000</v>
          </cell>
        </row>
        <row r="7257">
          <cell r="A7257" t="str">
            <v>Namibia</v>
          </cell>
          <cell r="B7257">
            <v>516</v>
          </cell>
          <cell r="C7257">
            <v>203</v>
          </cell>
          <cell r="D7257">
            <v>22</v>
          </cell>
          <cell r="E7257" t="str">
            <v>Taxes on production and imports, less Subsidies</v>
          </cell>
          <cell r="F7257">
            <v>12</v>
          </cell>
          <cell r="G7257">
            <v>1993</v>
          </cell>
          <cell r="H7257">
            <v>100</v>
          </cell>
          <cell r="I7257">
            <v>111000000</v>
          </cell>
        </row>
        <row r="7258">
          <cell r="A7258" t="str">
            <v>Namibia</v>
          </cell>
          <cell r="B7258">
            <v>516</v>
          </cell>
          <cell r="C7258">
            <v>203</v>
          </cell>
          <cell r="D7258">
            <v>22</v>
          </cell>
          <cell r="E7258" t="str">
            <v>Taxes on production and imports, less Subsidies</v>
          </cell>
          <cell r="F7258">
            <v>12</v>
          </cell>
          <cell r="G7258">
            <v>1994</v>
          </cell>
          <cell r="H7258">
            <v>100</v>
          </cell>
          <cell r="I7258">
            <v>178000000</v>
          </cell>
        </row>
        <row r="7259">
          <cell r="A7259" t="str">
            <v>Namibia</v>
          </cell>
          <cell r="B7259">
            <v>516</v>
          </cell>
          <cell r="C7259">
            <v>203</v>
          </cell>
          <cell r="D7259">
            <v>22</v>
          </cell>
          <cell r="E7259" t="str">
            <v>Taxes on production and imports, less Subsidies</v>
          </cell>
          <cell r="F7259">
            <v>12</v>
          </cell>
          <cell r="G7259">
            <v>1995</v>
          </cell>
          <cell r="H7259">
            <v>100</v>
          </cell>
          <cell r="I7259">
            <v>177000000</v>
          </cell>
        </row>
        <row r="7260">
          <cell r="A7260" t="str">
            <v>Namibia</v>
          </cell>
          <cell r="B7260">
            <v>516</v>
          </cell>
          <cell r="C7260">
            <v>203</v>
          </cell>
          <cell r="D7260">
            <v>22</v>
          </cell>
          <cell r="E7260" t="str">
            <v>Taxes on production and imports, less Subsidies</v>
          </cell>
          <cell r="F7260">
            <v>12</v>
          </cell>
          <cell r="G7260">
            <v>1996</v>
          </cell>
          <cell r="H7260">
            <v>100</v>
          </cell>
          <cell r="I7260">
            <v>149000000</v>
          </cell>
        </row>
        <row r="7261">
          <cell r="A7261" t="str">
            <v>Namibia</v>
          </cell>
          <cell r="B7261">
            <v>516</v>
          </cell>
          <cell r="C7261">
            <v>203</v>
          </cell>
          <cell r="D7261">
            <v>22</v>
          </cell>
          <cell r="E7261" t="str">
            <v>Taxes on production and imports, less Subsidies</v>
          </cell>
          <cell r="F7261">
            <v>12</v>
          </cell>
          <cell r="G7261">
            <v>1997</v>
          </cell>
          <cell r="H7261">
            <v>100</v>
          </cell>
          <cell r="I7261">
            <v>173000000</v>
          </cell>
        </row>
        <row r="7262">
          <cell r="A7262" t="str">
            <v>Namibia</v>
          </cell>
          <cell r="B7262">
            <v>516</v>
          </cell>
          <cell r="C7262">
            <v>203</v>
          </cell>
          <cell r="D7262">
            <v>22</v>
          </cell>
          <cell r="E7262" t="str">
            <v>Taxes on production and imports, less Subsidies</v>
          </cell>
          <cell r="F7262">
            <v>12</v>
          </cell>
          <cell r="G7262">
            <v>1998</v>
          </cell>
          <cell r="H7262">
            <v>100</v>
          </cell>
          <cell r="I7262">
            <v>193000000</v>
          </cell>
        </row>
        <row r="7263">
          <cell r="A7263" t="str">
            <v>Namibia</v>
          </cell>
          <cell r="B7263">
            <v>516</v>
          </cell>
          <cell r="C7263">
            <v>203</v>
          </cell>
          <cell r="D7263">
            <v>22</v>
          </cell>
          <cell r="E7263" t="str">
            <v>Taxes on production and imports, less Subsidies</v>
          </cell>
          <cell r="F7263">
            <v>12</v>
          </cell>
          <cell r="G7263">
            <v>1999</v>
          </cell>
          <cell r="H7263">
            <v>100</v>
          </cell>
          <cell r="I7263">
            <v>199000000</v>
          </cell>
        </row>
        <row r="7264">
          <cell r="A7264" t="str">
            <v>Namibia</v>
          </cell>
          <cell r="B7264">
            <v>516</v>
          </cell>
          <cell r="C7264">
            <v>203</v>
          </cell>
          <cell r="D7264">
            <v>22</v>
          </cell>
          <cell r="E7264" t="str">
            <v>Taxes on production and imports, less Subsidies</v>
          </cell>
          <cell r="F7264">
            <v>12</v>
          </cell>
          <cell r="G7264">
            <v>2000</v>
          </cell>
          <cell r="H7264">
            <v>100</v>
          </cell>
          <cell r="I7264">
            <v>216000000</v>
          </cell>
        </row>
        <row r="7265">
          <cell r="A7265" t="str">
            <v>Namibia</v>
          </cell>
          <cell r="B7265">
            <v>516</v>
          </cell>
          <cell r="C7265">
            <v>203</v>
          </cell>
          <cell r="D7265">
            <v>22</v>
          </cell>
          <cell r="E7265" t="str">
            <v>Taxes on production and imports, less Subsidies</v>
          </cell>
          <cell r="F7265">
            <v>12</v>
          </cell>
          <cell r="G7265">
            <v>2001</v>
          </cell>
          <cell r="H7265">
            <v>100</v>
          </cell>
          <cell r="I7265">
            <v>99000000</v>
          </cell>
        </row>
        <row r="7266">
          <cell r="A7266" t="str">
            <v>Kazakhstan</v>
          </cell>
          <cell r="B7266">
            <v>398</v>
          </cell>
          <cell r="C7266">
            <v>203</v>
          </cell>
          <cell r="D7266">
            <v>3</v>
          </cell>
          <cell r="E7266" t="str">
            <v>Equals: VALUE ADDED, GROSS, at basic prices</v>
          </cell>
          <cell r="F7266">
            <v>12</v>
          </cell>
          <cell r="G7266">
            <v>1990</v>
          </cell>
          <cell r="H7266">
            <v>100</v>
          </cell>
          <cell r="I7266">
            <v>48012500000</v>
          </cell>
        </row>
        <row r="7267">
          <cell r="A7267" t="str">
            <v>Kazakhstan</v>
          </cell>
          <cell r="B7267">
            <v>398</v>
          </cell>
          <cell r="C7267">
            <v>203</v>
          </cell>
          <cell r="D7267">
            <v>3</v>
          </cell>
          <cell r="E7267" t="str">
            <v>Equals: VALUE ADDED, GROSS, at basic prices</v>
          </cell>
          <cell r="F7267">
            <v>12</v>
          </cell>
          <cell r="G7267">
            <v>1991</v>
          </cell>
          <cell r="H7267">
            <v>100</v>
          </cell>
          <cell r="I7267">
            <v>86434100000</v>
          </cell>
        </row>
        <row r="7268">
          <cell r="A7268" t="str">
            <v>Kazakhstan</v>
          </cell>
          <cell r="B7268">
            <v>398</v>
          </cell>
          <cell r="C7268">
            <v>203</v>
          </cell>
          <cell r="D7268">
            <v>3</v>
          </cell>
          <cell r="E7268" t="str">
            <v>Equals: VALUE ADDED, GROSS, at basic prices</v>
          </cell>
          <cell r="F7268">
            <v>12</v>
          </cell>
          <cell r="G7268">
            <v>1992</v>
          </cell>
          <cell r="H7268">
            <v>100</v>
          </cell>
          <cell r="I7268">
            <v>1162114500000</v>
          </cell>
        </row>
        <row r="7269">
          <cell r="A7269" t="str">
            <v>Kazakhstan</v>
          </cell>
          <cell r="B7269">
            <v>398</v>
          </cell>
          <cell r="C7269">
            <v>203</v>
          </cell>
          <cell r="D7269">
            <v>3</v>
          </cell>
          <cell r="E7269" t="str">
            <v>Equals: VALUE ADDED, GROSS, at basic prices</v>
          </cell>
          <cell r="F7269">
            <v>12</v>
          </cell>
          <cell r="G7269">
            <v>1993</v>
          </cell>
          <cell r="H7269">
            <v>150</v>
          </cell>
          <cell r="I7269">
            <v>27626200000</v>
          </cell>
        </row>
        <row r="7270">
          <cell r="A7270" t="str">
            <v>Kazakhstan</v>
          </cell>
          <cell r="B7270">
            <v>398</v>
          </cell>
          <cell r="C7270">
            <v>203</v>
          </cell>
          <cell r="D7270">
            <v>3</v>
          </cell>
          <cell r="E7270" t="str">
            <v>Equals: VALUE ADDED, GROSS, at basic prices</v>
          </cell>
          <cell r="F7270">
            <v>12</v>
          </cell>
          <cell r="G7270">
            <v>1994</v>
          </cell>
          <cell r="H7270">
            <v>150</v>
          </cell>
          <cell r="I7270">
            <v>409630200000</v>
          </cell>
        </row>
        <row r="7271">
          <cell r="A7271" t="str">
            <v>Kazakhstan</v>
          </cell>
          <cell r="B7271">
            <v>398</v>
          </cell>
          <cell r="C7271">
            <v>203</v>
          </cell>
          <cell r="D7271">
            <v>3</v>
          </cell>
          <cell r="E7271" t="str">
            <v>Equals: VALUE ADDED, GROSS, at basic prices</v>
          </cell>
          <cell r="F7271">
            <v>12</v>
          </cell>
          <cell r="G7271">
            <v>1995</v>
          </cell>
          <cell r="H7271">
            <v>150</v>
          </cell>
          <cell r="I7271">
            <v>969856400000</v>
          </cell>
        </row>
        <row r="7272">
          <cell r="A7272" t="str">
            <v>Kazakhstan</v>
          </cell>
          <cell r="B7272">
            <v>398</v>
          </cell>
          <cell r="C7272">
            <v>203</v>
          </cell>
          <cell r="D7272">
            <v>3</v>
          </cell>
          <cell r="E7272" t="str">
            <v>Equals: VALUE ADDED, GROSS, at basic prices</v>
          </cell>
          <cell r="F7272">
            <v>12</v>
          </cell>
          <cell r="G7272">
            <v>1996</v>
          </cell>
          <cell r="H7272">
            <v>150</v>
          </cell>
          <cell r="I7272">
            <v>1345341200000</v>
          </cell>
        </row>
        <row r="7273">
          <cell r="A7273" t="str">
            <v>Kazakhstan</v>
          </cell>
          <cell r="B7273">
            <v>398</v>
          </cell>
          <cell r="C7273">
            <v>203</v>
          </cell>
          <cell r="D7273">
            <v>3</v>
          </cell>
          <cell r="E7273" t="str">
            <v>Equals: VALUE ADDED, GROSS, at basic prices</v>
          </cell>
          <cell r="F7273">
            <v>12</v>
          </cell>
          <cell r="G7273">
            <v>1997</v>
          </cell>
          <cell r="H7273">
            <v>150</v>
          </cell>
          <cell r="I7273">
            <v>1595257400000</v>
          </cell>
        </row>
        <row r="7274">
          <cell r="A7274" t="str">
            <v>Kazakhstan</v>
          </cell>
          <cell r="B7274">
            <v>398</v>
          </cell>
          <cell r="C7274">
            <v>203</v>
          </cell>
          <cell r="D7274">
            <v>3</v>
          </cell>
          <cell r="E7274" t="str">
            <v>Equals: VALUE ADDED, GROSS, at basic prices</v>
          </cell>
          <cell r="F7274">
            <v>12</v>
          </cell>
          <cell r="G7274">
            <v>1998</v>
          </cell>
          <cell r="H7274">
            <v>200</v>
          </cell>
          <cell r="I7274">
            <v>1629592600000</v>
          </cell>
        </row>
        <row r="7275">
          <cell r="A7275" t="str">
            <v>Kazakhstan</v>
          </cell>
          <cell r="B7275">
            <v>398</v>
          </cell>
          <cell r="C7275">
            <v>203</v>
          </cell>
          <cell r="D7275">
            <v>3</v>
          </cell>
          <cell r="E7275" t="str">
            <v>Equals: VALUE ADDED, GROSS, at basic prices</v>
          </cell>
          <cell r="F7275">
            <v>12</v>
          </cell>
          <cell r="G7275">
            <v>1999</v>
          </cell>
          <cell r="H7275">
            <v>200</v>
          </cell>
          <cell r="I7275">
            <v>1902928300000</v>
          </cell>
        </row>
        <row r="7276">
          <cell r="A7276" t="str">
            <v>Kazakhstan</v>
          </cell>
          <cell r="B7276">
            <v>398</v>
          </cell>
          <cell r="C7276">
            <v>203</v>
          </cell>
          <cell r="D7276">
            <v>3</v>
          </cell>
          <cell r="E7276" t="str">
            <v>Equals: VALUE ADDED, GROSS, at basic prices</v>
          </cell>
          <cell r="F7276">
            <v>12</v>
          </cell>
          <cell r="G7276">
            <v>2000</v>
          </cell>
          <cell r="H7276">
            <v>200</v>
          </cell>
          <cell r="I7276">
            <v>2427219200000</v>
          </cell>
        </row>
        <row r="7277">
          <cell r="A7277" t="str">
            <v>Kazakhstan</v>
          </cell>
          <cell r="B7277">
            <v>398</v>
          </cell>
          <cell r="C7277">
            <v>203</v>
          </cell>
          <cell r="D7277">
            <v>3</v>
          </cell>
          <cell r="E7277" t="str">
            <v>Equals: VALUE ADDED, GROSS, at basic prices</v>
          </cell>
          <cell r="F7277">
            <v>12</v>
          </cell>
          <cell r="G7277">
            <v>2001</v>
          </cell>
          <cell r="H7277">
            <v>200</v>
          </cell>
          <cell r="I7277">
            <v>3025966800000</v>
          </cell>
        </row>
        <row r="7278">
          <cell r="A7278" t="str">
            <v>Kazakhstan</v>
          </cell>
          <cell r="B7278">
            <v>398</v>
          </cell>
          <cell r="C7278">
            <v>203</v>
          </cell>
          <cell r="D7278">
            <v>3</v>
          </cell>
          <cell r="E7278" t="str">
            <v>Equals: VALUE ADDED, GROSS, at basic prices</v>
          </cell>
          <cell r="F7278">
            <v>12</v>
          </cell>
          <cell r="G7278">
            <v>2002</v>
          </cell>
          <cell r="H7278">
            <v>200</v>
          </cell>
          <cell r="I7278">
            <v>3504495600000</v>
          </cell>
        </row>
        <row r="7279">
          <cell r="A7279" t="str">
            <v>Kazakhstan</v>
          </cell>
          <cell r="B7279">
            <v>398</v>
          </cell>
          <cell r="C7279">
            <v>203</v>
          </cell>
          <cell r="D7279">
            <v>4</v>
          </cell>
          <cell r="E7279" t="str">
            <v>Compensation of employees</v>
          </cell>
          <cell r="F7279">
            <v>12</v>
          </cell>
          <cell r="G7279">
            <v>1990</v>
          </cell>
          <cell r="H7279">
            <v>100</v>
          </cell>
          <cell r="I7279">
            <v>22171300000</v>
          </cell>
        </row>
        <row r="7280">
          <cell r="A7280" t="str">
            <v>Kazakhstan</v>
          </cell>
          <cell r="B7280">
            <v>398</v>
          </cell>
          <cell r="C7280">
            <v>203</v>
          </cell>
          <cell r="D7280">
            <v>4</v>
          </cell>
          <cell r="E7280" t="str">
            <v>Compensation of employees</v>
          </cell>
          <cell r="F7280">
            <v>12</v>
          </cell>
          <cell r="G7280">
            <v>1991</v>
          </cell>
          <cell r="H7280">
            <v>100</v>
          </cell>
          <cell r="I7280">
            <v>36399400000</v>
          </cell>
        </row>
        <row r="7281">
          <cell r="A7281" t="str">
            <v>Kazakhstan</v>
          </cell>
          <cell r="B7281">
            <v>398</v>
          </cell>
          <cell r="C7281">
            <v>203</v>
          </cell>
          <cell r="D7281">
            <v>4</v>
          </cell>
          <cell r="E7281" t="str">
            <v>Compensation of employees</v>
          </cell>
          <cell r="F7281">
            <v>12</v>
          </cell>
          <cell r="G7281">
            <v>1992</v>
          </cell>
          <cell r="H7281">
            <v>100</v>
          </cell>
          <cell r="I7281">
            <v>478723000000</v>
          </cell>
        </row>
        <row r="7282">
          <cell r="A7282" t="str">
            <v>Kazakhstan</v>
          </cell>
          <cell r="B7282">
            <v>398</v>
          </cell>
          <cell r="C7282">
            <v>203</v>
          </cell>
          <cell r="D7282">
            <v>4</v>
          </cell>
          <cell r="E7282" t="str">
            <v>Compensation of employees</v>
          </cell>
          <cell r="F7282">
            <v>12</v>
          </cell>
          <cell r="G7282">
            <v>1993</v>
          </cell>
          <cell r="H7282">
            <v>150</v>
          </cell>
          <cell r="I7282">
            <v>13273600000</v>
          </cell>
        </row>
        <row r="7283">
          <cell r="A7283" t="str">
            <v>Kazakhstan</v>
          </cell>
          <cell r="B7283">
            <v>398</v>
          </cell>
          <cell r="C7283">
            <v>203</v>
          </cell>
          <cell r="D7283">
            <v>4</v>
          </cell>
          <cell r="E7283" t="str">
            <v>Compensation of employees</v>
          </cell>
          <cell r="F7283">
            <v>12</v>
          </cell>
          <cell r="G7283">
            <v>1994</v>
          </cell>
          <cell r="H7283">
            <v>150</v>
          </cell>
          <cell r="I7283">
            <v>159211100000</v>
          </cell>
        </row>
        <row r="7284">
          <cell r="A7284" t="str">
            <v>Kazakhstan</v>
          </cell>
          <cell r="B7284">
            <v>398</v>
          </cell>
          <cell r="C7284">
            <v>203</v>
          </cell>
          <cell r="D7284">
            <v>4</v>
          </cell>
          <cell r="E7284" t="str">
            <v>Compensation of employees</v>
          </cell>
          <cell r="F7284">
            <v>12</v>
          </cell>
          <cell r="G7284">
            <v>1995</v>
          </cell>
          <cell r="H7284">
            <v>150</v>
          </cell>
          <cell r="I7284">
            <v>378109700000</v>
          </cell>
        </row>
        <row r="7285">
          <cell r="A7285" t="str">
            <v>Kazakhstan</v>
          </cell>
          <cell r="B7285">
            <v>398</v>
          </cell>
          <cell r="C7285">
            <v>203</v>
          </cell>
          <cell r="D7285">
            <v>4</v>
          </cell>
          <cell r="E7285" t="str">
            <v>Compensation of employees</v>
          </cell>
          <cell r="F7285">
            <v>12</v>
          </cell>
          <cell r="G7285">
            <v>1996</v>
          </cell>
          <cell r="H7285">
            <v>150</v>
          </cell>
          <cell r="I7285">
            <v>550256200000</v>
          </cell>
        </row>
        <row r="7286">
          <cell r="A7286" t="str">
            <v>Kazakhstan</v>
          </cell>
          <cell r="B7286">
            <v>398</v>
          </cell>
          <cell r="C7286">
            <v>203</v>
          </cell>
          <cell r="D7286">
            <v>4</v>
          </cell>
          <cell r="E7286" t="str">
            <v>Compensation of employees</v>
          </cell>
          <cell r="F7286">
            <v>12</v>
          </cell>
          <cell r="G7286">
            <v>1997</v>
          </cell>
          <cell r="H7286">
            <v>150</v>
          </cell>
          <cell r="I7286">
            <v>645215300000</v>
          </cell>
        </row>
        <row r="7287">
          <cell r="A7287" t="str">
            <v>Kazakhstan</v>
          </cell>
          <cell r="B7287">
            <v>398</v>
          </cell>
          <cell r="C7287">
            <v>203</v>
          </cell>
          <cell r="D7287">
            <v>4</v>
          </cell>
          <cell r="E7287" t="str">
            <v>Compensation of employees</v>
          </cell>
          <cell r="F7287">
            <v>12</v>
          </cell>
          <cell r="G7287">
            <v>1998</v>
          </cell>
          <cell r="H7287">
            <v>200</v>
          </cell>
          <cell r="I7287">
            <v>654049300000</v>
          </cell>
        </row>
        <row r="7288">
          <cell r="A7288" t="str">
            <v>Kazakhstan</v>
          </cell>
          <cell r="B7288">
            <v>398</v>
          </cell>
          <cell r="C7288">
            <v>203</v>
          </cell>
          <cell r="D7288">
            <v>4</v>
          </cell>
          <cell r="E7288" t="str">
            <v>Compensation of employees</v>
          </cell>
          <cell r="F7288">
            <v>12</v>
          </cell>
          <cell r="G7288">
            <v>1999</v>
          </cell>
          <cell r="H7288">
            <v>200</v>
          </cell>
          <cell r="I7288">
            <v>718624300000</v>
          </cell>
        </row>
        <row r="7289">
          <cell r="A7289" t="str">
            <v>Kazakhstan</v>
          </cell>
          <cell r="B7289">
            <v>398</v>
          </cell>
          <cell r="C7289">
            <v>203</v>
          </cell>
          <cell r="D7289">
            <v>4</v>
          </cell>
          <cell r="E7289" t="str">
            <v>Compensation of employees</v>
          </cell>
          <cell r="F7289">
            <v>12</v>
          </cell>
          <cell r="G7289">
            <v>2000</v>
          </cell>
          <cell r="H7289">
            <v>200</v>
          </cell>
          <cell r="I7289">
            <v>931774600000</v>
          </cell>
        </row>
        <row r="7290">
          <cell r="A7290" t="str">
            <v>Kazakhstan</v>
          </cell>
          <cell r="B7290">
            <v>398</v>
          </cell>
          <cell r="C7290">
            <v>203</v>
          </cell>
          <cell r="D7290">
            <v>4</v>
          </cell>
          <cell r="E7290" t="str">
            <v>Compensation of employees</v>
          </cell>
          <cell r="F7290">
            <v>12</v>
          </cell>
          <cell r="G7290">
            <v>2001</v>
          </cell>
          <cell r="H7290">
            <v>200</v>
          </cell>
          <cell r="I7290">
            <v>1167110000000</v>
          </cell>
        </row>
        <row r="7291">
          <cell r="A7291" t="str">
            <v>Kazakhstan</v>
          </cell>
          <cell r="B7291">
            <v>398</v>
          </cell>
          <cell r="C7291">
            <v>203</v>
          </cell>
          <cell r="D7291">
            <v>4</v>
          </cell>
          <cell r="E7291" t="str">
            <v>Compensation of employees</v>
          </cell>
          <cell r="F7291">
            <v>12</v>
          </cell>
          <cell r="G7291">
            <v>2002</v>
          </cell>
          <cell r="H7291">
            <v>200</v>
          </cell>
          <cell r="I7291">
            <v>1429194500000</v>
          </cell>
        </row>
        <row r="7292">
          <cell r="A7292" t="str">
            <v>Netherlands</v>
          </cell>
          <cell r="B7292">
            <v>528</v>
          </cell>
          <cell r="C7292">
            <v>201</v>
          </cell>
          <cell r="D7292">
            <v>13</v>
          </cell>
          <cell r="E7292" t="str">
            <v>Less: Financial intermediation services indirectly measured (FISIM) (only to be deducted if FISIM is not distributed to uses)</v>
          </cell>
          <cell r="F7292">
            <v>0</v>
          </cell>
          <cell r="G7292">
            <v>1969</v>
          </cell>
          <cell r="H7292">
            <v>200</v>
          </cell>
          <cell r="I7292">
            <v>646000000</v>
          </cell>
        </row>
        <row r="7293">
          <cell r="A7293" t="str">
            <v>Kazakhstan</v>
          </cell>
          <cell r="B7293">
            <v>398</v>
          </cell>
          <cell r="C7293">
            <v>203</v>
          </cell>
          <cell r="D7293">
            <v>11</v>
          </cell>
          <cell r="E7293" t="str">
            <v>OPERATING SURPLUS, GROSS</v>
          </cell>
          <cell r="F7293">
            <v>12</v>
          </cell>
          <cell r="G7293">
            <v>1990</v>
          </cell>
          <cell r="H7293">
            <v>100</v>
          </cell>
          <cell r="I7293">
            <v>18346400000</v>
          </cell>
        </row>
        <row r="7294">
          <cell r="A7294" t="str">
            <v>Kazakhstan</v>
          </cell>
          <cell r="B7294">
            <v>398</v>
          </cell>
          <cell r="C7294">
            <v>203</v>
          </cell>
          <cell r="D7294">
            <v>11</v>
          </cell>
          <cell r="E7294" t="str">
            <v>OPERATING SURPLUS, GROSS</v>
          </cell>
          <cell r="F7294">
            <v>12</v>
          </cell>
          <cell r="G7294">
            <v>1991</v>
          </cell>
          <cell r="H7294">
            <v>100</v>
          </cell>
          <cell r="I7294">
            <v>35545700000</v>
          </cell>
        </row>
        <row r="7295">
          <cell r="A7295" t="str">
            <v>Kazakhstan</v>
          </cell>
          <cell r="B7295">
            <v>398</v>
          </cell>
          <cell r="C7295">
            <v>203</v>
          </cell>
          <cell r="D7295">
            <v>11</v>
          </cell>
          <cell r="E7295" t="str">
            <v>OPERATING SURPLUS, GROSS</v>
          </cell>
          <cell r="F7295">
            <v>12</v>
          </cell>
          <cell r="G7295">
            <v>1992</v>
          </cell>
          <cell r="H7295">
            <v>100</v>
          </cell>
          <cell r="I7295">
            <v>375115700000</v>
          </cell>
        </row>
        <row r="7296">
          <cell r="A7296" t="str">
            <v>Kazakhstan</v>
          </cell>
          <cell r="B7296">
            <v>398</v>
          </cell>
          <cell r="C7296">
            <v>203</v>
          </cell>
          <cell r="D7296">
            <v>11</v>
          </cell>
          <cell r="E7296" t="str">
            <v>OPERATING SURPLUS, GROSS</v>
          </cell>
          <cell r="F7296">
            <v>12</v>
          </cell>
          <cell r="G7296">
            <v>1993</v>
          </cell>
          <cell r="H7296">
            <v>150</v>
          </cell>
          <cell r="I7296">
            <v>7949900000</v>
          </cell>
        </row>
        <row r="7297">
          <cell r="A7297" t="str">
            <v>Kazakhstan</v>
          </cell>
          <cell r="B7297">
            <v>398</v>
          </cell>
          <cell r="C7297">
            <v>203</v>
          </cell>
          <cell r="D7297">
            <v>11</v>
          </cell>
          <cell r="E7297" t="str">
            <v>OPERATING SURPLUS, GROSS</v>
          </cell>
          <cell r="F7297">
            <v>12</v>
          </cell>
          <cell r="G7297">
            <v>1994</v>
          </cell>
          <cell r="H7297">
            <v>150</v>
          </cell>
          <cell r="I7297">
            <v>111257900000</v>
          </cell>
        </row>
        <row r="7298">
          <cell r="A7298" t="str">
            <v>Kazakhstan</v>
          </cell>
          <cell r="B7298">
            <v>398</v>
          </cell>
          <cell r="C7298">
            <v>203</v>
          </cell>
          <cell r="D7298">
            <v>11</v>
          </cell>
          <cell r="E7298" t="str">
            <v>OPERATING SURPLUS, GROSS</v>
          </cell>
          <cell r="F7298">
            <v>12</v>
          </cell>
          <cell r="G7298">
            <v>1995</v>
          </cell>
          <cell r="H7298">
            <v>150</v>
          </cell>
          <cell r="I7298">
            <v>231352700000</v>
          </cell>
        </row>
        <row r="7299">
          <cell r="A7299" t="str">
            <v>Kazakhstan</v>
          </cell>
          <cell r="B7299">
            <v>398</v>
          </cell>
          <cell r="C7299">
            <v>203</v>
          </cell>
          <cell r="D7299">
            <v>11</v>
          </cell>
          <cell r="E7299" t="str">
            <v>OPERATING SURPLUS, GROSS</v>
          </cell>
          <cell r="F7299">
            <v>12</v>
          </cell>
          <cell r="G7299">
            <v>1996</v>
          </cell>
          <cell r="H7299">
            <v>150</v>
          </cell>
          <cell r="I7299">
            <v>319898000000</v>
          </cell>
        </row>
        <row r="7300">
          <cell r="A7300" t="str">
            <v>Kazakhstan</v>
          </cell>
          <cell r="B7300">
            <v>398</v>
          </cell>
          <cell r="C7300">
            <v>203</v>
          </cell>
          <cell r="D7300">
            <v>11</v>
          </cell>
          <cell r="E7300" t="str">
            <v>OPERATING SURPLUS, GROSS</v>
          </cell>
          <cell r="F7300">
            <v>12</v>
          </cell>
          <cell r="G7300">
            <v>1997</v>
          </cell>
          <cell r="H7300">
            <v>150</v>
          </cell>
          <cell r="I7300">
            <v>371658800000</v>
          </cell>
        </row>
        <row r="7301">
          <cell r="A7301" t="str">
            <v>Kazakhstan</v>
          </cell>
          <cell r="B7301">
            <v>398</v>
          </cell>
          <cell r="C7301">
            <v>203</v>
          </cell>
          <cell r="D7301">
            <v>11</v>
          </cell>
          <cell r="E7301" t="str">
            <v>OPERATING SURPLUS, GROSS</v>
          </cell>
          <cell r="F7301">
            <v>12</v>
          </cell>
          <cell r="G7301">
            <v>1998</v>
          </cell>
          <cell r="H7301">
            <v>200</v>
          </cell>
          <cell r="I7301">
            <v>511037800000</v>
          </cell>
        </row>
        <row r="7302">
          <cell r="A7302" t="str">
            <v>Kazakhstan</v>
          </cell>
          <cell r="B7302">
            <v>398</v>
          </cell>
          <cell r="C7302">
            <v>203</v>
          </cell>
          <cell r="D7302">
            <v>11</v>
          </cell>
          <cell r="E7302" t="str">
            <v>OPERATING SURPLUS, GROSS</v>
          </cell>
          <cell r="F7302">
            <v>12</v>
          </cell>
          <cell r="G7302">
            <v>1999</v>
          </cell>
          <cell r="H7302">
            <v>200</v>
          </cell>
          <cell r="I7302">
            <v>648271700000</v>
          </cell>
        </row>
        <row r="7303">
          <cell r="A7303" t="str">
            <v>Kazakhstan</v>
          </cell>
          <cell r="B7303">
            <v>398</v>
          </cell>
          <cell r="C7303">
            <v>203</v>
          </cell>
          <cell r="D7303">
            <v>11</v>
          </cell>
          <cell r="E7303" t="str">
            <v>OPERATING SURPLUS, GROSS</v>
          </cell>
          <cell r="F7303">
            <v>12</v>
          </cell>
          <cell r="G7303">
            <v>2000</v>
          </cell>
          <cell r="H7303">
            <v>200</v>
          </cell>
          <cell r="I7303">
            <v>1046629000000</v>
          </cell>
        </row>
        <row r="7304">
          <cell r="A7304" t="str">
            <v>Kazakhstan</v>
          </cell>
          <cell r="B7304">
            <v>398</v>
          </cell>
          <cell r="C7304">
            <v>203</v>
          </cell>
          <cell r="D7304">
            <v>11</v>
          </cell>
          <cell r="E7304" t="str">
            <v>OPERATING SURPLUS, GROSS</v>
          </cell>
          <cell r="F7304">
            <v>12</v>
          </cell>
          <cell r="G7304">
            <v>2001</v>
          </cell>
          <cell r="H7304">
            <v>200</v>
          </cell>
          <cell r="I7304">
            <v>1280904200000</v>
          </cell>
        </row>
        <row r="7305">
          <cell r="A7305" t="str">
            <v>Kazakhstan</v>
          </cell>
          <cell r="B7305">
            <v>398</v>
          </cell>
          <cell r="C7305">
            <v>203</v>
          </cell>
          <cell r="D7305">
            <v>11</v>
          </cell>
          <cell r="E7305" t="str">
            <v>OPERATING SURPLUS, GROSS</v>
          </cell>
          <cell r="F7305">
            <v>12</v>
          </cell>
          <cell r="G7305">
            <v>2002</v>
          </cell>
          <cell r="H7305">
            <v>200</v>
          </cell>
          <cell r="I7305">
            <v>1285653900000</v>
          </cell>
        </row>
        <row r="7306">
          <cell r="A7306" t="str">
            <v>Netherlands</v>
          </cell>
          <cell r="B7306">
            <v>528</v>
          </cell>
          <cell r="C7306">
            <v>201</v>
          </cell>
          <cell r="D7306">
            <v>13</v>
          </cell>
          <cell r="E7306" t="str">
            <v>Less: Financial intermediation services indirectly measured (FISIM) (only to be deducted if FISIM is not distributed to uses)</v>
          </cell>
          <cell r="F7306">
            <v>0</v>
          </cell>
          <cell r="G7306">
            <v>1970</v>
          </cell>
          <cell r="H7306">
            <v>200</v>
          </cell>
          <cell r="I7306">
            <v>829000000</v>
          </cell>
        </row>
        <row r="7307">
          <cell r="A7307" t="str">
            <v>Netherlands</v>
          </cell>
          <cell r="B7307">
            <v>528</v>
          </cell>
          <cell r="C7307">
            <v>201</v>
          </cell>
          <cell r="D7307">
            <v>13</v>
          </cell>
          <cell r="E7307" t="str">
            <v>Less: Financial intermediation services indirectly measured (FISIM) (only to be deducted if FISIM is not distributed to uses)</v>
          </cell>
          <cell r="F7307">
            <v>0</v>
          </cell>
          <cell r="G7307">
            <v>1971</v>
          </cell>
          <cell r="H7307">
            <v>200</v>
          </cell>
          <cell r="I7307">
            <v>1001000000</v>
          </cell>
        </row>
        <row r="7308">
          <cell r="A7308" t="str">
            <v>Netherlands</v>
          </cell>
          <cell r="B7308">
            <v>528</v>
          </cell>
          <cell r="C7308">
            <v>201</v>
          </cell>
          <cell r="D7308">
            <v>13</v>
          </cell>
          <cell r="E7308" t="str">
            <v>Less: Financial intermediation services indirectly measured (FISIM) (only to be deducted if FISIM is not distributed to uses)</v>
          </cell>
          <cell r="F7308">
            <v>0</v>
          </cell>
          <cell r="G7308">
            <v>1972</v>
          </cell>
          <cell r="H7308">
            <v>200</v>
          </cell>
          <cell r="I7308">
            <v>1226000000</v>
          </cell>
        </row>
        <row r="7309">
          <cell r="A7309" t="str">
            <v>Netherlands</v>
          </cell>
          <cell r="B7309">
            <v>528</v>
          </cell>
          <cell r="C7309">
            <v>201</v>
          </cell>
          <cell r="D7309">
            <v>13</v>
          </cell>
          <cell r="E7309" t="str">
            <v>Less: Financial intermediation services indirectly measured (FISIM) (only to be deducted if FISIM is not distributed to uses)</v>
          </cell>
          <cell r="F7309">
            <v>0</v>
          </cell>
          <cell r="G7309">
            <v>1973</v>
          </cell>
          <cell r="H7309">
            <v>200</v>
          </cell>
          <cell r="I7309">
            <v>1594000000</v>
          </cell>
        </row>
        <row r="7310">
          <cell r="A7310" t="str">
            <v>Netherlands</v>
          </cell>
          <cell r="B7310">
            <v>528</v>
          </cell>
          <cell r="C7310">
            <v>201</v>
          </cell>
          <cell r="D7310">
            <v>13</v>
          </cell>
          <cell r="E7310" t="str">
            <v>Less: Financial intermediation services indirectly measured (FISIM) (only to be deducted if FISIM is not distributed to uses)</v>
          </cell>
          <cell r="F7310">
            <v>0</v>
          </cell>
          <cell r="G7310">
            <v>1974</v>
          </cell>
          <cell r="H7310">
            <v>200</v>
          </cell>
          <cell r="I7310">
            <v>1965000000</v>
          </cell>
        </row>
        <row r="7311">
          <cell r="A7311" t="str">
            <v>Netherlands</v>
          </cell>
          <cell r="B7311">
            <v>528</v>
          </cell>
          <cell r="C7311">
            <v>201</v>
          </cell>
          <cell r="D7311">
            <v>13</v>
          </cell>
          <cell r="E7311" t="str">
            <v>Less: Financial intermediation services indirectly measured (FISIM) (only to be deducted if FISIM is not distributed to uses)</v>
          </cell>
          <cell r="F7311">
            <v>0</v>
          </cell>
          <cell r="G7311">
            <v>1975</v>
          </cell>
          <cell r="H7311">
            <v>200</v>
          </cell>
          <cell r="I7311">
            <v>2434000000</v>
          </cell>
        </row>
        <row r="7312">
          <cell r="A7312" t="str">
            <v>Netherlands</v>
          </cell>
          <cell r="B7312">
            <v>528</v>
          </cell>
          <cell r="C7312">
            <v>201</v>
          </cell>
          <cell r="D7312">
            <v>13</v>
          </cell>
          <cell r="E7312" t="str">
            <v>Less: Financial intermediation services indirectly measured (FISIM) (only to be deducted if FISIM is not distributed to uses)</v>
          </cell>
          <cell r="F7312">
            <v>0</v>
          </cell>
          <cell r="G7312">
            <v>1976</v>
          </cell>
          <cell r="H7312">
            <v>200</v>
          </cell>
          <cell r="I7312">
            <v>2781000000</v>
          </cell>
        </row>
        <row r="7313">
          <cell r="A7313" t="str">
            <v>Netherlands</v>
          </cell>
          <cell r="B7313">
            <v>528</v>
          </cell>
          <cell r="C7313">
            <v>201</v>
          </cell>
          <cell r="D7313">
            <v>13</v>
          </cell>
          <cell r="E7313" t="str">
            <v>Less: Financial intermediation services indirectly measured (FISIM) (only to be deducted if FISIM is not distributed to uses)</v>
          </cell>
          <cell r="F7313">
            <v>0</v>
          </cell>
          <cell r="G7313">
            <v>1977</v>
          </cell>
          <cell r="H7313">
            <v>200</v>
          </cell>
          <cell r="I7313">
            <v>3098000000</v>
          </cell>
        </row>
        <row r="7314">
          <cell r="A7314" t="str">
            <v>Netherlands</v>
          </cell>
          <cell r="B7314">
            <v>528</v>
          </cell>
          <cell r="C7314">
            <v>201</v>
          </cell>
          <cell r="D7314">
            <v>13</v>
          </cell>
          <cell r="E7314" t="str">
            <v>Less: Financial intermediation services indirectly measured (FISIM) (only to be deducted if FISIM is not distributed to uses)</v>
          </cell>
          <cell r="F7314">
            <v>0</v>
          </cell>
          <cell r="G7314">
            <v>1978</v>
          </cell>
          <cell r="H7314">
            <v>200</v>
          </cell>
          <cell r="I7314">
            <v>3589000000</v>
          </cell>
        </row>
        <row r="7315">
          <cell r="A7315" t="str">
            <v>Netherlands</v>
          </cell>
          <cell r="B7315">
            <v>528</v>
          </cell>
          <cell r="C7315">
            <v>201</v>
          </cell>
          <cell r="D7315">
            <v>13</v>
          </cell>
          <cell r="E7315" t="str">
            <v>Less: Financial intermediation services indirectly measured (FISIM) (only to be deducted if FISIM is not distributed to uses)</v>
          </cell>
          <cell r="F7315">
            <v>0</v>
          </cell>
          <cell r="G7315">
            <v>1979</v>
          </cell>
          <cell r="H7315">
            <v>200</v>
          </cell>
          <cell r="I7315">
            <v>4052000000</v>
          </cell>
        </row>
        <row r="7316">
          <cell r="A7316" t="str">
            <v>Netherlands</v>
          </cell>
          <cell r="B7316">
            <v>528</v>
          </cell>
          <cell r="C7316">
            <v>201</v>
          </cell>
          <cell r="D7316">
            <v>13</v>
          </cell>
          <cell r="E7316" t="str">
            <v>Less: Financial intermediation services indirectly measured (FISIM) (only to be deducted if FISIM is not distributed to uses)</v>
          </cell>
          <cell r="F7316">
            <v>0</v>
          </cell>
          <cell r="G7316">
            <v>1980</v>
          </cell>
          <cell r="H7316">
            <v>200</v>
          </cell>
          <cell r="I7316">
            <v>4274000000</v>
          </cell>
        </row>
        <row r="7317">
          <cell r="A7317" t="str">
            <v>Netherlands</v>
          </cell>
          <cell r="B7317">
            <v>528</v>
          </cell>
          <cell r="C7317">
            <v>201</v>
          </cell>
          <cell r="D7317">
            <v>13</v>
          </cell>
          <cell r="E7317" t="str">
            <v>Less: Financial intermediation services indirectly measured (FISIM) (only to be deducted if FISIM is not distributed to uses)</v>
          </cell>
          <cell r="F7317">
            <v>0</v>
          </cell>
          <cell r="G7317">
            <v>1981</v>
          </cell>
          <cell r="H7317">
            <v>200</v>
          </cell>
          <cell r="I7317">
            <v>4574000000</v>
          </cell>
        </row>
        <row r="7318">
          <cell r="A7318" t="str">
            <v>Netherlands</v>
          </cell>
          <cell r="B7318">
            <v>528</v>
          </cell>
          <cell r="C7318">
            <v>201</v>
          </cell>
          <cell r="D7318">
            <v>13</v>
          </cell>
          <cell r="E7318" t="str">
            <v>Less: Financial intermediation services indirectly measured (FISIM) (only to be deducted if FISIM is not distributed to uses)</v>
          </cell>
          <cell r="F7318">
            <v>0</v>
          </cell>
          <cell r="G7318">
            <v>1982</v>
          </cell>
          <cell r="H7318">
            <v>200</v>
          </cell>
          <cell r="I7318">
            <v>5234000000</v>
          </cell>
        </row>
        <row r="7319">
          <cell r="A7319" t="str">
            <v>Netherlands</v>
          </cell>
          <cell r="B7319">
            <v>528</v>
          </cell>
          <cell r="C7319">
            <v>201</v>
          </cell>
          <cell r="D7319">
            <v>13</v>
          </cell>
          <cell r="E7319" t="str">
            <v>Less: Financial intermediation services indirectly measured (FISIM) (only to be deducted if FISIM is not distributed to uses)</v>
          </cell>
          <cell r="F7319">
            <v>0</v>
          </cell>
          <cell r="G7319">
            <v>1983</v>
          </cell>
          <cell r="H7319">
            <v>200</v>
          </cell>
          <cell r="I7319">
            <v>6035000000</v>
          </cell>
        </row>
        <row r="7320">
          <cell r="A7320" t="str">
            <v>Netherlands</v>
          </cell>
          <cell r="B7320">
            <v>528</v>
          </cell>
          <cell r="C7320">
            <v>201</v>
          </cell>
          <cell r="D7320">
            <v>13</v>
          </cell>
          <cell r="E7320" t="str">
            <v>Less: Financial intermediation services indirectly measured (FISIM) (only to be deducted if FISIM is not distributed to uses)</v>
          </cell>
          <cell r="F7320">
            <v>0</v>
          </cell>
          <cell r="G7320">
            <v>1984</v>
          </cell>
          <cell r="H7320">
            <v>200</v>
          </cell>
          <cell r="I7320">
            <v>5948000000</v>
          </cell>
        </row>
        <row r="7321">
          <cell r="A7321" t="str">
            <v>Netherlands</v>
          </cell>
          <cell r="B7321">
            <v>528</v>
          </cell>
          <cell r="C7321">
            <v>201</v>
          </cell>
          <cell r="D7321">
            <v>13</v>
          </cell>
          <cell r="E7321" t="str">
            <v>Less: Financial intermediation services indirectly measured (FISIM) (only to be deducted if FISIM is not distributed to uses)</v>
          </cell>
          <cell r="F7321">
            <v>0</v>
          </cell>
          <cell r="G7321">
            <v>1985</v>
          </cell>
          <cell r="H7321">
            <v>200</v>
          </cell>
          <cell r="I7321">
            <v>6173000000</v>
          </cell>
        </row>
        <row r="7322">
          <cell r="A7322" t="str">
            <v>Netherlands</v>
          </cell>
          <cell r="B7322">
            <v>528</v>
          </cell>
          <cell r="C7322">
            <v>201</v>
          </cell>
          <cell r="D7322">
            <v>13</v>
          </cell>
          <cell r="E7322" t="str">
            <v>Less: Financial intermediation services indirectly measured (FISIM) (only to be deducted if FISIM is not distributed to uses)</v>
          </cell>
          <cell r="F7322">
            <v>0</v>
          </cell>
          <cell r="G7322">
            <v>1986</v>
          </cell>
          <cell r="H7322">
            <v>200</v>
          </cell>
          <cell r="I7322">
            <v>6321000000</v>
          </cell>
        </row>
        <row r="7323">
          <cell r="A7323" t="str">
            <v>Netherlands</v>
          </cell>
          <cell r="B7323">
            <v>528</v>
          </cell>
          <cell r="C7323">
            <v>201</v>
          </cell>
          <cell r="D7323">
            <v>13</v>
          </cell>
          <cell r="E7323" t="str">
            <v>Less: Financial intermediation services indirectly measured (FISIM) (only to be deducted if FISIM is not distributed to uses)</v>
          </cell>
          <cell r="F7323">
            <v>0</v>
          </cell>
          <cell r="G7323">
            <v>1987</v>
          </cell>
          <cell r="H7323">
            <v>200</v>
          </cell>
          <cell r="I7323">
            <v>6240000000</v>
          </cell>
        </row>
        <row r="7324">
          <cell r="A7324" t="str">
            <v>Netherlands</v>
          </cell>
          <cell r="B7324">
            <v>528</v>
          </cell>
          <cell r="C7324">
            <v>201</v>
          </cell>
          <cell r="D7324">
            <v>13</v>
          </cell>
          <cell r="E7324" t="str">
            <v>Less: Financial intermediation services indirectly measured (FISIM) (only to be deducted if FISIM is not distributed to uses)</v>
          </cell>
          <cell r="F7324">
            <v>0</v>
          </cell>
          <cell r="G7324">
            <v>1988</v>
          </cell>
          <cell r="H7324">
            <v>200</v>
          </cell>
          <cell r="I7324">
            <v>6645000000</v>
          </cell>
        </row>
        <row r="7325">
          <cell r="A7325" t="str">
            <v>Netherlands</v>
          </cell>
          <cell r="B7325">
            <v>528</v>
          </cell>
          <cell r="C7325">
            <v>201</v>
          </cell>
          <cell r="D7325">
            <v>13</v>
          </cell>
          <cell r="E7325" t="str">
            <v>Less: Financial intermediation services indirectly measured (FISIM) (only to be deducted if FISIM is not distributed to uses)</v>
          </cell>
          <cell r="F7325">
            <v>0</v>
          </cell>
          <cell r="G7325">
            <v>1989</v>
          </cell>
          <cell r="H7325">
            <v>200</v>
          </cell>
          <cell r="I7325">
            <v>6369000000</v>
          </cell>
        </row>
        <row r="7326">
          <cell r="A7326" t="str">
            <v>Netherlands</v>
          </cell>
          <cell r="B7326">
            <v>528</v>
          </cell>
          <cell r="C7326">
            <v>201</v>
          </cell>
          <cell r="D7326">
            <v>13</v>
          </cell>
          <cell r="E7326" t="str">
            <v>Less: Financial intermediation services indirectly measured (FISIM) (only to be deducted if FISIM is not distributed to uses)</v>
          </cell>
          <cell r="F7326">
            <v>0</v>
          </cell>
          <cell r="G7326">
            <v>1990</v>
          </cell>
          <cell r="H7326">
            <v>200</v>
          </cell>
          <cell r="I7326">
            <v>5751000000</v>
          </cell>
        </row>
        <row r="7327">
          <cell r="A7327" t="str">
            <v>Netherlands</v>
          </cell>
          <cell r="B7327">
            <v>528</v>
          </cell>
          <cell r="C7327">
            <v>201</v>
          </cell>
          <cell r="D7327">
            <v>13</v>
          </cell>
          <cell r="E7327" t="str">
            <v>Less: Financial intermediation services indirectly measured (FISIM) (only to be deducted if FISIM is not distributed to uses)</v>
          </cell>
          <cell r="F7327">
            <v>0</v>
          </cell>
          <cell r="G7327">
            <v>1991</v>
          </cell>
          <cell r="H7327">
            <v>200</v>
          </cell>
          <cell r="I7327">
            <v>6299000000</v>
          </cell>
        </row>
        <row r="7328">
          <cell r="A7328" t="str">
            <v>Netherlands</v>
          </cell>
          <cell r="B7328">
            <v>528</v>
          </cell>
          <cell r="C7328">
            <v>201</v>
          </cell>
          <cell r="D7328">
            <v>13</v>
          </cell>
          <cell r="E7328" t="str">
            <v>Less: Financial intermediation services indirectly measured (FISIM) (only to be deducted if FISIM is not distributed to uses)</v>
          </cell>
          <cell r="F7328">
            <v>0</v>
          </cell>
          <cell r="G7328">
            <v>1992</v>
          </cell>
          <cell r="H7328">
            <v>200</v>
          </cell>
          <cell r="I7328">
            <v>6661000000</v>
          </cell>
        </row>
        <row r="7329">
          <cell r="A7329" t="str">
            <v>Netherlands</v>
          </cell>
          <cell r="B7329">
            <v>528</v>
          </cell>
          <cell r="C7329">
            <v>201</v>
          </cell>
          <cell r="D7329">
            <v>13</v>
          </cell>
          <cell r="E7329" t="str">
            <v>Less: Financial intermediation services indirectly measured (FISIM) (only to be deducted if FISIM is not distributed to uses)</v>
          </cell>
          <cell r="F7329">
            <v>0</v>
          </cell>
          <cell r="G7329">
            <v>1993</v>
          </cell>
          <cell r="H7329">
            <v>200</v>
          </cell>
          <cell r="I7329">
            <v>8130000000</v>
          </cell>
        </row>
        <row r="7330">
          <cell r="A7330" t="str">
            <v>Netherlands</v>
          </cell>
          <cell r="B7330">
            <v>528</v>
          </cell>
          <cell r="C7330">
            <v>201</v>
          </cell>
          <cell r="D7330">
            <v>13</v>
          </cell>
          <cell r="E7330" t="str">
            <v>Less: Financial intermediation services indirectly measured (FISIM) (only to be deducted if FISIM is not distributed to uses)</v>
          </cell>
          <cell r="F7330">
            <v>0</v>
          </cell>
          <cell r="G7330">
            <v>1994</v>
          </cell>
          <cell r="H7330">
            <v>200</v>
          </cell>
          <cell r="I7330">
            <v>7679000000</v>
          </cell>
        </row>
        <row r="7331">
          <cell r="A7331" t="str">
            <v>Netherlands</v>
          </cell>
          <cell r="B7331">
            <v>528</v>
          </cell>
          <cell r="C7331">
            <v>201</v>
          </cell>
          <cell r="D7331">
            <v>13</v>
          </cell>
          <cell r="E7331" t="str">
            <v>Less: Financial intermediation services indirectly measured (FISIM) (only to be deducted if FISIM is not distributed to uses)</v>
          </cell>
          <cell r="F7331">
            <v>0</v>
          </cell>
          <cell r="G7331">
            <v>1995</v>
          </cell>
          <cell r="H7331">
            <v>200</v>
          </cell>
          <cell r="I7331">
            <v>8830000000</v>
          </cell>
        </row>
        <row r="7332">
          <cell r="A7332" t="str">
            <v>Netherlands</v>
          </cell>
          <cell r="B7332">
            <v>528</v>
          </cell>
          <cell r="C7332">
            <v>201</v>
          </cell>
          <cell r="D7332">
            <v>13</v>
          </cell>
          <cell r="E7332" t="str">
            <v>Less: Financial intermediation services indirectly measured (FISIM) (only to be deducted if FISIM is not distributed to uses)</v>
          </cell>
          <cell r="F7332">
            <v>0</v>
          </cell>
          <cell r="G7332">
            <v>1996</v>
          </cell>
          <cell r="H7332">
            <v>200</v>
          </cell>
          <cell r="I7332">
            <v>8797000000</v>
          </cell>
        </row>
        <row r="7333">
          <cell r="A7333" t="str">
            <v>Netherlands</v>
          </cell>
          <cell r="B7333">
            <v>528</v>
          </cell>
          <cell r="C7333">
            <v>201</v>
          </cell>
          <cell r="D7333">
            <v>13</v>
          </cell>
          <cell r="E7333" t="str">
            <v>Less: Financial intermediation services indirectly measured (FISIM) (only to be deducted if FISIM is not distributed to uses)</v>
          </cell>
          <cell r="F7333">
            <v>0</v>
          </cell>
          <cell r="G7333">
            <v>1997</v>
          </cell>
          <cell r="H7333">
            <v>200</v>
          </cell>
          <cell r="I7333">
            <v>9020000000</v>
          </cell>
        </row>
        <row r="7334">
          <cell r="A7334" t="str">
            <v>Netherlands</v>
          </cell>
          <cell r="B7334">
            <v>528</v>
          </cell>
          <cell r="C7334">
            <v>201</v>
          </cell>
          <cell r="D7334">
            <v>13</v>
          </cell>
          <cell r="E7334" t="str">
            <v>Less: Financial intermediation services indirectly measured (FISIM) (only to be deducted if FISIM is not distributed to uses)</v>
          </cell>
          <cell r="F7334">
            <v>0</v>
          </cell>
          <cell r="G7334">
            <v>1998</v>
          </cell>
          <cell r="H7334">
            <v>200</v>
          </cell>
          <cell r="I7334">
            <v>9559000000</v>
          </cell>
        </row>
        <row r="7335">
          <cell r="A7335" t="str">
            <v>Netherlands</v>
          </cell>
          <cell r="B7335">
            <v>528</v>
          </cell>
          <cell r="C7335">
            <v>201</v>
          </cell>
          <cell r="D7335">
            <v>13</v>
          </cell>
          <cell r="E7335" t="str">
            <v>Less: Financial intermediation services indirectly measured (FISIM) (only to be deducted if FISIM is not distributed to uses)</v>
          </cell>
          <cell r="F7335">
            <v>0</v>
          </cell>
          <cell r="G7335">
            <v>1999</v>
          </cell>
          <cell r="H7335">
            <v>200</v>
          </cell>
          <cell r="I7335">
            <v>11054000000</v>
          </cell>
        </row>
        <row r="7336">
          <cell r="A7336" t="str">
            <v>Netherlands</v>
          </cell>
          <cell r="B7336">
            <v>528</v>
          </cell>
          <cell r="C7336">
            <v>201</v>
          </cell>
          <cell r="D7336">
            <v>13</v>
          </cell>
          <cell r="E7336" t="str">
            <v>Less: Financial intermediation services indirectly measured (FISIM) (only to be deducted if FISIM is not distributed to uses)</v>
          </cell>
          <cell r="F7336">
            <v>0</v>
          </cell>
          <cell r="G7336">
            <v>2000</v>
          </cell>
          <cell r="H7336">
            <v>200</v>
          </cell>
          <cell r="I7336">
            <v>12711000000</v>
          </cell>
        </row>
        <row r="7337">
          <cell r="A7337" t="str">
            <v>Netherlands</v>
          </cell>
          <cell r="B7337">
            <v>528</v>
          </cell>
          <cell r="C7337">
            <v>201</v>
          </cell>
          <cell r="D7337">
            <v>13</v>
          </cell>
          <cell r="E7337" t="str">
            <v>Less: Financial intermediation services indirectly measured (FISIM) (only to be deducted if FISIM is not distributed to uses)</v>
          </cell>
          <cell r="F7337">
            <v>0</v>
          </cell>
          <cell r="G7337">
            <v>2001</v>
          </cell>
          <cell r="H7337">
            <v>200</v>
          </cell>
          <cell r="I7337">
            <v>13947000000</v>
          </cell>
        </row>
        <row r="7338">
          <cell r="A7338" t="str">
            <v>Netherlands</v>
          </cell>
          <cell r="B7338">
            <v>528</v>
          </cell>
          <cell r="C7338">
            <v>201</v>
          </cell>
          <cell r="D7338">
            <v>13</v>
          </cell>
          <cell r="E7338" t="str">
            <v>Less: Financial intermediation services indirectly measured (FISIM) (only to be deducted if FISIM is not distributed to uses)</v>
          </cell>
          <cell r="F7338">
            <v>0</v>
          </cell>
          <cell r="G7338">
            <v>2002</v>
          </cell>
          <cell r="H7338">
            <v>200</v>
          </cell>
          <cell r="I7338">
            <v>15376000000</v>
          </cell>
        </row>
        <row r="7339">
          <cell r="A7339" t="str">
            <v>Kazakhstan</v>
          </cell>
          <cell r="B7339">
            <v>398</v>
          </cell>
          <cell r="C7339">
            <v>203</v>
          </cell>
          <cell r="D7339">
            <v>12</v>
          </cell>
          <cell r="E7339" t="str">
            <v>MIXED INCOME, GROSS</v>
          </cell>
          <cell r="F7339">
            <v>12</v>
          </cell>
          <cell r="G7339">
            <v>1990</v>
          </cell>
          <cell r="H7339">
            <v>100</v>
          </cell>
          <cell r="I7339">
            <v>4687100000</v>
          </cell>
        </row>
        <row r="7340">
          <cell r="A7340" t="str">
            <v>Kazakhstan</v>
          </cell>
          <cell r="B7340">
            <v>398</v>
          </cell>
          <cell r="C7340">
            <v>203</v>
          </cell>
          <cell r="D7340">
            <v>12</v>
          </cell>
          <cell r="E7340" t="str">
            <v>MIXED INCOME, GROSS</v>
          </cell>
          <cell r="F7340">
            <v>12</v>
          </cell>
          <cell r="G7340">
            <v>1991</v>
          </cell>
          <cell r="H7340">
            <v>100</v>
          </cell>
          <cell r="I7340">
            <v>8603100000</v>
          </cell>
        </row>
        <row r="7341">
          <cell r="A7341" t="str">
            <v>Kazakhstan</v>
          </cell>
          <cell r="B7341">
            <v>398</v>
          </cell>
          <cell r="C7341">
            <v>203</v>
          </cell>
          <cell r="D7341">
            <v>12</v>
          </cell>
          <cell r="E7341" t="str">
            <v>MIXED INCOME, GROSS</v>
          </cell>
          <cell r="F7341">
            <v>12</v>
          </cell>
          <cell r="G7341">
            <v>1992</v>
          </cell>
          <cell r="H7341">
            <v>100</v>
          </cell>
          <cell r="I7341">
            <v>222759200000</v>
          </cell>
        </row>
        <row r="7342">
          <cell r="A7342" t="str">
            <v>Kazakhstan</v>
          </cell>
          <cell r="B7342">
            <v>398</v>
          </cell>
          <cell r="C7342">
            <v>203</v>
          </cell>
          <cell r="D7342">
            <v>12</v>
          </cell>
          <cell r="E7342" t="str">
            <v>MIXED INCOME, GROSS</v>
          </cell>
          <cell r="F7342">
            <v>12</v>
          </cell>
          <cell r="G7342">
            <v>1993</v>
          </cell>
          <cell r="H7342">
            <v>150</v>
          </cell>
          <cell r="I7342">
            <v>5294700000</v>
          </cell>
        </row>
        <row r="7343">
          <cell r="A7343" t="str">
            <v>Kazakhstan</v>
          </cell>
          <cell r="B7343">
            <v>398</v>
          </cell>
          <cell r="C7343">
            <v>203</v>
          </cell>
          <cell r="D7343">
            <v>12</v>
          </cell>
          <cell r="E7343" t="str">
            <v>MIXED INCOME, GROSS</v>
          </cell>
          <cell r="F7343">
            <v>12</v>
          </cell>
          <cell r="G7343">
            <v>1994</v>
          </cell>
          <cell r="H7343">
            <v>150</v>
          </cell>
          <cell r="I7343">
            <v>103354400000</v>
          </cell>
        </row>
        <row r="7344">
          <cell r="A7344" t="str">
            <v>Kazakhstan</v>
          </cell>
          <cell r="B7344">
            <v>398</v>
          </cell>
          <cell r="C7344">
            <v>203</v>
          </cell>
          <cell r="D7344">
            <v>12</v>
          </cell>
          <cell r="E7344" t="str">
            <v>MIXED INCOME, GROSS</v>
          </cell>
          <cell r="F7344">
            <v>12</v>
          </cell>
          <cell r="G7344">
            <v>1995</v>
          </cell>
          <cell r="H7344">
            <v>150</v>
          </cell>
          <cell r="I7344">
            <v>327550200000</v>
          </cell>
        </row>
        <row r="7345">
          <cell r="A7345" t="str">
            <v>Kazakhstan</v>
          </cell>
          <cell r="B7345">
            <v>398</v>
          </cell>
          <cell r="C7345">
            <v>203</v>
          </cell>
          <cell r="D7345">
            <v>12</v>
          </cell>
          <cell r="E7345" t="str">
            <v>MIXED INCOME, GROSS</v>
          </cell>
          <cell r="F7345">
            <v>12</v>
          </cell>
          <cell r="G7345">
            <v>1996</v>
          </cell>
          <cell r="H7345">
            <v>150</v>
          </cell>
          <cell r="I7345">
            <v>437769000000</v>
          </cell>
        </row>
        <row r="7346">
          <cell r="A7346" t="str">
            <v>Kazakhstan</v>
          </cell>
          <cell r="B7346">
            <v>398</v>
          </cell>
          <cell r="C7346">
            <v>203</v>
          </cell>
          <cell r="D7346">
            <v>12</v>
          </cell>
          <cell r="E7346" t="str">
            <v>MIXED INCOME, GROSS</v>
          </cell>
          <cell r="F7346">
            <v>12</v>
          </cell>
          <cell r="G7346">
            <v>1997</v>
          </cell>
          <cell r="H7346">
            <v>150</v>
          </cell>
          <cell r="I7346">
            <v>528360700000</v>
          </cell>
        </row>
        <row r="7347">
          <cell r="A7347" t="str">
            <v>Kazakhstan</v>
          </cell>
          <cell r="B7347">
            <v>398</v>
          </cell>
          <cell r="C7347">
            <v>203</v>
          </cell>
          <cell r="D7347">
            <v>12</v>
          </cell>
          <cell r="E7347" t="str">
            <v>MIXED INCOME, GROSS</v>
          </cell>
          <cell r="F7347">
            <v>12</v>
          </cell>
          <cell r="G7347">
            <v>1998</v>
          </cell>
          <cell r="H7347">
            <v>200</v>
          </cell>
          <cell r="I7347">
            <v>418483100000</v>
          </cell>
        </row>
        <row r="7348">
          <cell r="A7348" t="str">
            <v>Kazakhstan</v>
          </cell>
          <cell r="B7348">
            <v>398</v>
          </cell>
          <cell r="C7348">
            <v>203</v>
          </cell>
          <cell r="D7348">
            <v>12</v>
          </cell>
          <cell r="E7348" t="str">
            <v>MIXED INCOME, GROSS</v>
          </cell>
          <cell r="F7348">
            <v>12</v>
          </cell>
          <cell r="G7348">
            <v>1999</v>
          </cell>
          <cell r="H7348">
            <v>200</v>
          </cell>
          <cell r="I7348">
            <v>481628300000</v>
          </cell>
        </row>
        <row r="7349">
          <cell r="A7349" t="str">
            <v>Kazakhstan</v>
          </cell>
          <cell r="B7349">
            <v>398</v>
          </cell>
          <cell r="C7349">
            <v>203</v>
          </cell>
          <cell r="D7349">
            <v>12</v>
          </cell>
          <cell r="E7349" t="str">
            <v>MIXED INCOME, GROSS</v>
          </cell>
          <cell r="F7349">
            <v>12</v>
          </cell>
          <cell r="G7349">
            <v>2000</v>
          </cell>
          <cell r="H7349">
            <v>200</v>
          </cell>
          <cell r="I7349">
            <v>367508600000</v>
          </cell>
        </row>
        <row r="7350">
          <cell r="A7350" t="str">
            <v>Kazakhstan</v>
          </cell>
          <cell r="B7350">
            <v>398</v>
          </cell>
          <cell r="C7350">
            <v>203</v>
          </cell>
          <cell r="D7350">
            <v>12</v>
          </cell>
          <cell r="E7350" t="str">
            <v>MIXED INCOME, GROSS</v>
          </cell>
          <cell r="F7350">
            <v>12</v>
          </cell>
          <cell r="G7350">
            <v>2001</v>
          </cell>
          <cell r="H7350">
            <v>200</v>
          </cell>
          <cell r="I7350">
            <v>481835500000</v>
          </cell>
        </row>
        <row r="7351">
          <cell r="A7351" t="str">
            <v>Kazakhstan</v>
          </cell>
          <cell r="B7351">
            <v>398</v>
          </cell>
          <cell r="C7351">
            <v>203</v>
          </cell>
          <cell r="D7351">
            <v>12</v>
          </cell>
          <cell r="E7351" t="str">
            <v>MIXED INCOME, GROSS</v>
          </cell>
          <cell r="F7351">
            <v>12</v>
          </cell>
          <cell r="G7351">
            <v>2002</v>
          </cell>
          <cell r="H7351">
            <v>200</v>
          </cell>
          <cell r="I7351">
            <v>611269400000</v>
          </cell>
        </row>
        <row r="7352">
          <cell r="A7352" t="str">
            <v>Kazakhstan</v>
          </cell>
          <cell r="B7352">
            <v>398</v>
          </cell>
          <cell r="C7352">
            <v>203</v>
          </cell>
          <cell r="D7352">
            <v>22</v>
          </cell>
          <cell r="E7352" t="str">
            <v>Taxes on production and imports, less Subsidies</v>
          </cell>
          <cell r="F7352">
            <v>12</v>
          </cell>
          <cell r="G7352">
            <v>1990</v>
          </cell>
          <cell r="H7352">
            <v>100</v>
          </cell>
          <cell r="I7352">
            <v>2807700000</v>
          </cell>
        </row>
        <row r="7353">
          <cell r="A7353" t="str">
            <v>Kazakhstan</v>
          </cell>
          <cell r="B7353">
            <v>398</v>
          </cell>
          <cell r="C7353">
            <v>203</v>
          </cell>
          <cell r="D7353">
            <v>22</v>
          </cell>
          <cell r="E7353" t="str">
            <v>Taxes on production and imports, less Subsidies</v>
          </cell>
          <cell r="F7353">
            <v>12</v>
          </cell>
          <cell r="G7353">
            <v>1991</v>
          </cell>
          <cell r="H7353">
            <v>100</v>
          </cell>
          <cell r="I7353">
            <v>5885900000</v>
          </cell>
        </row>
        <row r="7354">
          <cell r="A7354" t="str">
            <v>Kazakhstan</v>
          </cell>
          <cell r="B7354">
            <v>398</v>
          </cell>
          <cell r="C7354">
            <v>203</v>
          </cell>
          <cell r="D7354">
            <v>22</v>
          </cell>
          <cell r="E7354" t="str">
            <v>Taxes on production and imports, less Subsidies</v>
          </cell>
          <cell r="F7354">
            <v>12</v>
          </cell>
          <cell r="G7354">
            <v>1992</v>
          </cell>
          <cell r="H7354">
            <v>100</v>
          </cell>
          <cell r="I7354">
            <v>85516600000</v>
          </cell>
        </row>
        <row r="7355">
          <cell r="A7355" t="str">
            <v>Kazakhstan</v>
          </cell>
          <cell r="B7355">
            <v>398</v>
          </cell>
          <cell r="C7355">
            <v>203</v>
          </cell>
          <cell r="D7355">
            <v>22</v>
          </cell>
          <cell r="E7355" t="str">
            <v>Taxes on production and imports, less Subsidies</v>
          </cell>
          <cell r="F7355">
            <v>12</v>
          </cell>
          <cell r="G7355">
            <v>1993</v>
          </cell>
          <cell r="H7355">
            <v>150</v>
          </cell>
          <cell r="I7355">
            <v>1108000000</v>
          </cell>
        </row>
        <row r="7356">
          <cell r="A7356" t="str">
            <v>Kazakhstan</v>
          </cell>
          <cell r="B7356">
            <v>398</v>
          </cell>
          <cell r="C7356">
            <v>203</v>
          </cell>
          <cell r="D7356">
            <v>22</v>
          </cell>
          <cell r="E7356" t="str">
            <v>Taxes on production and imports, less Subsidies</v>
          </cell>
          <cell r="F7356">
            <v>12</v>
          </cell>
          <cell r="G7356">
            <v>1994</v>
          </cell>
          <cell r="H7356">
            <v>150</v>
          </cell>
          <cell r="I7356">
            <v>35806700000</v>
          </cell>
        </row>
        <row r="7357">
          <cell r="A7357" t="str">
            <v>Kazakhstan</v>
          </cell>
          <cell r="B7357">
            <v>398</v>
          </cell>
          <cell r="C7357">
            <v>203</v>
          </cell>
          <cell r="D7357">
            <v>22</v>
          </cell>
          <cell r="E7357" t="str">
            <v>Taxes on production and imports, less Subsidies</v>
          </cell>
          <cell r="F7357">
            <v>12</v>
          </cell>
          <cell r="G7357">
            <v>1995</v>
          </cell>
          <cell r="H7357">
            <v>150</v>
          </cell>
          <cell r="I7357">
            <v>32843800000</v>
          </cell>
        </row>
        <row r="7358">
          <cell r="A7358" t="str">
            <v>Kazakhstan</v>
          </cell>
          <cell r="B7358">
            <v>398</v>
          </cell>
          <cell r="C7358">
            <v>203</v>
          </cell>
          <cell r="D7358">
            <v>22</v>
          </cell>
          <cell r="E7358" t="str">
            <v>Taxes on production and imports, less Subsidies</v>
          </cell>
          <cell r="F7358">
            <v>12</v>
          </cell>
          <cell r="G7358">
            <v>1996</v>
          </cell>
          <cell r="H7358">
            <v>150</v>
          </cell>
          <cell r="I7358">
            <v>37418000000</v>
          </cell>
        </row>
        <row r="7359">
          <cell r="A7359" t="str">
            <v>Kazakhstan</v>
          </cell>
          <cell r="B7359">
            <v>398</v>
          </cell>
          <cell r="C7359">
            <v>203</v>
          </cell>
          <cell r="D7359">
            <v>22</v>
          </cell>
          <cell r="E7359" t="str">
            <v>Taxes on production and imports, less Subsidies</v>
          </cell>
          <cell r="F7359">
            <v>12</v>
          </cell>
          <cell r="G7359">
            <v>1997</v>
          </cell>
          <cell r="H7359">
            <v>150</v>
          </cell>
          <cell r="I7359">
            <v>50022600000</v>
          </cell>
        </row>
        <row r="7360">
          <cell r="A7360" t="str">
            <v>Kazakhstan</v>
          </cell>
          <cell r="B7360">
            <v>398</v>
          </cell>
          <cell r="C7360">
            <v>203</v>
          </cell>
          <cell r="D7360">
            <v>22</v>
          </cell>
          <cell r="E7360" t="str">
            <v>Taxes on production and imports, less Subsidies</v>
          </cell>
          <cell r="F7360">
            <v>12</v>
          </cell>
          <cell r="G7360">
            <v>1998</v>
          </cell>
          <cell r="H7360">
            <v>200</v>
          </cell>
          <cell r="I7360">
            <v>46022400000</v>
          </cell>
        </row>
        <row r="7361">
          <cell r="A7361" t="str">
            <v>Kazakhstan</v>
          </cell>
          <cell r="B7361">
            <v>398</v>
          </cell>
          <cell r="C7361">
            <v>203</v>
          </cell>
          <cell r="D7361">
            <v>22</v>
          </cell>
          <cell r="E7361" t="str">
            <v>Taxes on production and imports, less Subsidies</v>
          </cell>
          <cell r="F7361">
            <v>12</v>
          </cell>
          <cell r="G7361">
            <v>1999</v>
          </cell>
          <cell r="H7361">
            <v>200</v>
          </cell>
          <cell r="I7361">
            <v>54404000000</v>
          </cell>
        </row>
        <row r="7362">
          <cell r="A7362" t="str">
            <v>Kazakhstan</v>
          </cell>
          <cell r="B7362">
            <v>398</v>
          </cell>
          <cell r="C7362">
            <v>203</v>
          </cell>
          <cell r="D7362">
            <v>22</v>
          </cell>
          <cell r="E7362" t="str">
            <v>Taxes on production and imports, less Subsidies</v>
          </cell>
          <cell r="F7362">
            <v>12</v>
          </cell>
          <cell r="G7362">
            <v>2000</v>
          </cell>
          <cell r="H7362">
            <v>200</v>
          </cell>
          <cell r="I7362">
            <v>81307000000</v>
          </cell>
        </row>
        <row r="7363">
          <cell r="A7363" t="str">
            <v>Kazakhstan</v>
          </cell>
          <cell r="B7363">
            <v>398</v>
          </cell>
          <cell r="C7363">
            <v>203</v>
          </cell>
          <cell r="D7363">
            <v>22</v>
          </cell>
          <cell r="E7363" t="str">
            <v>Taxes on production and imports, less Subsidies</v>
          </cell>
          <cell r="F7363">
            <v>12</v>
          </cell>
          <cell r="G7363">
            <v>2001</v>
          </cell>
          <cell r="H7363">
            <v>200</v>
          </cell>
          <cell r="I7363">
            <v>96117100000</v>
          </cell>
        </row>
        <row r="7364">
          <cell r="A7364" t="str">
            <v>Kazakhstan</v>
          </cell>
          <cell r="B7364">
            <v>398</v>
          </cell>
          <cell r="C7364">
            <v>203</v>
          </cell>
          <cell r="D7364">
            <v>22</v>
          </cell>
          <cell r="E7364" t="str">
            <v>Taxes on production and imports, less Subsidies</v>
          </cell>
          <cell r="F7364">
            <v>12</v>
          </cell>
          <cell r="G7364">
            <v>2002</v>
          </cell>
          <cell r="H7364">
            <v>200</v>
          </cell>
          <cell r="I7364">
            <v>110459100000</v>
          </cell>
        </row>
        <row r="7365">
          <cell r="A7365" t="str">
            <v>Kyrgyzstan</v>
          </cell>
          <cell r="B7365">
            <v>417</v>
          </cell>
          <cell r="C7365">
            <v>201</v>
          </cell>
          <cell r="D7365">
            <v>13</v>
          </cell>
          <cell r="E7365" t="str">
            <v>Less: Financial intermediation services indirectly measured (FISIM) (only to be deducted if FISIM is not distributed to uses)</v>
          </cell>
          <cell r="F7365">
            <v>0</v>
          </cell>
          <cell r="G7365">
            <v>1990</v>
          </cell>
          <cell r="H7365">
            <v>100</v>
          </cell>
          <cell r="I7365">
            <v>200000</v>
          </cell>
        </row>
        <row r="7366">
          <cell r="A7366" t="str">
            <v>Kyrgyzstan</v>
          </cell>
          <cell r="B7366">
            <v>417</v>
          </cell>
          <cell r="C7366">
            <v>201</v>
          </cell>
          <cell r="D7366">
            <v>13</v>
          </cell>
          <cell r="E7366" t="str">
            <v>Less: Financial intermediation services indirectly measured (FISIM) (only to be deducted if FISIM is not distributed to uses)</v>
          </cell>
          <cell r="F7366">
            <v>0</v>
          </cell>
          <cell r="G7366">
            <v>1991</v>
          </cell>
          <cell r="H7366">
            <v>100</v>
          </cell>
          <cell r="I7366">
            <v>700000</v>
          </cell>
        </row>
        <row r="7367">
          <cell r="A7367" t="str">
            <v>Kyrgyzstan</v>
          </cell>
          <cell r="B7367">
            <v>417</v>
          </cell>
          <cell r="C7367">
            <v>201</v>
          </cell>
          <cell r="D7367">
            <v>13</v>
          </cell>
          <cell r="E7367" t="str">
            <v>Less: Financial intermediation services indirectly measured (FISIM) (only to be deducted if FISIM is not distributed to uses)</v>
          </cell>
          <cell r="F7367">
            <v>0</v>
          </cell>
          <cell r="G7367">
            <v>1992</v>
          </cell>
          <cell r="H7367">
            <v>100</v>
          </cell>
          <cell r="I7367">
            <v>6300000</v>
          </cell>
        </row>
        <row r="7368">
          <cell r="A7368" t="str">
            <v>Kyrgyzstan</v>
          </cell>
          <cell r="B7368">
            <v>417</v>
          </cell>
          <cell r="C7368">
            <v>201</v>
          </cell>
          <cell r="D7368">
            <v>13</v>
          </cell>
          <cell r="E7368" t="str">
            <v>Less: Financial intermediation services indirectly measured (FISIM) (only to be deducted if FISIM is not distributed to uses)</v>
          </cell>
          <cell r="F7368">
            <v>0</v>
          </cell>
          <cell r="G7368">
            <v>1993</v>
          </cell>
          <cell r="H7368">
            <v>100</v>
          </cell>
          <cell r="I7368">
            <v>123300000</v>
          </cell>
        </row>
        <row r="7369">
          <cell r="A7369" t="str">
            <v>Kyrgyzstan</v>
          </cell>
          <cell r="B7369">
            <v>417</v>
          </cell>
          <cell r="C7369">
            <v>201</v>
          </cell>
          <cell r="D7369">
            <v>13</v>
          </cell>
          <cell r="E7369" t="str">
            <v>Less: Financial intermediation services indirectly measured (FISIM) (only to be deducted if FISIM is not distributed to uses)</v>
          </cell>
          <cell r="F7369">
            <v>0</v>
          </cell>
          <cell r="G7369">
            <v>1994</v>
          </cell>
          <cell r="H7369">
            <v>100</v>
          </cell>
          <cell r="I7369">
            <v>276500000</v>
          </cell>
        </row>
        <row r="7370">
          <cell r="A7370" t="str">
            <v>Kyrgyzstan</v>
          </cell>
          <cell r="B7370">
            <v>417</v>
          </cell>
          <cell r="C7370">
            <v>201</v>
          </cell>
          <cell r="D7370">
            <v>13</v>
          </cell>
          <cell r="E7370" t="str">
            <v>Less: Financial intermediation services indirectly measured (FISIM) (only to be deducted if FISIM is not distributed to uses)</v>
          </cell>
          <cell r="F7370">
            <v>0</v>
          </cell>
          <cell r="G7370">
            <v>1995</v>
          </cell>
          <cell r="H7370">
            <v>100</v>
          </cell>
          <cell r="I7370">
            <v>286100000</v>
          </cell>
        </row>
        <row r="7371">
          <cell r="A7371" t="str">
            <v>Kyrgyzstan</v>
          </cell>
          <cell r="B7371">
            <v>417</v>
          </cell>
          <cell r="C7371">
            <v>201</v>
          </cell>
          <cell r="D7371">
            <v>13</v>
          </cell>
          <cell r="E7371" t="str">
            <v>Less: Financial intermediation services indirectly measured (FISIM) (only to be deducted if FISIM is not distributed to uses)</v>
          </cell>
          <cell r="F7371">
            <v>0</v>
          </cell>
          <cell r="G7371">
            <v>1996</v>
          </cell>
          <cell r="H7371">
            <v>100</v>
          </cell>
          <cell r="I7371">
            <v>133200000</v>
          </cell>
        </row>
        <row r="7372">
          <cell r="A7372" t="str">
            <v>Kyrgyzstan</v>
          </cell>
          <cell r="B7372">
            <v>417</v>
          </cell>
          <cell r="C7372">
            <v>201</v>
          </cell>
          <cell r="D7372">
            <v>13</v>
          </cell>
          <cell r="E7372" t="str">
            <v>Less: Financial intermediation services indirectly measured (FISIM) (only to be deducted if FISIM is not distributed to uses)</v>
          </cell>
          <cell r="F7372">
            <v>0</v>
          </cell>
          <cell r="G7372">
            <v>1997</v>
          </cell>
          <cell r="H7372">
            <v>100</v>
          </cell>
          <cell r="I7372">
            <v>273300000</v>
          </cell>
        </row>
        <row r="7373">
          <cell r="A7373" t="str">
            <v>Kyrgyzstan</v>
          </cell>
          <cell r="B7373">
            <v>417</v>
          </cell>
          <cell r="C7373">
            <v>201</v>
          </cell>
          <cell r="D7373">
            <v>13</v>
          </cell>
          <cell r="E7373" t="str">
            <v>Less: Financial intermediation services indirectly measured (FISIM) (only to be deducted if FISIM is not distributed to uses)</v>
          </cell>
          <cell r="F7373">
            <v>0</v>
          </cell>
          <cell r="G7373">
            <v>1998</v>
          </cell>
          <cell r="H7373">
            <v>100</v>
          </cell>
          <cell r="I7373">
            <v>269800000</v>
          </cell>
        </row>
        <row r="7374">
          <cell r="A7374" t="str">
            <v>Kyrgyzstan</v>
          </cell>
          <cell r="B7374">
            <v>417</v>
          </cell>
          <cell r="C7374">
            <v>201</v>
          </cell>
          <cell r="D7374">
            <v>13</v>
          </cell>
          <cell r="E7374" t="str">
            <v>Less: Financial intermediation services indirectly measured (FISIM) (only to be deducted if FISIM is not distributed to uses)</v>
          </cell>
          <cell r="F7374">
            <v>0</v>
          </cell>
          <cell r="G7374">
            <v>1999</v>
          </cell>
          <cell r="H7374">
            <v>100</v>
          </cell>
          <cell r="I7374">
            <v>76000000</v>
          </cell>
        </row>
        <row r="7375">
          <cell r="A7375" t="str">
            <v>Kyrgyzstan</v>
          </cell>
          <cell r="B7375">
            <v>417</v>
          </cell>
          <cell r="C7375">
            <v>201</v>
          </cell>
          <cell r="D7375">
            <v>13</v>
          </cell>
          <cell r="E7375" t="str">
            <v>Less: Financial intermediation services indirectly measured (FISIM) (only to be deducted if FISIM is not distributed to uses)</v>
          </cell>
          <cell r="F7375">
            <v>0</v>
          </cell>
          <cell r="G7375">
            <v>2000</v>
          </cell>
          <cell r="H7375">
            <v>100</v>
          </cell>
          <cell r="I7375">
            <v>215300000</v>
          </cell>
        </row>
        <row r="7376">
          <cell r="A7376" t="str">
            <v>Kyrgyzstan</v>
          </cell>
          <cell r="B7376">
            <v>417</v>
          </cell>
          <cell r="C7376">
            <v>201</v>
          </cell>
          <cell r="D7376">
            <v>13</v>
          </cell>
          <cell r="E7376" t="str">
            <v>Less: Financial intermediation services indirectly measured (FISIM) (only to be deducted if FISIM is not distributed to uses)</v>
          </cell>
          <cell r="F7376">
            <v>0</v>
          </cell>
          <cell r="G7376">
            <v>2001</v>
          </cell>
          <cell r="H7376">
            <v>100</v>
          </cell>
          <cell r="I7376">
            <v>516500000</v>
          </cell>
        </row>
        <row r="7377">
          <cell r="A7377" t="str">
            <v>Kyrgyzstan</v>
          </cell>
          <cell r="B7377">
            <v>417</v>
          </cell>
          <cell r="C7377">
            <v>201</v>
          </cell>
          <cell r="D7377">
            <v>13</v>
          </cell>
          <cell r="E7377" t="str">
            <v>Less: Financial intermediation services indirectly measured (FISIM) (only to be deducted if FISIM is not distributed to uses)</v>
          </cell>
          <cell r="F7377">
            <v>0</v>
          </cell>
          <cell r="G7377">
            <v>2002</v>
          </cell>
          <cell r="H7377">
            <v>100</v>
          </cell>
          <cell r="I7377">
            <v>641400000</v>
          </cell>
        </row>
        <row r="7378">
          <cell r="A7378" t="str">
            <v>Kyrgyzstan</v>
          </cell>
          <cell r="B7378">
            <v>417</v>
          </cell>
          <cell r="C7378">
            <v>201</v>
          </cell>
          <cell r="D7378">
            <v>13</v>
          </cell>
          <cell r="E7378" t="str">
            <v>Less: Financial intermediation services indirectly measured (FISIM) (only to be deducted if FISIM is not distributed to uses)</v>
          </cell>
          <cell r="F7378">
            <v>0</v>
          </cell>
          <cell r="G7378">
            <v>2003</v>
          </cell>
          <cell r="H7378">
            <v>100</v>
          </cell>
          <cell r="I7378">
            <v>763400000</v>
          </cell>
        </row>
        <row r="7379">
          <cell r="A7379" t="str">
            <v>Kyrgyzstan</v>
          </cell>
          <cell r="B7379">
            <v>417</v>
          </cell>
          <cell r="C7379">
            <v>203</v>
          </cell>
          <cell r="D7379">
            <v>3</v>
          </cell>
          <cell r="E7379" t="str">
            <v>Equals: VALUE ADDED, GROSS, at basic prices</v>
          </cell>
          <cell r="F7379">
            <v>12</v>
          </cell>
          <cell r="G7379">
            <v>1990</v>
          </cell>
          <cell r="H7379">
            <v>100</v>
          </cell>
          <cell r="I7379">
            <v>41800000</v>
          </cell>
        </row>
        <row r="7380">
          <cell r="A7380" t="str">
            <v>Kyrgyzstan</v>
          </cell>
          <cell r="B7380">
            <v>417</v>
          </cell>
          <cell r="C7380">
            <v>203</v>
          </cell>
          <cell r="D7380">
            <v>3</v>
          </cell>
          <cell r="E7380" t="str">
            <v>Equals: VALUE ADDED, GROSS, at basic prices</v>
          </cell>
          <cell r="F7380">
            <v>12</v>
          </cell>
          <cell r="G7380">
            <v>1991</v>
          </cell>
          <cell r="H7380">
            <v>100</v>
          </cell>
          <cell r="I7380">
            <v>88200000</v>
          </cell>
        </row>
        <row r="7381">
          <cell r="A7381" t="str">
            <v>Kyrgyzstan</v>
          </cell>
          <cell r="B7381">
            <v>417</v>
          </cell>
          <cell r="C7381">
            <v>203</v>
          </cell>
          <cell r="D7381">
            <v>3</v>
          </cell>
          <cell r="E7381" t="str">
            <v>Equals: VALUE ADDED, GROSS, at basic prices</v>
          </cell>
          <cell r="F7381">
            <v>12</v>
          </cell>
          <cell r="G7381">
            <v>1992</v>
          </cell>
          <cell r="H7381">
            <v>100</v>
          </cell>
          <cell r="I7381">
            <v>707400000</v>
          </cell>
        </row>
        <row r="7382">
          <cell r="A7382" t="str">
            <v>Kyrgyzstan</v>
          </cell>
          <cell r="B7382">
            <v>417</v>
          </cell>
          <cell r="C7382">
            <v>203</v>
          </cell>
          <cell r="D7382">
            <v>3</v>
          </cell>
          <cell r="E7382" t="str">
            <v>Equals: VALUE ADDED, GROSS, at basic prices</v>
          </cell>
          <cell r="F7382">
            <v>12</v>
          </cell>
          <cell r="G7382">
            <v>1993</v>
          </cell>
          <cell r="H7382">
            <v>100</v>
          </cell>
          <cell r="I7382">
            <v>5106100000</v>
          </cell>
        </row>
        <row r="7383">
          <cell r="A7383" t="str">
            <v>Kyrgyzstan</v>
          </cell>
          <cell r="B7383">
            <v>417</v>
          </cell>
          <cell r="C7383">
            <v>203</v>
          </cell>
          <cell r="D7383">
            <v>3</v>
          </cell>
          <cell r="E7383" t="str">
            <v>Equals: VALUE ADDED, GROSS, at basic prices</v>
          </cell>
          <cell r="F7383">
            <v>12</v>
          </cell>
          <cell r="G7383">
            <v>1994</v>
          </cell>
          <cell r="H7383">
            <v>100</v>
          </cell>
          <cell r="I7383">
            <v>11279200000</v>
          </cell>
        </row>
        <row r="7384">
          <cell r="A7384" t="str">
            <v>Kyrgyzstan</v>
          </cell>
          <cell r="B7384">
            <v>417</v>
          </cell>
          <cell r="C7384">
            <v>203</v>
          </cell>
          <cell r="D7384">
            <v>3</v>
          </cell>
          <cell r="E7384" t="str">
            <v>Equals: VALUE ADDED, GROSS, at basic prices</v>
          </cell>
          <cell r="F7384">
            <v>12</v>
          </cell>
          <cell r="G7384">
            <v>1995</v>
          </cell>
          <cell r="H7384">
            <v>100</v>
          </cell>
          <cell r="I7384">
            <v>14960800000</v>
          </cell>
        </row>
        <row r="7385">
          <cell r="A7385" t="str">
            <v>Kyrgyzstan</v>
          </cell>
          <cell r="B7385">
            <v>417</v>
          </cell>
          <cell r="C7385">
            <v>203</v>
          </cell>
          <cell r="D7385">
            <v>3</v>
          </cell>
          <cell r="E7385" t="str">
            <v>Equals: VALUE ADDED, GROSS, at basic prices</v>
          </cell>
          <cell r="F7385">
            <v>12</v>
          </cell>
          <cell r="G7385">
            <v>1996</v>
          </cell>
          <cell r="H7385">
            <v>100</v>
          </cell>
          <cell r="I7385">
            <v>21786500000</v>
          </cell>
        </row>
        <row r="7386">
          <cell r="A7386" t="str">
            <v>Kyrgyzstan</v>
          </cell>
          <cell r="B7386">
            <v>417</v>
          </cell>
          <cell r="C7386">
            <v>203</v>
          </cell>
          <cell r="D7386">
            <v>3</v>
          </cell>
          <cell r="E7386" t="str">
            <v>Equals: VALUE ADDED, GROSS, at basic prices</v>
          </cell>
          <cell r="F7386">
            <v>12</v>
          </cell>
          <cell r="G7386">
            <v>1997</v>
          </cell>
          <cell r="H7386">
            <v>100</v>
          </cell>
          <cell r="I7386">
            <v>28329900000</v>
          </cell>
        </row>
        <row r="7387">
          <cell r="A7387" t="str">
            <v>Kyrgyzstan</v>
          </cell>
          <cell r="B7387">
            <v>417</v>
          </cell>
          <cell r="C7387">
            <v>203</v>
          </cell>
          <cell r="D7387">
            <v>3</v>
          </cell>
          <cell r="E7387" t="str">
            <v>Equals: VALUE ADDED, GROSS, at basic prices</v>
          </cell>
          <cell r="F7387">
            <v>12</v>
          </cell>
          <cell r="G7387">
            <v>1998</v>
          </cell>
          <cell r="H7387">
            <v>100</v>
          </cell>
          <cell r="I7387">
            <v>31174400000</v>
          </cell>
        </row>
        <row r="7388">
          <cell r="A7388" t="str">
            <v>Kyrgyzstan</v>
          </cell>
          <cell r="B7388">
            <v>417</v>
          </cell>
          <cell r="C7388">
            <v>203</v>
          </cell>
          <cell r="D7388">
            <v>3</v>
          </cell>
          <cell r="E7388" t="str">
            <v>Equals: VALUE ADDED, GROSS, at basic prices</v>
          </cell>
          <cell r="F7388">
            <v>12</v>
          </cell>
          <cell r="G7388">
            <v>1999</v>
          </cell>
          <cell r="H7388">
            <v>100</v>
          </cell>
          <cell r="I7388">
            <v>45125300000</v>
          </cell>
        </row>
        <row r="7389">
          <cell r="A7389" t="str">
            <v>Kyrgyzstan</v>
          </cell>
          <cell r="B7389">
            <v>417</v>
          </cell>
          <cell r="C7389">
            <v>203</v>
          </cell>
          <cell r="D7389">
            <v>3</v>
          </cell>
          <cell r="E7389" t="str">
            <v>Equals: VALUE ADDED, GROSS, at basic prices</v>
          </cell>
          <cell r="F7389">
            <v>12</v>
          </cell>
          <cell r="G7389">
            <v>2000</v>
          </cell>
          <cell r="H7389">
            <v>100</v>
          </cell>
          <cell r="I7389">
            <v>60802500000</v>
          </cell>
        </row>
        <row r="7390">
          <cell r="A7390" t="str">
            <v>Kyrgyzstan</v>
          </cell>
          <cell r="B7390">
            <v>417</v>
          </cell>
          <cell r="C7390">
            <v>203</v>
          </cell>
          <cell r="D7390">
            <v>3</v>
          </cell>
          <cell r="E7390" t="str">
            <v>Equals: VALUE ADDED, GROSS, at basic prices</v>
          </cell>
          <cell r="F7390">
            <v>12</v>
          </cell>
          <cell r="G7390">
            <v>2001</v>
          </cell>
          <cell r="H7390">
            <v>100</v>
          </cell>
          <cell r="I7390">
            <v>68527000000</v>
          </cell>
        </row>
        <row r="7391">
          <cell r="A7391" t="str">
            <v>Kyrgyzstan</v>
          </cell>
          <cell r="B7391">
            <v>417</v>
          </cell>
          <cell r="C7391">
            <v>203</v>
          </cell>
          <cell r="D7391">
            <v>3</v>
          </cell>
          <cell r="E7391" t="str">
            <v>Equals: VALUE ADDED, GROSS, at basic prices</v>
          </cell>
          <cell r="F7391">
            <v>12</v>
          </cell>
          <cell r="G7391">
            <v>2002</v>
          </cell>
          <cell r="H7391">
            <v>100</v>
          </cell>
          <cell r="I7391">
            <v>68810400000</v>
          </cell>
        </row>
        <row r="7392">
          <cell r="A7392" t="str">
            <v>Kyrgyzstan</v>
          </cell>
          <cell r="B7392">
            <v>417</v>
          </cell>
          <cell r="C7392">
            <v>203</v>
          </cell>
          <cell r="D7392">
            <v>3</v>
          </cell>
          <cell r="E7392" t="str">
            <v>Equals: VALUE ADDED, GROSS, at basic prices</v>
          </cell>
          <cell r="F7392">
            <v>12</v>
          </cell>
          <cell r="G7392">
            <v>2003</v>
          </cell>
          <cell r="H7392">
            <v>100</v>
          </cell>
          <cell r="I7392">
            <v>76082600000</v>
          </cell>
        </row>
        <row r="7393">
          <cell r="A7393" t="str">
            <v>Kyrgyzstan</v>
          </cell>
          <cell r="B7393">
            <v>417</v>
          </cell>
          <cell r="C7393">
            <v>203</v>
          </cell>
          <cell r="D7393">
            <v>4</v>
          </cell>
          <cell r="E7393" t="str">
            <v>Compensation of employees</v>
          </cell>
          <cell r="F7393">
            <v>12</v>
          </cell>
          <cell r="G7393">
            <v>1990</v>
          </cell>
          <cell r="H7393">
            <v>100</v>
          </cell>
          <cell r="I7393">
            <v>22600000</v>
          </cell>
        </row>
        <row r="7394">
          <cell r="A7394" t="str">
            <v>Kyrgyzstan</v>
          </cell>
          <cell r="B7394">
            <v>417</v>
          </cell>
          <cell r="C7394">
            <v>203</v>
          </cell>
          <cell r="D7394">
            <v>4</v>
          </cell>
          <cell r="E7394" t="str">
            <v>Compensation of employees</v>
          </cell>
          <cell r="F7394">
            <v>12</v>
          </cell>
          <cell r="G7394">
            <v>1991</v>
          </cell>
          <cell r="H7394">
            <v>100</v>
          </cell>
          <cell r="I7394">
            <v>43600000</v>
          </cell>
        </row>
        <row r="7395">
          <cell r="A7395" t="str">
            <v>Kyrgyzstan</v>
          </cell>
          <cell r="B7395">
            <v>417</v>
          </cell>
          <cell r="C7395">
            <v>203</v>
          </cell>
          <cell r="D7395">
            <v>4</v>
          </cell>
          <cell r="E7395" t="str">
            <v>Compensation of employees</v>
          </cell>
          <cell r="F7395">
            <v>12</v>
          </cell>
          <cell r="G7395">
            <v>1992</v>
          </cell>
          <cell r="H7395">
            <v>100</v>
          </cell>
          <cell r="I7395">
            <v>288900000</v>
          </cell>
        </row>
        <row r="7396">
          <cell r="A7396" t="str">
            <v>Kyrgyzstan</v>
          </cell>
          <cell r="B7396">
            <v>417</v>
          </cell>
          <cell r="C7396">
            <v>203</v>
          </cell>
          <cell r="D7396">
            <v>4</v>
          </cell>
          <cell r="E7396" t="str">
            <v>Compensation of employees</v>
          </cell>
          <cell r="F7396">
            <v>12</v>
          </cell>
          <cell r="G7396">
            <v>1993</v>
          </cell>
          <cell r="H7396">
            <v>100</v>
          </cell>
          <cell r="I7396">
            <v>1866000000</v>
          </cell>
        </row>
        <row r="7397">
          <cell r="A7397" t="str">
            <v>Kyrgyzstan</v>
          </cell>
          <cell r="B7397">
            <v>417</v>
          </cell>
          <cell r="C7397">
            <v>203</v>
          </cell>
          <cell r="D7397">
            <v>4</v>
          </cell>
          <cell r="E7397" t="str">
            <v>Compensation of employees</v>
          </cell>
          <cell r="F7397">
            <v>12</v>
          </cell>
          <cell r="G7397">
            <v>1994</v>
          </cell>
          <cell r="H7397">
            <v>100</v>
          </cell>
          <cell r="I7397">
            <v>4096400000</v>
          </cell>
        </row>
        <row r="7398">
          <cell r="A7398" t="str">
            <v>Kyrgyzstan</v>
          </cell>
          <cell r="B7398">
            <v>417</v>
          </cell>
          <cell r="C7398">
            <v>203</v>
          </cell>
          <cell r="D7398">
            <v>4</v>
          </cell>
          <cell r="E7398" t="str">
            <v>Compensation of employees</v>
          </cell>
          <cell r="F7398">
            <v>12</v>
          </cell>
          <cell r="G7398">
            <v>1995</v>
          </cell>
          <cell r="H7398">
            <v>100</v>
          </cell>
          <cell r="I7398">
            <v>6104000000</v>
          </cell>
        </row>
        <row r="7399">
          <cell r="A7399" t="str">
            <v>Kyrgyzstan</v>
          </cell>
          <cell r="B7399">
            <v>417</v>
          </cell>
          <cell r="C7399">
            <v>203</v>
          </cell>
          <cell r="D7399">
            <v>4</v>
          </cell>
          <cell r="E7399" t="str">
            <v>Compensation of employees</v>
          </cell>
          <cell r="F7399">
            <v>12</v>
          </cell>
          <cell r="G7399">
            <v>1996</v>
          </cell>
          <cell r="H7399">
            <v>100</v>
          </cell>
          <cell r="I7399">
            <v>7853900000</v>
          </cell>
        </row>
        <row r="7400">
          <cell r="A7400" t="str">
            <v>Kyrgyzstan</v>
          </cell>
          <cell r="B7400">
            <v>417</v>
          </cell>
          <cell r="C7400">
            <v>203</v>
          </cell>
          <cell r="D7400">
            <v>4</v>
          </cell>
          <cell r="E7400" t="str">
            <v>Compensation of employees</v>
          </cell>
          <cell r="F7400">
            <v>12</v>
          </cell>
          <cell r="G7400">
            <v>1997</v>
          </cell>
          <cell r="H7400">
            <v>100</v>
          </cell>
          <cell r="I7400">
            <v>9874300000</v>
          </cell>
        </row>
        <row r="7401">
          <cell r="A7401" t="str">
            <v>Kyrgyzstan</v>
          </cell>
          <cell r="B7401">
            <v>417</v>
          </cell>
          <cell r="C7401">
            <v>203</v>
          </cell>
          <cell r="D7401">
            <v>4</v>
          </cell>
          <cell r="E7401" t="str">
            <v>Compensation of employees</v>
          </cell>
          <cell r="F7401">
            <v>12</v>
          </cell>
          <cell r="G7401">
            <v>1998</v>
          </cell>
          <cell r="H7401">
            <v>100</v>
          </cell>
          <cell r="I7401">
            <v>11154400000</v>
          </cell>
        </row>
        <row r="7402">
          <cell r="A7402" t="str">
            <v>Kyrgyzstan</v>
          </cell>
          <cell r="B7402">
            <v>417</v>
          </cell>
          <cell r="C7402">
            <v>203</v>
          </cell>
          <cell r="D7402">
            <v>4</v>
          </cell>
          <cell r="E7402" t="str">
            <v>Compensation of employees</v>
          </cell>
          <cell r="F7402">
            <v>12</v>
          </cell>
          <cell r="G7402">
            <v>1999</v>
          </cell>
          <cell r="H7402">
            <v>100</v>
          </cell>
          <cell r="I7402">
            <v>15632500000</v>
          </cell>
        </row>
        <row r="7403">
          <cell r="A7403" t="str">
            <v>Kyrgyzstan</v>
          </cell>
          <cell r="B7403">
            <v>417</v>
          </cell>
          <cell r="C7403">
            <v>203</v>
          </cell>
          <cell r="D7403">
            <v>4</v>
          </cell>
          <cell r="E7403" t="str">
            <v>Compensation of employees</v>
          </cell>
          <cell r="F7403">
            <v>12</v>
          </cell>
          <cell r="G7403">
            <v>2000</v>
          </cell>
          <cell r="H7403">
            <v>100</v>
          </cell>
          <cell r="I7403">
            <v>20065200000</v>
          </cell>
        </row>
        <row r="7404">
          <cell r="A7404" t="str">
            <v>Kyrgyzstan</v>
          </cell>
          <cell r="B7404">
            <v>417</v>
          </cell>
          <cell r="C7404">
            <v>203</v>
          </cell>
          <cell r="D7404">
            <v>4</v>
          </cell>
          <cell r="E7404" t="str">
            <v>Compensation of employees</v>
          </cell>
          <cell r="F7404">
            <v>12</v>
          </cell>
          <cell r="G7404">
            <v>2001</v>
          </cell>
          <cell r="H7404">
            <v>100</v>
          </cell>
          <cell r="I7404">
            <v>20079000000</v>
          </cell>
        </row>
        <row r="7405">
          <cell r="A7405" t="str">
            <v>Kyrgyzstan</v>
          </cell>
          <cell r="B7405">
            <v>417</v>
          </cell>
          <cell r="C7405">
            <v>203</v>
          </cell>
          <cell r="D7405">
            <v>4</v>
          </cell>
          <cell r="E7405" t="str">
            <v>Compensation of employees</v>
          </cell>
          <cell r="F7405">
            <v>12</v>
          </cell>
          <cell r="G7405">
            <v>2002</v>
          </cell>
          <cell r="H7405">
            <v>100</v>
          </cell>
          <cell r="I7405">
            <v>20288000000</v>
          </cell>
        </row>
        <row r="7406">
          <cell r="A7406" t="str">
            <v>Kyrgyzstan</v>
          </cell>
          <cell r="B7406">
            <v>417</v>
          </cell>
          <cell r="C7406">
            <v>203</v>
          </cell>
          <cell r="D7406">
            <v>4</v>
          </cell>
          <cell r="E7406" t="str">
            <v>Compensation of employees</v>
          </cell>
          <cell r="F7406">
            <v>12</v>
          </cell>
          <cell r="G7406">
            <v>2003</v>
          </cell>
          <cell r="H7406">
            <v>100</v>
          </cell>
          <cell r="I7406">
            <v>22308900000</v>
          </cell>
        </row>
        <row r="7407">
          <cell r="A7407" t="str">
            <v>Kyrgyzstan</v>
          </cell>
          <cell r="B7407">
            <v>417</v>
          </cell>
          <cell r="C7407">
            <v>203</v>
          </cell>
          <cell r="D7407">
            <v>11</v>
          </cell>
          <cell r="E7407" t="str">
            <v>OPERATING SURPLUS, GROSS</v>
          </cell>
          <cell r="F7407">
            <v>12</v>
          </cell>
          <cell r="G7407">
            <v>1990</v>
          </cell>
          <cell r="H7407">
            <v>100</v>
          </cell>
          <cell r="I7407">
            <v>10900000</v>
          </cell>
        </row>
        <row r="7408">
          <cell r="A7408" t="str">
            <v>Kyrgyzstan</v>
          </cell>
          <cell r="B7408">
            <v>417</v>
          </cell>
          <cell r="C7408">
            <v>203</v>
          </cell>
          <cell r="D7408">
            <v>11</v>
          </cell>
          <cell r="E7408" t="str">
            <v>OPERATING SURPLUS, GROSS</v>
          </cell>
          <cell r="F7408">
            <v>12</v>
          </cell>
          <cell r="G7408">
            <v>1991</v>
          </cell>
          <cell r="H7408">
            <v>100</v>
          </cell>
          <cell r="I7408">
            <v>24500000</v>
          </cell>
        </row>
        <row r="7409">
          <cell r="A7409" t="str">
            <v>Kyrgyzstan</v>
          </cell>
          <cell r="B7409">
            <v>417</v>
          </cell>
          <cell r="C7409">
            <v>203</v>
          </cell>
          <cell r="D7409">
            <v>11</v>
          </cell>
          <cell r="E7409" t="str">
            <v>OPERATING SURPLUS, GROSS</v>
          </cell>
          <cell r="F7409">
            <v>12</v>
          </cell>
          <cell r="G7409">
            <v>1992</v>
          </cell>
          <cell r="H7409">
            <v>100</v>
          </cell>
          <cell r="I7409">
            <v>255600000</v>
          </cell>
        </row>
        <row r="7410">
          <cell r="A7410" t="str">
            <v>Kyrgyzstan</v>
          </cell>
          <cell r="B7410">
            <v>417</v>
          </cell>
          <cell r="C7410">
            <v>203</v>
          </cell>
          <cell r="D7410">
            <v>11</v>
          </cell>
          <cell r="E7410" t="str">
            <v>OPERATING SURPLUS, GROSS</v>
          </cell>
          <cell r="F7410">
            <v>12</v>
          </cell>
          <cell r="G7410">
            <v>1993</v>
          </cell>
          <cell r="H7410">
            <v>100</v>
          </cell>
          <cell r="I7410">
            <v>1361500000</v>
          </cell>
        </row>
        <row r="7411">
          <cell r="A7411" t="str">
            <v>Kyrgyzstan</v>
          </cell>
          <cell r="B7411">
            <v>417</v>
          </cell>
          <cell r="C7411">
            <v>203</v>
          </cell>
          <cell r="D7411">
            <v>11</v>
          </cell>
          <cell r="E7411" t="str">
            <v>OPERATING SURPLUS, GROSS</v>
          </cell>
          <cell r="F7411">
            <v>12</v>
          </cell>
          <cell r="G7411">
            <v>1994</v>
          </cell>
          <cell r="H7411">
            <v>100</v>
          </cell>
          <cell r="I7411">
            <v>2365000000</v>
          </cell>
        </row>
        <row r="7412">
          <cell r="A7412" t="str">
            <v>Kyrgyzstan</v>
          </cell>
          <cell r="B7412">
            <v>417</v>
          </cell>
          <cell r="C7412">
            <v>203</v>
          </cell>
          <cell r="D7412">
            <v>11</v>
          </cell>
          <cell r="E7412" t="str">
            <v>OPERATING SURPLUS, GROSS</v>
          </cell>
          <cell r="F7412">
            <v>12</v>
          </cell>
          <cell r="G7412">
            <v>1995</v>
          </cell>
          <cell r="H7412">
            <v>100</v>
          </cell>
          <cell r="I7412">
            <v>1267000000</v>
          </cell>
        </row>
        <row r="7413">
          <cell r="A7413" t="str">
            <v>Kyrgyzstan</v>
          </cell>
          <cell r="B7413">
            <v>417</v>
          </cell>
          <cell r="C7413">
            <v>203</v>
          </cell>
          <cell r="D7413">
            <v>11</v>
          </cell>
          <cell r="E7413" t="str">
            <v>OPERATING SURPLUS, GROSS</v>
          </cell>
          <cell r="F7413">
            <v>12</v>
          </cell>
          <cell r="G7413">
            <v>1996</v>
          </cell>
          <cell r="H7413">
            <v>100</v>
          </cell>
          <cell r="I7413">
            <v>1288800000</v>
          </cell>
        </row>
        <row r="7414">
          <cell r="A7414" t="str">
            <v>Kyrgyzstan</v>
          </cell>
          <cell r="B7414">
            <v>417</v>
          </cell>
          <cell r="C7414">
            <v>203</v>
          </cell>
          <cell r="D7414">
            <v>11</v>
          </cell>
          <cell r="E7414" t="str">
            <v>OPERATING SURPLUS, GROSS</v>
          </cell>
          <cell r="F7414">
            <v>12</v>
          </cell>
          <cell r="G7414">
            <v>1997</v>
          </cell>
          <cell r="H7414">
            <v>100</v>
          </cell>
          <cell r="I7414">
            <v>2803800000</v>
          </cell>
        </row>
        <row r="7415">
          <cell r="A7415" t="str">
            <v>Kyrgyzstan</v>
          </cell>
          <cell r="B7415">
            <v>417</v>
          </cell>
          <cell r="C7415">
            <v>203</v>
          </cell>
          <cell r="D7415">
            <v>11</v>
          </cell>
          <cell r="E7415" t="str">
            <v>OPERATING SURPLUS, GROSS</v>
          </cell>
          <cell r="F7415">
            <v>12</v>
          </cell>
          <cell r="G7415">
            <v>1998</v>
          </cell>
          <cell r="H7415">
            <v>100</v>
          </cell>
          <cell r="I7415">
            <v>3237700000</v>
          </cell>
        </row>
        <row r="7416">
          <cell r="A7416" t="str">
            <v>Kyrgyzstan</v>
          </cell>
          <cell r="B7416">
            <v>417</v>
          </cell>
          <cell r="C7416">
            <v>203</v>
          </cell>
          <cell r="D7416">
            <v>11</v>
          </cell>
          <cell r="E7416" t="str">
            <v>OPERATING SURPLUS, GROSS</v>
          </cell>
          <cell r="F7416">
            <v>12</v>
          </cell>
          <cell r="G7416">
            <v>1999</v>
          </cell>
          <cell r="H7416">
            <v>100</v>
          </cell>
          <cell r="I7416">
            <v>6015900000</v>
          </cell>
        </row>
        <row r="7417">
          <cell r="A7417" t="str">
            <v>Kyrgyzstan</v>
          </cell>
          <cell r="B7417">
            <v>417</v>
          </cell>
          <cell r="C7417">
            <v>203</v>
          </cell>
          <cell r="D7417">
            <v>11</v>
          </cell>
          <cell r="E7417" t="str">
            <v>OPERATING SURPLUS, GROSS</v>
          </cell>
          <cell r="F7417">
            <v>12</v>
          </cell>
          <cell r="G7417">
            <v>2000</v>
          </cell>
          <cell r="H7417">
            <v>100</v>
          </cell>
          <cell r="I7417">
            <v>9612600000</v>
          </cell>
        </row>
        <row r="7418">
          <cell r="A7418" t="str">
            <v>Kyrgyzstan</v>
          </cell>
          <cell r="B7418">
            <v>417</v>
          </cell>
          <cell r="C7418">
            <v>203</v>
          </cell>
          <cell r="D7418">
            <v>11</v>
          </cell>
          <cell r="E7418" t="str">
            <v>OPERATING SURPLUS, GROSS</v>
          </cell>
          <cell r="F7418">
            <v>12</v>
          </cell>
          <cell r="G7418">
            <v>2001</v>
          </cell>
          <cell r="H7418">
            <v>100</v>
          </cell>
          <cell r="I7418">
            <v>12482200000</v>
          </cell>
        </row>
        <row r="7419">
          <cell r="A7419" t="str">
            <v>Kyrgyzstan</v>
          </cell>
          <cell r="B7419">
            <v>417</v>
          </cell>
          <cell r="C7419">
            <v>203</v>
          </cell>
          <cell r="D7419">
            <v>11</v>
          </cell>
          <cell r="E7419" t="str">
            <v>OPERATING SURPLUS, GROSS</v>
          </cell>
          <cell r="F7419">
            <v>12</v>
          </cell>
          <cell r="G7419">
            <v>2002</v>
          </cell>
          <cell r="H7419">
            <v>100</v>
          </cell>
          <cell r="I7419">
            <v>9569300000</v>
          </cell>
        </row>
        <row r="7420">
          <cell r="A7420" t="str">
            <v>Kyrgyzstan</v>
          </cell>
          <cell r="B7420">
            <v>417</v>
          </cell>
          <cell r="C7420">
            <v>203</v>
          </cell>
          <cell r="D7420">
            <v>11</v>
          </cell>
          <cell r="E7420" t="str">
            <v>OPERATING SURPLUS, GROSS</v>
          </cell>
          <cell r="F7420">
            <v>12</v>
          </cell>
          <cell r="G7420">
            <v>2003</v>
          </cell>
          <cell r="H7420">
            <v>100</v>
          </cell>
          <cell r="I7420">
            <v>11173900000</v>
          </cell>
        </row>
        <row r="7421">
          <cell r="A7421" t="str">
            <v>Kyrgyzstan</v>
          </cell>
          <cell r="B7421">
            <v>417</v>
          </cell>
          <cell r="C7421">
            <v>203</v>
          </cell>
          <cell r="D7421">
            <v>12</v>
          </cell>
          <cell r="E7421" t="str">
            <v>MIXED INCOME, GROSS</v>
          </cell>
          <cell r="F7421">
            <v>12</v>
          </cell>
          <cell r="G7421">
            <v>1990</v>
          </cell>
          <cell r="H7421">
            <v>100</v>
          </cell>
          <cell r="I7421">
            <v>7200000</v>
          </cell>
        </row>
        <row r="7422">
          <cell r="A7422" t="str">
            <v>Kyrgyzstan</v>
          </cell>
          <cell r="B7422">
            <v>417</v>
          </cell>
          <cell r="C7422">
            <v>203</v>
          </cell>
          <cell r="D7422">
            <v>12</v>
          </cell>
          <cell r="E7422" t="str">
            <v>MIXED INCOME, GROSS</v>
          </cell>
          <cell r="F7422">
            <v>12</v>
          </cell>
          <cell r="G7422">
            <v>1991</v>
          </cell>
          <cell r="H7422">
            <v>100</v>
          </cell>
          <cell r="I7422">
            <v>19000000</v>
          </cell>
        </row>
        <row r="7423">
          <cell r="A7423" t="str">
            <v>Kyrgyzstan</v>
          </cell>
          <cell r="B7423">
            <v>417</v>
          </cell>
          <cell r="C7423">
            <v>203</v>
          </cell>
          <cell r="D7423">
            <v>12</v>
          </cell>
          <cell r="E7423" t="str">
            <v>MIXED INCOME, GROSS</v>
          </cell>
          <cell r="F7423">
            <v>12</v>
          </cell>
          <cell r="G7423">
            <v>1992</v>
          </cell>
          <cell r="H7423">
            <v>100</v>
          </cell>
          <cell r="I7423">
            <v>150100000</v>
          </cell>
        </row>
        <row r="7424">
          <cell r="A7424" t="str">
            <v>Kyrgyzstan</v>
          </cell>
          <cell r="B7424">
            <v>417</v>
          </cell>
          <cell r="C7424">
            <v>203</v>
          </cell>
          <cell r="D7424">
            <v>12</v>
          </cell>
          <cell r="E7424" t="str">
            <v>MIXED INCOME, GROSS</v>
          </cell>
          <cell r="F7424">
            <v>12</v>
          </cell>
          <cell r="G7424">
            <v>1993</v>
          </cell>
          <cell r="H7424">
            <v>100</v>
          </cell>
          <cell r="I7424">
            <v>1767300000</v>
          </cell>
        </row>
        <row r="7425">
          <cell r="A7425" t="str">
            <v>Kyrgyzstan</v>
          </cell>
          <cell r="B7425">
            <v>417</v>
          </cell>
          <cell r="C7425">
            <v>203</v>
          </cell>
          <cell r="D7425">
            <v>12</v>
          </cell>
          <cell r="E7425" t="str">
            <v>MIXED INCOME, GROSS</v>
          </cell>
          <cell r="F7425">
            <v>12</v>
          </cell>
          <cell r="G7425">
            <v>1994</v>
          </cell>
          <cell r="H7425">
            <v>100</v>
          </cell>
          <cell r="I7425">
            <v>4440100000</v>
          </cell>
        </row>
        <row r="7426">
          <cell r="A7426" t="str">
            <v>Kyrgyzstan</v>
          </cell>
          <cell r="B7426">
            <v>417</v>
          </cell>
          <cell r="C7426">
            <v>203</v>
          </cell>
          <cell r="D7426">
            <v>12</v>
          </cell>
          <cell r="E7426" t="str">
            <v>MIXED INCOME, GROSS</v>
          </cell>
          <cell r="F7426">
            <v>12</v>
          </cell>
          <cell r="G7426">
            <v>1995</v>
          </cell>
          <cell r="H7426">
            <v>100</v>
          </cell>
          <cell r="I7426">
            <v>7144800000</v>
          </cell>
        </row>
        <row r="7427">
          <cell r="A7427" t="str">
            <v>Kyrgyzstan</v>
          </cell>
          <cell r="B7427">
            <v>417</v>
          </cell>
          <cell r="C7427">
            <v>203</v>
          </cell>
          <cell r="D7427">
            <v>12</v>
          </cell>
          <cell r="E7427" t="str">
            <v>MIXED INCOME, GROSS</v>
          </cell>
          <cell r="F7427">
            <v>12</v>
          </cell>
          <cell r="G7427">
            <v>1996</v>
          </cell>
          <cell r="H7427">
            <v>100</v>
          </cell>
          <cell r="I7427">
            <v>12024500000</v>
          </cell>
        </row>
        <row r="7428">
          <cell r="A7428" t="str">
            <v>Kyrgyzstan</v>
          </cell>
          <cell r="B7428">
            <v>417</v>
          </cell>
          <cell r="C7428">
            <v>203</v>
          </cell>
          <cell r="D7428">
            <v>12</v>
          </cell>
          <cell r="E7428" t="str">
            <v>MIXED INCOME, GROSS</v>
          </cell>
          <cell r="F7428">
            <v>12</v>
          </cell>
          <cell r="G7428">
            <v>1997</v>
          </cell>
          <cell r="H7428">
            <v>100</v>
          </cell>
          <cell r="I7428">
            <v>14810000000</v>
          </cell>
        </row>
        <row r="7429">
          <cell r="A7429" t="str">
            <v>Kyrgyzstan</v>
          </cell>
          <cell r="B7429">
            <v>417</v>
          </cell>
          <cell r="C7429">
            <v>203</v>
          </cell>
          <cell r="D7429">
            <v>12</v>
          </cell>
          <cell r="E7429" t="str">
            <v>MIXED INCOME, GROSS</v>
          </cell>
          <cell r="F7429">
            <v>12</v>
          </cell>
          <cell r="G7429">
            <v>1998</v>
          </cell>
          <cell r="H7429">
            <v>100</v>
          </cell>
          <cell r="I7429">
            <v>15680700000</v>
          </cell>
        </row>
        <row r="7430">
          <cell r="A7430" t="str">
            <v>Kyrgyzstan</v>
          </cell>
          <cell r="B7430">
            <v>417</v>
          </cell>
          <cell r="C7430">
            <v>203</v>
          </cell>
          <cell r="D7430">
            <v>12</v>
          </cell>
          <cell r="E7430" t="str">
            <v>MIXED INCOME, GROSS</v>
          </cell>
          <cell r="F7430">
            <v>12</v>
          </cell>
          <cell r="G7430">
            <v>1999</v>
          </cell>
          <cell r="H7430">
            <v>100</v>
          </cell>
          <cell r="I7430">
            <v>22379600000</v>
          </cell>
        </row>
        <row r="7431">
          <cell r="A7431" t="str">
            <v>Kyrgyzstan</v>
          </cell>
          <cell r="B7431">
            <v>417</v>
          </cell>
          <cell r="C7431">
            <v>203</v>
          </cell>
          <cell r="D7431">
            <v>12</v>
          </cell>
          <cell r="E7431" t="str">
            <v>MIXED INCOME, GROSS</v>
          </cell>
          <cell r="F7431">
            <v>12</v>
          </cell>
          <cell r="G7431">
            <v>2000</v>
          </cell>
          <cell r="H7431">
            <v>100</v>
          </cell>
          <cell r="I7431">
            <v>29557500000</v>
          </cell>
        </row>
        <row r="7432">
          <cell r="A7432" t="str">
            <v>Kyrgyzstan</v>
          </cell>
          <cell r="B7432">
            <v>417</v>
          </cell>
          <cell r="C7432">
            <v>203</v>
          </cell>
          <cell r="D7432">
            <v>12</v>
          </cell>
          <cell r="E7432" t="str">
            <v>MIXED INCOME, GROSS</v>
          </cell>
          <cell r="F7432">
            <v>12</v>
          </cell>
          <cell r="G7432">
            <v>2001</v>
          </cell>
          <cell r="H7432">
            <v>100</v>
          </cell>
          <cell r="I7432">
            <v>34469400000</v>
          </cell>
        </row>
        <row r="7433">
          <cell r="A7433" t="str">
            <v>Kyrgyzstan</v>
          </cell>
          <cell r="B7433">
            <v>417</v>
          </cell>
          <cell r="C7433">
            <v>203</v>
          </cell>
          <cell r="D7433">
            <v>12</v>
          </cell>
          <cell r="E7433" t="str">
            <v>MIXED INCOME, GROSS</v>
          </cell>
          <cell r="F7433">
            <v>12</v>
          </cell>
          <cell r="G7433">
            <v>2002</v>
          </cell>
          <cell r="H7433">
            <v>100</v>
          </cell>
          <cell r="I7433">
            <v>37202700000</v>
          </cell>
        </row>
        <row r="7434">
          <cell r="A7434" t="str">
            <v>Kyrgyzstan</v>
          </cell>
          <cell r="B7434">
            <v>417</v>
          </cell>
          <cell r="C7434">
            <v>203</v>
          </cell>
          <cell r="D7434">
            <v>12</v>
          </cell>
          <cell r="E7434" t="str">
            <v>MIXED INCOME, GROSS</v>
          </cell>
          <cell r="F7434">
            <v>12</v>
          </cell>
          <cell r="G7434">
            <v>2003</v>
          </cell>
          <cell r="H7434">
            <v>100</v>
          </cell>
          <cell r="I7434">
            <v>41238700000</v>
          </cell>
        </row>
        <row r="7435">
          <cell r="A7435" t="str">
            <v>Kyrgyzstan</v>
          </cell>
          <cell r="B7435">
            <v>417</v>
          </cell>
          <cell r="C7435">
            <v>203</v>
          </cell>
          <cell r="D7435">
            <v>22</v>
          </cell>
          <cell r="E7435" t="str">
            <v>Taxes on production and imports, less Subsidies</v>
          </cell>
          <cell r="F7435">
            <v>12</v>
          </cell>
          <cell r="G7435">
            <v>1990</v>
          </cell>
          <cell r="H7435">
            <v>100</v>
          </cell>
          <cell r="I7435">
            <v>1000000</v>
          </cell>
        </row>
        <row r="7436">
          <cell r="A7436" t="str">
            <v>Kyrgyzstan</v>
          </cell>
          <cell r="B7436">
            <v>417</v>
          </cell>
          <cell r="C7436">
            <v>203</v>
          </cell>
          <cell r="D7436">
            <v>22</v>
          </cell>
          <cell r="E7436" t="str">
            <v>Taxes on production and imports, less Subsidies</v>
          </cell>
          <cell r="F7436">
            <v>12</v>
          </cell>
          <cell r="G7436">
            <v>1991</v>
          </cell>
          <cell r="H7436">
            <v>100</v>
          </cell>
          <cell r="I7436">
            <v>1200000</v>
          </cell>
        </row>
        <row r="7437">
          <cell r="A7437" t="str">
            <v>Kyrgyzstan</v>
          </cell>
          <cell r="B7437">
            <v>417</v>
          </cell>
          <cell r="C7437">
            <v>203</v>
          </cell>
          <cell r="D7437">
            <v>22</v>
          </cell>
          <cell r="E7437" t="str">
            <v>Taxes on production and imports, less Subsidies</v>
          </cell>
          <cell r="F7437">
            <v>12</v>
          </cell>
          <cell r="G7437">
            <v>1992</v>
          </cell>
          <cell r="H7437">
            <v>100</v>
          </cell>
          <cell r="I7437">
            <v>12800000</v>
          </cell>
        </row>
        <row r="7438">
          <cell r="A7438" t="str">
            <v>Kyrgyzstan</v>
          </cell>
          <cell r="B7438">
            <v>417</v>
          </cell>
          <cell r="C7438">
            <v>203</v>
          </cell>
          <cell r="D7438">
            <v>22</v>
          </cell>
          <cell r="E7438" t="str">
            <v>Taxes on production and imports, less Subsidies</v>
          </cell>
          <cell r="F7438">
            <v>12</v>
          </cell>
          <cell r="G7438">
            <v>1993</v>
          </cell>
          <cell r="H7438">
            <v>100</v>
          </cell>
          <cell r="I7438">
            <v>111300000</v>
          </cell>
        </row>
        <row r="7439">
          <cell r="A7439" t="str">
            <v>Kyrgyzstan</v>
          </cell>
          <cell r="B7439">
            <v>417</v>
          </cell>
          <cell r="C7439">
            <v>203</v>
          </cell>
          <cell r="D7439">
            <v>22</v>
          </cell>
          <cell r="E7439" t="str">
            <v>Taxes on production and imports, less Subsidies</v>
          </cell>
          <cell r="F7439">
            <v>12</v>
          </cell>
          <cell r="G7439">
            <v>1994</v>
          </cell>
          <cell r="H7439">
            <v>100</v>
          </cell>
          <cell r="I7439">
            <v>377700000</v>
          </cell>
        </row>
        <row r="7440">
          <cell r="A7440" t="str">
            <v>Kyrgyzstan</v>
          </cell>
          <cell r="B7440">
            <v>417</v>
          </cell>
          <cell r="C7440">
            <v>203</v>
          </cell>
          <cell r="D7440">
            <v>22</v>
          </cell>
          <cell r="E7440" t="str">
            <v>Taxes on production and imports, less Subsidies</v>
          </cell>
          <cell r="F7440">
            <v>12</v>
          </cell>
          <cell r="G7440">
            <v>1995</v>
          </cell>
          <cell r="H7440">
            <v>100</v>
          </cell>
          <cell r="I7440">
            <v>445000000</v>
          </cell>
        </row>
        <row r="7441">
          <cell r="A7441" t="str">
            <v>Kyrgyzstan</v>
          </cell>
          <cell r="B7441">
            <v>417</v>
          </cell>
          <cell r="C7441">
            <v>203</v>
          </cell>
          <cell r="D7441">
            <v>22</v>
          </cell>
          <cell r="E7441" t="str">
            <v>Taxes on production and imports, less Subsidies</v>
          </cell>
          <cell r="F7441">
            <v>12</v>
          </cell>
          <cell r="G7441">
            <v>1996</v>
          </cell>
          <cell r="H7441">
            <v>100</v>
          </cell>
          <cell r="I7441">
            <v>619300000</v>
          </cell>
        </row>
        <row r="7442">
          <cell r="A7442" t="str">
            <v>Kyrgyzstan</v>
          </cell>
          <cell r="B7442">
            <v>417</v>
          </cell>
          <cell r="C7442">
            <v>203</v>
          </cell>
          <cell r="D7442">
            <v>22</v>
          </cell>
          <cell r="E7442" t="str">
            <v>Taxes on production and imports, less Subsidies</v>
          </cell>
          <cell r="F7442">
            <v>12</v>
          </cell>
          <cell r="G7442">
            <v>1997</v>
          </cell>
          <cell r="H7442">
            <v>100</v>
          </cell>
          <cell r="I7442">
            <v>841800000</v>
          </cell>
        </row>
        <row r="7443">
          <cell r="A7443" t="str">
            <v>Kyrgyzstan</v>
          </cell>
          <cell r="B7443">
            <v>417</v>
          </cell>
          <cell r="C7443">
            <v>203</v>
          </cell>
          <cell r="D7443">
            <v>22</v>
          </cell>
          <cell r="E7443" t="str">
            <v>Taxes on production and imports, less Subsidies</v>
          </cell>
          <cell r="F7443">
            <v>12</v>
          </cell>
          <cell r="G7443">
            <v>1998</v>
          </cell>
          <cell r="H7443">
            <v>100</v>
          </cell>
          <cell r="I7443">
            <v>1101600000</v>
          </cell>
        </row>
        <row r="7444">
          <cell r="A7444" t="str">
            <v>Kyrgyzstan</v>
          </cell>
          <cell r="B7444">
            <v>417</v>
          </cell>
          <cell r="C7444">
            <v>203</v>
          </cell>
          <cell r="D7444">
            <v>22</v>
          </cell>
          <cell r="E7444" t="str">
            <v>Taxes on production and imports, less Subsidies</v>
          </cell>
          <cell r="F7444">
            <v>12</v>
          </cell>
          <cell r="G7444">
            <v>1999</v>
          </cell>
          <cell r="H7444">
            <v>100</v>
          </cell>
          <cell r="I7444">
            <v>1097300000</v>
          </cell>
        </row>
        <row r="7445">
          <cell r="A7445" t="str">
            <v>Kyrgyzstan</v>
          </cell>
          <cell r="B7445">
            <v>417</v>
          </cell>
          <cell r="C7445">
            <v>203</v>
          </cell>
          <cell r="D7445">
            <v>22</v>
          </cell>
          <cell r="E7445" t="str">
            <v>Taxes on production and imports, less Subsidies</v>
          </cell>
          <cell r="F7445">
            <v>12</v>
          </cell>
          <cell r="G7445">
            <v>2000</v>
          </cell>
          <cell r="H7445">
            <v>100</v>
          </cell>
          <cell r="I7445">
            <v>1767700000</v>
          </cell>
        </row>
        <row r="7446">
          <cell r="A7446" t="str">
            <v>Kyrgyzstan</v>
          </cell>
          <cell r="B7446">
            <v>417</v>
          </cell>
          <cell r="C7446">
            <v>203</v>
          </cell>
          <cell r="D7446">
            <v>22</v>
          </cell>
          <cell r="E7446" t="str">
            <v>Taxes on production and imports, less Subsidies</v>
          </cell>
          <cell r="F7446">
            <v>12</v>
          </cell>
          <cell r="G7446">
            <v>2001</v>
          </cell>
          <cell r="H7446">
            <v>100</v>
          </cell>
          <cell r="I7446">
            <v>5232100000</v>
          </cell>
        </row>
        <row r="7447">
          <cell r="A7447" t="str">
            <v>Kyrgyzstan</v>
          </cell>
          <cell r="B7447">
            <v>417</v>
          </cell>
          <cell r="C7447">
            <v>203</v>
          </cell>
          <cell r="D7447">
            <v>22</v>
          </cell>
          <cell r="E7447" t="str">
            <v>Taxes on production and imports, less Subsidies</v>
          </cell>
          <cell r="F7447">
            <v>12</v>
          </cell>
          <cell r="G7447">
            <v>2002</v>
          </cell>
          <cell r="H7447">
            <v>100</v>
          </cell>
          <cell r="I7447">
            <v>8306700000</v>
          </cell>
        </row>
        <row r="7448">
          <cell r="A7448" t="str">
            <v>Kyrgyzstan</v>
          </cell>
          <cell r="B7448">
            <v>417</v>
          </cell>
          <cell r="C7448">
            <v>203</v>
          </cell>
          <cell r="D7448">
            <v>22</v>
          </cell>
          <cell r="E7448" t="str">
            <v>Taxes on production and imports, less Subsidies</v>
          </cell>
          <cell r="F7448">
            <v>12</v>
          </cell>
          <cell r="G7448">
            <v>2003</v>
          </cell>
          <cell r="H7448">
            <v>100</v>
          </cell>
          <cell r="I7448">
            <v>9153600000</v>
          </cell>
        </row>
        <row r="7449">
          <cell r="A7449" t="str">
            <v>Lesotho</v>
          </cell>
          <cell r="B7449">
            <v>426</v>
          </cell>
          <cell r="C7449">
            <v>201</v>
          </cell>
          <cell r="D7449">
            <v>13</v>
          </cell>
          <cell r="E7449" t="str">
            <v>Less: Financial intermediation services indirectly measured (FISIM) (only to be deducted if FISIM is not distributed to uses)</v>
          </cell>
          <cell r="F7449">
            <v>0</v>
          </cell>
          <cell r="G7449">
            <v>1979</v>
          </cell>
          <cell r="H7449">
            <v>20</v>
          </cell>
          <cell r="I7449">
            <v>2100000</v>
          </cell>
        </row>
        <row r="7450">
          <cell r="A7450" t="str">
            <v>Lesotho</v>
          </cell>
          <cell r="B7450">
            <v>426</v>
          </cell>
          <cell r="C7450">
            <v>201</v>
          </cell>
          <cell r="D7450">
            <v>13</v>
          </cell>
          <cell r="E7450" t="str">
            <v>Less: Financial intermediation services indirectly measured (FISIM) (only to be deducted if FISIM is not distributed to uses)</v>
          </cell>
          <cell r="F7450">
            <v>0</v>
          </cell>
          <cell r="G7450">
            <v>1980</v>
          </cell>
          <cell r="H7450">
            <v>20</v>
          </cell>
          <cell r="I7450">
            <v>2800000</v>
          </cell>
        </row>
        <row r="7451">
          <cell r="A7451" t="str">
            <v>Lesotho</v>
          </cell>
          <cell r="B7451">
            <v>426</v>
          </cell>
          <cell r="C7451">
            <v>201</v>
          </cell>
          <cell r="D7451">
            <v>13</v>
          </cell>
          <cell r="E7451" t="str">
            <v>Less: Financial intermediation services indirectly measured (FISIM) (only to be deducted if FISIM is not distributed to uses)</v>
          </cell>
          <cell r="F7451">
            <v>0</v>
          </cell>
          <cell r="G7451">
            <v>1980</v>
          </cell>
          <cell r="H7451">
            <v>30</v>
          </cell>
          <cell r="I7451">
            <v>8100000</v>
          </cell>
        </row>
        <row r="7452">
          <cell r="A7452" t="str">
            <v>Lesotho</v>
          </cell>
          <cell r="B7452">
            <v>426</v>
          </cell>
          <cell r="C7452">
            <v>201</v>
          </cell>
          <cell r="D7452">
            <v>13</v>
          </cell>
          <cell r="E7452" t="str">
            <v>Less: Financial intermediation services indirectly measured (FISIM) (only to be deducted if FISIM is not distributed to uses)</v>
          </cell>
          <cell r="F7452">
            <v>0</v>
          </cell>
          <cell r="G7452">
            <v>1981</v>
          </cell>
          <cell r="H7452">
            <v>30</v>
          </cell>
          <cell r="I7452">
            <v>11400000</v>
          </cell>
        </row>
        <row r="7453">
          <cell r="A7453" t="str">
            <v>Lesotho</v>
          </cell>
          <cell r="B7453">
            <v>426</v>
          </cell>
          <cell r="C7453">
            <v>201</v>
          </cell>
          <cell r="D7453">
            <v>13</v>
          </cell>
          <cell r="E7453" t="str">
            <v>Less: Financial intermediation services indirectly measured (FISIM) (only to be deducted if FISIM is not distributed to uses)</v>
          </cell>
          <cell r="F7453">
            <v>0</v>
          </cell>
          <cell r="G7453">
            <v>1982</v>
          </cell>
          <cell r="H7453">
            <v>30</v>
          </cell>
          <cell r="I7453">
            <v>18700000</v>
          </cell>
        </row>
        <row r="7454">
          <cell r="A7454" t="str">
            <v>Lesotho</v>
          </cell>
          <cell r="B7454">
            <v>426</v>
          </cell>
          <cell r="C7454">
            <v>201</v>
          </cell>
          <cell r="D7454">
            <v>13</v>
          </cell>
          <cell r="E7454" t="str">
            <v>Less: Financial intermediation services indirectly measured (FISIM) (only to be deducted if FISIM is not distributed to uses)</v>
          </cell>
          <cell r="F7454">
            <v>0</v>
          </cell>
          <cell r="G7454">
            <v>1983</v>
          </cell>
          <cell r="H7454">
            <v>30</v>
          </cell>
          <cell r="I7454">
            <v>23500000</v>
          </cell>
        </row>
        <row r="7455">
          <cell r="A7455" t="str">
            <v>Lesotho</v>
          </cell>
          <cell r="B7455">
            <v>426</v>
          </cell>
          <cell r="C7455">
            <v>201</v>
          </cell>
          <cell r="D7455">
            <v>13</v>
          </cell>
          <cell r="E7455" t="str">
            <v>Less: Financial intermediation services indirectly measured (FISIM) (only to be deducted if FISIM is not distributed to uses)</v>
          </cell>
          <cell r="F7455">
            <v>0</v>
          </cell>
          <cell r="G7455">
            <v>1984</v>
          </cell>
          <cell r="H7455">
            <v>30</v>
          </cell>
          <cell r="I7455">
            <v>29900000</v>
          </cell>
        </row>
        <row r="7456">
          <cell r="A7456" t="str">
            <v>Lesotho</v>
          </cell>
          <cell r="B7456">
            <v>426</v>
          </cell>
          <cell r="C7456">
            <v>201</v>
          </cell>
          <cell r="D7456">
            <v>13</v>
          </cell>
          <cell r="E7456" t="str">
            <v>Less: Financial intermediation services indirectly measured (FISIM) (only to be deducted if FISIM is not distributed to uses)</v>
          </cell>
          <cell r="F7456">
            <v>0</v>
          </cell>
          <cell r="G7456">
            <v>1985</v>
          </cell>
          <cell r="H7456">
            <v>30</v>
          </cell>
          <cell r="I7456">
            <v>31100000</v>
          </cell>
        </row>
        <row r="7457">
          <cell r="A7457" t="str">
            <v>Lesotho</v>
          </cell>
          <cell r="B7457">
            <v>426</v>
          </cell>
          <cell r="C7457">
            <v>201</v>
          </cell>
          <cell r="D7457">
            <v>13</v>
          </cell>
          <cell r="E7457" t="str">
            <v>Less: Financial intermediation services indirectly measured (FISIM) (only to be deducted if FISIM is not distributed to uses)</v>
          </cell>
          <cell r="F7457">
            <v>0</v>
          </cell>
          <cell r="G7457">
            <v>1986</v>
          </cell>
          <cell r="H7457">
            <v>30</v>
          </cell>
          <cell r="I7457">
            <v>28700000</v>
          </cell>
        </row>
        <row r="7458">
          <cell r="A7458" t="str">
            <v>Lesotho</v>
          </cell>
          <cell r="B7458">
            <v>426</v>
          </cell>
          <cell r="C7458">
            <v>201</v>
          </cell>
          <cell r="D7458">
            <v>13</v>
          </cell>
          <cell r="E7458" t="str">
            <v>Less: Financial intermediation services indirectly measured (FISIM) (only to be deducted if FISIM is not distributed to uses)</v>
          </cell>
          <cell r="F7458">
            <v>0</v>
          </cell>
          <cell r="G7458">
            <v>1987</v>
          </cell>
          <cell r="H7458">
            <v>30</v>
          </cell>
          <cell r="I7458">
            <v>27800000</v>
          </cell>
        </row>
        <row r="7459">
          <cell r="A7459" t="str">
            <v>Lesotho</v>
          </cell>
          <cell r="B7459">
            <v>426</v>
          </cell>
          <cell r="C7459">
            <v>201</v>
          </cell>
          <cell r="D7459">
            <v>13</v>
          </cell>
          <cell r="E7459" t="str">
            <v>Less: Financial intermediation services indirectly measured (FISIM) (only to be deducted if FISIM is not distributed to uses)</v>
          </cell>
          <cell r="F7459">
            <v>0</v>
          </cell>
          <cell r="G7459">
            <v>1988</v>
          </cell>
          <cell r="H7459">
            <v>30</v>
          </cell>
          <cell r="I7459">
            <v>42000000</v>
          </cell>
        </row>
        <row r="7460">
          <cell r="A7460" t="str">
            <v>Lesotho</v>
          </cell>
          <cell r="B7460">
            <v>426</v>
          </cell>
          <cell r="C7460">
            <v>201</v>
          </cell>
          <cell r="D7460">
            <v>13</v>
          </cell>
          <cell r="E7460" t="str">
            <v>Less: Financial intermediation services indirectly measured (FISIM) (only to be deducted if FISIM is not distributed to uses)</v>
          </cell>
          <cell r="F7460">
            <v>0</v>
          </cell>
          <cell r="G7460">
            <v>1989</v>
          </cell>
          <cell r="H7460">
            <v>30</v>
          </cell>
          <cell r="I7460">
            <v>51000000</v>
          </cell>
        </row>
        <row r="7461">
          <cell r="A7461" t="str">
            <v>Lesotho</v>
          </cell>
          <cell r="B7461">
            <v>426</v>
          </cell>
          <cell r="C7461">
            <v>201</v>
          </cell>
          <cell r="D7461">
            <v>13</v>
          </cell>
          <cell r="E7461" t="str">
            <v>Less: Financial intermediation services indirectly measured (FISIM) (only to be deducted if FISIM is not distributed to uses)</v>
          </cell>
          <cell r="F7461">
            <v>0</v>
          </cell>
          <cell r="G7461">
            <v>1992</v>
          </cell>
          <cell r="H7461">
            <v>100</v>
          </cell>
          <cell r="I7461">
            <v>91000000</v>
          </cell>
        </row>
        <row r="7462">
          <cell r="A7462" t="str">
            <v>Lesotho</v>
          </cell>
          <cell r="B7462">
            <v>426</v>
          </cell>
          <cell r="C7462">
            <v>201</v>
          </cell>
          <cell r="D7462">
            <v>13</v>
          </cell>
          <cell r="E7462" t="str">
            <v>Less: Financial intermediation services indirectly measured (FISIM) (only to be deducted if FISIM is not distributed to uses)</v>
          </cell>
          <cell r="F7462">
            <v>0</v>
          </cell>
          <cell r="G7462">
            <v>1993</v>
          </cell>
          <cell r="H7462">
            <v>100</v>
          </cell>
          <cell r="I7462">
            <v>107000000</v>
          </cell>
        </row>
        <row r="7463">
          <cell r="A7463" t="str">
            <v>Lesotho</v>
          </cell>
          <cell r="B7463">
            <v>426</v>
          </cell>
          <cell r="C7463">
            <v>201</v>
          </cell>
          <cell r="D7463">
            <v>13</v>
          </cell>
          <cell r="E7463" t="str">
            <v>Less: Financial intermediation services indirectly measured (FISIM) (only to be deducted if FISIM is not distributed to uses)</v>
          </cell>
          <cell r="F7463">
            <v>0</v>
          </cell>
          <cell r="G7463">
            <v>1994</v>
          </cell>
          <cell r="H7463">
            <v>100</v>
          </cell>
          <cell r="I7463">
            <v>110000000</v>
          </cell>
        </row>
        <row r="7464">
          <cell r="A7464" t="str">
            <v>Lesotho</v>
          </cell>
          <cell r="B7464">
            <v>426</v>
          </cell>
          <cell r="C7464">
            <v>201</v>
          </cell>
          <cell r="D7464">
            <v>13</v>
          </cell>
          <cell r="E7464" t="str">
            <v>Less: Financial intermediation services indirectly measured (FISIM) (only to be deducted if FISIM is not distributed to uses)</v>
          </cell>
          <cell r="F7464">
            <v>0</v>
          </cell>
          <cell r="G7464">
            <v>1995</v>
          </cell>
          <cell r="H7464">
            <v>100</v>
          </cell>
          <cell r="I7464">
            <v>97000000</v>
          </cell>
        </row>
        <row r="7465">
          <cell r="A7465" t="str">
            <v>Lesotho</v>
          </cell>
          <cell r="B7465">
            <v>426</v>
          </cell>
          <cell r="C7465">
            <v>201</v>
          </cell>
          <cell r="D7465">
            <v>13</v>
          </cell>
          <cell r="E7465" t="str">
            <v>Less: Financial intermediation services indirectly measured (FISIM) (only to be deducted if FISIM is not distributed to uses)</v>
          </cell>
          <cell r="F7465">
            <v>0</v>
          </cell>
          <cell r="G7465">
            <v>1996</v>
          </cell>
          <cell r="H7465">
            <v>100</v>
          </cell>
          <cell r="I7465">
            <v>93000000</v>
          </cell>
        </row>
        <row r="7466">
          <cell r="A7466" t="str">
            <v>Lesotho</v>
          </cell>
          <cell r="B7466">
            <v>426</v>
          </cell>
          <cell r="C7466">
            <v>201</v>
          </cell>
          <cell r="D7466">
            <v>13</v>
          </cell>
          <cell r="E7466" t="str">
            <v>Less: Financial intermediation services indirectly measured (FISIM) (only to be deducted if FISIM is not distributed to uses)</v>
          </cell>
          <cell r="F7466">
            <v>0</v>
          </cell>
          <cell r="G7466">
            <v>1997</v>
          </cell>
          <cell r="H7466">
            <v>100</v>
          </cell>
          <cell r="I7466">
            <v>93000000</v>
          </cell>
        </row>
        <row r="7467">
          <cell r="A7467" t="str">
            <v>Lesotho</v>
          </cell>
          <cell r="B7467">
            <v>426</v>
          </cell>
          <cell r="C7467">
            <v>201</v>
          </cell>
          <cell r="D7467">
            <v>13</v>
          </cell>
          <cell r="E7467" t="str">
            <v>Less: Financial intermediation services indirectly measured (FISIM) (only to be deducted if FISIM is not distributed to uses)</v>
          </cell>
          <cell r="F7467">
            <v>0</v>
          </cell>
          <cell r="G7467">
            <v>1998</v>
          </cell>
          <cell r="H7467">
            <v>100</v>
          </cell>
          <cell r="I7467">
            <v>97000000</v>
          </cell>
        </row>
        <row r="7468">
          <cell r="A7468" t="str">
            <v>Lesotho</v>
          </cell>
          <cell r="B7468">
            <v>426</v>
          </cell>
          <cell r="C7468">
            <v>201</v>
          </cell>
          <cell r="D7468">
            <v>13</v>
          </cell>
          <cell r="E7468" t="str">
            <v>Less: Financial intermediation services indirectly measured (FISIM) (only to be deducted if FISIM is not distributed to uses)</v>
          </cell>
          <cell r="F7468">
            <v>0</v>
          </cell>
          <cell r="G7468">
            <v>1999</v>
          </cell>
          <cell r="H7468">
            <v>100</v>
          </cell>
          <cell r="I7468">
            <v>131000000</v>
          </cell>
        </row>
        <row r="7469">
          <cell r="A7469" t="str">
            <v>Lesotho</v>
          </cell>
          <cell r="B7469">
            <v>426</v>
          </cell>
          <cell r="C7469">
            <v>201</v>
          </cell>
          <cell r="D7469">
            <v>13</v>
          </cell>
          <cell r="E7469" t="str">
            <v>Less: Financial intermediation services indirectly measured (FISIM) (only to be deducted if FISIM is not distributed to uses)</v>
          </cell>
          <cell r="F7469">
            <v>0</v>
          </cell>
          <cell r="G7469">
            <v>2000</v>
          </cell>
          <cell r="H7469">
            <v>100</v>
          </cell>
          <cell r="I7469">
            <v>215000000</v>
          </cell>
        </row>
        <row r="7470">
          <cell r="A7470" t="str">
            <v>Lesotho</v>
          </cell>
          <cell r="B7470">
            <v>426</v>
          </cell>
          <cell r="C7470">
            <v>201</v>
          </cell>
          <cell r="D7470">
            <v>13</v>
          </cell>
          <cell r="E7470" t="str">
            <v>Less: Financial intermediation services indirectly measured (FISIM) (only to be deducted if FISIM is not distributed to uses)</v>
          </cell>
          <cell r="F7470">
            <v>0</v>
          </cell>
          <cell r="G7470">
            <v>2001</v>
          </cell>
          <cell r="H7470">
            <v>100</v>
          </cell>
          <cell r="I7470">
            <v>221000000</v>
          </cell>
        </row>
        <row r="7471">
          <cell r="A7471" t="str">
            <v>Lesotho</v>
          </cell>
          <cell r="B7471">
            <v>426</v>
          </cell>
          <cell r="C7471">
            <v>203</v>
          </cell>
          <cell r="D7471">
            <v>3</v>
          </cell>
          <cell r="E7471" t="str">
            <v>Equals: VALUE ADDED, GROSS, at basic prices</v>
          </cell>
          <cell r="F7471">
            <v>12</v>
          </cell>
          <cell r="G7471">
            <v>1989</v>
          </cell>
          <cell r="H7471">
            <v>40</v>
          </cell>
          <cell r="I7471">
            <v>1146200000</v>
          </cell>
        </row>
        <row r="7472">
          <cell r="A7472" t="str">
            <v>Lesotho</v>
          </cell>
          <cell r="B7472">
            <v>426</v>
          </cell>
          <cell r="C7472">
            <v>203</v>
          </cell>
          <cell r="D7472">
            <v>3</v>
          </cell>
          <cell r="E7472" t="str">
            <v>Equals: VALUE ADDED, GROSS, at basic prices</v>
          </cell>
          <cell r="F7472">
            <v>12</v>
          </cell>
          <cell r="G7472">
            <v>1990</v>
          </cell>
          <cell r="H7472">
            <v>40</v>
          </cell>
          <cell r="I7472">
            <v>1328700000</v>
          </cell>
        </row>
        <row r="7473">
          <cell r="A7473" t="str">
            <v>Lesotho</v>
          </cell>
          <cell r="B7473">
            <v>426</v>
          </cell>
          <cell r="C7473">
            <v>203</v>
          </cell>
          <cell r="D7473">
            <v>3</v>
          </cell>
          <cell r="E7473" t="str">
            <v>Equals: VALUE ADDED, GROSS, at basic prices</v>
          </cell>
          <cell r="F7473">
            <v>12</v>
          </cell>
          <cell r="G7473">
            <v>1991</v>
          </cell>
          <cell r="H7473">
            <v>40</v>
          </cell>
          <cell r="I7473">
            <v>1581600000</v>
          </cell>
        </row>
        <row r="7474">
          <cell r="A7474" t="str">
            <v>Lesotho</v>
          </cell>
          <cell r="B7474">
            <v>426</v>
          </cell>
          <cell r="C7474">
            <v>203</v>
          </cell>
          <cell r="D7474">
            <v>3</v>
          </cell>
          <cell r="E7474" t="str">
            <v>Equals: VALUE ADDED, GROSS, at basic prices</v>
          </cell>
          <cell r="F7474">
            <v>12</v>
          </cell>
          <cell r="G7474">
            <v>1992</v>
          </cell>
          <cell r="H7474">
            <v>40</v>
          </cell>
          <cell r="I7474">
            <v>1979600000</v>
          </cell>
        </row>
        <row r="7475">
          <cell r="A7475" t="str">
            <v>Lesotho</v>
          </cell>
          <cell r="B7475">
            <v>426</v>
          </cell>
          <cell r="C7475">
            <v>203</v>
          </cell>
          <cell r="D7475">
            <v>3</v>
          </cell>
          <cell r="E7475" t="str">
            <v>Equals: VALUE ADDED, GROSS, at basic prices</v>
          </cell>
          <cell r="F7475">
            <v>12</v>
          </cell>
          <cell r="G7475">
            <v>1992</v>
          </cell>
          <cell r="H7475">
            <v>100</v>
          </cell>
          <cell r="I7475">
            <v>1965000000</v>
          </cell>
        </row>
        <row r="7476">
          <cell r="A7476" t="str">
            <v>Lesotho</v>
          </cell>
          <cell r="B7476">
            <v>426</v>
          </cell>
          <cell r="C7476">
            <v>203</v>
          </cell>
          <cell r="D7476">
            <v>3</v>
          </cell>
          <cell r="E7476" t="str">
            <v>Equals: VALUE ADDED, GROSS, at basic prices</v>
          </cell>
          <cell r="F7476">
            <v>12</v>
          </cell>
          <cell r="G7476">
            <v>1993</v>
          </cell>
          <cell r="H7476">
            <v>100</v>
          </cell>
          <cell r="I7476">
            <v>2270000000</v>
          </cell>
        </row>
        <row r="7477">
          <cell r="A7477" t="str">
            <v>Lesotho</v>
          </cell>
          <cell r="B7477">
            <v>426</v>
          </cell>
          <cell r="C7477">
            <v>203</v>
          </cell>
          <cell r="D7477">
            <v>3</v>
          </cell>
          <cell r="E7477" t="str">
            <v>Equals: VALUE ADDED, GROSS, at basic prices</v>
          </cell>
          <cell r="F7477">
            <v>12</v>
          </cell>
          <cell r="G7477">
            <v>1994</v>
          </cell>
          <cell r="H7477">
            <v>100</v>
          </cell>
          <cell r="I7477">
            <v>2562000000</v>
          </cell>
        </row>
        <row r="7478">
          <cell r="A7478" t="str">
            <v>Lesotho</v>
          </cell>
          <cell r="B7478">
            <v>426</v>
          </cell>
          <cell r="C7478">
            <v>203</v>
          </cell>
          <cell r="D7478">
            <v>3</v>
          </cell>
          <cell r="E7478" t="str">
            <v>Equals: VALUE ADDED, GROSS, at basic prices</v>
          </cell>
          <cell r="F7478">
            <v>12</v>
          </cell>
          <cell r="G7478">
            <v>1995</v>
          </cell>
          <cell r="H7478">
            <v>100</v>
          </cell>
          <cell r="I7478">
            <v>2945000000</v>
          </cell>
        </row>
        <row r="7479">
          <cell r="A7479" t="str">
            <v>Lesotho</v>
          </cell>
          <cell r="B7479">
            <v>426</v>
          </cell>
          <cell r="C7479">
            <v>203</v>
          </cell>
          <cell r="D7479">
            <v>3</v>
          </cell>
          <cell r="E7479" t="str">
            <v>Equals: VALUE ADDED, GROSS, at basic prices</v>
          </cell>
          <cell r="F7479">
            <v>12</v>
          </cell>
          <cell r="G7479">
            <v>1996</v>
          </cell>
          <cell r="H7479">
            <v>100</v>
          </cell>
          <cell r="I7479">
            <v>3549000000</v>
          </cell>
        </row>
        <row r="7480">
          <cell r="A7480" t="str">
            <v>Lesotho</v>
          </cell>
          <cell r="B7480">
            <v>426</v>
          </cell>
          <cell r="C7480">
            <v>203</v>
          </cell>
          <cell r="D7480">
            <v>3</v>
          </cell>
          <cell r="E7480" t="str">
            <v>Equals: VALUE ADDED, GROSS, at basic prices</v>
          </cell>
          <cell r="F7480">
            <v>12</v>
          </cell>
          <cell r="G7480">
            <v>1997</v>
          </cell>
          <cell r="H7480">
            <v>100</v>
          </cell>
          <cell r="I7480">
            <v>4200000000</v>
          </cell>
        </row>
        <row r="7481">
          <cell r="A7481" t="str">
            <v>Lesotho</v>
          </cell>
          <cell r="B7481">
            <v>426</v>
          </cell>
          <cell r="C7481">
            <v>203</v>
          </cell>
          <cell r="D7481">
            <v>3</v>
          </cell>
          <cell r="E7481" t="str">
            <v>Equals: VALUE ADDED, GROSS, at basic prices</v>
          </cell>
          <cell r="F7481">
            <v>12</v>
          </cell>
          <cell r="G7481">
            <v>1998</v>
          </cell>
          <cell r="H7481">
            <v>100</v>
          </cell>
          <cell r="I7481">
            <v>4424000000</v>
          </cell>
        </row>
        <row r="7482">
          <cell r="A7482" t="str">
            <v>Lesotho</v>
          </cell>
          <cell r="B7482">
            <v>426</v>
          </cell>
          <cell r="C7482">
            <v>203</v>
          </cell>
          <cell r="D7482">
            <v>3</v>
          </cell>
          <cell r="E7482" t="str">
            <v>Equals: VALUE ADDED, GROSS, at basic prices</v>
          </cell>
          <cell r="F7482">
            <v>12</v>
          </cell>
          <cell r="G7482">
            <v>1999</v>
          </cell>
          <cell r="H7482">
            <v>100</v>
          </cell>
          <cell r="I7482">
            <v>5034000000</v>
          </cell>
        </row>
        <row r="7483">
          <cell r="A7483" t="str">
            <v>Lesotho</v>
          </cell>
          <cell r="B7483">
            <v>426</v>
          </cell>
          <cell r="C7483">
            <v>203</v>
          </cell>
          <cell r="D7483">
            <v>3</v>
          </cell>
          <cell r="E7483" t="str">
            <v>Equals: VALUE ADDED, GROSS, at basic prices</v>
          </cell>
          <cell r="F7483">
            <v>12</v>
          </cell>
          <cell r="G7483">
            <v>2000</v>
          </cell>
          <cell r="H7483">
            <v>100</v>
          </cell>
          <cell r="I7483">
            <v>5422000000</v>
          </cell>
        </row>
        <row r="7484">
          <cell r="A7484" t="str">
            <v>Lesotho</v>
          </cell>
          <cell r="B7484">
            <v>426</v>
          </cell>
          <cell r="C7484">
            <v>203</v>
          </cell>
          <cell r="D7484">
            <v>3</v>
          </cell>
          <cell r="E7484" t="str">
            <v>Equals: VALUE ADDED, GROSS, at basic prices</v>
          </cell>
          <cell r="F7484">
            <v>12</v>
          </cell>
          <cell r="G7484">
            <v>2001</v>
          </cell>
          <cell r="H7484">
            <v>100</v>
          </cell>
          <cell r="I7484">
            <v>5857000000</v>
          </cell>
        </row>
        <row r="7485">
          <cell r="A7485" t="str">
            <v>Lesotho</v>
          </cell>
          <cell r="B7485">
            <v>426</v>
          </cell>
          <cell r="C7485">
            <v>203</v>
          </cell>
          <cell r="D7485">
            <v>4</v>
          </cell>
          <cell r="E7485" t="str">
            <v>Compensation of employees</v>
          </cell>
          <cell r="F7485">
            <v>12</v>
          </cell>
          <cell r="G7485">
            <v>1972</v>
          </cell>
          <cell r="H7485">
            <v>10</v>
          </cell>
          <cell r="I7485">
            <v>15926000</v>
          </cell>
        </row>
        <row r="7486">
          <cell r="A7486" t="str">
            <v>Lesotho</v>
          </cell>
          <cell r="B7486">
            <v>426</v>
          </cell>
          <cell r="C7486">
            <v>203</v>
          </cell>
          <cell r="D7486">
            <v>4</v>
          </cell>
          <cell r="E7486" t="str">
            <v>Compensation of employees</v>
          </cell>
          <cell r="F7486">
            <v>12</v>
          </cell>
          <cell r="G7486">
            <v>1973</v>
          </cell>
          <cell r="H7486">
            <v>10</v>
          </cell>
          <cell r="I7486">
            <v>19437000</v>
          </cell>
        </row>
        <row r="7487">
          <cell r="A7487" t="str">
            <v>Lesotho</v>
          </cell>
          <cell r="B7487">
            <v>426</v>
          </cell>
          <cell r="C7487">
            <v>203</v>
          </cell>
          <cell r="D7487">
            <v>4</v>
          </cell>
          <cell r="E7487" t="str">
            <v>Compensation of employees</v>
          </cell>
          <cell r="F7487">
            <v>12</v>
          </cell>
          <cell r="G7487">
            <v>1974</v>
          </cell>
          <cell r="H7487">
            <v>10</v>
          </cell>
          <cell r="I7487">
            <v>22352000</v>
          </cell>
        </row>
        <row r="7488">
          <cell r="A7488" t="str">
            <v>Lesotho</v>
          </cell>
          <cell r="B7488">
            <v>426</v>
          </cell>
          <cell r="C7488">
            <v>203</v>
          </cell>
          <cell r="D7488">
            <v>4</v>
          </cell>
          <cell r="E7488" t="str">
            <v>Compensation of employees</v>
          </cell>
          <cell r="F7488">
            <v>12</v>
          </cell>
          <cell r="G7488">
            <v>1975</v>
          </cell>
          <cell r="H7488">
            <v>10</v>
          </cell>
          <cell r="I7488">
            <v>30311000</v>
          </cell>
        </row>
        <row r="7489">
          <cell r="A7489" t="str">
            <v>Lesotho</v>
          </cell>
          <cell r="B7489">
            <v>426</v>
          </cell>
          <cell r="C7489">
            <v>203</v>
          </cell>
          <cell r="D7489">
            <v>4</v>
          </cell>
          <cell r="E7489" t="str">
            <v>Compensation of employees</v>
          </cell>
          <cell r="F7489">
            <v>12</v>
          </cell>
          <cell r="G7489">
            <v>1976</v>
          </cell>
          <cell r="H7489">
            <v>10</v>
          </cell>
          <cell r="I7489">
            <v>39158000</v>
          </cell>
        </row>
        <row r="7490">
          <cell r="A7490" t="str">
            <v>Lesotho</v>
          </cell>
          <cell r="B7490">
            <v>426</v>
          </cell>
          <cell r="C7490">
            <v>203</v>
          </cell>
          <cell r="D7490">
            <v>4</v>
          </cell>
          <cell r="E7490" t="str">
            <v>Compensation of employees</v>
          </cell>
          <cell r="F7490">
            <v>12</v>
          </cell>
          <cell r="G7490">
            <v>1977</v>
          </cell>
          <cell r="H7490">
            <v>10</v>
          </cell>
          <cell r="I7490">
            <v>53178000</v>
          </cell>
        </row>
        <row r="7491">
          <cell r="A7491" t="str">
            <v>Lesotho</v>
          </cell>
          <cell r="B7491">
            <v>426</v>
          </cell>
          <cell r="C7491">
            <v>203</v>
          </cell>
          <cell r="D7491">
            <v>4</v>
          </cell>
          <cell r="E7491" t="str">
            <v>Compensation of employees</v>
          </cell>
          <cell r="F7491">
            <v>12</v>
          </cell>
          <cell r="G7491">
            <v>1978</v>
          </cell>
          <cell r="H7491">
            <v>10</v>
          </cell>
          <cell r="I7491">
            <v>67634000</v>
          </cell>
        </row>
        <row r="7492">
          <cell r="A7492" t="str">
            <v>Lesotho</v>
          </cell>
          <cell r="B7492">
            <v>426</v>
          </cell>
          <cell r="C7492">
            <v>203</v>
          </cell>
          <cell r="D7492">
            <v>4</v>
          </cell>
          <cell r="E7492" t="str">
            <v>Compensation of employees</v>
          </cell>
          <cell r="F7492">
            <v>12</v>
          </cell>
          <cell r="G7492">
            <v>1979</v>
          </cell>
          <cell r="H7492">
            <v>10</v>
          </cell>
          <cell r="I7492">
            <v>92700000</v>
          </cell>
        </row>
        <row r="7493">
          <cell r="A7493" t="str">
            <v>Lesotho</v>
          </cell>
          <cell r="B7493">
            <v>426</v>
          </cell>
          <cell r="C7493">
            <v>203</v>
          </cell>
          <cell r="D7493">
            <v>4</v>
          </cell>
          <cell r="E7493" t="str">
            <v>Compensation of employees</v>
          </cell>
          <cell r="F7493">
            <v>12</v>
          </cell>
          <cell r="G7493">
            <v>1980</v>
          </cell>
          <cell r="H7493">
            <v>10</v>
          </cell>
          <cell r="I7493">
            <v>130332000</v>
          </cell>
        </row>
        <row r="7494">
          <cell r="A7494" t="str">
            <v>Lesotho</v>
          </cell>
          <cell r="B7494">
            <v>426</v>
          </cell>
          <cell r="C7494">
            <v>203</v>
          </cell>
          <cell r="D7494">
            <v>4</v>
          </cell>
          <cell r="E7494" t="str">
            <v>Compensation of employees</v>
          </cell>
          <cell r="F7494">
            <v>12</v>
          </cell>
          <cell r="G7494">
            <v>1981</v>
          </cell>
          <cell r="H7494">
            <v>10</v>
          </cell>
          <cell r="I7494">
            <v>139749000</v>
          </cell>
        </row>
        <row r="7495">
          <cell r="A7495" t="str">
            <v>Lesotho</v>
          </cell>
          <cell r="B7495">
            <v>426</v>
          </cell>
          <cell r="C7495">
            <v>203</v>
          </cell>
          <cell r="D7495">
            <v>4</v>
          </cell>
          <cell r="E7495" t="str">
            <v>Compensation of employees</v>
          </cell>
          <cell r="F7495">
            <v>12</v>
          </cell>
          <cell r="G7495">
            <v>1982</v>
          </cell>
          <cell r="H7495">
            <v>10</v>
          </cell>
          <cell r="I7495">
            <v>168016000</v>
          </cell>
        </row>
        <row r="7496">
          <cell r="A7496" t="str">
            <v>Lesotho</v>
          </cell>
          <cell r="B7496">
            <v>426</v>
          </cell>
          <cell r="C7496">
            <v>203</v>
          </cell>
          <cell r="D7496">
            <v>4</v>
          </cell>
          <cell r="E7496" t="str">
            <v>Compensation of employees</v>
          </cell>
          <cell r="F7496">
            <v>12</v>
          </cell>
          <cell r="G7496">
            <v>1983</v>
          </cell>
          <cell r="H7496">
            <v>10</v>
          </cell>
          <cell r="I7496">
            <v>179108000</v>
          </cell>
        </row>
        <row r="7497">
          <cell r="A7497" t="str">
            <v>Netherlands</v>
          </cell>
          <cell r="B7497">
            <v>528</v>
          </cell>
          <cell r="C7497">
            <v>203</v>
          </cell>
          <cell r="D7497">
            <v>3</v>
          </cell>
          <cell r="E7497" t="str">
            <v>Equals: VALUE ADDED, GROSS, at basic prices</v>
          </cell>
          <cell r="F7497">
            <v>12</v>
          </cell>
          <cell r="G7497">
            <v>1969</v>
          </cell>
          <cell r="H7497">
            <v>200</v>
          </cell>
          <cell r="I7497">
            <v>47913000000</v>
          </cell>
        </row>
        <row r="7498">
          <cell r="A7498" t="str">
            <v>Netherlands</v>
          </cell>
          <cell r="B7498">
            <v>528</v>
          </cell>
          <cell r="C7498">
            <v>203</v>
          </cell>
          <cell r="D7498">
            <v>3</v>
          </cell>
          <cell r="E7498" t="str">
            <v>Equals: VALUE ADDED, GROSS, at basic prices</v>
          </cell>
          <cell r="F7498">
            <v>12</v>
          </cell>
          <cell r="G7498">
            <v>1970</v>
          </cell>
          <cell r="H7498">
            <v>200</v>
          </cell>
          <cell r="I7498">
            <v>53736000000</v>
          </cell>
        </row>
        <row r="7499">
          <cell r="A7499" t="str">
            <v>Netherlands</v>
          </cell>
          <cell r="B7499">
            <v>528</v>
          </cell>
          <cell r="C7499">
            <v>203</v>
          </cell>
          <cell r="D7499">
            <v>3</v>
          </cell>
          <cell r="E7499" t="str">
            <v>Equals: VALUE ADDED, GROSS, at basic prices</v>
          </cell>
          <cell r="F7499">
            <v>12</v>
          </cell>
          <cell r="G7499">
            <v>1971</v>
          </cell>
          <cell r="H7499">
            <v>200</v>
          </cell>
          <cell r="I7499">
            <v>60475000000</v>
          </cell>
        </row>
        <row r="7500">
          <cell r="A7500" t="str">
            <v>Netherlands</v>
          </cell>
          <cell r="B7500">
            <v>528</v>
          </cell>
          <cell r="C7500">
            <v>203</v>
          </cell>
          <cell r="D7500">
            <v>3</v>
          </cell>
          <cell r="E7500" t="str">
            <v>Equals: VALUE ADDED, GROSS, at basic prices</v>
          </cell>
          <cell r="F7500">
            <v>12</v>
          </cell>
          <cell r="G7500">
            <v>1972</v>
          </cell>
          <cell r="H7500">
            <v>200</v>
          </cell>
          <cell r="I7500">
            <v>68079000000</v>
          </cell>
        </row>
        <row r="7501">
          <cell r="A7501" t="str">
            <v>Netherlands</v>
          </cell>
          <cell r="B7501">
            <v>528</v>
          </cell>
          <cell r="C7501">
            <v>203</v>
          </cell>
          <cell r="D7501">
            <v>3</v>
          </cell>
          <cell r="E7501" t="str">
            <v>Equals: VALUE ADDED, GROSS, at basic prices</v>
          </cell>
          <cell r="F7501">
            <v>12</v>
          </cell>
          <cell r="G7501">
            <v>1973</v>
          </cell>
          <cell r="H7501">
            <v>200</v>
          </cell>
          <cell r="I7501">
            <v>78480000000</v>
          </cell>
        </row>
        <row r="7502">
          <cell r="A7502" t="str">
            <v>Netherlands</v>
          </cell>
          <cell r="B7502">
            <v>528</v>
          </cell>
          <cell r="C7502">
            <v>203</v>
          </cell>
          <cell r="D7502">
            <v>3</v>
          </cell>
          <cell r="E7502" t="str">
            <v>Equals: VALUE ADDED, GROSS, at basic prices</v>
          </cell>
          <cell r="F7502">
            <v>12</v>
          </cell>
          <cell r="G7502">
            <v>1974</v>
          </cell>
          <cell r="H7502">
            <v>200</v>
          </cell>
          <cell r="I7502">
            <v>89794000000</v>
          </cell>
        </row>
        <row r="7503">
          <cell r="A7503" t="str">
            <v>Netherlands</v>
          </cell>
          <cell r="B7503">
            <v>528</v>
          </cell>
          <cell r="C7503">
            <v>203</v>
          </cell>
          <cell r="D7503">
            <v>3</v>
          </cell>
          <cell r="E7503" t="str">
            <v>Equals: VALUE ADDED, GROSS, at basic prices</v>
          </cell>
          <cell r="F7503">
            <v>12</v>
          </cell>
          <cell r="G7503">
            <v>1975</v>
          </cell>
          <cell r="H7503">
            <v>200</v>
          </cell>
          <cell r="I7503">
            <v>99177000000</v>
          </cell>
        </row>
        <row r="7504">
          <cell r="A7504" t="str">
            <v>Netherlands</v>
          </cell>
          <cell r="B7504">
            <v>528</v>
          </cell>
          <cell r="C7504">
            <v>203</v>
          </cell>
          <cell r="D7504">
            <v>3</v>
          </cell>
          <cell r="E7504" t="str">
            <v>Equals: VALUE ADDED, GROSS, at basic prices</v>
          </cell>
          <cell r="F7504">
            <v>12</v>
          </cell>
          <cell r="G7504">
            <v>1976</v>
          </cell>
          <cell r="H7504">
            <v>200</v>
          </cell>
          <cell r="I7504">
            <v>112773000000</v>
          </cell>
        </row>
        <row r="7505">
          <cell r="A7505" t="str">
            <v>Netherlands</v>
          </cell>
          <cell r="B7505">
            <v>528</v>
          </cell>
          <cell r="C7505">
            <v>203</v>
          </cell>
          <cell r="D7505">
            <v>3</v>
          </cell>
          <cell r="E7505" t="str">
            <v>Equals: VALUE ADDED, GROSS, at basic prices</v>
          </cell>
          <cell r="F7505">
            <v>12</v>
          </cell>
          <cell r="G7505">
            <v>1977</v>
          </cell>
          <cell r="H7505">
            <v>200</v>
          </cell>
          <cell r="I7505">
            <v>122526000000</v>
          </cell>
        </row>
        <row r="7506">
          <cell r="A7506" t="str">
            <v>Netherlands</v>
          </cell>
          <cell r="B7506">
            <v>528</v>
          </cell>
          <cell r="C7506">
            <v>203</v>
          </cell>
          <cell r="D7506">
            <v>3</v>
          </cell>
          <cell r="E7506" t="str">
            <v>Equals: VALUE ADDED, GROSS, at basic prices</v>
          </cell>
          <cell r="F7506">
            <v>12</v>
          </cell>
          <cell r="G7506">
            <v>1978</v>
          </cell>
          <cell r="H7506">
            <v>200</v>
          </cell>
          <cell r="I7506">
            <v>132823000000</v>
          </cell>
        </row>
        <row r="7507">
          <cell r="A7507" t="str">
            <v>Netherlands</v>
          </cell>
          <cell r="B7507">
            <v>528</v>
          </cell>
          <cell r="C7507">
            <v>203</v>
          </cell>
          <cell r="D7507">
            <v>3</v>
          </cell>
          <cell r="E7507" t="str">
            <v>Equals: VALUE ADDED, GROSS, at basic prices</v>
          </cell>
          <cell r="F7507">
            <v>12</v>
          </cell>
          <cell r="G7507">
            <v>1979</v>
          </cell>
          <cell r="H7507">
            <v>200</v>
          </cell>
          <cell r="I7507">
            <v>141355000000</v>
          </cell>
        </row>
        <row r="7508">
          <cell r="A7508" t="str">
            <v>Netherlands</v>
          </cell>
          <cell r="B7508">
            <v>528</v>
          </cell>
          <cell r="C7508">
            <v>203</v>
          </cell>
          <cell r="D7508">
            <v>3</v>
          </cell>
          <cell r="E7508" t="str">
            <v>Equals: VALUE ADDED, GROSS, at basic prices</v>
          </cell>
          <cell r="F7508">
            <v>12</v>
          </cell>
          <cell r="G7508">
            <v>1980</v>
          </cell>
          <cell r="H7508">
            <v>200</v>
          </cell>
          <cell r="I7508">
            <v>152110000000</v>
          </cell>
        </row>
        <row r="7509">
          <cell r="A7509" t="str">
            <v>Netherlands</v>
          </cell>
          <cell r="B7509">
            <v>528</v>
          </cell>
          <cell r="C7509">
            <v>203</v>
          </cell>
          <cell r="D7509">
            <v>3</v>
          </cell>
          <cell r="E7509" t="str">
            <v>Equals: VALUE ADDED, GROSS, at basic prices</v>
          </cell>
          <cell r="F7509">
            <v>12</v>
          </cell>
          <cell r="G7509">
            <v>1981</v>
          </cell>
          <cell r="H7509">
            <v>200</v>
          </cell>
          <cell r="I7509">
            <v>160020000000</v>
          </cell>
        </row>
        <row r="7510">
          <cell r="A7510" t="str">
            <v>Netherlands</v>
          </cell>
          <cell r="B7510">
            <v>528</v>
          </cell>
          <cell r="C7510">
            <v>203</v>
          </cell>
          <cell r="D7510">
            <v>3</v>
          </cell>
          <cell r="E7510" t="str">
            <v>Equals: VALUE ADDED, GROSS, at basic prices</v>
          </cell>
          <cell r="F7510">
            <v>12</v>
          </cell>
          <cell r="G7510">
            <v>1982</v>
          </cell>
          <cell r="H7510">
            <v>200</v>
          </cell>
          <cell r="I7510">
            <v>167053000000</v>
          </cell>
        </row>
        <row r="7511">
          <cell r="A7511" t="str">
            <v>Netherlands</v>
          </cell>
          <cell r="B7511">
            <v>528</v>
          </cell>
          <cell r="C7511">
            <v>203</v>
          </cell>
          <cell r="D7511">
            <v>3</v>
          </cell>
          <cell r="E7511" t="str">
            <v>Equals: VALUE ADDED, GROSS, at basic prices</v>
          </cell>
          <cell r="F7511">
            <v>12</v>
          </cell>
          <cell r="G7511">
            <v>1983</v>
          </cell>
          <cell r="H7511">
            <v>200</v>
          </cell>
          <cell r="I7511">
            <v>174492000000</v>
          </cell>
        </row>
        <row r="7512">
          <cell r="A7512" t="str">
            <v>Netherlands</v>
          </cell>
          <cell r="B7512">
            <v>528</v>
          </cell>
          <cell r="C7512">
            <v>203</v>
          </cell>
          <cell r="D7512">
            <v>3</v>
          </cell>
          <cell r="E7512" t="str">
            <v>Equals: VALUE ADDED, GROSS, at basic prices</v>
          </cell>
          <cell r="F7512">
            <v>12</v>
          </cell>
          <cell r="G7512">
            <v>1984</v>
          </cell>
          <cell r="H7512">
            <v>200</v>
          </cell>
          <cell r="I7512">
            <v>181664000000</v>
          </cell>
        </row>
        <row r="7513">
          <cell r="A7513" t="str">
            <v>Netherlands</v>
          </cell>
          <cell r="B7513">
            <v>528</v>
          </cell>
          <cell r="C7513">
            <v>203</v>
          </cell>
          <cell r="D7513">
            <v>3</v>
          </cell>
          <cell r="E7513" t="str">
            <v>Equals: VALUE ADDED, GROSS, at basic prices</v>
          </cell>
          <cell r="F7513">
            <v>12</v>
          </cell>
          <cell r="G7513">
            <v>1985</v>
          </cell>
          <cell r="H7513">
            <v>200</v>
          </cell>
          <cell r="I7513">
            <v>189885000000</v>
          </cell>
        </row>
        <row r="7514">
          <cell r="A7514" t="str">
            <v>Netherlands</v>
          </cell>
          <cell r="B7514">
            <v>528</v>
          </cell>
          <cell r="C7514">
            <v>203</v>
          </cell>
          <cell r="D7514">
            <v>3</v>
          </cell>
          <cell r="E7514" t="str">
            <v>Equals: VALUE ADDED, GROSS, at basic prices</v>
          </cell>
          <cell r="F7514">
            <v>12</v>
          </cell>
          <cell r="G7514">
            <v>1986</v>
          </cell>
          <cell r="H7514">
            <v>200</v>
          </cell>
          <cell r="I7514">
            <v>195415000000</v>
          </cell>
        </row>
        <row r="7515">
          <cell r="A7515" t="str">
            <v>Netherlands</v>
          </cell>
          <cell r="B7515">
            <v>528</v>
          </cell>
          <cell r="C7515">
            <v>203</v>
          </cell>
          <cell r="D7515">
            <v>3</v>
          </cell>
          <cell r="E7515" t="str">
            <v>Equals: VALUE ADDED, GROSS, at basic prices</v>
          </cell>
          <cell r="F7515">
            <v>12</v>
          </cell>
          <cell r="G7515">
            <v>1987</v>
          </cell>
          <cell r="H7515">
            <v>200</v>
          </cell>
          <cell r="I7515">
            <v>197685000000</v>
          </cell>
        </row>
        <row r="7516">
          <cell r="A7516" t="str">
            <v>Netherlands</v>
          </cell>
          <cell r="B7516">
            <v>528</v>
          </cell>
          <cell r="C7516">
            <v>203</v>
          </cell>
          <cell r="D7516">
            <v>3</v>
          </cell>
          <cell r="E7516" t="str">
            <v>Equals: VALUE ADDED, GROSS, at basic prices</v>
          </cell>
          <cell r="F7516">
            <v>12</v>
          </cell>
          <cell r="G7516">
            <v>1988</v>
          </cell>
          <cell r="H7516">
            <v>200</v>
          </cell>
          <cell r="I7516">
            <v>205559000000</v>
          </cell>
        </row>
        <row r="7517">
          <cell r="A7517" t="str">
            <v>Netherlands</v>
          </cell>
          <cell r="B7517">
            <v>528</v>
          </cell>
          <cell r="C7517">
            <v>203</v>
          </cell>
          <cell r="D7517">
            <v>3</v>
          </cell>
          <cell r="E7517" t="str">
            <v>Equals: VALUE ADDED, GROSS, at basic prices</v>
          </cell>
          <cell r="F7517">
            <v>12</v>
          </cell>
          <cell r="G7517">
            <v>1989</v>
          </cell>
          <cell r="H7517">
            <v>200</v>
          </cell>
          <cell r="I7517">
            <v>217215000000</v>
          </cell>
        </row>
        <row r="7518">
          <cell r="A7518" t="str">
            <v>Netherlands</v>
          </cell>
          <cell r="B7518">
            <v>528</v>
          </cell>
          <cell r="C7518">
            <v>203</v>
          </cell>
          <cell r="D7518">
            <v>3</v>
          </cell>
          <cell r="E7518" t="str">
            <v>Equals: VALUE ADDED, GROSS, at basic prices</v>
          </cell>
          <cell r="F7518">
            <v>12</v>
          </cell>
          <cell r="G7518">
            <v>1990</v>
          </cell>
          <cell r="H7518">
            <v>200</v>
          </cell>
          <cell r="I7518">
            <v>229228000000</v>
          </cell>
        </row>
        <row r="7519">
          <cell r="A7519" t="str">
            <v>Netherlands</v>
          </cell>
          <cell r="B7519">
            <v>528</v>
          </cell>
          <cell r="C7519">
            <v>203</v>
          </cell>
          <cell r="D7519">
            <v>3</v>
          </cell>
          <cell r="E7519" t="str">
            <v>Equals: VALUE ADDED, GROSS, at basic prices</v>
          </cell>
          <cell r="F7519">
            <v>12</v>
          </cell>
          <cell r="G7519">
            <v>1991</v>
          </cell>
          <cell r="H7519">
            <v>200</v>
          </cell>
          <cell r="I7519">
            <v>242102000000</v>
          </cell>
        </row>
        <row r="7520">
          <cell r="A7520" t="str">
            <v>Netherlands</v>
          </cell>
          <cell r="B7520">
            <v>528</v>
          </cell>
          <cell r="C7520">
            <v>203</v>
          </cell>
          <cell r="D7520">
            <v>3</v>
          </cell>
          <cell r="E7520" t="str">
            <v>Equals: VALUE ADDED, GROSS, at basic prices</v>
          </cell>
          <cell r="F7520">
            <v>12</v>
          </cell>
          <cell r="G7520">
            <v>1992</v>
          </cell>
          <cell r="H7520">
            <v>200</v>
          </cell>
          <cell r="I7520">
            <v>250622000000</v>
          </cell>
        </row>
        <row r="7521">
          <cell r="A7521" t="str">
            <v>Netherlands</v>
          </cell>
          <cell r="B7521">
            <v>528</v>
          </cell>
          <cell r="C7521">
            <v>203</v>
          </cell>
          <cell r="D7521">
            <v>3</v>
          </cell>
          <cell r="E7521" t="str">
            <v>Equals: VALUE ADDED, GROSS, at basic prices</v>
          </cell>
          <cell r="F7521">
            <v>12</v>
          </cell>
          <cell r="G7521">
            <v>1993</v>
          </cell>
          <cell r="H7521">
            <v>200</v>
          </cell>
          <cell r="I7521">
            <v>257895000000</v>
          </cell>
        </row>
        <row r="7522">
          <cell r="A7522" t="str">
            <v>Netherlands</v>
          </cell>
          <cell r="B7522">
            <v>528</v>
          </cell>
          <cell r="C7522">
            <v>203</v>
          </cell>
          <cell r="D7522">
            <v>3</v>
          </cell>
          <cell r="E7522" t="str">
            <v>Equals: VALUE ADDED, GROSS, at basic prices</v>
          </cell>
          <cell r="F7522">
            <v>12</v>
          </cell>
          <cell r="G7522">
            <v>1994</v>
          </cell>
          <cell r="H7522">
            <v>200</v>
          </cell>
          <cell r="I7522">
            <v>269445000000</v>
          </cell>
        </row>
        <row r="7523">
          <cell r="A7523" t="str">
            <v>Netherlands</v>
          </cell>
          <cell r="B7523">
            <v>528</v>
          </cell>
          <cell r="C7523">
            <v>203</v>
          </cell>
          <cell r="D7523">
            <v>3</v>
          </cell>
          <cell r="E7523" t="str">
            <v>Equals: VALUE ADDED, GROSS, at basic prices</v>
          </cell>
          <cell r="F7523">
            <v>12</v>
          </cell>
          <cell r="G7523">
            <v>1995</v>
          </cell>
          <cell r="H7523">
            <v>200</v>
          </cell>
          <cell r="I7523">
            <v>281464000000</v>
          </cell>
        </row>
        <row r="7524">
          <cell r="A7524" t="str">
            <v>Netherlands</v>
          </cell>
          <cell r="B7524">
            <v>528</v>
          </cell>
          <cell r="C7524">
            <v>203</v>
          </cell>
          <cell r="D7524">
            <v>3</v>
          </cell>
          <cell r="E7524" t="str">
            <v>Equals: VALUE ADDED, GROSS, at basic prices</v>
          </cell>
          <cell r="F7524">
            <v>12</v>
          </cell>
          <cell r="G7524">
            <v>1996</v>
          </cell>
          <cell r="H7524">
            <v>200</v>
          </cell>
          <cell r="I7524">
            <v>291516000000</v>
          </cell>
        </row>
        <row r="7525">
          <cell r="A7525" t="str">
            <v>Lesotho</v>
          </cell>
          <cell r="B7525">
            <v>426</v>
          </cell>
          <cell r="C7525">
            <v>203</v>
          </cell>
          <cell r="D7525">
            <v>11</v>
          </cell>
          <cell r="E7525" t="str">
            <v>OPERATING SURPLUS, GROSS</v>
          </cell>
          <cell r="F7525">
            <v>12</v>
          </cell>
          <cell r="G7525">
            <v>1972</v>
          </cell>
          <cell r="H7525">
            <v>10</v>
          </cell>
          <cell r="I7525">
            <v>43190000</v>
          </cell>
        </row>
        <row r="7526">
          <cell r="A7526" t="str">
            <v>Lesotho</v>
          </cell>
          <cell r="B7526">
            <v>426</v>
          </cell>
          <cell r="C7526">
            <v>203</v>
          </cell>
          <cell r="D7526">
            <v>11</v>
          </cell>
          <cell r="E7526" t="str">
            <v>OPERATING SURPLUS, GROSS</v>
          </cell>
          <cell r="F7526">
            <v>12</v>
          </cell>
          <cell r="G7526">
            <v>1973</v>
          </cell>
          <cell r="H7526">
            <v>10</v>
          </cell>
          <cell r="I7526">
            <v>57482000</v>
          </cell>
        </row>
        <row r="7527">
          <cell r="A7527" t="str">
            <v>Lesotho</v>
          </cell>
          <cell r="B7527">
            <v>426</v>
          </cell>
          <cell r="C7527">
            <v>203</v>
          </cell>
          <cell r="D7527">
            <v>11</v>
          </cell>
          <cell r="E7527" t="str">
            <v>OPERATING SURPLUS, GROSS</v>
          </cell>
          <cell r="F7527">
            <v>12</v>
          </cell>
          <cell r="G7527">
            <v>1974</v>
          </cell>
          <cell r="H7527">
            <v>10</v>
          </cell>
          <cell r="I7527">
            <v>61678000</v>
          </cell>
        </row>
        <row r="7528">
          <cell r="A7528" t="str">
            <v>Lesotho</v>
          </cell>
          <cell r="B7528">
            <v>426</v>
          </cell>
          <cell r="C7528">
            <v>203</v>
          </cell>
          <cell r="D7528">
            <v>11</v>
          </cell>
          <cell r="E7528" t="str">
            <v>OPERATING SURPLUS, GROSS</v>
          </cell>
          <cell r="F7528">
            <v>12</v>
          </cell>
          <cell r="G7528">
            <v>1975</v>
          </cell>
          <cell r="H7528">
            <v>10</v>
          </cell>
          <cell r="I7528">
            <v>67759000</v>
          </cell>
        </row>
        <row r="7529">
          <cell r="A7529" t="str">
            <v>Lesotho</v>
          </cell>
          <cell r="B7529">
            <v>426</v>
          </cell>
          <cell r="C7529">
            <v>203</v>
          </cell>
          <cell r="D7529">
            <v>11</v>
          </cell>
          <cell r="E7529" t="str">
            <v>OPERATING SURPLUS, GROSS</v>
          </cell>
          <cell r="F7529">
            <v>12</v>
          </cell>
          <cell r="G7529">
            <v>1976</v>
          </cell>
          <cell r="H7529">
            <v>10</v>
          </cell>
          <cell r="I7529">
            <v>89408000</v>
          </cell>
        </row>
        <row r="7530">
          <cell r="A7530" t="str">
            <v>Lesotho</v>
          </cell>
          <cell r="B7530">
            <v>426</v>
          </cell>
          <cell r="C7530">
            <v>203</v>
          </cell>
          <cell r="D7530">
            <v>11</v>
          </cell>
          <cell r="E7530" t="str">
            <v>OPERATING SURPLUS, GROSS</v>
          </cell>
          <cell r="F7530">
            <v>12</v>
          </cell>
          <cell r="G7530">
            <v>1977</v>
          </cell>
          <cell r="H7530">
            <v>10</v>
          </cell>
          <cell r="I7530">
            <v>107954000</v>
          </cell>
        </row>
        <row r="7531">
          <cell r="A7531" t="str">
            <v>Lesotho</v>
          </cell>
          <cell r="B7531">
            <v>426</v>
          </cell>
          <cell r="C7531">
            <v>203</v>
          </cell>
          <cell r="D7531">
            <v>11</v>
          </cell>
          <cell r="E7531" t="str">
            <v>OPERATING SURPLUS, GROSS</v>
          </cell>
          <cell r="F7531">
            <v>12</v>
          </cell>
          <cell r="G7531">
            <v>1978</v>
          </cell>
          <cell r="H7531">
            <v>10</v>
          </cell>
          <cell r="I7531">
            <v>139908000</v>
          </cell>
        </row>
        <row r="7532">
          <cell r="A7532" t="str">
            <v>Lesotho</v>
          </cell>
          <cell r="B7532">
            <v>426</v>
          </cell>
          <cell r="C7532">
            <v>203</v>
          </cell>
          <cell r="D7532">
            <v>11</v>
          </cell>
          <cell r="E7532" t="str">
            <v>OPERATING SURPLUS, GROSS</v>
          </cell>
          <cell r="F7532">
            <v>12</v>
          </cell>
          <cell r="G7532">
            <v>1979</v>
          </cell>
          <cell r="H7532">
            <v>10</v>
          </cell>
          <cell r="I7532">
            <v>137510000</v>
          </cell>
        </row>
        <row r="7533">
          <cell r="A7533" t="str">
            <v>Lesotho</v>
          </cell>
          <cell r="B7533">
            <v>426</v>
          </cell>
          <cell r="C7533">
            <v>203</v>
          </cell>
          <cell r="D7533">
            <v>11</v>
          </cell>
          <cell r="E7533" t="str">
            <v>OPERATING SURPLUS, GROSS</v>
          </cell>
          <cell r="F7533">
            <v>12</v>
          </cell>
          <cell r="G7533">
            <v>1980</v>
          </cell>
          <cell r="H7533">
            <v>10</v>
          </cell>
          <cell r="I7533">
            <v>145248000</v>
          </cell>
        </row>
        <row r="7534">
          <cell r="A7534" t="str">
            <v>Lesotho</v>
          </cell>
          <cell r="B7534">
            <v>426</v>
          </cell>
          <cell r="C7534">
            <v>203</v>
          </cell>
          <cell r="D7534">
            <v>11</v>
          </cell>
          <cell r="E7534" t="str">
            <v>OPERATING SURPLUS, GROSS</v>
          </cell>
          <cell r="F7534">
            <v>12</v>
          </cell>
          <cell r="G7534">
            <v>1981</v>
          </cell>
          <cell r="H7534">
            <v>10</v>
          </cell>
          <cell r="I7534">
            <v>172721000</v>
          </cell>
        </row>
        <row r="7535">
          <cell r="A7535" t="str">
            <v>Lesotho</v>
          </cell>
          <cell r="B7535">
            <v>426</v>
          </cell>
          <cell r="C7535">
            <v>203</v>
          </cell>
          <cell r="D7535">
            <v>11</v>
          </cell>
          <cell r="E7535" t="str">
            <v>OPERATING SURPLUS, GROSS</v>
          </cell>
          <cell r="F7535">
            <v>12</v>
          </cell>
          <cell r="G7535">
            <v>1982</v>
          </cell>
          <cell r="H7535">
            <v>10</v>
          </cell>
          <cell r="I7535">
            <v>160866000</v>
          </cell>
        </row>
        <row r="7536">
          <cell r="A7536" t="str">
            <v>Lesotho</v>
          </cell>
          <cell r="B7536">
            <v>426</v>
          </cell>
          <cell r="C7536">
            <v>203</v>
          </cell>
          <cell r="D7536">
            <v>11</v>
          </cell>
          <cell r="E7536" t="str">
            <v>OPERATING SURPLUS, GROSS</v>
          </cell>
          <cell r="F7536">
            <v>12</v>
          </cell>
          <cell r="G7536">
            <v>1983</v>
          </cell>
          <cell r="H7536">
            <v>10</v>
          </cell>
          <cell r="I7536">
            <v>175900000</v>
          </cell>
        </row>
        <row r="7537">
          <cell r="A7537" t="str">
            <v>Netherlands</v>
          </cell>
          <cell r="B7537">
            <v>528</v>
          </cell>
          <cell r="C7537">
            <v>203</v>
          </cell>
          <cell r="D7537">
            <v>3</v>
          </cell>
          <cell r="E7537" t="str">
            <v>Equals: VALUE ADDED, GROSS, at basic prices</v>
          </cell>
          <cell r="F7537">
            <v>12</v>
          </cell>
          <cell r="G7537">
            <v>1997</v>
          </cell>
          <cell r="H7537">
            <v>200</v>
          </cell>
          <cell r="I7537">
            <v>307405000000</v>
          </cell>
        </row>
        <row r="7538">
          <cell r="A7538" t="str">
            <v>Netherlands</v>
          </cell>
          <cell r="B7538">
            <v>528</v>
          </cell>
          <cell r="C7538">
            <v>203</v>
          </cell>
          <cell r="D7538">
            <v>3</v>
          </cell>
          <cell r="E7538" t="str">
            <v>Equals: VALUE ADDED, GROSS, at basic prices</v>
          </cell>
          <cell r="F7538">
            <v>12</v>
          </cell>
          <cell r="G7538">
            <v>1998</v>
          </cell>
          <cell r="H7538">
            <v>200</v>
          </cell>
          <cell r="I7538">
            <v>325762000000</v>
          </cell>
        </row>
        <row r="7539">
          <cell r="A7539" t="str">
            <v>Netherlands</v>
          </cell>
          <cell r="B7539">
            <v>528</v>
          </cell>
          <cell r="C7539">
            <v>203</v>
          </cell>
          <cell r="D7539">
            <v>3</v>
          </cell>
          <cell r="E7539" t="str">
            <v>Equals: VALUE ADDED, GROSS, at basic prices</v>
          </cell>
          <cell r="F7539">
            <v>12</v>
          </cell>
          <cell r="G7539">
            <v>1999</v>
          </cell>
          <cell r="H7539">
            <v>200</v>
          </cell>
          <cell r="I7539">
            <v>344022000000</v>
          </cell>
        </row>
        <row r="7540">
          <cell r="A7540" t="str">
            <v>Netherlands</v>
          </cell>
          <cell r="B7540">
            <v>528</v>
          </cell>
          <cell r="C7540">
            <v>203</v>
          </cell>
          <cell r="D7540">
            <v>3</v>
          </cell>
          <cell r="E7540" t="str">
            <v>Equals: VALUE ADDED, GROSS, at basic prices</v>
          </cell>
          <cell r="F7540">
            <v>12</v>
          </cell>
          <cell r="G7540">
            <v>2000</v>
          </cell>
          <cell r="H7540">
            <v>200</v>
          </cell>
          <cell r="I7540">
            <v>371053000000</v>
          </cell>
        </row>
        <row r="7541">
          <cell r="A7541" t="str">
            <v>Netherlands</v>
          </cell>
          <cell r="B7541">
            <v>528</v>
          </cell>
          <cell r="C7541">
            <v>203</v>
          </cell>
          <cell r="D7541">
            <v>3</v>
          </cell>
          <cell r="E7541" t="str">
            <v>Equals: VALUE ADDED, GROSS, at basic prices</v>
          </cell>
          <cell r="F7541">
            <v>12</v>
          </cell>
          <cell r="G7541">
            <v>2001</v>
          </cell>
          <cell r="H7541">
            <v>200</v>
          </cell>
          <cell r="I7541">
            <v>393440000000</v>
          </cell>
        </row>
        <row r="7542">
          <cell r="A7542" t="str">
            <v>Netherlands</v>
          </cell>
          <cell r="B7542">
            <v>528</v>
          </cell>
          <cell r="C7542">
            <v>203</v>
          </cell>
          <cell r="D7542">
            <v>3</v>
          </cell>
          <cell r="E7542" t="str">
            <v>Equals: VALUE ADDED, GROSS, at basic prices</v>
          </cell>
          <cell r="F7542">
            <v>12</v>
          </cell>
          <cell r="G7542">
            <v>2002</v>
          </cell>
          <cell r="H7542">
            <v>200</v>
          </cell>
          <cell r="I7542">
            <v>409759000000</v>
          </cell>
        </row>
        <row r="7543">
          <cell r="A7543" t="str">
            <v>Netherlands</v>
          </cell>
          <cell r="B7543">
            <v>528</v>
          </cell>
          <cell r="C7543">
            <v>203</v>
          </cell>
          <cell r="D7543">
            <v>4</v>
          </cell>
          <cell r="E7543" t="str">
            <v>Compensation of employees</v>
          </cell>
          <cell r="F7543">
            <v>12</v>
          </cell>
          <cell r="G7543">
            <v>1969</v>
          </cell>
          <cell r="H7543">
            <v>200</v>
          </cell>
          <cell r="I7543">
            <v>27435000000</v>
          </cell>
        </row>
        <row r="7544">
          <cell r="A7544" t="str">
            <v>Netherlands</v>
          </cell>
          <cell r="B7544">
            <v>528</v>
          </cell>
          <cell r="C7544">
            <v>203</v>
          </cell>
          <cell r="D7544">
            <v>4</v>
          </cell>
          <cell r="E7544" t="str">
            <v>Compensation of employees</v>
          </cell>
          <cell r="F7544">
            <v>12</v>
          </cell>
          <cell r="G7544">
            <v>1970</v>
          </cell>
          <cell r="H7544">
            <v>200</v>
          </cell>
          <cell r="I7544">
            <v>31390000000</v>
          </cell>
        </row>
        <row r="7545">
          <cell r="A7545" t="str">
            <v>Netherlands</v>
          </cell>
          <cell r="B7545">
            <v>528</v>
          </cell>
          <cell r="C7545">
            <v>203</v>
          </cell>
          <cell r="D7545">
            <v>4</v>
          </cell>
          <cell r="E7545" t="str">
            <v>Compensation of employees</v>
          </cell>
          <cell r="F7545">
            <v>12</v>
          </cell>
          <cell r="G7545">
            <v>1971</v>
          </cell>
          <cell r="H7545">
            <v>200</v>
          </cell>
          <cell r="I7545">
            <v>36072000000</v>
          </cell>
        </row>
        <row r="7546">
          <cell r="A7546" t="str">
            <v>Netherlands</v>
          </cell>
          <cell r="B7546">
            <v>528</v>
          </cell>
          <cell r="C7546">
            <v>203</v>
          </cell>
          <cell r="D7546">
            <v>4</v>
          </cell>
          <cell r="E7546" t="str">
            <v>Compensation of employees</v>
          </cell>
          <cell r="F7546">
            <v>12</v>
          </cell>
          <cell r="G7546">
            <v>1972</v>
          </cell>
          <cell r="H7546">
            <v>200</v>
          </cell>
          <cell r="I7546">
            <v>40410000000</v>
          </cell>
        </row>
        <row r="7547">
          <cell r="A7547" t="str">
            <v>Netherlands</v>
          </cell>
          <cell r="B7547">
            <v>528</v>
          </cell>
          <cell r="C7547">
            <v>203</v>
          </cell>
          <cell r="D7547">
            <v>4</v>
          </cell>
          <cell r="E7547" t="str">
            <v>Compensation of employees</v>
          </cell>
          <cell r="F7547">
            <v>12</v>
          </cell>
          <cell r="G7547">
            <v>1973</v>
          </cell>
          <cell r="H7547">
            <v>200</v>
          </cell>
          <cell r="I7547">
            <v>46913000000</v>
          </cell>
        </row>
        <row r="7548">
          <cell r="A7548" t="str">
            <v>Netherlands</v>
          </cell>
          <cell r="B7548">
            <v>528</v>
          </cell>
          <cell r="C7548">
            <v>203</v>
          </cell>
          <cell r="D7548">
            <v>4</v>
          </cell>
          <cell r="E7548" t="str">
            <v>Compensation of employees</v>
          </cell>
          <cell r="F7548">
            <v>12</v>
          </cell>
          <cell r="G7548">
            <v>1974</v>
          </cell>
          <cell r="H7548">
            <v>200</v>
          </cell>
          <cell r="I7548">
            <v>54551000000</v>
          </cell>
        </row>
        <row r="7549">
          <cell r="A7549" t="str">
            <v>Netherlands</v>
          </cell>
          <cell r="B7549">
            <v>528</v>
          </cell>
          <cell r="C7549">
            <v>203</v>
          </cell>
          <cell r="D7549">
            <v>4</v>
          </cell>
          <cell r="E7549" t="str">
            <v>Compensation of employees</v>
          </cell>
          <cell r="F7549">
            <v>12</v>
          </cell>
          <cell r="G7549">
            <v>1975</v>
          </cell>
          <cell r="H7549">
            <v>200</v>
          </cell>
          <cell r="I7549">
            <v>61776000000</v>
          </cell>
        </row>
        <row r="7550">
          <cell r="A7550" t="str">
            <v>Netherlands</v>
          </cell>
          <cell r="B7550">
            <v>528</v>
          </cell>
          <cell r="C7550">
            <v>203</v>
          </cell>
          <cell r="D7550">
            <v>4</v>
          </cell>
          <cell r="E7550" t="str">
            <v>Compensation of employees</v>
          </cell>
          <cell r="F7550">
            <v>12</v>
          </cell>
          <cell r="G7550">
            <v>1976</v>
          </cell>
          <cell r="H7550">
            <v>200</v>
          </cell>
          <cell r="I7550">
            <v>68858000000</v>
          </cell>
        </row>
        <row r="7551">
          <cell r="A7551" t="str">
            <v>Netherlands</v>
          </cell>
          <cell r="B7551">
            <v>528</v>
          </cell>
          <cell r="C7551">
            <v>203</v>
          </cell>
          <cell r="D7551">
            <v>4</v>
          </cell>
          <cell r="E7551" t="str">
            <v>Compensation of employees</v>
          </cell>
          <cell r="F7551">
            <v>12</v>
          </cell>
          <cell r="G7551">
            <v>1977</v>
          </cell>
          <cell r="H7551">
            <v>200</v>
          </cell>
          <cell r="I7551">
            <v>75383000000</v>
          </cell>
        </row>
        <row r="7552">
          <cell r="A7552" t="str">
            <v>Netherlands</v>
          </cell>
          <cell r="B7552">
            <v>528</v>
          </cell>
          <cell r="C7552">
            <v>203</v>
          </cell>
          <cell r="D7552">
            <v>4</v>
          </cell>
          <cell r="E7552" t="str">
            <v>Compensation of employees</v>
          </cell>
          <cell r="F7552">
            <v>12</v>
          </cell>
          <cell r="G7552">
            <v>1978</v>
          </cell>
          <cell r="H7552">
            <v>200</v>
          </cell>
          <cell r="I7552">
            <v>81522000000</v>
          </cell>
        </row>
        <row r="7553">
          <cell r="A7553" t="str">
            <v>Netherlands</v>
          </cell>
          <cell r="B7553">
            <v>528</v>
          </cell>
          <cell r="C7553">
            <v>203</v>
          </cell>
          <cell r="D7553">
            <v>4</v>
          </cell>
          <cell r="E7553" t="str">
            <v>Compensation of employees</v>
          </cell>
          <cell r="F7553">
            <v>12</v>
          </cell>
          <cell r="G7553">
            <v>1979</v>
          </cell>
          <cell r="H7553">
            <v>200</v>
          </cell>
          <cell r="I7553">
            <v>87691000000</v>
          </cell>
        </row>
        <row r="7554">
          <cell r="A7554" t="str">
            <v>Netherlands</v>
          </cell>
          <cell r="B7554">
            <v>528</v>
          </cell>
          <cell r="C7554">
            <v>203</v>
          </cell>
          <cell r="D7554">
            <v>4</v>
          </cell>
          <cell r="E7554" t="str">
            <v>Compensation of employees</v>
          </cell>
          <cell r="F7554">
            <v>12</v>
          </cell>
          <cell r="G7554">
            <v>1980</v>
          </cell>
          <cell r="H7554">
            <v>200</v>
          </cell>
          <cell r="I7554">
            <v>93255000000</v>
          </cell>
        </row>
        <row r="7555">
          <cell r="A7555" t="str">
            <v>Netherlands</v>
          </cell>
          <cell r="B7555">
            <v>528</v>
          </cell>
          <cell r="C7555">
            <v>203</v>
          </cell>
          <cell r="D7555">
            <v>4</v>
          </cell>
          <cell r="E7555" t="str">
            <v>Compensation of employees</v>
          </cell>
          <cell r="F7555">
            <v>12</v>
          </cell>
          <cell r="G7555">
            <v>1981</v>
          </cell>
          <cell r="H7555">
            <v>200</v>
          </cell>
          <cell r="I7555">
            <v>95241000000</v>
          </cell>
        </row>
        <row r="7556">
          <cell r="A7556" t="str">
            <v>Netherlands</v>
          </cell>
          <cell r="B7556">
            <v>528</v>
          </cell>
          <cell r="C7556">
            <v>203</v>
          </cell>
          <cell r="D7556">
            <v>4</v>
          </cell>
          <cell r="E7556" t="str">
            <v>Compensation of employees</v>
          </cell>
          <cell r="F7556">
            <v>12</v>
          </cell>
          <cell r="G7556">
            <v>1982</v>
          </cell>
          <cell r="H7556">
            <v>200</v>
          </cell>
          <cell r="I7556">
            <v>98086000000</v>
          </cell>
        </row>
        <row r="7557">
          <cell r="A7557" t="str">
            <v>Netherlands</v>
          </cell>
          <cell r="B7557">
            <v>528</v>
          </cell>
          <cell r="C7557">
            <v>203</v>
          </cell>
          <cell r="D7557">
            <v>4</v>
          </cell>
          <cell r="E7557" t="str">
            <v>Compensation of employees</v>
          </cell>
          <cell r="F7557">
            <v>12</v>
          </cell>
          <cell r="G7557">
            <v>1983</v>
          </cell>
          <cell r="H7557">
            <v>200</v>
          </cell>
          <cell r="I7557">
            <v>99255000000</v>
          </cell>
        </row>
        <row r="7558">
          <cell r="A7558" t="str">
            <v>Netherlands</v>
          </cell>
          <cell r="B7558">
            <v>528</v>
          </cell>
          <cell r="C7558">
            <v>203</v>
          </cell>
          <cell r="D7558">
            <v>4</v>
          </cell>
          <cell r="E7558" t="str">
            <v>Compensation of employees</v>
          </cell>
          <cell r="F7558">
            <v>12</v>
          </cell>
          <cell r="G7558">
            <v>1984</v>
          </cell>
          <cell r="H7558">
            <v>200</v>
          </cell>
          <cell r="I7558">
            <v>99774000000</v>
          </cell>
        </row>
        <row r="7559">
          <cell r="A7559" t="str">
            <v>Netherlands</v>
          </cell>
          <cell r="B7559">
            <v>528</v>
          </cell>
          <cell r="C7559">
            <v>203</v>
          </cell>
          <cell r="D7559">
            <v>4</v>
          </cell>
          <cell r="E7559" t="str">
            <v>Compensation of employees</v>
          </cell>
          <cell r="F7559">
            <v>12</v>
          </cell>
          <cell r="G7559">
            <v>1985</v>
          </cell>
          <cell r="H7559">
            <v>200</v>
          </cell>
          <cell r="I7559">
            <v>103253000000</v>
          </cell>
        </row>
        <row r="7560">
          <cell r="A7560" t="str">
            <v>Netherlands</v>
          </cell>
          <cell r="B7560">
            <v>528</v>
          </cell>
          <cell r="C7560">
            <v>203</v>
          </cell>
          <cell r="D7560">
            <v>4</v>
          </cell>
          <cell r="E7560" t="str">
            <v>Compensation of employees</v>
          </cell>
          <cell r="F7560">
            <v>12</v>
          </cell>
          <cell r="G7560">
            <v>1986</v>
          </cell>
          <cell r="H7560">
            <v>200</v>
          </cell>
          <cell r="I7560">
            <v>107882000000</v>
          </cell>
        </row>
        <row r="7561">
          <cell r="A7561" t="str">
            <v>Netherlands</v>
          </cell>
          <cell r="B7561">
            <v>528</v>
          </cell>
          <cell r="C7561">
            <v>203</v>
          </cell>
          <cell r="D7561">
            <v>4</v>
          </cell>
          <cell r="E7561" t="str">
            <v>Compensation of employees</v>
          </cell>
          <cell r="F7561">
            <v>12</v>
          </cell>
          <cell r="G7561">
            <v>1987</v>
          </cell>
          <cell r="H7561">
            <v>200</v>
          </cell>
          <cell r="I7561">
            <v>111550000000</v>
          </cell>
        </row>
        <row r="7562">
          <cell r="A7562" t="str">
            <v>Netherlands</v>
          </cell>
          <cell r="B7562">
            <v>528</v>
          </cell>
          <cell r="C7562">
            <v>203</v>
          </cell>
          <cell r="D7562">
            <v>4</v>
          </cell>
          <cell r="E7562" t="str">
            <v>Compensation of employees</v>
          </cell>
          <cell r="F7562">
            <v>12</v>
          </cell>
          <cell r="G7562">
            <v>1988</v>
          </cell>
          <cell r="H7562">
            <v>200</v>
          </cell>
          <cell r="I7562">
            <v>114608000000</v>
          </cell>
        </row>
        <row r="7563">
          <cell r="A7563" t="str">
            <v>Netherlands</v>
          </cell>
          <cell r="B7563">
            <v>528</v>
          </cell>
          <cell r="C7563">
            <v>203</v>
          </cell>
          <cell r="D7563">
            <v>4</v>
          </cell>
          <cell r="E7563" t="str">
            <v>Compensation of employees</v>
          </cell>
          <cell r="F7563">
            <v>12</v>
          </cell>
          <cell r="G7563">
            <v>1989</v>
          </cell>
          <cell r="H7563">
            <v>200</v>
          </cell>
          <cell r="I7563">
            <v>118126000000</v>
          </cell>
        </row>
        <row r="7564">
          <cell r="A7564" t="str">
            <v>Netherlands</v>
          </cell>
          <cell r="B7564">
            <v>528</v>
          </cell>
          <cell r="C7564">
            <v>203</v>
          </cell>
          <cell r="D7564">
            <v>4</v>
          </cell>
          <cell r="E7564" t="str">
            <v>Compensation of employees</v>
          </cell>
          <cell r="F7564">
            <v>12</v>
          </cell>
          <cell r="G7564">
            <v>1990</v>
          </cell>
          <cell r="H7564">
            <v>200</v>
          </cell>
          <cell r="I7564">
            <v>125512000000</v>
          </cell>
        </row>
        <row r="7565">
          <cell r="A7565" t="str">
            <v>Netherlands</v>
          </cell>
          <cell r="B7565">
            <v>528</v>
          </cell>
          <cell r="C7565">
            <v>203</v>
          </cell>
          <cell r="D7565">
            <v>4</v>
          </cell>
          <cell r="E7565" t="str">
            <v>Compensation of employees</v>
          </cell>
          <cell r="F7565">
            <v>12</v>
          </cell>
          <cell r="G7565">
            <v>1991</v>
          </cell>
          <cell r="H7565">
            <v>200</v>
          </cell>
          <cell r="I7565">
            <v>133268000000</v>
          </cell>
        </row>
        <row r="7566">
          <cell r="A7566" t="str">
            <v>Netherlands</v>
          </cell>
          <cell r="B7566">
            <v>528</v>
          </cell>
          <cell r="C7566">
            <v>203</v>
          </cell>
          <cell r="D7566">
            <v>4</v>
          </cell>
          <cell r="E7566" t="str">
            <v>Compensation of employees</v>
          </cell>
          <cell r="F7566">
            <v>12</v>
          </cell>
          <cell r="G7566">
            <v>1992</v>
          </cell>
          <cell r="H7566">
            <v>200</v>
          </cell>
          <cell r="I7566">
            <v>141117000000</v>
          </cell>
        </row>
        <row r="7567">
          <cell r="A7567" t="str">
            <v>Netherlands</v>
          </cell>
          <cell r="B7567">
            <v>528</v>
          </cell>
          <cell r="C7567">
            <v>203</v>
          </cell>
          <cell r="D7567">
            <v>4</v>
          </cell>
          <cell r="E7567" t="str">
            <v>Compensation of employees</v>
          </cell>
          <cell r="F7567">
            <v>12</v>
          </cell>
          <cell r="G7567">
            <v>1993</v>
          </cell>
          <cell r="H7567">
            <v>200</v>
          </cell>
          <cell r="I7567">
            <v>145149000000</v>
          </cell>
        </row>
        <row r="7568">
          <cell r="A7568" t="str">
            <v>Netherlands</v>
          </cell>
          <cell r="B7568">
            <v>528</v>
          </cell>
          <cell r="C7568">
            <v>203</v>
          </cell>
          <cell r="D7568">
            <v>4</v>
          </cell>
          <cell r="E7568" t="str">
            <v>Compensation of employees</v>
          </cell>
          <cell r="F7568">
            <v>12</v>
          </cell>
          <cell r="G7568">
            <v>1994</v>
          </cell>
          <cell r="H7568">
            <v>200</v>
          </cell>
          <cell r="I7568">
            <v>148504000000</v>
          </cell>
        </row>
        <row r="7569">
          <cell r="A7569" t="str">
            <v>Netherlands</v>
          </cell>
          <cell r="B7569">
            <v>528</v>
          </cell>
          <cell r="C7569">
            <v>203</v>
          </cell>
          <cell r="D7569">
            <v>4</v>
          </cell>
          <cell r="E7569" t="str">
            <v>Compensation of employees</v>
          </cell>
          <cell r="F7569">
            <v>12</v>
          </cell>
          <cell r="G7569">
            <v>1995</v>
          </cell>
          <cell r="H7569">
            <v>200</v>
          </cell>
          <cell r="I7569">
            <v>153729000000</v>
          </cell>
        </row>
        <row r="7570">
          <cell r="A7570" t="str">
            <v>Netherlands</v>
          </cell>
          <cell r="B7570">
            <v>528</v>
          </cell>
          <cell r="C7570">
            <v>203</v>
          </cell>
          <cell r="D7570">
            <v>4</v>
          </cell>
          <cell r="E7570" t="str">
            <v>Compensation of employees</v>
          </cell>
          <cell r="F7570">
            <v>12</v>
          </cell>
          <cell r="G7570">
            <v>1996</v>
          </cell>
          <cell r="H7570">
            <v>200</v>
          </cell>
          <cell r="I7570">
            <v>159385000000</v>
          </cell>
        </row>
        <row r="7571">
          <cell r="A7571" t="str">
            <v>Netherlands</v>
          </cell>
          <cell r="B7571">
            <v>528</v>
          </cell>
          <cell r="C7571">
            <v>203</v>
          </cell>
          <cell r="D7571">
            <v>4</v>
          </cell>
          <cell r="E7571" t="str">
            <v>Compensation of employees</v>
          </cell>
          <cell r="F7571">
            <v>12</v>
          </cell>
          <cell r="G7571">
            <v>1997</v>
          </cell>
          <cell r="H7571">
            <v>200</v>
          </cell>
          <cell r="I7571">
            <v>168035000000</v>
          </cell>
        </row>
        <row r="7572">
          <cell r="A7572" t="str">
            <v>Netherlands</v>
          </cell>
          <cell r="B7572">
            <v>528</v>
          </cell>
          <cell r="C7572">
            <v>203</v>
          </cell>
          <cell r="D7572">
            <v>4</v>
          </cell>
          <cell r="E7572" t="str">
            <v>Compensation of employees</v>
          </cell>
          <cell r="F7572">
            <v>12</v>
          </cell>
          <cell r="G7572">
            <v>1998</v>
          </cell>
          <cell r="H7572">
            <v>200</v>
          </cell>
          <cell r="I7572">
            <v>179991000000</v>
          </cell>
        </row>
        <row r="7573">
          <cell r="A7573" t="str">
            <v>Netherlands</v>
          </cell>
          <cell r="B7573">
            <v>528</v>
          </cell>
          <cell r="C7573">
            <v>203</v>
          </cell>
          <cell r="D7573">
            <v>4</v>
          </cell>
          <cell r="E7573" t="str">
            <v>Compensation of employees</v>
          </cell>
          <cell r="F7573">
            <v>12</v>
          </cell>
          <cell r="G7573">
            <v>1999</v>
          </cell>
          <cell r="H7573">
            <v>200</v>
          </cell>
          <cell r="I7573">
            <v>192347000000</v>
          </cell>
        </row>
        <row r="7574">
          <cell r="A7574" t="str">
            <v>Netherlands</v>
          </cell>
          <cell r="B7574">
            <v>528</v>
          </cell>
          <cell r="C7574">
            <v>203</v>
          </cell>
          <cell r="D7574">
            <v>4</v>
          </cell>
          <cell r="E7574" t="str">
            <v>Compensation of employees</v>
          </cell>
          <cell r="F7574">
            <v>12</v>
          </cell>
          <cell r="G7574">
            <v>2000</v>
          </cell>
          <cell r="H7574">
            <v>200</v>
          </cell>
          <cell r="I7574">
            <v>205691000000</v>
          </cell>
        </row>
        <row r="7575">
          <cell r="A7575" t="str">
            <v>Netherlands</v>
          </cell>
          <cell r="B7575">
            <v>528</v>
          </cell>
          <cell r="C7575">
            <v>203</v>
          </cell>
          <cell r="D7575">
            <v>4</v>
          </cell>
          <cell r="E7575" t="str">
            <v>Compensation of employees</v>
          </cell>
          <cell r="F7575">
            <v>12</v>
          </cell>
          <cell r="G7575">
            <v>2001</v>
          </cell>
          <cell r="H7575">
            <v>200</v>
          </cell>
          <cell r="I7575">
            <v>220304000000</v>
          </cell>
        </row>
        <row r="7576">
          <cell r="A7576" t="str">
            <v>Netherlands</v>
          </cell>
          <cell r="B7576">
            <v>528</v>
          </cell>
          <cell r="C7576">
            <v>203</v>
          </cell>
          <cell r="D7576">
            <v>4</v>
          </cell>
          <cell r="E7576" t="str">
            <v>Compensation of employees</v>
          </cell>
          <cell r="F7576">
            <v>12</v>
          </cell>
          <cell r="G7576">
            <v>2002</v>
          </cell>
          <cell r="H7576">
            <v>200</v>
          </cell>
          <cell r="I7576">
            <v>231856000000</v>
          </cell>
        </row>
        <row r="7577">
          <cell r="A7577" t="str">
            <v>Libyan Arab Jamahiriya</v>
          </cell>
          <cell r="B7577">
            <v>434</v>
          </cell>
          <cell r="C7577">
            <v>203</v>
          </cell>
          <cell r="D7577">
            <v>3</v>
          </cell>
          <cell r="E7577" t="str">
            <v>Equals: VALUE ADDED, GROSS, at basic prices</v>
          </cell>
          <cell r="F7577">
            <v>12</v>
          </cell>
          <cell r="G7577">
            <v>1971</v>
          </cell>
          <cell r="H7577">
            <v>20</v>
          </cell>
          <cell r="I7577">
            <v>1586500000</v>
          </cell>
        </row>
        <row r="7578">
          <cell r="A7578" t="str">
            <v>Libyan Arab Jamahiriya</v>
          </cell>
          <cell r="B7578">
            <v>434</v>
          </cell>
          <cell r="C7578">
            <v>203</v>
          </cell>
          <cell r="D7578">
            <v>3</v>
          </cell>
          <cell r="E7578" t="str">
            <v>Equals: VALUE ADDED, GROSS, at basic prices</v>
          </cell>
          <cell r="F7578">
            <v>12</v>
          </cell>
          <cell r="G7578">
            <v>1972</v>
          </cell>
          <cell r="H7578">
            <v>20</v>
          </cell>
          <cell r="I7578">
            <v>1753000000</v>
          </cell>
        </row>
        <row r="7579">
          <cell r="A7579" t="str">
            <v>Libyan Arab Jamahiriya</v>
          </cell>
          <cell r="B7579">
            <v>434</v>
          </cell>
          <cell r="C7579">
            <v>203</v>
          </cell>
          <cell r="D7579">
            <v>3</v>
          </cell>
          <cell r="E7579" t="str">
            <v>Equals: VALUE ADDED, GROSS, at basic prices</v>
          </cell>
          <cell r="F7579">
            <v>12</v>
          </cell>
          <cell r="G7579">
            <v>1973</v>
          </cell>
          <cell r="H7579">
            <v>20</v>
          </cell>
          <cell r="I7579">
            <v>2182300000</v>
          </cell>
        </row>
        <row r="7580">
          <cell r="A7580" t="str">
            <v>Libyan Arab Jamahiriya</v>
          </cell>
          <cell r="B7580">
            <v>434</v>
          </cell>
          <cell r="C7580">
            <v>203</v>
          </cell>
          <cell r="D7580">
            <v>3</v>
          </cell>
          <cell r="E7580" t="str">
            <v>Equals: VALUE ADDED, GROSS, at basic prices</v>
          </cell>
          <cell r="F7580">
            <v>12</v>
          </cell>
          <cell r="G7580">
            <v>1974</v>
          </cell>
          <cell r="H7580">
            <v>20</v>
          </cell>
          <cell r="I7580">
            <v>3792000000</v>
          </cell>
        </row>
        <row r="7581">
          <cell r="A7581" t="str">
            <v>Libyan Arab Jamahiriya</v>
          </cell>
          <cell r="B7581">
            <v>434</v>
          </cell>
          <cell r="C7581">
            <v>203</v>
          </cell>
          <cell r="D7581">
            <v>3</v>
          </cell>
          <cell r="E7581" t="str">
            <v>Equals: VALUE ADDED, GROSS, at basic prices</v>
          </cell>
          <cell r="F7581">
            <v>12</v>
          </cell>
          <cell r="G7581">
            <v>1975</v>
          </cell>
          <cell r="H7581">
            <v>20</v>
          </cell>
          <cell r="I7581">
            <v>3674300000</v>
          </cell>
        </row>
        <row r="7582">
          <cell r="A7582" t="str">
            <v>Libyan Arab Jamahiriya</v>
          </cell>
          <cell r="B7582">
            <v>434</v>
          </cell>
          <cell r="C7582">
            <v>203</v>
          </cell>
          <cell r="D7582">
            <v>3</v>
          </cell>
          <cell r="E7582" t="str">
            <v>Equals: VALUE ADDED, GROSS, at basic prices</v>
          </cell>
          <cell r="F7582">
            <v>12</v>
          </cell>
          <cell r="G7582">
            <v>1976</v>
          </cell>
          <cell r="H7582">
            <v>20</v>
          </cell>
          <cell r="I7582">
            <v>4768100000</v>
          </cell>
        </row>
        <row r="7583">
          <cell r="A7583" t="str">
            <v>Libyan Arab Jamahiriya</v>
          </cell>
          <cell r="B7583">
            <v>434</v>
          </cell>
          <cell r="C7583">
            <v>203</v>
          </cell>
          <cell r="D7583">
            <v>3</v>
          </cell>
          <cell r="E7583" t="str">
            <v>Equals: VALUE ADDED, GROSS, at basic prices</v>
          </cell>
          <cell r="F7583">
            <v>12</v>
          </cell>
          <cell r="G7583">
            <v>1977</v>
          </cell>
          <cell r="H7583">
            <v>20</v>
          </cell>
          <cell r="I7583">
            <v>5612700000</v>
          </cell>
        </row>
        <row r="7584">
          <cell r="A7584" t="str">
            <v>Libyan Arab Jamahiriya</v>
          </cell>
          <cell r="B7584">
            <v>434</v>
          </cell>
          <cell r="C7584">
            <v>203</v>
          </cell>
          <cell r="D7584">
            <v>3</v>
          </cell>
          <cell r="E7584" t="str">
            <v>Equals: VALUE ADDED, GROSS, at basic prices</v>
          </cell>
          <cell r="F7584">
            <v>12</v>
          </cell>
          <cell r="G7584">
            <v>1978</v>
          </cell>
          <cell r="H7584">
            <v>20</v>
          </cell>
          <cell r="I7584">
            <v>5496100000</v>
          </cell>
        </row>
        <row r="7585">
          <cell r="A7585" t="str">
            <v>Libyan Arab Jamahiriya</v>
          </cell>
          <cell r="B7585">
            <v>434</v>
          </cell>
          <cell r="C7585">
            <v>203</v>
          </cell>
          <cell r="D7585">
            <v>3</v>
          </cell>
          <cell r="E7585" t="str">
            <v>Equals: VALUE ADDED, GROSS, at basic prices</v>
          </cell>
          <cell r="F7585">
            <v>12</v>
          </cell>
          <cell r="G7585">
            <v>1979</v>
          </cell>
          <cell r="H7585">
            <v>20</v>
          </cell>
          <cell r="I7585">
            <v>7603000000</v>
          </cell>
        </row>
        <row r="7586">
          <cell r="A7586" t="str">
            <v>Libyan Arab Jamahiriya</v>
          </cell>
          <cell r="B7586">
            <v>434</v>
          </cell>
          <cell r="C7586">
            <v>203</v>
          </cell>
          <cell r="D7586">
            <v>3</v>
          </cell>
          <cell r="E7586" t="str">
            <v>Equals: VALUE ADDED, GROSS, at basic prices</v>
          </cell>
          <cell r="F7586">
            <v>12</v>
          </cell>
          <cell r="G7586">
            <v>1980</v>
          </cell>
          <cell r="H7586">
            <v>20</v>
          </cell>
          <cell r="I7586">
            <v>10237300000</v>
          </cell>
        </row>
        <row r="7587">
          <cell r="A7587" t="str">
            <v>Libyan Arab Jamahiriya</v>
          </cell>
          <cell r="B7587">
            <v>434</v>
          </cell>
          <cell r="C7587">
            <v>203</v>
          </cell>
          <cell r="D7587">
            <v>4</v>
          </cell>
          <cell r="E7587" t="str">
            <v>Compensation of employees</v>
          </cell>
          <cell r="F7587">
            <v>12</v>
          </cell>
          <cell r="G7587">
            <v>1971</v>
          </cell>
          <cell r="H7587">
            <v>20</v>
          </cell>
          <cell r="I7587">
            <v>415500000</v>
          </cell>
        </row>
        <row r="7588">
          <cell r="A7588" t="str">
            <v>Libyan Arab Jamahiriya</v>
          </cell>
          <cell r="B7588">
            <v>434</v>
          </cell>
          <cell r="C7588">
            <v>203</v>
          </cell>
          <cell r="D7588">
            <v>4</v>
          </cell>
          <cell r="E7588" t="str">
            <v>Compensation of employees</v>
          </cell>
          <cell r="F7588">
            <v>12</v>
          </cell>
          <cell r="G7588">
            <v>1972</v>
          </cell>
          <cell r="H7588">
            <v>20</v>
          </cell>
          <cell r="I7588">
            <v>518200000</v>
          </cell>
        </row>
        <row r="7589">
          <cell r="A7589" t="str">
            <v>Libyan Arab Jamahiriya</v>
          </cell>
          <cell r="B7589">
            <v>434</v>
          </cell>
          <cell r="C7589">
            <v>203</v>
          </cell>
          <cell r="D7589">
            <v>4</v>
          </cell>
          <cell r="E7589" t="str">
            <v>Compensation of employees</v>
          </cell>
          <cell r="F7589">
            <v>12</v>
          </cell>
          <cell r="G7589">
            <v>1973</v>
          </cell>
          <cell r="H7589">
            <v>20</v>
          </cell>
          <cell r="I7589">
            <v>625900000</v>
          </cell>
        </row>
        <row r="7590">
          <cell r="A7590" t="str">
            <v>Libyan Arab Jamahiriya</v>
          </cell>
          <cell r="B7590">
            <v>434</v>
          </cell>
          <cell r="C7590">
            <v>203</v>
          </cell>
          <cell r="D7590">
            <v>4</v>
          </cell>
          <cell r="E7590" t="str">
            <v>Compensation of employees</v>
          </cell>
          <cell r="F7590">
            <v>12</v>
          </cell>
          <cell r="G7590">
            <v>1974</v>
          </cell>
          <cell r="H7590">
            <v>20</v>
          </cell>
          <cell r="I7590">
            <v>840800000</v>
          </cell>
        </row>
        <row r="7591">
          <cell r="A7591" t="str">
            <v>Libyan Arab Jamahiriya</v>
          </cell>
          <cell r="B7591">
            <v>434</v>
          </cell>
          <cell r="C7591">
            <v>203</v>
          </cell>
          <cell r="D7591">
            <v>4</v>
          </cell>
          <cell r="E7591" t="str">
            <v>Compensation of employees</v>
          </cell>
          <cell r="F7591">
            <v>12</v>
          </cell>
          <cell r="G7591">
            <v>1975</v>
          </cell>
          <cell r="H7591">
            <v>20</v>
          </cell>
          <cell r="I7591">
            <v>1048200000</v>
          </cell>
        </row>
        <row r="7592">
          <cell r="A7592" t="str">
            <v>Libyan Arab Jamahiriya</v>
          </cell>
          <cell r="B7592">
            <v>434</v>
          </cell>
          <cell r="C7592">
            <v>203</v>
          </cell>
          <cell r="D7592">
            <v>4</v>
          </cell>
          <cell r="E7592" t="str">
            <v>Compensation of employees</v>
          </cell>
          <cell r="F7592">
            <v>12</v>
          </cell>
          <cell r="G7592">
            <v>1976</v>
          </cell>
          <cell r="H7592">
            <v>20</v>
          </cell>
          <cell r="I7592">
            <v>1221400000</v>
          </cell>
        </row>
        <row r="7593">
          <cell r="A7593" t="str">
            <v>Libyan Arab Jamahiriya</v>
          </cell>
          <cell r="B7593">
            <v>434</v>
          </cell>
          <cell r="C7593">
            <v>203</v>
          </cell>
          <cell r="D7593">
            <v>4</v>
          </cell>
          <cell r="E7593" t="str">
            <v>Compensation of employees</v>
          </cell>
          <cell r="F7593">
            <v>12</v>
          </cell>
          <cell r="G7593">
            <v>1977</v>
          </cell>
          <cell r="H7593">
            <v>20</v>
          </cell>
          <cell r="I7593">
            <v>1431700000</v>
          </cell>
        </row>
        <row r="7594">
          <cell r="A7594" t="str">
            <v>Libyan Arab Jamahiriya</v>
          </cell>
          <cell r="B7594">
            <v>434</v>
          </cell>
          <cell r="C7594">
            <v>203</v>
          </cell>
          <cell r="D7594">
            <v>4</v>
          </cell>
          <cell r="E7594" t="str">
            <v>Compensation of employees</v>
          </cell>
          <cell r="F7594">
            <v>12</v>
          </cell>
          <cell r="G7594">
            <v>1978</v>
          </cell>
          <cell r="H7594">
            <v>20</v>
          </cell>
          <cell r="I7594">
            <v>1635400000</v>
          </cell>
        </row>
        <row r="7595">
          <cell r="A7595" t="str">
            <v>Libyan Arab Jamahiriya</v>
          </cell>
          <cell r="B7595">
            <v>434</v>
          </cell>
          <cell r="C7595">
            <v>203</v>
          </cell>
          <cell r="D7595">
            <v>4</v>
          </cell>
          <cell r="E7595" t="str">
            <v>Compensation of employees</v>
          </cell>
          <cell r="F7595">
            <v>12</v>
          </cell>
          <cell r="G7595">
            <v>1979</v>
          </cell>
          <cell r="H7595">
            <v>20</v>
          </cell>
          <cell r="I7595">
            <v>1848200000</v>
          </cell>
        </row>
        <row r="7596">
          <cell r="A7596" t="str">
            <v>Libyan Arab Jamahiriya</v>
          </cell>
          <cell r="B7596">
            <v>434</v>
          </cell>
          <cell r="C7596">
            <v>203</v>
          </cell>
          <cell r="D7596">
            <v>11</v>
          </cell>
          <cell r="E7596" t="str">
            <v>OPERATING SURPLUS, GROSS</v>
          </cell>
          <cell r="F7596">
            <v>12</v>
          </cell>
          <cell r="G7596">
            <v>1971</v>
          </cell>
          <cell r="H7596">
            <v>20</v>
          </cell>
          <cell r="I7596">
            <v>1171000000</v>
          </cell>
        </row>
        <row r="7597">
          <cell r="A7597" t="str">
            <v>Libyan Arab Jamahiriya</v>
          </cell>
          <cell r="B7597">
            <v>434</v>
          </cell>
          <cell r="C7597">
            <v>203</v>
          </cell>
          <cell r="D7597">
            <v>11</v>
          </cell>
          <cell r="E7597" t="str">
            <v>OPERATING SURPLUS, GROSS</v>
          </cell>
          <cell r="F7597">
            <v>12</v>
          </cell>
          <cell r="G7597">
            <v>1972</v>
          </cell>
          <cell r="H7597">
            <v>20</v>
          </cell>
          <cell r="I7597">
            <v>1234800000</v>
          </cell>
        </row>
        <row r="7598">
          <cell r="A7598" t="str">
            <v>Libyan Arab Jamahiriya</v>
          </cell>
          <cell r="B7598">
            <v>434</v>
          </cell>
          <cell r="C7598">
            <v>203</v>
          </cell>
          <cell r="D7598">
            <v>11</v>
          </cell>
          <cell r="E7598" t="str">
            <v>OPERATING SURPLUS, GROSS</v>
          </cell>
          <cell r="F7598">
            <v>12</v>
          </cell>
          <cell r="G7598">
            <v>1973</v>
          </cell>
          <cell r="H7598">
            <v>20</v>
          </cell>
          <cell r="I7598">
            <v>1556400000</v>
          </cell>
        </row>
        <row r="7599">
          <cell r="A7599" t="str">
            <v>Libyan Arab Jamahiriya</v>
          </cell>
          <cell r="B7599">
            <v>434</v>
          </cell>
          <cell r="C7599">
            <v>203</v>
          </cell>
          <cell r="D7599">
            <v>11</v>
          </cell>
          <cell r="E7599" t="str">
            <v>OPERATING SURPLUS, GROSS</v>
          </cell>
          <cell r="F7599">
            <v>12</v>
          </cell>
          <cell r="G7599">
            <v>1974</v>
          </cell>
          <cell r="H7599">
            <v>20</v>
          </cell>
          <cell r="I7599">
            <v>2951200000</v>
          </cell>
        </row>
        <row r="7600">
          <cell r="A7600" t="str">
            <v>Libyan Arab Jamahiriya</v>
          </cell>
          <cell r="B7600">
            <v>434</v>
          </cell>
          <cell r="C7600">
            <v>203</v>
          </cell>
          <cell r="D7600">
            <v>11</v>
          </cell>
          <cell r="E7600" t="str">
            <v>OPERATING SURPLUS, GROSS</v>
          </cell>
          <cell r="F7600">
            <v>12</v>
          </cell>
          <cell r="G7600">
            <v>1975</v>
          </cell>
          <cell r="H7600">
            <v>20</v>
          </cell>
          <cell r="I7600">
            <v>2626100000</v>
          </cell>
        </row>
        <row r="7601">
          <cell r="A7601" t="str">
            <v>Libyan Arab Jamahiriya</v>
          </cell>
          <cell r="B7601">
            <v>434</v>
          </cell>
          <cell r="C7601">
            <v>203</v>
          </cell>
          <cell r="D7601">
            <v>11</v>
          </cell>
          <cell r="E7601" t="str">
            <v>OPERATING SURPLUS, GROSS</v>
          </cell>
          <cell r="F7601">
            <v>12</v>
          </cell>
          <cell r="G7601">
            <v>1976</v>
          </cell>
          <cell r="H7601">
            <v>20</v>
          </cell>
          <cell r="I7601">
            <v>3546700000</v>
          </cell>
        </row>
        <row r="7602">
          <cell r="A7602" t="str">
            <v>Libyan Arab Jamahiriya</v>
          </cell>
          <cell r="B7602">
            <v>434</v>
          </cell>
          <cell r="C7602">
            <v>203</v>
          </cell>
          <cell r="D7602">
            <v>11</v>
          </cell>
          <cell r="E7602" t="str">
            <v>OPERATING SURPLUS, GROSS</v>
          </cell>
          <cell r="F7602">
            <v>12</v>
          </cell>
          <cell r="G7602">
            <v>1977</v>
          </cell>
          <cell r="H7602">
            <v>20</v>
          </cell>
          <cell r="I7602">
            <v>4181000000</v>
          </cell>
        </row>
        <row r="7603">
          <cell r="A7603" t="str">
            <v>Libyan Arab Jamahiriya</v>
          </cell>
          <cell r="B7603">
            <v>434</v>
          </cell>
          <cell r="C7603">
            <v>203</v>
          </cell>
          <cell r="D7603">
            <v>11</v>
          </cell>
          <cell r="E7603" t="str">
            <v>OPERATING SURPLUS, GROSS</v>
          </cell>
          <cell r="F7603">
            <v>12</v>
          </cell>
          <cell r="G7603">
            <v>1978</v>
          </cell>
          <cell r="H7603">
            <v>20</v>
          </cell>
          <cell r="I7603">
            <v>3860700000</v>
          </cell>
        </row>
        <row r="7604">
          <cell r="A7604" t="str">
            <v>Libyan Arab Jamahiriya</v>
          </cell>
          <cell r="B7604">
            <v>434</v>
          </cell>
          <cell r="C7604">
            <v>203</v>
          </cell>
          <cell r="D7604">
            <v>11</v>
          </cell>
          <cell r="E7604" t="str">
            <v>OPERATING SURPLUS, GROSS</v>
          </cell>
          <cell r="F7604">
            <v>12</v>
          </cell>
          <cell r="G7604">
            <v>1979</v>
          </cell>
          <cell r="H7604">
            <v>20</v>
          </cell>
          <cell r="I7604">
            <v>5754800000</v>
          </cell>
        </row>
        <row r="7605">
          <cell r="A7605" t="str">
            <v>Netherlands</v>
          </cell>
          <cell r="B7605">
            <v>528</v>
          </cell>
          <cell r="C7605">
            <v>203</v>
          </cell>
          <cell r="D7605">
            <v>11</v>
          </cell>
          <cell r="E7605" t="str">
            <v>OPERATING SURPLUS, GROSS</v>
          </cell>
          <cell r="F7605">
            <v>12</v>
          </cell>
          <cell r="G7605">
            <v>1969</v>
          </cell>
          <cell r="H7605">
            <v>200</v>
          </cell>
          <cell r="I7605">
            <v>20185000000</v>
          </cell>
        </row>
        <row r="7606">
          <cell r="A7606" t="str">
            <v>Netherlands</v>
          </cell>
          <cell r="B7606">
            <v>528</v>
          </cell>
          <cell r="C7606">
            <v>203</v>
          </cell>
          <cell r="D7606">
            <v>11</v>
          </cell>
          <cell r="E7606" t="str">
            <v>OPERATING SURPLUS, GROSS</v>
          </cell>
          <cell r="F7606">
            <v>12</v>
          </cell>
          <cell r="G7606">
            <v>1970</v>
          </cell>
          <cell r="H7606">
            <v>200</v>
          </cell>
          <cell r="I7606">
            <v>22052000000</v>
          </cell>
        </row>
        <row r="7607">
          <cell r="A7607" t="str">
            <v>Netherlands</v>
          </cell>
          <cell r="B7607">
            <v>528</v>
          </cell>
          <cell r="C7607">
            <v>203</v>
          </cell>
          <cell r="D7607">
            <v>11</v>
          </cell>
          <cell r="E7607" t="str">
            <v>OPERATING SURPLUS, GROSS</v>
          </cell>
          <cell r="F7607">
            <v>12</v>
          </cell>
          <cell r="G7607">
            <v>1971</v>
          </cell>
          <cell r="H7607">
            <v>200</v>
          </cell>
          <cell r="I7607">
            <v>24076000000</v>
          </cell>
        </row>
        <row r="7608">
          <cell r="A7608" t="str">
            <v>Netherlands</v>
          </cell>
          <cell r="B7608">
            <v>528</v>
          </cell>
          <cell r="C7608">
            <v>203</v>
          </cell>
          <cell r="D7608">
            <v>11</v>
          </cell>
          <cell r="E7608" t="str">
            <v>OPERATING SURPLUS, GROSS</v>
          </cell>
          <cell r="F7608">
            <v>12</v>
          </cell>
          <cell r="G7608">
            <v>1972</v>
          </cell>
          <cell r="H7608">
            <v>200</v>
          </cell>
          <cell r="I7608">
            <v>27265000000</v>
          </cell>
        </row>
        <row r="7609">
          <cell r="A7609" t="str">
            <v>Netherlands</v>
          </cell>
          <cell r="B7609">
            <v>528</v>
          </cell>
          <cell r="C7609">
            <v>203</v>
          </cell>
          <cell r="D7609">
            <v>11</v>
          </cell>
          <cell r="E7609" t="str">
            <v>OPERATING SURPLUS, GROSS</v>
          </cell>
          <cell r="F7609">
            <v>12</v>
          </cell>
          <cell r="G7609">
            <v>1973</v>
          </cell>
          <cell r="H7609">
            <v>200</v>
          </cell>
          <cell r="I7609">
            <v>31079000000</v>
          </cell>
        </row>
        <row r="7610">
          <cell r="A7610" t="str">
            <v>Netherlands</v>
          </cell>
          <cell r="B7610">
            <v>528</v>
          </cell>
          <cell r="C7610">
            <v>203</v>
          </cell>
          <cell r="D7610">
            <v>11</v>
          </cell>
          <cell r="E7610" t="str">
            <v>OPERATING SURPLUS, GROSS</v>
          </cell>
          <cell r="F7610">
            <v>12</v>
          </cell>
          <cell r="G7610">
            <v>1974</v>
          </cell>
          <cell r="H7610">
            <v>200</v>
          </cell>
          <cell r="I7610">
            <v>34684000000</v>
          </cell>
        </row>
        <row r="7611">
          <cell r="A7611" t="str">
            <v>Netherlands</v>
          </cell>
          <cell r="B7611">
            <v>528</v>
          </cell>
          <cell r="C7611">
            <v>203</v>
          </cell>
          <cell r="D7611">
            <v>11</v>
          </cell>
          <cell r="E7611" t="str">
            <v>OPERATING SURPLUS, GROSS</v>
          </cell>
          <cell r="F7611">
            <v>12</v>
          </cell>
          <cell r="G7611">
            <v>1975</v>
          </cell>
          <cell r="H7611">
            <v>200</v>
          </cell>
          <cell r="I7611">
            <v>36883000000</v>
          </cell>
        </row>
        <row r="7612">
          <cell r="A7612" t="str">
            <v>Netherlands</v>
          </cell>
          <cell r="B7612">
            <v>528</v>
          </cell>
          <cell r="C7612">
            <v>203</v>
          </cell>
          <cell r="D7612">
            <v>11</v>
          </cell>
          <cell r="E7612" t="str">
            <v>OPERATING SURPLUS, GROSS</v>
          </cell>
          <cell r="F7612">
            <v>12</v>
          </cell>
          <cell r="G7612">
            <v>1976</v>
          </cell>
          <cell r="H7612">
            <v>200</v>
          </cell>
          <cell r="I7612">
            <v>43339000000</v>
          </cell>
        </row>
        <row r="7613">
          <cell r="A7613" t="str">
            <v>Netherlands</v>
          </cell>
          <cell r="B7613">
            <v>528</v>
          </cell>
          <cell r="C7613">
            <v>203</v>
          </cell>
          <cell r="D7613">
            <v>11</v>
          </cell>
          <cell r="E7613" t="str">
            <v>OPERATING SURPLUS, GROSS</v>
          </cell>
          <cell r="F7613">
            <v>12</v>
          </cell>
          <cell r="G7613">
            <v>1977</v>
          </cell>
          <cell r="H7613">
            <v>200</v>
          </cell>
          <cell r="I7613">
            <v>46288000000</v>
          </cell>
        </row>
        <row r="7614">
          <cell r="A7614" t="str">
            <v>Netherlands</v>
          </cell>
          <cell r="B7614">
            <v>528</v>
          </cell>
          <cell r="C7614">
            <v>203</v>
          </cell>
          <cell r="D7614">
            <v>11</v>
          </cell>
          <cell r="E7614" t="str">
            <v>OPERATING SURPLUS, GROSS</v>
          </cell>
          <cell r="F7614">
            <v>12</v>
          </cell>
          <cell r="G7614">
            <v>1978</v>
          </cell>
          <cell r="H7614">
            <v>200</v>
          </cell>
          <cell r="I7614">
            <v>50431000000</v>
          </cell>
        </row>
        <row r="7615">
          <cell r="A7615" t="str">
            <v>Netherlands</v>
          </cell>
          <cell r="B7615">
            <v>528</v>
          </cell>
          <cell r="C7615">
            <v>203</v>
          </cell>
          <cell r="D7615">
            <v>11</v>
          </cell>
          <cell r="E7615" t="str">
            <v>OPERATING SURPLUS, GROSS</v>
          </cell>
          <cell r="F7615">
            <v>12</v>
          </cell>
          <cell r="G7615">
            <v>1979</v>
          </cell>
          <cell r="H7615">
            <v>200</v>
          </cell>
          <cell r="I7615">
            <v>52690000000</v>
          </cell>
        </row>
        <row r="7616">
          <cell r="A7616" t="str">
            <v>Netherlands</v>
          </cell>
          <cell r="B7616">
            <v>528</v>
          </cell>
          <cell r="C7616">
            <v>203</v>
          </cell>
          <cell r="D7616">
            <v>11</v>
          </cell>
          <cell r="E7616" t="str">
            <v>OPERATING SURPLUS, GROSS</v>
          </cell>
          <cell r="F7616">
            <v>12</v>
          </cell>
          <cell r="G7616">
            <v>1980</v>
          </cell>
          <cell r="H7616">
            <v>200</v>
          </cell>
          <cell r="I7616">
            <v>57804000000</v>
          </cell>
        </row>
        <row r="7617">
          <cell r="A7617" t="str">
            <v>Netherlands</v>
          </cell>
          <cell r="B7617">
            <v>528</v>
          </cell>
          <cell r="C7617">
            <v>203</v>
          </cell>
          <cell r="D7617">
            <v>11</v>
          </cell>
          <cell r="E7617" t="str">
            <v>OPERATING SURPLUS, GROSS</v>
          </cell>
          <cell r="F7617">
            <v>12</v>
          </cell>
          <cell r="G7617">
            <v>1981</v>
          </cell>
          <cell r="H7617">
            <v>200</v>
          </cell>
          <cell r="I7617">
            <v>63565000000</v>
          </cell>
        </row>
        <row r="7618">
          <cell r="A7618" t="str">
            <v>Netherlands</v>
          </cell>
          <cell r="B7618">
            <v>528</v>
          </cell>
          <cell r="C7618">
            <v>203</v>
          </cell>
          <cell r="D7618">
            <v>11</v>
          </cell>
          <cell r="E7618" t="str">
            <v>OPERATING SURPLUS, GROSS</v>
          </cell>
          <cell r="F7618">
            <v>12</v>
          </cell>
          <cell r="G7618">
            <v>1982</v>
          </cell>
          <cell r="H7618">
            <v>200</v>
          </cell>
          <cell r="I7618">
            <v>67753000000</v>
          </cell>
        </row>
        <row r="7619">
          <cell r="A7619" t="str">
            <v>Netherlands</v>
          </cell>
          <cell r="B7619">
            <v>528</v>
          </cell>
          <cell r="C7619">
            <v>203</v>
          </cell>
          <cell r="D7619">
            <v>11</v>
          </cell>
          <cell r="E7619" t="str">
            <v>OPERATING SURPLUS, GROSS</v>
          </cell>
          <cell r="F7619">
            <v>12</v>
          </cell>
          <cell r="G7619">
            <v>1983</v>
          </cell>
          <cell r="H7619">
            <v>200</v>
          </cell>
          <cell r="I7619">
            <v>74007000000</v>
          </cell>
        </row>
        <row r="7620">
          <cell r="A7620" t="str">
            <v>Luxembourg</v>
          </cell>
          <cell r="B7620">
            <v>442</v>
          </cell>
          <cell r="C7620">
            <v>201</v>
          </cell>
          <cell r="D7620">
            <v>13</v>
          </cell>
          <cell r="E7620" t="str">
            <v>Less: Financial intermediation services indirectly measured (FISIM) (only to be deducted if FISIM is not distributed to uses)</v>
          </cell>
          <cell r="F7620">
            <v>0</v>
          </cell>
          <cell r="G7620">
            <v>1970</v>
          </cell>
          <cell r="H7620">
            <v>200</v>
          </cell>
          <cell r="I7620">
            <v>58603057.479820102</v>
          </cell>
        </row>
        <row r="7621">
          <cell r="A7621" t="str">
            <v>Luxembourg</v>
          </cell>
          <cell r="B7621">
            <v>442</v>
          </cell>
          <cell r="C7621">
            <v>201</v>
          </cell>
          <cell r="D7621">
            <v>13</v>
          </cell>
          <cell r="E7621" t="str">
            <v>Less: Financial intermediation services indirectly measured (FISIM) (only to be deducted if FISIM is not distributed to uses)</v>
          </cell>
          <cell r="F7621">
            <v>0</v>
          </cell>
          <cell r="G7621">
            <v>1971</v>
          </cell>
          <cell r="H7621">
            <v>200</v>
          </cell>
          <cell r="I7621">
            <v>76347811.228548393</v>
          </cell>
        </row>
        <row r="7622">
          <cell r="A7622" t="str">
            <v>Netherlands</v>
          </cell>
          <cell r="B7622">
            <v>528</v>
          </cell>
          <cell r="C7622">
            <v>203</v>
          </cell>
          <cell r="D7622">
            <v>11</v>
          </cell>
          <cell r="E7622" t="str">
            <v>OPERATING SURPLUS, GROSS</v>
          </cell>
          <cell r="F7622">
            <v>12</v>
          </cell>
          <cell r="G7622">
            <v>1984</v>
          </cell>
          <cell r="H7622">
            <v>200</v>
          </cell>
          <cell r="I7622">
            <v>80637000000</v>
          </cell>
        </row>
        <row r="7623">
          <cell r="A7623" t="str">
            <v>Netherlands</v>
          </cell>
          <cell r="B7623">
            <v>528</v>
          </cell>
          <cell r="C7623">
            <v>203</v>
          </cell>
          <cell r="D7623">
            <v>11</v>
          </cell>
          <cell r="E7623" t="str">
            <v>OPERATING SURPLUS, GROSS</v>
          </cell>
          <cell r="F7623">
            <v>12</v>
          </cell>
          <cell r="G7623">
            <v>1985</v>
          </cell>
          <cell r="H7623">
            <v>200</v>
          </cell>
          <cell r="I7623">
            <v>85265000000</v>
          </cell>
        </row>
        <row r="7624">
          <cell r="A7624" t="str">
            <v>Netherlands</v>
          </cell>
          <cell r="B7624">
            <v>528</v>
          </cell>
          <cell r="C7624">
            <v>203</v>
          </cell>
          <cell r="D7624">
            <v>11</v>
          </cell>
          <cell r="E7624" t="str">
            <v>OPERATING SURPLUS, GROSS</v>
          </cell>
          <cell r="F7624">
            <v>12</v>
          </cell>
          <cell r="G7624">
            <v>1986</v>
          </cell>
          <cell r="H7624">
            <v>200</v>
          </cell>
          <cell r="I7624">
            <v>86132000000</v>
          </cell>
        </row>
        <row r="7625">
          <cell r="A7625" t="str">
            <v>Netherlands</v>
          </cell>
          <cell r="B7625">
            <v>528</v>
          </cell>
          <cell r="C7625">
            <v>203</v>
          </cell>
          <cell r="D7625">
            <v>11</v>
          </cell>
          <cell r="E7625" t="str">
            <v>OPERATING SURPLUS, GROSS</v>
          </cell>
          <cell r="F7625">
            <v>12</v>
          </cell>
          <cell r="G7625">
            <v>1987</v>
          </cell>
          <cell r="H7625">
            <v>200</v>
          </cell>
          <cell r="I7625">
            <v>84636000000</v>
          </cell>
        </row>
        <row r="7626">
          <cell r="A7626" t="str">
            <v>Netherlands</v>
          </cell>
          <cell r="B7626">
            <v>528</v>
          </cell>
          <cell r="C7626">
            <v>203</v>
          </cell>
          <cell r="D7626">
            <v>11</v>
          </cell>
          <cell r="E7626" t="str">
            <v>OPERATING SURPLUS, GROSS</v>
          </cell>
          <cell r="F7626">
            <v>12</v>
          </cell>
          <cell r="G7626">
            <v>1988</v>
          </cell>
          <cell r="H7626">
            <v>200</v>
          </cell>
          <cell r="I7626">
            <v>89427000000</v>
          </cell>
        </row>
        <row r="7627">
          <cell r="A7627" t="str">
            <v>Netherlands</v>
          </cell>
          <cell r="B7627">
            <v>528</v>
          </cell>
          <cell r="C7627">
            <v>203</v>
          </cell>
          <cell r="D7627">
            <v>11</v>
          </cell>
          <cell r="E7627" t="str">
            <v>OPERATING SURPLUS, GROSS</v>
          </cell>
          <cell r="F7627">
            <v>12</v>
          </cell>
          <cell r="G7627">
            <v>1989</v>
          </cell>
          <cell r="H7627">
            <v>200</v>
          </cell>
          <cell r="I7627">
            <v>97629000000</v>
          </cell>
        </row>
        <row r="7628">
          <cell r="A7628" t="str">
            <v>Netherlands</v>
          </cell>
          <cell r="B7628">
            <v>528</v>
          </cell>
          <cell r="C7628">
            <v>203</v>
          </cell>
          <cell r="D7628">
            <v>11</v>
          </cell>
          <cell r="E7628" t="str">
            <v>OPERATING SURPLUS, GROSS</v>
          </cell>
          <cell r="F7628">
            <v>12</v>
          </cell>
          <cell r="G7628">
            <v>1990</v>
          </cell>
          <cell r="H7628">
            <v>200</v>
          </cell>
          <cell r="I7628">
            <v>102141000000</v>
          </cell>
        </row>
        <row r="7629">
          <cell r="A7629" t="str">
            <v>Netherlands</v>
          </cell>
          <cell r="B7629">
            <v>528</v>
          </cell>
          <cell r="C7629">
            <v>203</v>
          </cell>
          <cell r="D7629">
            <v>11</v>
          </cell>
          <cell r="E7629" t="str">
            <v>OPERATING SURPLUS, GROSS</v>
          </cell>
          <cell r="F7629">
            <v>12</v>
          </cell>
          <cell r="G7629">
            <v>1991</v>
          </cell>
          <cell r="H7629">
            <v>200</v>
          </cell>
          <cell r="I7629">
            <v>107151000000</v>
          </cell>
        </row>
        <row r="7630">
          <cell r="A7630" t="str">
            <v>Netherlands</v>
          </cell>
          <cell r="B7630">
            <v>528</v>
          </cell>
          <cell r="C7630">
            <v>203</v>
          </cell>
          <cell r="D7630">
            <v>11</v>
          </cell>
          <cell r="E7630" t="str">
            <v>OPERATING SURPLUS, GROSS</v>
          </cell>
          <cell r="F7630">
            <v>12</v>
          </cell>
          <cell r="G7630">
            <v>1992</v>
          </cell>
          <cell r="H7630">
            <v>200</v>
          </cell>
          <cell r="I7630">
            <v>107462000000</v>
          </cell>
        </row>
        <row r="7631">
          <cell r="A7631" t="str">
            <v>Netherlands</v>
          </cell>
          <cell r="B7631">
            <v>528</v>
          </cell>
          <cell r="C7631">
            <v>203</v>
          </cell>
          <cell r="D7631">
            <v>11</v>
          </cell>
          <cell r="E7631" t="str">
            <v>OPERATING SURPLUS, GROSS</v>
          </cell>
          <cell r="F7631">
            <v>12</v>
          </cell>
          <cell r="G7631">
            <v>1993</v>
          </cell>
          <cell r="H7631">
            <v>200</v>
          </cell>
          <cell r="I7631">
            <v>110462000000</v>
          </cell>
        </row>
        <row r="7632">
          <cell r="A7632" t="str">
            <v>Netherlands</v>
          </cell>
          <cell r="B7632">
            <v>528</v>
          </cell>
          <cell r="C7632">
            <v>203</v>
          </cell>
          <cell r="D7632">
            <v>11</v>
          </cell>
          <cell r="E7632" t="str">
            <v>OPERATING SURPLUS, GROSS</v>
          </cell>
          <cell r="F7632">
            <v>12</v>
          </cell>
          <cell r="G7632">
            <v>1994</v>
          </cell>
          <cell r="H7632">
            <v>200</v>
          </cell>
          <cell r="I7632">
            <v>118473000000</v>
          </cell>
        </row>
        <row r="7633">
          <cell r="A7633" t="str">
            <v>Netherlands</v>
          </cell>
          <cell r="B7633">
            <v>528</v>
          </cell>
          <cell r="C7633">
            <v>203</v>
          </cell>
          <cell r="D7633">
            <v>11</v>
          </cell>
          <cell r="E7633" t="str">
            <v>OPERATING SURPLUS, GROSS</v>
          </cell>
          <cell r="F7633">
            <v>12</v>
          </cell>
          <cell r="G7633">
            <v>1995</v>
          </cell>
          <cell r="H7633">
            <v>200</v>
          </cell>
          <cell r="I7633">
            <v>125431000000</v>
          </cell>
        </row>
        <row r="7634">
          <cell r="A7634" t="str">
            <v>Netherlands</v>
          </cell>
          <cell r="B7634">
            <v>528</v>
          </cell>
          <cell r="C7634">
            <v>203</v>
          </cell>
          <cell r="D7634">
            <v>11</v>
          </cell>
          <cell r="E7634" t="str">
            <v>OPERATING SURPLUS, GROSS</v>
          </cell>
          <cell r="F7634">
            <v>12</v>
          </cell>
          <cell r="G7634">
            <v>1996</v>
          </cell>
          <cell r="H7634">
            <v>200</v>
          </cell>
          <cell r="I7634">
            <v>130449000000</v>
          </cell>
        </row>
        <row r="7635">
          <cell r="A7635" t="str">
            <v>Netherlands</v>
          </cell>
          <cell r="B7635">
            <v>528</v>
          </cell>
          <cell r="C7635">
            <v>203</v>
          </cell>
          <cell r="D7635">
            <v>11</v>
          </cell>
          <cell r="E7635" t="str">
            <v>OPERATING SURPLUS, GROSS</v>
          </cell>
          <cell r="F7635">
            <v>12</v>
          </cell>
          <cell r="G7635">
            <v>1997</v>
          </cell>
          <cell r="H7635">
            <v>200</v>
          </cell>
          <cell r="I7635">
            <v>139165000000</v>
          </cell>
        </row>
        <row r="7636">
          <cell r="A7636" t="str">
            <v>Netherlands</v>
          </cell>
          <cell r="B7636">
            <v>528</v>
          </cell>
          <cell r="C7636">
            <v>203</v>
          </cell>
          <cell r="D7636">
            <v>11</v>
          </cell>
          <cell r="E7636" t="str">
            <v>OPERATING SURPLUS, GROSS</v>
          </cell>
          <cell r="F7636">
            <v>12</v>
          </cell>
          <cell r="G7636">
            <v>1998</v>
          </cell>
          <cell r="H7636">
            <v>200</v>
          </cell>
          <cell r="I7636">
            <v>145241000000</v>
          </cell>
        </row>
        <row r="7637">
          <cell r="A7637" t="str">
            <v>Netherlands</v>
          </cell>
          <cell r="B7637">
            <v>528</v>
          </cell>
          <cell r="C7637">
            <v>203</v>
          </cell>
          <cell r="D7637">
            <v>11</v>
          </cell>
          <cell r="E7637" t="str">
            <v>OPERATING SURPLUS, GROSS</v>
          </cell>
          <cell r="F7637">
            <v>12</v>
          </cell>
          <cell r="G7637">
            <v>1999</v>
          </cell>
          <cell r="H7637">
            <v>200</v>
          </cell>
          <cell r="I7637">
            <v>151114000000</v>
          </cell>
        </row>
        <row r="7638">
          <cell r="A7638" t="str">
            <v>Netherlands</v>
          </cell>
          <cell r="B7638">
            <v>528</v>
          </cell>
          <cell r="C7638">
            <v>203</v>
          </cell>
          <cell r="D7638">
            <v>11</v>
          </cell>
          <cell r="E7638" t="str">
            <v>OPERATING SURPLUS, GROSS</v>
          </cell>
          <cell r="F7638">
            <v>12</v>
          </cell>
          <cell r="G7638">
            <v>2000</v>
          </cell>
          <cell r="H7638">
            <v>200</v>
          </cell>
          <cell r="I7638">
            <v>164521000000</v>
          </cell>
        </row>
        <row r="7639">
          <cell r="A7639" t="str">
            <v>Netherlands</v>
          </cell>
          <cell r="B7639">
            <v>528</v>
          </cell>
          <cell r="C7639">
            <v>203</v>
          </cell>
          <cell r="D7639">
            <v>11</v>
          </cell>
          <cell r="E7639" t="str">
            <v>OPERATING SURPLUS, GROSS</v>
          </cell>
          <cell r="F7639">
            <v>12</v>
          </cell>
          <cell r="G7639">
            <v>2001</v>
          </cell>
          <cell r="H7639">
            <v>200</v>
          </cell>
          <cell r="I7639">
            <v>172201000000</v>
          </cell>
        </row>
        <row r="7640">
          <cell r="A7640" t="str">
            <v>Netherlands</v>
          </cell>
          <cell r="B7640">
            <v>528</v>
          </cell>
          <cell r="C7640">
            <v>203</v>
          </cell>
          <cell r="D7640">
            <v>11</v>
          </cell>
          <cell r="E7640" t="str">
            <v>OPERATING SURPLUS, GROSS</v>
          </cell>
          <cell r="F7640">
            <v>12</v>
          </cell>
          <cell r="G7640">
            <v>2002</v>
          </cell>
          <cell r="H7640">
            <v>200</v>
          </cell>
          <cell r="I7640">
            <v>177184000000</v>
          </cell>
        </row>
        <row r="7641">
          <cell r="A7641" t="str">
            <v>Luxembourg</v>
          </cell>
          <cell r="B7641">
            <v>442</v>
          </cell>
          <cell r="C7641">
            <v>201</v>
          </cell>
          <cell r="D7641">
            <v>13</v>
          </cell>
          <cell r="E7641" t="str">
            <v>Less: Financial intermediation services indirectly measured (FISIM) (only to be deducted if FISIM is not distributed to uses)</v>
          </cell>
          <cell r="F7641">
            <v>0</v>
          </cell>
          <cell r="G7641">
            <v>1972</v>
          </cell>
          <cell r="H7641">
            <v>200</v>
          </cell>
          <cell r="I7641">
            <v>129430838.77801099</v>
          </cell>
        </row>
        <row r="7642">
          <cell r="A7642" t="str">
            <v>Luxembourg</v>
          </cell>
          <cell r="B7642">
            <v>442</v>
          </cell>
          <cell r="C7642">
            <v>201</v>
          </cell>
          <cell r="D7642">
            <v>13</v>
          </cell>
          <cell r="E7642" t="str">
            <v>Less: Financial intermediation services indirectly measured (FISIM) (only to be deducted if FISIM is not distributed to uses)</v>
          </cell>
          <cell r="F7642">
            <v>0</v>
          </cell>
          <cell r="G7642">
            <v>1973</v>
          </cell>
          <cell r="H7642">
            <v>200</v>
          </cell>
          <cell r="I7642">
            <v>125801230.05667999</v>
          </cell>
        </row>
        <row r="7643">
          <cell r="A7643" t="str">
            <v>Luxembourg</v>
          </cell>
          <cell r="B7643">
            <v>442</v>
          </cell>
          <cell r="C7643">
            <v>201</v>
          </cell>
          <cell r="D7643">
            <v>13</v>
          </cell>
          <cell r="E7643" t="str">
            <v>Less: Financial intermediation services indirectly measured (FISIM) (only to be deducted if FISIM is not distributed to uses)</v>
          </cell>
          <cell r="F7643">
            <v>0</v>
          </cell>
          <cell r="G7643">
            <v>1974</v>
          </cell>
          <cell r="H7643">
            <v>200</v>
          </cell>
          <cell r="I7643">
            <v>162677046.44075701</v>
          </cell>
        </row>
        <row r="7644">
          <cell r="A7644" t="str">
            <v>Luxembourg</v>
          </cell>
          <cell r="B7644">
            <v>442</v>
          </cell>
          <cell r="C7644">
            <v>201</v>
          </cell>
          <cell r="D7644">
            <v>13</v>
          </cell>
          <cell r="E7644" t="str">
            <v>Less: Financial intermediation services indirectly measured (FISIM) (only to be deducted if FISIM is not distributed to uses)</v>
          </cell>
          <cell r="F7644">
            <v>0</v>
          </cell>
          <cell r="G7644">
            <v>1975</v>
          </cell>
          <cell r="H7644">
            <v>200</v>
          </cell>
          <cell r="I7644">
            <v>303021916.99888098</v>
          </cell>
        </row>
        <row r="7645">
          <cell r="A7645" t="str">
            <v>Luxembourg</v>
          </cell>
          <cell r="B7645">
            <v>442</v>
          </cell>
          <cell r="C7645">
            <v>201</v>
          </cell>
          <cell r="D7645">
            <v>13</v>
          </cell>
          <cell r="E7645" t="str">
            <v>Less: Financial intermediation services indirectly measured (FISIM) (only to be deducted if FISIM is not distributed to uses)</v>
          </cell>
          <cell r="F7645">
            <v>0</v>
          </cell>
          <cell r="G7645">
            <v>1976</v>
          </cell>
          <cell r="H7645">
            <v>200</v>
          </cell>
          <cell r="I7645">
            <v>380327541.64000201</v>
          </cell>
        </row>
        <row r="7646">
          <cell r="A7646" t="str">
            <v>Luxembourg</v>
          </cell>
          <cell r="B7646">
            <v>442</v>
          </cell>
          <cell r="C7646">
            <v>201</v>
          </cell>
          <cell r="D7646">
            <v>13</v>
          </cell>
          <cell r="E7646" t="str">
            <v>Less: Financial intermediation services indirectly measured (FISIM) (only to be deducted if FISIM is not distributed to uses)</v>
          </cell>
          <cell r="F7646">
            <v>0</v>
          </cell>
          <cell r="G7646">
            <v>1977</v>
          </cell>
          <cell r="H7646">
            <v>200</v>
          </cell>
          <cell r="I7646">
            <v>445736115.47231799</v>
          </cell>
        </row>
        <row r="7647">
          <cell r="A7647" t="str">
            <v>Luxembourg</v>
          </cell>
          <cell r="B7647">
            <v>442</v>
          </cell>
          <cell r="C7647">
            <v>201</v>
          </cell>
          <cell r="D7647">
            <v>13</v>
          </cell>
          <cell r="E7647" t="str">
            <v>Less: Financial intermediation services indirectly measured (FISIM) (only to be deducted if FISIM is not distributed to uses)</v>
          </cell>
          <cell r="F7647">
            <v>0</v>
          </cell>
          <cell r="G7647">
            <v>1978</v>
          </cell>
          <cell r="H7647">
            <v>200</v>
          </cell>
          <cell r="I7647">
            <v>466505543.15548801</v>
          </cell>
        </row>
        <row r="7648">
          <cell r="A7648" t="str">
            <v>Luxembourg</v>
          </cell>
          <cell r="B7648">
            <v>442</v>
          </cell>
          <cell r="C7648">
            <v>201</v>
          </cell>
          <cell r="D7648">
            <v>13</v>
          </cell>
          <cell r="E7648" t="str">
            <v>Less: Financial intermediation services indirectly measured (FISIM) (only to be deducted if FISIM is not distributed to uses)</v>
          </cell>
          <cell r="F7648">
            <v>0</v>
          </cell>
          <cell r="G7648">
            <v>1979</v>
          </cell>
          <cell r="H7648">
            <v>200</v>
          </cell>
          <cell r="I7648">
            <v>411834561.790443</v>
          </cell>
        </row>
        <row r="7649">
          <cell r="A7649" t="str">
            <v>Luxembourg</v>
          </cell>
          <cell r="B7649">
            <v>442</v>
          </cell>
          <cell r="C7649">
            <v>201</v>
          </cell>
          <cell r="D7649">
            <v>13</v>
          </cell>
          <cell r="E7649" t="str">
            <v>Less: Financial intermediation services indirectly measured (FISIM) (only to be deducted if FISIM is not distributed to uses)</v>
          </cell>
          <cell r="F7649">
            <v>0</v>
          </cell>
          <cell r="G7649">
            <v>1980</v>
          </cell>
          <cell r="H7649">
            <v>200</v>
          </cell>
          <cell r="I7649">
            <v>374278193.77111799</v>
          </cell>
        </row>
        <row r="7650">
          <cell r="A7650" t="str">
            <v>Luxembourg</v>
          </cell>
          <cell r="B7650">
            <v>442</v>
          </cell>
          <cell r="C7650">
            <v>201</v>
          </cell>
          <cell r="D7650">
            <v>13</v>
          </cell>
          <cell r="E7650" t="str">
            <v>Less: Financial intermediation services indirectly measured (FISIM) (only to be deducted if FISIM is not distributed to uses)</v>
          </cell>
          <cell r="F7650">
            <v>0</v>
          </cell>
          <cell r="G7650">
            <v>1981</v>
          </cell>
          <cell r="H7650">
            <v>200</v>
          </cell>
          <cell r="I7650">
            <v>498667909.32505798</v>
          </cell>
        </row>
        <row r="7651">
          <cell r="A7651" t="str">
            <v>Luxembourg</v>
          </cell>
          <cell r="B7651">
            <v>442</v>
          </cell>
          <cell r="C7651">
            <v>201</v>
          </cell>
          <cell r="D7651">
            <v>13</v>
          </cell>
          <cell r="E7651" t="str">
            <v>Less: Financial intermediation services indirectly measured (FISIM) (only to be deducted if FISIM is not distributed to uses)</v>
          </cell>
          <cell r="F7651">
            <v>0</v>
          </cell>
          <cell r="G7651">
            <v>1982</v>
          </cell>
          <cell r="H7651">
            <v>200</v>
          </cell>
          <cell r="I7651">
            <v>969382790.37264597</v>
          </cell>
        </row>
        <row r="7652">
          <cell r="A7652" t="str">
            <v>Luxembourg</v>
          </cell>
          <cell r="B7652">
            <v>442</v>
          </cell>
          <cell r="C7652">
            <v>201</v>
          </cell>
          <cell r="D7652">
            <v>13</v>
          </cell>
          <cell r="E7652" t="str">
            <v>Less: Financial intermediation services indirectly measured (FISIM) (only to be deducted if FISIM is not distributed to uses)</v>
          </cell>
          <cell r="F7652">
            <v>0</v>
          </cell>
          <cell r="G7652">
            <v>1983</v>
          </cell>
          <cell r="H7652">
            <v>200</v>
          </cell>
          <cell r="I7652">
            <v>1280621738.2267599</v>
          </cell>
        </row>
        <row r="7653">
          <cell r="A7653" t="str">
            <v>Luxembourg</v>
          </cell>
          <cell r="B7653">
            <v>442</v>
          </cell>
          <cell r="C7653">
            <v>201</v>
          </cell>
          <cell r="D7653">
            <v>13</v>
          </cell>
          <cell r="E7653" t="str">
            <v>Less: Financial intermediation services indirectly measured (FISIM) (only to be deducted if FISIM is not distributed to uses)</v>
          </cell>
          <cell r="F7653">
            <v>0</v>
          </cell>
          <cell r="G7653">
            <v>1984</v>
          </cell>
          <cell r="H7653">
            <v>200</v>
          </cell>
          <cell r="I7653">
            <v>1226026373.7100799</v>
          </cell>
        </row>
        <row r="7654">
          <cell r="A7654" t="str">
            <v>Luxembourg</v>
          </cell>
          <cell r="B7654">
            <v>442</v>
          </cell>
          <cell r="C7654">
            <v>201</v>
          </cell>
          <cell r="D7654">
            <v>13</v>
          </cell>
          <cell r="E7654" t="str">
            <v>Less: Financial intermediation services indirectly measured (FISIM) (only to be deducted if FISIM is not distributed to uses)</v>
          </cell>
          <cell r="F7654">
            <v>0</v>
          </cell>
          <cell r="G7654">
            <v>1985</v>
          </cell>
          <cell r="H7654">
            <v>200</v>
          </cell>
          <cell r="I7654">
            <v>1283394356</v>
          </cell>
        </row>
        <row r="7655">
          <cell r="A7655" t="str">
            <v>Luxembourg</v>
          </cell>
          <cell r="B7655">
            <v>442</v>
          </cell>
          <cell r="C7655">
            <v>201</v>
          </cell>
          <cell r="D7655">
            <v>13</v>
          </cell>
          <cell r="E7655" t="str">
            <v>Less: Financial intermediation services indirectly measured (FISIM) (only to be deducted if FISIM is not distributed to uses)</v>
          </cell>
          <cell r="F7655">
            <v>0</v>
          </cell>
          <cell r="G7655">
            <v>1986</v>
          </cell>
          <cell r="H7655">
            <v>200</v>
          </cell>
          <cell r="I7655">
            <v>1235179066</v>
          </cell>
        </row>
        <row r="7656">
          <cell r="A7656" t="str">
            <v>Luxembourg</v>
          </cell>
          <cell r="B7656">
            <v>442</v>
          </cell>
          <cell r="C7656">
            <v>201</v>
          </cell>
          <cell r="D7656">
            <v>13</v>
          </cell>
          <cell r="E7656" t="str">
            <v>Less: Financial intermediation services indirectly measured (FISIM) (only to be deducted if FISIM is not distributed to uses)</v>
          </cell>
          <cell r="F7656">
            <v>0</v>
          </cell>
          <cell r="G7656">
            <v>1987</v>
          </cell>
          <cell r="H7656">
            <v>200</v>
          </cell>
          <cell r="I7656">
            <v>1200350026</v>
          </cell>
        </row>
        <row r="7657">
          <cell r="A7657" t="str">
            <v>Luxembourg</v>
          </cell>
          <cell r="B7657">
            <v>442</v>
          </cell>
          <cell r="C7657">
            <v>201</v>
          </cell>
          <cell r="D7657">
            <v>13</v>
          </cell>
          <cell r="E7657" t="str">
            <v>Less: Financial intermediation services indirectly measured (FISIM) (only to be deducted if FISIM is not distributed to uses)</v>
          </cell>
          <cell r="F7657">
            <v>0</v>
          </cell>
          <cell r="G7657">
            <v>1988</v>
          </cell>
          <cell r="H7657">
            <v>200</v>
          </cell>
          <cell r="I7657">
            <v>1143607198</v>
          </cell>
        </row>
        <row r="7658">
          <cell r="A7658" t="str">
            <v>Luxembourg</v>
          </cell>
          <cell r="B7658">
            <v>442</v>
          </cell>
          <cell r="C7658">
            <v>201</v>
          </cell>
          <cell r="D7658">
            <v>13</v>
          </cell>
          <cell r="E7658" t="str">
            <v>Less: Financial intermediation services indirectly measured (FISIM) (only to be deducted if FISIM is not distributed to uses)</v>
          </cell>
          <cell r="F7658">
            <v>0</v>
          </cell>
          <cell r="G7658">
            <v>1989</v>
          </cell>
          <cell r="H7658">
            <v>200</v>
          </cell>
          <cell r="I7658">
            <v>932724176</v>
          </cell>
        </row>
        <row r="7659">
          <cell r="A7659" t="str">
            <v>Luxembourg</v>
          </cell>
          <cell r="B7659">
            <v>442</v>
          </cell>
          <cell r="C7659">
            <v>201</v>
          </cell>
          <cell r="D7659">
            <v>13</v>
          </cell>
          <cell r="E7659" t="str">
            <v>Less: Financial intermediation services indirectly measured (FISIM) (only to be deducted if FISIM is not distributed to uses)</v>
          </cell>
          <cell r="F7659">
            <v>0</v>
          </cell>
          <cell r="G7659">
            <v>1990</v>
          </cell>
          <cell r="H7659">
            <v>200</v>
          </cell>
          <cell r="I7659">
            <v>948713309</v>
          </cell>
        </row>
        <row r="7660">
          <cell r="A7660" t="str">
            <v>Luxembourg</v>
          </cell>
          <cell r="B7660">
            <v>442</v>
          </cell>
          <cell r="C7660">
            <v>201</v>
          </cell>
          <cell r="D7660">
            <v>13</v>
          </cell>
          <cell r="E7660" t="str">
            <v>Less: Financial intermediation services indirectly measured (FISIM) (only to be deducted if FISIM is not distributed to uses)</v>
          </cell>
          <cell r="F7660">
            <v>0</v>
          </cell>
          <cell r="G7660">
            <v>1991</v>
          </cell>
          <cell r="H7660">
            <v>200</v>
          </cell>
          <cell r="I7660">
            <v>1092268449</v>
          </cell>
        </row>
        <row r="7661">
          <cell r="A7661" t="str">
            <v>Luxembourg</v>
          </cell>
          <cell r="B7661">
            <v>442</v>
          </cell>
          <cell r="C7661">
            <v>201</v>
          </cell>
          <cell r="D7661">
            <v>13</v>
          </cell>
          <cell r="E7661" t="str">
            <v>Less: Financial intermediation services indirectly measured (FISIM) (only to be deducted if FISIM is not distributed to uses)</v>
          </cell>
          <cell r="F7661">
            <v>0</v>
          </cell>
          <cell r="G7661">
            <v>1992</v>
          </cell>
          <cell r="H7661">
            <v>200</v>
          </cell>
          <cell r="I7661">
            <v>1245987224</v>
          </cell>
        </row>
        <row r="7662">
          <cell r="A7662" t="str">
            <v>Luxembourg</v>
          </cell>
          <cell r="B7662">
            <v>442</v>
          </cell>
          <cell r="C7662">
            <v>201</v>
          </cell>
          <cell r="D7662">
            <v>13</v>
          </cell>
          <cell r="E7662" t="str">
            <v>Less: Financial intermediation services indirectly measured (FISIM) (only to be deducted if FISIM is not distributed to uses)</v>
          </cell>
          <cell r="F7662">
            <v>0</v>
          </cell>
          <cell r="G7662">
            <v>1993</v>
          </cell>
          <cell r="H7662">
            <v>200</v>
          </cell>
          <cell r="I7662">
            <v>867280286</v>
          </cell>
        </row>
        <row r="7663">
          <cell r="A7663" t="str">
            <v>Luxembourg</v>
          </cell>
          <cell r="B7663">
            <v>442</v>
          </cell>
          <cell r="C7663">
            <v>201</v>
          </cell>
          <cell r="D7663">
            <v>13</v>
          </cell>
          <cell r="E7663" t="str">
            <v>Less: Financial intermediation services indirectly measured (FISIM) (only to be deducted if FISIM is not distributed to uses)</v>
          </cell>
          <cell r="F7663">
            <v>0</v>
          </cell>
          <cell r="G7663">
            <v>1994</v>
          </cell>
          <cell r="H7663">
            <v>200</v>
          </cell>
          <cell r="I7663">
            <v>2027025352</v>
          </cell>
        </row>
        <row r="7664">
          <cell r="A7664" t="str">
            <v>Luxembourg</v>
          </cell>
          <cell r="B7664">
            <v>442</v>
          </cell>
          <cell r="C7664">
            <v>201</v>
          </cell>
          <cell r="D7664">
            <v>13</v>
          </cell>
          <cell r="E7664" t="str">
            <v>Less: Financial intermediation services indirectly measured (FISIM) (only to be deducted if FISIM is not distributed to uses)</v>
          </cell>
          <cell r="F7664">
            <v>0</v>
          </cell>
          <cell r="G7664">
            <v>1995</v>
          </cell>
          <cell r="H7664">
            <v>200</v>
          </cell>
          <cell r="I7664">
            <v>2439445809</v>
          </cell>
        </row>
        <row r="7665">
          <cell r="A7665" t="str">
            <v>Luxembourg</v>
          </cell>
          <cell r="B7665">
            <v>442</v>
          </cell>
          <cell r="C7665">
            <v>201</v>
          </cell>
          <cell r="D7665">
            <v>13</v>
          </cell>
          <cell r="E7665" t="str">
            <v>Less: Financial intermediation services indirectly measured (FISIM) (only to be deducted if FISIM is not distributed to uses)</v>
          </cell>
          <cell r="F7665">
            <v>0</v>
          </cell>
          <cell r="G7665">
            <v>1996</v>
          </cell>
          <cell r="H7665">
            <v>200</v>
          </cell>
          <cell r="I7665">
            <v>3085580282</v>
          </cell>
        </row>
        <row r="7666">
          <cell r="A7666" t="str">
            <v>Luxembourg</v>
          </cell>
          <cell r="B7666">
            <v>442</v>
          </cell>
          <cell r="C7666">
            <v>201</v>
          </cell>
          <cell r="D7666">
            <v>13</v>
          </cell>
          <cell r="E7666" t="str">
            <v>Less: Financial intermediation services indirectly measured (FISIM) (only to be deducted if FISIM is not distributed to uses)</v>
          </cell>
          <cell r="F7666">
            <v>0</v>
          </cell>
          <cell r="G7666">
            <v>1997</v>
          </cell>
          <cell r="H7666">
            <v>200</v>
          </cell>
          <cell r="I7666">
            <v>2752113912</v>
          </cell>
        </row>
        <row r="7667">
          <cell r="A7667" t="str">
            <v>Luxembourg</v>
          </cell>
          <cell r="B7667">
            <v>442</v>
          </cell>
          <cell r="C7667">
            <v>201</v>
          </cell>
          <cell r="D7667">
            <v>13</v>
          </cell>
          <cell r="E7667" t="str">
            <v>Less: Financial intermediation services indirectly measured (FISIM) (only to be deducted if FISIM is not distributed to uses)</v>
          </cell>
          <cell r="F7667">
            <v>0</v>
          </cell>
          <cell r="G7667">
            <v>1998</v>
          </cell>
          <cell r="H7667">
            <v>200</v>
          </cell>
          <cell r="I7667">
            <v>2257368015</v>
          </cell>
        </row>
        <row r="7668">
          <cell r="A7668" t="str">
            <v>Luxembourg</v>
          </cell>
          <cell r="B7668">
            <v>442</v>
          </cell>
          <cell r="C7668">
            <v>201</v>
          </cell>
          <cell r="D7668">
            <v>13</v>
          </cell>
          <cell r="E7668" t="str">
            <v>Less: Financial intermediation services indirectly measured (FISIM) (only to be deducted if FISIM is not distributed to uses)</v>
          </cell>
          <cell r="F7668">
            <v>0</v>
          </cell>
          <cell r="G7668">
            <v>1999</v>
          </cell>
          <cell r="H7668">
            <v>200</v>
          </cell>
          <cell r="I7668">
            <v>2973656355</v>
          </cell>
        </row>
        <row r="7669">
          <cell r="A7669" t="str">
            <v>Luxembourg</v>
          </cell>
          <cell r="B7669">
            <v>442</v>
          </cell>
          <cell r="C7669">
            <v>201</v>
          </cell>
          <cell r="D7669">
            <v>13</v>
          </cell>
          <cell r="E7669" t="str">
            <v>Less: Financial intermediation services indirectly measured (FISIM) (only to be deducted if FISIM is not distributed to uses)</v>
          </cell>
          <cell r="F7669">
            <v>0</v>
          </cell>
          <cell r="G7669">
            <v>2000</v>
          </cell>
          <cell r="H7669">
            <v>200</v>
          </cell>
          <cell r="I7669">
            <v>2336421260</v>
          </cell>
        </row>
        <row r="7670">
          <cell r="A7670" t="str">
            <v>Luxembourg</v>
          </cell>
          <cell r="B7670">
            <v>442</v>
          </cell>
          <cell r="C7670">
            <v>201</v>
          </cell>
          <cell r="D7670">
            <v>13</v>
          </cell>
          <cell r="E7670" t="str">
            <v>Less: Financial intermediation services indirectly measured (FISIM) (only to be deducted if FISIM is not distributed to uses)</v>
          </cell>
          <cell r="F7670">
            <v>0</v>
          </cell>
          <cell r="G7670">
            <v>2001</v>
          </cell>
          <cell r="H7670">
            <v>200</v>
          </cell>
          <cell r="I7670">
            <v>3019442289</v>
          </cell>
        </row>
        <row r="7671">
          <cell r="A7671" t="str">
            <v>Luxembourg</v>
          </cell>
          <cell r="B7671">
            <v>442</v>
          </cell>
          <cell r="C7671">
            <v>201</v>
          </cell>
          <cell r="D7671">
            <v>13</v>
          </cell>
          <cell r="E7671" t="str">
            <v>Less: Financial intermediation services indirectly measured (FISIM) (only to be deducted if FISIM is not distributed to uses)</v>
          </cell>
          <cell r="F7671">
            <v>0</v>
          </cell>
          <cell r="G7671">
            <v>2002</v>
          </cell>
          <cell r="H7671">
            <v>200</v>
          </cell>
          <cell r="I7671">
            <v>4090962050</v>
          </cell>
        </row>
        <row r="7672">
          <cell r="A7672" t="str">
            <v>Luxembourg</v>
          </cell>
          <cell r="B7672">
            <v>442</v>
          </cell>
          <cell r="C7672">
            <v>201</v>
          </cell>
          <cell r="D7672">
            <v>13</v>
          </cell>
          <cell r="E7672" t="str">
            <v>Less: Financial intermediation services indirectly measured (FISIM) (only to be deducted if FISIM is not distributed to uses)</v>
          </cell>
          <cell r="F7672">
            <v>0</v>
          </cell>
          <cell r="G7672">
            <v>2003</v>
          </cell>
          <cell r="H7672">
            <v>200</v>
          </cell>
          <cell r="I7672">
            <v>5401847798</v>
          </cell>
        </row>
        <row r="7673">
          <cell r="A7673" t="str">
            <v>Luxembourg</v>
          </cell>
          <cell r="B7673">
            <v>442</v>
          </cell>
          <cell r="C7673">
            <v>203</v>
          </cell>
          <cell r="D7673">
            <v>3</v>
          </cell>
          <cell r="E7673" t="str">
            <v>Equals: VALUE ADDED, GROSS, at basic prices</v>
          </cell>
          <cell r="F7673">
            <v>12</v>
          </cell>
          <cell r="G7673">
            <v>1970</v>
          </cell>
          <cell r="H7673">
            <v>30</v>
          </cell>
          <cell r="I7673">
            <v>55236000000</v>
          </cell>
        </row>
        <row r="7674">
          <cell r="A7674" t="str">
            <v>Luxembourg</v>
          </cell>
          <cell r="B7674">
            <v>442</v>
          </cell>
          <cell r="C7674">
            <v>203</v>
          </cell>
          <cell r="D7674">
            <v>3</v>
          </cell>
          <cell r="E7674" t="str">
            <v>Equals: VALUE ADDED, GROSS, at basic prices</v>
          </cell>
          <cell r="F7674">
            <v>12</v>
          </cell>
          <cell r="G7674">
            <v>1971</v>
          </cell>
          <cell r="H7674">
            <v>30</v>
          </cell>
          <cell r="I7674">
            <v>55877000000</v>
          </cell>
        </row>
        <row r="7675">
          <cell r="A7675" t="str">
            <v>Luxembourg</v>
          </cell>
          <cell r="B7675">
            <v>442</v>
          </cell>
          <cell r="C7675">
            <v>203</v>
          </cell>
          <cell r="D7675">
            <v>3</v>
          </cell>
          <cell r="E7675" t="str">
            <v>Equals: VALUE ADDED, GROSS, at basic prices</v>
          </cell>
          <cell r="F7675">
            <v>12</v>
          </cell>
          <cell r="G7675">
            <v>1972</v>
          </cell>
          <cell r="H7675">
            <v>30</v>
          </cell>
          <cell r="I7675">
            <v>64217000000</v>
          </cell>
        </row>
        <row r="7676">
          <cell r="A7676" t="str">
            <v>Luxembourg</v>
          </cell>
          <cell r="B7676">
            <v>442</v>
          </cell>
          <cell r="C7676">
            <v>203</v>
          </cell>
          <cell r="D7676">
            <v>3</v>
          </cell>
          <cell r="E7676" t="str">
            <v>Equals: VALUE ADDED, GROSS, at basic prices</v>
          </cell>
          <cell r="F7676">
            <v>12</v>
          </cell>
          <cell r="G7676">
            <v>1973</v>
          </cell>
          <cell r="H7676">
            <v>30</v>
          </cell>
          <cell r="I7676">
            <v>76870000000</v>
          </cell>
        </row>
        <row r="7677">
          <cell r="A7677" t="str">
            <v>Luxembourg</v>
          </cell>
          <cell r="B7677">
            <v>442</v>
          </cell>
          <cell r="C7677">
            <v>203</v>
          </cell>
          <cell r="D7677">
            <v>3</v>
          </cell>
          <cell r="E7677" t="str">
            <v>Equals: VALUE ADDED, GROSS, at basic prices</v>
          </cell>
          <cell r="F7677">
            <v>12</v>
          </cell>
          <cell r="G7677">
            <v>1974</v>
          </cell>
          <cell r="H7677">
            <v>30</v>
          </cell>
          <cell r="I7677">
            <v>94976000000</v>
          </cell>
        </row>
        <row r="7678">
          <cell r="A7678" t="str">
            <v>Luxembourg</v>
          </cell>
          <cell r="B7678">
            <v>442</v>
          </cell>
          <cell r="C7678">
            <v>203</v>
          </cell>
          <cell r="D7678">
            <v>3</v>
          </cell>
          <cell r="E7678" t="str">
            <v>Equals: VALUE ADDED, GROSS, at basic prices</v>
          </cell>
          <cell r="F7678">
            <v>12</v>
          </cell>
          <cell r="G7678">
            <v>1975</v>
          </cell>
          <cell r="H7678">
            <v>30</v>
          </cell>
          <cell r="I7678">
            <v>92131000000</v>
          </cell>
        </row>
        <row r="7679">
          <cell r="A7679" t="str">
            <v>Luxembourg</v>
          </cell>
          <cell r="B7679">
            <v>442</v>
          </cell>
          <cell r="C7679">
            <v>203</v>
          </cell>
          <cell r="D7679">
            <v>3</v>
          </cell>
          <cell r="E7679" t="str">
            <v>Equals: VALUE ADDED, GROSS, at basic prices</v>
          </cell>
          <cell r="F7679">
            <v>12</v>
          </cell>
          <cell r="G7679">
            <v>1976</v>
          </cell>
          <cell r="H7679">
            <v>30</v>
          </cell>
          <cell r="I7679">
            <v>107696000000</v>
          </cell>
        </row>
        <row r="7680">
          <cell r="A7680" t="str">
            <v>Luxembourg</v>
          </cell>
          <cell r="B7680">
            <v>442</v>
          </cell>
          <cell r="C7680">
            <v>203</v>
          </cell>
          <cell r="D7680">
            <v>3</v>
          </cell>
          <cell r="E7680" t="str">
            <v>Equals: VALUE ADDED, GROSS, at basic prices</v>
          </cell>
          <cell r="F7680">
            <v>12</v>
          </cell>
          <cell r="G7680">
            <v>1977</v>
          </cell>
          <cell r="H7680">
            <v>30</v>
          </cell>
          <cell r="I7680">
            <v>112778000000</v>
          </cell>
        </row>
        <row r="7681">
          <cell r="A7681" t="str">
            <v>Luxembourg</v>
          </cell>
          <cell r="B7681">
            <v>442</v>
          </cell>
          <cell r="C7681">
            <v>203</v>
          </cell>
          <cell r="D7681">
            <v>3</v>
          </cell>
          <cell r="E7681" t="str">
            <v>Equals: VALUE ADDED, GROSS, at basic prices</v>
          </cell>
          <cell r="F7681">
            <v>12</v>
          </cell>
          <cell r="G7681">
            <v>1978</v>
          </cell>
          <cell r="H7681">
            <v>30</v>
          </cell>
          <cell r="I7681">
            <v>122458000000</v>
          </cell>
        </row>
        <row r="7682">
          <cell r="A7682" t="str">
            <v>Luxembourg</v>
          </cell>
          <cell r="B7682">
            <v>442</v>
          </cell>
          <cell r="C7682">
            <v>203</v>
          </cell>
          <cell r="D7682">
            <v>3</v>
          </cell>
          <cell r="E7682" t="str">
            <v>Equals: VALUE ADDED, GROSS, at basic prices</v>
          </cell>
          <cell r="F7682">
            <v>12</v>
          </cell>
          <cell r="G7682">
            <v>1979</v>
          </cell>
          <cell r="H7682">
            <v>30</v>
          </cell>
          <cell r="I7682">
            <v>129887000000</v>
          </cell>
        </row>
        <row r="7683">
          <cell r="A7683" t="str">
            <v>Luxembourg</v>
          </cell>
          <cell r="B7683">
            <v>442</v>
          </cell>
          <cell r="C7683">
            <v>203</v>
          </cell>
          <cell r="D7683">
            <v>3</v>
          </cell>
          <cell r="E7683" t="str">
            <v>Equals: VALUE ADDED, GROSS, at basic prices</v>
          </cell>
          <cell r="F7683">
            <v>12</v>
          </cell>
          <cell r="G7683">
            <v>1980</v>
          </cell>
          <cell r="H7683">
            <v>30</v>
          </cell>
          <cell r="I7683">
            <v>136784000000</v>
          </cell>
        </row>
        <row r="7684">
          <cell r="A7684" t="str">
            <v>Luxembourg</v>
          </cell>
          <cell r="B7684">
            <v>442</v>
          </cell>
          <cell r="C7684">
            <v>203</v>
          </cell>
          <cell r="D7684">
            <v>3</v>
          </cell>
          <cell r="E7684" t="str">
            <v>Equals: VALUE ADDED, GROSS, at basic prices</v>
          </cell>
          <cell r="F7684">
            <v>12</v>
          </cell>
          <cell r="G7684">
            <v>1981</v>
          </cell>
          <cell r="H7684">
            <v>30</v>
          </cell>
          <cell r="I7684">
            <v>149697000000</v>
          </cell>
        </row>
        <row r="7685">
          <cell r="A7685" t="str">
            <v>Luxembourg</v>
          </cell>
          <cell r="B7685">
            <v>442</v>
          </cell>
          <cell r="C7685">
            <v>203</v>
          </cell>
          <cell r="D7685">
            <v>3</v>
          </cell>
          <cell r="E7685" t="str">
            <v>Equals: VALUE ADDED, GROSS, at basic prices</v>
          </cell>
          <cell r="F7685">
            <v>12</v>
          </cell>
          <cell r="G7685">
            <v>1982</v>
          </cell>
          <cell r="H7685">
            <v>30</v>
          </cell>
          <cell r="I7685">
            <v>183662000000</v>
          </cell>
        </row>
        <row r="7686">
          <cell r="A7686" t="str">
            <v>Luxembourg</v>
          </cell>
          <cell r="B7686">
            <v>442</v>
          </cell>
          <cell r="C7686">
            <v>203</v>
          </cell>
          <cell r="D7686">
            <v>3</v>
          </cell>
          <cell r="E7686" t="str">
            <v>Equals: VALUE ADDED, GROSS, at basic prices</v>
          </cell>
          <cell r="F7686">
            <v>12</v>
          </cell>
          <cell r="G7686">
            <v>1983</v>
          </cell>
          <cell r="H7686">
            <v>30</v>
          </cell>
          <cell r="I7686">
            <v>208194000000</v>
          </cell>
        </row>
        <row r="7687">
          <cell r="A7687" t="str">
            <v>Luxembourg</v>
          </cell>
          <cell r="B7687">
            <v>442</v>
          </cell>
          <cell r="C7687">
            <v>203</v>
          </cell>
          <cell r="D7687">
            <v>3</v>
          </cell>
          <cell r="E7687" t="str">
            <v>Equals: VALUE ADDED, GROSS, at basic prices</v>
          </cell>
          <cell r="F7687">
            <v>12</v>
          </cell>
          <cell r="G7687">
            <v>1984</v>
          </cell>
          <cell r="H7687">
            <v>30</v>
          </cell>
          <cell r="I7687">
            <v>222543000000</v>
          </cell>
        </row>
        <row r="7688">
          <cell r="A7688" t="str">
            <v>Luxembourg</v>
          </cell>
          <cell r="B7688">
            <v>442</v>
          </cell>
          <cell r="C7688">
            <v>203</v>
          </cell>
          <cell r="D7688">
            <v>3</v>
          </cell>
          <cell r="E7688" t="str">
            <v>Equals: VALUE ADDED, GROSS, at basic prices</v>
          </cell>
          <cell r="F7688">
            <v>12</v>
          </cell>
          <cell r="G7688">
            <v>1985</v>
          </cell>
          <cell r="H7688">
            <v>30</v>
          </cell>
          <cell r="I7688">
            <v>254838000000</v>
          </cell>
        </row>
        <row r="7689">
          <cell r="A7689" t="str">
            <v>Luxembourg</v>
          </cell>
          <cell r="B7689">
            <v>442</v>
          </cell>
          <cell r="C7689">
            <v>203</v>
          </cell>
          <cell r="D7689">
            <v>3</v>
          </cell>
          <cell r="E7689" t="str">
            <v>Equals: VALUE ADDED, GROSS, at basic prices</v>
          </cell>
          <cell r="F7689">
            <v>12</v>
          </cell>
          <cell r="G7689">
            <v>1985</v>
          </cell>
          <cell r="H7689">
            <v>200</v>
          </cell>
          <cell r="I7689">
            <v>6577507629</v>
          </cell>
        </row>
        <row r="7690">
          <cell r="A7690" t="str">
            <v>Luxembourg</v>
          </cell>
          <cell r="B7690">
            <v>442</v>
          </cell>
          <cell r="C7690">
            <v>203</v>
          </cell>
          <cell r="D7690">
            <v>3</v>
          </cell>
          <cell r="E7690" t="str">
            <v>Equals: VALUE ADDED, GROSS, at basic prices</v>
          </cell>
          <cell r="F7690">
            <v>12</v>
          </cell>
          <cell r="G7690">
            <v>1986</v>
          </cell>
          <cell r="H7690">
            <v>200</v>
          </cell>
          <cell r="I7690">
            <v>7067246076</v>
          </cell>
        </row>
        <row r="7691">
          <cell r="A7691" t="str">
            <v>Luxembourg</v>
          </cell>
          <cell r="B7691">
            <v>442</v>
          </cell>
          <cell r="C7691">
            <v>203</v>
          </cell>
          <cell r="D7691">
            <v>3</v>
          </cell>
          <cell r="E7691" t="str">
            <v>Equals: VALUE ADDED, GROSS, at basic prices</v>
          </cell>
          <cell r="F7691">
            <v>12</v>
          </cell>
          <cell r="G7691">
            <v>1987</v>
          </cell>
          <cell r="H7691">
            <v>200</v>
          </cell>
          <cell r="I7691">
            <v>7240052653</v>
          </cell>
        </row>
        <row r="7692">
          <cell r="A7692" t="str">
            <v>Luxembourg</v>
          </cell>
          <cell r="B7692">
            <v>442</v>
          </cell>
          <cell r="C7692">
            <v>203</v>
          </cell>
          <cell r="D7692">
            <v>3</v>
          </cell>
          <cell r="E7692" t="str">
            <v>Equals: VALUE ADDED, GROSS, at basic prices</v>
          </cell>
          <cell r="F7692">
            <v>12</v>
          </cell>
          <cell r="G7692">
            <v>1988</v>
          </cell>
          <cell r="H7692">
            <v>200</v>
          </cell>
          <cell r="I7692">
            <v>7885988810</v>
          </cell>
        </row>
        <row r="7693">
          <cell r="A7693" t="str">
            <v>Luxembourg</v>
          </cell>
          <cell r="B7693">
            <v>442</v>
          </cell>
          <cell r="C7693">
            <v>203</v>
          </cell>
          <cell r="D7693">
            <v>3</v>
          </cell>
          <cell r="E7693" t="str">
            <v>Equals: VALUE ADDED, GROSS, at basic prices</v>
          </cell>
          <cell r="F7693">
            <v>12</v>
          </cell>
          <cell r="G7693">
            <v>1989</v>
          </cell>
          <cell r="H7693">
            <v>200</v>
          </cell>
          <cell r="I7693">
            <v>8631008009</v>
          </cell>
        </row>
        <row r="7694">
          <cell r="A7694" t="str">
            <v>Luxembourg</v>
          </cell>
          <cell r="B7694">
            <v>442</v>
          </cell>
          <cell r="C7694">
            <v>203</v>
          </cell>
          <cell r="D7694">
            <v>3</v>
          </cell>
          <cell r="E7694" t="str">
            <v>Equals: VALUE ADDED, GROSS, at basic prices</v>
          </cell>
          <cell r="F7694">
            <v>12</v>
          </cell>
          <cell r="G7694">
            <v>1990</v>
          </cell>
          <cell r="H7694">
            <v>200</v>
          </cell>
          <cell r="I7694">
            <v>9256840002</v>
          </cell>
        </row>
        <row r="7695">
          <cell r="A7695" t="str">
            <v>Luxembourg</v>
          </cell>
          <cell r="B7695">
            <v>442</v>
          </cell>
          <cell r="C7695">
            <v>203</v>
          </cell>
          <cell r="D7695">
            <v>3</v>
          </cell>
          <cell r="E7695" t="str">
            <v>Equals: VALUE ADDED, GROSS, at basic prices</v>
          </cell>
          <cell r="F7695">
            <v>12</v>
          </cell>
          <cell r="G7695">
            <v>1991</v>
          </cell>
          <cell r="H7695">
            <v>200</v>
          </cell>
          <cell r="I7695">
            <v>10227293573</v>
          </cell>
        </row>
        <row r="7696">
          <cell r="A7696" t="str">
            <v>Luxembourg</v>
          </cell>
          <cell r="B7696">
            <v>442</v>
          </cell>
          <cell r="C7696">
            <v>203</v>
          </cell>
          <cell r="D7696">
            <v>3</v>
          </cell>
          <cell r="E7696" t="str">
            <v>Equals: VALUE ADDED, GROSS, at basic prices</v>
          </cell>
          <cell r="F7696">
            <v>12</v>
          </cell>
          <cell r="G7696">
            <v>1992</v>
          </cell>
          <cell r="H7696">
            <v>200</v>
          </cell>
          <cell r="I7696">
            <v>10906447463</v>
          </cell>
        </row>
        <row r="7697">
          <cell r="A7697" t="str">
            <v>Luxembourg</v>
          </cell>
          <cell r="B7697">
            <v>442</v>
          </cell>
          <cell r="C7697">
            <v>203</v>
          </cell>
          <cell r="D7697">
            <v>3</v>
          </cell>
          <cell r="E7697" t="str">
            <v>Equals: VALUE ADDED, GROSS, at basic prices</v>
          </cell>
          <cell r="F7697">
            <v>12</v>
          </cell>
          <cell r="G7697">
            <v>1993</v>
          </cell>
          <cell r="H7697">
            <v>200</v>
          </cell>
          <cell r="I7697">
            <v>11437088342</v>
          </cell>
        </row>
        <row r="7698">
          <cell r="A7698" t="str">
            <v>Luxembourg</v>
          </cell>
          <cell r="B7698">
            <v>442</v>
          </cell>
          <cell r="C7698">
            <v>203</v>
          </cell>
          <cell r="D7698">
            <v>3</v>
          </cell>
          <cell r="E7698" t="str">
            <v>Equals: VALUE ADDED, GROSS, at basic prices</v>
          </cell>
          <cell r="F7698">
            <v>12</v>
          </cell>
          <cell r="G7698">
            <v>1994</v>
          </cell>
          <cell r="H7698">
            <v>200</v>
          </cell>
          <cell r="I7698">
            <v>13415848825</v>
          </cell>
        </row>
        <row r="7699">
          <cell r="A7699" t="str">
            <v>Luxembourg</v>
          </cell>
          <cell r="B7699">
            <v>442</v>
          </cell>
          <cell r="C7699">
            <v>203</v>
          </cell>
          <cell r="D7699">
            <v>3</v>
          </cell>
          <cell r="E7699" t="str">
            <v>Equals: VALUE ADDED, GROSS, at basic prices</v>
          </cell>
          <cell r="F7699">
            <v>12</v>
          </cell>
          <cell r="G7699">
            <v>1995</v>
          </cell>
          <cell r="H7699">
            <v>200</v>
          </cell>
          <cell r="I7699">
            <v>14223981715</v>
          </cell>
        </row>
        <row r="7700">
          <cell r="A7700" t="str">
            <v>Luxembourg</v>
          </cell>
          <cell r="B7700">
            <v>442</v>
          </cell>
          <cell r="C7700">
            <v>203</v>
          </cell>
          <cell r="D7700">
            <v>3</v>
          </cell>
          <cell r="E7700" t="str">
            <v>Equals: VALUE ADDED, GROSS, at basic prices</v>
          </cell>
          <cell r="F7700">
            <v>12</v>
          </cell>
          <cell r="G7700">
            <v>1996</v>
          </cell>
          <cell r="H7700">
            <v>200</v>
          </cell>
          <cell r="I7700">
            <v>15551674645</v>
          </cell>
        </row>
        <row r="7701">
          <cell r="A7701" t="str">
            <v>Luxembourg</v>
          </cell>
          <cell r="B7701">
            <v>442</v>
          </cell>
          <cell r="C7701">
            <v>203</v>
          </cell>
          <cell r="D7701">
            <v>3</v>
          </cell>
          <cell r="E7701" t="str">
            <v>Equals: VALUE ADDED, GROSS, at basic prices</v>
          </cell>
          <cell r="F7701">
            <v>12</v>
          </cell>
          <cell r="G7701">
            <v>1997</v>
          </cell>
          <cell r="H7701">
            <v>200</v>
          </cell>
          <cell r="I7701">
            <v>16578573571</v>
          </cell>
        </row>
        <row r="7702">
          <cell r="A7702" t="str">
            <v>Luxembourg</v>
          </cell>
          <cell r="B7702">
            <v>442</v>
          </cell>
          <cell r="C7702">
            <v>203</v>
          </cell>
          <cell r="D7702">
            <v>3</v>
          </cell>
          <cell r="E7702" t="str">
            <v>Equals: VALUE ADDED, GROSS, at basic prices</v>
          </cell>
          <cell r="F7702">
            <v>12</v>
          </cell>
          <cell r="G7702">
            <v>1998</v>
          </cell>
          <cell r="H7702">
            <v>200</v>
          </cell>
          <cell r="I7702">
            <v>17471907466</v>
          </cell>
        </row>
        <row r="7703">
          <cell r="A7703" t="str">
            <v>Luxembourg</v>
          </cell>
          <cell r="B7703">
            <v>442</v>
          </cell>
          <cell r="C7703">
            <v>203</v>
          </cell>
          <cell r="D7703">
            <v>3</v>
          </cell>
          <cell r="E7703" t="str">
            <v>Equals: VALUE ADDED, GROSS, at basic prices</v>
          </cell>
          <cell r="F7703">
            <v>12</v>
          </cell>
          <cell r="G7703">
            <v>1999</v>
          </cell>
          <cell r="H7703">
            <v>200</v>
          </cell>
          <cell r="I7703">
            <v>19616930136</v>
          </cell>
        </row>
        <row r="7704">
          <cell r="A7704" t="str">
            <v>Luxembourg</v>
          </cell>
          <cell r="B7704">
            <v>442</v>
          </cell>
          <cell r="C7704">
            <v>203</v>
          </cell>
          <cell r="D7704">
            <v>3</v>
          </cell>
          <cell r="E7704" t="str">
            <v>Equals: VALUE ADDED, GROSS, at basic prices</v>
          </cell>
          <cell r="F7704">
            <v>12</v>
          </cell>
          <cell r="G7704">
            <v>2000</v>
          </cell>
          <cell r="H7704">
            <v>200</v>
          </cell>
          <cell r="I7704">
            <v>21190087234</v>
          </cell>
        </row>
        <row r="7705">
          <cell r="A7705" t="str">
            <v>Luxembourg</v>
          </cell>
          <cell r="B7705">
            <v>442</v>
          </cell>
          <cell r="C7705">
            <v>203</v>
          </cell>
          <cell r="D7705">
            <v>3</v>
          </cell>
          <cell r="E7705" t="str">
            <v>Equals: VALUE ADDED, GROSS, at basic prices</v>
          </cell>
          <cell r="F7705">
            <v>12</v>
          </cell>
          <cell r="G7705">
            <v>2001</v>
          </cell>
          <cell r="H7705">
            <v>200</v>
          </cell>
          <cell r="I7705">
            <v>22634637171</v>
          </cell>
        </row>
        <row r="7706">
          <cell r="A7706" t="str">
            <v>Luxembourg</v>
          </cell>
          <cell r="B7706">
            <v>442</v>
          </cell>
          <cell r="C7706">
            <v>203</v>
          </cell>
          <cell r="D7706">
            <v>3</v>
          </cell>
          <cell r="E7706" t="str">
            <v>Equals: VALUE ADDED, GROSS, at basic prices</v>
          </cell>
          <cell r="F7706">
            <v>12</v>
          </cell>
          <cell r="G7706">
            <v>2002</v>
          </cell>
          <cell r="H7706">
            <v>200</v>
          </cell>
          <cell r="I7706">
            <v>24070213362</v>
          </cell>
        </row>
        <row r="7707">
          <cell r="A7707" t="str">
            <v>Luxembourg</v>
          </cell>
          <cell r="B7707">
            <v>442</v>
          </cell>
          <cell r="C7707">
            <v>203</v>
          </cell>
          <cell r="D7707">
            <v>3</v>
          </cell>
          <cell r="E7707" t="str">
            <v>Equals: VALUE ADDED, GROSS, at basic prices</v>
          </cell>
          <cell r="F7707">
            <v>12</v>
          </cell>
          <cell r="G7707">
            <v>2003</v>
          </cell>
          <cell r="H7707">
            <v>200</v>
          </cell>
          <cell r="I7707">
            <v>26177060429</v>
          </cell>
        </row>
        <row r="7708">
          <cell r="A7708" t="str">
            <v>Luxembourg</v>
          </cell>
          <cell r="B7708">
            <v>442</v>
          </cell>
          <cell r="C7708">
            <v>203</v>
          </cell>
          <cell r="D7708">
            <v>4</v>
          </cell>
          <cell r="E7708" t="str">
            <v>Compensation of employees</v>
          </cell>
          <cell r="F7708">
            <v>12</v>
          </cell>
          <cell r="G7708">
            <v>1970</v>
          </cell>
          <cell r="H7708">
            <v>30</v>
          </cell>
          <cell r="I7708">
            <v>25594000000</v>
          </cell>
        </row>
        <row r="7709">
          <cell r="A7709" t="str">
            <v>Luxembourg</v>
          </cell>
          <cell r="B7709">
            <v>442</v>
          </cell>
          <cell r="C7709">
            <v>203</v>
          </cell>
          <cell r="D7709">
            <v>4</v>
          </cell>
          <cell r="E7709" t="str">
            <v>Compensation of employees</v>
          </cell>
          <cell r="F7709">
            <v>12</v>
          </cell>
          <cell r="G7709">
            <v>1971</v>
          </cell>
          <cell r="H7709">
            <v>30</v>
          </cell>
          <cell r="I7709">
            <v>28712000000</v>
          </cell>
        </row>
        <row r="7710">
          <cell r="A7710" t="str">
            <v>Luxembourg</v>
          </cell>
          <cell r="B7710">
            <v>442</v>
          </cell>
          <cell r="C7710">
            <v>203</v>
          </cell>
          <cell r="D7710">
            <v>4</v>
          </cell>
          <cell r="E7710" t="str">
            <v>Compensation of employees</v>
          </cell>
          <cell r="F7710">
            <v>12</v>
          </cell>
          <cell r="G7710">
            <v>1972</v>
          </cell>
          <cell r="H7710">
            <v>30</v>
          </cell>
          <cell r="I7710">
            <v>32693000000</v>
          </cell>
        </row>
        <row r="7711">
          <cell r="A7711" t="str">
            <v>Luxembourg</v>
          </cell>
          <cell r="B7711">
            <v>442</v>
          </cell>
          <cell r="C7711">
            <v>203</v>
          </cell>
          <cell r="D7711">
            <v>4</v>
          </cell>
          <cell r="E7711" t="str">
            <v>Compensation of employees</v>
          </cell>
          <cell r="F7711">
            <v>12</v>
          </cell>
          <cell r="G7711">
            <v>1973</v>
          </cell>
          <cell r="H7711">
            <v>30</v>
          </cell>
          <cell r="I7711">
            <v>37470000000</v>
          </cell>
        </row>
        <row r="7712">
          <cell r="A7712" t="str">
            <v>Luxembourg</v>
          </cell>
          <cell r="B7712">
            <v>442</v>
          </cell>
          <cell r="C7712">
            <v>203</v>
          </cell>
          <cell r="D7712">
            <v>4</v>
          </cell>
          <cell r="E7712" t="str">
            <v>Compensation of employees</v>
          </cell>
          <cell r="F7712">
            <v>12</v>
          </cell>
          <cell r="G7712">
            <v>1974</v>
          </cell>
          <cell r="H7712">
            <v>30</v>
          </cell>
          <cell r="I7712">
            <v>47853000000</v>
          </cell>
        </row>
        <row r="7713">
          <cell r="A7713" t="str">
            <v>Luxembourg</v>
          </cell>
          <cell r="B7713">
            <v>442</v>
          </cell>
          <cell r="C7713">
            <v>203</v>
          </cell>
          <cell r="D7713">
            <v>4</v>
          </cell>
          <cell r="E7713" t="str">
            <v>Compensation of employees</v>
          </cell>
          <cell r="F7713">
            <v>12</v>
          </cell>
          <cell r="G7713">
            <v>1975</v>
          </cell>
          <cell r="H7713">
            <v>30</v>
          </cell>
          <cell r="I7713">
            <v>54890000000</v>
          </cell>
        </row>
        <row r="7714">
          <cell r="A7714" t="str">
            <v>Luxembourg</v>
          </cell>
          <cell r="B7714">
            <v>442</v>
          </cell>
          <cell r="C7714">
            <v>203</v>
          </cell>
          <cell r="D7714">
            <v>4</v>
          </cell>
          <cell r="E7714" t="str">
            <v>Compensation of employees</v>
          </cell>
          <cell r="F7714">
            <v>12</v>
          </cell>
          <cell r="G7714">
            <v>1976</v>
          </cell>
          <cell r="H7714">
            <v>30</v>
          </cell>
          <cell r="I7714">
            <v>61193000000</v>
          </cell>
        </row>
        <row r="7715">
          <cell r="A7715" t="str">
            <v>Luxembourg</v>
          </cell>
          <cell r="B7715">
            <v>442</v>
          </cell>
          <cell r="C7715">
            <v>203</v>
          </cell>
          <cell r="D7715">
            <v>4</v>
          </cell>
          <cell r="E7715" t="str">
            <v>Compensation of employees</v>
          </cell>
          <cell r="F7715">
            <v>12</v>
          </cell>
          <cell r="G7715">
            <v>1977</v>
          </cell>
          <cell r="H7715">
            <v>30</v>
          </cell>
          <cell r="I7715">
            <v>67517000000</v>
          </cell>
        </row>
        <row r="7716">
          <cell r="A7716" t="str">
            <v>Luxembourg</v>
          </cell>
          <cell r="B7716">
            <v>442</v>
          </cell>
          <cell r="C7716">
            <v>203</v>
          </cell>
          <cell r="D7716">
            <v>4</v>
          </cell>
          <cell r="E7716" t="str">
            <v>Compensation of employees</v>
          </cell>
          <cell r="F7716">
            <v>12</v>
          </cell>
          <cell r="G7716">
            <v>1978</v>
          </cell>
          <cell r="H7716">
            <v>30</v>
          </cell>
          <cell r="I7716">
            <v>71274000000</v>
          </cell>
        </row>
        <row r="7717">
          <cell r="A7717" t="str">
            <v>Luxembourg</v>
          </cell>
          <cell r="B7717">
            <v>442</v>
          </cell>
          <cell r="C7717">
            <v>203</v>
          </cell>
          <cell r="D7717">
            <v>4</v>
          </cell>
          <cell r="E7717" t="str">
            <v>Compensation of employees</v>
          </cell>
          <cell r="F7717">
            <v>12</v>
          </cell>
          <cell r="G7717">
            <v>1979</v>
          </cell>
          <cell r="H7717">
            <v>30</v>
          </cell>
          <cell r="I7717">
            <v>77057000000</v>
          </cell>
        </row>
        <row r="7718">
          <cell r="A7718" t="str">
            <v>Luxembourg</v>
          </cell>
          <cell r="B7718">
            <v>442</v>
          </cell>
          <cell r="C7718">
            <v>203</v>
          </cell>
          <cell r="D7718">
            <v>4</v>
          </cell>
          <cell r="E7718" t="str">
            <v>Compensation of employees</v>
          </cell>
          <cell r="F7718">
            <v>12</v>
          </cell>
          <cell r="G7718">
            <v>1980</v>
          </cell>
          <cell r="H7718">
            <v>30</v>
          </cell>
          <cell r="I7718">
            <v>85181000000</v>
          </cell>
        </row>
        <row r="7719">
          <cell r="A7719" t="str">
            <v>Luxembourg</v>
          </cell>
          <cell r="B7719">
            <v>442</v>
          </cell>
          <cell r="C7719">
            <v>203</v>
          </cell>
          <cell r="D7719">
            <v>4</v>
          </cell>
          <cell r="E7719" t="str">
            <v>Compensation of employees</v>
          </cell>
          <cell r="F7719">
            <v>12</v>
          </cell>
          <cell r="G7719">
            <v>1981</v>
          </cell>
          <cell r="H7719">
            <v>30</v>
          </cell>
          <cell r="I7719">
            <v>93545000000</v>
          </cell>
        </row>
        <row r="7720">
          <cell r="A7720" t="str">
            <v>Luxembourg</v>
          </cell>
          <cell r="B7720">
            <v>442</v>
          </cell>
          <cell r="C7720">
            <v>203</v>
          </cell>
          <cell r="D7720">
            <v>4</v>
          </cell>
          <cell r="E7720" t="str">
            <v>Compensation of employees</v>
          </cell>
          <cell r="F7720">
            <v>12</v>
          </cell>
          <cell r="G7720">
            <v>1982</v>
          </cell>
          <cell r="H7720">
            <v>30</v>
          </cell>
          <cell r="I7720">
            <v>100045000000</v>
          </cell>
        </row>
        <row r="7721">
          <cell r="A7721" t="str">
            <v>Luxembourg</v>
          </cell>
          <cell r="B7721">
            <v>442</v>
          </cell>
          <cell r="C7721">
            <v>203</v>
          </cell>
          <cell r="D7721">
            <v>4</v>
          </cell>
          <cell r="E7721" t="str">
            <v>Compensation of employees</v>
          </cell>
          <cell r="F7721">
            <v>12</v>
          </cell>
          <cell r="G7721">
            <v>1983</v>
          </cell>
          <cell r="H7721">
            <v>30</v>
          </cell>
          <cell r="I7721">
            <v>106757000000</v>
          </cell>
        </row>
        <row r="7722">
          <cell r="A7722" t="str">
            <v>Luxembourg</v>
          </cell>
          <cell r="B7722">
            <v>442</v>
          </cell>
          <cell r="C7722">
            <v>203</v>
          </cell>
          <cell r="D7722">
            <v>4</v>
          </cell>
          <cell r="E7722" t="str">
            <v>Compensation of employees</v>
          </cell>
          <cell r="F7722">
            <v>12</v>
          </cell>
          <cell r="G7722">
            <v>1984</v>
          </cell>
          <cell r="H7722">
            <v>30</v>
          </cell>
          <cell r="I7722">
            <v>115276000000</v>
          </cell>
        </row>
        <row r="7723">
          <cell r="A7723" t="str">
            <v>Luxembourg</v>
          </cell>
          <cell r="B7723">
            <v>442</v>
          </cell>
          <cell r="C7723">
            <v>203</v>
          </cell>
          <cell r="D7723">
            <v>4</v>
          </cell>
          <cell r="E7723" t="str">
            <v>Compensation of employees</v>
          </cell>
          <cell r="F7723">
            <v>12</v>
          </cell>
          <cell r="G7723">
            <v>1985</v>
          </cell>
          <cell r="H7723">
            <v>30</v>
          </cell>
          <cell r="I7723">
            <v>126169000000</v>
          </cell>
        </row>
        <row r="7724">
          <cell r="A7724" t="str">
            <v>Luxembourg</v>
          </cell>
          <cell r="B7724">
            <v>442</v>
          </cell>
          <cell r="C7724">
            <v>203</v>
          </cell>
          <cell r="D7724">
            <v>4</v>
          </cell>
          <cell r="E7724" t="str">
            <v>Compensation of employees</v>
          </cell>
          <cell r="F7724">
            <v>12</v>
          </cell>
          <cell r="G7724">
            <v>1985</v>
          </cell>
          <cell r="H7724">
            <v>200</v>
          </cell>
          <cell r="I7724">
            <v>3174945897</v>
          </cell>
        </row>
        <row r="7725">
          <cell r="A7725" t="str">
            <v>Luxembourg</v>
          </cell>
          <cell r="B7725">
            <v>442</v>
          </cell>
          <cell r="C7725">
            <v>203</v>
          </cell>
          <cell r="D7725">
            <v>4</v>
          </cell>
          <cell r="E7725" t="str">
            <v>Compensation of employees</v>
          </cell>
          <cell r="F7725">
            <v>12</v>
          </cell>
          <cell r="G7725">
            <v>1986</v>
          </cell>
          <cell r="H7725">
            <v>200</v>
          </cell>
          <cell r="I7725">
            <v>3433077425</v>
          </cell>
        </row>
        <row r="7726">
          <cell r="A7726" t="str">
            <v>Luxembourg</v>
          </cell>
          <cell r="B7726">
            <v>442</v>
          </cell>
          <cell r="C7726">
            <v>203</v>
          </cell>
          <cell r="D7726">
            <v>4</v>
          </cell>
          <cell r="E7726" t="str">
            <v>Compensation of employees</v>
          </cell>
          <cell r="F7726">
            <v>12</v>
          </cell>
          <cell r="G7726">
            <v>1987</v>
          </cell>
          <cell r="H7726">
            <v>200</v>
          </cell>
          <cell r="I7726">
            <v>3681342790</v>
          </cell>
        </row>
        <row r="7727">
          <cell r="A7727" t="str">
            <v>Luxembourg</v>
          </cell>
          <cell r="B7727">
            <v>442</v>
          </cell>
          <cell r="C7727">
            <v>203</v>
          </cell>
          <cell r="D7727">
            <v>4</v>
          </cell>
          <cell r="E7727" t="str">
            <v>Compensation of employees</v>
          </cell>
          <cell r="F7727">
            <v>12</v>
          </cell>
          <cell r="G7727">
            <v>1988</v>
          </cell>
          <cell r="H7727">
            <v>200</v>
          </cell>
          <cell r="I7727">
            <v>3947282963</v>
          </cell>
        </row>
        <row r="7728">
          <cell r="A7728" t="str">
            <v>Luxembourg</v>
          </cell>
          <cell r="B7728">
            <v>442</v>
          </cell>
          <cell r="C7728">
            <v>203</v>
          </cell>
          <cell r="D7728">
            <v>4</v>
          </cell>
          <cell r="E7728" t="str">
            <v>Compensation of employees</v>
          </cell>
          <cell r="F7728">
            <v>12</v>
          </cell>
          <cell r="G7728">
            <v>1989</v>
          </cell>
          <cell r="H7728">
            <v>200</v>
          </cell>
          <cell r="I7728">
            <v>4453679855</v>
          </cell>
        </row>
        <row r="7729">
          <cell r="A7729" t="str">
            <v>Luxembourg</v>
          </cell>
          <cell r="B7729">
            <v>442</v>
          </cell>
          <cell r="C7729">
            <v>203</v>
          </cell>
          <cell r="D7729">
            <v>4</v>
          </cell>
          <cell r="E7729" t="str">
            <v>Compensation of employees</v>
          </cell>
          <cell r="F7729">
            <v>12</v>
          </cell>
          <cell r="G7729">
            <v>1990</v>
          </cell>
          <cell r="H7729">
            <v>200</v>
          </cell>
          <cell r="I7729">
            <v>4889055253</v>
          </cell>
        </row>
        <row r="7730">
          <cell r="A7730" t="str">
            <v>Luxembourg</v>
          </cell>
          <cell r="B7730">
            <v>442</v>
          </cell>
          <cell r="C7730">
            <v>203</v>
          </cell>
          <cell r="D7730">
            <v>4</v>
          </cell>
          <cell r="E7730" t="str">
            <v>Compensation of employees</v>
          </cell>
          <cell r="F7730">
            <v>12</v>
          </cell>
          <cell r="G7730">
            <v>1991</v>
          </cell>
          <cell r="H7730">
            <v>200</v>
          </cell>
          <cell r="I7730">
            <v>5387519553</v>
          </cell>
        </row>
        <row r="7731">
          <cell r="A7731" t="str">
            <v>Luxembourg</v>
          </cell>
          <cell r="B7731">
            <v>442</v>
          </cell>
          <cell r="C7731">
            <v>203</v>
          </cell>
          <cell r="D7731">
            <v>4</v>
          </cell>
          <cell r="E7731" t="str">
            <v>Compensation of employees</v>
          </cell>
          <cell r="F7731">
            <v>12</v>
          </cell>
          <cell r="G7731">
            <v>1992</v>
          </cell>
          <cell r="H7731">
            <v>200</v>
          </cell>
          <cell r="I7731">
            <v>5901055779</v>
          </cell>
        </row>
        <row r="7732">
          <cell r="A7732" t="str">
            <v>Luxembourg</v>
          </cell>
          <cell r="B7732">
            <v>442</v>
          </cell>
          <cell r="C7732">
            <v>203</v>
          </cell>
          <cell r="D7732">
            <v>4</v>
          </cell>
          <cell r="E7732" t="str">
            <v>Compensation of employees</v>
          </cell>
          <cell r="F7732">
            <v>12</v>
          </cell>
          <cell r="G7732">
            <v>1993</v>
          </cell>
          <cell r="H7732">
            <v>200</v>
          </cell>
          <cell r="I7732">
            <v>6354502614</v>
          </cell>
        </row>
        <row r="7733">
          <cell r="A7733" t="str">
            <v>Luxembourg</v>
          </cell>
          <cell r="B7733">
            <v>442</v>
          </cell>
          <cell r="C7733">
            <v>203</v>
          </cell>
          <cell r="D7733">
            <v>4</v>
          </cell>
          <cell r="E7733" t="str">
            <v>Compensation of employees</v>
          </cell>
          <cell r="F7733">
            <v>12</v>
          </cell>
          <cell r="G7733">
            <v>1994</v>
          </cell>
          <cell r="H7733">
            <v>200</v>
          </cell>
          <cell r="I7733">
            <v>6787572602</v>
          </cell>
        </row>
        <row r="7734">
          <cell r="A7734" t="str">
            <v>Luxembourg</v>
          </cell>
          <cell r="B7734">
            <v>442</v>
          </cell>
          <cell r="C7734">
            <v>203</v>
          </cell>
          <cell r="D7734">
            <v>4</v>
          </cell>
          <cell r="E7734" t="str">
            <v>Compensation of employees</v>
          </cell>
          <cell r="F7734">
            <v>12</v>
          </cell>
          <cell r="G7734">
            <v>1995</v>
          </cell>
          <cell r="H7734">
            <v>200</v>
          </cell>
          <cell r="I7734">
            <v>7061420579</v>
          </cell>
        </row>
        <row r="7735">
          <cell r="A7735" t="str">
            <v>Luxembourg</v>
          </cell>
          <cell r="B7735">
            <v>442</v>
          </cell>
          <cell r="C7735">
            <v>203</v>
          </cell>
          <cell r="D7735">
            <v>4</v>
          </cell>
          <cell r="E7735" t="str">
            <v>Compensation of employees</v>
          </cell>
          <cell r="F7735">
            <v>12</v>
          </cell>
          <cell r="G7735">
            <v>1996</v>
          </cell>
          <cell r="H7735">
            <v>200</v>
          </cell>
          <cell r="I7735">
            <v>7395085263</v>
          </cell>
        </row>
        <row r="7736">
          <cell r="A7736" t="str">
            <v>Luxembourg</v>
          </cell>
          <cell r="B7736">
            <v>442</v>
          </cell>
          <cell r="C7736">
            <v>203</v>
          </cell>
          <cell r="D7736">
            <v>4</v>
          </cell>
          <cell r="E7736" t="str">
            <v>Compensation of employees</v>
          </cell>
          <cell r="F7736">
            <v>12</v>
          </cell>
          <cell r="G7736">
            <v>1997</v>
          </cell>
          <cell r="H7736">
            <v>200</v>
          </cell>
          <cell r="I7736">
            <v>7827361991</v>
          </cell>
        </row>
        <row r="7737">
          <cell r="A7737" t="str">
            <v>Luxembourg</v>
          </cell>
          <cell r="B7737">
            <v>442</v>
          </cell>
          <cell r="C7737">
            <v>203</v>
          </cell>
          <cell r="D7737">
            <v>4</v>
          </cell>
          <cell r="E7737" t="str">
            <v>Compensation of employees</v>
          </cell>
          <cell r="F7737">
            <v>12</v>
          </cell>
          <cell r="G7737">
            <v>1998</v>
          </cell>
          <cell r="H7737">
            <v>200</v>
          </cell>
          <cell r="I7737">
            <v>8339138173</v>
          </cell>
        </row>
        <row r="7738">
          <cell r="A7738" t="str">
            <v>Luxembourg</v>
          </cell>
          <cell r="B7738">
            <v>442</v>
          </cell>
          <cell r="C7738">
            <v>203</v>
          </cell>
          <cell r="D7738">
            <v>4</v>
          </cell>
          <cell r="E7738" t="str">
            <v>Compensation of employees</v>
          </cell>
          <cell r="F7738">
            <v>12</v>
          </cell>
          <cell r="G7738">
            <v>1999</v>
          </cell>
          <cell r="H7738">
            <v>200</v>
          </cell>
          <cell r="I7738">
            <v>9102228811</v>
          </cell>
        </row>
        <row r="7739">
          <cell r="A7739" t="str">
            <v>Luxembourg</v>
          </cell>
          <cell r="B7739">
            <v>442</v>
          </cell>
          <cell r="C7739">
            <v>203</v>
          </cell>
          <cell r="D7739">
            <v>4</v>
          </cell>
          <cell r="E7739" t="str">
            <v>Compensation of employees</v>
          </cell>
          <cell r="F7739">
            <v>12</v>
          </cell>
          <cell r="G7739">
            <v>2000</v>
          </cell>
          <cell r="H7739">
            <v>200</v>
          </cell>
          <cell r="I7739">
            <v>10106966056</v>
          </cell>
        </row>
        <row r="7740">
          <cell r="A7740" t="str">
            <v>Luxembourg</v>
          </cell>
          <cell r="B7740">
            <v>442</v>
          </cell>
          <cell r="C7740">
            <v>203</v>
          </cell>
          <cell r="D7740">
            <v>4</v>
          </cell>
          <cell r="E7740" t="str">
            <v>Compensation of employees</v>
          </cell>
          <cell r="F7740">
            <v>12</v>
          </cell>
          <cell r="G7740">
            <v>2001</v>
          </cell>
          <cell r="H7740">
            <v>200</v>
          </cell>
          <cell r="I7740">
            <v>11136790126</v>
          </cell>
        </row>
        <row r="7741">
          <cell r="A7741" t="str">
            <v>Luxembourg</v>
          </cell>
          <cell r="B7741">
            <v>442</v>
          </cell>
          <cell r="C7741">
            <v>203</v>
          </cell>
          <cell r="D7741">
            <v>4</v>
          </cell>
          <cell r="E7741" t="str">
            <v>Compensation of employees</v>
          </cell>
          <cell r="F7741">
            <v>12</v>
          </cell>
          <cell r="G7741">
            <v>2002</v>
          </cell>
          <cell r="H7741">
            <v>200</v>
          </cell>
          <cell r="I7741">
            <v>11910193134</v>
          </cell>
        </row>
        <row r="7742">
          <cell r="A7742" t="str">
            <v>Luxembourg</v>
          </cell>
          <cell r="B7742">
            <v>442</v>
          </cell>
          <cell r="C7742">
            <v>203</v>
          </cell>
          <cell r="D7742">
            <v>4</v>
          </cell>
          <cell r="E7742" t="str">
            <v>Compensation of employees</v>
          </cell>
          <cell r="F7742">
            <v>12</v>
          </cell>
          <cell r="G7742">
            <v>2003</v>
          </cell>
          <cell r="H7742">
            <v>200</v>
          </cell>
          <cell r="I7742">
            <v>12400303422</v>
          </cell>
        </row>
        <row r="7743">
          <cell r="A7743" t="str">
            <v>Luxembourg</v>
          </cell>
          <cell r="B7743">
            <v>442</v>
          </cell>
          <cell r="C7743">
            <v>203</v>
          </cell>
          <cell r="D7743">
            <v>11</v>
          </cell>
          <cell r="E7743" t="str">
            <v>OPERATING SURPLUS, GROSS</v>
          </cell>
          <cell r="F7743">
            <v>12</v>
          </cell>
          <cell r="G7743">
            <v>1970</v>
          </cell>
          <cell r="H7743">
            <v>30</v>
          </cell>
          <cell r="I7743">
            <v>27057000000</v>
          </cell>
        </row>
        <row r="7744">
          <cell r="A7744" t="str">
            <v>Luxembourg</v>
          </cell>
          <cell r="B7744">
            <v>442</v>
          </cell>
          <cell r="C7744">
            <v>203</v>
          </cell>
          <cell r="D7744">
            <v>11</v>
          </cell>
          <cell r="E7744" t="str">
            <v>OPERATING SURPLUS, GROSS</v>
          </cell>
          <cell r="F7744">
            <v>12</v>
          </cell>
          <cell r="G7744">
            <v>1971</v>
          </cell>
          <cell r="H7744">
            <v>30</v>
          </cell>
          <cell r="I7744">
            <v>25003000000</v>
          </cell>
        </row>
        <row r="7745">
          <cell r="A7745" t="str">
            <v>Luxembourg</v>
          </cell>
          <cell r="B7745">
            <v>442</v>
          </cell>
          <cell r="C7745">
            <v>203</v>
          </cell>
          <cell r="D7745">
            <v>11</v>
          </cell>
          <cell r="E7745" t="str">
            <v>OPERATING SURPLUS, GROSS</v>
          </cell>
          <cell r="F7745">
            <v>12</v>
          </cell>
          <cell r="G7745">
            <v>1972</v>
          </cell>
          <cell r="H7745">
            <v>30</v>
          </cell>
          <cell r="I7745">
            <v>29203000000</v>
          </cell>
        </row>
        <row r="7746">
          <cell r="A7746" t="str">
            <v>Luxembourg</v>
          </cell>
          <cell r="B7746">
            <v>442</v>
          </cell>
          <cell r="C7746">
            <v>203</v>
          </cell>
          <cell r="D7746">
            <v>11</v>
          </cell>
          <cell r="E7746" t="str">
            <v>OPERATING SURPLUS, GROSS</v>
          </cell>
          <cell r="F7746">
            <v>12</v>
          </cell>
          <cell r="G7746">
            <v>1973</v>
          </cell>
          <cell r="H7746">
            <v>30</v>
          </cell>
          <cell r="I7746">
            <v>36660000000</v>
          </cell>
        </row>
        <row r="7747">
          <cell r="A7747" t="str">
            <v>Luxembourg</v>
          </cell>
          <cell r="B7747">
            <v>442</v>
          </cell>
          <cell r="C7747">
            <v>203</v>
          </cell>
          <cell r="D7747">
            <v>11</v>
          </cell>
          <cell r="E7747" t="str">
            <v>OPERATING SURPLUS, GROSS</v>
          </cell>
          <cell r="F7747">
            <v>12</v>
          </cell>
          <cell r="G7747">
            <v>1974</v>
          </cell>
          <cell r="H7747">
            <v>30</v>
          </cell>
          <cell r="I7747">
            <v>43977000000</v>
          </cell>
        </row>
        <row r="7748">
          <cell r="A7748" t="str">
            <v>Luxembourg</v>
          </cell>
          <cell r="B7748">
            <v>442</v>
          </cell>
          <cell r="C7748">
            <v>203</v>
          </cell>
          <cell r="D7748">
            <v>11</v>
          </cell>
          <cell r="E7748" t="str">
            <v>OPERATING SURPLUS, GROSS</v>
          </cell>
          <cell r="F7748">
            <v>12</v>
          </cell>
          <cell r="G7748">
            <v>1975</v>
          </cell>
          <cell r="H7748">
            <v>30</v>
          </cell>
          <cell r="I7748">
            <v>34977000000</v>
          </cell>
        </row>
        <row r="7749">
          <cell r="A7749" t="str">
            <v>Luxembourg</v>
          </cell>
          <cell r="B7749">
            <v>442</v>
          </cell>
          <cell r="C7749">
            <v>203</v>
          </cell>
          <cell r="D7749">
            <v>11</v>
          </cell>
          <cell r="E7749" t="str">
            <v>OPERATING SURPLUS, GROSS</v>
          </cell>
          <cell r="F7749">
            <v>12</v>
          </cell>
          <cell r="G7749">
            <v>1976</v>
          </cell>
          <cell r="H7749">
            <v>30</v>
          </cell>
          <cell r="I7749">
            <v>44265000000</v>
          </cell>
        </row>
        <row r="7750">
          <cell r="A7750" t="str">
            <v>Luxembourg</v>
          </cell>
          <cell r="B7750">
            <v>442</v>
          </cell>
          <cell r="C7750">
            <v>203</v>
          </cell>
          <cell r="D7750">
            <v>11</v>
          </cell>
          <cell r="E7750" t="str">
            <v>OPERATING SURPLUS, GROSS</v>
          </cell>
          <cell r="F7750">
            <v>12</v>
          </cell>
          <cell r="G7750">
            <v>1977</v>
          </cell>
          <cell r="H7750">
            <v>30</v>
          </cell>
          <cell r="I7750">
            <v>43140000000</v>
          </cell>
        </row>
        <row r="7751">
          <cell r="A7751" t="str">
            <v>Luxembourg</v>
          </cell>
          <cell r="B7751">
            <v>442</v>
          </cell>
          <cell r="C7751">
            <v>203</v>
          </cell>
          <cell r="D7751">
            <v>11</v>
          </cell>
          <cell r="E7751" t="str">
            <v>OPERATING SURPLUS, GROSS</v>
          </cell>
          <cell r="F7751">
            <v>12</v>
          </cell>
          <cell r="G7751">
            <v>1978</v>
          </cell>
          <cell r="H7751">
            <v>30</v>
          </cell>
          <cell r="I7751">
            <v>48190000000</v>
          </cell>
        </row>
        <row r="7752">
          <cell r="A7752" t="str">
            <v>Luxembourg</v>
          </cell>
          <cell r="B7752">
            <v>442</v>
          </cell>
          <cell r="C7752">
            <v>203</v>
          </cell>
          <cell r="D7752">
            <v>11</v>
          </cell>
          <cell r="E7752" t="str">
            <v>OPERATING SURPLUS, GROSS</v>
          </cell>
          <cell r="F7752">
            <v>12</v>
          </cell>
          <cell r="G7752">
            <v>1979</v>
          </cell>
          <cell r="H7752">
            <v>30</v>
          </cell>
          <cell r="I7752">
            <v>49855000000</v>
          </cell>
        </row>
        <row r="7753">
          <cell r="A7753" t="str">
            <v>Luxembourg</v>
          </cell>
          <cell r="B7753">
            <v>442</v>
          </cell>
          <cell r="C7753">
            <v>203</v>
          </cell>
          <cell r="D7753">
            <v>11</v>
          </cell>
          <cell r="E7753" t="str">
            <v>OPERATING SURPLUS, GROSS</v>
          </cell>
          <cell r="F7753">
            <v>12</v>
          </cell>
          <cell r="G7753">
            <v>1980</v>
          </cell>
          <cell r="H7753">
            <v>30</v>
          </cell>
          <cell r="I7753">
            <v>48568000000</v>
          </cell>
        </row>
        <row r="7754">
          <cell r="A7754" t="str">
            <v>Luxembourg</v>
          </cell>
          <cell r="B7754">
            <v>442</v>
          </cell>
          <cell r="C7754">
            <v>203</v>
          </cell>
          <cell r="D7754">
            <v>11</v>
          </cell>
          <cell r="E7754" t="str">
            <v>OPERATING SURPLUS, GROSS</v>
          </cell>
          <cell r="F7754">
            <v>12</v>
          </cell>
          <cell r="G7754">
            <v>1981</v>
          </cell>
          <cell r="H7754">
            <v>30</v>
          </cell>
          <cell r="I7754">
            <v>54068000000</v>
          </cell>
        </row>
        <row r="7755">
          <cell r="A7755" t="str">
            <v>Luxembourg</v>
          </cell>
          <cell r="B7755">
            <v>442</v>
          </cell>
          <cell r="C7755">
            <v>203</v>
          </cell>
          <cell r="D7755">
            <v>11</v>
          </cell>
          <cell r="E7755" t="str">
            <v>OPERATING SURPLUS, GROSS</v>
          </cell>
          <cell r="F7755">
            <v>12</v>
          </cell>
          <cell r="G7755">
            <v>1982</v>
          </cell>
          <cell r="H7755">
            <v>30</v>
          </cell>
          <cell r="I7755">
            <v>80674000000</v>
          </cell>
        </row>
        <row r="7756">
          <cell r="A7756" t="str">
            <v>Luxembourg</v>
          </cell>
          <cell r="B7756">
            <v>442</v>
          </cell>
          <cell r="C7756">
            <v>203</v>
          </cell>
          <cell r="D7756">
            <v>11</v>
          </cell>
          <cell r="E7756" t="str">
            <v>OPERATING SURPLUS, GROSS</v>
          </cell>
          <cell r="F7756">
            <v>12</v>
          </cell>
          <cell r="G7756">
            <v>1983</v>
          </cell>
          <cell r="H7756">
            <v>30</v>
          </cell>
          <cell r="I7756">
            <v>98268000000</v>
          </cell>
        </row>
        <row r="7757">
          <cell r="A7757" t="str">
            <v>Luxembourg</v>
          </cell>
          <cell r="B7757">
            <v>442</v>
          </cell>
          <cell r="C7757">
            <v>203</v>
          </cell>
          <cell r="D7757">
            <v>11</v>
          </cell>
          <cell r="E7757" t="str">
            <v>OPERATING SURPLUS, GROSS</v>
          </cell>
          <cell r="F7757">
            <v>12</v>
          </cell>
          <cell r="G7757">
            <v>1984</v>
          </cell>
          <cell r="H7757">
            <v>30</v>
          </cell>
          <cell r="I7757">
            <v>103408000000</v>
          </cell>
        </row>
        <row r="7758">
          <cell r="A7758" t="str">
            <v>Luxembourg</v>
          </cell>
          <cell r="B7758">
            <v>442</v>
          </cell>
          <cell r="C7758">
            <v>203</v>
          </cell>
          <cell r="D7758">
            <v>11</v>
          </cell>
          <cell r="E7758" t="str">
            <v>OPERATING SURPLUS, GROSS</v>
          </cell>
          <cell r="F7758">
            <v>12</v>
          </cell>
          <cell r="G7758">
            <v>1985</v>
          </cell>
          <cell r="H7758">
            <v>30</v>
          </cell>
          <cell r="I7758">
            <v>123259000000</v>
          </cell>
        </row>
        <row r="7759">
          <cell r="A7759" t="str">
            <v>Luxembourg</v>
          </cell>
          <cell r="B7759">
            <v>442</v>
          </cell>
          <cell r="C7759">
            <v>203</v>
          </cell>
          <cell r="D7759">
            <v>11</v>
          </cell>
          <cell r="E7759" t="str">
            <v>OPERATING SURPLUS, GROSS</v>
          </cell>
          <cell r="F7759">
            <v>12</v>
          </cell>
          <cell r="G7759">
            <v>1985</v>
          </cell>
          <cell r="H7759">
            <v>200</v>
          </cell>
          <cell r="I7759">
            <v>3358312737</v>
          </cell>
        </row>
        <row r="7760">
          <cell r="A7760" t="str">
            <v>Luxembourg</v>
          </cell>
          <cell r="B7760">
            <v>442</v>
          </cell>
          <cell r="C7760">
            <v>203</v>
          </cell>
          <cell r="D7760">
            <v>11</v>
          </cell>
          <cell r="E7760" t="str">
            <v>OPERATING SURPLUS, GROSS</v>
          </cell>
          <cell r="F7760">
            <v>12</v>
          </cell>
          <cell r="G7760">
            <v>1986</v>
          </cell>
          <cell r="H7760">
            <v>200</v>
          </cell>
          <cell r="I7760">
            <v>3595175000</v>
          </cell>
        </row>
        <row r="7761">
          <cell r="A7761" t="str">
            <v>Luxembourg</v>
          </cell>
          <cell r="B7761">
            <v>442</v>
          </cell>
          <cell r="C7761">
            <v>203</v>
          </cell>
          <cell r="D7761">
            <v>11</v>
          </cell>
          <cell r="E7761" t="str">
            <v>OPERATING SURPLUS, GROSS</v>
          </cell>
          <cell r="F7761">
            <v>12</v>
          </cell>
          <cell r="G7761">
            <v>1987</v>
          </cell>
          <cell r="H7761">
            <v>200</v>
          </cell>
          <cell r="I7761">
            <v>3535259135</v>
          </cell>
        </row>
        <row r="7762">
          <cell r="A7762" t="str">
            <v>Luxembourg</v>
          </cell>
          <cell r="B7762">
            <v>442</v>
          </cell>
          <cell r="C7762">
            <v>203</v>
          </cell>
          <cell r="D7762">
            <v>11</v>
          </cell>
          <cell r="E7762" t="str">
            <v>OPERATING SURPLUS, GROSS</v>
          </cell>
          <cell r="F7762">
            <v>12</v>
          </cell>
          <cell r="G7762">
            <v>1988</v>
          </cell>
          <cell r="H7762">
            <v>200</v>
          </cell>
          <cell r="I7762">
            <v>3902339867</v>
          </cell>
        </row>
        <row r="7763">
          <cell r="A7763" t="str">
            <v>Luxembourg</v>
          </cell>
          <cell r="B7763">
            <v>442</v>
          </cell>
          <cell r="C7763">
            <v>203</v>
          </cell>
          <cell r="D7763">
            <v>11</v>
          </cell>
          <cell r="E7763" t="str">
            <v>OPERATING SURPLUS, GROSS</v>
          </cell>
          <cell r="F7763">
            <v>12</v>
          </cell>
          <cell r="G7763">
            <v>1989</v>
          </cell>
          <cell r="H7763">
            <v>200</v>
          </cell>
          <cell r="I7763">
            <v>4109256592</v>
          </cell>
        </row>
        <row r="7764">
          <cell r="A7764" t="str">
            <v>Luxembourg</v>
          </cell>
          <cell r="B7764">
            <v>442</v>
          </cell>
          <cell r="C7764">
            <v>203</v>
          </cell>
          <cell r="D7764">
            <v>11</v>
          </cell>
          <cell r="E7764" t="str">
            <v>OPERATING SURPLUS, GROSS</v>
          </cell>
          <cell r="F7764">
            <v>12</v>
          </cell>
          <cell r="G7764">
            <v>1990</v>
          </cell>
          <cell r="H7764">
            <v>200</v>
          </cell>
          <cell r="I7764">
            <v>4284343789</v>
          </cell>
        </row>
        <row r="7765">
          <cell r="A7765" t="str">
            <v>Luxembourg</v>
          </cell>
          <cell r="B7765">
            <v>442</v>
          </cell>
          <cell r="C7765">
            <v>203</v>
          </cell>
          <cell r="D7765">
            <v>11</v>
          </cell>
          <cell r="E7765" t="str">
            <v>OPERATING SURPLUS, GROSS</v>
          </cell>
          <cell r="F7765">
            <v>12</v>
          </cell>
          <cell r="G7765">
            <v>1991</v>
          </cell>
          <cell r="H7765">
            <v>200</v>
          </cell>
          <cell r="I7765">
            <v>4806630656</v>
          </cell>
        </row>
        <row r="7766">
          <cell r="A7766" t="str">
            <v>Luxembourg</v>
          </cell>
          <cell r="B7766">
            <v>442</v>
          </cell>
          <cell r="C7766">
            <v>203</v>
          </cell>
          <cell r="D7766">
            <v>11</v>
          </cell>
          <cell r="E7766" t="str">
            <v>OPERATING SURPLUS, GROSS</v>
          </cell>
          <cell r="F7766">
            <v>12</v>
          </cell>
          <cell r="G7766">
            <v>1992</v>
          </cell>
          <cell r="H7766">
            <v>200</v>
          </cell>
          <cell r="I7766">
            <v>4943418303</v>
          </cell>
        </row>
        <row r="7767">
          <cell r="A7767" t="str">
            <v>Luxembourg</v>
          </cell>
          <cell r="B7767">
            <v>442</v>
          </cell>
          <cell r="C7767">
            <v>203</v>
          </cell>
          <cell r="D7767">
            <v>11</v>
          </cell>
          <cell r="E7767" t="str">
            <v>OPERATING SURPLUS, GROSS</v>
          </cell>
          <cell r="F7767">
            <v>12</v>
          </cell>
          <cell r="G7767">
            <v>1993</v>
          </cell>
          <cell r="H7767">
            <v>200</v>
          </cell>
          <cell r="I7767">
            <v>4949566062</v>
          </cell>
        </row>
        <row r="7768">
          <cell r="A7768" t="str">
            <v>Luxembourg</v>
          </cell>
          <cell r="B7768">
            <v>442</v>
          </cell>
          <cell r="C7768">
            <v>203</v>
          </cell>
          <cell r="D7768">
            <v>11</v>
          </cell>
          <cell r="E7768" t="str">
            <v>OPERATING SURPLUS, GROSS</v>
          </cell>
          <cell r="F7768">
            <v>12</v>
          </cell>
          <cell r="G7768">
            <v>1994</v>
          </cell>
          <cell r="H7768">
            <v>200</v>
          </cell>
          <cell r="I7768">
            <v>6513551100</v>
          </cell>
        </row>
        <row r="7769">
          <cell r="A7769" t="str">
            <v>Luxembourg</v>
          </cell>
          <cell r="B7769">
            <v>442</v>
          </cell>
          <cell r="C7769">
            <v>203</v>
          </cell>
          <cell r="D7769">
            <v>11</v>
          </cell>
          <cell r="E7769" t="str">
            <v>OPERATING SURPLUS, GROSS</v>
          </cell>
          <cell r="F7769">
            <v>12</v>
          </cell>
          <cell r="G7769">
            <v>1995</v>
          </cell>
          <cell r="H7769">
            <v>200</v>
          </cell>
          <cell r="I7769">
            <v>7067047762</v>
          </cell>
        </row>
        <row r="7770">
          <cell r="A7770" t="str">
            <v>Luxembourg</v>
          </cell>
          <cell r="B7770">
            <v>442</v>
          </cell>
          <cell r="C7770">
            <v>203</v>
          </cell>
          <cell r="D7770">
            <v>11</v>
          </cell>
          <cell r="E7770" t="str">
            <v>OPERATING SURPLUS, GROSS</v>
          </cell>
          <cell r="F7770">
            <v>12</v>
          </cell>
          <cell r="G7770">
            <v>1996</v>
          </cell>
          <cell r="H7770">
            <v>200</v>
          </cell>
          <cell r="I7770">
            <v>8058696229</v>
          </cell>
        </row>
        <row r="7771">
          <cell r="A7771" t="str">
            <v>Luxembourg</v>
          </cell>
          <cell r="B7771">
            <v>442</v>
          </cell>
          <cell r="C7771">
            <v>203</v>
          </cell>
          <cell r="D7771">
            <v>11</v>
          </cell>
          <cell r="E7771" t="str">
            <v>OPERATING SURPLUS, GROSS</v>
          </cell>
          <cell r="F7771">
            <v>12</v>
          </cell>
          <cell r="G7771">
            <v>1997</v>
          </cell>
          <cell r="H7771">
            <v>200</v>
          </cell>
          <cell r="I7771">
            <v>8633511734</v>
          </cell>
        </row>
        <row r="7772">
          <cell r="A7772" t="str">
            <v>Luxembourg</v>
          </cell>
          <cell r="B7772">
            <v>442</v>
          </cell>
          <cell r="C7772">
            <v>203</v>
          </cell>
          <cell r="D7772">
            <v>11</v>
          </cell>
          <cell r="E7772" t="str">
            <v>OPERATING SURPLUS, GROSS</v>
          </cell>
          <cell r="F7772">
            <v>12</v>
          </cell>
          <cell r="G7772">
            <v>1998</v>
          </cell>
          <cell r="H7772">
            <v>200</v>
          </cell>
          <cell r="I7772">
            <v>8962714335</v>
          </cell>
        </row>
        <row r="7773">
          <cell r="A7773" t="str">
            <v>Luxembourg</v>
          </cell>
          <cell r="B7773">
            <v>442</v>
          </cell>
          <cell r="C7773">
            <v>203</v>
          </cell>
          <cell r="D7773">
            <v>11</v>
          </cell>
          <cell r="E7773" t="str">
            <v>OPERATING SURPLUS, GROSS</v>
          </cell>
          <cell r="F7773">
            <v>12</v>
          </cell>
          <cell r="G7773">
            <v>1999</v>
          </cell>
          <cell r="H7773">
            <v>200</v>
          </cell>
          <cell r="I7773">
            <v>10245662483</v>
          </cell>
        </row>
        <row r="7774">
          <cell r="A7774" t="str">
            <v>Luxembourg</v>
          </cell>
          <cell r="B7774">
            <v>442</v>
          </cell>
          <cell r="C7774">
            <v>203</v>
          </cell>
          <cell r="D7774">
            <v>11</v>
          </cell>
          <cell r="E7774" t="str">
            <v>OPERATING SURPLUS, GROSS</v>
          </cell>
          <cell r="F7774">
            <v>12</v>
          </cell>
          <cell r="G7774">
            <v>2000</v>
          </cell>
          <cell r="H7774">
            <v>200</v>
          </cell>
          <cell r="I7774">
            <v>10738226916</v>
          </cell>
        </row>
        <row r="7775">
          <cell r="A7775" t="str">
            <v>Luxembourg</v>
          </cell>
          <cell r="B7775">
            <v>442</v>
          </cell>
          <cell r="C7775">
            <v>203</v>
          </cell>
          <cell r="D7775">
            <v>11</v>
          </cell>
          <cell r="E7775" t="str">
            <v>OPERATING SURPLUS, GROSS</v>
          </cell>
          <cell r="F7775">
            <v>12</v>
          </cell>
          <cell r="G7775">
            <v>2001</v>
          </cell>
          <cell r="H7775">
            <v>200</v>
          </cell>
          <cell r="I7775">
            <v>11134881346</v>
          </cell>
        </row>
        <row r="7776">
          <cell r="A7776" t="str">
            <v>Luxembourg</v>
          </cell>
          <cell r="B7776">
            <v>442</v>
          </cell>
          <cell r="C7776">
            <v>203</v>
          </cell>
          <cell r="D7776">
            <v>11</v>
          </cell>
          <cell r="E7776" t="str">
            <v>OPERATING SURPLUS, GROSS</v>
          </cell>
          <cell r="F7776">
            <v>12</v>
          </cell>
          <cell r="G7776">
            <v>2002</v>
          </cell>
          <cell r="H7776">
            <v>200</v>
          </cell>
          <cell r="I7776">
            <v>11921050870</v>
          </cell>
        </row>
        <row r="7777">
          <cell r="A7777" t="str">
            <v>Luxembourg</v>
          </cell>
          <cell r="B7777">
            <v>442</v>
          </cell>
          <cell r="C7777">
            <v>203</v>
          </cell>
          <cell r="D7777">
            <v>11</v>
          </cell>
          <cell r="E7777" t="str">
            <v>OPERATING SURPLUS, GROSS</v>
          </cell>
          <cell r="F7777">
            <v>12</v>
          </cell>
          <cell r="G7777">
            <v>2003</v>
          </cell>
          <cell r="H7777">
            <v>200</v>
          </cell>
          <cell r="I7777">
            <v>13594282584</v>
          </cell>
        </row>
        <row r="7778">
          <cell r="A7778" t="str">
            <v>Luxembourg</v>
          </cell>
          <cell r="B7778">
            <v>442</v>
          </cell>
          <cell r="C7778">
            <v>203</v>
          </cell>
          <cell r="D7778">
            <v>22</v>
          </cell>
          <cell r="E7778" t="str">
            <v>Taxes on production and imports, less Subsidies</v>
          </cell>
          <cell r="F7778">
            <v>12</v>
          </cell>
          <cell r="G7778">
            <v>1985</v>
          </cell>
          <cell r="H7778">
            <v>200</v>
          </cell>
          <cell r="I7778">
            <v>44224205</v>
          </cell>
        </row>
        <row r="7779">
          <cell r="A7779" t="str">
            <v>Luxembourg</v>
          </cell>
          <cell r="B7779">
            <v>442</v>
          </cell>
          <cell r="C7779">
            <v>203</v>
          </cell>
          <cell r="D7779">
            <v>22</v>
          </cell>
          <cell r="E7779" t="str">
            <v>Taxes on production and imports, less Subsidies</v>
          </cell>
          <cell r="F7779">
            <v>12</v>
          </cell>
          <cell r="G7779">
            <v>1986</v>
          </cell>
          <cell r="H7779">
            <v>200</v>
          </cell>
          <cell r="I7779">
            <v>38993651</v>
          </cell>
        </row>
        <row r="7780">
          <cell r="A7780" t="str">
            <v>Luxembourg</v>
          </cell>
          <cell r="B7780">
            <v>442</v>
          </cell>
          <cell r="C7780">
            <v>203</v>
          </cell>
          <cell r="D7780">
            <v>22</v>
          </cell>
          <cell r="E7780" t="str">
            <v>Taxes on production and imports, less Subsidies</v>
          </cell>
          <cell r="F7780">
            <v>12</v>
          </cell>
          <cell r="G7780">
            <v>1987</v>
          </cell>
          <cell r="H7780">
            <v>200</v>
          </cell>
          <cell r="I7780">
            <v>23450727</v>
          </cell>
        </row>
        <row r="7781">
          <cell r="A7781" t="str">
            <v>Luxembourg</v>
          </cell>
          <cell r="B7781">
            <v>442</v>
          </cell>
          <cell r="C7781">
            <v>203</v>
          </cell>
          <cell r="D7781">
            <v>22</v>
          </cell>
          <cell r="E7781" t="str">
            <v>Taxes on production and imports, less Subsidies</v>
          </cell>
          <cell r="F7781">
            <v>12</v>
          </cell>
          <cell r="G7781">
            <v>1988</v>
          </cell>
          <cell r="H7781">
            <v>200</v>
          </cell>
          <cell r="I7781">
            <v>36390769</v>
          </cell>
        </row>
        <row r="7782">
          <cell r="A7782" t="str">
            <v>Luxembourg</v>
          </cell>
          <cell r="B7782">
            <v>442</v>
          </cell>
          <cell r="C7782">
            <v>203</v>
          </cell>
          <cell r="D7782">
            <v>22</v>
          </cell>
          <cell r="E7782" t="str">
            <v>Taxes on production and imports, less Subsidies</v>
          </cell>
          <cell r="F7782">
            <v>12</v>
          </cell>
          <cell r="G7782">
            <v>1989</v>
          </cell>
          <cell r="H7782">
            <v>200</v>
          </cell>
          <cell r="I7782">
            <v>68121141</v>
          </cell>
        </row>
        <row r="7783">
          <cell r="A7783" t="str">
            <v>Luxembourg</v>
          </cell>
          <cell r="B7783">
            <v>442</v>
          </cell>
          <cell r="C7783">
            <v>203</v>
          </cell>
          <cell r="D7783">
            <v>22</v>
          </cell>
          <cell r="E7783" t="str">
            <v>Taxes on production and imports, less Subsidies</v>
          </cell>
          <cell r="F7783">
            <v>12</v>
          </cell>
          <cell r="G7783">
            <v>1990</v>
          </cell>
          <cell r="H7783">
            <v>200</v>
          </cell>
          <cell r="I7783">
            <v>83440960</v>
          </cell>
        </row>
        <row r="7784">
          <cell r="A7784" t="str">
            <v>Luxembourg</v>
          </cell>
          <cell r="B7784">
            <v>442</v>
          </cell>
          <cell r="C7784">
            <v>203</v>
          </cell>
          <cell r="D7784">
            <v>22</v>
          </cell>
          <cell r="E7784" t="str">
            <v>Taxes on production and imports, less Subsidies</v>
          </cell>
          <cell r="F7784">
            <v>12</v>
          </cell>
          <cell r="G7784">
            <v>1991</v>
          </cell>
          <cell r="H7784">
            <v>200</v>
          </cell>
          <cell r="I7784">
            <v>33143364</v>
          </cell>
        </row>
        <row r="7785">
          <cell r="A7785" t="str">
            <v>Luxembourg</v>
          </cell>
          <cell r="B7785">
            <v>442</v>
          </cell>
          <cell r="C7785">
            <v>203</v>
          </cell>
          <cell r="D7785">
            <v>22</v>
          </cell>
          <cell r="E7785" t="str">
            <v>Taxes on production and imports, less Subsidies</v>
          </cell>
          <cell r="F7785">
            <v>12</v>
          </cell>
          <cell r="G7785">
            <v>1992</v>
          </cell>
          <cell r="H7785">
            <v>200</v>
          </cell>
          <cell r="I7785">
            <v>61948592</v>
          </cell>
        </row>
        <row r="7786">
          <cell r="A7786" t="str">
            <v>Luxembourg</v>
          </cell>
          <cell r="B7786">
            <v>442</v>
          </cell>
          <cell r="C7786">
            <v>203</v>
          </cell>
          <cell r="D7786">
            <v>22</v>
          </cell>
          <cell r="E7786" t="str">
            <v>Taxes on production and imports, less Subsidies</v>
          </cell>
          <cell r="F7786">
            <v>12</v>
          </cell>
          <cell r="G7786">
            <v>1993</v>
          </cell>
          <cell r="H7786">
            <v>200</v>
          </cell>
          <cell r="I7786">
            <v>133019665</v>
          </cell>
        </row>
        <row r="7787">
          <cell r="A7787" t="str">
            <v>Luxembourg</v>
          </cell>
          <cell r="B7787">
            <v>442</v>
          </cell>
          <cell r="C7787">
            <v>203</v>
          </cell>
          <cell r="D7787">
            <v>22</v>
          </cell>
          <cell r="E7787" t="str">
            <v>Taxes on production and imports, less Subsidies</v>
          </cell>
          <cell r="F7787">
            <v>12</v>
          </cell>
          <cell r="G7787">
            <v>1994</v>
          </cell>
          <cell r="H7787">
            <v>200</v>
          </cell>
          <cell r="I7787">
            <v>114725123</v>
          </cell>
        </row>
        <row r="7788">
          <cell r="A7788" t="str">
            <v>Luxembourg</v>
          </cell>
          <cell r="B7788">
            <v>442</v>
          </cell>
          <cell r="C7788">
            <v>203</v>
          </cell>
          <cell r="D7788">
            <v>22</v>
          </cell>
          <cell r="E7788" t="str">
            <v>Taxes on production and imports, less Subsidies</v>
          </cell>
          <cell r="F7788">
            <v>12</v>
          </cell>
          <cell r="G7788">
            <v>1995</v>
          </cell>
          <cell r="H7788">
            <v>200</v>
          </cell>
          <cell r="I7788">
            <v>95538164</v>
          </cell>
        </row>
        <row r="7789">
          <cell r="A7789" t="str">
            <v>Luxembourg</v>
          </cell>
          <cell r="B7789">
            <v>442</v>
          </cell>
          <cell r="C7789">
            <v>203</v>
          </cell>
          <cell r="D7789">
            <v>22</v>
          </cell>
          <cell r="E7789" t="str">
            <v>Taxes on production and imports, less Subsidies</v>
          </cell>
          <cell r="F7789">
            <v>12</v>
          </cell>
          <cell r="G7789">
            <v>1996</v>
          </cell>
          <cell r="H7789">
            <v>200</v>
          </cell>
          <cell r="I7789">
            <v>97893153</v>
          </cell>
        </row>
        <row r="7790">
          <cell r="A7790" t="str">
            <v>Luxembourg</v>
          </cell>
          <cell r="B7790">
            <v>442</v>
          </cell>
          <cell r="C7790">
            <v>203</v>
          </cell>
          <cell r="D7790">
            <v>22</v>
          </cell>
          <cell r="E7790" t="str">
            <v>Taxes on production and imports, less Subsidies</v>
          </cell>
          <cell r="F7790">
            <v>12</v>
          </cell>
          <cell r="G7790">
            <v>1997</v>
          </cell>
          <cell r="H7790">
            <v>200</v>
          </cell>
          <cell r="I7790">
            <v>117699846</v>
          </cell>
        </row>
        <row r="7791">
          <cell r="A7791" t="str">
            <v>Luxembourg</v>
          </cell>
          <cell r="B7791">
            <v>442</v>
          </cell>
          <cell r="C7791">
            <v>203</v>
          </cell>
          <cell r="D7791">
            <v>22</v>
          </cell>
          <cell r="E7791" t="str">
            <v>Taxes on production and imports, less Subsidies</v>
          </cell>
          <cell r="F7791">
            <v>12</v>
          </cell>
          <cell r="G7791">
            <v>1998</v>
          </cell>
          <cell r="H7791">
            <v>200</v>
          </cell>
          <cell r="I7791">
            <v>170030169</v>
          </cell>
        </row>
        <row r="7792">
          <cell r="A7792" t="str">
            <v>Luxembourg</v>
          </cell>
          <cell r="B7792">
            <v>442</v>
          </cell>
          <cell r="C7792">
            <v>203</v>
          </cell>
          <cell r="D7792">
            <v>22</v>
          </cell>
          <cell r="E7792" t="str">
            <v>Taxes on production and imports, less Subsidies</v>
          </cell>
          <cell r="F7792">
            <v>12</v>
          </cell>
          <cell r="G7792">
            <v>1999</v>
          </cell>
          <cell r="H7792">
            <v>200</v>
          </cell>
          <cell r="I7792">
            <v>269038842</v>
          </cell>
        </row>
        <row r="7793">
          <cell r="A7793" t="str">
            <v>Luxembourg</v>
          </cell>
          <cell r="B7793">
            <v>442</v>
          </cell>
          <cell r="C7793">
            <v>203</v>
          </cell>
          <cell r="D7793">
            <v>22</v>
          </cell>
          <cell r="E7793" t="str">
            <v>Taxes on production and imports, less Subsidies</v>
          </cell>
          <cell r="F7793">
            <v>12</v>
          </cell>
          <cell r="G7793">
            <v>2000</v>
          </cell>
          <cell r="H7793">
            <v>200</v>
          </cell>
          <cell r="I7793">
            <v>344894261</v>
          </cell>
        </row>
        <row r="7794">
          <cell r="A7794" t="str">
            <v>Luxembourg</v>
          </cell>
          <cell r="B7794">
            <v>442</v>
          </cell>
          <cell r="C7794">
            <v>203</v>
          </cell>
          <cell r="D7794">
            <v>22</v>
          </cell>
          <cell r="E7794" t="str">
            <v>Taxes on production and imports, less Subsidies</v>
          </cell>
          <cell r="F7794">
            <v>12</v>
          </cell>
          <cell r="G7794">
            <v>2001</v>
          </cell>
          <cell r="H7794">
            <v>200</v>
          </cell>
          <cell r="I7794">
            <v>362990488</v>
          </cell>
        </row>
        <row r="7795">
          <cell r="A7795" t="str">
            <v>Luxembourg</v>
          </cell>
          <cell r="B7795">
            <v>442</v>
          </cell>
          <cell r="C7795">
            <v>203</v>
          </cell>
          <cell r="D7795">
            <v>22</v>
          </cell>
          <cell r="E7795" t="str">
            <v>Taxes on production and imports, less Subsidies</v>
          </cell>
          <cell r="F7795">
            <v>12</v>
          </cell>
          <cell r="G7795">
            <v>2002</v>
          </cell>
          <cell r="H7795">
            <v>200</v>
          </cell>
          <cell r="I7795">
            <v>238969358</v>
          </cell>
        </row>
        <row r="7796">
          <cell r="A7796" t="str">
            <v>Luxembourg</v>
          </cell>
          <cell r="B7796">
            <v>442</v>
          </cell>
          <cell r="C7796">
            <v>203</v>
          </cell>
          <cell r="D7796">
            <v>22</v>
          </cell>
          <cell r="E7796" t="str">
            <v>Taxes on production and imports, less Subsidies</v>
          </cell>
          <cell r="F7796">
            <v>12</v>
          </cell>
          <cell r="G7796">
            <v>2003</v>
          </cell>
          <cell r="H7796">
            <v>200</v>
          </cell>
          <cell r="I7796">
            <v>182474424</v>
          </cell>
        </row>
        <row r="7797">
          <cell r="A7797" t="str">
            <v>Netherlands</v>
          </cell>
          <cell r="B7797">
            <v>528</v>
          </cell>
          <cell r="C7797">
            <v>203</v>
          </cell>
          <cell r="D7797">
            <v>22</v>
          </cell>
          <cell r="E7797" t="str">
            <v>Taxes on production and imports, less Subsidies</v>
          </cell>
          <cell r="F7797">
            <v>12</v>
          </cell>
          <cell r="G7797">
            <v>1969</v>
          </cell>
          <cell r="H7797">
            <v>200</v>
          </cell>
          <cell r="I7797">
            <v>293000000</v>
          </cell>
        </row>
        <row r="7798">
          <cell r="A7798" t="str">
            <v>Netherlands</v>
          </cell>
          <cell r="B7798">
            <v>528</v>
          </cell>
          <cell r="C7798">
            <v>203</v>
          </cell>
          <cell r="D7798">
            <v>22</v>
          </cell>
          <cell r="E7798" t="str">
            <v>Taxes on production and imports, less Subsidies</v>
          </cell>
          <cell r="F7798">
            <v>12</v>
          </cell>
          <cell r="G7798">
            <v>1970</v>
          </cell>
          <cell r="H7798">
            <v>200</v>
          </cell>
          <cell r="I7798">
            <v>294000000</v>
          </cell>
        </row>
        <row r="7799">
          <cell r="A7799" t="str">
            <v>Netherlands</v>
          </cell>
          <cell r="B7799">
            <v>528</v>
          </cell>
          <cell r="C7799">
            <v>203</v>
          </cell>
          <cell r="D7799">
            <v>22</v>
          </cell>
          <cell r="E7799" t="str">
            <v>Taxes on production and imports, less Subsidies</v>
          </cell>
          <cell r="F7799">
            <v>12</v>
          </cell>
          <cell r="G7799">
            <v>1971</v>
          </cell>
          <cell r="H7799">
            <v>200</v>
          </cell>
          <cell r="I7799">
            <v>327000000</v>
          </cell>
        </row>
        <row r="7800">
          <cell r="A7800" t="str">
            <v>Netherlands</v>
          </cell>
          <cell r="B7800">
            <v>528</v>
          </cell>
          <cell r="C7800">
            <v>203</v>
          </cell>
          <cell r="D7800">
            <v>22</v>
          </cell>
          <cell r="E7800" t="str">
            <v>Taxes on production and imports, less Subsidies</v>
          </cell>
          <cell r="F7800">
            <v>12</v>
          </cell>
          <cell r="G7800">
            <v>1972</v>
          </cell>
          <cell r="H7800">
            <v>200</v>
          </cell>
          <cell r="I7800">
            <v>404000000</v>
          </cell>
        </row>
        <row r="7801">
          <cell r="A7801" t="str">
            <v>Netherlands</v>
          </cell>
          <cell r="B7801">
            <v>528</v>
          </cell>
          <cell r="C7801">
            <v>203</v>
          </cell>
          <cell r="D7801">
            <v>22</v>
          </cell>
          <cell r="E7801" t="str">
            <v>Taxes on production and imports, less Subsidies</v>
          </cell>
          <cell r="F7801">
            <v>12</v>
          </cell>
          <cell r="G7801">
            <v>1973</v>
          </cell>
          <cell r="H7801">
            <v>200</v>
          </cell>
          <cell r="I7801">
            <v>488000000</v>
          </cell>
        </row>
        <row r="7802">
          <cell r="A7802" t="str">
            <v>Netherlands</v>
          </cell>
          <cell r="B7802">
            <v>528</v>
          </cell>
          <cell r="C7802">
            <v>203</v>
          </cell>
          <cell r="D7802">
            <v>22</v>
          </cell>
          <cell r="E7802" t="str">
            <v>Taxes on production and imports, less Subsidies</v>
          </cell>
          <cell r="F7802">
            <v>12</v>
          </cell>
          <cell r="G7802">
            <v>1974</v>
          </cell>
          <cell r="H7802">
            <v>200</v>
          </cell>
          <cell r="I7802">
            <v>559000000</v>
          </cell>
        </row>
        <row r="7803">
          <cell r="A7803" t="str">
            <v>Netherlands</v>
          </cell>
          <cell r="B7803">
            <v>528</v>
          </cell>
          <cell r="C7803">
            <v>203</v>
          </cell>
          <cell r="D7803">
            <v>22</v>
          </cell>
          <cell r="E7803" t="str">
            <v>Taxes on production and imports, less Subsidies</v>
          </cell>
          <cell r="F7803">
            <v>12</v>
          </cell>
          <cell r="G7803">
            <v>1975</v>
          </cell>
          <cell r="H7803">
            <v>200</v>
          </cell>
          <cell r="I7803">
            <v>518000000</v>
          </cell>
        </row>
        <row r="7804">
          <cell r="A7804" t="str">
            <v>Netherlands</v>
          </cell>
          <cell r="B7804">
            <v>528</v>
          </cell>
          <cell r="C7804">
            <v>203</v>
          </cell>
          <cell r="D7804">
            <v>22</v>
          </cell>
          <cell r="E7804" t="str">
            <v>Taxes on production and imports, less Subsidies</v>
          </cell>
          <cell r="F7804">
            <v>12</v>
          </cell>
          <cell r="G7804">
            <v>1976</v>
          </cell>
          <cell r="H7804">
            <v>200</v>
          </cell>
          <cell r="I7804">
            <v>576000000</v>
          </cell>
        </row>
        <row r="7805">
          <cell r="A7805" t="str">
            <v>Netherlands</v>
          </cell>
          <cell r="B7805">
            <v>528</v>
          </cell>
          <cell r="C7805">
            <v>203</v>
          </cell>
          <cell r="D7805">
            <v>22</v>
          </cell>
          <cell r="E7805" t="str">
            <v>Taxes on production and imports, less Subsidies</v>
          </cell>
          <cell r="F7805">
            <v>12</v>
          </cell>
          <cell r="G7805">
            <v>1977</v>
          </cell>
          <cell r="H7805">
            <v>200</v>
          </cell>
          <cell r="I7805">
            <v>855000000</v>
          </cell>
        </row>
        <row r="7806">
          <cell r="A7806" t="str">
            <v>Netherlands</v>
          </cell>
          <cell r="B7806">
            <v>528</v>
          </cell>
          <cell r="C7806">
            <v>203</v>
          </cell>
          <cell r="D7806">
            <v>22</v>
          </cell>
          <cell r="E7806" t="str">
            <v>Taxes on production and imports, less Subsidies</v>
          </cell>
          <cell r="F7806">
            <v>12</v>
          </cell>
          <cell r="G7806">
            <v>1978</v>
          </cell>
          <cell r="H7806">
            <v>200</v>
          </cell>
          <cell r="I7806">
            <v>870000000</v>
          </cell>
        </row>
        <row r="7807">
          <cell r="A7807" t="str">
            <v>Netherlands</v>
          </cell>
          <cell r="B7807">
            <v>528</v>
          </cell>
          <cell r="C7807">
            <v>203</v>
          </cell>
          <cell r="D7807">
            <v>22</v>
          </cell>
          <cell r="E7807" t="str">
            <v>Taxes on production and imports, less Subsidies</v>
          </cell>
          <cell r="F7807">
            <v>12</v>
          </cell>
          <cell r="G7807">
            <v>1979</v>
          </cell>
          <cell r="H7807">
            <v>200</v>
          </cell>
          <cell r="I7807">
            <v>974000000</v>
          </cell>
        </row>
        <row r="7808">
          <cell r="A7808" t="str">
            <v>Netherlands</v>
          </cell>
          <cell r="B7808">
            <v>528</v>
          </cell>
          <cell r="C7808">
            <v>203</v>
          </cell>
          <cell r="D7808">
            <v>22</v>
          </cell>
          <cell r="E7808" t="str">
            <v>Taxes on production and imports, less Subsidies</v>
          </cell>
          <cell r="F7808">
            <v>12</v>
          </cell>
          <cell r="G7808">
            <v>1980</v>
          </cell>
          <cell r="H7808">
            <v>200</v>
          </cell>
          <cell r="I7808">
            <v>1051000000</v>
          </cell>
        </row>
        <row r="7809">
          <cell r="A7809" t="str">
            <v>Netherlands</v>
          </cell>
          <cell r="B7809">
            <v>528</v>
          </cell>
          <cell r="C7809">
            <v>203</v>
          </cell>
          <cell r="D7809">
            <v>22</v>
          </cell>
          <cell r="E7809" t="str">
            <v>Taxes on production and imports, less Subsidies</v>
          </cell>
          <cell r="F7809">
            <v>12</v>
          </cell>
          <cell r="G7809">
            <v>1981</v>
          </cell>
          <cell r="H7809">
            <v>200</v>
          </cell>
          <cell r="I7809">
            <v>1214000000</v>
          </cell>
        </row>
        <row r="7810">
          <cell r="A7810" t="str">
            <v>Netherlands</v>
          </cell>
          <cell r="B7810">
            <v>528</v>
          </cell>
          <cell r="C7810">
            <v>203</v>
          </cell>
          <cell r="D7810">
            <v>22</v>
          </cell>
          <cell r="E7810" t="str">
            <v>Taxes on production and imports, less Subsidies</v>
          </cell>
          <cell r="F7810">
            <v>12</v>
          </cell>
          <cell r="G7810">
            <v>1982</v>
          </cell>
          <cell r="H7810">
            <v>200</v>
          </cell>
          <cell r="I7810">
            <v>1214000000</v>
          </cell>
        </row>
        <row r="7811">
          <cell r="A7811" t="str">
            <v>Netherlands</v>
          </cell>
          <cell r="B7811">
            <v>528</v>
          </cell>
          <cell r="C7811">
            <v>203</v>
          </cell>
          <cell r="D7811">
            <v>22</v>
          </cell>
          <cell r="E7811" t="str">
            <v>Taxes on production and imports, less Subsidies</v>
          </cell>
          <cell r="F7811">
            <v>12</v>
          </cell>
          <cell r="G7811">
            <v>1983</v>
          </cell>
          <cell r="H7811">
            <v>200</v>
          </cell>
          <cell r="I7811">
            <v>1230000000</v>
          </cell>
        </row>
        <row r="7812">
          <cell r="A7812" t="str">
            <v>Netherlands</v>
          </cell>
          <cell r="B7812">
            <v>528</v>
          </cell>
          <cell r="C7812">
            <v>203</v>
          </cell>
          <cell r="D7812">
            <v>22</v>
          </cell>
          <cell r="E7812" t="str">
            <v>Taxes on production and imports, less Subsidies</v>
          </cell>
          <cell r="F7812">
            <v>12</v>
          </cell>
          <cell r="G7812">
            <v>1984</v>
          </cell>
          <cell r="H7812">
            <v>200</v>
          </cell>
          <cell r="I7812">
            <v>1253000000</v>
          </cell>
        </row>
        <row r="7813">
          <cell r="A7813" t="str">
            <v>Netherlands</v>
          </cell>
          <cell r="B7813">
            <v>528</v>
          </cell>
          <cell r="C7813">
            <v>203</v>
          </cell>
          <cell r="D7813">
            <v>22</v>
          </cell>
          <cell r="E7813" t="str">
            <v>Taxes on production and imports, less Subsidies</v>
          </cell>
          <cell r="F7813">
            <v>12</v>
          </cell>
          <cell r="G7813">
            <v>1985</v>
          </cell>
          <cell r="H7813">
            <v>200</v>
          </cell>
          <cell r="I7813">
            <v>1367000000</v>
          </cell>
        </row>
        <row r="7814">
          <cell r="A7814" t="str">
            <v>Netherlands</v>
          </cell>
          <cell r="B7814">
            <v>528</v>
          </cell>
          <cell r="C7814">
            <v>203</v>
          </cell>
          <cell r="D7814">
            <v>22</v>
          </cell>
          <cell r="E7814" t="str">
            <v>Taxes on production and imports, less Subsidies</v>
          </cell>
          <cell r="F7814">
            <v>12</v>
          </cell>
          <cell r="G7814">
            <v>1986</v>
          </cell>
          <cell r="H7814">
            <v>200</v>
          </cell>
          <cell r="I7814">
            <v>1401000000</v>
          </cell>
        </row>
        <row r="7815">
          <cell r="A7815" t="str">
            <v>Netherlands</v>
          </cell>
          <cell r="B7815">
            <v>528</v>
          </cell>
          <cell r="C7815">
            <v>203</v>
          </cell>
          <cell r="D7815">
            <v>22</v>
          </cell>
          <cell r="E7815" t="str">
            <v>Taxes on production and imports, less Subsidies</v>
          </cell>
          <cell r="F7815">
            <v>12</v>
          </cell>
          <cell r="G7815">
            <v>1987</v>
          </cell>
          <cell r="H7815">
            <v>200</v>
          </cell>
          <cell r="I7815">
            <v>1499000000</v>
          </cell>
        </row>
        <row r="7816">
          <cell r="A7816" t="str">
            <v>Netherlands</v>
          </cell>
          <cell r="B7816">
            <v>528</v>
          </cell>
          <cell r="C7816">
            <v>203</v>
          </cell>
          <cell r="D7816">
            <v>22</v>
          </cell>
          <cell r="E7816" t="str">
            <v>Taxes on production and imports, less Subsidies</v>
          </cell>
          <cell r="F7816">
            <v>12</v>
          </cell>
          <cell r="G7816">
            <v>1988</v>
          </cell>
          <cell r="H7816">
            <v>200</v>
          </cell>
          <cell r="I7816">
            <v>1524000000</v>
          </cell>
        </row>
        <row r="7817">
          <cell r="A7817" t="str">
            <v>Netherlands</v>
          </cell>
          <cell r="B7817">
            <v>528</v>
          </cell>
          <cell r="C7817">
            <v>203</v>
          </cell>
          <cell r="D7817">
            <v>22</v>
          </cell>
          <cell r="E7817" t="str">
            <v>Taxes on production and imports, less Subsidies</v>
          </cell>
          <cell r="F7817">
            <v>12</v>
          </cell>
          <cell r="G7817">
            <v>1989</v>
          </cell>
          <cell r="H7817">
            <v>200</v>
          </cell>
          <cell r="I7817">
            <v>1460000000</v>
          </cell>
        </row>
        <row r="7818">
          <cell r="A7818" t="str">
            <v>Netherlands</v>
          </cell>
          <cell r="B7818">
            <v>528</v>
          </cell>
          <cell r="C7818">
            <v>203</v>
          </cell>
          <cell r="D7818">
            <v>22</v>
          </cell>
          <cell r="E7818" t="str">
            <v>Taxes on production and imports, less Subsidies</v>
          </cell>
          <cell r="F7818">
            <v>12</v>
          </cell>
          <cell r="G7818">
            <v>1990</v>
          </cell>
          <cell r="H7818">
            <v>200</v>
          </cell>
          <cell r="I7818">
            <v>1575000000</v>
          </cell>
        </row>
        <row r="7819">
          <cell r="A7819" t="str">
            <v>Netherlands</v>
          </cell>
          <cell r="B7819">
            <v>528</v>
          </cell>
          <cell r="C7819">
            <v>203</v>
          </cell>
          <cell r="D7819">
            <v>22</v>
          </cell>
          <cell r="E7819" t="str">
            <v>Taxes on production and imports, less Subsidies</v>
          </cell>
          <cell r="F7819">
            <v>12</v>
          </cell>
          <cell r="G7819">
            <v>1991</v>
          </cell>
          <cell r="H7819">
            <v>200</v>
          </cell>
          <cell r="I7819">
            <v>1683000000</v>
          </cell>
        </row>
        <row r="7820">
          <cell r="A7820" t="str">
            <v>Netherlands</v>
          </cell>
          <cell r="B7820">
            <v>528</v>
          </cell>
          <cell r="C7820">
            <v>203</v>
          </cell>
          <cell r="D7820">
            <v>22</v>
          </cell>
          <cell r="E7820" t="str">
            <v>Taxes on production and imports, less Subsidies</v>
          </cell>
          <cell r="F7820">
            <v>12</v>
          </cell>
          <cell r="G7820">
            <v>1992</v>
          </cell>
          <cell r="H7820">
            <v>200</v>
          </cell>
          <cell r="I7820">
            <v>2043000000</v>
          </cell>
        </row>
        <row r="7821">
          <cell r="A7821" t="str">
            <v>Netherlands</v>
          </cell>
          <cell r="B7821">
            <v>528</v>
          </cell>
          <cell r="C7821">
            <v>203</v>
          </cell>
          <cell r="D7821">
            <v>22</v>
          </cell>
          <cell r="E7821" t="str">
            <v>Taxes on production and imports, less Subsidies</v>
          </cell>
          <cell r="F7821">
            <v>12</v>
          </cell>
          <cell r="G7821">
            <v>1993</v>
          </cell>
          <cell r="H7821">
            <v>200</v>
          </cell>
          <cell r="I7821">
            <v>2284000000</v>
          </cell>
        </row>
        <row r="7822">
          <cell r="A7822" t="str">
            <v>Netherlands</v>
          </cell>
          <cell r="B7822">
            <v>528</v>
          </cell>
          <cell r="C7822">
            <v>203</v>
          </cell>
          <cell r="D7822">
            <v>22</v>
          </cell>
          <cell r="E7822" t="str">
            <v>Taxes on production and imports, less Subsidies</v>
          </cell>
          <cell r="F7822">
            <v>12</v>
          </cell>
          <cell r="G7822">
            <v>1994</v>
          </cell>
          <cell r="H7822">
            <v>200</v>
          </cell>
          <cell r="I7822">
            <v>2468000000</v>
          </cell>
        </row>
        <row r="7823">
          <cell r="A7823" t="str">
            <v>Netherlands</v>
          </cell>
          <cell r="B7823">
            <v>528</v>
          </cell>
          <cell r="C7823">
            <v>203</v>
          </cell>
          <cell r="D7823">
            <v>22</v>
          </cell>
          <cell r="E7823" t="str">
            <v>Taxes on production and imports, less Subsidies</v>
          </cell>
          <cell r="F7823">
            <v>12</v>
          </cell>
          <cell r="G7823">
            <v>1995</v>
          </cell>
          <cell r="H7823">
            <v>200</v>
          </cell>
          <cell r="I7823">
            <v>2304000000</v>
          </cell>
        </row>
        <row r="7824">
          <cell r="A7824" t="str">
            <v>Netherlands</v>
          </cell>
          <cell r="B7824">
            <v>528</v>
          </cell>
          <cell r="C7824">
            <v>203</v>
          </cell>
          <cell r="D7824">
            <v>22</v>
          </cell>
          <cell r="E7824" t="str">
            <v>Taxes on production and imports, less Subsidies</v>
          </cell>
          <cell r="F7824">
            <v>12</v>
          </cell>
          <cell r="G7824">
            <v>1996</v>
          </cell>
          <cell r="H7824">
            <v>200</v>
          </cell>
          <cell r="I7824">
            <v>1682000000</v>
          </cell>
        </row>
        <row r="7825">
          <cell r="A7825" t="str">
            <v>Netherlands</v>
          </cell>
          <cell r="B7825">
            <v>528</v>
          </cell>
          <cell r="C7825">
            <v>203</v>
          </cell>
          <cell r="D7825">
            <v>22</v>
          </cell>
          <cell r="E7825" t="str">
            <v>Taxes on production and imports, less Subsidies</v>
          </cell>
          <cell r="F7825">
            <v>12</v>
          </cell>
          <cell r="G7825">
            <v>1997</v>
          </cell>
          <cell r="H7825">
            <v>200</v>
          </cell>
          <cell r="I7825">
            <v>205000000</v>
          </cell>
        </row>
        <row r="7826">
          <cell r="A7826" t="str">
            <v>Netherlands</v>
          </cell>
          <cell r="B7826">
            <v>528</v>
          </cell>
          <cell r="C7826">
            <v>203</v>
          </cell>
          <cell r="D7826">
            <v>22</v>
          </cell>
          <cell r="E7826" t="str">
            <v>Taxes on production and imports, less Subsidies</v>
          </cell>
          <cell r="F7826">
            <v>12</v>
          </cell>
          <cell r="G7826">
            <v>1998</v>
          </cell>
          <cell r="H7826">
            <v>200</v>
          </cell>
          <cell r="I7826">
            <v>530000000</v>
          </cell>
        </row>
        <row r="7827">
          <cell r="A7827" t="str">
            <v>Netherlands</v>
          </cell>
          <cell r="B7827">
            <v>528</v>
          </cell>
          <cell r="C7827">
            <v>203</v>
          </cell>
          <cell r="D7827">
            <v>22</v>
          </cell>
          <cell r="E7827" t="str">
            <v>Taxes on production and imports, less Subsidies</v>
          </cell>
          <cell r="F7827">
            <v>12</v>
          </cell>
          <cell r="G7827">
            <v>1999</v>
          </cell>
          <cell r="H7827">
            <v>200</v>
          </cell>
          <cell r="I7827">
            <v>561000000</v>
          </cell>
        </row>
        <row r="7828">
          <cell r="A7828" t="str">
            <v>Netherlands</v>
          </cell>
          <cell r="B7828">
            <v>528</v>
          </cell>
          <cell r="C7828">
            <v>203</v>
          </cell>
          <cell r="D7828">
            <v>22</v>
          </cell>
          <cell r="E7828" t="str">
            <v>Taxes on production and imports, less Subsidies</v>
          </cell>
          <cell r="F7828">
            <v>12</v>
          </cell>
          <cell r="G7828">
            <v>2000</v>
          </cell>
          <cell r="H7828">
            <v>200</v>
          </cell>
          <cell r="I7828">
            <v>841000000</v>
          </cell>
        </row>
        <row r="7829">
          <cell r="A7829" t="str">
            <v>Netherlands</v>
          </cell>
          <cell r="B7829">
            <v>528</v>
          </cell>
          <cell r="C7829">
            <v>203</v>
          </cell>
          <cell r="D7829">
            <v>22</v>
          </cell>
          <cell r="E7829" t="str">
            <v>Taxes on production and imports, less Subsidies</v>
          </cell>
          <cell r="F7829">
            <v>12</v>
          </cell>
          <cell r="G7829">
            <v>2001</v>
          </cell>
          <cell r="H7829">
            <v>200</v>
          </cell>
          <cell r="I7829">
            <v>935000000</v>
          </cell>
        </row>
        <row r="7830">
          <cell r="A7830" t="str">
            <v>Netherlands</v>
          </cell>
          <cell r="B7830">
            <v>528</v>
          </cell>
          <cell r="C7830">
            <v>203</v>
          </cell>
          <cell r="D7830">
            <v>22</v>
          </cell>
          <cell r="E7830" t="str">
            <v>Taxes on production and imports, less Subsidies</v>
          </cell>
          <cell r="F7830">
            <v>12</v>
          </cell>
          <cell r="G7830">
            <v>2002</v>
          </cell>
          <cell r="H7830">
            <v>200</v>
          </cell>
          <cell r="I7830">
            <v>719000000</v>
          </cell>
        </row>
        <row r="7831">
          <cell r="A7831" t="str">
            <v>Malawi</v>
          </cell>
          <cell r="B7831">
            <v>454</v>
          </cell>
          <cell r="C7831">
            <v>201</v>
          </cell>
          <cell r="D7831">
            <v>13</v>
          </cell>
          <cell r="E7831" t="str">
            <v>Less: Financial intermediation services indirectly measured (FISIM) (only to be deducted if FISIM is not distributed to uses)</v>
          </cell>
          <cell r="F7831">
            <v>0</v>
          </cell>
          <cell r="G7831">
            <v>1970</v>
          </cell>
          <cell r="H7831">
            <v>10</v>
          </cell>
          <cell r="I7831">
            <v>2700000</v>
          </cell>
        </row>
        <row r="7832">
          <cell r="A7832" t="str">
            <v>Malawi</v>
          </cell>
          <cell r="B7832">
            <v>454</v>
          </cell>
          <cell r="C7832">
            <v>201</v>
          </cell>
          <cell r="D7832">
            <v>13</v>
          </cell>
          <cell r="E7832" t="str">
            <v>Less: Financial intermediation services indirectly measured (FISIM) (only to be deducted if FISIM is not distributed to uses)</v>
          </cell>
          <cell r="F7832">
            <v>0</v>
          </cell>
          <cell r="G7832">
            <v>1971</v>
          </cell>
          <cell r="H7832">
            <v>10</v>
          </cell>
          <cell r="I7832">
            <v>3400000</v>
          </cell>
        </row>
        <row r="7833">
          <cell r="A7833" t="str">
            <v>Malawi</v>
          </cell>
          <cell r="B7833">
            <v>454</v>
          </cell>
          <cell r="C7833">
            <v>201</v>
          </cell>
          <cell r="D7833">
            <v>13</v>
          </cell>
          <cell r="E7833" t="str">
            <v>Less: Financial intermediation services indirectly measured (FISIM) (only to be deducted if FISIM is not distributed to uses)</v>
          </cell>
          <cell r="F7833">
            <v>0</v>
          </cell>
          <cell r="G7833">
            <v>1972</v>
          </cell>
          <cell r="H7833">
            <v>10</v>
          </cell>
          <cell r="I7833">
            <v>4000000</v>
          </cell>
        </row>
        <row r="7834">
          <cell r="A7834" t="str">
            <v>Malawi</v>
          </cell>
          <cell r="B7834">
            <v>454</v>
          </cell>
          <cell r="C7834">
            <v>201</v>
          </cell>
          <cell r="D7834">
            <v>13</v>
          </cell>
          <cell r="E7834" t="str">
            <v>Less: Financial intermediation services indirectly measured (FISIM) (only to be deducted if FISIM is not distributed to uses)</v>
          </cell>
          <cell r="F7834">
            <v>0</v>
          </cell>
          <cell r="G7834">
            <v>1973</v>
          </cell>
          <cell r="H7834">
            <v>20</v>
          </cell>
          <cell r="I7834">
            <v>5000000</v>
          </cell>
        </row>
        <row r="7835">
          <cell r="A7835" t="str">
            <v>Malawi</v>
          </cell>
          <cell r="B7835">
            <v>454</v>
          </cell>
          <cell r="C7835">
            <v>201</v>
          </cell>
          <cell r="D7835">
            <v>13</v>
          </cell>
          <cell r="E7835" t="str">
            <v>Less: Financial intermediation services indirectly measured (FISIM) (only to be deducted if FISIM is not distributed to uses)</v>
          </cell>
          <cell r="F7835">
            <v>0</v>
          </cell>
          <cell r="G7835">
            <v>1974</v>
          </cell>
          <cell r="H7835">
            <v>20</v>
          </cell>
          <cell r="I7835">
            <v>7700000</v>
          </cell>
        </row>
        <row r="7836">
          <cell r="A7836" t="str">
            <v>Malawi</v>
          </cell>
          <cell r="B7836">
            <v>454</v>
          </cell>
          <cell r="C7836">
            <v>201</v>
          </cell>
          <cell r="D7836">
            <v>13</v>
          </cell>
          <cell r="E7836" t="str">
            <v>Less: Financial intermediation services indirectly measured (FISIM) (only to be deducted if FISIM is not distributed to uses)</v>
          </cell>
          <cell r="F7836">
            <v>0</v>
          </cell>
          <cell r="G7836">
            <v>1975</v>
          </cell>
          <cell r="H7836">
            <v>20</v>
          </cell>
          <cell r="I7836">
            <v>9000000</v>
          </cell>
        </row>
        <row r="7837">
          <cell r="A7837" t="str">
            <v>Malawi</v>
          </cell>
          <cell r="B7837">
            <v>454</v>
          </cell>
          <cell r="C7837">
            <v>201</v>
          </cell>
          <cell r="D7837">
            <v>13</v>
          </cell>
          <cell r="E7837" t="str">
            <v>Less: Financial intermediation services indirectly measured (FISIM) (only to be deducted if FISIM is not distributed to uses)</v>
          </cell>
          <cell r="F7837">
            <v>0</v>
          </cell>
          <cell r="G7837">
            <v>1976</v>
          </cell>
          <cell r="H7837">
            <v>20</v>
          </cell>
          <cell r="I7837">
            <v>6800000</v>
          </cell>
        </row>
        <row r="7838">
          <cell r="A7838" t="str">
            <v>Malawi</v>
          </cell>
          <cell r="B7838">
            <v>454</v>
          </cell>
          <cell r="C7838">
            <v>201</v>
          </cell>
          <cell r="D7838">
            <v>13</v>
          </cell>
          <cell r="E7838" t="str">
            <v>Less: Financial intermediation services indirectly measured (FISIM) (only to be deducted if FISIM is not distributed to uses)</v>
          </cell>
          <cell r="F7838">
            <v>0</v>
          </cell>
          <cell r="G7838">
            <v>1977</v>
          </cell>
          <cell r="H7838">
            <v>20</v>
          </cell>
          <cell r="I7838">
            <v>11400000</v>
          </cell>
        </row>
        <row r="7839">
          <cell r="A7839" t="str">
            <v>Malawi</v>
          </cell>
          <cell r="B7839">
            <v>454</v>
          </cell>
          <cell r="C7839">
            <v>201</v>
          </cell>
          <cell r="D7839">
            <v>13</v>
          </cell>
          <cell r="E7839" t="str">
            <v>Less: Financial intermediation services indirectly measured (FISIM) (only to be deducted if FISIM is not distributed to uses)</v>
          </cell>
          <cell r="F7839">
            <v>0</v>
          </cell>
          <cell r="G7839">
            <v>1978</v>
          </cell>
          <cell r="H7839">
            <v>20</v>
          </cell>
          <cell r="I7839">
            <v>12100000</v>
          </cell>
        </row>
        <row r="7840">
          <cell r="A7840" t="str">
            <v>Malawi</v>
          </cell>
          <cell r="B7840">
            <v>454</v>
          </cell>
          <cell r="C7840">
            <v>201</v>
          </cell>
          <cell r="D7840">
            <v>13</v>
          </cell>
          <cell r="E7840" t="str">
            <v>Less: Financial intermediation services indirectly measured (FISIM) (only to be deducted if FISIM is not distributed to uses)</v>
          </cell>
          <cell r="F7840">
            <v>0</v>
          </cell>
          <cell r="G7840">
            <v>1979</v>
          </cell>
          <cell r="H7840">
            <v>20</v>
          </cell>
          <cell r="I7840">
            <v>23800000</v>
          </cell>
        </row>
        <row r="7841">
          <cell r="A7841" t="str">
            <v>Malawi</v>
          </cell>
          <cell r="B7841">
            <v>454</v>
          </cell>
          <cell r="C7841">
            <v>201</v>
          </cell>
          <cell r="D7841">
            <v>13</v>
          </cell>
          <cell r="E7841" t="str">
            <v>Less: Financial intermediation services indirectly measured (FISIM) (only to be deducted if FISIM is not distributed to uses)</v>
          </cell>
          <cell r="F7841">
            <v>0</v>
          </cell>
          <cell r="G7841">
            <v>1980</v>
          </cell>
          <cell r="H7841">
            <v>20</v>
          </cell>
          <cell r="I7841">
            <v>25500000</v>
          </cell>
        </row>
        <row r="7842">
          <cell r="A7842" t="str">
            <v>Malawi</v>
          </cell>
          <cell r="B7842">
            <v>454</v>
          </cell>
          <cell r="C7842">
            <v>201</v>
          </cell>
          <cell r="D7842">
            <v>13</v>
          </cell>
          <cell r="E7842" t="str">
            <v>Less: Financial intermediation services indirectly measured (FISIM) (only to be deducted if FISIM is not distributed to uses)</v>
          </cell>
          <cell r="F7842">
            <v>0</v>
          </cell>
          <cell r="G7842">
            <v>1981</v>
          </cell>
          <cell r="H7842">
            <v>20</v>
          </cell>
          <cell r="I7842">
            <v>30600000</v>
          </cell>
        </row>
        <row r="7843">
          <cell r="A7843" t="str">
            <v>Malawi</v>
          </cell>
          <cell r="B7843">
            <v>454</v>
          </cell>
          <cell r="C7843">
            <v>201</v>
          </cell>
          <cell r="D7843">
            <v>13</v>
          </cell>
          <cell r="E7843" t="str">
            <v>Less: Financial intermediation services indirectly measured (FISIM) (only to be deducted if FISIM is not distributed to uses)</v>
          </cell>
          <cell r="F7843">
            <v>0</v>
          </cell>
          <cell r="G7843">
            <v>1982</v>
          </cell>
          <cell r="H7843">
            <v>20</v>
          </cell>
          <cell r="I7843">
            <v>32200000</v>
          </cell>
        </row>
        <row r="7844">
          <cell r="A7844" t="str">
            <v>Malawi</v>
          </cell>
          <cell r="B7844">
            <v>454</v>
          </cell>
          <cell r="C7844">
            <v>201</v>
          </cell>
          <cell r="D7844">
            <v>13</v>
          </cell>
          <cell r="E7844" t="str">
            <v>Less: Financial intermediation services indirectly measured (FISIM) (only to be deducted if FISIM is not distributed to uses)</v>
          </cell>
          <cell r="F7844">
            <v>0</v>
          </cell>
          <cell r="G7844">
            <v>1983</v>
          </cell>
          <cell r="H7844">
            <v>20</v>
          </cell>
          <cell r="I7844">
            <v>33200000</v>
          </cell>
        </row>
        <row r="7845">
          <cell r="A7845" t="str">
            <v>Malawi</v>
          </cell>
          <cell r="B7845">
            <v>454</v>
          </cell>
          <cell r="C7845">
            <v>201</v>
          </cell>
          <cell r="D7845">
            <v>13</v>
          </cell>
          <cell r="E7845" t="str">
            <v>Less: Financial intermediation services indirectly measured (FISIM) (only to be deducted if FISIM is not distributed to uses)</v>
          </cell>
          <cell r="F7845">
            <v>0</v>
          </cell>
          <cell r="G7845">
            <v>1984</v>
          </cell>
          <cell r="H7845">
            <v>20</v>
          </cell>
          <cell r="I7845">
            <v>46500000</v>
          </cell>
        </row>
        <row r="7846">
          <cell r="A7846" t="str">
            <v>Malawi</v>
          </cell>
          <cell r="B7846">
            <v>454</v>
          </cell>
          <cell r="C7846">
            <v>201</v>
          </cell>
          <cell r="D7846">
            <v>13</v>
          </cell>
          <cell r="E7846" t="str">
            <v>Less: Financial intermediation services indirectly measured (FISIM) (only to be deducted if FISIM is not distributed to uses)</v>
          </cell>
          <cell r="F7846">
            <v>0</v>
          </cell>
          <cell r="G7846">
            <v>1985</v>
          </cell>
          <cell r="H7846">
            <v>20</v>
          </cell>
          <cell r="I7846">
            <v>38000000</v>
          </cell>
        </row>
        <row r="7847">
          <cell r="A7847" t="str">
            <v>Malawi</v>
          </cell>
          <cell r="B7847">
            <v>454</v>
          </cell>
          <cell r="C7847">
            <v>201</v>
          </cell>
          <cell r="D7847">
            <v>13</v>
          </cell>
          <cell r="E7847" t="str">
            <v>Less: Financial intermediation services indirectly measured (FISIM) (only to be deducted if FISIM is not distributed to uses)</v>
          </cell>
          <cell r="F7847">
            <v>0</v>
          </cell>
          <cell r="G7847">
            <v>1986</v>
          </cell>
          <cell r="H7847">
            <v>20</v>
          </cell>
          <cell r="I7847">
            <v>34000000</v>
          </cell>
        </row>
        <row r="7848">
          <cell r="A7848" t="str">
            <v>Malawi</v>
          </cell>
          <cell r="B7848">
            <v>454</v>
          </cell>
          <cell r="C7848">
            <v>201</v>
          </cell>
          <cell r="D7848">
            <v>13</v>
          </cell>
          <cell r="E7848" t="str">
            <v>Less: Financial intermediation services indirectly measured (FISIM) (only to be deducted if FISIM is not distributed to uses)</v>
          </cell>
          <cell r="F7848">
            <v>0</v>
          </cell>
          <cell r="G7848">
            <v>1987</v>
          </cell>
          <cell r="H7848">
            <v>20</v>
          </cell>
          <cell r="I7848">
            <v>37800000</v>
          </cell>
        </row>
        <row r="7849">
          <cell r="A7849" t="str">
            <v>Malawi</v>
          </cell>
          <cell r="B7849">
            <v>454</v>
          </cell>
          <cell r="C7849">
            <v>201</v>
          </cell>
          <cell r="D7849">
            <v>13</v>
          </cell>
          <cell r="E7849" t="str">
            <v>Less: Financial intermediation services indirectly measured (FISIM) (only to be deducted if FISIM is not distributed to uses)</v>
          </cell>
          <cell r="F7849">
            <v>0</v>
          </cell>
          <cell r="G7849">
            <v>1988</v>
          </cell>
          <cell r="H7849">
            <v>20</v>
          </cell>
          <cell r="I7849">
            <v>26600000</v>
          </cell>
        </row>
        <row r="7850">
          <cell r="A7850" t="str">
            <v>Malawi</v>
          </cell>
          <cell r="B7850">
            <v>454</v>
          </cell>
          <cell r="C7850">
            <v>201</v>
          </cell>
          <cell r="D7850">
            <v>13</v>
          </cell>
          <cell r="E7850" t="str">
            <v>Less: Financial intermediation services indirectly measured (FISIM) (only to be deducted if FISIM is not distributed to uses)</v>
          </cell>
          <cell r="F7850">
            <v>0</v>
          </cell>
          <cell r="G7850">
            <v>1989</v>
          </cell>
          <cell r="H7850">
            <v>20</v>
          </cell>
          <cell r="I7850">
            <v>127300000</v>
          </cell>
        </row>
        <row r="7851">
          <cell r="A7851" t="str">
            <v>Mali</v>
          </cell>
          <cell r="B7851">
            <v>466</v>
          </cell>
          <cell r="C7851">
            <v>201</v>
          </cell>
          <cell r="D7851">
            <v>13</v>
          </cell>
          <cell r="E7851" t="str">
            <v>Less: Financial intermediation services indirectly measured (FISIM) (only to be deducted if FISIM is not distributed to uses)</v>
          </cell>
          <cell r="F7851">
            <v>0</v>
          </cell>
          <cell r="G7851">
            <v>1985</v>
          </cell>
          <cell r="H7851">
            <v>20</v>
          </cell>
          <cell r="I7851">
            <v>4000000000</v>
          </cell>
        </row>
        <row r="7852">
          <cell r="A7852" t="str">
            <v>Mali</v>
          </cell>
          <cell r="B7852">
            <v>466</v>
          </cell>
          <cell r="C7852">
            <v>201</v>
          </cell>
          <cell r="D7852">
            <v>13</v>
          </cell>
          <cell r="E7852" t="str">
            <v>Less: Financial intermediation services indirectly measured (FISIM) (only to be deducted if FISIM is not distributed to uses)</v>
          </cell>
          <cell r="F7852">
            <v>0</v>
          </cell>
          <cell r="G7852">
            <v>1986</v>
          </cell>
          <cell r="H7852">
            <v>20</v>
          </cell>
          <cell r="I7852">
            <v>4100000000</v>
          </cell>
        </row>
        <row r="7853">
          <cell r="A7853" t="str">
            <v>Mali</v>
          </cell>
          <cell r="B7853">
            <v>466</v>
          </cell>
          <cell r="C7853">
            <v>201</v>
          </cell>
          <cell r="D7853">
            <v>13</v>
          </cell>
          <cell r="E7853" t="str">
            <v>Less: Financial intermediation services indirectly measured (FISIM) (only to be deducted if FISIM is not distributed to uses)</v>
          </cell>
          <cell r="F7853">
            <v>0</v>
          </cell>
          <cell r="G7853">
            <v>1987</v>
          </cell>
          <cell r="H7853">
            <v>20</v>
          </cell>
          <cell r="I7853">
            <v>4200000000</v>
          </cell>
        </row>
        <row r="7854">
          <cell r="A7854" t="str">
            <v>Mali</v>
          </cell>
          <cell r="B7854">
            <v>466</v>
          </cell>
          <cell r="C7854">
            <v>201</v>
          </cell>
          <cell r="D7854">
            <v>13</v>
          </cell>
          <cell r="E7854" t="str">
            <v>Less: Financial intermediation services indirectly measured (FISIM) (only to be deducted if FISIM is not distributed to uses)</v>
          </cell>
          <cell r="F7854">
            <v>0</v>
          </cell>
          <cell r="G7854">
            <v>1988</v>
          </cell>
          <cell r="H7854">
            <v>20</v>
          </cell>
          <cell r="I7854">
            <v>4200000000</v>
          </cell>
        </row>
        <row r="7855">
          <cell r="A7855" t="str">
            <v>Mali</v>
          </cell>
          <cell r="B7855">
            <v>466</v>
          </cell>
          <cell r="C7855">
            <v>201</v>
          </cell>
          <cell r="D7855">
            <v>13</v>
          </cell>
          <cell r="E7855" t="str">
            <v>Less: Financial intermediation services indirectly measured (FISIM) (only to be deducted if FISIM is not distributed to uses)</v>
          </cell>
          <cell r="F7855">
            <v>0</v>
          </cell>
          <cell r="G7855">
            <v>1989</v>
          </cell>
          <cell r="H7855">
            <v>20</v>
          </cell>
          <cell r="I7855">
            <v>4800000000</v>
          </cell>
        </row>
        <row r="7856">
          <cell r="A7856" t="str">
            <v>Mali</v>
          </cell>
          <cell r="B7856">
            <v>466</v>
          </cell>
          <cell r="C7856">
            <v>201</v>
          </cell>
          <cell r="D7856">
            <v>13</v>
          </cell>
          <cell r="E7856" t="str">
            <v>Less: Financial intermediation services indirectly measured (FISIM) (only to be deducted if FISIM is not distributed to uses)</v>
          </cell>
          <cell r="F7856">
            <v>0</v>
          </cell>
          <cell r="G7856">
            <v>1990</v>
          </cell>
          <cell r="H7856">
            <v>20</v>
          </cell>
          <cell r="I7856">
            <v>4900000000</v>
          </cell>
        </row>
        <row r="7857">
          <cell r="A7857" t="str">
            <v>Mali</v>
          </cell>
          <cell r="B7857">
            <v>466</v>
          </cell>
          <cell r="C7857">
            <v>201</v>
          </cell>
          <cell r="D7857">
            <v>13</v>
          </cell>
          <cell r="E7857" t="str">
            <v>Less: Financial intermediation services indirectly measured (FISIM) (only to be deducted if FISIM is not distributed to uses)</v>
          </cell>
          <cell r="F7857">
            <v>0</v>
          </cell>
          <cell r="G7857">
            <v>1991</v>
          </cell>
          <cell r="H7857">
            <v>20</v>
          </cell>
          <cell r="I7857">
            <v>4900000000</v>
          </cell>
        </row>
        <row r="7858">
          <cell r="A7858" t="str">
            <v>Mali</v>
          </cell>
          <cell r="B7858">
            <v>466</v>
          </cell>
          <cell r="C7858">
            <v>201</v>
          </cell>
          <cell r="D7858">
            <v>13</v>
          </cell>
          <cell r="E7858" t="str">
            <v>Less: Financial intermediation services indirectly measured (FISIM) (only to be deducted if FISIM is not distributed to uses)</v>
          </cell>
          <cell r="F7858">
            <v>0</v>
          </cell>
          <cell r="G7858">
            <v>1992</v>
          </cell>
          <cell r="H7858">
            <v>20</v>
          </cell>
          <cell r="I7858">
            <v>4900000000</v>
          </cell>
        </row>
        <row r="7859">
          <cell r="A7859" t="str">
            <v>Montserrat</v>
          </cell>
          <cell r="B7859">
            <v>500</v>
          </cell>
          <cell r="C7859">
            <v>201</v>
          </cell>
          <cell r="D7859">
            <v>13</v>
          </cell>
          <cell r="E7859" t="str">
            <v>Less: Financial intermediation services indirectly measured (FISIM) (only to be deducted if FISIM is not distributed to uses)</v>
          </cell>
          <cell r="F7859">
            <v>0</v>
          </cell>
          <cell r="G7859">
            <v>1975</v>
          </cell>
          <cell r="H7859">
            <v>30</v>
          </cell>
          <cell r="I7859">
            <v>-800000</v>
          </cell>
        </row>
        <row r="7860">
          <cell r="A7860" t="str">
            <v>Montserrat</v>
          </cell>
          <cell r="B7860">
            <v>500</v>
          </cell>
          <cell r="C7860">
            <v>201</v>
          </cell>
          <cell r="D7860">
            <v>13</v>
          </cell>
          <cell r="E7860" t="str">
            <v>Less: Financial intermediation services indirectly measured (FISIM) (only to be deducted if FISIM is not distributed to uses)</v>
          </cell>
          <cell r="F7860">
            <v>0</v>
          </cell>
          <cell r="G7860">
            <v>1976</v>
          </cell>
          <cell r="H7860">
            <v>30</v>
          </cell>
          <cell r="I7860">
            <v>1000000</v>
          </cell>
        </row>
        <row r="7861">
          <cell r="A7861" t="str">
            <v>Montserrat</v>
          </cell>
          <cell r="B7861">
            <v>500</v>
          </cell>
          <cell r="C7861">
            <v>201</v>
          </cell>
          <cell r="D7861">
            <v>13</v>
          </cell>
          <cell r="E7861" t="str">
            <v>Less: Financial intermediation services indirectly measured (FISIM) (only to be deducted if FISIM is not distributed to uses)</v>
          </cell>
          <cell r="F7861">
            <v>0</v>
          </cell>
          <cell r="G7861">
            <v>1977</v>
          </cell>
          <cell r="H7861">
            <v>30</v>
          </cell>
          <cell r="I7861">
            <v>1100000</v>
          </cell>
        </row>
        <row r="7862">
          <cell r="A7862" t="str">
            <v>Montserrat</v>
          </cell>
          <cell r="B7862">
            <v>500</v>
          </cell>
          <cell r="C7862">
            <v>201</v>
          </cell>
          <cell r="D7862">
            <v>13</v>
          </cell>
          <cell r="E7862" t="str">
            <v>Less: Financial intermediation services indirectly measured (FISIM) (only to be deducted if FISIM is not distributed to uses)</v>
          </cell>
          <cell r="F7862">
            <v>0</v>
          </cell>
          <cell r="G7862">
            <v>1978</v>
          </cell>
          <cell r="H7862">
            <v>30</v>
          </cell>
          <cell r="I7862">
            <v>1200000</v>
          </cell>
        </row>
        <row r="7863">
          <cell r="A7863" t="str">
            <v>Montserrat</v>
          </cell>
          <cell r="B7863">
            <v>500</v>
          </cell>
          <cell r="C7863">
            <v>201</v>
          </cell>
          <cell r="D7863">
            <v>13</v>
          </cell>
          <cell r="E7863" t="str">
            <v>Less: Financial intermediation services indirectly measured (FISIM) (only to be deducted if FISIM is not distributed to uses)</v>
          </cell>
          <cell r="F7863">
            <v>0</v>
          </cell>
          <cell r="G7863">
            <v>1979</v>
          </cell>
          <cell r="H7863">
            <v>30</v>
          </cell>
          <cell r="I7863">
            <v>1300000</v>
          </cell>
        </row>
        <row r="7864">
          <cell r="A7864" t="str">
            <v>Montserrat</v>
          </cell>
          <cell r="B7864">
            <v>500</v>
          </cell>
          <cell r="C7864">
            <v>201</v>
          </cell>
          <cell r="D7864">
            <v>13</v>
          </cell>
          <cell r="E7864" t="str">
            <v>Less: Financial intermediation services indirectly measured (FISIM) (only to be deducted if FISIM is not distributed to uses)</v>
          </cell>
          <cell r="F7864">
            <v>0</v>
          </cell>
          <cell r="G7864">
            <v>1980</v>
          </cell>
          <cell r="H7864">
            <v>30</v>
          </cell>
          <cell r="I7864">
            <v>1900000</v>
          </cell>
        </row>
        <row r="7865">
          <cell r="A7865" t="str">
            <v>Montserrat</v>
          </cell>
          <cell r="B7865">
            <v>500</v>
          </cell>
          <cell r="C7865">
            <v>201</v>
          </cell>
          <cell r="D7865">
            <v>13</v>
          </cell>
          <cell r="E7865" t="str">
            <v>Less: Financial intermediation services indirectly measured (FISIM) (only to be deducted if FISIM is not distributed to uses)</v>
          </cell>
          <cell r="F7865">
            <v>0</v>
          </cell>
          <cell r="G7865">
            <v>1981</v>
          </cell>
          <cell r="H7865">
            <v>30</v>
          </cell>
          <cell r="I7865">
            <v>2800000</v>
          </cell>
        </row>
        <row r="7866">
          <cell r="A7866" t="str">
            <v>Montserrat</v>
          </cell>
          <cell r="B7866">
            <v>500</v>
          </cell>
          <cell r="C7866">
            <v>201</v>
          </cell>
          <cell r="D7866">
            <v>13</v>
          </cell>
          <cell r="E7866" t="str">
            <v>Less: Financial intermediation services indirectly measured (FISIM) (only to be deducted if FISIM is not distributed to uses)</v>
          </cell>
          <cell r="F7866">
            <v>0</v>
          </cell>
          <cell r="G7866">
            <v>1982</v>
          </cell>
          <cell r="H7866">
            <v>30</v>
          </cell>
          <cell r="I7866">
            <v>3700000</v>
          </cell>
        </row>
        <row r="7867">
          <cell r="A7867" t="str">
            <v>Montserrat</v>
          </cell>
          <cell r="B7867">
            <v>500</v>
          </cell>
          <cell r="C7867">
            <v>201</v>
          </cell>
          <cell r="D7867">
            <v>13</v>
          </cell>
          <cell r="E7867" t="str">
            <v>Less: Financial intermediation services indirectly measured (FISIM) (only to be deducted if FISIM is not distributed to uses)</v>
          </cell>
          <cell r="F7867">
            <v>0</v>
          </cell>
          <cell r="G7867">
            <v>1983</v>
          </cell>
          <cell r="H7867">
            <v>30</v>
          </cell>
          <cell r="I7867">
            <v>3600000</v>
          </cell>
        </row>
        <row r="7868">
          <cell r="A7868" t="str">
            <v>Montserrat</v>
          </cell>
          <cell r="B7868">
            <v>500</v>
          </cell>
          <cell r="C7868">
            <v>201</v>
          </cell>
          <cell r="D7868">
            <v>13</v>
          </cell>
          <cell r="E7868" t="str">
            <v>Less: Financial intermediation services indirectly measured (FISIM) (only to be deducted if FISIM is not distributed to uses)</v>
          </cell>
          <cell r="F7868">
            <v>0</v>
          </cell>
          <cell r="G7868">
            <v>1984</v>
          </cell>
          <cell r="H7868">
            <v>30</v>
          </cell>
          <cell r="I7868">
            <v>4000000</v>
          </cell>
        </row>
        <row r="7869">
          <cell r="A7869" t="str">
            <v>Montserrat</v>
          </cell>
          <cell r="B7869">
            <v>500</v>
          </cell>
          <cell r="C7869">
            <v>201</v>
          </cell>
          <cell r="D7869">
            <v>13</v>
          </cell>
          <cell r="E7869" t="str">
            <v>Less: Financial intermediation services indirectly measured (FISIM) (only to be deducted if FISIM is not distributed to uses)</v>
          </cell>
          <cell r="F7869">
            <v>0</v>
          </cell>
          <cell r="G7869">
            <v>1985</v>
          </cell>
          <cell r="H7869">
            <v>30</v>
          </cell>
          <cell r="I7869">
            <v>4300000</v>
          </cell>
        </row>
        <row r="7870">
          <cell r="A7870" t="str">
            <v>Montserrat</v>
          </cell>
          <cell r="B7870">
            <v>500</v>
          </cell>
          <cell r="C7870">
            <v>201</v>
          </cell>
          <cell r="D7870">
            <v>13</v>
          </cell>
          <cell r="E7870" t="str">
            <v>Less: Financial intermediation services indirectly measured (FISIM) (only to be deducted if FISIM is not distributed to uses)</v>
          </cell>
          <cell r="F7870">
            <v>0</v>
          </cell>
          <cell r="G7870">
            <v>1986</v>
          </cell>
          <cell r="H7870">
            <v>30</v>
          </cell>
          <cell r="I7870">
            <v>4500000</v>
          </cell>
        </row>
        <row r="7871">
          <cell r="A7871" t="str">
            <v>Montserrat</v>
          </cell>
          <cell r="B7871">
            <v>500</v>
          </cell>
          <cell r="C7871">
            <v>201</v>
          </cell>
          <cell r="D7871">
            <v>13</v>
          </cell>
          <cell r="E7871" t="str">
            <v>Less: Financial intermediation services indirectly measured (FISIM) (only to be deducted if FISIM is not distributed to uses)</v>
          </cell>
          <cell r="F7871">
            <v>0</v>
          </cell>
          <cell r="G7871">
            <v>1987</v>
          </cell>
          <cell r="H7871">
            <v>30</v>
          </cell>
          <cell r="I7871">
            <v>5000000</v>
          </cell>
        </row>
        <row r="7872">
          <cell r="A7872" t="str">
            <v>Oman</v>
          </cell>
          <cell r="B7872">
            <v>512</v>
          </cell>
          <cell r="C7872">
            <v>201</v>
          </cell>
          <cell r="D7872">
            <v>13</v>
          </cell>
          <cell r="E7872" t="str">
            <v>Less: Financial intermediation services indirectly measured (FISIM) (only to be deducted if FISIM is not distributed to uses)</v>
          </cell>
          <cell r="F7872">
            <v>0</v>
          </cell>
          <cell r="G7872">
            <v>1976</v>
          </cell>
          <cell r="H7872">
            <v>20</v>
          </cell>
          <cell r="I7872">
            <v>10900000</v>
          </cell>
        </row>
        <row r="7873">
          <cell r="A7873" t="str">
            <v>Oman</v>
          </cell>
          <cell r="B7873">
            <v>512</v>
          </cell>
          <cell r="C7873">
            <v>201</v>
          </cell>
          <cell r="D7873">
            <v>13</v>
          </cell>
          <cell r="E7873" t="str">
            <v>Less: Financial intermediation services indirectly measured (FISIM) (only to be deducted if FISIM is not distributed to uses)</v>
          </cell>
          <cell r="F7873">
            <v>0</v>
          </cell>
          <cell r="G7873">
            <v>1977</v>
          </cell>
          <cell r="H7873">
            <v>20</v>
          </cell>
          <cell r="I7873">
            <v>12900000</v>
          </cell>
        </row>
        <row r="7874">
          <cell r="A7874" t="str">
            <v>Oman</v>
          </cell>
          <cell r="B7874">
            <v>512</v>
          </cell>
          <cell r="C7874">
            <v>201</v>
          </cell>
          <cell r="D7874">
            <v>13</v>
          </cell>
          <cell r="E7874" t="str">
            <v>Less: Financial intermediation services indirectly measured (FISIM) (only to be deducted if FISIM is not distributed to uses)</v>
          </cell>
          <cell r="F7874">
            <v>0</v>
          </cell>
          <cell r="G7874">
            <v>1978</v>
          </cell>
          <cell r="H7874">
            <v>20</v>
          </cell>
          <cell r="I7874">
            <v>14200000</v>
          </cell>
        </row>
        <row r="7875">
          <cell r="A7875" t="str">
            <v>Oman</v>
          </cell>
          <cell r="B7875">
            <v>512</v>
          </cell>
          <cell r="C7875">
            <v>201</v>
          </cell>
          <cell r="D7875">
            <v>13</v>
          </cell>
          <cell r="E7875" t="str">
            <v>Less: Financial intermediation services indirectly measured (FISIM) (only to be deducted if FISIM is not distributed to uses)</v>
          </cell>
          <cell r="F7875">
            <v>0</v>
          </cell>
          <cell r="G7875">
            <v>1979</v>
          </cell>
          <cell r="H7875">
            <v>20</v>
          </cell>
          <cell r="I7875">
            <v>19000000</v>
          </cell>
        </row>
        <row r="7876">
          <cell r="A7876" t="str">
            <v>Oman</v>
          </cell>
          <cell r="B7876">
            <v>512</v>
          </cell>
          <cell r="C7876">
            <v>201</v>
          </cell>
          <cell r="D7876">
            <v>13</v>
          </cell>
          <cell r="E7876" t="str">
            <v>Less: Financial intermediation services indirectly measured (FISIM) (only to be deducted if FISIM is not distributed to uses)</v>
          </cell>
          <cell r="F7876">
            <v>0</v>
          </cell>
          <cell r="G7876">
            <v>1980</v>
          </cell>
          <cell r="H7876">
            <v>20</v>
          </cell>
          <cell r="I7876">
            <v>24600000</v>
          </cell>
        </row>
        <row r="7877">
          <cell r="A7877" t="str">
            <v>Oman</v>
          </cell>
          <cell r="B7877">
            <v>512</v>
          </cell>
          <cell r="C7877">
            <v>201</v>
          </cell>
          <cell r="D7877">
            <v>13</v>
          </cell>
          <cell r="E7877" t="str">
            <v>Less: Financial intermediation services indirectly measured (FISIM) (only to be deducted if FISIM is not distributed to uses)</v>
          </cell>
          <cell r="F7877">
            <v>0</v>
          </cell>
          <cell r="G7877">
            <v>1980</v>
          </cell>
          <cell r="H7877">
            <v>30</v>
          </cell>
          <cell r="I7877">
            <v>24600000</v>
          </cell>
        </row>
        <row r="7878">
          <cell r="A7878" t="str">
            <v>Oman</v>
          </cell>
          <cell r="B7878">
            <v>512</v>
          </cell>
          <cell r="C7878">
            <v>201</v>
          </cell>
          <cell r="D7878">
            <v>13</v>
          </cell>
          <cell r="E7878" t="str">
            <v>Less: Financial intermediation services indirectly measured (FISIM) (only to be deducted if FISIM is not distributed to uses)</v>
          </cell>
          <cell r="F7878">
            <v>0</v>
          </cell>
          <cell r="G7878">
            <v>1981</v>
          </cell>
          <cell r="H7878">
            <v>30</v>
          </cell>
          <cell r="I7878">
            <v>39000000</v>
          </cell>
        </row>
        <row r="7879">
          <cell r="A7879" t="str">
            <v>Oman</v>
          </cell>
          <cell r="B7879">
            <v>512</v>
          </cell>
          <cell r="C7879">
            <v>201</v>
          </cell>
          <cell r="D7879">
            <v>13</v>
          </cell>
          <cell r="E7879" t="str">
            <v>Less: Financial intermediation services indirectly measured (FISIM) (only to be deducted if FISIM is not distributed to uses)</v>
          </cell>
          <cell r="F7879">
            <v>0</v>
          </cell>
          <cell r="G7879">
            <v>1982</v>
          </cell>
          <cell r="H7879">
            <v>30</v>
          </cell>
          <cell r="I7879">
            <v>43900000</v>
          </cell>
        </row>
        <row r="7880">
          <cell r="A7880" t="str">
            <v>Oman</v>
          </cell>
          <cell r="B7880">
            <v>512</v>
          </cell>
          <cell r="C7880">
            <v>201</v>
          </cell>
          <cell r="D7880">
            <v>13</v>
          </cell>
          <cell r="E7880" t="str">
            <v>Less: Financial intermediation services indirectly measured (FISIM) (only to be deducted if FISIM is not distributed to uses)</v>
          </cell>
          <cell r="F7880">
            <v>0</v>
          </cell>
          <cell r="G7880">
            <v>1983</v>
          </cell>
          <cell r="H7880">
            <v>30</v>
          </cell>
          <cell r="I7880">
            <v>49600000</v>
          </cell>
        </row>
        <row r="7881">
          <cell r="A7881" t="str">
            <v>Oman</v>
          </cell>
          <cell r="B7881">
            <v>512</v>
          </cell>
          <cell r="C7881">
            <v>201</v>
          </cell>
          <cell r="D7881">
            <v>13</v>
          </cell>
          <cell r="E7881" t="str">
            <v>Less: Financial intermediation services indirectly measured (FISIM) (only to be deducted if FISIM is not distributed to uses)</v>
          </cell>
          <cell r="F7881">
            <v>0</v>
          </cell>
          <cell r="G7881">
            <v>1984</v>
          </cell>
          <cell r="H7881">
            <v>30</v>
          </cell>
          <cell r="I7881">
            <v>59200000</v>
          </cell>
        </row>
        <row r="7882">
          <cell r="A7882" t="str">
            <v>Oman</v>
          </cell>
          <cell r="B7882">
            <v>512</v>
          </cell>
          <cell r="C7882">
            <v>201</v>
          </cell>
          <cell r="D7882">
            <v>13</v>
          </cell>
          <cell r="E7882" t="str">
            <v>Less: Financial intermediation services indirectly measured (FISIM) (only to be deducted if FISIM is not distributed to uses)</v>
          </cell>
          <cell r="F7882">
            <v>0</v>
          </cell>
          <cell r="G7882">
            <v>1985</v>
          </cell>
          <cell r="H7882">
            <v>30</v>
          </cell>
          <cell r="I7882">
            <v>63600000</v>
          </cell>
        </row>
        <row r="7883">
          <cell r="A7883" t="str">
            <v>Oman</v>
          </cell>
          <cell r="B7883">
            <v>512</v>
          </cell>
          <cell r="C7883">
            <v>201</v>
          </cell>
          <cell r="D7883">
            <v>13</v>
          </cell>
          <cell r="E7883" t="str">
            <v>Less: Financial intermediation services indirectly measured (FISIM) (only to be deducted if FISIM is not distributed to uses)</v>
          </cell>
          <cell r="F7883">
            <v>0</v>
          </cell>
          <cell r="G7883">
            <v>1986</v>
          </cell>
          <cell r="H7883">
            <v>30</v>
          </cell>
          <cell r="I7883">
            <v>71200000</v>
          </cell>
        </row>
        <row r="7884">
          <cell r="A7884" t="str">
            <v>Oman</v>
          </cell>
          <cell r="B7884">
            <v>512</v>
          </cell>
          <cell r="C7884">
            <v>201</v>
          </cell>
          <cell r="D7884">
            <v>13</v>
          </cell>
          <cell r="E7884" t="str">
            <v>Less: Financial intermediation services indirectly measured (FISIM) (only to be deducted if FISIM is not distributed to uses)</v>
          </cell>
          <cell r="F7884">
            <v>0</v>
          </cell>
          <cell r="G7884">
            <v>1987</v>
          </cell>
          <cell r="H7884">
            <v>30</v>
          </cell>
          <cell r="I7884">
            <v>70300000</v>
          </cell>
        </row>
        <row r="7885">
          <cell r="A7885" t="str">
            <v>Oman</v>
          </cell>
          <cell r="B7885">
            <v>512</v>
          </cell>
          <cell r="C7885">
            <v>201</v>
          </cell>
          <cell r="D7885">
            <v>13</v>
          </cell>
          <cell r="E7885" t="str">
            <v>Less: Financial intermediation services indirectly measured (FISIM) (only to be deducted if FISIM is not distributed to uses)</v>
          </cell>
          <cell r="F7885">
            <v>0</v>
          </cell>
          <cell r="G7885">
            <v>1988</v>
          </cell>
          <cell r="H7885">
            <v>30</v>
          </cell>
          <cell r="I7885">
            <v>72700000</v>
          </cell>
        </row>
        <row r="7886">
          <cell r="A7886" t="str">
            <v>Oman</v>
          </cell>
          <cell r="B7886">
            <v>512</v>
          </cell>
          <cell r="C7886">
            <v>201</v>
          </cell>
          <cell r="D7886">
            <v>13</v>
          </cell>
          <cell r="E7886" t="str">
            <v>Less: Financial intermediation services indirectly measured (FISIM) (only to be deducted if FISIM is not distributed to uses)</v>
          </cell>
          <cell r="F7886">
            <v>0</v>
          </cell>
          <cell r="G7886">
            <v>1989</v>
          </cell>
          <cell r="H7886">
            <v>30</v>
          </cell>
          <cell r="I7886">
            <v>81100000</v>
          </cell>
        </row>
        <row r="7887">
          <cell r="A7887" t="str">
            <v>Oman</v>
          </cell>
          <cell r="B7887">
            <v>512</v>
          </cell>
          <cell r="C7887">
            <v>201</v>
          </cell>
          <cell r="D7887">
            <v>13</v>
          </cell>
          <cell r="E7887" t="str">
            <v>Less: Financial intermediation services indirectly measured (FISIM) (only to be deducted if FISIM is not distributed to uses)</v>
          </cell>
          <cell r="F7887">
            <v>0</v>
          </cell>
          <cell r="G7887">
            <v>1989</v>
          </cell>
          <cell r="H7887">
            <v>100</v>
          </cell>
          <cell r="I7887">
            <v>81100000</v>
          </cell>
        </row>
        <row r="7888">
          <cell r="A7888" t="str">
            <v>Oman</v>
          </cell>
          <cell r="B7888">
            <v>512</v>
          </cell>
          <cell r="C7888">
            <v>201</v>
          </cell>
          <cell r="D7888">
            <v>13</v>
          </cell>
          <cell r="E7888" t="str">
            <v>Less: Financial intermediation services indirectly measured (FISIM) (only to be deducted if FISIM is not distributed to uses)</v>
          </cell>
          <cell r="F7888">
            <v>0</v>
          </cell>
          <cell r="G7888">
            <v>1990</v>
          </cell>
          <cell r="H7888">
            <v>100</v>
          </cell>
          <cell r="I7888">
            <v>91000000</v>
          </cell>
        </row>
        <row r="7889">
          <cell r="A7889" t="str">
            <v>Oman</v>
          </cell>
          <cell r="B7889">
            <v>512</v>
          </cell>
          <cell r="C7889">
            <v>201</v>
          </cell>
          <cell r="D7889">
            <v>13</v>
          </cell>
          <cell r="E7889" t="str">
            <v>Less: Financial intermediation services indirectly measured (FISIM) (only to be deducted if FISIM is not distributed to uses)</v>
          </cell>
          <cell r="F7889">
            <v>0</v>
          </cell>
          <cell r="G7889">
            <v>1991</v>
          </cell>
          <cell r="H7889">
            <v>100</v>
          </cell>
          <cell r="I7889">
            <v>92700000</v>
          </cell>
        </row>
        <row r="7890">
          <cell r="A7890" t="str">
            <v>Oman</v>
          </cell>
          <cell r="B7890">
            <v>512</v>
          </cell>
          <cell r="C7890">
            <v>201</v>
          </cell>
          <cell r="D7890">
            <v>13</v>
          </cell>
          <cell r="E7890" t="str">
            <v>Less: Financial intermediation services indirectly measured (FISIM) (only to be deducted if FISIM is not distributed to uses)</v>
          </cell>
          <cell r="F7890">
            <v>0</v>
          </cell>
          <cell r="G7890">
            <v>1992</v>
          </cell>
          <cell r="H7890">
            <v>100</v>
          </cell>
          <cell r="I7890">
            <v>93000000</v>
          </cell>
        </row>
        <row r="7891">
          <cell r="A7891" t="str">
            <v>Oman</v>
          </cell>
          <cell r="B7891">
            <v>512</v>
          </cell>
          <cell r="C7891">
            <v>201</v>
          </cell>
          <cell r="D7891">
            <v>13</v>
          </cell>
          <cell r="E7891" t="str">
            <v>Less: Financial intermediation services indirectly measured (FISIM) (only to be deducted if FISIM is not distributed to uses)</v>
          </cell>
          <cell r="F7891">
            <v>0</v>
          </cell>
          <cell r="G7891">
            <v>1993</v>
          </cell>
          <cell r="H7891">
            <v>100</v>
          </cell>
          <cell r="I7891">
            <v>93000000</v>
          </cell>
        </row>
        <row r="7892">
          <cell r="A7892" t="str">
            <v>Oman</v>
          </cell>
          <cell r="B7892">
            <v>512</v>
          </cell>
          <cell r="C7892">
            <v>201</v>
          </cell>
          <cell r="D7892">
            <v>13</v>
          </cell>
          <cell r="E7892" t="str">
            <v>Less: Financial intermediation services indirectly measured (FISIM) (only to be deducted if FISIM is not distributed to uses)</v>
          </cell>
          <cell r="F7892">
            <v>0</v>
          </cell>
          <cell r="G7892">
            <v>1994</v>
          </cell>
          <cell r="H7892">
            <v>100</v>
          </cell>
          <cell r="I7892">
            <v>109000000</v>
          </cell>
        </row>
        <row r="7893">
          <cell r="A7893" t="str">
            <v>Oman</v>
          </cell>
          <cell r="B7893">
            <v>512</v>
          </cell>
          <cell r="C7893">
            <v>201</v>
          </cell>
          <cell r="D7893">
            <v>13</v>
          </cell>
          <cell r="E7893" t="str">
            <v>Less: Financial intermediation services indirectly measured (FISIM) (only to be deducted if FISIM is not distributed to uses)</v>
          </cell>
          <cell r="F7893">
            <v>0</v>
          </cell>
          <cell r="G7893">
            <v>1995</v>
          </cell>
          <cell r="H7893">
            <v>100</v>
          </cell>
          <cell r="I7893">
            <v>127000000</v>
          </cell>
        </row>
        <row r="7894">
          <cell r="A7894" t="str">
            <v>Oman</v>
          </cell>
          <cell r="B7894">
            <v>512</v>
          </cell>
          <cell r="C7894">
            <v>201</v>
          </cell>
          <cell r="D7894">
            <v>13</v>
          </cell>
          <cell r="E7894" t="str">
            <v>Less: Financial intermediation services indirectly measured (FISIM) (only to be deducted if FISIM is not distributed to uses)</v>
          </cell>
          <cell r="F7894">
            <v>0</v>
          </cell>
          <cell r="G7894">
            <v>1996</v>
          </cell>
          <cell r="H7894">
            <v>100</v>
          </cell>
          <cell r="I7894">
            <v>136000000</v>
          </cell>
        </row>
        <row r="7895">
          <cell r="A7895" t="str">
            <v>Oman</v>
          </cell>
          <cell r="B7895">
            <v>512</v>
          </cell>
          <cell r="C7895">
            <v>201</v>
          </cell>
          <cell r="D7895">
            <v>13</v>
          </cell>
          <cell r="E7895" t="str">
            <v>Less: Financial intermediation services indirectly measured (FISIM) (only to be deducted if FISIM is not distributed to uses)</v>
          </cell>
          <cell r="F7895">
            <v>0</v>
          </cell>
          <cell r="G7895">
            <v>1997</v>
          </cell>
          <cell r="H7895">
            <v>100</v>
          </cell>
          <cell r="I7895">
            <v>157000000</v>
          </cell>
        </row>
        <row r="7896">
          <cell r="A7896" t="str">
            <v>Oman</v>
          </cell>
          <cell r="B7896">
            <v>512</v>
          </cell>
          <cell r="C7896">
            <v>201</v>
          </cell>
          <cell r="D7896">
            <v>13</v>
          </cell>
          <cell r="E7896" t="str">
            <v>Less: Financial intermediation services indirectly measured (FISIM) (only to be deducted if FISIM is not distributed to uses)</v>
          </cell>
          <cell r="F7896">
            <v>0</v>
          </cell>
          <cell r="G7896">
            <v>1998</v>
          </cell>
          <cell r="H7896">
            <v>100</v>
          </cell>
          <cell r="I7896">
            <v>178000000</v>
          </cell>
        </row>
        <row r="7897">
          <cell r="A7897" t="str">
            <v>Oman</v>
          </cell>
          <cell r="B7897">
            <v>512</v>
          </cell>
          <cell r="C7897">
            <v>201</v>
          </cell>
          <cell r="D7897">
            <v>13</v>
          </cell>
          <cell r="E7897" t="str">
            <v>Less: Financial intermediation services indirectly measured (FISIM) (only to be deducted if FISIM is not distributed to uses)</v>
          </cell>
          <cell r="F7897">
            <v>0</v>
          </cell>
          <cell r="G7897">
            <v>1999</v>
          </cell>
          <cell r="H7897">
            <v>100</v>
          </cell>
          <cell r="I7897">
            <v>195200000</v>
          </cell>
        </row>
        <row r="7898">
          <cell r="A7898" t="str">
            <v>Oman</v>
          </cell>
          <cell r="B7898">
            <v>512</v>
          </cell>
          <cell r="C7898">
            <v>201</v>
          </cell>
          <cell r="D7898">
            <v>13</v>
          </cell>
          <cell r="E7898" t="str">
            <v>Less: Financial intermediation services indirectly measured (FISIM) (only to be deducted if FISIM is not distributed to uses)</v>
          </cell>
          <cell r="F7898">
            <v>0</v>
          </cell>
          <cell r="G7898">
            <v>2000</v>
          </cell>
          <cell r="H7898">
            <v>100</v>
          </cell>
          <cell r="I7898">
            <v>204000000</v>
          </cell>
        </row>
        <row r="7899">
          <cell r="A7899" t="str">
            <v>Oman</v>
          </cell>
          <cell r="B7899">
            <v>512</v>
          </cell>
          <cell r="C7899">
            <v>201</v>
          </cell>
          <cell r="D7899">
            <v>13</v>
          </cell>
          <cell r="E7899" t="str">
            <v>Less: Financial intermediation services indirectly measured (FISIM) (only to be deducted if FISIM is not distributed to uses)</v>
          </cell>
          <cell r="F7899">
            <v>0</v>
          </cell>
          <cell r="G7899">
            <v>2001</v>
          </cell>
          <cell r="H7899">
            <v>100</v>
          </cell>
          <cell r="I7899">
            <v>207600000</v>
          </cell>
        </row>
        <row r="7900">
          <cell r="A7900" t="str">
            <v>Oman</v>
          </cell>
          <cell r="B7900">
            <v>512</v>
          </cell>
          <cell r="C7900">
            <v>201</v>
          </cell>
          <cell r="D7900">
            <v>13</v>
          </cell>
          <cell r="E7900" t="str">
            <v>Less: Financial intermediation services indirectly measured (FISIM) (only to be deducted if FISIM is not distributed to uses)</v>
          </cell>
          <cell r="F7900">
            <v>0</v>
          </cell>
          <cell r="G7900">
            <v>2002</v>
          </cell>
          <cell r="H7900">
            <v>100</v>
          </cell>
          <cell r="I7900">
            <v>226800000</v>
          </cell>
        </row>
        <row r="7901">
          <cell r="A7901" t="str">
            <v>Oman</v>
          </cell>
          <cell r="B7901">
            <v>512</v>
          </cell>
          <cell r="C7901">
            <v>201</v>
          </cell>
          <cell r="D7901">
            <v>13</v>
          </cell>
          <cell r="E7901" t="str">
            <v>Less: Financial intermediation services indirectly measured (FISIM) (only to be deducted if FISIM is not distributed to uses)</v>
          </cell>
          <cell r="F7901">
            <v>0</v>
          </cell>
          <cell r="G7901">
            <v>2003</v>
          </cell>
          <cell r="H7901">
            <v>100</v>
          </cell>
          <cell r="I7901">
            <v>232000000</v>
          </cell>
        </row>
        <row r="7902">
          <cell r="A7902" t="str">
            <v>Nicaragua</v>
          </cell>
          <cell r="B7902">
            <v>558</v>
          </cell>
          <cell r="C7902">
            <v>201</v>
          </cell>
          <cell r="D7902">
            <v>13</v>
          </cell>
          <cell r="E7902" t="str">
            <v>Less: Financial intermediation services indirectly measured (FISIM) (only to be deducted if FISIM is not distributed to uses)</v>
          </cell>
          <cell r="F7902">
            <v>0</v>
          </cell>
          <cell r="G7902">
            <v>1994</v>
          </cell>
          <cell r="H7902">
            <v>100</v>
          </cell>
          <cell r="I7902">
            <v>332000000</v>
          </cell>
        </row>
        <row r="7903">
          <cell r="A7903" t="str">
            <v>Nicaragua</v>
          </cell>
          <cell r="B7903">
            <v>558</v>
          </cell>
          <cell r="C7903">
            <v>201</v>
          </cell>
          <cell r="D7903">
            <v>13</v>
          </cell>
          <cell r="E7903" t="str">
            <v>Less: Financial intermediation services indirectly measured (FISIM) (only to be deducted if FISIM is not distributed to uses)</v>
          </cell>
          <cell r="F7903">
            <v>0</v>
          </cell>
          <cell r="G7903">
            <v>1995</v>
          </cell>
          <cell r="H7903">
            <v>100</v>
          </cell>
          <cell r="I7903">
            <v>546000000</v>
          </cell>
        </row>
        <row r="7904">
          <cell r="A7904" t="str">
            <v>Nicaragua</v>
          </cell>
          <cell r="B7904">
            <v>558</v>
          </cell>
          <cell r="C7904">
            <v>201</v>
          </cell>
          <cell r="D7904">
            <v>13</v>
          </cell>
          <cell r="E7904" t="str">
            <v>Less: Financial intermediation services indirectly measured (FISIM) (only to be deducted if FISIM is not distributed to uses)</v>
          </cell>
          <cell r="F7904">
            <v>0</v>
          </cell>
          <cell r="G7904">
            <v>1996</v>
          </cell>
          <cell r="H7904">
            <v>100</v>
          </cell>
          <cell r="I7904">
            <v>647000000</v>
          </cell>
        </row>
        <row r="7905">
          <cell r="A7905" t="str">
            <v>Nicaragua</v>
          </cell>
          <cell r="B7905">
            <v>558</v>
          </cell>
          <cell r="C7905">
            <v>201</v>
          </cell>
          <cell r="D7905">
            <v>13</v>
          </cell>
          <cell r="E7905" t="str">
            <v>Less: Financial intermediation services indirectly measured (FISIM) (only to be deducted if FISIM is not distributed to uses)</v>
          </cell>
          <cell r="F7905">
            <v>0</v>
          </cell>
          <cell r="G7905">
            <v>1997</v>
          </cell>
          <cell r="H7905">
            <v>100</v>
          </cell>
          <cell r="I7905">
            <v>826000000</v>
          </cell>
        </row>
        <row r="7906">
          <cell r="A7906" t="str">
            <v>Nicaragua</v>
          </cell>
          <cell r="B7906">
            <v>558</v>
          </cell>
          <cell r="C7906">
            <v>201</v>
          </cell>
          <cell r="D7906">
            <v>13</v>
          </cell>
          <cell r="E7906" t="str">
            <v>Less: Financial intermediation services indirectly measured (FISIM) (only to be deducted if FISIM is not distributed to uses)</v>
          </cell>
          <cell r="F7906">
            <v>0</v>
          </cell>
          <cell r="G7906">
            <v>1998</v>
          </cell>
          <cell r="H7906">
            <v>100</v>
          </cell>
          <cell r="I7906">
            <v>1060000000</v>
          </cell>
        </row>
        <row r="7907">
          <cell r="A7907" t="str">
            <v>Nicaragua</v>
          </cell>
          <cell r="B7907">
            <v>558</v>
          </cell>
          <cell r="C7907">
            <v>201</v>
          </cell>
          <cell r="D7907">
            <v>13</v>
          </cell>
          <cell r="E7907" t="str">
            <v>Less: Financial intermediation services indirectly measured (FISIM) (only to be deducted if FISIM is not distributed to uses)</v>
          </cell>
          <cell r="F7907">
            <v>0</v>
          </cell>
          <cell r="G7907">
            <v>1999</v>
          </cell>
          <cell r="H7907">
            <v>100</v>
          </cell>
          <cell r="I7907">
            <v>1333000000</v>
          </cell>
        </row>
        <row r="7908">
          <cell r="A7908" t="str">
            <v>Nicaragua</v>
          </cell>
          <cell r="B7908">
            <v>558</v>
          </cell>
          <cell r="C7908">
            <v>201</v>
          </cell>
          <cell r="D7908">
            <v>13</v>
          </cell>
          <cell r="E7908" t="str">
            <v>Less: Financial intermediation services indirectly measured (FISIM) (only to be deducted if FISIM is not distributed to uses)</v>
          </cell>
          <cell r="F7908">
            <v>0</v>
          </cell>
          <cell r="G7908">
            <v>2000</v>
          </cell>
          <cell r="H7908">
            <v>100</v>
          </cell>
          <cell r="I7908">
            <v>1653100000</v>
          </cell>
        </row>
        <row r="7909">
          <cell r="A7909" t="str">
            <v>Nicaragua</v>
          </cell>
          <cell r="B7909">
            <v>558</v>
          </cell>
          <cell r="C7909">
            <v>201</v>
          </cell>
          <cell r="D7909">
            <v>13</v>
          </cell>
          <cell r="E7909" t="str">
            <v>Less: Financial intermediation services indirectly measured (FISIM) (only to be deducted if FISIM is not distributed to uses)</v>
          </cell>
          <cell r="F7909">
            <v>0</v>
          </cell>
          <cell r="G7909">
            <v>2001</v>
          </cell>
          <cell r="H7909">
            <v>100</v>
          </cell>
          <cell r="I7909">
            <v>1810000000</v>
          </cell>
        </row>
        <row r="7910">
          <cell r="A7910" t="str">
            <v>Nicaragua</v>
          </cell>
          <cell r="B7910">
            <v>558</v>
          </cell>
          <cell r="C7910">
            <v>201</v>
          </cell>
          <cell r="D7910">
            <v>13</v>
          </cell>
          <cell r="E7910" t="str">
            <v>Less: Financial intermediation services indirectly measured (FISIM) (only to be deducted if FISIM is not distributed to uses)</v>
          </cell>
          <cell r="F7910">
            <v>0</v>
          </cell>
          <cell r="G7910">
            <v>2002</v>
          </cell>
          <cell r="H7910">
            <v>100</v>
          </cell>
          <cell r="I7910">
            <v>2078800000</v>
          </cell>
        </row>
        <row r="7911">
          <cell r="A7911" t="str">
            <v>Nicaragua</v>
          </cell>
          <cell r="B7911">
            <v>558</v>
          </cell>
          <cell r="C7911">
            <v>201</v>
          </cell>
          <cell r="D7911">
            <v>13</v>
          </cell>
          <cell r="E7911" t="str">
            <v>Less: Financial intermediation services indirectly measured (FISIM) (only to be deducted if FISIM is not distributed to uses)</v>
          </cell>
          <cell r="F7911">
            <v>0</v>
          </cell>
          <cell r="G7911">
            <v>2003</v>
          </cell>
          <cell r="H7911">
            <v>100</v>
          </cell>
          <cell r="I7911">
            <v>2381900000</v>
          </cell>
        </row>
        <row r="7912">
          <cell r="A7912" t="str">
            <v>Nicaragua</v>
          </cell>
          <cell r="B7912">
            <v>558</v>
          </cell>
          <cell r="C7912">
            <v>201</v>
          </cell>
          <cell r="D7912">
            <v>13</v>
          </cell>
          <cell r="E7912" t="str">
            <v>Less: Financial intermediation services indirectly measured (FISIM) (only to be deducted if FISIM is not distributed to uses)</v>
          </cell>
          <cell r="F7912">
            <v>0</v>
          </cell>
          <cell r="G7912">
            <v>2004</v>
          </cell>
          <cell r="H7912">
            <v>100</v>
          </cell>
          <cell r="I7912">
            <v>2804000000</v>
          </cell>
        </row>
        <row r="7913">
          <cell r="A7913" t="str">
            <v>Oman</v>
          </cell>
          <cell r="B7913">
            <v>512</v>
          </cell>
          <cell r="C7913">
            <v>203</v>
          </cell>
          <cell r="D7913">
            <v>3</v>
          </cell>
          <cell r="E7913" t="str">
            <v>Equals: VALUE ADDED, GROSS, at basic prices</v>
          </cell>
          <cell r="F7913">
            <v>12</v>
          </cell>
          <cell r="G7913">
            <v>1976</v>
          </cell>
          <cell r="H7913">
            <v>20</v>
          </cell>
          <cell r="I7913">
            <v>890700000</v>
          </cell>
        </row>
        <row r="7914">
          <cell r="A7914" t="str">
            <v>Oman</v>
          </cell>
          <cell r="B7914">
            <v>512</v>
          </cell>
          <cell r="C7914">
            <v>203</v>
          </cell>
          <cell r="D7914">
            <v>3</v>
          </cell>
          <cell r="E7914" t="str">
            <v>Equals: VALUE ADDED, GROSS, at basic prices</v>
          </cell>
          <cell r="F7914">
            <v>12</v>
          </cell>
          <cell r="G7914">
            <v>1977</v>
          </cell>
          <cell r="H7914">
            <v>20</v>
          </cell>
          <cell r="I7914">
            <v>955100000</v>
          </cell>
        </row>
        <row r="7915">
          <cell r="A7915" t="str">
            <v>Oman</v>
          </cell>
          <cell r="B7915">
            <v>512</v>
          </cell>
          <cell r="C7915">
            <v>203</v>
          </cell>
          <cell r="D7915">
            <v>3</v>
          </cell>
          <cell r="E7915" t="str">
            <v>Equals: VALUE ADDED, GROSS, at basic prices</v>
          </cell>
          <cell r="F7915">
            <v>12</v>
          </cell>
          <cell r="G7915">
            <v>1978</v>
          </cell>
          <cell r="H7915">
            <v>20</v>
          </cell>
          <cell r="I7915">
            <v>956500000</v>
          </cell>
        </row>
        <row r="7916">
          <cell r="A7916" t="str">
            <v>Oman</v>
          </cell>
          <cell r="B7916">
            <v>512</v>
          </cell>
          <cell r="C7916">
            <v>203</v>
          </cell>
          <cell r="D7916">
            <v>3</v>
          </cell>
          <cell r="E7916" t="str">
            <v>Equals: VALUE ADDED, GROSS, at basic prices</v>
          </cell>
          <cell r="F7916">
            <v>12</v>
          </cell>
          <cell r="G7916">
            <v>1979</v>
          </cell>
          <cell r="H7916">
            <v>20</v>
          </cell>
          <cell r="I7916">
            <v>1301900000</v>
          </cell>
        </row>
        <row r="7917">
          <cell r="A7917" t="str">
            <v>Oman</v>
          </cell>
          <cell r="B7917">
            <v>512</v>
          </cell>
          <cell r="C7917">
            <v>203</v>
          </cell>
          <cell r="D7917">
            <v>3</v>
          </cell>
          <cell r="E7917" t="str">
            <v>Equals: VALUE ADDED, GROSS, at basic prices</v>
          </cell>
          <cell r="F7917">
            <v>12</v>
          </cell>
          <cell r="G7917">
            <v>1980</v>
          </cell>
          <cell r="H7917">
            <v>20</v>
          </cell>
          <cell r="I7917">
            <v>2079500000</v>
          </cell>
        </row>
        <row r="7918">
          <cell r="A7918" t="str">
            <v>Oman</v>
          </cell>
          <cell r="B7918">
            <v>512</v>
          </cell>
          <cell r="C7918">
            <v>203</v>
          </cell>
          <cell r="D7918">
            <v>3</v>
          </cell>
          <cell r="E7918" t="str">
            <v>Equals: VALUE ADDED, GROSS, at basic prices</v>
          </cell>
          <cell r="F7918">
            <v>12</v>
          </cell>
          <cell r="G7918">
            <v>1988</v>
          </cell>
          <cell r="H7918">
            <v>100</v>
          </cell>
          <cell r="I7918">
            <v>3194900000</v>
          </cell>
        </row>
        <row r="7919">
          <cell r="A7919" t="str">
            <v>Oman</v>
          </cell>
          <cell r="B7919">
            <v>512</v>
          </cell>
          <cell r="C7919">
            <v>203</v>
          </cell>
          <cell r="D7919">
            <v>3</v>
          </cell>
          <cell r="E7919" t="str">
            <v>Equals: VALUE ADDED, GROSS, at basic prices</v>
          </cell>
          <cell r="F7919">
            <v>12</v>
          </cell>
          <cell r="G7919">
            <v>1989</v>
          </cell>
          <cell r="H7919">
            <v>100</v>
          </cell>
          <cell r="I7919">
            <v>3574200000</v>
          </cell>
        </row>
        <row r="7920">
          <cell r="A7920" t="str">
            <v>Oman</v>
          </cell>
          <cell r="B7920">
            <v>512</v>
          </cell>
          <cell r="C7920">
            <v>203</v>
          </cell>
          <cell r="D7920">
            <v>3</v>
          </cell>
          <cell r="E7920" t="str">
            <v>Equals: VALUE ADDED, GROSS, at basic prices</v>
          </cell>
          <cell r="F7920">
            <v>12</v>
          </cell>
          <cell r="G7920">
            <v>1990</v>
          </cell>
          <cell r="H7920">
            <v>100</v>
          </cell>
          <cell r="I7920">
            <v>4460400000</v>
          </cell>
        </row>
        <row r="7921">
          <cell r="A7921" t="str">
            <v>Oman</v>
          </cell>
          <cell r="B7921">
            <v>512</v>
          </cell>
          <cell r="C7921">
            <v>203</v>
          </cell>
          <cell r="D7921">
            <v>3</v>
          </cell>
          <cell r="E7921" t="str">
            <v>Equals: VALUE ADDED, GROSS, at basic prices</v>
          </cell>
          <cell r="F7921">
            <v>12</v>
          </cell>
          <cell r="G7921">
            <v>1991</v>
          </cell>
          <cell r="H7921">
            <v>100</v>
          </cell>
          <cell r="I7921">
            <v>4321300000</v>
          </cell>
        </row>
        <row r="7922">
          <cell r="A7922" t="str">
            <v>Oman</v>
          </cell>
          <cell r="B7922">
            <v>512</v>
          </cell>
          <cell r="C7922">
            <v>203</v>
          </cell>
          <cell r="D7922">
            <v>3</v>
          </cell>
          <cell r="E7922" t="str">
            <v>Equals: VALUE ADDED, GROSS, at basic prices</v>
          </cell>
          <cell r="F7922">
            <v>12</v>
          </cell>
          <cell r="G7922">
            <v>1992</v>
          </cell>
          <cell r="H7922">
            <v>100</v>
          </cell>
          <cell r="I7922">
            <v>4740000000</v>
          </cell>
        </row>
        <row r="7923">
          <cell r="A7923" t="str">
            <v>Oman</v>
          </cell>
          <cell r="B7923">
            <v>512</v>
          </cell>
          <cell r="C7923">
            <v>203</v>
          </cell>
          <cell r="D7923">
            <v>3</v>
          </cell>
          <cell r="E7923" t="str">
            <v>Equals: VALUE ADDED, GROSS, at basic prices</v>
          </cell>
          <cell r="F7923">
            <v>12</v>
          </cell>
          <cell r="G7923">
            <v>1993</v>
          </cell>
          <cell r="H7923">
            <v>100</v>
          </cell>
          <cell r="I7923">
            <v>4760000000</v>
          </cell>
        </row>
        <row r="7924">
          <cell r="A7924" t="str">
            <v>Oman</v>
          </cell>
          <cell r="B7924">
            <v>512</v>
          </cell>
          <cell r="C7924">
            <v>203</v>
          </cell>
          <cell r="D7924">
            <v>3</v>
          </cell>
          <cell r="E7924" t="str">
            <v>Equals: VALUE ADDED, GROSS, at basic prices</v>
          </cell>
          <cell r="F7924">
            <v>12</v>
          </cell>
          <cell r="G7924">
            <v>1994</v>
          </cell>
          <cell r="H7924">
            <v>100</v>
          </cell>
          <cell r="I7924">
            <v>4925800000</v>
          </cell>
        </row>
        <row r="7925">
          <cell r="A7925" t="str">
            <v>Oman</v>
          </cell>
          <cell r="B7925">
            <v>512</v>
          </cell>
          <cell r="C7925">
            <v>203</v>
          </cell>
          <cell r="D7925">
            <v>3</v>
          </cell>
          <cell r="E7925" t="str">
            <v>Equals: VALUE ADDED, GROSS, at basic prices</v>
          </cell>
          <cell r="F7925">
            <v>12</v>
          </cell>
          <cell r="G7925">
            <v>1995</v>
          </cell>
          <cell r="H7925">
            <v>100</v>
          </cell>
          <cell r="I7925">
            <v>5261900000</v>
          </cell>
        </row>
        <row r="7926">
          <cell r="A7926" t="str">
            <v>Oman</v>
          </cell>
          <cell r="B7926">
            <v>512</v>
          </cell>
          <cell r="C7926">
            <v>203</v>
          </cell>
          <cell r="D7926">
            <v>3</v>
          </cell>
          <cell r="E7926" t="str">
            <v>Equals: VALUE ADDED, GROSS, at basic prices</v>
          </cell>
          <cell r="F7926">
            <v>12</v>
          </cell>
          <cell r="G7926">
            <v>1996</v>
          </cell>
          <cell r="H7926">
            <v>100</v>
          </cell>
          <cell r="I7926">
            <v>5826700000</v>
          </cell>
        </row>
        <row r="7927">
          <cell r="A7927" t="str">
            <v>Oman</v>
          </cell>
          <cell r="B7927">
            <v>512</v>
          </cell>
          <cell r="C7927">
            <v>203</v>
          </cell>
          <cell r="D7927">
            <v>3</v>
          </cell>
          <cell r="E7927" t="str">
            <v>Equals: VALUE ADDED, GROSS, at basic prices</v>
          </cell>
          <cell r="F7927">
            <v>12</v>
          </cell>
          <cell r="G7927">
            <v>1997</v>
          </cell>
          <cell r="H7927">
            <v>100</v>
          </cell>
          <cell r="I7927">
            <v>6045700000</v>
          </cell>
        </row>
        <row r="7928">
          <cell r="A7928" t="str">
            <v>Oman</v>
          </cell>
          <cell r="B7928">
            <v>512</v>
          </cell>
          <cell r="C7928">
            <v>203</v>
          </cell>
          <cell r="D7928">
            <v>3</v>
          </cell>
          <cell r="E7928" t="str">
            <v>Equals: VALUE ADDED, GROSS, at basic prices</v>
          </cell>
          <cell r="F7928">
            <v>12</v>
          </cell>
          <cell r="G7928">
            <v>1998</v>
          </cell>
          <cell r="H7928">
            <v>100</v>
          </cell>
          <cell r="I7928">
            <v>5354200000</v>
          </cell>
        </row>
        <row r="7929">
          <cell r="A7929" t="str">
            <v>Oman</v>
          </cell>
          <cell r="B7929">
            <v>512</v>
          </cell>
          <cell r="C7929">
            <v>203</v>
          </cell>
          <cell r="D7929">
            <v>3</v>
          </cell>
          <cell r="E7929" t="str">
            <v>Equals: VALUE ADDED, GROSS, at basic prices</v>
          </cell>
          <cell r="F7929">
            <v>12</v>
          </cell>
          <cell r="G7929">
            <v>1999</v>
          </cell>
          <cell r="H7929">
            <v>100</v>
          </cell>
          <cell r="I7929">
            <v>5960300000</v>
          </cell>
        </row>
        <row r="7930">
          <cell r="A7930" t="str">
            <v>Oman</v>
          </cell>
          <cell r="B7930">
            <v>512</v>
          </cell>
          <cell r="C7930">
            <v>203</v>
          </cell>
          <cell r="D7930">
            <v>3</v>
          </cell>
          <cell r="E7930" t="str">
            <v>Equals: VALUE ADDED, GROSS, at basic prices</v>
          </cell>
          <cell r="F7930">
            <v>12</v>
          </cell>
          <cell r="G7930">
            <v>2000</v>
          </cell>
          <cell r="H7930">
            <v>100</v>
          </cell>
          <cell r="I7930">
            <v>7593100000</v>
          </cell>
        </row>
        <row r="7931">
          <cell r="A7931" t="str">
            <v>Oman</v>
          </cell>
          <cell r="B7931">
            <v>512</v>
          </cell>
          <cell r="C7931">
            <v>203</v>
          </cell>
          <cell r="D7931">
            <v>3</v>
          </cell>
          <cell r="E7931" t="str">
            <v>Equals: VALUE ADDED, GROSS, at basic prices</v>
          </cell>
          <cell r="F7931">
            <v>12</v>
          </cell>
          <cell r="G7931">
            <v>2001</v>
          </cell>
          <cell r="H7931">
            <v>100</v>
          </cell>
          <cell r="I7931">
            <v>7611800000</v>
          </cell>
        </row>
        <row r="7932">
          <cell r="A7932" t="str">
            <v>Oman</v>
          </cell>
          <cell r="B7932">
            <v>512</v>
          </cell>
          <cell r="C7932">
            <v>203</v>
          </cell>
          <cell r="D7932">
            <v>3</v>
          </cell>
          <cell r="E7932" t="str">
            <v>Equals: VALUE ADDED, GROSS, at basic prices</v>
          </cell>
          <cell r="F7932">
            <v>12</v>
          </cell>
          <cell r="G7932">
            <v>2002</v>
          </cell>
          <cell r="H7932">
            <v>100</v>
          </cell>
          <cell r="I7932">
            <v>7746800000</v>
          </cell>
        </row>
        <row r="7933">
          <cell r="A7933" t="str">
            <v>Oman</v>
          </cell>
          <cell r="B7933">
            <v>512</v>
          </cell>
          <cell r="C7933">
            <v>203</v>
          </cell>
          <cell r="D7933">
            <v>3</v>
          </cell>
          <cell r="E7933" t="str">
            <v>Equals: VALUE ADDED, GROSS, at basic prices</v>
          </cell>
          <cell r="F7933">
            <v>12</v>
          </cell>
          <cell r="G7933">
            <v>2003</v>
          </cell>
          <cell r="H7933">
            <v>100</v>
          </cell>
          <cell r="I7933">
            <v>8277800000</v>
          </cell>
        </row>
        <row r="7934">
          <cell r="A7934" t="str">
            <v>Nicaragua</v>
          </cell>
          <cell r="B7934">
            <v>558</v>
          </cell>
          <cell r="C7934">
            <v>203</v>
          </cell>
          <cell r="D7934">
            <v>3</v>
          </cell>
          <cell r="E7934" t="str">
            <v>Equals: VALUE ADDED, GROSS, at basic prices</v>
          </cell>
          <cell r="F7934">
            <v>12</v>
          </cell>
          <cell r="G7934">
            <v>1994</v>
          </cell>
          <cell r="H7934">
            <v>100</v>
          </cell>
          <cell r="I7934">
            <v>17896000000</v>
          </cell>
        </row>
        <row r="7935">
          <cell r="A7935" t="str">
            <v>Nicaragua</v>
          </cell>
          <cell r="B7935">
            <v>558</v>
          </cell>
          <cell r="C7935">
            <v>203</v>
          </cell>
          <cell r="D7935">
            <v>3</v>
          </cell>
          <cell r="E7935" t="str">
            <v>Equals: VALUE ADDED, GROSS, at basic prices</v>
          </cell>
          <cell r="F7935">
            <v>12</v>
          </cell>
          <cell r="G7935">
            <v>1995</v>
          </cell>
          <cell r="H7935">
            <v>100</v>
          </cell>
          <cell r="I7935">
            <v>21499000000</v>
          </cell>
        </row>
        <row r="7936">
          <cell r="A7936" t="str">
            <v>Nicaragua</v>
          </cell>
          <cell r="B7936">
            <v>558</v>
          </cell>
          <cell r="C7936">
            <v>203</v>
          </cell>
          <cell r="D7936">
            <v>3</v>
          </cell>
          <cell r="E7936" t="str">
            <v>Equals: VALUE ADDED, GROSS, at basic prices</v>
          </cell>
          <cell r="F7936">
            <v>12</v>
          </cell>
          <cell r="G7936">
            <v>1996</v>
          </cell>
          <cell r="H7936">
            <v>100</v>
          </cell>
          <cell r="I7936">
            <v>25072000000</v>
          </cell>
        </row>
        <row r="7937">
          <cell r="A7937" t="str">
            <v>Nicaragua</v>
          </cell>
          <cell r="B7937">
            <v>558</v>
          </cell>
          <cell r="C7937">
            <v>203</v>
          </cell>
          <cell r="D7937">
            <v>3</v>
          </cell>
          <cell r="E7937" t="str">
            <v>Equals: VALUE ADDED, GROSS, at basic prices</v>
          </cell>
          <cell r="F7937">
            <v>12</v>
          </cell>
          <cell r="G7937">
            <v>1997</v>
          </cell>
          <cell r="H7937">
            <v>100</v>
          </cell>
          <cell r="I7937">
            <v>28255000000</v>
          </cell>
        </row>
        <row r="7938">
          <cell r="A7938" t="str">
            <v>Nicaragua</v>
          </cell>
          <cell r="B7938">
            <v>558</v>
          </cell>
          <cell r="C7938">
            <v>203</v>
          </cell>
          <cell r="D7938">
            <v>3</v>
          </cell>
          <cell r="E7938" t="str">
            <v>Equals: VALUE ADDED, GROSS, at basic prices</v>
          </cell>
          <cell r="F7938">
            <v>12</v>
          </cell>
          <cell r="G7938">
            <v>1998</v>
          </cell>
          <cell r="H7938">
            <v>100</v>
          </cell>
          <cell r="I7938">
            <v>33187000000</v>
          </cell>
        </row>
        <row r="7939">
          <cell r="A7939" t="str">
            <v>Nicaragua</v>
          </cell>
          <cell r="B7939">
            <v>558</v>
          </cell>
          <cell r="C7939">
            <v>203</v>
          </cell>
          <cell r="D7939">
            <v>3</v>
          </cell>
          <cell r="E7939" t="str">
            <v>Equals: VALUE ADDED, GROSS, at basic prices</v>
          </cell>
          <cell r="F7939">
            <v>12</v>
          </cell>
          <cell r="G7939">
            <v>1999</v>
          </cell>
          <cell r="H7939">
            <v>100</v>
          </cell>
          <cell r="I7939">
            <v>39000000000</v>
          </cell>
        </row>
        <row r="7940">
          <cell r="A7940" t="str">
            <v>Nicaragua</v>
          </cell>
          <cell r="B7940">
            <v>558</v>
          </cell>
          <cell r="C7940">
            <v>203</v>
          </cell>
          <cell r="D7940">
            <v>3</v>
          </cell>
          <cell r="E7940" t="str">
            <v>Equals: VALUE ADDED, GROSS, at basic prices</v>
          </cell>
          <cell r="F7940">
            <v>12</v>
          </cell>
          <cell r="G7940">
            <v>2000</v>
          </cell>
          <cell r="H7940">
            <v>100</v>
          </cell>
          <cell r="I7940">
            <v>44373100000</v>
          </cell>
        </row>
        <row r="7941">
          <cell r="A7941" t="str">
            <v>Nicaragua</v>
          </cell>
          <cell r="B7941">
            <v>558</v>
          </cell>
          <cell r="C7941">
            <v>203</v>
          </cell>
          <cell r="D7941">
            <v>3</v>
          </cell>
          <cell r="E7941" t="str">
            <v>Equals: VALUE ADDED, GROSS, at basic prices</v>
          </cell>
          <cell r="F7941">
            <v>12</v>
          </cell>
          <cell r="G7941">
            <v>2001</v>
          </cell>
          <cell r="H7941">
            <v>100</v>
          </cell>
          <cell r="I7941">
            <v>48254500000</v>
          </cell>
        </row>
        <row r="7942">
          <cell r="A7942" t="str">
            <v>Nicaragua</v>
          </cell>
          <cell r="B7942">
            <v>558</v>
          </cell>
          <cell r="C7942">
            <v>203</v>
          </cell>
          <cell r="D7942">
            <v>3</v>
          </cell>
          <cell r="E7942" t="str">
            <v>Equals: VALUE ADDED, GROSS, at basic prices</v>
          </cell>
          <cell r="F7942">
            <v>12</v>
          </cell>
          <cell r="G7942">
            <v>2002</v>
          </cell>
          <cell r="H7942">
            <v>100</v>
          </cell>
          <cell r="I7942">
            <v>50949000000</v>
          </cell>
        </row>
        <row r="7943">
          <cell r="A7943" t="str">
            <v>Nicaragua</v>
          </cell>
          <cell r="B7943">
            <v>558</v>
          </cell>
          <cell r="C7943">
            <v>203</v>
          </cell>
          <cell r="D7943">
            <v>3</v>
          </cell>
          <cell r="E7943" t="str">
            <v>Equals: VALUE ADDED, GROSS, at basic prices</v>
          </cell>
          <cell r="F7943">
            <v>12</v>
          </cell>
          <cell r="G7943">
            <v>2003</v>
          </cell>
          <cell r="H7943">
            <v>100</v>
          </cell>
          <cell r="I7943">
            <v>55462200000</v>
          </cell>
        </row>
        <row r="7944">
          <cell r="A7944" t="str">
            <v>Nicaragua</v>
          </cell>
          <cell r="B7944">
            <v>558</v>
          </cell>
          <cell r="C7944">
            <v>203</v>
          </cell>
          <cell r="D7944">
            <v>3</v>
          </cell>
          <cell r="E7944" t="str">
            <v>Equals: VALUE ADDED, GROSS, at basic prices</v>
          </cell>
          <cell r="F7944">
            <v>12</v>
          </cell>
          <cell r="G7944">
            <v>2004</v>
          </cell>
          <cell r="H7944">
            <v>100</v>
          </cell>
          <cell r="I7944">
            <v>62464100000</v>
          </cell>
        </row>
        <row r="7945">
          <cell r="A7945" t="str">
            <v>Oman</v>
          </cell>
          <cell r="B7945">
            <v>512</v>
          </cell>
          <cell r="C7945">
            <v>203</v>
          </cell>
          <cell r="D7945">
            <v>4</v>
          </cell>
          <cell r="E7945" t="str">
            <v>Compensation of employees</v>
          </cell>
          <cell r="F7945">
            <v>12</v>
          </cell>
          <cell r="G7945">
            <v>1988</v>
          </cell>
          <cell r="H7945">
            <v>100</v>
          </cell>
          <cell r="I7945">
            <v>1111800000</v>
          </cell>
        </row>
        <row r="7946">
          <cell r="A7946" t="str">
            <v>Oman</v>
          </cell>
          <cell r="B7946">
            <v>512</v>
          </cell>
          <cell r="C7946">
            <v>203</v>
          </cell>
          <cell r="D7946">
            <v>4</v>
          </cell>
          <cell r="E7946" t="str">
            <v>Compensation of employees</v>
          </cell>
          <cell r="F7946">
            <v>12</v>
          </cell>
          <cell r="G7946">
            <v>1989</v>
          </cell>
          <cell r="H7946">
            <v>100</v>
          </cell>
          <cell r="I7946">
            <v>1175500000</v>
          </cell>
        </row>
        <row r="7947">
          <cell r="A7947" t="str">
            <v>Oman</v>
          </cell>
          <cell r="B7947">
            <v>512</v>
          </cell>
          <cell r="C7947">
            <v>203</v>
          </cell>
          <cell r="D7947">
            <v>4</v>
          </cell>
          <cell r="E7947" t="str">
            <v>Compensation of employees</v>
          </cell>
          <cell r="F7947">
            <v>12</v>
          </cell>
          <cell r="G7947">
            <v>1990</v>
          </cell>
          <cell r="H7947">
            <v>100</v>
          </cell>
          <cell r="I7947">
            <v>1364100000</v>
          </cell>
        </row>
        <row r="7948">
          <cell r="A7948" t="str">
            <v>Oman</v>
          </cell>
          <cell r="B7948">
            <v>512</v>
          </cell>
          <cell r="C7948">
            <v>203</v>
          </cell>
          <cell r="D7948">
            <v>4</v>
          </cell>
          <cell r="E7948" t="str">
            <v>Compensation of employees</v>
          </cell>
          <cell r="F7948">
            <v>12</v>
          </cell>
          <cell r="G7948">
            <v>1991</v>
          </cell>
          <cell r="H7948">
            <v>100</v>
          </cell>
          <cell r="I7948">
            <v>1400200000</v>
          </cell>
        </row>
        <row r="7949">
          <cell r="A7949" t="str">
            <v>Oman</v>
          </cell>
          <cell r="B7949">
            <v>512</v>
          </cell>
          <cell r="C7949">
            <v>203</v>
          </cell>
          <cell r="D7949">
            <v>4</v>
          </cell>
          <cell r="E7949" t="str">
            <v>Compensation of employees</v>
          </cell>
          <cell r="F7949">
            <v>12</v>
          </cell>
          <cell r="G7949">
            <v>1992</v>
          </cell>
          <cell r="H7949">
            <v>100</v>
          </cell>
          <cell r="I7949">
            <v>1568000000</v>
          </cell>
        </row>
        <row r="7950">
          <cell r="A7950" t="str">
            <v>Oman</v>
          </cell>
          <cell r="B7950">
            <v>512</v>
          </cell>
          <cell r="C7950">
            <v>203</v>
          </cell>
          <cell r="D7950">
            <v>4</v>
          </cell>
          <cell r="E7950" t="str">
            <v>Compensation of employees</v>
          </cell>
          <cell r="F7950">
            <v>12</v>
          </cell>
          <cell r="G7950">
            <v>1993</v>
          </cell>
          <cell r="H7950">
            <v>100</v>
          </cell>
          <cell r="I7950">
            <v>1650000000</v>
          </cell>
        </row>
        <row r="7951">
          <cell r="A7951" t="str">
            <v>Oman</v>
          </cell>
          <cell r="B7951">
            <v>512</v>
          </cell>
          <cell r="C7951">
            <v>203</v>
          </cell>
          <cell r="D7951">
            <v>4</v>
          </cell>
          <cell r="E7951" t="str">
            <v>Compensation of employees</v>
          </cell>
          <cell r="F7951">
            <v>12</v>
          </cell>
          <cell r="G7951">
            <v>1994</v>
          </cell>
          <cell r="H7951">
            <v>100</v>
          </cell>
          <cell r="I7951">
            <v>1689000000</v>
          </cell>
        </row>
        <row r="7952">
          <cell r="A7952" t="str">
            <v>Oman</v>
          </cell>
          <cell r="B7952">
            <v>512</v>
          </cell>
          <cell r="C7952">
            <v>203</v>
          </cell>
          <cell r="D7952">
            <v>4</v>
          </cell>
          <cell r="E7952" t="str">
            <v>Compensation of employees</v>
          </cell>
          <cell r="F7952">
            <v>12</v>
          </cell>
          <cell r="G7952">
            <v>1995</v>
          </cell>
          <cell r="H7952">
            <v>100</v>
          </cell>
          <cell r="I7952">
            <v>1758000000</v>
          </cell>
        </row>
        <row r="7953">
          <cell r="A7953" t="str">
            <v>Oman</v>
          </cell>
          <cell r="B7953">
            <v>512</v>
          </cell>
          <cell r="C7953">
            <v>203</v>
          </cell>
          <cell r="D7953">
            <v>4</v>
          </cell>
          <cell r="E7953" t="str">
            <v>Compensation of employees</v>
          </cell>
          <cell r="F7953">
            <v>12</v>
          </cell>
          <cell r="G7953">
            <v>1996</v>
          </cell>
          <cell r="H7953">
            <v>100</v>
          </cell>
          <cell r="I7953">
            <v>1819000000</v>
          </cell>
        </row>
        <row r="7954">
          <cell r="A7954" t="str">
            <v>Oman</v>
          </cell>
          <cell r="B7954">
            <v>512</v>
          </cell>
          <cell r="C7954">
            <v>203</v>
          </cell>
          <cell r="D7954">
            <v>4</v>
          </cell>
          <cell r="E7954" t="str">
            <v>Compensation of employees</v>
          </cell>
          <cell r="F7954">
            <v>12</v>
          </cell>
          <cell r="G7954">
            <v>1997</v>
          </cell>
          <cell r="H7954">
            <v>100</v>
          </cell>
          <cell r="I7954">
            <v>1870000000</v>
          </cell>
        </row>
        <row r="7955">
          <cell r="A7955" t="str">
            <v>Oman</v>
          </cell>
          <cell r="B7955">
            <v>512</v>
          </cell>
          <cell r="C7955">
            <v>203</v>
          </cell>
          <cell r="D7955">
            <v>4</v>
          </cell>
          <cell r="E7955" t="str">
            <v>Compensation of employees</v>
          </cell>
          <cell r="F7955">
            <v>12</v>
          </cell>
          <cell r="G7955">
            <v>1998</v>
          </cell>
          <cell r="H7955">
            <v>100</v>
          </cell>
          <cell r="I7955">
            <v>1923000000</v>
          </cell>
        </row>
        <row r="7956">
          <cell r="A7956" t="str">
            <v>Oman</v>
          </cell>
          <cell r="B7956">
            <v>512</v>
          </cell>
          <cell r="C7956">
            <v>203</v>
          </cell>
          <cell r="D7956">
            <v>4</v>
          </cell>
          <cell r="E7956" t="str">
            <v>Compensation of employees</v>
          </cell>
          <cell r="F7956">
            <v>12</v>
          </cell>
          <cell r="G7956">
            <v>1999</v>
          </cell>
          <cell r="H7956">
            <v>100</v>
          </cell>
          <cell r="I7956">
            <v>1917700000</v>
          </cell>
        </row>
        <row r="7957">
          <cell r="A7957" t="str">
            <v>Oman</v>
          </cell>
          <cell r="B7957">
            <v>512</v>
          </cell>
          <cell r="C7957">
            <v>203</v>
          </cell>
          <cell r="D7957">
            <v>4</v>
          </cell>
          <cell r="E7957" t="str">
            <v>Compensation of employees</v>
          </cell>
          <cell r="F7957">
            <v>12</v>
          </cell>
          <cell r="G7957">
            <v>2000</v>
          </cell>
          <cell r="H7957">
            <v>100</v>
          </cell>
          <cell r="I7957">
            <v>2015900000</v>
          </cell>
        </row>
        <row r="7958">
          <cell r="A7958" t="str">
            <v>Oman</v>
          </cell>
          <cell r="B7958">
            <v>512</v>
          </cell>
          <cell r="C7958">
            <v>203</v>
          </cell>
          <cell r="D7958">
            <v>4</v>
          </cell>
          <cell r="E7958" t="str">
            <v>Compensation of employees</v>
          </cell>
          <cell r="F7958">
            <v>12</v>
          </cell>
          <cell r="G7958">
            <v>2001</v>
          </cell>
          <cell r="H7958">
            <v>100</v>
          </cell>
          <cell r="I7958">
            <v>2130100000</v>
          </cell>
        </row>
        <row r="7959">
          <cell r="A7959" t="str">
            <v>Oman</v>
          </cell>
          <cell r="B7959">
            <v>512</v>
          </cell>
          <cell r="C7959">
            <v>203</v>
          </cell>
          <cell r="D7959">
            <v>4</v>
          </cell>
          <cell r="E7959" t="str">
            <v>Compensation of employees</v>
          </cell>
          <cell r="F7959">
            <v>12</v>
          </cell>
          <cell r="G7959">
            <v>2002</v>
          </cell>
          <cell r="H7959">
            <v>100</v>
          </cell>
          <cell r="I7959">
            <v>2221800000</v>
          </cell>
        </row>
        <row r="7960">
          <cell r="A7960" t="str">
            <v>Oman</v>
          </cell>
          <cell r="B7960">
            <v>512</v>
          </cell>
          <cell r="C7960">
            <v>203</v>
          </cell>
          <cell r="D7960">
            <v>4</v>
          </cell>
          <cell r="E7960" t="str">
            <v>Compensation of employees</v>
          </cell>
          <cell r="F7960">
            <v>12</v>
          </cell>
          <cell r="G7960">
            <v>2003</v>
          </cell>
          <cell r="H7960">
            <v>100</v>
          </cell>
          <cell r="I7960">
            <v>2388500000</v>
          </cell>
        </row>
        <row r="7961">
          <cell r="A7961" t="str">
            <v>Nicaragua</v>
          </cell>
          <cell r="B7961">
            <v>558</v>
          </cell>
          <cell r="C7961">
            <v>203</v>
          </cell>
          <cell r="D7961">
            <v>4</v>
          </cell>
          <cell r="E7961" t="str">
            <v>Compensation of employees</v>
          </cell>
          <cell r="F7961">
            <v>12</v>
          </cell>
          <cell r="G7961">
            <v>1994</v>
          </cell>
          <cell r="H7961">
            <v>100</v>
          </cell>
          <cell r="I7961">
            <v>6981000000</v>
          </cell>
        </row>
        <row r="7962">
          <cell r="A7962" t="str">
            <v>Nicaragua</v>
          </cell>
          <cell r="B7962">
            <v>558</v>
          </cell>
          <cell r="C7962">
            <v>203</v>
          </cell>
          <cell r="D7962">
            <v>4</v>
          </cell>
          <cell r="E7962" t="str">
            <v>Compensation of employees</v>
          </cell>
          <cell r="F7962">
            <v>12</v>
          </cell>
          <cell r="G7962">
            <v>1995</v>
          </cell>
          <cell r="H7962">
            <v>100</v>
          </cell>
          <cell r="I7962">
            <v>7956000000</v>
          </cell>
        </row>
        <row r="7963">
          <cell r="A7963" t="str">
            <v>Nicaragua</v>
          </cell>
          <cell r="B7963">
            <v>558</v>
          </cell>
          <cell r="C7963">
            <v>203</v>
          </cell>
          <cell r="D7963">
            <v>4</v>
          </cell>
          <cell r="E7963" t="str">
            <v>Compensation of employees</v>
          </cell>
          <cell r="F7963">
            <v>12</v>
          </cell>
          <cell r="G7963">
            <v>1996</v>
          </cell>
          <cell r="H7963">
            <v>100</v>
          </cell>
          <cell r="I7963">
            <v>9272000000</v>
          </cell>
        </row>
        <row r="7964">
          <cell r="A7964" t="str">
            <v>Nicaragua</v>
          </cell>
          <cell r="B7964">
            <v>558</v>
          </cell>
          <cell r="C7964">
            <v>203</v>
          </cell>
          <cell r="D7964">
            <v>4</v>
          </cell>
          <cell r="E7964" t="str">
            <v>Compensation of employees</v>
          </cell>
          <cell r="F7964">
            <v>12</v>
          </cell>
          <cell r="G7964">
            <v>1997</v>
          </cell>
          <cell r="H7964">
            <v>100</v>
          </cell>
          <cell r="I7964">
            <v>10264000000</v>
          </cell>
        </row>
        <row r="7965">
          <cell r="A7965" t="str">
            <v>Nicaragua</v>
          </cell>
          <cell r="B7965">
            <v>558</v>
          </cell>
          <cell r="C7965">
            <v>203</v>
          </cell>
          <cell r="D7965">
            <v>4</v>
          </cell>
          <cell r="E7965" t="str">
            <v>Compensation of employees</v>
          </cell>
          <cell r="F7965">
            <v>12</v>
          </cell>
          <cell r="G7965">
            <v>1998</v>
          </cell>
          <cell r="H7965">
            <v>100</v>
          </cell>
          <cell r="I7965">
            <v>11711000000</v>
          </cell>
        </row>
        <row r="7966">
          <cell r="A7966" t="str">
            <v>Nicaragua</v>
          </cell>
          <cell r="B7966">
            <v>558</v>
          </cell>
          <cell r="C7966">
            <v>203</v>
          </cell>
          <cell r="D7966">
            <v>4</v>
          </cell>
          <cell r="E7966" t="str">
            <v>Compensation of employees</v>
          </cell>
          <cell r="F7966">
            <v>12</v>
          </cell>
          <cell r="G7966">
            <v>1999</v>
          </cell>
          <cell r="H7966">
            <v>100</v>
          </cell>
          <cell r="I7966">
            <v>14090000000</v>
          </cell>
        </row>
        <row r="7967">
          <cell r="A7967" t="str">
            <v>Nicaragua</v>
          </cell>
          <cell r="B7967">
            <v>558</v>
          </cell>
          <cell r="C7967">
            <v>203</v>
          </cell>
          <cell r="D7967">
            <v>4</v>
          </cell>
          <cell r="E7967" t="str">
            <v>Compensation of employees</v>
          </cell>
          <cell r="F7967">
            <v>12</v>
          </cell>
          <cell r="G7967">
            <v>2000</v>
          </cell>
          <cell r="H7967">
            <v>100</v>
          </cell>
          <cell r="I7967">
            <v>17144200000</v>
          </cell>
        </row>
        <row r="7968">
          <cell r="A7968" t="str">
            <v>Oman</v>
          </cell>
          <cell r="B7968">
            <v>512</v>
          </cell>
          <cell r="C7968">
            <v>203</v>
          </cell>
          <cell r="D7968">
            <v>11</v>
          </cell>
          <cell r="E7968" t="str">
            <v>OPERATING SURPLUS, GROSS</v>
          </cell>
          <cell r="F7968">
            <v>12</v>
          </cell>
          <cell r="G7968">
            <v>1991</v>
          </cell>
          <cell r="H7968">
            <v>100</v>
          </cell>
          <cell r="I7968">
            <v>2390300000</v>
          </cell>
        </row>
        <row r="7969">
          <cell r="A7969" t="str">
            <v>Oman</v>
          </cell>
          <cell r="B7969">
            <v>512</v>
          </cell>
          <cell r="C7969">
            <v>203</v>
          </cell>
          <cell r="D7969">
            <v>11</v>
          </cell>
          <cell r="E7969" t="str">
            <v>OPERATING SURPLUS, GROSS</v>
          </cell>
          <cell r="F7969">
            <v>12</v>
          </cell>
          <cell r="G7969">
            <v>1992</v>
          </cell>
          <cell r="H7969">
            <v>100</v>
          </cell>
          <cell r="I7969">
            <v>3141000000</v>
          </cell>
        </row>
        <row r="7970">
          <cell r="A7970" t="str">
            <v>Oman</v>
          </cell>
          <cell r="B7970">
            <v>512</v>
          </cell>
          <cell r="C7970">
            <v>203</v>
          </cell>
          <cell r="D7970">
            <v>11</v>
          </cell>
          <cell r="E7970" t="str">
            <v>OPERATING SURPLUS, GROSS</v>
          </cell>
          <cell r="F7970">
            <v>12</v>
          </cell>
          <cell r="G7970">
            <v>1993</v>
          </cell>
          <cell r="H7970">
            <v>100</v>
          </cell>
          <cell r="I7970">
            <v>3079000000</v>
          </cell>
        </row>
        <row r="7971">
          <cell r="A7971" t="str">
            <v>Oman</v>
          </cell>
          <cell r="B7971">
            <v>512</v>
          </cell>
          <cell r="C7971">
            <v>203</v>
          </cell>
          <cell r="D7971">
            <v>11</v>
          </cell>
          <cell r="E7971" t="str">
            <v>OPERATING SURPLUS, GROSS</v>
          </cell>
          <cell r="F7971">
            <v>12</v>
          </cell>
          <cell r="G7971">
            <v>1994</v>
          </cell>
          <cell r="H7971">
            <v>100</v>
          </cell>
          <cell r="I7971">
            <v>3191000000</v>
          </cell>
        </row>
        <row r="7972">
          <cell r="A7972" t="str">
            <v>Oman</v>
          </cell>
          <cell r="B7972">
            <v>512</v>
          </cell>
          <cell r="C7972">
            <v>203</v>
          </cell>
          <cell r="D7972">
            <v>11</v>
          </cell>
          <cell r="E7972" t="str">
            <v>OPERATING SURPLUS, GROSS</v>
          </cell>
          <cell r="F7972">
            <v>12</v>
          </cell>
          <cell r="G7972">
            <v>1995</v>
          </cell>
          <cell r="H7972">
            <v>100</v>
          </cell>
          <cell r="I7972">
            <v>3476000000</v>
          </cell>
        </row>
        <row r="7973">
          <cell r="A7973" t="str">
            <v>Oman</v>
          </cell>
          <cell r="B7973">
            <v>512</v>
          </cell>
          <cell r="C7973">
            <v>203</v>
          </cell>
          <cell r="D7973">
            <v>11</v>
          </cell>
          <cell r="E7973" t="str">
            <v>OPERATING SURPLUS, GROSS</v>
          </cell>
          <cell r="F7973">
            <v>12</v>
          </cell>
          <cell r="G7973">
            <v>1996</v>
          </cell>
          <cell r="H7973">
            <v>100</v>
          </cell>
          <cell r="I7973">
            <v>4003000000</v>
          </cell>
        </row>
        <row r="7974">
          <cell r="A7974" t="str">
            <v>Oman</v>
          </cell>
          <cell r="B7974">
            <v>512</v>
          </cell>
          <cell r="C7974">
            <v>203</v>
          </cell>
          <cell r="D7974">
            <v>11</v>
          </cell>
          <cell r="E7974" t="str">
            <v>OPERATING SURPLUS, GROSS</v>
          </cell>
          <cell r="F7974">
            <v>12</v>
          </cell>
          <cell r="G7974">
            <v>1997</v>
          </cell>
          <cell r="H7974">
            <v>100</v>
          </cell>
          <cell r="I7974">
            <v>4142000000</v>
          </cell>
        </row>
        <row r="7975">
          <cell r="A7975" t="str">
            <v>Oman</v>
          </cell>
          <cell r="B7975">
            <v>512</v>
          </cell>
          <cell r="C7975">
            <v>203</v>
          </cell>
          <cell r="D7975">
            <v>11</v>
          </cell>
          <cell r="E7975" t="str">
            <v>OPERATING SURPLUS, GROSS</v>
          </cell>
          <cell r="F7975">
            <v>12</v>
          </cell>
          <cell r="G7975">
            <v>1998</v>
          </cell>
          <cell r="H7975">
            <v>100</v>
          </cell>
          <cell r="I7975">
            <v>3389000000</v>
          </cell>
        </row>
        <row r="7976">
          <cell r="A7976" t="str">
            <v>Oman</v>
          </cell>
          <cell r="B7976">
            <v>512</v>
          </cell>
          <cell r="C7976">
            <v>203</v>
          </cell>
          <cell r="D7976">
            <v>11</v>
          </cell>
          <cell r="E7976" t="str">
            <v>OPERATING SURPLUS, GROSS</v>
          </cell>
          <cell r="F7976">
            <v>12</v>
          </cell>
          <cell r="G7976">
            <v>1999</v>
          </cell>
          <cell r="H7976">
            <v>100</v>
          </cell>
          <cell r="I7976">
            <v>3942600000</v>
          </cell>
        </row>
        <row r="7977">
          <cell r="A7977" t="str">
            <v>Oman</v>
          </cell>
          <cell r="B7977">
            <v>512</v>
          </cell>
          <cell r="C7977">
            <v>203</v>
          </cell>
          <cell r="D7977">
            <v>11</v>
          </cell>
          <cell r="E7977" t="str">
            <v>OPERATING SURPLUS, GROSS</v>
          </cell>
          <cell r="F7977">
            <v>12</v>
          </cell>
          <cell r="G7977">
            <v>2000</v>
          </cell>
          <cell r="H7977">
            <v>100</v>
          </cell>
          <cell r="I7977">
            <v>4331600000</v>
          </cell>
        </row>
        <row r="7978">
          <cell r="A7978" t="str">
            <v>Oman</v>
          </cell>
          <cell r="B7978">
            <v>512</v>
          </cell>
          <cell r="C7978">
            <v>203</v>
          </cell>
          <cell r="D7978">
            <v>11</v>
          </cell>
          <cell r="E7978" t="str">
            <v>OPERATING SURPLUS, GROSS</v>
          </cell>
          <cell r="F7978">
            <v>12</v>
          </cell>
          <cell r="G7978">
            <v>2001</v>
          </cell>
          <cell r="H7978">
            <v>100</v>
          </cell>
          <cell r="I7978">
            <v>4650000000</v>
          </cell>
        </row>
        <row r="7979">
          <cell r="A7979" t="str">
            <v>Oman</v>
          </cell>
          <cell r="B7979">
            <v>512</v>
          </cell>
          <cell r="C7979">
            <v>203</v>
          </cell>
          <cell r="D7979">
            <v>22</v>
          </cell>
          <cell r="E7979" t="str">
            <v>Taxes on production and imports, less Subsidies</v>
          </cell>
          <cell r="F7979">
            <v>12</v>
          </cell>
          <cell r="G7979">
            <v>1992</v>
          </cell>
          <cell r="H7979">
            <v>100</v>
          </cell>
          <cell r="I7979">
            <v>79000000</v>
          </cell>
        </row>
        <row r="7980">
          <cell r="A7980" t="str">
            <v>Oman</v>
          </cell>
          <cell r="B7980">
            <v>512</v>
          </cell>
          <cell r="C7980">
            <v>203</v>
          </cell>
          <cell r="D7980">
            <v>22</v>
          </cell>
          <cell r="E7980" t="str">
            <v>Taxes on production and imports, less Subsidies</v>
          </cell>
          <cell r="F7980">
            <v>12</v>
          </cell>
          <cell r="G7980">
            <v>1993</v>
          </cell>
          <cell r="H7980">
            <v>100</v>
          </cell>
          <cell r="I7980">
            <v>75000000</v>
          </cell>
        </row>
        <row r="7981">
          <cell r="A7981" t="str">
            <v>Oman</v>
          </cell>
          <cell r="B7981">
            <v>512</v>
          </cell>
          <cell r="C7981">
            <v>203</v>
          </cell>
          <cell r="D7981">
            <v>22</v>
          </cell>
          <cell r="E7981" t="str">
            <v>Taxes on production and imports, less Subsidies</v>
          </cell>
          <cell r="F7981">
            <v>12</v>
          </cell>
          <cell r="G7981">
            <v>1994</v>
          </cell>
          <cell r="H7981">
            <v>100</v>
          </cell>
          <cell r="I7981">
            <v>88000000</v>
          </cell>
        </row>
        <row r="7982">
          <cell r="A7982" t="str">
            <v>Oman</v>
          </cell>
          <cell r="B7982">
            <v>512</v>
          </cell>
          <cell r="C7982">
            <v>203</v>
          </cell>
          <cell r="D7982">
            <v>22</v>
          </cell>
          <cell r="E7982" t="str">
            <v>Taxes on production and imports, less Subsidies</v>
          </cell>
          <cell r="F7982">
            <v>12</v>
          </cell>
          <cell r="G7982">
            <v>1995</v>
          </cell>
          <cell r="H7982">
            <v>100</v>
          </cell>
          <cell r="I7982">
            <v>74000000</v>
          </cell>
        </row>
        <row r="7983">
          <cell r="A7983" t="str">
            <v>Oman</v>
          </cell>
          <cell r="B7983">
            <v>512</v>
          </cell>
          <cell r="C7983">
            <v>203</v>
          </cell>
          <cell r="D7983">
            <v>22</v>
          </cell>
          <cell r="E7983" t="str">
            <v>Taxes on production and imports, less Subsidies</v>
          </cell>
          <cell r="F7983">
            <v>12</v>
          </cell>
          <cell r="G7983">
            <v>1996</v>
          </cell>
          <cell r="H7983">
            <v>100</v>
          </cell>
          <cell r="I7983">
            <v>51000000</v>
          </cell>
        </row>
        <row r="7984">
          <cell r="A7984" t="str">
            <v>Oman</v>
          </cell>
          <cell r="B7984">
            <v>512</v>
          </cell>
          <cell r="C7984">
            <v>203</v>
          </cell>
          <cell r="D7984">
            <v>22</v>
          </cell>
          <cell r="E7984" t="str">
            <v>Taxes on production and imports, less Subsidies</v>
          </cell>
          <cell r="F7984">
            <v>12</v>
          </cell>
          <cell r="G7984">
            <v>1997</v>
          </cell>
          <cell r="H7984">
            <v>100</v>
          </cell>
          <cell r="I7984">
            <v>78000000</v>
          </cell>
        </row>
        <row r="7985">
          <cell r="A7985" t="str">
            <v>Oman</v>
          </cell>
          <cell r="B7985">
            <v>512</v>
          </cell>
          <cell r="C7985">
            <v>203</v>
          </cell>
          <cell r="D7985">
            <v>22</v>
          </cell>
          <cell r="E7985" t="str">
            <v>Taxes on production and imports, less Subsidies</v>
          </cell>
          <cell r="F7985">
            <v>12</v>
          </cell>
          <cell r="G7985">
            <v>1998</v>
          </cell>
          <cell r="H7985">
            <v>100</v>
          </cell>
          <cell r="I7985">
            <v>126000000</v>
          </cell>
        </row>
        <row r="7986">
          <cell r="A7986" t="str">
            <v>Oman</v>
          </cell>
          <cell r="B7986">
            <v>512</v>
          </cell>
          <cell r="C7986">
            <v>203</v>
          </cell>
          <cell r="D7986">
            <v>22</v>
          </cell>
          <cell r="E7986" t="str">
            <v>Taxes on production and imports, less Subsidies</v>
          </cell>
          <cell r="F7986">
            <v>12</v>
          </cell>
          <cell r="G7986">
            <v>1999</v>
          </cell>
          <cell r="H7986">
            <v>100</v>
          </cell>
          <cell r="I7986">
            <v>72000000</v>
          </cell>
        </row>
        <row r="7987">
          <cell r="A7987" t="str">
            <v>Oman</v>
          </cell>
          <cell r="B7987">
            <v>512</v>
          </cell>
          <cell r="C7987">
            <v>203</v>
          </cell>
          <cell r="D7987">
            <v>22</v>
          </cell>
          <cell r="E7987" t="str">
            <v>Taxes on production and imports, less Subsidies</v>
          </cell>
          <cell r="F7987">
            <v>12</v>
          </cell>
          <cell r="G7987">
            <v>2000</v>
          </cell>
          <cell r="H7987">
            <v>100</v>
          </cell>
          <cell r="I7987">
            <v>64000000</v>
          </cell>
        </row>
        <row r="7988">
          <cell r="A7988" t="str">
            <v>Oman</v>
          </cell>
          <cell r="B7988">
            <v>512</v>
          </cell>
          <cell r="C7988">
            <v>203</v>
          </cell>
          <cell r="D7988">
            <v>22</v>
          </cell>
          <cell r="E7988" t="str">
            <v>Taxes on production and imports, less Subsidies</v>
          </cell>
          <cell r="F7988">
            <v>12</v>
          </cell>
          <cell r="G7988">
            <v>2001</v>
          </cell>
          <cell r="H7988">
            <v>100</v>
          </cell>
          <cell r="I7988">
            <v>64000000</v>
          </cell>
        </row>
        <row r="7989">
          <cell r="A7989" t="str">
            <v>Nicaragua</v>
          </cell>
          <cell r="B7989">
            <v>558</v>
          </cell>
          <cell r="C7989">
            <v>203</v>
          </cell>
          <cell r="D7989">
            <v>11</v>
          </cell>
          <cell r="E7989" t="str">
            <v>OPERATING SURPLUS, GROSS</v>
          </cell>
          <cell r="F7989">
            <v>12</v>
          </cell>
          <cell r="G7989">
            <v>1994</v>
          </cell>
          <cell r="H7989">
            <v>100</v>
          </cell>
          <cell r="I7989">
            <v>4723000000</v>
          </cell>
        </row>
        <row r="7990">
          <cell r="A7990" t="str">
            <v>Nicaragua</v>
          </cell>
          <cell r="B7990">
            <v>558</v>
          </cell>
          <cell r="C7990">
            <v>203</v>
          </cell>
          <cell r="D7990">
            <v>11</v>
          </cell>
          <cell r="E7990" t="str">
            <v>OPERATING SURPLUS, GROSS</v>
          </cell>
          <cell r="F7990">
            <v>12</v>
          </cell>
          <cell r="G7990">
            <v>1995</v>
          </cell>
          <cell r="H7990">
            <v>100</v>
          </cell>
          <cell r="I7990">
            <v>6047000000</v>
          </cell>
        </row>
        <row r="7991">
          <cell r="A7991" t="str">
            <v>Nicaragua</v>
          </cell>
          <cell r="B7991">
            <v>558</v>
          </cell>
          <cell r="C7991">
            <v>203</v>
          </cell>
          <cell r="D7991">
            <v>11</v>
          </cell>
          <cell r="E7991" t="str">
            <v>OPERATING SURPLUS, GROSS</v>
          </cell>
          <cell r="F7991">
            <v>12</v>
          </cell>
          <cell r="G7991">
            <v>1996</v>
          </cell>
          <cell r="H7991">
            <v>100</v>
          </cell>
          <cell r="I7991">
            <v>6953000000</v>
          </cell>
        </row>
        <row r="7992">
          <cell r="A7992" t="str">
            <v>Nicaragua</v>
          </cell>
          <cell r="B7992">
            <v>558</v>
          </cell>
          <cell r="C7992">
            <v>203</v>
          </cell>
          <cell r="D7992">
            <v>11</v>
          </cell>
          <cell r="E7992" t="str">
            <v>OPERATING SURPLUS, GROSS</v>
          </cell>
          <cell r="F7992">
            <v>12</v>
          </cell>
          <cell r="G7992">
            <v>1997</v>
          </cell>
          <cell r="H7992">
            <v>100</v>
          </cell>
          <cell r="I7992">
            <v>8022000000</v>
          </cell>
        </row>
        <row r="7993">
          <cell r="A7993" t="str">
            <v>Nicaragua</v>
          </cell>
          <cell r="B7993">
            <v>558</v>
          </cell>
          <cell r="C7993">
            <v>203</v>
          </cell>
          <cell r="D7993">
            <v>11</v>
          </cell>
          <cell r="E7993" t="str">
            <v>OPERATING SURPLUS, GROSS</v>
          </cell>
          <cell r="F7993">
            <v>12</v>
          </cell>
          <cell r="G7993">
            <v>1998</v>
          </cell>
          <cell r="H7993">
            <v>100</v>
          </cell>
          <cell r="I7993">
            <v>9916000000</v>
          </cell>
        </row>
        <row r="7994">
          <cell r="A7994" t="str">
            <v>Nicaragua</v>
          </cell>
          <cell r="B7994">
            <v>558</v>
          </cell>
          <cell r="C7994">
            <v>203</v>
          </cell>
          <cell r="D7994">
            <v>11</v>
          </cell>
          <cell r="E7994" t="str">
            <v>OPERATING SURPLUS, GROSS</v>
          </cell>
          <cell r="F7994">
            <v>12</v>
          </cell>
          <cell r="G7994">
            <v>1999</v>
          </cell>
          <cell r="H7994">
            <v>100</v>
          </cell>
          <cell r="I7994">
            <v>11863000000</v>
          </cell>
        </row>
        <row r="7995">
          <cell r="A7995" t="str">
            <v>Nicaragua</v>
          </cell>
          <cell r="B7995">
            <v>558</v>
          </cell>
          <cell r="C7995">
            <v>203</v>
          </cell>
          <cell r="D7995">
            <v>11</v>
          </cell>
          <cell r="E7995" t="str">
            <v>OPERATING SURPLUS, GROSS</v>
          </cell>
          <cell r="F7995">
            <v>12</v>
          </cell>
          <cell r="G7995">
            <v>2000</v>
          </cell>
          <cell r="H7995">
            <v>100</v>
          </cell>
          <cell r="I7995">
            <v>13347600000</v>
          </cell>
        </row>
        <row r="7996">
          <cell r="A7996" t="str">
            <v>Nicaragua</v>
          </cell>
          <cell r="B7996">
            <v>558</v>
          </cell>
          <cell r="C7996">
            <v>203</v>
          </cell>
          <cell r="D7996">
            <v>12</v>
          </cell>
          <cell r="E7996" t="str">
            <v>MIXED INCOME, GROSS</v>
          </cell>
          <cell r="F7996">
            <v>12</v>
          </cell>
          <cell r="G7996">
            <v>1994</v>
          </cell>
          <cell r="H7996">
            <v>100</v>
          </cell>
          <cell r="I7996">
            <v>5932000000</v>
          </cell>
        </row>
        <row r="7997">
          <cell r="A7997" t="str">
            <v>Nicaragua</v>
          </cell>
          <cell r="B7997">
            <v>558</v>
          </cell>
          <cell r="C7997">
            <v>203</v>
          </cell>
          <cell r="D7997">
            <v>12</v>
          </cell>
          <cell r="E7997" t="str">
            <v>MIXED INCOME, GROSS</v>
          </cell>
          <cell r="F7997">
            <v>12</v>
          </cell>
          <cell r="G7997">
            <v>1995</v>
          </cell>
          <cell r="H7997">
            <v>100</v>
          </cell>
          <cell r="I7997">
            <v>7193000000</v>
          </cell>
        </row>
        <row r="7998">
          <cell r="A7998" t="str">
            <v>Nicaragua</v>
          </cell>
          <cell r="B7998">
            <v>558</v>
          </cell>
          <cell r="C7998">
            <v>203</v>
          </cell>
          <cell r="D7998">
            <v>12</v>
          </cell>
          <cell r="E7998" t="str">
            <v>MIXED INCOME, GROSS</v>
          </cell>
          <cell r="F7998">
            <v>12</v>
          </cell>
          <cell r="G7998">
            <v>1996</v>
          </cell>
          <cell r="H7998">
            <v>100</v>
          </cell>
          <cell r="I7998">
            <v>8548000000</v>
          </cell>
        </row>
        <row r="7999">
          <cell r="A7999" t="str">
            <v>Nicaragua</v>
          </cell>
          <cell r="B7999">
            <v>558</v>
          </cell>
          <cell r="C7999">
            <v>203</v>
          </cell>
          <cell r="D7999">
            <v>12</v>
          </cell>
          <cell r="E7999" t="str">
            <v>MIXED INCOME, GROSS</v>
          </cell>
          <cell r="F7999">
            <v>12</v>
          </cell>
          <cell r="G7999">
            <v>1997</v>
          </cell>
          <cell r="H7999">
            <v>100</v>
          </cell>
          <cell r="I7999">
            <v>9594000000</v>
          </cell>
        </row>
        <row r="8000">
          <cell r="A8000" t="str">
            <v>Nicaragua</v>
          </cell>
          <cell r="B8000">
            <v>558</v>
          </cell>
          <cell r="C8000">
            <v>203</v>
          </cell>
          <cell r="D8000">
            <v>12</v>
          </cell>
          <cell r="E8000" t="str">
            <v>MIXED INCOME, GROSS</v>
          </cell>
          <cell r="F8000">
            <v>12</v>
          </cell>
          <cell r="G8000">
            <v>1998</v>
          </cell>
          <cell r="H8000">
            <v>100</v>
          </cell>
          <cell r="I8000">
            <v>11072000000</v>
          </cell>
        </row>
        <row r="8001">
          <cell r="A8001" t="str">
            <v>Nicaragua</v>
          </cell>
          <cell r="B8001">
            <v>558</v>
          </cell>
          <cell r="C8001">
            <v>203</v>
          </cell>
          <cell r="D8001">
            <v>12</v>
          </cell>
          <cell r="E8001" t="str">
            <v>MIXED INCOME, GROSS</v>
          </cell>
          <cell r="F8001">
            <v>12</v>
          </cell>
          <cell r="G8001">
            <v>1999</v>
          </cell>
          <cell r="H8001">
            <v>100</v>
          </cell>
          <cell r="I8001">
            <v>12483000000</v>
          </cell>
        </row>
        <row r="8002">
          <cell r="A8002" t="str">
            <v>Nicaragua</v>
          </cell>
          <cell r="B8002">
            <v>558</v>
          </cell>
          <cell r="C8002">
            <v>203</v>
          </cell>
          <cell r="D8002">
            <v>12</v>
          </cell>
          <cell r="E8002" t="str">
            <v>MIXED INCOME, GROSS</v>
          </cell>
          <cell r="F8002">
            <v>12</v>
          </cell>
          <cell r="G8002">
            <v>2000</v>
          </cell>
          <cell r="H8002">
            <v>100</v>
          </cell>
          <cell r="I8002">
            <v>13352600000</v>
          </cell>
        </row>
        <row r="8003">
          <cell r="A8003" t="str">
            <v>Nicaragua</v>
          </cell>
          <cell r="B8003">
            <v>558</v>
          </cell>
          <cell r="C8003">
            <v>203</v>
          </cell>
          <cell r="D8003">
            <v>22</v>
          </cell>
          <cell r="E8003" t="str">
            <v>Taxes on production and imports, less Subsidies</v>
          </cell>
          <cell r="F8003">
            <v>12</v>
          </cell>
          <cell r="G8003">
            <v>1994</v>
          </cell>
          <cell r="H8003">
            <v>100</v>
          </cell>
          <cell r="I8003">
            <v>261000000</v>
          </cell>
        </row>
        <row r="8004">
          <cell r="A8004" t="str">
            <v>Nicaragua</v>
          </cell>
          <cell r="B8004">
            <v>558</v>
          </cell>
          <cell r="C8004">
            <v>203</v>
          </cell>
          <cell r="D8004">
            <v>22</v>
          </cell>
          <cell r="E8004" t="str">
            <v>Taxes on production and imports, less Subsidies</v>
          </cell>
          <cell r="F8004">
            <v>12</v>
          </cell>
          <cell r="G8004">
            <v>1995</v>
          </cell>
          <cell r="H8004">
            <v>100</v>
          </cell>
          <cell r="I8004">
            <v>304000000</v>
          </cell>
        </row>
        <row r="8005">
          <cell r="A8005" t="str">
            <v>Nicaragua</v>
          </cell>
          <cell r="B8005">
            <v>558</v>
          </cell>
          <cell r="C8005">
            <v>203</v>
          </cell>
          <cell r="D8005">
            <v>22</v>
          </cell>
          <cell r="E8005" t="str">
            <v>Taxes on production and imports, less Subsidies</v>
          </cell>
          <cell r="F8005">
            <v>12</v>
          </cell>
          <cell r="G8005">
            <v>1996</v>
          </cell>
          <cell r="H8005">
            <v>100</v>
          </cell>
          <cell r="I8005">
            <v>299000000</v>
          </cell>
        </row>
        <row r="8006">
          <cell r="A8006" t="str">
            <v>Nicaragua</v>
          </cell>
          <cell r="B8006">
            <v>558</v>
          </cell>
          <cell r="C8006">
            <v>203</v>
          </cell>
          <cell r="D8006">
            <v>22</v>
          </cell>
          <cell r="E8006" t="str">
            <v>Taxes on production and imports, less Subsidies</v>
          </cell>
          <cell r="F8006">
            <v>12</v>
          </cell>
          <cell r="G8006">
            <v>1997</v>
          </cell>
          <cell r="H8006">
            <v>100</v>
          </cell>
          <cell r="I8006">
            <v>374000000</v>
          </cell>
        </row>
        <row r="8007">
          <cell r="A8007" t="str">
            <v>Nicaragua</v>
          </cell>
          <cell r="B8007">
            <v>558</v>
          </cell>
          <cell r="C8007">
            <v>203</v>
          </cell>
          <cell r="D8007">
            <v>22</v>
          </cell>
          <cell r="E8007" t="str">
            <v>Taxes on production and imports, less Subsidies</v>
          </cell>
          <cell r="F8007">
            <v>12</v>
          </cell>
          <cell r="G8007">
            <v>1998</v>
          </cell>
          <cell r="H8007">
            <v>100</v>
          </cell>
          <cell r="I8007">
            <v>489000000</v>
          </cell>
        </row>
        <row r="8008">
          <cell r="A8008" t="str">
            <v>Nicaragua</v>
          </cell>
          <cell r="B8008">
            <v>558</v>
          </cell>
          <cell r="C8008">
            <v>203</v>
          </cell>
          <cell r="D8008">
            <v>22</v>
          </cell>
          <cell r="E8008" t="str">
            <v>Taxes on production and imports, less Subsidies</v>
          </cell>
          <cell r="F8008">
            <v>12</v>
          </cell>
          <cell r="G8008">
            <v>1999</v>
          </cell>
          <cell r="H8008">
            <v>100</v>
          </cell>
          <cell r="I8008">
            <v>564000000</v>
          </cell>
        </row>
        <row r="8009">
          <cell r="A8009" t="str">
            <v>Nepal</v>
          </cell>
          <cell r="B8009">
            <v>524</v>
          </cell>
          <cell r="C8009">
            <v>201</v>
          </cell>
          <cell r="D8009">
            <v>13</v>
          </cell>
          <cell r="E8009" t="str">
            <v>Less: Financial intermediation services indirectly measured (FISIM) (only to be deducted if FISIM is not distributed to uses)</v>
          </cell>
          <cell r="F8009">
            <v>0</v>
          </cell>
          <cell r="G8009">
            <v>1985</v>
          </cell>
          <cell r="H8009">
            <v>20</v>
          </cell>
          <cell r="I8009">
            <v>425000000</v>
          </cell>
        </row>
        <row r="8010">
          <cell r="A8010" t="str">
            <v>Nepal</v>
          </cell>
          <cell r="B8010">
            <v>524</v>
          </cell>
          <cell r="C8010">
            <v>201</v>
          </cell>
          <cell r="D8010">
            <v>13</v>
          </cell>
          <cell r="E8010" t="str">
            <v>Less: Financial intermediation services indirectly measured (FISIM) (only to be deducted if FISIM is not distributed to uses)</v>
          </cell>
          <cell r="F8010">
            <v>0</v>
          </cell>
          <cell r="G8010">
            <v>1986</v>
          </cell>
          <cell r="H8010">
            <v>20</v>
          </cell>
          <cell r="I8010">
            <v>487000000</v>
          </cell>
        </row>
        <row r="8011">
          <cell r="A8011" t="str">
            <v>Nepal</v>
          </cell>
          <cell r="B8011">
            <v>524</v>
          </cell>
          <cell r="C8011">
            <v>201</v>
          </cell>
          <cell r="D8011">
            <v>13</v>
          </cell>
          <cell r="E8011" t="str">
            <v>Less: Financial intermediation services indirectly measured (FISIM) (only to be deducted if FISIM is not distributed to uses)</v>
          </cell>
          <cell r="F8011">
            <v>0</v>
          </cell>
          <cell r="G8011">
            <v>1987</v>
          </cell>
          <cell r="H8011">
            <v>20</v>
          </cell>
          <cell r="I8011">
            <v>768000000</v>
          </cell>
        </row>
        <row r="8012">
          <cell r="A8012" t="str">
            <v>Nepal</v>
          </cell>
          <cell r="B8012">
            <v>524</v>
          </cell>
          <cell r="C8012">
            <v>201</v>
          </cell>
          <cell r="D8012">
            <v>13</v>
          </cell>
          <cell r="E8012" t="str">
            <v>Less: Financial intermediation services indirectly measured (FISIM) (only to be deducted if FISIM is not distributed to uses)</v>
          </cell>
          <cell r="F8012">
            <v>0</v>
          </cell>
          <cell r="G8012">
            <v>1988</v>
          </cell>
          <cell r="H8012">
            <v>20</v>
          </cell>
          <cell r="I8012">
            <v>956000000</v>
          </cell>
        </row>
        <row r="8013">
          <cell r="A8013" t="str">
            <v>Nepal</v>
          </cell>
          <cell r="B8013">
            <v>524</v>
          </cell>
          <cell r="C8013">
            <v>201</v>
          </cell>
          <cell r="D8013">
            <v>13</v>
          </cell>
          <cell r="E8013" t="str">
            <v>Less: Financial intermediation services indirectly measured (FISIM) (only to be deducted if FISIM is not distributed to uses)</v>
          </cell>
          <cell r="F8013">
            <v>0</v>
          </cell>
          <cell r="G8013">
            <v>1989</v>
          </cell>
          <cell r="H8013">
            <v>20</v>
          </cell>
          <cell r="I8013">
            <v>1319000000</v>
          </cell>
        </row>
        <row r="8014">
          <cell r="A8014" t="str">
            <v>Nepal</v>
          </cell>
          <cell r="B8014">
            <v>524</v>
          </cell>
          <cell r="C8014">
            <v>201</v>
          </cell>
          <cell r="D8014">
            <v>13</v>
          </cell>
          <cell r="E8014" t="str">
            <v>Less: Financial intermediation services indirectly measured (FISIM) (only to be deducted if FISIM is not distributed to uses)</v>
          </cell>
          <cell r="F8014">
            <v>0</v>
          </cell>
          <cell r="G8014">
            <v>1990</v>
          </cell>
          <cell r="H8014">
            <v>20</v>
          </cell>
          <cell r="I8014">
            <v>1954000000</v>
          </cell>
        </row>
        <row r="8015">
          <cell r="A8015" t="str">
            <v>Nepal</v>
          </cell>
          <cell r="B8015">
            <v>524</v>
          </cell>
          <cell r="C8015">
            <v>201</v>
          </cell>
          <cell r="D8015">
            <v>13</v>
          </cell>
          <cell r="E8015" t="str">
            <v>Less: Financial intermediation services indirectly measured (FISIM) (only to be deducted if FISIM is not distributed to uses)</v>
          </cell>
          <cell r="F8015">
            <v>0</v>
          </cell>
          <cell r="G8015">
            <v>1991</v>
          </cell>
          <cell r="H8015">
            <v>20</v>
          </cell>
          <cell r="I8015">
            <v>2289000000</v>
          </cell>
        </row>
        <row r="8016">
          <cell r="A8016" t="str">
            <v>Nepal</v>
          </cell>
          <cell r="B8016">
            <v>524</v>
          </cell>
          <cell r="C8016">
            <v>201</v>
          </cell>
          <cell r="D8016">
            <v>13</v>
          </cell>
          <cell r="E8016" t="str">
            <v>Less: Financial intermediation services indirectly measured (FISIM) (only to be deducted if FISIM is not distributed to uses)</v>
          </cell>
          <cell r="F8016">
            <v>0</v>
          </cell>
          <cell r="G8016">
            <v>1992</v>
          </cell>
          <cell r="H8016">
            <v>20</v>
          </cell>
          <cell r="I8016">
            <v>2933000000</v>
          </cell>
        </row>
        <row r="8017">
          <cell r="A8017" t="str">
            <v>Nepal</v>
          </cell>
          <cell r="B8017">
            <v>524</v>
          </cell>
          <cell r="C8017">
            <v>201</v>
          </cell>
          <cell r="D8017">
            <v>13</v>
          </cell>
          <cell r="E8017" t="str">
            <v>Less: Financial intermediation services indirectly measured (FISIM) (only to be deducted if FISIM is not distributed to uses)</v>
          </cell>
          <cell r="F8017">
            <v>0</v>
          </cell>
          <cell r="G8017">
            <v>1993</v>
          </cell>
          <cell r="H8017">
            <v>20</v>
          </cell>
          <cell r="I8017">
            <v>3578000000</v>
          </cell>
        </row>
        <row r="8018">
          <cell r="A8018" t="str">
            <v>Nepal</v>
          </cell>
          <cell r="B8018">
            <v>524</v>
          </cell>
          <cell r="C8018">
            <v>201</v>
          </cell>
          <cell r="D8018">
            <v>13</v>
          </cell>
          <cell r="E8018" t="str">
            <v>Less: Financial intermediation services indirectly measured (FISIM) (only to be deducted if FISIM is not distributed to uses)</v>
          </cell>
          <cell r="F8018">
            <v>0</v>
          </cell>
          <cell r="G8018">
            <v>1994</v>
          </cell>
          <cell r="H8018">
            <v>20</v>
          </cell>
          <cell r="I8018">
            <v>4473000000</v>
          </cell>
        </row>
        <row r="8019">
          <cell r="A8019" t="str">
            <v>Nepal</v>
          </cell>
          <cell r="B8019">
            <v>524</v>
          </cell>
          <cell r="C8019">
            <v>201</v>
          </cell>
          <cell r="D8019">
            <v>13</v>
          </cell>
          <cell r="E8019" t="str">
            <v>Less: Financial intermediation services indirectly measured (FISIM) (only to be deducted if FISIM is not distributed to uses)</v>
          </cell>
          <cell r="F8019">
            <v>0</v>
          </cell>
          <cell r="G8019">
            <v>1995</v>
          </cell>
          <cell r="H8019">
            <v>20</v>
          </cell>
          <cell r="I8019">
            <v>5060000000</v>
          </cell>
        </row>
        <row r="8020">
          <cell r="A8020" t="str">
            <v>Nepal</v>
          </cell>
          <cell r="B8020">
            <v>524</v>
          </cell>
          <cell r="C8020">
            <v>201</v>
          </cell>
          <cell r="D8020">
            <v>13</v>
          </cell>
          <cell r="E8020" t="str">
            <v>Less: Financial intermediation services indirectly measured (FISIM) (only to be deducted if FISIM is not distributed to uses)</v>
          </cell>
          <cell r="F8020">
            <v>0</v>
          </cell>
          <cell r="G8020">
            <v>1996</v>
          </cell>
          <cell r="H8020">
            <v>20</v>
          </cell>
          <cell r="I8020">
            <v>5932000000</v>
          </cell>
        </row>
        <row r="8021">
          <cell r="A8021" t="str">
            <v>Nepal</v>
          </cell>
          <cell r="B8021">
            <v>524</v>
          </cell>
          <cell r="C8021">
            <v>201</v>
          </cell>
          <cell r="D8021">
            <v>13</v>
          </cell>
          <cell r="E8021" t="str">
            <v>Less: Financial intermediation services indirectly measured (FISIM) (only to be deducted if FISIM is not distributed to uses)</v>
          </cell>
          <cell r="F8021">
            <v>0</v>
          </cell>
          <cell r="G8021">
            <v>1997</v>
          </cell>
          <cell r="H8021">
            <v>20</v>
          </cell>
          <cell r="I8021">
            <v>7009000000</v>
          </cell>
        </row>
        <row r="8022">
          <cell r="A8022" t="str">
            <v>Nepal</v>
          </cell>
          <cell r="B8022">
            <v>524</v>
          </cell>
          <cell r="C8022">
            <v>201</v>
          </cell>
          <cell r="D8022">
            <v>13</v>
          </cell>
          <cell r="E8022" t="str">
            <v>Less: Financial intermediation services indirectly measured (FISIM) (only to be deducted if FISIM is not distributed to uses)</v>
          </cell>
          <cell r="F8022">
            <v>0</v>
          </cell>
          <cell r="G8022">
            <v>1998</v>
          </cell>
          <cell r="H8022">
            <v>20</v>
          </cell>
          <cell r="I8022">
            <v>7896000000</v>
          </cell>
        </row>
        <row r="8023">
          <cell r="A8023" t="str">
            <v>Nepal</v>
          </cell>
          <cell r="B8023">
            <v>524</v>
          </cell>
          <cell r="C8023">
            <v>201</v>
          </cell>
          <cell r="D8023">
            <v>13</v>
          </cell>
          <cell r="E8023" t="str">
            <v>Less: Financial intermediation services indirectly measured (FISIM) (only to be deducted if FISIM is not distributed to uses)</v>
          </cell>
          <cell r="F8023">
            <v>0</v>
          </cell>
          <cell r="G8023">
            <v>1999</v>
          </cell>
          <cell r="H8023">
            <v>20</v>
          </cell>
          <cell r="I8023">
            <v>9438000000</v>
          </cell>
        </row>
        <row r="8024">
          <cell r="A8024" t="str">
            <v>Nepal</v>
          </cell>
          <cell r="B8024">
            <v>524</v>
          </cell>
          <cell r="C8024">
            <v>201</v>
          </cell>
          <cell r="D8024">
            <v>13</v>
          </cell>
          <cell r="E8024" t="str">
            <v>Less: Financial intermediation services indirectly measured (FISIM) (only to be deducted if FISIM is not distributed to uses)</v>
          </cell>
          <cell r="F8024">
            <v>0</v>
          </cell>
          <cell r="G8024">
            <v>2000</v>
          </cell>
          <cell r="H8024">
            <v>20</v>
          </cell>
          <cell r="I8024">
            <v>10708000000</v>
          </cell>
        </row>
        <row r="8025">
          <cell r="A8025" t="str">
            <v>Nepal</v>
          </cell>
          <cell r="B8025">
            <v>524</v>
          </cell>
          <cell r="C8025">
            <v>201</v>
          </cell>
          <cell r="D8025">
            <v>13</v>
          </cell>
          <cell r="E8025" t="str">
            <v>Less: Financial intermediation services indirectly measured (FISIM) (only to be deducted if FISIM is not distributed to uses)</v>
          </cell>
          <cell r="F8025">
            <v>0</v>
          </cell>
          <cell r="G8025">
            <v>2001</v>
          </cell>
          <cell r="H8025">
            <v>20</v>
          </cell>
          <cell r="I8025">
            <v>11912000000</v>
          </cell>
        </row>
        <row r="8026">
          <cell r="A8026" t="str">
            <v>Nepal</v>
          </cell>
          <cell r="B8026">
            <v>524</v>
          </cell>
          <cell r="C8026">
            <v>201</v>
          </cell>
          <cell r="D8026">
            <v>13</v>
          </cell>
          <cell r="E8026" t="str">
            <v>Less: Financial intermediation services indirectly measured (FISIM) (only to be deducted if FISIM is not distributed to uses)</v>
          </cell>
          <cell r="F8026">
            <v>0</v>
          </cell>
          <cell r="G8026">
            <v>2002</v>
          </cell>
          <cell r="H8026">
            <v>20</v>
          </cell>
          <cell r="I8026">
            <v>12388000000</v>
          </cell>
        </row>
        <row r="8027">
          <cell r="A8027" t="str">
            <v>Nepal</v>
          </cell>
          <cell r="B8027">
            <v>524</v>
          </cell>
          <cell r="C8027">
            <v>201</v>
          </cell>
          <cell r="D8027">
            <v>13</v>
          </cell>
          <cell r="E8027" t="str">
            <v>Less: Financial intermediation services indirectly measured (FISIM) (only to be deducted if FISIM is not distributed to uses)</v>
          </cell>
          <cell r="F8027">
            <v>0</v>
          </cell>
          <cell r="G8027">
            <v>2003</v>
          </cell>
          <cell r="H8027">
            <v>20</v>
          </cell>
          <cell r="I8027">
            <v>13294000000</v>
          </cell>
        </row>
        <row r="8028">
          <cell r="A8028" t="str">
            <v>Aruba</v>
          </cell>
          <cell r="B8028">
            <v>533</v>
          </cell>
          <cell r="C8028">
            <v>201</v>
          </cell>
          <cell r="D8028">
            <v>13</v>
          </cell>
          <cell r="E8028" t="str">
            <v>Less: Financial intermediation services indirectly measured (FISIM) (only to be deducted if FISIM is not distributed to uses)</v>
          </cell>
          <cell r="F8028">
            <v>0</v>
          </cell>
          <cell r="G8028">
            <v>1994</v>
          </cell>
          <cell r="H8028">
            <v>100</v>
          </cell>
          <cell r="I8028">
            <v>75000000</v>
          </cell>
        </row>
        <row r="8029">
          <cell r="A8029" t="str">
            <v>Aruba</v>
          </cell>
          <cell r="B8029">
            <v>533</v>
          </cell>
          <cell r="C8029">
            <v>201</v>
          </cell>
          <cell r="D8029">
            <v>13</v>
          </cell>
          <cell r="E8029" t="str">
            <v>Less: Financial intermediation services indirectly measured (FISIM) (only to be deducted if FISIM is not distributed to uses)</v>
          </cell>
          <cell r="F8029">
            <v>0</v>
          </cell>
          <cell r="G8029">
            <v>1995</v>
          </cell>
          <cell r="H8029">
            <v>100</v>
          </cell>
          <cell r="I8029">
            <v>125000000</v>
          </cell>
        </row>
        <row r="8030">
          <cell r="A8030" t="str">
            <v>Aruba</v>
          </cell>
          <cell r="B8030">
            <v>533</v>
          </cell>
          <cell r="C8030">
            <v>201</v>
          </cell>
          <cell r="D8030">
            <v>13</v>
          </cell>
          <cell r="E8030" t="str">
            <v>Less: Financial intermediation services indirectly measured (FISIM) (only to be deducted if FISIM is not distributed to uses)</v>
          </cell>
          <cell r="F8030">
            <v>0</v>
          </cell>
          <cell r="G8030">
            <v>1996</v>
          </cell>
          <cell r="H8030">
            <v>100</v>
          </cell>
          <cell r="I8030">
            <v>129000000</v>
          </cell>
        </row>
        <row r="8031">
          <cell r="A8031" t="str">
            <v>Aruba</v>
          </cell>
          <cell r="B8031">
            <v>533</v>
          </cell>
          <cell r="C8031">
            <v>201</v>
          </cell>
          <cell r="D8031">
            <v>13</v>
          </cell>
          <cell r="E8031" t="str">
            <v>Less: Financial intermediation services indirectly measured (FISIM) (only to be deducted if FISIM is not distributed to uses)</v>
          </cell>
          <cell r="F8031">
            <v>0</v>
          </cell>
          <cell r="G8031">
            <v>1997</v>
          </cell>
          <cell r="H8031">
            <v>100</v>
          </cell>
          <cell r="I8031">
            <v>143000000</v>
          </cell>
        </row>
        <row r="8032">
          <cell r="A8032" t="str">
            <v>Aruba</v>
          </cell>
          <cell r="B8032">
            <v>533</v>
          </cell>
          <cell r="C8032">
            <v>201</v>
          </cell>
          <cell r="D8032">
            <v>13</v>
          </cell>
          <cell r="E8032" t="str">
            <v>Less: Financial intermediation services indirectly measured (FISIM) (only to be deducted if FISIM is not distributed to uses)</v>
          </cell>
          <cell r="F8032">
            <v>0</v>
          </cell>
          <cell r="G8032">
            <v>1998</v>
          </cell>
          <cell r="H8032">
            <v>100</v>
          </cell>
          <cell r="I8032">
            <v>152000000</v>
          </cell>
        </row>
        <row r="8033">
          <cell r="A8033" t="str">
            <v>Aruba</v>
          </cell>
          <cell r="B8033">
            <v>533</v>
          </cell>
          <cell r="C8033">
            <v>201</v>
          </cell>
          <cell r="D8033">
            <v>13</v>
          </cell>
          <cell r="E8033" t="str">
            <v>Less: Financial intermediation services indirectly measured (FISIM) (only to be deducted if FISIM is not distributed to uses)</v>
          </cell>
          <cell r="F8033">
            <v>0</v>
          </cell>
          <cell r="G8033">
            <v>1999</v>
          </cell>
          <cell r="H8033">
            <v>100</v>
          </cell>
          <cell r="I8033">
            <v>140000000</v>
          </cell>
        </row>
        <row r="8034">
          <cell r="A8034" t="str">
            <v>Aruba</v>
          </cell>
          <cell r="B8034">
            <v>533</v>
          </cell>
          <cell r="C8034">
            <v>201</v>
          </cell>
          <cell r="D8034">
            <v>13</v>
          </cell>
          <cell r="E8034" t="str">
            <v>Less: Financial intermediation services indirectly measured (FISIM) (only to be deducted if FISIM is not distributed to uses)</v>
          </cell>
          <cell r="F8034">
            <v>0</v>
          </cell>
          <cell r="G8034">
            <v>2000</v>
          </cell>
          <cell r="H8034">
            <v>100</v>
          </cell>
          <cell r="I8034">
            <v>163000000</v>
          </cell>
        </row>
        <row r="8035">
          <cell r="A8035" t="str">
            <v>Nicaragua</v>
          </cell>
          <cell r="B8035">
            <v>558</v>
          </cell>
          <cell r="C8035">
            <v>203</v>
          </cell>
          <cell r="D8035">
            <v>22</v>
          </cell>
          <cell r="E8035" t="str">
            <v>Taxes on production and imports, less Subsidies</v>
          </cell>
          <cell r="F8035">
            <v>12</v>
          </cell>
          <cell r="G8035">
            <v>2000</v>
          </cell>
          <cell r="H8035">
            <v>100</v>
          </cell>
          <cell r="I8035">
            <v>529000000</v>
          </cell>
        </row>
        <row r="8036">
          <cell r="A8036" t="str">
            <v>Aruba</v>
          </cell>
          <cell r="B8036">
            <v>533</v>
          </cell>
          <cell r="C8036">
            <v>203</v>
          </cell>
          <cell r="D8036">
            <v>3</v>
          </cell>
          <cell r="E8036" t="str">
            <v>Equals: VALUE ADDED, GROSS, at basic prices</v>
          </cell>
          <cell r="F8036">
            <v>12</v>
          </cell>
          <cell r="G8036">
            <v>1994</v>
          </cell>
          <cell r="H8036">
            <v>100</v>
          </cell>
          <cell r="I8036">
            <v>2150000000</v>
          </cell>
        </row>
        <row r="8037">
          <cell r="A8037" t="str">
            <v>Aruba</v>
          </cell>
          <cell r="B8037">
            <v>533</v>
          </cell>
          <cell r="C8037">
            <v>203</v>
          </cell>
          <cell r="D8037">
            <v>3</v>
          </cell>
          <cell r="E8037" t="str">
            <v>Equals: VALUE ADDED, GROSS, at basic prices</v>
          </cell>
          <cell r="F8037">
            <v>12</v>
          </cell>
          <cell r="G8037">
            <v>1995</v>
          </cell>
          <cell r="H8037">
            <v>100</v>
          </cell>
          <cell r="I8037">
            <v>2168000000</v>
          </cell>
        </row>
        <row r="8038">
          <cell r="A8038" t="str">
            <v>Aruba</v>
          </cell>
          <cell r="B8038">
            <v>533</v>
          </cell>
          <cell r="C8038">
            <v>203</v>
          </cell>
          <cell r="D8038">
            <v>3</v>
          </cell>
          <cell r="E8038" t="str">
            <v>Equals: VALUE ADDED, GROSS, at basic prices</v>
          </cell>
          <cell r="F8038">
            <v>12</v>
          </cell>
          <cell r="G8038">
            <v>1996</v>
          </cell>
          <cell r="H8038">
            <v>100</v>
          </cell>
          <cell r="I8038">
            <v>2262000000</v>
          </cell>
        </row>
        <row r="8039">
          <cell r="A8039" t="str">
            <v>Aruba</v>
          </cell>
          <cell r="B8039">
            <v>533</v>
          </cell>
          <cell r="C8039">
            <v>203</v>
          </cell>
          <cell r="D8039">
            <v>3</v>
          </cell>
          <cell r="E8039" t="str">
            <v>Equals: VALUE ADDED, GROSS, at basic prices</v>
          </cell>
          <cell r="F8039">
            <v>12</v>
          </cell>
          <cell r="G8039">
            <v>1997</v>
          </cell>
          <cell r="H8039">
            <v>100</v>
          </cell>
          <cell r="I8039">
            <v>2521000000</v>
          </cell>
        </row>
        <row r="8040">
          <cell r="A8040" t="str">
            <v>Aruba</v>
          </cell>
          <cell r="B8040">
            <v>533</v>
          </cell>
          <cell r="C8040">
            <v>203</v>
          </cell>
          <cell r="D8040">
            <v>3</v>
          </cell>
          <cell r="E8040" t="str">
            <v>Equals: VALUE ADDED, GROSS, at basic prices</v>
          </cell>
          <cell r="F8040">
            <v>12</v>
          </cell>
          <cell r="G8040">
            <v>1998</v>
          </cell>
          <cell r="H8040">
            <v>100</v>
          </cell>
          <cell r="I8040">
            <v>2752000000</v>
          </cell>
        </row>
        <row r="8041">
          <cell r="A8041" t="str">
            <v>Aruba</v>
          </cell>
          <cell r="B8041">
            <v>533</v>
          </cell>
          <cell r="C8041">
            <v>203</v>
          </cell>
          <cell r="D8041">
            <v>3</v>
          </cell>
          <cell r="E8041" t="str">
            <v>Equals: VALUE ADDED, GROSS, at basic prices</v>
          </cell>
          <cell r="F8041">
            <v>12</v>
          </cell>
          <cell r="G8041">
            <v>1999</v>
          </cell>
          <cell r="H8041">
            <v>100</v>
          </cell>
          <cell r="I8041">
            <v>2847000000</v>
          </cell>
        </row>
        <row r="8042">
          <cell r="A8042" t="str">
            <v>Aruba</v>
          </cell>
          <cell r="B8042">
            <v>533</v>
          </cell>
          <cell r="C8042">
            <v>203</v>
          </cell>
          <cell r="D8042">
            <v>3</v>
          </cell>
          <cell r="E8042" t="str">
            <v>Equals: VALUE ADDED, GROSS, at basic prices</v>
          </cell>
          <cell r="F8042">
            <v>12</v>
          </cell>
          <cell r="G8042">
            <v>2000</v>
          </cell>
          <cell r="H8042">
            <v>100</v>
          </cell>
          <cell r="I8042">
            <v>3071000000</v>
          </cell>
        </row>
        <row r="8043">
          <cell r="A8043" t="str">
            <v>Aruba</v>
          </cell>
          <cell r="B8043">
            <v>533</v>
          </cell>
          <cell r="C8043">
            <v>203</v>
          </cell>
          <cell r="D8043">
            <v>4</v>
          </cell>
          <cell r="E8043" t="str">
            <v>Compensation of employees</v>
          </cell>
          <cell r="F8043">
            <v>12</v>
          </cell>
          <cell r="G8043">
            <v>1994</v>
          </cell>
          <cell r="H8043">
            <v>100</v>
          </cell>
          <cell r="I8043">
            <v>1174000000</v>
          </cell>
        </row>
        <row r="8044">
          <cell r="A8044" t="str">
            <v>Aruba</v>
          </cell>
          <cell r="B8044">
            <v>533</v>
          </cell>
          <cell r="C8044">
            <v>203</v>
          </cell>
          <cell r="D8044">
            <v>4</v>
          </cell>
          <cell r="E8044" t="str">
            <v>Compensation of employees</v>
          </cell>
          <cell r="F8044">
            <v>12</v>
          </cell>
          <cell r="G8044">
            <v>1995</v>
          </cell>
          <cell r="H8044">
            <v>100</v>
          </cell>
          <cell r="I8044">
            <v>1322000000</v>
          </cell>
        </row>
        <row r="8045">
          <cell r="A8045" t="str">
            <v>Aruba</v>
          </cell>
          <cell r="B8045">
            <v>533</v>
          </cell>
          <cell r="C8045">
            <v>203</v>
          </cell>
          <cell r="D8045">
            <v>4</v>
          </cell>
          <cell r="E8045" t="str">
            <v>Compensation of employees</v>
          </cell>
          <cell r="F8045">
            <v>12</v>
          </cell>
          <cell r="G8045">
            <v>1996</v>
          </cell>
          <cell r="H8045">
            <v>100</v>
          </cell>
          <cell r="I8045">
            <v>1358000000</v>
          </cell>
        </row>
        <row r="8046">
          <cell r="A8046" t="str">
            <v>Aruba</v>
          </cell>
          <cell r="B8046">
            <v>533</v>
          </cell>
          <cell r="C8046">
            <v>203</v>
          </cell>
          <cell r="D8046">
            <v>4</v>
          </cell>
          <cell r="E8046" t="str">
            <v>Compensation of employees</v>
          </cell>
          <cell r="F8046">
            <v>12</v>
          </cell>
          <cell r="G8046">
            <v>1997</v>
          </cell>
          <cell r="H8046">
            <v>100</v>
          </cell>
          <cell r="I8046">
            <v>1483000000</v>
          </cell>
        </row>
        <row r="8047">
          <cell r="A8047" t="str">
            <v>Aruba</v>
          </cell>
          <cell r="B8047">
            <v>533</v>
          </cell>
          <cell r="C8047">
            <v>203</v>
          </cell>
          <cell r="D8047">
            <v>4</v>
          </cell>
          <cell r="E8047" t="str">
            <v>Compensation of employees</v>
          </cell>
          <cell r="F8047">
            <v>12</v>
          </cell>
          <cell r="G8047">
            <v>1998</v>
          </cell>
          <cell r="H8047">
            <v>100</v>
          </cell>
          <cell r="I8047">
            <v>1621000000</v>
          </cell>
        </row>
        <row r="8048">
          <cell r="A8048" t="str">
            <v>Aruba</v>
          </cell>
          <cell r="B8048">
            <v>533</v>
          </cell>
          <cell r="C8048">
            <v>203</v>
          </cell>
          <cell r="D8048">
            <v>4</v>
          </cell>
          <cell r="E8048" t="str">
            <v>Compensation of employees</v>
          </cell>
          <cell r="F8048">
            <v>12</v>
          </cell>
          <cell r="G8048">
            <v>1999</v>
          </cell>
          <cell r="H8048">
            <v>100</v>
          </cell>
          <cell r="I8048">
            <v>1733000000</v>
          </cell>
        </row>
        <row r="8049">
          <cell r="A8049" t="str">
            <v>Aruba</v>
          </cell>
          <cell r="B8049">
            <v>533</v>
          </cell>
          <cell r="C8049">
            <v>203</v>
          </cell>
          <cell r="D8049">
            <v>4</v>
          </cell>
          <cell r="E8049" t="str">
            <v>Compensation of employees</v>
          </cell>
          <cell r="F8049">
            <v>12</v>
          </cell>
          <cell r="G8049">
            <v>2000</v>
          </cell>
          <cell r="H8049">
            <v>100</v>
          </cell>
          <cell r="I8049">
            <v>1866000000</v>
          </cell>
        </row>
        <row r="8050">
          <cell r="A8050" t="str">
            <v>Aruba</v>
          </cell>
          <cell r="B8050">
            <v>533</v>
          </cell>
          <cell r="C8050">
            <v>203</v>
          </cell>
          <cell r="D8050">
            <v>11</v>
          </cell>
          <cell r="E8050" t="str">
            <v>OPERATING SURPLUS, GROSS</v>
          </cell>
          <cell r="F8050">
            <v>12</v>
          </cell>
          <cell r="G8050">
            <v>1994</v>
          </cell>
          <cell r="H8050">
            <v>100</v>
          </cell>
          <cell r="I8050">
            <v>976000000</v>
          </cell>
        </row>
        <row r="8051">
          <cell r="A8051" t="str">
            <v>Aruba</v>
          </cell>
          <cell r="B8051">
            <v>533</v>
          </cell>
          <cell r="C8051">
            <v>203</v>
          </cell>
          <cell r="D8051">
            <v>11</v>
          </cell>
          <cell r="E8051" t="str">
            <v>OPERATING SURPLUS, GROSS</v>
          </cell>
          <cell r="F8051">
            <v>12</v>
          </cell>
          <cell r="G8051">
            <v>1995</v>
          </cell>
          <cell r="H8051">
            <v>100</v>
          </cell>
          <cell r="I8051">
            <v>683000000</v>
          </cell>
        </row>
        <row r="8052">
          <cell r="A8052" t="str">
            <v>Aruba</v>
          </cell>
          <cell r="B8052">
            <v>533</v>
          </cell>
          <cell r="C8052">
            <v>203</v>
          </cell>
          <cell r="D8052">
            <v>11</v>
          </cell>
          <cell r="E8052" t="str">
            <v>OPERATING SURPLUS, GROSS</v>
          </cell>
          <cell r="F8052">
            <v>12</v>
          </cell>
          <cell r="G8052">
            <v>1996</v>
          </cell>
          <cell r="H8052">
            <v>100</v>
          </cell>
          <cell r="I8052">
            <v>738000000</v>
          </cell>
        </row>
        <row r="8053">
          <cell r="A8053" t="str">
            <v>Aruba</v>
          </cell>
          <cell r="B8053">
            <v>533</v>
          </cell>
          <cell r="C8053">
            <v>203</v>
          </cell>
          <cell r="D8053">
            <v>11</v>
          </cell>
          <cell r="E8053" t="str">
            <v>OPERATING SURPLUS, GROSS</v>
          </cell>
          <cell r="F8053">
            <v>12</v>
          </cell>
          <cell r="G8053">
            <v>1997</v>
          </cell>
          <cell r="H8053">
            <v>100</v>
          </cell>
          <cell r="I8053">
            <v>855000000</v>
          </cell>
        </row>
        <row r="8054">
          <cell r="A8054" t="str">
            <v>Aruba</v>
          </cell>
          <cell r="B8054">
            <v>533</v>
          </cell>
          <cell r="C8054">
            <v>203</v>
          </cell>
          <cell r="D8054">
            <v>11</v>
          </cell>
          <cell r="E8054" t="str">
            <v>OPERATING SURPLUS, GROSS</v>
          </cell>
          <cell r="F8054">
            <v>12</v>
          </cell>
          <cell r="G8054">
            <v>1998</v>
          </cell>
          <cell r="H8054">
            <v>100</v>
          </cell>
          <cell r="I8054">
            <v>921000000</v>
          </cell>
        </row>
        <row r="8055">
          <cell r="A8055" t="str">
            <v>Aruba</v>
          </cell>
          <cell r="B8055">
            <v>533</v>
          </cell>
          <cell r="C8055">
            <v>203</v>
          </cell>
          <cell r="D8055">
            <v>11</v>
          </cell>
          <cell r="E8055" t="str">
            <v>OPERATING SURPLUS, GROSS</v>
          </cell>
          <cell r="F8055">
            <v>12</v>
          </cell>
          <cell r="G8055">
            <v>1999</v>
          </cell>
          <cell r="H8055">
            <v>100</v>
          </cell>
          <cell r="I8055">
            <v>936000000</v>
          </cell>
        </row>
        <row r="8056">
          <cell r="A8056" t="str">
            <v>Aruba</v>
          </cell>
          <cell r="B8056">
            <v>533</v>
          </cell>
          <cell r="C8056">
            <v>203</v>
          </cell>
          <cell r="D8056">
            <v>11</v>
          </cell>
          <cell r="E8056" t="str">
            <v>OPERATING SURPLUS, GROSS</v>
          </cell>
          <cell r="F8056">
            <v>12</v>
          </cell>
          <cell r="G8056">
            <v>2000</v>
          </cell>
          <cell r="H8056">
            <v>100</v>
          </cell>
          <cell r="I8056">
            <v>1022000000</v>
          </cell>
        </row>
        <row r="8057">
          <cell r="A8057" t="str">
            <v>Aruba</v>
          </cell>
          <cell r="B8057">
            <v>533</v>
          </cell>
          <cell r="C8057">
            <v>203</v>
          </cell>
          <cell r="D8057">
            <v>12</v>
          </cell>
          <cell r="E8057" t="str">
            <v>MIXED INCOME, GROSS</v>
          </cell>
          <cell r="F8057">
            <v>12</v>
          </cell>
          <cell r="G8057">
            <v>1995</v>
          </cell>
          <cell r="H8057">
            <v>100</v>
          </cell>
          <cell r="I8057">
            <v>129000000</v>
          </cell>
        </row>
        <row r="8058">
          <cell r="A8058" t="str">
            <v>Aruba</v>
          </cell>
          <cell r="B8058">
            <v>533</v>
          </cell>
          <cell r="C8058">
            <v>203</v>
          </cell>
          <cell r="D8058">
            <v>12</v>
          </cell>
          <cell r="E8058" t="str">
            <v>MIXED INCOME, GROSS</v>
          </cell>
          <cell r="F8058">
            <v>12</v>
          </cell>
          <cell r="G8058">
            <v>1996</v>
          </cell>
          <cell r="H8058">
            <v>100</v>
          </cell>
          <cell r="I8058">
            <v>131000000</v>
          </cell>
        </row>
        <row r="8059">
          <cell r="A8059" t="str">
            <v>Aruba</v>
          </cell>
          <cell r="B8059">
            <v>533</v>
          </cell>
          <cell r="C8059">
            <v>203</v>
          </cell>
          <cell r="D8059">
            <v>12</v>
          </cell>
          <cell r="E8059" t="str">
            <v>MIXED INCOME, GROSS</v>
          </cell>
          <cell r="F8059">
            <v>12</v>
          </cell>
          <cell r="G8059">
            <v>1997</v>
          </cell>
          <cell r="H8059">
            <v>100</v>
          </cell>
          <cell r="I8059">
            <v>149000000</v>
          </cell>
        </row>
        <row r="8060">
          <cell r="A8060" t="str">
            <v>Aruba</v>
          </cell>
          <cell r="B8060">
            <v>533</v>
          </cell>
          <cell r="C8060">
            <v>203</v>
          </cell>
          <cell r="D8060">
            <v>12</v>
          </cell>
          <cell r="E8060" t="str">
            <v>MIXED INCOME, GROSS</v>
          </cell>
          <cell r="F8060">
            <v>12</v>
          </cell>
          <cell r="G8060">
            <v>1998</v>
          </cell>
          <cell r="H8060">
            <v>100</v>
          </cell>
          <cell r="I8060">
            <v>173000000</v>
          </cell>
        </row>
        <row r="8061">
          <cell r="A8061" t="str">
            <v>Aruba</v>
          </cell>
          <cell r="B8061">
            <v>533</v>
          </cell>
          <cell r="C8061">
            <v>203</v>
          </cell>
          <cell r="D8061">
            <v>12</v>
          </cell>
          <cell r="E8061" t="str">
            <v>MIXED INCOME, GROSS</v>
          </cell>
          <cell r="F8061">
            <v>12</v>
          </cell>
          <cell r="G8061">
            <v>1999</v>
          </cell>
          <cell r="H8061">
            <v>100</v>
          </cell>
          <cell r="I8061">
            <v>140000000</v>
          </cell>
        </row>
        <row r="8062">
          <cell r="A8062" t="str">
            <v>Aruba</v>
          </cell>
          <cell r="B8062">
            <v>533</v>
          </cell>
          <cell r="C8062">
            <v>203</v>
          </cell>
          <cell r="D8062">
            <v>12</v>
          </cell>
          <cell r="E8062" t="str">
            <v>MIXED INCOME, GROSS</v>
          </cell>
          <cell r="F8062">
            <v>12</v>
          </cell>
          <cell r="G8062">
            <v>2000</v>
          </cell>
          <cell r="H8062">
            <v>100</v>
          </cell>
          <cell r="I8062">
            <v>147000000</v>
          </cell>
        </row>
        <row r="8063">
          <cell r="A8063" t="str">
            <v>Aruba</v>
          </cell>
          <cell r="B8063">
            <v>533</v>
          </cell>
          <cell r="C8063">
            <v>203</v>
          </cell>
          <cell r="D8063">
            <v>22</v>
          </cell>
          <cell r="E8063" t="str">
            <v>Taxes on production and imports, less Subsidies</v>
          </cell>
          <cell r="F8063">
            <v>12</v>
          </cell>
          <cell r="G8063">
            <v>1995</v>
          </cell>
          <cell r="H8063">
            <v>100</v>
          </cell>
          <cell r="I8063">
            <v>53000000</v>
          </cell>
        </row>
        <row r="8064">
          <cell r="A8064" t="str">
            <v>Aruba</v>
          </cell>
          <cell r="B8064">
            <v>533</v>
          </cell>
          <cell r="C8064">
            <v>203</v>
          </cell>
          <cell r="D8064">
            <v>22</v>
          </cell>
          <cell r="E8064" t="str">
            <v>Taxes on production and imports, less Subsidies</v>
          </cell>
          <cell r="F8064">
            <v>12</v>
          </cell>
          <cell r="G8064">
            <v>1996</v>
          </cell>
          <cell r="H8064">
            <v>100</v>
          </cell>
          <cell r="I8064">
            <v>32000000</v>
          </cell>
        </row>
        <row r="8065">
          <cell r="A8065" t="str">
            <v>Aruba</v>
          </cell>
          <cell r="B8065">
            <v>533</v>
          </cell>
          <cell r="C8065">
            <v>203</v>
          </cell>
          <cell r="D8065">
            <v>22</v>
          </cell>
          <cell r="E8065" t="str">
            <v>Taxes on production and imports, less Subsidies</v>
          </cell>
          <cell r="F8065">
            <v>12</v>
          </cell>
          <cell r="G8065">
            <v>1997</v>
          </cell>
          <cell r="H8065">
            <v>100</v>
          </cell>
          <cell r="I8065">
            <v>35000000</v>
          </cell>
        </row>
        <row r="8066">
          <cell r="A8066" t="str">
            <v>Aruba</v>
          </cell>
          <cell r="B8066">
            <v>533</v>
          </cell>
          <cell r="C8066">
            <v>203</v>
          </cell>
          <cell r="D8066">
            <v>22</v>
          </cell>
          <cell r="E8066" t="str">
            <v>Taxes on production and imports, less Subsidies</v>
          </cell>
          <cell r="F8066">
            <v>12</v>
          </cell>
          <cell r="G8066">
            <v>1998</v>
          </cell>
          <cell r="H8066">
            <v>100</v>
          </cell>
          <cell r="I8066">
            <v>40000000</v>
          </cell>
        </row>
        <row r="8067">
          <cell r="A8067" t="str">
            <v>Aruba</v>
          </cell>
          <cell r="B8067">
            <v>533</v>
          </cell>
          <cell r="C8067">
            <v>203</v>
          </cell>
          <cell r="D8067">
            <v>22</v>
          </cell>
          <cell r="E8067" t="str">
            <v>Taxes on production and imports, less Subsidies</v>
          </cell>
          <cell r="F8067">
            <v>12</v>
          </cell>
          <cell r="G8067">
            <v>1999</v>
          </cell>
          <cell r="H8067">
            <v>100</v>
          </cell>
          <cell r="I8067">
            <v>38000000</v>
          </cell>
        </row>
        <row r="8068">
          <cell r="A8068" t="str">
            <v>Aruba</v>
          </cell>
          <cell r="B8068">
            <v>533</v>
          </cell>
          <cell r="C8068">
            <v>203</v>
          </cell>
          <cell r="D8068">
            <v>22</v>
          </cell>
          <cell r="E8068" t="str">
            <v>Taxes on production and imports, less Subsidies</v>
          </cell>
          <cell r="F8068">
            <v>12</v>
          </cell>
          <cell r="G8068">
            <v>2000</v>
          </cell>
          <cell r="H8068">
            <v>100</v>
          </cell>
          <cell r="I8068">
            <v>36000000</v>
          </cell>
        </row>
        <row r="8069">
          <cell r="A8069" t="str">
            <v>New Zealand</v>
          </cell>
          <cell r="B8069">
            <v>554</v>
          </cell>
          <cell r="C8069">
            <v>201</v>
          </cell>
          <cell r="D8069">
            <v>13</v>
          </cell>
          <cell r="E8069" t="str">
            <v>Less: Financial intermediation services indirectly measured (FISIM) (only to be deducted if FISIM is not distributed to uses)</v>
          </cell>
          <cell r="F8069">
            <v>0</v>
          </cell>
          <cell r="G8069">
            <v>1971</v>
          </cell>
          <cell r="H8069">
            <v>100</v>
          </cell>
          <cell r="I8069">
            <v>118000000</v>
          </cell>
        </row>
        <row r="8070">
          <cell r="A8070" t="str">
            <v>New Zealand</v>
          </cell>
          <cell r="B8070">
            <v>554</v>
          </cell>
          <cell r="C8070">
            <v>201</v>
          </cell>
          <cell r="D8070">
            <v>13</v>
          </cell>
          <cell r="E8070" t="str">
            <v>Less: Financial intermediation services indirectly measured (FISIM) (only to be deducted if FISIM is not distributed to uses)</v>
          </cell>
          <cell r="F8070">
            <v>0</v>
          </cell>
          <cell r="G8070">
            <v>1972</v>
          </cell>
          <cell r="H8070">
            <v>100</v>
          </cell>
          <cell r="I8070">
            <v>141000000</v>
          </cell>
        </row>
        <row r="8071">
          <cell r="A8071" t="str">
            <v>New Zealand</v>
          </cell>
          <cell r="B8071">
            <v>554</v>
          </cell>
          <cell r="C8071">
            <v>201</v>
          </cell>
          <cell r="D8071">
            <v>13</v>
          </cell>
          <cell r="E8071" t="str">
            <v>Less: Financial intermediation services indirectly measured (FISIM) (only to be deducted if FISIM is not distributed to uses)</v>
          </cell>
          <cell r="F8071">
            <v>0</v>
          </cell>
          <cell r="G8071">
            <v>1973</v>
          </cell>
          <cell r="H8071">
            <v>100</v>
          </cell>
          <cell r="I8071">
            <v>178000000</v>
          </cell>
        </row>
        <row r="8072">
          <cell r="A8072" t="str">
            <v>New Zealand</v>
          </cell>
          <cell r="B8072">
            <v>554</v>
          </cell>
          <cell r="C8072">
            <v>201</v>
          </cell>
          <cell r="D8072">
            <v>13</v>
          </cell>
          <cell r="E8072" t="str">
            <v>Less: Financial intermediation services indirectly measured (FISIM) (only to be deducted if FISIM is not distributed to uses)</v>
          </cell>
          <cell r="F8072">
            <v>0</v>
          </cell>
          <cell r="G8072">
            <v>1974</v>
          </cell>
          <cell r="H8072">
            <v>100</v>
          </cell>
          <cell r="I8072">
            <v>201000000</v>
          </cell>
        </row>
        <row r="8073">
          <cell r="A8073" t="str">
            <v>New Zealand</v>
          </cell>
          <cell r="B8073">
            <v>554</v>
          </cell>
          <cell r="C8073">
            <v>201</v>
          </cell>
          <cell r="D8073">
            <v>13</v>
          </cell>
          <cell r="E8073" t="str">
            <v>Less: Financial intermediation services indirectly measured (FISIM) (only to be deducted if FISIM is not distributed to uses)</v>
          </cell>
          <cell r="F8073">
            <v>0</v>
          </cell>
          <cell r="G8073">
            <v>1975</v>
          </cell>
          <cell r="H8073">
            <v>100</v>
          </cell>
          <cell r="I8073">
            <v>241000000</v>
          </cell>
        </row>
        <row r="8074">
          <cell r="A8074" t="str">
            <v>New Zealand</v>
          </cell>
          <cell r="B8074">
            <v>554</v>
          </cell>
          <cell r="C8074">
            <v>201</v>
          </cell>
          <cell r="D8074">
            <v>13</v>
          </cell>
          <cell r="E8074" t="str">
            <v>Less: Financial intermediation services indirectly measured (FISIM) (only to be deducted if FISIM is not distributed to uses)</v>
          </cell>
          <cell r="F8074">
            <v>0</v>
          </cell>
          <cell r="G8074">
            <v>1976</v>
          </cell>
          <cell r="H8074">
            <v>100</v>
          </cell>
          <cell r="I8074">
            <v>272000000</v>
          </cell>
        </row>
        <row r="8075">
          <cell r="A8075" t="str">
            <v>New Zealand</v>
          </cell>
          <cell r="B8075">
            <v>554</v>
          </cell>
          <cell r="C8075">
            <v>201</v>
          </cell>
          <cell r="D8075">
            <v>13</v>
          </cell>
          <cell r="E8075" t="str">
            <v>Less: Financial intermediation services indirectly measured (FISIM) (only to be deducted if FISIM is not distributed to uses)</v>
          </cell>
          <cell r="F8075">
            <v>0</v>
          </cell>
          <cell r="G8075">
            <v>1977</v>
          </cell>
          <cell r="H8075">
            <v>100</v>
          </cell>
          <cell r="I8075">
            <v>308000000</v>
          </cell>
        </row>
        <row r="8076">
          <cell r="A8076" t="str">
            <v>New Zealand</v>
          </cell>
          <cell r="B8076">
            <v>554</v>
          </cell>
          <cell r="C8076">
            <v>201</v>
          </cell>
          <cell r="D8076">
            <v>13</v>
          </cell>
          <cell r="E8076" t="str">
            <v>Less: Financial intermediation services indirectly measured (FISIM) (only to be deducted if FISIM is not distributed to uses)</v>
          </cell>
          <cell r="F8076">
            <v>0</v>
          </cell>
          <cell r="G8076">
            <v>1978</v>
          </cell>
          <cell r="H8076">
            <v>100</v>
          </cell>
          <cell r="I8076">
            <v>389000000</v>
          </cell>
        </row>
        <row r="8077">
          <cell r="A8077" t="str">
            <v>New Zealand</v>
          </cell>
          <cell r="B8077">
            <v>554</v>
          </cell>
          <cell r="C8077">
            <v>201</v>
          </cell>
          <cell r="D8077">
            <v>13</v>
          </cell>
          <cell r="E8077" t="str">
            <v>Less: Financial intermediation services indirectly measured (FISIM) (only to be deducted if FISIM is not distributed to uses)</v>
          </cell>
          <cell r="F8077">
            <v>0</v>
          </cell>
          <cell r="G8077">
            <v>1979</v>
          </cell>
          <cell r="H8077">
            <v>100</v>
          </cell>
          <cell r="I8077">
            <v>473000000</v>
          </cell>
        </row>
        <row r="8078">
          <cell r="A8078" t="str">
            <v>New Zealand</v>
          </cell>
          <cell r="B8078">
            <v>554</v>
          </cell>
          <cell r="C8078">
            <v>201</v>
          </cell>
          <cell r="D8078">
            <v>13</v>
          </cell>
          <cell r="E8078" t="str">
            <v>Less: Financial intermediation services indirectly measured (FISIM) (only to be deducted if FISIM is not distributed to uses)</v>
          </cell>
          <cell r="F8078">
            <v>0</v>
          </cell>
          <cell r="G8078">
            <v>1980</v>
          </cell>
          <cell r="H8078">
            <v>100</v>
          </cell>
          <cell r="I8078">
            <v>603000000</v>
          </cell>
        </row>
        <row r="8079">
          <cell r="A8079" t="str">
            <v>New Zealand</v>
          </cell>
          <cell r="B8079">
            <v>554</v>
          </cell>
          <cell r="C8079">
            <v>201</v>
          </cell>
          <cell r="D8079">
            <v>13</v>
          </cell>
          <cell r="E8079" t="str">
            <v>Less: Financial intermediation services indirectly measured (FISIM) (only to be deducted if FISIM is not distributed to uses)</v>
          </cell>
          <cell r="F8079">
            <v>0</v>
          </cell>
          <cell r="G8079">
            <v>1981</v>
          </cell>
          <cell r="H8079">
            <v>100</v>
          </cell>
          <cell r="I8079">
            <v>834000000</v>
          </cell>
        </row>
        <row r="8080">
          <cell r="A8080" t="str">
            <v>New Zealand</v>
          </cell>
          <cell r="B8080">
            <v>554</v>
          </cell>
          <cell r="C8080">
            <v>201</v>
          </cell>
          <cell r="D8080">
            <v>13</v>
          </cell>
          <cell r="E8080" t="str">
            <v>Less: Financial intermediation services indirectly measured (FISIM) (only to be deducted if FISIM is not distributed to uses)</v>
          </cell>
          <cell r="F8080">
            <v>0</v>
          </cell>
          <cell r="G8080">
            <v>1982</v>
          </cell>
          <cell r="H8080">
            <v>100</v>
          </cell>
          <cell r="I8080">
            <v>973000000</v>
          </cell>
        </row>
        <row r="8081">
          <cell r="A8081" t="str">
            <v>New Zealand</v>
          </cell>
          <cell r="B8081">
            <v>554</v>
          </cell>
          <cell r="C8081">
            <v>201</v>
          </cell>
          <cell r="D8081">
            <v>13</v>
          </cell>
          <cell r="E8081" t="str">
            <v>Less: Financial intermediation services indirectly measured (FISIM) (only to be deducted if FISIM is not distributed to uses)</v>
          </cell>
          <cell r="F8081">
            <v>0</v>
          </cell>
          <cell r="G8081">
            <v>1983</v>
          </cell>
          <cell r="H8081">
            <v>100</v>
          </cell>
          <cell r="I8081">
            <v>1123000000</v>
          </cell>
        </row>
        <row r="8082">
          <cell r="A8082" t="str">
            <v>New Zealand</v>
          </cell>
          <cell r="B8082">
            <v>554</v>
          </cell>
          <cell r="C8082">
            <v>201</v>
          </cell>
          <cell r="D8082">
            <v>13</v>
          </cell>
          <cell r="E8082" t="str">
            <v>Less: Financial intermediation services indirectly measured (FISIM) (only to be deducted if FISIM is not distributed to uses)</v>
          </cell>
          <cell r="F8082">
            <v>0</v>
          </cell>
          <cell r="G8082">
            <v>1984</v>
          </cell>
          <cell r="H8082">
            <v>100</v>
          </cell>
          <cell r="I8082">
            <v>1285000000</v>
          </cell>
        </row>
        <row r="8083">
          <cell r="A8083" t="str">
            <v>New Zealand</v>
          </cell>
          <cell r="B8083">
            <v>554</v>
          </cell>
          <cell r="C8083">
            <v>201</v>
          </cell>
          <cell r="D8083">
            <v>13</v>
          </cell>
          <cell r="E8083" t="str">
            <v>Less: Financial intermediation services indirectly measured (FISIM) (only to be deducted if FISIM is not distributed to uses)</v>
          </cell>
          <cell r="F8083">
            <v>0</v>
          </cell>
          <cell r="G8083">
            <v>1985</v>
          </cell>
          <cell r="H8083">
            <v>100</v>
          </cell>
          <cell r="I8083">
            <v>1553000000</v>
          </cell>
        </row>
        <row r="8084">
          <cell r="A8084" t="str">
            <v>New Zealand</v>
          </cell>
          <cell r="B8084">
            <v>554</v>
          </cell>
          <cell r="C8084">
            <v>201</v>
          </cell>
          <cell r="D8084">
            <v>13</v>
          </cell>
          <cell r="E8084" t="str">
            <v>Less: Financial intermediation services indirectly measured (FISIM) (only to be deducted if FISIM is not distributed to uses)</v>
          </cell>
          <cell r="F8084">
            <v>0</v>
          </cell>
          <cell r="G8084">
            <v>1986</v>
          </cell>
          <cell r="H8084">
            <v>100</v>
          </cell>
          <cell r="I8084">
            <v>2162000000</v>
          </cell>
        </row>
        <row r="8085">
          <cell r="A8085" t="str">
            <v>New Zealand</v>
          </cell>
          <cell r="B8085">
            <v>554</v>
          </cell>
          <cell r="C8085">
            <v>201</v>
          </cell>
          <cell r="D8085">
            <v>13</v>
          </cell>
          <cell r="E8085" t="str">
            <v>Less: Financial intermediation services indirectly measured (FISIM) (only to be deducted if FISIM is not distributed to uses)</v>
          </cell>
          <cell r="F8085">
            <v>0</v>
          </cell>
          <cell r="G8085">
            <v>1987</v>
          </cell>
          <cell r="H8085">
            <v>100</v>
          </cell>
          <cell r="I8085">
            <v>2826000000</v>
          </cell>
        </row>
        <row r="8086">
          <cell r="A8086" t="str">
            <v>New Zealand</v>
          </cell>
          <cell r="B8086">
            <v>554</v>
          </cell>
          <cell r="C8086">
            <v>201</v>
          </cell>
          <cell r="D8086">
            <v>13</v>
          </cell>
          <cell r="E8086" t="str">
            <v>Less: Financial intermediation services indirectly measured (FISIM) (only to be deducted if FISIM is not distributed to uses)</v>
          </cell>
          <cell r="F8086">
            <v>0</v>
          </cell>
          <cell r="G8086">
            <v>1988</v>
          </cell>
          <cell r="H8086">
            <v>100</v>
          </cell>
          <cell r="I8086">
            <v>2775000000</v>
          </cell>
        </row>
        <row r="8087">
          <cell r="A8087" t="str">
            <v>New Zealand</v>
          </cell>
          <cell r="B8087">
            <v>554</v>
          </cell>
          <cell r="C8087">
            <v>201</v>
          </cell>
          <cell r="D8087">
            <v>13</v>
          </cell>
          <cell r="E8087" t="str">
            <v>Less: Financial intermediation services indirectly measured (FISIM) (only to be deducted if FISIM is not distributed to uses)</v>
          </cell>
          <cell r="F8087">
            <v>0</v>
          </cell>
          <cell r="G8087">
            <v>1989</v>
          </cell>
          <cell r="H8087">
            <v>100</v>
          </cell>
          <cell r="I8087">
            <v>2928000000</v>
          </cell>
        </row>
        <row r="8088">
          <cell r="A8088" t="str">
            <v>New Zealand</v>
          </cell>
          <cell r="B8088">
            <v>554</v>
          </cell>
          <cell r="C8088">
            <v>201</v>
          </cell>
          <cell r="D8088">
            <v>13</v>
          </cell>
          <cell r="E8088" t="str">
            <v>Less: Financial intermediation services indirectly measured (FISIM) (only to be deducted if FISIM is not distributed to uses)</v>
          </cell>
          <cell r="F8088">
            <v>0</v>
          </cell>
          <cell r="G8088">
            <v>1990</v>
          </cell>
          <cell r="H8088">
            <v>100</v>
          </cell>
          <cell r="I8088">
            <v>2909000000</v>
          </cell>
        </row>
        <row r="8089">
          <cell r="A8089" t="str">
            <v>New Zealand</v>
          </cell>
          <cell r="B8089">
            <v>554</v>
          </cell>
          <cell r="C8089">
            <v>201</v>
          </cell>
          <cell r="D8089">
            <v>13</v>
          </cell>
          <cell r="E8089" t="str">
            <v>Less: Financial intermediation services indirectly measured (FISIM) (only to be deducted if FISIM is not distributed to uses)</v>
          </cell>
          <cell r="F8089">
            <v>0</v>
          </cell>
          <cell r="G8089">
            <v>1991</v>
          </cell>
          <cell r="H8089">
            <v>100</v>
          </cell>
          <cell r="I8089">
            <v>2825000000</v>
          </cell>
        </row>
        <row r="8090">
          <cell r="A8090" t="str">
            <v>New Zealand</v>
          </cell>
          <cell r="B8090">
            <v>554</v>
          </cell>
          <cell r="C8090">
            <v>201</v>
          </cell>
          <cell r="D8090">
            <v>13</v>
          </cell>
          <cell r="E8090" t="str">
            <v>Less: Financial intermediation services indirectly measured (FISIM) (only to be deducted if FISIM is not distributed to uses)</v>
          </cell>
          <cell r="F8090">
            <v>0</v>
          </cell>
          <cell r="G8090">
            <v>1992</v>
          </cell>
          <cell r="H8090">
            <v>100</v>
          </cell>
          <cell r="I8090">
            <v>2464000000</v>
          </cell>
        </row>
        <row r="8091">
          <cell r="A8091" t="str">
            <v>New Zealand</v>
          </cell>
          <cell r="B8091">
            <v>554</v>
          </cell>
          <cell r="C8091">
            <v>201</v>
          </cell>
          <cell r="D8091">
            <v>13</v>
          </cell>
          <cell r="E8091" t="str">
            <v>Less: Financial intermediation services indirectly measured (FISIM) (only to be deducted if FISIM is not distributed to uses)</v>
          </cell>
          <cell r="F8091">
            <v>0</v>
          </cell>
          <cell r="G8091">
            <v>1993</v>
          </cell>
          <cell r="H8091">
            <v>100</v>
          </cell>
          <cell r="I8091">
            <v>2525000000</v>
          </cell>
        </row>
        <row r="8092">
          <cell r="A8092" t="str">
            <v>New Zealand</v>
          </cell>
          <cell r="B8092">
            <v>554</v>
          </cell>
          <cell r="C8092">
            <v>201</v>
          </cell>
          <cell r="D8092">
            <v>13</v>
          </cell>
          <cell r="E8092" t="str">
            <v>Less: Financial intermediation services indirectly measured (FISIM) (only to be deducted if FISIM is not distributed to uses)</v>
          </cell>
          <cell r="F8092">
            <v>0</v>
          </cell>
          <cell r="G8092">
            <v>1994</v>
          </cell>
          <cell r="H8092">
            <v>100</v>
          </cell>
          <cell r="I8092">
            <v>2957000000</v>
          </cell>
        </row>
        <row r="8093">
          <cell r="A8093" t="str">
            <v>New Zealand</v>
          </cell>
          <cell r="B8093">
            <v>554</v>
          </cell>
          <cell r="C8093">
            <v>201</v>
          </cell>
          <cell r="D8093">
            <v>13</v>
          </cell>
          <cell r="E8093" t="str">
            <v>Less: Financial intermediation services indirectly measured (FISIM) (only to be deducted if FISIM is not distributed to uses)</v>
          </cell>
          <cell r="F8093">
            <v>0</v>
          </cell>
          <cell r="G8093">
            <v>1995</v>
          </cell>
          <cell r="H8093">
            <v>100</v>
          </cell>
          <cell r="I8093">
            <v>3199000000</v>
          </cell>
        </row>
        <row r="8094">
          <cell r="A8094" t="str">
            <v>New Zealand</v>
          </cell>
          <cell r="B8094">
            <v>554</v>
          </cell>
          <cell r="C8094">
            <v>201</v>
          </cell>
          <cell r="D8094">
            <v>13</v>
          </cell>
          <cell r="E8094" t="str">
            <v>Less: Financial intermediation services indirectly measured (FISIM) (only to be deducted if FISIM is not distributed to uses)</v>
          </cell>
          <cell r="F8094">
            <v>0</v>
          </cell>
          <cell r="G8094">
            <v>1996</v>
          </cell>
          <cell r="H8094">
            <v>100</v>
          </cell>
          <cell r="I8094">
            <v>3209000000</v>
          </cell>
        </row>
        <row r="8095">
          <cell r="A8095" t="str">
            <v>New Zealand</v>
          </cell>
          <cell r="B8095">
            <v>554</v>
          </cell>
          <cell r="C8095">
            <v>201</v>
          </cell>
          <cell r="D8095">
            <v>13</v>
          </cell>
          <cell r="E8095" t="str">
            <v>Less: Financial intermediation services indirectly measured (FISIM) (only to be deducted if FISIM is not distributed to uses)</v>
          </cell>
          <cell r="F8095">
            <v>0</v>
          </cell>
          <cell r="G8095">
            <v>1997</v>
          </cell>
          <cell r="H8095">
            <v>100</v>
          </cell>
          <cell r="I8095">
            <v>3227000000</v>
          </cell>
        </row>
        <row r="8096">
          <cell r="A8096" t="str">
            <v>New Zealand</v>
          </cell>
          <cell r="B8096">
            <v>554</v>
          </cell>
          <cell r="C8096">
            <v>201</v>
          </cell>
          <cell r="D8096">
            <v>13</v>
          </cell>
          <cell r="E8096" t="str">
            <v>Less: Financial intermediation services indirectly measured (FISIM) (only to be deducted if FISIM is not distributed to uses)</v>
          </cell>
          <cell r="F8096">
            <v>0</v>
          </cell>
          <cell r="G8096">
            <v>1998</v>
          </cell>
          <cell r="H8096">
            <v>100</v>
          </cell>
          <cell r="I8096">
            <v>3415000000</v>
          </cell>
        </row>
        <row r="8097">
          <cell r="A8097" t="str">
            <v>New Zealand</v>
          </cell>
          <cell r="B8097">
            <v>554</v>
          </cell>
          <cell r="C8097">
            <v>201</v>
          </cell>
          <cell r="D8097">
            <v>13</v>
          </cell>
          <cell r="E8097" t="str">
            <v>Less: Financial intermediation services indirectly measured (FISIM) (only to be deducted if FISIM is not distributed to uses)</v>
          </cell>
          <cell r="F8097">
            <v>0</v>
          </cell>
          <cell r="G8097">
            <v>1999</v>
          </cell>
          <cell r="H8097">
            <v>100</v>
          </cell>
          <cell r="I8097">
            <v>3533000000</v>
          </cell>
        </row>
        <row r="8098">
          <cell r="A8098" t="str">
            <v>New Zealand</v>
          </cell>
          <cell r="B8098">
            <v>554</v>
          </cell>
          <cell r="C8098">
            <v>201</v>
          </cell>
          <cell r="D8098">
            <v>13</v>
          </cell>
          <cell r="E8098" t="str">
            <v>Less: Financial intermediation services indirectly measured (FISIM) (only to be deducted if FISIM is not distributed to uses)</v>
          </cell>
          <cell r="F8098">
            <v>0</v>
          </cell>
          <cell r="G8098">
            <v>2000</v>
          </cell>
          <cell r="H8098">
            <v>100</v>
          </cell>
          <cell r="I8098">
            <v>3575000000</v>
          </cell>
        </row>
        <row r="8099">
          <cell r="A8099" t="str">
            <v>Norway</v>
          </cell>
          <cell r="B8099">
            <v>578</v>
          </cell>
          <cell r="C8099">
            <v>201</v>
          </cell>
          <cell r="D8099">
            <v>13</v>
          </cell>
          <cell r="E8099" t="str">
            <v>Less: Financial intermediation services indirectly measured (FISIM) (only to be deducted if FISIM is not distributed to uses)</v>
          </cell>
          <cell r="F8099">
            <v>0</v>
          </cell>
          <cell r="G8099">
            <v>1962</v>
          </cell>
          <cell r="H8099">
            <v>10</v>
          </cell>
          <cell r="I8099">
            <v>591000000</v>
          </cell>
        </row>
        <row r="8100">
          <cell r="A8100" t="str">
            <v>Norway</v>
          </cell>
          <cell r="B8100">
            <v>578</v>
          </cell>
          <cell r="C8100">
            <v>201</v>
          </cell>
          <cell r="D8100">
            <v>13</v>
          </cell>
          <cell r="E8100" t="str">
            <v>Less: Financial intermediation services indirectly measured (FISIM) (only to be deducted if FISIM is not distributed to uses)</v>
          </cell>
          <cell r="F8100">
            <v>0</v>
          </cell>
          <cell r="G8100">
            <v>1963</v>
          </cell>
          <cell r="H8100">
            <v>10</v>
          </cell>
          <cell r="I8100">
            <v>647000000</v>
          </cell>
        </row>
        <row r="8101">
          <cell r="A8101" t="str">
            <v>Norway</v>
          </cell>
          <cell r="B8101">
            <v>578</v>
          </cell>
          <cell r="C8101">
            <v>201</v>
          </cell>
          <cell r="D8101">
            <v>13</v>
          </cell>
          <cell r="E8101" t="str">
            <v>Less: Financial intermediation services indirectly measured (FISIM) (only to be deducted if FISIM is not distributed to uses)</v>
          </cell>
          <cell r="F8101">
            <v>0</v>
          </cell>
          <cell r="G8101">
            <v>1964</v>
          </cell>
          <cell r="H8101">
            <v>10</v>
          </cell>
          <cell r="I8101">
            <v>726000000</v>
          </cell>
        </row>
        <row r="8102">
          <cell r="A8102" t="str">
            <v>Norway</v>
          </cell>
          <cell r="B8102">
            <v>578</v>
          </cell>
          <cell r="C8102">
            <v>201</v>
          </cell>
          <cell r="D8102">
            <v>13</v>
          </cell>
          <cell r="E8102" t="str">
            <v>Less: Financial intermediation services indirectly measured (FISIM) (only to be deducted if FISIM is not distributed to uses)</v>
          </cell>
          <cell r="F8102">
            <v>0</v>
          </cell>
          <cell r="G8102">
            <v>1965</v>
          </cell>
          <cell r="H8102">
            <v>10</v>
          </cell>
          <cell r="I8102">
            <v>814000000</v>
          </cell>
        </row>
        <row r="8103">
          <cell r="A8103" t="str">
            <v>Norway</v>
          </cell>
          <cell r="B8103">
            <v>578</v>
          </cell>
          <cell r="C8103">
            <v>201</v>
          </cell>
          <cell r="D8103">
            <v>13</v>
          </cell>
          <cell r="E8103" t="str">
            <v>Less: Financial intermediation services indirectly measured (FISIM) (only to be deducted if FISIM is not distributed to uses)</v>
          </cell>
          <cell r="F8103">
            <v>0</v>
          </cell>
          <cell r="G8103">
            <v>1966</v>
          </cell>
          <cell r="H8103">
            <v>10</v>
          </cell>
          <cell r="I8103">
            <v>937000000</v>
          </cell>
        </row>
        <row r="8104">
          <cell r="A8104" t="str">
            <v>Norway</v>
          </cell>
          <cell r="B8104">
            <v>578</v>
          </cell>
          <cell r="C8104">
            <v>201</v>
          </cell>
          <cell r="D8104">
            <v>13</v>
          </cell>
          <cell r="E8104" t="str">
            <v>Less: Financial intermediation services indirectly measured (FISIM) (only to be deducted if FISIM is not distributed to uses)</v>
          </cell>
          <cell r="F8104">
            <v>0</v>
          </cell>
          <cell r="G8104">
            <v>1967</v>
          </cell>
          <cell r="H8104">
            <v>10</v>
          </cell>
          <cell r="I8104">
            <v>1067000000</v>
          </cell>
        </row>
        <row r="8105">
          <cell r="A8105" t="str">
            <v>Norway</v>
          </cell>
          <cell r="B8105">
            <v>578</v>
          </cell>
          <cell r="C8105">
            <v>201</v>
          </cell>
          <cell r="D8105">
            <v>13</v>
          </cell>
          <cell r="E8105" t="str">
            <v>Less: Financial intermediation services indirectly measured (FISIM) (only to be deducted if FISIM is not distributed to uses)</v>
          </cell>
          <cell r="F8105">
            <v>0</v>
          </cell>
          <cell r="G8105">
            <v>1968</v>
          </cell>
          <cell r="H8105">
            <v>10</v>
          </cell>
          <cell r="I8105">
            <v>1269000000</v>
          </cell>
        </row>
        <row r="8106">
          <cell r="A8106" t="str">
            <v>Norway</v>
          </cell>
          <cell r="B8106">
            <v>578</v>
          </cell>
          <cell r="C8106">
            <v>201</v>
          </cell>
          <cell r="D8106">
            <v>13</v>
          </cell>
          <cell r="E8106" t="str">
            <v>Less: Financial intermediation services indirectly measured (FISIM) (only to be deducted if FISIM is not distributed to uses)</v>
          </cell>
          <cell r="F8106">
            <v>0</v>
          </cell>
          <cell r="G8106">
            <v>1969</v>
          </cell>
          <cell r="H8106">
            <v>10</v>
          </cell>
          <cell r="I8106">
            <v>1464000000</v>
          </cell>
        </row>
        <row r="8107">
          <cell r="A8107" t="str">
            <v>Norway</v>
          </cell>
          <cell r="B8107">
            <v>578</v>
          </cell>
          <cell r="C8107">
            <v>201</v>
          </cell>
          <cell r="D8107">
            <v>13</v>
          </cell>
          <cell r="E8107" t="str">
            <v>Less: Financial intermediation services indirectly measured (FISIM) (only to be deducted if FISIM is not distributed to uses)</v>
          </cell>
          <cell r="F8107">
            <v>0</v>
          </cell>
          <cell r="G8107">
            <v>1970</v>
          </cell>
          <cell r="H8107">
            <v>10</v>
          </cell>
          <cell r="I8107">
            <v>1709000000</v>
          </cell>
        </row>
        <row r="8108">
          <cell r="A8108" t="str">
            <v>Norway</v>
          </cell>
          <cell r="B8108">
            <v>578</v>
          </cell>
          <cell r="C8108">
            <v>201</v>
          </cell>
          <cell r="D8108">
            <v>13</v>
          </cell>
          <cell r="E8108" t="str">
            <v>Less: Financial intermediation services indirectly measured (FISIM) (only to be deducted if FISIM is not distributed to uses)</v>
          </cell>
          <cell r="F8108">
            <v>0</v>
          </cell>
          <cell r="G8108">
            <v>1970</v>
          </cell>
          <cell r="H8108">
            <v>200</v>
          </cell>
          <cell r="I8108">
            <v>1980000000</v>
          </cell>
        </row>
        <row r="8109">
          <cell r="A8109" t="str">
            <v>Norway</v>
          </cell>
          <cell r="B8109">
            <v>578</v>
          </cell>
          <cell r="C8109">
            <v>201</v>
          </cell>
          <cell r="D8109">
            <v>13</v>
          </cell>
          <cell r="E8109" t="str">
            <v>Less: Financial intermediation services indirectly measured (FISIM) (only to be deducted if FISIM is not distributed to uses)</v>
          </cell>
          <cell r="F8109">
            <v>0</v>
          </cell>
          <cell r="G8109">
            <v>1971</v>
          </cell>
          <cell r="H8109">
            <v>200</v>
          </cell>
          <cell r="I8109">
            <v>2265000000</v>
          </cell>
        </row>
        <row r="8110">
          <cell r="A8110" t="str">
            <v>Norway</v>
          </cell>
          <cell r="B8110">
            <v>578</v>
          </cell>
          <cell r="C8110">
            <v>201</v>
          </cell>
          <cell r="D8110">
            <v>13</v>
          </cell>
          <cell r="E8110" t="str">
            <v>Less: Financial intermediation services indirectly measured (FISIM) (only to be deducted if FISIM is not distributed to uses)</v>
          </cell>
          <cell r="F8110">
            <v>0</v>
          </cell>
          <cell r="G8110">
            <v>1972</v>
          </cell>
          <cell r="H8110">
            <v>200</v>
          </cell>
          <cell r="I8110">
            <v>2674000000</v>
          </cell>
        </row>
        <row r="8111">
          <cell r="A8111" t="str">
            <v>Norway</v>
          </cell>
          <cell r="B8111">
            <v>578</v>
          </cell>
          <cell r="C8111">
            <v>201</v>
          </cell>
          <cell r="D8111">
            <v>13</v>
          </cell>
          <cell r="E8111" t="str">
            <v>Less: Financial intermediation services indirectly measured (FISIM) (only to be deducted if FISIM is not distributed to uses)</v>
          </cell>
          <cell r="F8111">
            <v>0</v>
          </cell>
          <cell r="G8111">
            <v>1973</v>
          </cell>
          <cell r="H8111">
            <v>200</v>
          </cell>
          <cell r="I8111">
            <v>3234000000</v>
          </cell>
        </row>
        <row r="8112">
          <cell r="A8112" t="str">
            <v>Norway</v>
          </cell>
          <cell r="B8112">
            <v>578</v>
          </cell>
          <cell r="C8112">
            <v>201</v>
          </cell>
          <cell r="D8112">
            <v>13</v>
          </cell>
          <cell r="E8112" t="str">
            <v>Less: Financial intermediation services indirectly measured (FISIM) (only to be deducted if FISIM is not distributed to uses)</v>
          </cell>
          <cell r="F8112">
            <v>0</v>
          </cell>
          <cell r="G8112">
            <v>1974</v>
          </cell>
          <cell r="H8112">
            <v>200</v>
          </cell>
          <cell r="I8112">
            <v>4061000000</v>
          </cell>
        </row>
        <row r="8113">
          <cell r="A8113" t="str">
            <v>Norway</v>
          </cell>
          <cell r="B8113">
            <v>578</v>
          </cell>
          <cell r="C8113">
            <v>201</v>
          </cell>
          <cell r="D8113">
            <v>13</v>
          </cell>
          <cell r="E8113" t="str">
            <v>Less: Financial intermediation services indirectly measured (FISIM) (only to be deducted if FISIM is not distributed to uses)</v>
          </cell>
          <cell r="F8113">
            <v>0</v>
          </cell>
          <cell r="G8113">
            <v>1975</v>
          </cell>
          <cell r="H8113">
            <v>200</v>
          </cell>
          <cell r="I8113">
            <v>4273000000</v>
          </cell>
        </row>
        <row r="8114">
          <cell r="A8114" t="str">
            <v>Norway</v>
          </cell>
          <cell r="B8114">
            <v>578</v>
          </cell>
          <cell r="C8114">
            <v>201</v>
          </cell>
          <cell r="D8114">
            <v>13</v>
          </cell>
          <cell r="E8114" t="str">
            <v>Less: Financial intermediation services indirectly measured (FISIM) (only to be deducted if FISIM is not distributed to uses)</v>
          </cell>
          <cell r="F8114">
            <v>0</v>
          </cell>
          <cell r="G8114">
            <v>1976</v>
          </cell>
          <cell r="H8114">
            <v>200</v>
          </cell>
          <cell r="I8114">
            <v>5048000000</v>
          </cell>
        </row>
        <row r="8115">
          <cell r="A8115" t="str">
            <v>Norway</v>
          </cell>
          <cell r="B8115">
            <v>578</v>
          </cell>
          <cell r="C8115">
            <v>201</v>
          </cell>
          <cell r="D8115">
            <v>13</v>
          </cell>
          <cell r="E8115" t="str">
            <v>Less: Financial intermediation services indirectly measured (FISIM) (only to be deducted if FISIM is not distributed to uses)</v>
          </cell>
          <cell r="F8115">
            <v>0</v>
          </cell>
          <cell r="G8115">
            <v>1977</v>
          </cell>
          <cell r="H8115">
            <v>200</v>
          </cell>
          <cell r="I8115">
            <v>5844000000</v>
          </cell>
        </row>
        <row r="8116">
          <cell r="A8116" t="str">
            <v>Norway</v>
          </cell>
          <cell r="B8116">
            <v>578</v>
          </cell>
          <cell r="C8116">
            <v>201</v>
          </cell>
          <cell r="D8116">
            <v>13</v>
          </cell>
          <cell r="E8116" t="str">
            <v>Less: Financial intermediation services indirectly measured (FISIM) (only to be deducted if FISIM is not distributed to uses)</v>
          </cell>
          <cell r="F8116">
            <v>0</v>
          </cell>
          <cell r="G8116">
            <v>1978</v>
          </cell>
          <cell r="H8116">
            <v>200</v>
          </cell>
          <cell r="I8116">
            <v>6997000000</v>
          </cell>
        </row>
        <row r="8117">
          <cell r="A8117" t="str">
            <v>Norway</v>
          </cell>
          <cell r="B8117">
            <v>578</v>
          </cell>
          <cell r="C8117">
            <v>201</v>
          </cell>
          <cell r="D8117">
            <v>13</v>
          </cell>
          <cell r="E8117" t="str">
            <v>Less: Financial intermediation services indirectly measured (FISIM) (only to be deducted if FISIM is not distributed to uses)</v>
          </cell>
          <cell r="F8117">
            <v>0</v>
          </cell>
          <cell r="G8117">
            <v>1979</v>
          </cell>
          <cell r="H8117">
            <v>200</v>
          </cell>
          <cell r="I8117">
            <v>8252000000</v>
          </cell>
        </row>
        <row r="8118">
          <cell r="A8118" t="str">
            <v>Norway</v>
          </cell>
          <cell r="B8118">
            <v>578</v>
          </cell>
          <cell r="C8118">
            <v>201</v>
          </cell>
          <cell r="D8118">
            <v>13</v>
          </cell>
          <cell r="E8118" t="str">
            <v>Less: Financial intermediation services indirectly measured (FISIM) (only to be deducted if FISIM is not distributed to uses)</v>
          </cell>
          <cell r="F8118">
            <v>0</v>
          </cell>
          <cell r="G8118">
            <v>1980</v>
          </cell>
          <cell r="H8118">
            <v>200</v>
          </cell>
          <cell r="I8118">
            <v>10266000000</v>
          </cell>
        </row>
        <row r="8119">
          <cell r="A8119" t="str">
            <v>Norway</v>
          </cell>
          <cell r="B8119">
            <v>578</v>
          </cell>
          <cell r="C8119">
            <v>201</v>
          </cell>
          <cell r="D8119">
            <v>13</v>
          </cell>
          <cell r="E8119" t="str">
            <v>Less: Financial intermediation services indirectly measured (FISIM) (only to be deducted if FISIM is not distributed to uses)</v>
          </cell>
          <cell r="F8119">
            <v>0</v>
          </cell>
          <cell r="G8119">
            <v>1981</v>
          </cell>
          <cell r="H8119">
            <v>200</v>
          </cell>
          <cell r="I8119">
            <v>13089000000</v>
          </cell>
        </row>
        <row r="8120">
          <cell r="A8120" t="str">
            <v>Norway</v>
          </cell>
          <cell r="B8120">
            <v>578</v>
          </cell>
          <cell r="C8120">
            <v>201</v>
          </cell>
          <cell r="D8120">
            <v>13</v>
          </cell>
          <cell r="E8120" t="str">
            <v>Less: Financial intermediation services indirectly measured (FISIM) (only to be deducted if FISIM is not distributed to uses)</v>
          </cell>
          <cell r="F8120">
            <v>0</v>
          </cell>
          <cell r="G8120">
            <v>1982</v>
          </cell>
          <cell r="H8120">
            <v>200</v>
          </cell>
          <cell r="I8120">
            <v>16119000000</v>
          </cell>
        </row>
        <row r="8121">
          <cell r="A8121" t="str">
            <v>Norway</v>
          </cell>
          <cell r="B8121">
            <v>578</v>
          </cell>
          <cell r="C8121">
            <v>201</v>
          </cell>
          <cell r="D8121">
            <v>13</v>
          </cell>
          <cell r="E8121" t="str">
            <v>Less: Financial intermediation services indirectly measured (FISIM) (only to be deducted if FISIM is not distributed to uses)</v>
          </cell>
          <cell r="F8121">
            <v>0</v>
          </cell>
          <cell r="G8121">
            <v>1983</v>
          </cell>
          <cell r="H8121">
            <v>200</v>
          </cell>
          <cell r="I8121">
            <v>18215000000</v>
          </cell>
        </row>
        <row r="8122">
          <cell r="A8122" t="str">
            <v>Norway</v>
          </cell>
          <cell r="B8122">
            <v>578</v>
          </cell>
          <cell r="C8122">
            <v>201</v>
          </cell>
          <cell r="D8122">
            <v>13</v>
          </cell>
          <cell r="E8122" t="str">
            <v>Less: Financial intermediation services indirectly measured (FISIM) (only to be deducted if FISIM is not distributed to uses)</v>
          </cell>
          <cell r="F8122">
            <v>0</v>
          </cell>
          <cell r="G8122">
            <v>1984</v>
          </cell>
          <cell r="H8122">
            <v>200</v>
          </cell>
          <cell r="I8122">
            <v>17778000000</v>
          </cell>
        </row>
        <row r="8123">
          <cell r="A8123" t="str">
            <v>Norway</v>
          </cell>
          <cell r="B8123">
            <v>578</v>
          </cell>
          <cell r="C8123">
            <v>201</v>
          </cell>
          <cell r="D8123">
            <v>13</v>
          </cell>
          <cell r="E8123" t="str">
            <v>Less: Financial intermediation services indirectly measured (FISIM) (only to be deducted if FISIM is not distributed to uses)</v>
          </cell>
          <cell r="F8123">
            <v>0</v>
          </cell>
          <cell r="G8123">
            <v>1985</v>
          </cell>
          <cell r="H8123">
            <v>200</v>
          </cell>
          <cell r="I8123">
            <v>18357000000</v>
          </cell>
        </row>
        <row r="8124">
          <cell r="A8124" t="str">
            <v>Norway</v>
          </cell>
          <cell r="B8124">
            <v>578</v>
          </cell>
          <cell r="C8124">
            <v>201</v>
          </cell>
          <cell r="D8124">
            <v>13</v>
          </cell>
          <cell r="E8124" t="str">
            <v>Less: Financial intermediation services indirectly measured (FISIM) (only to be deducted if FISIM is not distributed to uses)</v>
          </cell>
          <cell r="F8124">
            <v>0</v>
          </cell>
          <cell r="G8124">
            <v>1986</v>
          </cell>
          <cell r="H8124">
            <v>200</v>
          </cell>
          <cell r="I8124">
            <v>24000000000</v>
          </cell>
        </row>
        <row r="8125">
          <cell r="A8125" t="str">
            <v>Norway</v>
          </cell>
          <cell r="B8125">
            <v>578</v>
          </cell>
          <cell r="C8125">
            <v>201</v>
          </cell>
          <cell r="D8125">
            <v>13</v>
          </cell>
          <cell r="E8125" t="str">
            <v>Less: Financial intermediation services indirectly measured (FISIM) (only to be deducted if FISIM is not distributed to uses)</v>
          </cell>
          <cell r="F8125">
            <v>0</v>
          </cell>
          <cell r="G8125">
            <v>1987</v>
          </cell>
          <cell r="H8125">
            <v>200</v>
          </cell>
          <cell r="I8125">
            <v>32349000000</v>
          </cell>
        </row>
        <row r="8126">
          <cell r="A8126" t="str">
            <v>Norway</v>
          </cell>
          <cell r="B8126">
            <v>578</v>
          </cell>
          <cell r="C8126">
            <v>201</v>
          </cell>
          <cell r="D8126">
            <v>13</v>
          </cell>
          <cell r="E8126" t="str">
            <v>Less: Financial intermediation services indirectly measured (FISIM) (only to be deducted if FISIM is not distributed to uses)</v>
          </cell>
          <cell r="F8126">
            <v>0</v>
          </cell>
          <cell r="G8126">
            <v>1988</v>
          </cell>
          <cell r="H8126">
            <v>200</v>
          </cell>
          <cell r="I8126">
            <v>31287000000</v>
          </cell>
        </row>
        <row r="8127">
          <cell r="A8127" t="str">
            <v>Norway</v>
          </cell>
          <cell r="B8127">
            <v>578</v>
          </cell>
          <cell r="C8127">
            <v>201</v>
          </cell>
          <cell r="D8127">
            <v>13</v>
          </cell>
          <cell r="E8127" t="str">
            <v>Less: Financial intermediation services indirectly measured (FISIM) (only to be deducted if FISIM is not distributed to uses)</v>
          </cell>
          <cell r="F8127">
            <v>0</v>
          </cell>
          <cell r="G8127">
            <v>1989</v>
          </cell>
          <cell r="H8127">
            <v>200</v>
          </cell>
          <cell r="I8127">
            <v>33020000000</v>
          </cell>
        </row>
        <row r="8128">
          <cell r="A8128" t="str">
            <v>Norway</v>
          </cell>
          <cell r="B8128">
            <v>578</v>
          </cell>
          <cell r="C8128">
            <v>201</v>
          </cell>
          <cell r="D8128">
            <v>13</v>
          </cell>
          <cell r="E8128" t="str">
            <v>Less: Financial intermediation services indirectly measured (FISIM) (only to be deducted if FISIM is not distributed to uses)</v>
          </cell>
          <cell r="F8128">
            <v>0</v>
          </cell>
          <cell r="G8128">
            <v>1990</v>
          </cell>
          <cell r="H8128">
            <v>200</v>
          </cell>
          <cell r="I8128">
            <v>33964000000</v>
          </cell>
        </row>
        <row r="8129">
          <cell r="A8129" t="str">
            <v>Norway</v>
          </cell>
          <cell r="B8129">
            <v>578</v>
          </cell>
          <cell r="C8129">
            <v>201</v>
          </cell>
          <cell r="D8129">
            <v>13</v>
          </cell>
          <cell r="E8129" t="str">
            <v>Less: Financial intermediation services indirectly measured (FISIM) (only to be deducted if FISIM is not distributed to uses)</v>
          </cell>
          <cell r="F8129">
            <v>0</v>
          </cell>
          <cell r="G8129">
            <v>1991</v>
          </cell>
          <cell r="H8129">
            <v>200</v>
          </cell>
          <cell r="I8129">
            <v>31587000000</v>
          </cell>
        </row>
        <row r="8130">
          <cell r="A8130" t="str">
            <v>Norway</v>
          </cell>
          <cell r="B8130">
            <v>578</v>
          </cell>
          <cell r="C8130">
            <v>201</v>
          </cell>
          <cell r="D8130">
            <v>13</v>
          </cell>
          <cell r="E8130" t="str">
            <v>Less: Financial intermediation services indirectly measured (FISIM) (only to be deducted if FISIM is not distributed to uses)</v>
          </cell>
          <cell r="F8130">
            <v>0</v>
          </cell>
          <cell r="G8130">
            <v>1992</v>
          </cell>
          <cell r="H8130">
            <v>200</v>
          </cell>
          <cell r="I8130">
            <v>32554000000</v>
          </cell>
        </row>
        <row r="8131">
          <cell r="A8131" t="str">
            <v>Norway</v>
          </cell>
          <cell r="B8131">
            <v>578</v>
          </cell>
          <cell r="C8131">
            <v>201</v>
          </cell>
          <cell r="D8131">
            <v>13</v>
          </cell>
          <cell r="E8131" t="str">
            <v>Less: Financial intermediation services indirectly measured (FISIM) (only to be deducted if FISIM is not distributed to uses)</v>
          </cell>
          <cell r="F8131">
            <v>0</v>
          </cell>
          <cell r="G8131">
            <v>1993</v>
          </cell>
          <cell r="H8131">
            <v>200</v>
          </cell>
          <cell r="I8131">
            <v>32649000000</v>
          </cell>
        </row>
        <row r="8132">
          <cell r="A8132" t="str">
            <v>Norway</v>
          </cell>
          <cell r="B8132">
            <v>578</v>
          </cell>
          <cell r="C8132">
            <v>201</v>
          </cell>
          <cell r="D8132">
            <v>13</v>
          </cell>
          <cell r="E8132" t="str">
            <v>Less: Financial intermediation services indirectly measured (FISIM) (only to be deducted if FISIM is not distributed to uses)</v>
          </cell>
          <cell r="F8132">
            <v>0</v>
          </cell>
          <cell r="G8132">
            <v>1994</v>
          </cell>
          <cell r="H8132">
            <v>200</v>
          </cell>
          <cell r="I8132">
            <v>31176000000</v>
          </cell>
        </row>
        <row r="8133">
          <cell r="A8133" t="str">
            <v>Norway</v>
          </cell>
          <cell r="B8133">
            <v>578</v>
          </cell>
          <cell r="C8133">
            <v>201</v>
          </cell>
          <cell r="D8133">
            <v>13</v>
          </cell>
          <cell r="E8133" t="str">
            <v>Less: Financial intermediation services indirectly measured (FISIM) (only to be deducted if FISIM is not distributed to uses)</v>
          </cell>
          <cell r="F8133">
            <v>0</v>
          </cell>
          <cell r="G8133">
            <v>1995</v>
          </cell>
          <cell r="H8133">
            <v>200</v>
          </cell>
          <cell r="I8133">
            <v>29432000000</v>
          </cell>
        </row>
        <row r="8134">
          <cell r="A8134" t="str">
            <v>Norway</v>
          </cell>
          <cell r="B8134">
            <v>578</v>
          </cell>
          <cell r="C8134">
            <v>201</v>
          </cell>
          <cell r="D8134">
            <v>13</v>
          </cell>
          <cell r="E8134" t="str">
            <v>Less: Financial intermediation services indirectly measured (FISIM) (only to be deducted if FISIM is not distributed to uses)</v>
          </cell>
          <cell r="F8134">
            <v>0</v>
          </cell>
          <cell r="G8134">
            <v>1996</v>
          </cell>
          <cell r="H8134">
            <v>200</v>
          </cell>
          <cell r="I8134">
            <v>30354000000</v>
          </cell>
        </row>
        <row r="8135">
          <cell r="A8135" t="str">
            <v>Norway</v>
          </cell>
          <cell r="B8135">
            <v>578</v>
          </cell>
          <cell r="C8135">
            <v>201</v>
          </cell>
          <cell r="D8135">
            <v>13</v>
          </cell>
          <cell r="E8135" t="str">
            <v>Less: Financial intermediation services indirectly measured (FISIM) (only to be deducted if FISIM is not distributed to uses)</v>
          </cell>
          <cell r="F8135">
            <v>0</v>
          </cell>
          <cell r="G8135">
            <v>1997</v>
          </cell>
          <cell r="H8135">
            <v>200</v>
          </cell>
          <cell r="I8135">
            <v>30689000000</v>
          </cell>
        </row>
        <row r="8136">
          <cell r="A8136" t="str">
            <v>Norway</v>
          </cell>
          <cell r="B8136">
            <v>578</v>
          </cell>
          <cell r="C8136">
            <v>201</v>
          </cell>
          <cell r="D8136">
            <v>13</v>
          </cell>
          <cell r="E8136" t="str">
            <v>Less: Financial intermediation services indirectly measured (FISIM) (only to be deducted if FISIM is not distributed to uses)</v>
          </cell>
          <cell r="F8136">
            <v>0</v>
          </cell>
          <cell r="G8136">
            <v>1998</v>
          </cell>
          <cell r="H8136">
            <v>200</v>
          </cell>
          <cell r="I8136">
            <v>31636000000</v>
          </cell>
        </row>
        <row r="8137">
          <cell r="A8137" t="str">
            <v>Norway</v>
          </cell>
          <cell r="B8137">
            <v>578</v>
          </cell>
          <cell r="C8137">
            <v>201</v>
          </cell>
          <cell r="D8137">
            <v>13</v>
          </cell>
          <cell r="E8137" t="str">
            <v>Less: Financial intermediation services indirectly measured (FISIM) (only to be deducted if FISIM is not distributed to uses)</v>
          </cell>
          <cell r="F8137">
            <v>0</v>
          </cell>
          <cell r="G8137">
            <v>1999</v>
          </cell>
          <cell r="H8137">
            <v>200</v>
          </cell>
          <cell r="I8137">
            <v>35524000000</v>
          </cell>
        </row>
        <row r="8138">
          <cell r="A8138" t="str">
            <v>Norway</v>
          </cell>
          <cell r="B8138">
            <v>578</v>
          </cell>
          <cell r="C8138">
            <v>201</v>
          </cell>
          <cell r="D8138">
            <v>13</v>
          </cell>
          <cell r="E8138" t="str">
            <v>Less: Financial intermediation services indirectly measured (FISIM) (only to be deducted if FISIM is not distributed to uses)</v>
          </cell>
          <cell r="F8138">
            <v>0</v>
          </cell>
          <cell r="G8138">
            <v>2000</v>
          </cell>
          <cell r="H8138">
            <v>200</v>
          </cell>
          <cell r="I8138">
            <v>36402000000</v>
          </cell>
        </row>
        <row r="8139">
          <cell r="A8139" t="str">
            <v>Norway</v>
          </cell>
          <cell r="B8139">
            <v>578</v>
          </cell>
          <cell r="C8139">
            <v>201</v>
          </cell>
          <cell r="D8139">
            <v>13</v>
          </cell>
          <cell r="E8139" t="str">
            <v>Less: Financial intermediation services indirectly measured (FISIM) (only to be deducted if FISIM is not distributed to uses)</v>
          </cell>
          <cell r="F8139">
            <v>0</v>
          </cell>
          <cell r="G8139">
            <v>2001</v>
          </cell>
          <cell r="H8139">
            <v>200</v>
          </cell>
          <cell r="I8139">
            <v>38102000000</v>
          </cell>
        </row>
        <row r="8140">
          <cell r="A8140" t="str">
            <v>Norway</v>
          </cell>
          <cell r="B8140">
            <v>578</v>
          </cell>
          <cell r="C8140">
            <v>201</v>
          </cell>
          <cell r="D8140">
            <v>13</v>
          </cell>
          <cell r="E8140" t="str">
            <v>Less: Financial intermediation services indirectly measured (FISIM) (only to be deducted if FISIM is not distributed to uses)</v>
          </cell>
          <cell r="F8140">
            <v>0</v>
          </cell>
          <cell r="G8140">
            <v>2002</v>
          </cell>
          <cell r="H8140">
            <v>200</v>
          </cell>
          <cell r="I8140">
            <v>39028000000</v>
          </cell>
        </row>
        <row r="8141">
          <cell r="A8141" t="str">
            <v>Norway</v>
          </cell>
          <cell r="B8141">
            <v>578</v>
          </cell>
          <cell r="C8141">
            <v>201</v>
          </cell>
          <cell r="D8141">
            <v>13</v>
          </cell>
          <cell r="E8141" t="str">
            <v>Less: Financial intermediation services indirectly measured (FISIM) (only to be deducted if FISIM is not distributed to uses)</v>
          </cell>
          <cell r="F8141">
            <v>0</v>
          </cell>
          <cell r="G8141">
            <v>2003</v>
          </cell>
          <cell r="H8141">
            <v>200</v>
          </cell>
          <cell r="I8141">
            <v>41134000000</v>
          </cell>
        </row>
        <row r="8142">
          <cell r="A8142" t="str">
            <v>New Zealand</v>
          </cell>
          <cell r="B8142">
            <v>554</v>
          </cell>
          <cell r="C8142">
            <v>203</v>
          </cell>
          <cell r="D8142">
            <v>3</v>
          </cell>
          <cell r="E8142" t="str">
            <v>Equals: VALUE ADDED, GROSS, at basic prices</v>
          </cell>
          <cell r="F8142">
            <v>12</v>
          </cell>
          <cell r="G8142">
            <v>1971</v>
          </cell>
          <cell r="H8142">
            <v>20</v>
          </cell>
          <cell r="I8142">
            <v>6901000000</v>
          </cell>
        </row>
        <row r="8143">
          <cell r="A8143" t="str">
            <v>New Zealand</v>
          </cell>
          <cell r="B8143">
            <v>554</v>
          </cell>
          <cell r="C8143">
            <v>203</v>
          </cell>
          <cell r="D8143">
            <v>3</v>
          </cell>
          <cell r="E8143" t="str">
            <v>Equals: VALUE ADDED, GROSS, at basic prices</v>
          </cell>
          <cell r="F8143">
            <v>12</v>
          </cell>
          <cell r="G8143">
            <v>1972</v>
          </cell>
          <cell r="H8143">
            <v>20</v>
          </cell>
          <cell r="I8143">
            <v>7926000000</v>
          </cell>
        </row>
        <row r="8144">
          <cell r="A8144" t="str">
            <v>New Zealand</v>
          </cell>
          <cell r="B8144">
            <v>554</v>
          </cell>
          <cell r="C8144">
            <v>203</v>
          </cell>
          <cell r="D8144">
            <v>3</v>
          </cell>
          <cell r="E8144" t="str">
            <v>Equals: VALUE ADDED, GROSS, at basic prices</v>
          </cell>
          <cell r="F8144">
            <v>12</v>
          </cell>
          <cell r="G8144">
            <v>1973</v>
          </cell>
          <cell r="H8144">
            <v>20</v>
          </cell>
          <cell r="I8144">
            <v>9210000000</v>
          </cell>
        </row>
        <row r="8145">
          <cell r="A8145" t="str">
            <v>New Zealand</v>
          </cell>
          <cell r="B8145">
            <v>554</v>
          </cell>
          <cell r="C8145">
            <v>203</v>
          </cell>
          <cell r="D8145">
            <v>3</v>
          </cell>
          <cell r="E8145" t="str">
            <v>Equals: VALUE ADDED, GROSS, at basic prices</v>
          </cell>
          <cell r="F8145">
            <v>12</v>
          </cell>
          <cell r="G8145">
            <v>1974</v>
          </cell>
          <cell r="H8145">
            <v>20</v>
          </cell>
          <cell r="I8145">
            <v>10135000000</v>
          </cell>
        </row>
        <row r="8146">
          <cell r="A8146" t="str">
            <v>New Zealand</v>
          </cell>
          <cell r="B8146">
            <v>554</v>
          </cell>
          <cell r="C8146">
            <v>203</v>
          </cell>
          <cell r="D8146">
            <v>3</v>
          </cell>
          <cell r="E8146" t="str">
            <v>Equals: VALUE ADDED, GROSS, at basic prices</v>
          </cell>
          <cell r="F8146">
            <v>12</v>
          </cell>
          <cell r="G8146">
            <v>1975</v>
          </cell>
          <cell r="H8146">
            <v>20</v>
          </cell>
          <cell r="I8146">
            <v>11766000000</v>
          </cell>
        </row>
        <row r="8147">
          <cell r="A8147" t="str">
            <v>New Zealand</v>
          </cell>
          <cell r="B8147">
            <v>554</v>
          </cell>
          <cell r="C8147">
            <v>203</v>
          </cell>
          <cell r="D8147">
            <v>3</v>
          </cell>
          <cell r="E8147" t="str">
            <v>Equals: VALUE ADDED, GROSS, at basic prices</v>
          </cell>
          <cell r="F8147">
            <v>12</v>
          </cell>
          <cell r="G8147">
            <v>1976</v>
          </cell>
          <cell r="H8147">
            <v>20</v>
          </cell>
          <cell r="I8147">
            <v>14199000000</v>
          </cell>
        </row>
        <row r="8148">
          <cell r="A8148" t="str">
            <v>New Zealand</v>
          </cell>
          <cell r="B8148">
            <v>554</v>
          </cell>
          <cell r="C8148">
            <v>203</v>
          </cell>
          <cell r="D8148">
            <v>3</v>
          </cell>
          <cell r="E8148" t="str">
            <v>Equals: VALUE ADDED, GROSS, at basic prices</v>
          </cell>
          <cell r="F8148">
            <v>12</v>
          </cell>
          <cell r="G8148">
            <v>1977</v>
          </cell>
          <cell r="H8148">
            <v>20</v>
          </cell>
          <cell r="I8148">
            <v>15566000000</v>
          </cell>
        </row>
        <row r="8149">
          <cell r="A8149" t="str">
            <v>New Zealand</v>
          </cell>
          <cell r="B8149">
            <v>554</v>
          </cell>
          <cell r="C8149">
            <v>203</v>
          </cell>
          <cell r="D8149">
            <v>3</v>
          </cell>
          <cell r="E8149" t="str">
            <v>Equals: VALUE ADDED, GROSS, at basic prices</v>
          </cell>
          <cell r="F8149">
            <v>12</v>
          </cell>
          <cell r="G8149">
            <v>1977</v>
          </cell>
          <cell r="H8149">
            <v>30</v>
          </cell>
          <cell r="I8149">
            <v>15103000000</v>
          </cell>
        </row>
        <row r="8150">
          <cell r="A8150" t="str">
            <v>New Zealand</v>
          </cell>
          <cell r="B8150">
            <v>554</v>
          </cell>
          <cell r="C8150">
            <v>203</v>
          </cell>
          <cell r="D8150">
            <v>3</v>
          </cell>
          <cell r="E8150" t="str">
            <v>Equals: VALUE ADDED, GROSS, at basic prices</v>
          </cell>
          <cell r="F8150">
            <v>12</v>
          </cell>
          <cell r="G8150">
            <v>1978</v>
          </cell>
          <cell r="H8150">
            <v>30</v>
          </cell>
          <cell r="I8150">
            <v>17155000000</v>
          </cell>
        </row>
        <row r="8151">
          <cell r="A8151" t="str">
            <v>New Zealand</v>
          </cell>
          <cell r="B8151">
            <v>554</v>
          </cell>
          <cell r="C8151">
            <v>203</v>
          </cell>
          <cell r="D8151">
            <v>3</v>
          </cell>
          <cell r="E8151" t="str">
            <v>Equals: VALUE ADDED, GROSS, at basic prices</v>
          </cell>
          <cell r="F8151">
            <v>12</v>
          </cell>
          <cell r="G8151">
            <v>1979</v>
          </cell>
          <cell r="H8151">
            <v>30</v>
          </cell>
          <cell r="I8151">
            <v>20027000000</v>
          </cell>
        </row>
        <row r="8152">
          <cell r="A8152" t="str">
            <v>New Zealand</v>
          </cell>
          <cell r="B8152">
            <v>554</v>
          </cell>
          <cell r="C8152">
            <v>203</v>
          </cell>
          <cell r="D8152">
            <v>3</v>
          </cell>
          <cell r="E8152" t="str">
            <v>Equals: VALUE ADDED, GROSS, at basic prices</v>
          </cell>
          <cell r="F8152">
            <v>12</v>
          </cell>
          <cell r="G8152">
            <v>1980</v>
          </cell>
          <cell r="H8152">
            <v>30</v>
          </cell>
          <cell r="I8152">
            <v>23402000000</v>
          </cell>
        </row>
        <row r="8153">
          <cell r="A8153" t="str">
            <v>New Zealand</v>
          </cell>
          <cell r="B8153">
            <v>554</v>
          </cell>
          <cell r="C8153">
            <v>203</v>
          </cell>
          <cell r="D8153">
            <v>3</v>
          </cell>
          <cell r="E8153" t="str">
            <v>Equals: VALUE ADDED, GROSS, at basic prices</v>
          </cell>
          <cell r="F8153">
            <v>12</v>
          </cell>
          <cell r="G8153">
            <v>1981</v>
          </cell>
          <cell r="H8153">
            <v>30</v>
          </cell>
          <cell r="I8153">
            <v>28456000000</v>
          </cell>
        </row>
        <row r="8154">
          <cell r="A8154" t="str">
            <v>New Zealand</v>
          </cell>
          <cell r="B8154">
            <v>554</v>
          </cell>
          <cell r="C8154">
            <v>203</v>
          </cell>
          <cell r="D8154">
            <v>3</v>
          </cell>
          <cell r="E8154" t="str">
            <v>Equals: VALUE ADDED, GROSS, at basic prices</v>
          </cell>
          <cell r="F8154">
            <v>12</v>
          </cell>
          <cell r="G8154">
            <v>1982</v>
          </cell>
          <cell r="H8154">
            <v>30</v>
          </cell>
          <cell r="I8154">
            <v>31971000000</v>
          </cell>
        </row>
        <row r="8155">
          <cell r="A8155" t="str">
            <v>New Zealand</v>
          </cell>
          <cell r="B8155">
            <v>554</v>
          </cell>
          <cell r="C8155">
            <v>203</v>
          </cell>
          <cell r="D8155">
            <v>3</v>
          </cell>
          <cell r="E8155" t="str">
            <v>Equals: VALUE ADDED, GROSS, at basic prices</v>
          </cell>
          <cell r="F8155">
            <v>12</v>
          </cell>
          <cell r="G8155">
            <v>1983</v>
          </cell>
          <cell r="H8155">
            <v>30</v>
          </cell>
          <cell r="I8155">
            <v>35468000000</v>
          </cell>
        </row>
        <row r="8156">
          <cell r="A8156" t="str">
            <v>New Zealand</v>
          </cell>
          <cell r="B8156">
            <v>554</v>
          </cell>
          <cell r="C8156">
            <v>203</v>
          </cell>
          <cell r="D8156">
            <v>3</v>
          </cell>
          <cell r="E8156" t="str">
            <v>Equals: VALUE ADDED, GROSS, at basic prices</v>
          </cell>
          <cell r="F8156">
            <v>12</v>
          </cell>
          <cell r="G8156">
            <v>1984</v>
          </cell>
          <cell r="H8156">
            <v>30</v>
          </cell>
          <cell r="I8156">
            <v>39948000000</v>
          </cell>
        </row>
        <row r="8157">
          <cell r="A8157" t="str">
            <v>New Zealand</v>
          </cell>
          <cell r="B8157">
            <v>554</v>
          </cell>
          <cell r="C8157">
            <v>203</v>
          </cell>
          <cell r="D8157">
            <v>3</v>
          </cell>
          <cell r="E8157" t="str">
            <v>Equals: VALUE ADDED, GROSS, at basic prices</v>
          </cell>
          <cell r="F8157">
            <v>12</v>
          </cell>
          <cell r="G8157">
            <v>1985</v>
          </cell>
          <cell r="H8157">
            <v>30</v>
          </cell>
          <cell r="I8157">
            <v>46198000000</v>
          </cell>
        </row>
        <row r="8158">
          <cell r="A8158" t="str">
            <v>New Zealand</v>
          </cell>
          <cell r="B8158">
            <v>554</v>
          </cell>
          <cell r="C8158">
            <v>203</v>
          </cell>
          <cell r="D8158">
            <v>3</v>
          </cell>
          <cell r="E8158" t="str">
            <v>Equals: VALUE ADDED, GROSS, at basic prices</v>
          </cell>
          <cell r="F8158">
            <v>12</v>
          </cell>
          <cell r="G8158">
            <v>1986</v>
          </cell>
          <cell r="H8158">
            <v>30</v>
          </cell>
          <cell r="I8158">
            <v>54646000000</v>
          </cell>
        </row>
        <row r="8159">
          <cell r="A8159" t="str">
            <v>New Zealand</v>
          </cell>
          <cell r="B8159">
            <v>554</v>
          </cell>
          <cell r="C8159">
            <v>203</v>
          </cell>
          <cell r="D8159">
            <v>3</v>
          </cell>
          <cell r="E8159" t="str">
            <v>Equals: VALUE ADDED, GROSS, at basic prices</v>
          </cell>
          <cell r="F8159">
            <v>12</v>
          </cell>
          <cell r="G8159">
            <v>1986</v>
          </cell>
          <cell r="H8159">
            <v>100</v>
          </cell>
          <cell r="I8159">
            <v>55772000000</v>
          </cell>
        </row>
        <row r="8160">
          <cell r="A8160" t="str">
            <v>New Zealand</v>
          </cell>
          <cell r="B8160">
            <v>554</v>
          </cell>
          <cell r="C8160">
            <v>203</v>
          </cell>
          <cell r="D8160">
            <v>3</v>
          </cell>
          <cell r="E8160" t="str">
            <v>Equals: VALUE ADDED, GROSS, at basic prices</v>
          </cell>
          <cell r="F8160">
            <v>12</v>
          </cell>
          <cell r="G8160">
            <v>1987</v>
          </cell>
          <cell r="H8160">
            <v>100</v>
          </cell>
          <cell r="I8160">
            <v>61105000000</v>
          </cell>
        </row>
        <row r="8161">
          <cell r="A8161" t="str">
            <v>New Zealand</v>
          </cell>
          <cell r="B8161">
            <v>554</v>
          </cell>
          <cell r="C8161">
            <v>203</v>
          </cell>
          <cell r="D8161">
            <v>3</v>
          </cell>
          <cell r="E8161" t="str">
            <v>Equals: VALUE ADDED, GROSS, at basic prices</v>
          </cell>
          <cell r="F8161">
            <v>12</v>
          </cell>
          <cell r="G8161">
            <v>1988</v>
          </cell>
          <cell r="H8161">
            <v>100</v>
          </cell>
          <cell r="I8161">
            <v>66175000000</v>
          </cell>
        </row>
        <row r="8162">
          <cell r="A8162" t="str">
            <v>New Zealand</v>
          </cell>
          <cell r="B8162">
            <v>554</v>
          </cell>
          <cell r="C8162">
            <v>203</v>
          </cell>
          <cell r="D8162">
            <v>3</v>
          </cell>
          <cell r="E8162" t="str">
            <v>Equals: VALUE ADDED, GROSS, at basic prices</v>
          </cell>
          <cell r="F8162">
            <v>12</v>
          </cell>
          <cell r="G8162">
            <v>1989</v>
          </cell>
          <cell r="H8162">
            <v>100</v>
          </cell>
          <cell r="I8162">
            <v>69216000000</v>
          </cell>
        </row>
        <row r="8163">
          <cell r="A8163" t="str">
            <v>New Zealand</v>
          </cell>
          <cell r="B8163">
            <v>554</v>
          </cell>
          <cell r="C8163">
            <v>203</v>
          </cell>
          <cell r="D8163">
            <v>3</v>
          </cell>
          <cell r="E8163" t="str">
            <v>Equals: VALUE ADDED, GROSS, at basic prices</v>
          </cell>
          <cell r="F8163">
            <v>12</v>
          </cell>
          <cell r="G8163">
            <v>1990</v>
          </cell>
          <cell r="H8163">
            <v>100</v>
          </cell>
          <cell r="I8163">
            <v>70586000000</v>
          </cell>
        </row>
        <row r="8164">
          <cell r="A8164" t="str">
            <v>New Zealand</v>
          </cell>
          <cell r="B8164">
            <v>554</v>
          </cell>
          <cell r="C8164">
            <v>203</v>
          </cell>
          <cell r="D8164">
            <v>3</v>
          </cell>
          <cell r="E8164" t="str">
            <v>Equals: VALUE ADDED, GROSS, at basic prices</v>
          </cell>
          <cell r="F8164">
            <v>12</v>
          </cell>
          <cell r="G8164">
            <v>1991</v>
          </cell>
          <cell r="H8164">
            <v>100</v>
          </cell>
          <cell r="I8164">
            <v>70377000000</v>
          </cell>
        </row>
        <row r="8165">
          <cell r="A8165" t="str">
            <v>New Zealand</v>
          </cell>
          <cell r="B8165">
            <v>554</v>
          </cell>
          <cell r="C8165">
            <v>203</v>
          </cell>
          <cell r="D8165">
            <v>3</v>
          </cell>
          <cell r="E8165" t="str">
            <v>Equals: VALUE ADDED, GROSS, at basic prices</v>
          </cell>
          <cell r="F8165">
            <v>12</v>
          </cell>
          <cell r="G8165">
            <v>1992</v>
          </cell>
          <cell r="H8165">
            <v>100</v>
          </cell>
          <cell r="I8165">
            <v>72196000000</v>
          </cell>
        </row>
        <row r="8166">
          <cell r="A8166" t="str">
            <v>New Zealand</v>
          </cell>
          <cell r="B8166">
            <v>554</v>
          </cell>
          <cell r="C8166">
            <v>203</v>
          </cell>
          <cell r="D8166">
            <v>3</v>
          </cell>
          <cell r="E8166" t="str">
            <v>Equals: VALUE ADDED, GROSS, at basic prices</v>
          </cell>
          <cell r="F8166">
            <v>12</v>
          </cell>
          <cell r="G8166">
            <v>1993</v>
          </cell>
          <cell r="H8166">
            <v>100</v>
          </cell>
          <cell r="I8166">
            <v>78058000000</v>
          </cell>
        </row>
        <row r="8167">
          <cell r="A8167" t="str">
            <v>New Zealand</v>
          </cell>
          <cell r="B8167">
            <v>554</v>
          </cell>
          <cell r="C8167">
            <v>203</v>
          </cell>
          <cell r="D8167">
            <v>3</v>
          </cell>
          <cell r="E8167" t="str">
            <v>Equals: VALUE ADDED, GROSS, at basic prices</v>
          </cell>
          <cell r="F8167">
            <v>12</v>
          </cell>
          <cell r="G8167">
            <v>1994</v>
          </cell>
          <cell r="H8167">
            <v>100</v>
          </cell>
          <cell r="I8167">
            <v>83590000000</v>
          </cell>
        </row>
        <row r="8168">
          <cell r="A8168" t="str">
            <v>New Zealand</v>
          </cell>
          <cell r="B8168">
            <v>554</v>
          </cell>
          <cell r="C8168">
            <v>203</v>
          </cell>
          <cell r="D8168">
            <v>3</v>
          </cell>
          <cell r="E8168" t="str">
            <v>Equals: VALUE ADDED, GROSS, at basic prices</v>
          </cell>
          <cell r="F8168">
            <v>12</v>
          </cell>
          <cell r="G8168">
            <v>1995</v>
          </cell>
          <cell r="H8168">
            <v>100</v>
          </cell>
          <cell r="I8168">
            <v>88763000000</v>
          </cell>
        </row>
        <row r="8169">
          <cell r="A8169" t="str">
            <v>New Zealand</v>
          </cell>
          <cell r="B8169">
            <v>554</v>
          </cell>
          <cell r="C8169">
            <v>203</v>
          </cell>
          <cell r="D8169">
            <v>3</v>
          </cell>
          <cell r="E8169" t="str">
            <v>Equals: VALUE ADDED, GROSS, at basic prices</v>
          </cell>
          <cell r="F8169">
            <v>12</v>
          </cell>
          <cell r="G8169">
            <v>1996</v>
          </cell>
          <cell r="H8169">
            <v>100</v>
          </cell>
          <cell r="I8169">
            <v>92906000000</v>
          </cell>
        </row>
        <row r="8170">
          <cell r="A8170" t="str">
            <v>New Zealand</v>
          </cell>
          <cell r="B8170">
            <v>554</v>
          </cell>
          <cell r="C8170">
            <v>203</v>
          </cell>
          <cell r="D8170">
            <v>3</v>
          </cell>
          <cell r="E8170" t="str">
            <v>Equals: VALUE ADDED, GROSS, at basic prices</v>
          </cell>
          <cell r="F8170">
            <v>12</v>
          </cell>
          <cell r="G8170">
            <v>1997</v>
          </cell>
          <cell r="H8170">
            <v>100</v>
          </cell>
          <cell r="I8170">
            <v>96285000000</v>
          </cell>
        </row>
        <row r="8171">
          <cell r="A8171" t="str">
            <v>New Zealand</v>
          </cell>
          <cell r="B8171">
            <v>554</v>
          </cell>
          <cell r="C8171">
            <v>203</v>
          </cell>
          <cell r="D8171">
            <v>3</v>
          </cell>
          <cell r="E8171" t="str">
            <v>Equals: VALUE ADDED, GROSS, at basic prices</v>
          </cell>
          <cell r="F8171">
            <v>12</v>
          </cell>
          <cell r="G8171">
            <v>1998</v>
          </cell>
          <cell r="H8171">
            <v>100</v>
          </cell>
          <cell r="I8171">
            <v>98429000000</v>
          </cell>
        </row>
        <row r="8172">
          <cell r="A8172" t="str">
            <v>New Zealand</v>
          </cell>
          <cell r="B8172">
            <v>554</v>
          </cell>
          <cell r="C8172">
            <v>203</v>
          </cell>
          <cell r="D8172">
            <v>3</v>
          </cell>
          <cell r="E8172" t="str">
            <v>Equals: VALUE ADDED, GROSS, at basic prices</v>
          </cell>
          <cell r="F8172">
            <v>12</v>
          </cell>
          <cell r="G8172">
            <v>1999</v>
          </cell>
          <cell r="H8172">
            <v>100</v>
          </cell>
          <cell r="I8172">
            <v>104217000000</v>
          </cell>
        </row>
        <row r="8173">
          <cell r="A8173" t="str">
            <v>New Zealand</v>
          </cell>
          <cell r="B8173">
            <v>554</v>
          </cell>
          <cell r="C8173">
            <v>203</v>
          </cell>
          <cell r="D8173">
            <v>3</v>
          </cell>
          <cell r="E8173" t="str">
            <v>Equals: VALUE ADDED, GROSS, at basic prices</v>
          </cell>
          <cell r="F8173">
            <v>12</v>
          </cell>
          <cell r="G8173">
            <v>2000</v>
          </cell>
          <cell r="H8173">
            <v>100</v>
          </cell>
          <cell r="I8173">
            <v>110219000000</v>
          </cell>
        </row>
        <row r="8174">
          <cell r="A8174" t="str">
            <v>New Zealand</v>
          </cell>
          <cell r="B8174">
            <v>554</v>
          </cell>
          <cell r="C8174">
            <v>203</v>
          </cell>
          <cell r="D8174">
            <v>4</v>
          </cell>
          <cell r="E8174" t="str">
            <v>Compensation of employees</v>
          </cell>
          <cell r="F8174">
            <v>12</v>
          </cell>
          <cell r="G8174">
            <v>1971</v>
          </cell>
          <cell r="H8174">
            <v>20</v>
          </cell>
          <cell r="I8174">
            <v>3406000000</v>
          </cell>
        </row>
        <row r="8175">
          <cell r="A8175" t="str">
            <v>New Zealand</v>
          </cell>
          <cell r="B8175">
            <v>554</v>
          </cell>
          <cell r="C8175">
            <v>203</v>
          </cell>
          <cell r="D8175">
            <v>4</v>
          </cell>
          <cell r="E8175" t="str">
            <v>Compensation of employees</v>
          </cell>
          <cell r="F8175">
            <v>12</v>
          </cell>
          <cell r="G8175">
            <v>1972</v>
          </cell>
          <cell r="H8175">
            <v>20</v>
          </cell>
          <cell r="I8175">
            <v>3831000000</v>
          </cell>
        </row>
        <row r="8176">
          <cell r="A8176" t="str">
            <v>New Zealand</v>
          </cell>
          <cell r="B8176">
            <v>554</v>
          </cell>
          <cell r="C8176">
            <v>203</v>
          </cell>
          <cell r="D8176">
            <v>4</v>
          </cell>
          <cell r="E8176" t="str">
            <v>Compensation of employees</v>
          </cell>
          <cell r="F8176">
            <v>12</v>
          </cell>
          <cell r="G8176">
            <v>1973</v>
          </cell>
          <cell r="H8176">
            <v>20</v>
          </cell>
          <cell r="I8176">
            <v>4516000000</v>
          </cell>
        </row>
        <row r="8177">
          <cell r="A8177" t="str">
            <v>New Zealand</v>
          </cell>
          <cell r="B8177">
            <v>554</v>
          </cell>
          <cell r="C8177">
            <v>203</v>
          </cell>
          <cell r="D8177">
            <v>4</v>
          </cell>
          <cell r="E8177" t="str">
            <v>Compensation of employees</v>
          </cell>
          <cell r="F8177">
            <v>12</v>
          </cell>
          <cell r="G8177">
            <v>1974</v>
          </cell>
          <cell r="H8177">
            <v>20</v>
          </cell>
          <cell r="I8177">
            <v>5439000000</v>
          </cell>
        </row>
        <row r="8178">
          <cell r="A8178" t="str">
            <v>New Zealand</v>
          </cell>
          <cell r="B8178">
            <v>554</v>
          </cell>
          <cell r="C8178">
            <v>203</v>
          </cell>
          <cell r="D8178">
            <v>4</v>
          </cell>
          <cell r="E8178" t="str">
            <v>Compensation of employees</v>
          </cell>
          <cell r="F8178">
            <v>12</v>
          </cell>
          <cell r="G8178">
            <v>1975</v>
          </cell>
          <cell r="H8178">
            <v>20</v>
          </cell>
          <cell r="I8178">
            <v>6269000000</v>
          </cell>
        </row>
        <row r="8179">
          <cell r="A8179" t="str">
            <v>New Zealand</v>
          </cell>
          <cell r="B8179">
            <v>554</v>
          </cell>
          <cell r="C8179">
            <v>203</v>
          </cell>
          <cell r="D8179">
            <v>4</v>
          </cell>
          <cell r="E8179" t="str">
            <v>Compensation of employees</v>
          </cell>
          <cell r="F8179">
            <v>12</v>
          </cell>
          <cell r="G8179">
            <v>1976</v>
          </cell>
          <cell r="H8179">
            <v>20</v>
          </cell>
          <cell r="I8179">
            <v>7059000000</v>
          </cell>
        </row>
        <row r="8180">
          <cell r="A8180" t="str">
            <v>New Zealand</v>
          </cell>
          <cell r="B8180">
            <v>554</v>
          </cell>
          <cell r="C8180">
            <v>203</v>
          </cell>
          <cell r="D8180">
            <v>4</v>
          </cell>
          <cell r="E8180" t="str">
            <v>Compensation of employees</v>
          </cell>
          <cell r="F8180">
            <v>12</v>
          </cell>
          <cell r="G8180">
            <v>1977</v>
          </cell>
          <cell r="H8180">
            <v>30</v>
          </cell>
          <cell r="I8180">
            <v>8101000000</v>
          </cell>
        </row>
        <row r="8181">
          <cell r="A8181" t="str">
            <v>New Zealand</v>
          </cell>
          <cell r="B8181">
            <v>554</v>
          </cell>
          <cell r="C8181">
            <v>203</v>
          </cell>
          <cell r="D8181">
            <v>4</v>
          </cell>
          <cell r="E8181" t="str">
            <v>Compensation of employees</v>
          </cell>
          <cell r="F8181">
            <v>12</v>
          </cell>
          <cell r="G8181">
            <v>1978</v>
          </cell>
          <cell r="H8181">
            <v>30</v>
          </cell>
          <cell r="I8181">
            <v>9414000000</v>
          </cell>
        </row>
        <row r="8182">
          <cell r="A8182" t="str">
            <v>New Zealand</v>
          </cell>
          <cell r="B8182">
            <v>554</v>
          </cell>
          <cell r="C8182">
            <v>203</v>
          </cell>
          <cell r="D8182">
            <v>4</v>
          </cell>
          <cell r="E8182" t="str">
            <v>Compensation of employees</v>
          </cell>
          <cell r="F8182">
            <v>12</v>
          </cell>
          <cell r="G8182">
            <v>1979</v>
          </cell>
          <cell r="H8182">
            <v>30</v>
          </cell>
          <cell r="I8182">
            <v>10976000000</v>
          </cell>
        </row>
        <row r="8183">
          <cell r="A8183" t="str">
            <v>New Zealand</v>
          </cell>
          <cell r="B8183">
            <v>554</v>
          </cell>
          <cell r="C8183">
            <v>203</v>
          </cell>
          <cell r="D8183">
            <v>4</v>
          </cell>
          <cell r="E8183" t="str">
            <v>Compensation of employees</v>
          </cell>
          <cell r="F8183">
            <v>12</v>
          </cell>
          <cell r="G8183">
            <v>1980</v>
          </cell>
          <cell r="H8183">
            <v>30</v>
          </cell>
          <cell r="I8183">
            <v>13070000000</v>
          </cell>
        </row>
        <row r="8184">
          <cell r="A8184" t="str">
            <v>New Zealand</v>
          </cell>
          <cell r="B8184">
            <v>554</v>
          </cell>
          <cell r="C8184">
            <v>203</v>
          </cell>
          <cell r="D8184">
            <v>4</v>
          </cell>
          <cell r="E8184" t="str">
            <v>Compensation of employees</v>
          </cell>
          <cell r="F8184">
            <v>12</v>
          </cell>
          <cell r="G8184">
            <v>1981</v>
          </cell>
          <cell r="H8184">
            <v>30</v>
          </cell>
          <cell r="I8184">
            <v>15756000000</v>
          </cell>
        </row>
        <row r="8185">
          <cell r="A8185" t="str">
            <v>New Zealand</v>
          </cell>
          <cell r="B8185">
            <v>554</v>
          </cell>
          <cell r="C8185">
            <v>203</v>
          </cell>
          <cell r="D8185">
            <v>4</v>
          </cell>
          <cell r="E8185" t="str">
            <v>Compensation of employees</v>
          </cell>
          <cell r="F8185">
            <v>12</v>
          </cell>
          <cell r="G8185">
            <v>1982</v>
          </cell>
          <cell r="H8185">
            <v>30</v>
          </cell>
          <cell r="I8185">
            <v>17247000000</v>
          </cell>
        </row>
        <row r="8186">
          <cell r="A8186" t="str">
            <v>New Zealand</v>
          </cell>
          <cell r="B8186">
            <v>554</v>
          </cell>
          <cell r="C8186">
            <v>203</v>
          </cell>
          <cell r="D8186">
            <v>4</v>
          </cell>
          <cell r="E8186" t="str">
            <v>Compensation of employees</v>
          </cell>
          <cell r="F8186">
            <v>12</v>
          </cell>
          <cell r="G8186">
            <v>1983</v>
          </cell>
          <cell r="H8186">
            <v>30</v>
          </cell>
          <cell r="I8186">
            <v>17590000000</v>
          </cell>
        </row>
        <row r="8187">
          <cell r="A8187" t="str">
            <v>New Zealand</v>
          </cell>
          <cell r="B8187">
            <v>554</v>
          </cell>
          <cell r="C8187">
            <v>203</v>
          </cell>
          <cell r="D8187">
            <v>4</v>
          </cell>
          <cell r="E8187" t="str">
            <v>Compensation of employees</v>
          </cell>
          <cell r="F8187">
            <v>12</v>
          </cell>
          <cell r="G8187">
            <v>1984</v>
          </cell>
          <cell r="H8187">
            <v>30</v>
          </cell>
          <cell r="I8187">
            <v>19250000000</v>
          </cell>
        </row>
        <row r="8188">
          <cell r="A8188" t="str">
            <v>New Zealand</v>
          </cell>
          <cell r="B8188">
            <v>554</v>
          </cell>
          <cell r="C8188">
            <v>203</v>
          </cell>
          <cell r="D8188">
            <v>4</v>
          </cell>
          <cell r="E8188" t="str">
            <v>Compensation of employees</v>
          </cell>
          <cell r="F8188">
            <v>12</v>
          </cell>
          <cell r="G8188">
            <v>1985</v>
          </cell>
          <cell r="H8188">
            <v>30</v>
          </cell>
          <cell r="I8188">
            <v>22674000000</v>
          </cell>
        </row>
        <row r="8189">
          <cell r="A8189" t="str">
            <v>New Zealand</v>
          </cell>
          <cell r="B8189">
            <v>554</v>
          </cell>
          <cell r="C8189">
            <v>203</v>
          </cell>
          <cell r="D8189">
            <v>4</v>
          </cell>
          <cell r="E8189" t="str">
            <v>Compensation of employees</v>
          </cell>
          <cell r="F8189">
            <v>12</v>
          </cell>
          <cell r="G8189">
            <v>1986</v>
          </cell>
          <cell r="H8189">
            <v>30</v>
          </cell>
          <cell r="I8189">
            <v>27095000000</v>
          </cell>
        </row>
        <row r="8190">
          <cell r="A8190" t="str">
            <v>New Zealand</v>
          </cell>
          <cell r="B8190">
            <v>554</v>
          </cell>
          <cell r="C8190">
            <v>203</v>
          </cell>
          <cell r="D8190">
            <v>4</v>
          </cell>
          <cell r="E8190" t="str">
            <v>Compensation of employees</v>
          </cell>
          <cell r="F8190">
            <v>12</v>
          </cell>
          <cell r="G8190">
            <v>1986</v>
          </cell>
          <cell r="H8190">
            <v>100</v>
          </cell>
          <cell r="I8190">
            <v>27094938800</v>
          </cell>
        </row>
        <row r="8191">
          <cell r="A8191" t="str">
            <v>New Zealand</v>
          </cell>
          <cell r="B8191">
            <v>554</v>
          </cell>
          <cell r="C8191">
            <v>203</v>
          </cell>
          <cell r="D8191">
            <v>4</v>
          </cell>
          <cell r="E8191" t="str">
            <v>Compensation of employees</v>
          </cell>
          <cell r="F8191">
            <v>12</v>
          </cell>
          <cell r="G8191">
            <v>1987</v>
          </cell>
          <cell r="H8191">
            <v>100</v>
          </cell>
          <cell r="I8191">
            <v>30239870550</v>
          </cell>
        </row>
        <row r="8192">
          <cell r="A8192" t="str">
            <v>New Zealand</v>
          </cell>
          <cell r="B8192">
            <v>554</v>
          </cell>
          <cell r="C8192">
            <v>203</v>
          </cell>
          <cell r="D8192">
            <v>4</v>
          </cell>
          <cell r="E8192" t="str">
            <v>Compensation of employees</v>
          </cell>
          <cell r="F8192">
            <v>12</v>
          </cell>
          <cell r="G8192">
            <v>1988</v>
          </cell>
          <cell r="H8192">
            <v>100</v>
          </cell>
          <cell r="I8192">
            <v>31595719490</v>
          </cell>
        </row>
        <row r="8193">
          <cell r="A8193" t="str">
            <v>New Zealand</v>
          </cell>
          <cell r="B8193">
            <v>554</v>
          </cell>
          <cell r="C8193">
            <v>203</v>
          </cell>
          <cell r="D8193">
            <v>4</v>
          </cell>
          <cell r="E8193" t="str">
            <v>Compensation of employees</v>
          </cell>
          <cell r="F8193">
            <v>12</v>
          </cell>
          <cell r="G8193">
            <v>1989</v>
          </cell>
          <cell r="H8193">
            <v>100</v>
          </cell>
          <cell r="I8193">
            <v>32532768020</v>
          </cell>
        </row>
        <row r="8194">
          <cell r="A8194" t="str">
            <v>New Zealand</v>
          </cell>
          <cell r="B8194">
            <v>554</v>
          </cell>
          <cell r="C8194">
            <v>203</v>
          </cell>
          <cell r="D8194">
            <v>4</v>
          </cell>
          <cell r="E8194" t="str">
            <v>Compensation of employees</v>
          </cell>
          <cell r="F8194">
            <v>12</v>
          </cell>
          <cell r="G8194">
            <v>1990</v>
          </cell>
          <cell r="H8194">
            <v>100</v>
          </cell>
          <cell r="I8194">
            <v>32943818630</v>
          </cell>
        </row>
        <row r="8195">
          <cell r="A8195" t="str">
            <v>New Zealand</v>
          </cell>
          <cell r="B8195">
            <v>554</v>
          </cell>
          <cell r="C8195">
            <v>203</v>
          </cell>
          <cell r="D8195">
            <v>4</v>
          </cell>
          <cell r="E8195" t="str">
            <v>Compensation of employees</v>
          </cell>
          <cell r="F8195">
            <v>12</v>
          </cell>
          <cell r="G8195">
            <v>1991</v>
          </cell>
          <cell r="H8195">
            <v>100</v>
          </cell>
          <cell r="I8195">
            <v>32604853990</v>
          </cell>
        </row>
        <row r="8196">
          <cell r="A8196" t="str">
            <v>New Zealand</v>
          </cell>
          <cell r="B8196">
            <v>554</v>
          </cell>
          <cell r="C8196">
            <v>203</v>
          </cell>
          <cell r="D8196">
            <v>4</v>
          </cell>
          <cell r="E8196" t="str">
            <v>Compensation of employees</v>
          </cell>
          <cell r="F8196">
            <v>12</v>
          </cell>
          <cell r="G8196">
            <v>1992</v>
          </cell>
          <cell r="H8196">
            <v>100</v>
          </cell>
          <cell r="I8196">
            <v>33316093150</v>
          </cell>
        </row>
        <row r="8197">
          <cell r="A8197" t="str">
            <v>New Zealand</v>
          </cell>
          <cell r="B8197">
            <v>554</v>
          </cell>
          <cell r="C8197">
            <v>203</v>
          </cell>
          <cell r="D8197">
            <v>4</v>
          </cell>
          <cell r="E8197" t="str">
            <v>Compensation of employees</v>
          </cell>
          <cell r="F8197">
            <v>12</v>
          </cell>
          <cell r="G8197">
            <v>1993</v>
          </cell>
          <cell r="H8197">
            <v>100</v>
          </cell>
          <cell r="I8197">
            <v>34841733150</v>
          </cell>
        </row>
        <row r="8198">
          <cell r="A8198" t="str">
            <v>New Zealand</v>
          </cell>
          <cell r="B8198">
            <v>554</v>
          </cell>
          <cell r="C8198">
            <v>203</v>
          </cell>
          <cell r="D8198">
            <v>4</v>
          </cell>
          <cell r="E8198" t="str">
            <v>Compensation of employees</v>
          </cell>
          <cell r="F8198">
            <v>12</v>
          </cell>
          <cell r="G8198">
            <v>1994</v>
          </cell>
          <cell r="H8198">
            <v>100</v>
          </cell>
          <cell r="I8198">
            <v>37183804340</v>
          </cell>
        </row>
        <row r="8199">
          <cell r="A8199" t="str">
            <v>New Zealand</v>
          </cell>
          <cell r="B8199">
            <v>554</v>
          </cell>
          <cell r="C8199">
            <v>203</v>
          </cell>
          <cell r="D8199">
            <v>4</v>
          </cell>
          <cell r="E8199" t="str">
            <v>Compensation of employees</v>
          </cell>
          <cell r="F8199">
            <v>12</v>
          </cell>
          <cell r="G8199">
            <v>1995</v>
          </cell>
          <cell r="H8199">
            <v>100</v>
          </cell>
          <cell r="I8199">
            <v>39450133550</v>
          </cell>
        </row>
        <row r="8200">
          <cell r="A8200" t="str">
            <v>New Zealand</v>
          </cell>
          <cell r="B8200">
            <v>554</v>
          </cell>
          <cell r="C8200">
            <v>203</v>
          </cell>
          <cell r="D8200">
            <v>4</v>
          </cell>
          <cell r="E8200" t="str">
            <v>Compensation of employees</v>
          </cell>
          <cell r="F8200">
            <v>12</v>
          </cell>
          <cell r="G8200">
            <v>1996</v>
          </cell>
          <cell r="H8200">
            <v>100</v>
          </cell>
          <cell r="I8200">
            <v>42065947950</v>
          </cell>
        </row>
        <row r="8201">
          <cell r="A8201" t="str">
            <v>New Zealand</v>
          </cell>
          <cell r="B8201">
            <v>554</v>
          </cell>
          <cell r="C8201">
            <v>203</v>
          </cell>
          <cell r="D8201">
            <v>4</v>
          </cell>
          <cell r="E8201" t="str">
            <v>Compensation of employees</v>
          </cell>
          <cell r="F8201">
            <v>12</v>
          </cell>
          <cell r="G8201">
            <v>1997</v>
          </cell>
          <cell r="H8201">
            <v>100</v>
          </cell>
          <cell r="I8201">
            <v>43769395100</v>
          </cell>
        </row>
        <row r="8202">
          <cell r="A8202" t="str">
            <v>New Zealand</v>
          </cell>
          <cell r="B8202">
            <v>554</v>
          </cell>
          <cell r="C8202">
            <v>203</v>
          </cell>
          <cell r="D8202">
            <v>4</v>
          </cell>
          <cell r="E8202" t="str">
            <v>Compensation of employees</v>
          </cell>
          <cell r="F8202">
            <v>12</v>
          </cell>
          <cell r="G8202">
            <v>1998</v>
          </cell>
          <cell r="H8202">
            <v>100</v>
          </cell>
          <cell r="I8202">
            <v>44739257550</v>
          </cell>
        </row>
        <row r="8203">
          <cell r="A8203" t="str">
            <v>New Zealand</v>
          </cell>
          <cell r="B8203">
            <v>554</v>
          </cell>
          <cell r="C8203">
            <v>203</v>
          </cell>
          <cell r="D8203">
            <v>4</v>
          </cell>
          <cell r="E8203" t="str">
            <v>Compensation of employees</v>
          </cell>
          <cell r="F8203">
            <v>12</v>
          </cell>
          <cell r="G8203">
            <v>1999</v>
          </cell>
          <cell r="H8203">
            <v>100</v>
          </cell>
          <cell r="I8203">
            <v>45833610650</v>
          </cell>
        </row>
        <row r="8204">
          <cell r="A8204" t="str">
            <v>New Zealand</v>
          </cell>
          <cell r="B8204">
            <v>554</v>
          </cell>
          <cell r="C8204">
            <v>203</v>
          </cell>
          <cell r="D8204">
            <v>4</v>
          </cell>
          <cell r="E8204" t="str">
            <v>Compensation of employees</v>
          </cell>
          <cell r="F8204">
            <v>12</v>
          </cell>
          <cell r="G8204">
            <v>2000</v>
          </cell>
          <cell r="H8204">
            <v>100</v>
          </cell>
          <cell r="I8204">
            <v>48133412990</v>
          </cell>
        </row>
        <row r="8205">
          <cell r="A8205" t="str">
            <v>New Zealand</v>
          </cell>
          <cell r="B8205">
            <v>554</v>
          </cell>
          <cell r="C8205">
            <v>203</v>
          </cell>
          <cell r="D8205">
            <v>11</v>
          </cell>
          <cell r="E8205" t="str">
            <v>OPERATING SURPLUS, GROSS</v>
          </cell>
          <cell r="F8205">
            <v>12</v>
          </cell>
          <cell r="G8205">
            <v>1971</v>
          </cell>
          <cell r="H8205">
            <v>20</v>
          </cell>
          <cell r="I8205">
            <v>3028000000</v>
          </cell>
        </row>
        <row r="8206">
          <cell r="A8206" t="str">
            <v>New Zealand</v>
          </cell>
          <cell r="B8206">
            <v>554</v>
          </cell>
          <cell r="C8206">
            <v>203</v>
          </cell>
          <cell r="D8206">
            <v>11</v>
          </cell>
          <cell r="E8206" t="str">
            <v>OPERATING SURPLUS, GROSS</v>
          </cell>
          <cell r="F8206">
            <v>12</v>
          </cell>
          <cell r="G8206">
            <v>1972</v>
          </cell>
          <cell r="H8206">
            <v>20</v>
          </cell>
          <cell r="I8206">
            <v>3572000000</v>
          </cell>
        </row>
        <row r="8207">
          <cell r="A8207" t="str">
            <v>New Zealand</v>
          </cell>
          <cell r="B8207">
            <v>554</v>
          </cell>
          <cell r="C8207">
            <v>203</v>
          </cell>
          <cell r="D8207">
            <v>11</v>
          </cell>
          <cell r="E8207" t="str">
            <v>OPERATING SURPLUS, GROSS</v>
          </cell>
          <cell r="F8207">
            <v>12</v>
          </cell>
          <cell r="G8207">
            <v>1973</v>
          </cell>
          <cell r="H8207">
            <v>20</v>
          </cell>
          <cell r="I8207">
            <v>4149000000</v>
          </cell>
        </row>
        <row r="8208">
          <cell r="A8208" t="str">
            <v>New Zealand</v>
          </cell>
          <cell r="B8208">
            <v>554</v>
          </cell>
          <cell r="C8208">
            <v>203</v>
          </cell>
          <cell r="D8208">
            <v>11</v>
          </cell>
          <cell r="E8208" t="str">
            <v>OPERATING SURPLUS, GROSS</v>
          </cell>
          <cell r="F8208">
            <v>12</v>
          </cell>
          <cell r="G8208">
            <v>1974</v>
          </cell>
          <cell r="H8208">
            <v>20</v>
          </cell>
          <cell r="I8208">
            <v>4179000000</v>
          </cell>
        </row>
        <row r="8209">
          <cell r="A8209" t="str">
            <v>New Zealand</v>
          </cell>
          <cell r="B8209">
            <v>554</v>
          </cell>
          <cell r="C8209">
            <v>203</v>
          </cell>
          <cell r="D8209">
            <v>11</v>
          </cell>
          <cell r="E8209" t="str">
            <v>OPERATING SURPLUS, GROSS</v>
          </cell>
          <cell r="F8209">
            <v>12</v>
          </cell>
          <cell r="G8209">
            <v>1975</v>
          </cell>
          <cell r="H8209">
            <v>20</v>
          </cell>
          <cell r="I8209">
            <v>4929000000</v>
          </cell>
        </row>
        <row r="8210">
          <cell r="A8210" t="str">
            <v>New Zealand</v>
          </cell>
          <cell r="B8210">
            <v>554</v>
          </cell>
          <cell r="C8210">
            <v>203</v>
          </cell>
          <cell r="D8210">
            <v>11</v>
          </cell>
          <cell r="E8210" t="str">
            <v>OPERATING SURPLUS, GROSS</v>
          </cell>
          <cell r="F8210">
            <v>12</v>
          </cell>
          <cell r="G8210">
            <v>1976</v>
          </cell>
          <cell r="H8210">
            <v>20</v>
          </cell>
          <cell r="I8210">
            <v>6257000000</v>
          </cell>
        </row>
        <row r="8211">
          <cell r="A8211" t="str">
            <v>New Zealand</v>
          </cell>
          <cell r="B8211">
            <v>554</v>
          </cell>
          <cell r="C8211">
            <v>203</v>
          </cell>
          <cell r="D8211">
            <v>11</v>
          </cell>
          <cell r="E8211" t="str">
            <v>OPERATING SURPLUS, GROSS</v>
          </cell>
          <cell r="F8211">
            <v>12</v>
          </cell>
          <cell r="G8211">
            <v>1977</v>
          </cell>
          <cell r="H8211">
            <v>30</v>
          </cell>
          <cell r="I8211">
            <v>6019000000</v>
          </cell>
        </row>
        <row r="8212">
          <cell r="A8212" t="str">
            <v>New Zealand</v>
          </cell>
          <cell r="B8212">
            <v>554</v>
          </cell>
          <cell r="C8212">
            <v>203</v>
          </cell>
          <cell r="D8212">
            <v>11</v>
          </cell>
          <cell r="E8212" t="str">
            <v>OPERATING SURPLUS, GROSS</v>
          </cell>
          <cell r="F8212">
            <v>12</v>
          </cell>
          <cell r="G8212">
            <v>1978</v>
          </cell>
          <cell r="H8212">
            <v>30</v>
          </cell>
          <cell r="I8212">
            <v>6668000000</v>
          </cell>
        </row>
        <row r="8213">
          <cell r="A8213" t="str">
            <v>New Zealand</v>
          </cell>
          <cell r="B8213">
            <v>554</v>
          </cell>
          <cell r="C8213">
            <v>203</v>
          </cell>
          <cell r="D8213">
            <v>11</v>
          </cell>
          <cell r="E8213" t="str">
            <v>OPERATING SURPLUS, GROSS</v>
          </cell>
          <cell r="F8213">
            <v>12</v>
          </cell>
          <cell r="G8213">
            <v>1979</v>
          </cell>
          <cell r="H8213">
            <v>30</v>
          </cell>
          <cell r="I8213">
            <v>7644000000</v>
          </cell>
        </row>
        <row r="8214">
          <cell r="A8214" t="str">
            <v>New Zealand</v>
          </cell>
          <cell r="B8214">
            <v>554</v>
          </cell>
          <cell r="C8214">
            <v>203</v>
          </cell>
          <cell r="D8214">
            <v>11</v>
          </cell>
          <cell r="E8214" t="str">
            <v>OPERATING SURPLUS, GROSS</v>
          </cell>
          <cell r="F8214">
            <v>12</v>
          </cell>
          <cell r="G8214">
            <v>1980</v>
          </cell>
          <cell r="H8214">
            <v>30</v>
          </cell>
          <cell r="I8214">
            <v>8606000000</v>
          </cell>
        </row>
        <row r="8215">
          <cell r="A8215" t="str">
            <v>New Zealand</v>
          </cell>
          <cell r="B8215">
            <v>554</v>
          </cell>
          <cell r="C8215">
            <v>203</v>
          </cell>
          <cell r="D8215">
            <v>11</v>
          </cell>
          <cell r="E8215" t="str">
            <v>OPERATING SURPLUS, GROSS</v>
          </cell>
          <cell r="F8215">
            <v>12</v>
          </cell>
          <cell r="G8215">
            <v>1981</v>
          </cell>
          <cell r="H8215">
            <v>30</v>
          </cell>
          <cell r="I8215">
            <v>10762000000</v>
          </cell>
        </row>
        <row r="8216">
          <cell r="A8216" t="str">
            <v>New Zealand</v>
          </cell>
          <cell r="B8216">
            <v>554</v>
          </cell>
          <cell r="C8216">
            <v>203</v>
          </cell>
          <cell r="D8216">
            <v>11</v>
          </cell>
          <cell r="E8216" t="str">
            <v>OPERATING SURPLUS, GROSS</v>
          </cell>
          <cell r="F8216">
            <v>12</v>
          </cell>
          <cell r="G8216">
            <v>1982</v>
          </cell>
          <cell r="H8216">
            <v>30</v>
          </cell>
          <cell r="I8216">
            <v>12452000000</v>
          </cell>
        </row>
        <row r="8217">
          <cell r="A8217" t="str">
            <v>New Zealand</v>
          </cell>
          <cell r="B8217">
            <v>554</v>
          </cell>
          <cell r="C8217">
            <v>203</v>
          </cell>
          <cell r="D8217">
            <v>11</v>
          </cell>
          <cell r="E8217" t="str">
            <v>OPERATING SURPLUS, GROSS</v>
          </cell>
          <cell r="F8217">
            <v>12</v>
          </cell>
          <cell r="G8217">
            <v>1983</v>
          </cell>
          <cell r="H8217">
            <v>30</v>
          </cell>
          <cell r="I8217">
            <v>15158000000</v>
          </cell>
        </row>
        <row r="8218">
          <cell r="A8218" t="str">
            <v>New Zealand</v>
          </cell>
          <cell r="B8218">
            <v>554</v>
          </cell>
          <cell r="C8218">
            <v>203</v>
          </cell>
          <cell r="D8218">
            <v>11</v>
          </cell>
          <cell r="E8218" t="str">
            <v>OPERATING SURPLUS, GROSS</v>
          </cell>
          <cell r="F8218">
            <v>12</v>
          </cell>
          <cell r="G8218">
            <v>1984</v>
          </cell>
          <cell r="H8218">
            <v>30</v>
          </cell>
          <cell r="I8218">
            <v>17457000000</v>
          </cell>
        </row>
        <row r="8219">
          <cell r="A8219" t="str">
            <v>New Zealand</v>
          </cell>
          <cell r="B8219">
            <v>554</v>
          </cell>
          <cell r="C8219">
            <v>203</v>
          </cell>
          <cell r="D8219">
            <v>11</v>
          </cell>
          <cell r="E8219" t="str">
            <v>OPERATING SURPLUS, GROSS</v>
          </cell>
          <cell r="F8219">
            <v>12</v>
          </cell>
          <cell r="G8219">
            <v>1985</v>
          </cell>
          <cell r="H8219">
            <v>30</v>
          </cell>
          <cell r="I8219">
            <v>19670000000</v>
          </cell>
        </row>
        <row r="8220">
          <cell r="A8220" t="str">
            <v>New Zealand</v>
          </cell>
          <cell r="B8220">
            <v>554</v>
          </cell>
          <cell r="C8220">
            <v>203</v>
          </cell>
          <cell r="D8220">
            <v>11</v>
          </cell>
          <cell r="E8220" t="str">
            <v>OPERATING SURPLUS, GROSS</v>
          </cell>
          <cell r="F8220">
            <v>12</v>
          </cell>
          <cell r="G8220">
            <v>1986</v>
          </cell>
          <cell r="H8220">
            <v>30</v>
          </cell>
          <cell r="I8220">
            <v>21187000000</v>
          </cell>
        </row>
        <row r="8221">
          <cell r="A8221" t="str">
            <v>New Zealand</v>
          </cell>
          <cell r="B8221">
            <v>554</v>
          </cell>
          <cell r="C8221">
            <v>203</v>
          </cell>
          <cell r="D8221">
            <v>11</v>
          </cell>
          <cell r="E8221" t="str">
            <v>OPERATING SURPLUS, GROSS</v>
          </cell>
          <cell r="F8221">
            <v>12</v>
          </cell>
          <cell r="G8221">
            <v>1986</v>
          </cell>
          <cell r="H8221">
            <v>100</v>
          </cell>
          <cell r="I8221">
            <v>24526701000</v>
          </cell>
        </row>
        <row r="8222">
          <cell r="A8222" t="str">
            <v>New Zealand</v>
          </cell>
          <cell r="B8222">
            <v>554</v>
          </cell>
          <cell r="C8222">
            <v>203</v>
          </cell>
          <cell r="D8222">
            <v>11</v>
          </cell>
          <cell r="E8222" t="str">
            <v>OPERATING SURPLUS, GROSS</v>
          </cell>
          <cell r="F8222">
            <v>12</v>
          </cell>
          <cell r="G8222">
            <v>1987</v>
          </cell>
          <cell r="H8222">
            <v>100</v>
          </cell>
          <cell r="I8222">
            <v>26540270000</v>
          </cell>
        </row>
        <row r="8223">
          <cell r="A8223" t="str">
            <v>New Zealand</v>
          </cell>
          <cell r="B8223">
            <v>554</v>
          </cell>
          <cell r="C8223">
            <v>203</v>
          </cell>
          <cell r="D8223">
            <v>11</v>
          </cell>
          <cell r="E8223" t="str">
            <v>OPERATING SURPLUS, GROSS</v>
          </cell>
          <cell r="F8223">
            <v>12</v>
          </cell>
          <cell r="G8223">
            <v>1988</v>
          </cell>
          <cell r="H8223">
            <v>100</v>
          </cell>
          <cell r="I8223">
            <v>29603977000</v>
          </cell>
        </row>
        <row r="8224">
          <cell r="A8224" t="str">
            <v>New Zealand</v>
          </cell>
          <cell r="B8224">
            <v>554</v>
          </cell>
          <cell r="C8224">
            <v>203</v>
          </cell>
          <cell r="D8224">
            <v>11</v>
          </cell>
          <cell r="E8224" t="str">
            <v>OPERATING SURPLUS, GROSS</v>
          </cell>
          <cell r="F8224">
            <v>12</v>
          </cell>
          <cell r="G8224">
            <v>1989</v>
          </cell>
          <cell r="H8224">
            <v>100</v>
          </cell>
          <cell r="I8224">
            <v>31377658000</v>
          </cell>
        </row>
        <row r="8225">
          <cell r="A8225" t="str">
            <v>New Zealand</v>
          </cell>
          <cell r="B8225">
            <v>554</v>
          </cell>
          <cell r="C8225">
            <v>203</v>
          </cell>
          <cell r="D8225">
            <v>11</v>
          </cell>
          <cell r="E8225" t="str">
            <v>OPERATING SURPLUS, GROSS</v>
          </cell>
          <cell r="F8225">
            <v>12</v>
          </cell>
          <cell r="G8225">
            <v>1990</v>
          </cell>
          <cell r="H8225">
            <v>100</v>
          </cell>
          <cell r="I8225">
            <v>32370232000</v>
          </cell>
        </row>
        <row r="8226">
          <cell r="A8226" t="str">
            <v>New Zealand</v>
          </cell>
          <cell r="B8226">
            <v>554</v>
          </cell>
          <cell r="C8226">
            <v>203</v>
          </cell>
          <cell r="D8226">
            <v>11</v>
          </cell>
          <cell r="E8226" t="str">
            <v>OPERATING SURPLUS, GROSS</v>
          </cell>
          <cell r="F8226">
            <v>12</v>
          </cell>
          <cell r="G8226">
            <v>1991</v>
          </cell>
          <cell r="H8226">
            <v>100</v>
          </cell>
          <cell r="I8226">
            <v>32712079000</v>
          </cell>
        </row>
        <row r="8227">
          <cell r="A8227" t="str">
            <v>New Zealand</v>
          </cell>
          <cell r="B8227">
            <v>554</v>
          </cell>
          <cell r="C8227">
            <v>203</v>
          </cell>
          <cell r="D8227">
            <v>11</v>
          </cell>
          <cell r="E8227" t="str">
            <v>OPERATING SURPLUS, GROSS</v>
          </cell>
          <cell r="F8227">
            <v>12</v>
          </cell>
          <cell r="G8227">
            <v>1992</v>
          </cell>
          <cell r="H8227">
            <v>100</v>
          </cell>
          <cell r="I8227">
            <v>34021804000</v>
          </cell>
        </row>
        <row r="8228">
          <cell r="A8228" t="str">
            <v>New Zealand</v>
          </cell>
          <cell r="B8228">
            <v>554</v>
          </cell>
          <cell r="C8228">
            <v>203</v>
          </cell>
          <cell r="D8228">
            <v>11</v>
          </cell>
          <cell r="E8228" t="str">
            <v>OPERATING SURPLUS, GROSS</v>
          </cell>
          <cell r="F8228">
            <v>12</v>
          </cell>
          <cell r="G8228">
            <v>1993</v>
          </cell>
          <cell r="H8228">
            <v>100</v>
          </cell>
          <cell r="I8228">
            <v>38274592000</v>
          </cell>
        </row>
        <row r="8229">
          <cell r="A8229" t="str">
            <v>New Zealand</v>
          </cell>
          <cell r="B8229">
            <v>554</v>
          </cell>
          <cell r="C8229">
            <v>203</v>
          </cell>
          <cell r="D8229">
            <v>11</v>
          </cell>
          <cell r="E8229" t="str">
            <v>OPERATING SURPLUS, GROSS</v>
          </cell>
          <cell r="F8229">
            <v>12</v>
          </cell>
          <cell r="G8229">
            <v>1994</v>
          </cell>
          <cell r="H8229">
            <v>100</v>
          </cell>
          <cell r="I8229">
            <v>41437533000</v>
          </cell>
        </row>
        <row r="8230">
          <cell r="A8230" t="str">
            <v>New Zealand</v>
          </cell>
          <cell r="B8230">
            <v>554</v>
          </cell>
          <cell r="C8230">
            <v>203</v>
          </cell>
          <cell r="D8230">
            <v>11</v>
          </cell>
          <cell r="E8230" t="str">
            <v>OPERATING SURPLUS, GROSS</v>
          </cell>
          <cell r="F8230">
            <v>12</v>
          </cell>
          <cell r="G8230">
            <v>1995</v>
          </cell>
          <cell r="H8230">
            <v>100</v>
          </cell>
          <cell r="I8230">
            <v>44160168000</v>
          </cell>
        </row>
        <row r="8231">
          <cell r="A8231" t="str">
            <v>New Zealand</v>
          </cell>
          <cell r="B8231">
            <v>554</v>
          </cell>
          <cell r="C8231">
            <v>203</v>
          </cell>
          <cell r="D8231">
            <v>11</v>
          </cell>
          <cell r="E8231" t="str">
            <v>OPERATING SURPLUS, GROSS</v>
          </cell>
          <cell r="F8231">
            <v>12</v>
          </cell>
          <cell r="G8231">
            <v>1996</v>
          </cell>
          <cell r="H8231">
            <v>100</v>
          </cell>
          <cell r="I8231">
            <v>45584802000</v>
          </cell>
        </row>
        <row r="8232">
          <cell r="A8232" t="str">
            <v>New Zealand</v>
          </cell>
          <cell r="B8232">
            <v>554</v>
          </cell>
          <cell r="C8232">
            <v>203</v>
          </cell>
          <cell r="D8232">
            <v>11</v>
          </cell>
          <cell r="E8232" t="str">
            <v>OPERATING SURPLUS, GROSS</v>
          </cell>
          <cell r="F8232">
            <v>12</v>
          </cell>
          <cell r="G8232">
            <v>1997</v>
          </cell>
          <cell r="H8232">
            <v>100</v>
          </cell>
          <cell r="I8232">
            <v>47024512000</v>
          </cell>
        </row>
        <row r="8233">
          <cell r="A8233" t="str">
            <v>New Zealand</v>
          </cell>
          <cell r="B8233">
            <v>554</v>
          </cell>
          <cell r="C8233">
            <v>203</v>
          </cell>
          <cell r="D8233">
            <v>11</v>
          </cell>
          <cell r="E8233" t="str">
            <v>OPERATING SURPLUS, GROSS</v>
          </cell>
          <cell r="F8233">
            <v>12</v>
          </cell>
          <cell r="G8233">
            <v>1998</v>
          </cell>
          <cell r="H8233">
            <v>100</v>
          </cell>
          <cell r="I8233">
            <v>47960005000</v>
          </cell>
        </row>
        <row r="8234">
          <cell r="A8234" t="str">
            <v>New Zealand</v>
          </cell>
          <cell r="B8234">
            <v>554</v>
          </cell>
          <cell r="C8234">
            <v>203</v>
          </cell>
          <cell r="D8234">
            <v>11</v>
          </cell>
          <cell r="E8234" t="str">
            <v>OPERATING SURPLUS, GROSS</v>
          </cell>
          <cell r="F8234">
            <v>12</v>
          </cell>
          <cell r="G8234">
            <v>1999</v>
          </cell>
          <cell r="H8234">
            <v>100</v>
          </cell>
          <cell r="I8234">
            <v>52457753000</v>
          </cell>
        </row>
        <row r="8235">
          <cell r="A8235" t="str">
            <v>New Zealand</v>
          </cell>
          <cell r="B8235">
            <v>554</v>
          </cell>
          <cell r="C8235">
            <v>203</v>
          </cell>
          <cell r="D8235">
            <v>11</v>
          </cell>
          <cell r="E8235" t="str">
            <v>OPERATING SURPLUS, GROSS</v>
          </cell>
          <cell r="F8235">
            <v>12</v>
          </cell>
          <cell r="G8235">
            <v>2000</v>
          </cell>
          <cell r="H8235">
            <v>100</v>
          </cell>
          <cell r="I8235">
            <v>55947952000</v>
          </cell>
        </row>
        <row r="8236">
          <cell r="A8236" t="str">
            <v>Norway</v>
          </cell>
          <cell r="B8236">
            <v>578</v>
          </cell>
          <cell r="C8236">
            <v>203</v>
          </cell>
          <cell r="D8236">
            <v>3</v>
          </cell>
          <cell r="E8236" t="str">
            <v>Equals: VALUE ADDED, GROSS, at basic prices</v>
          </cell>
          <cell r="F8236">
            <v>12</v>
          </cell>
          <cell r="G8236">
            <v>1970</v>
          </cell>
          <cell r="H8236">
            <v>200</v>
          </cell>
          <cell r="I8236">
            <v>80651000000</v>
          </cell>
        </row>
        <row r="8237">
          <cell r="A8237" t="str">
            <v>Norway</v>
          </cell>
          <cell r="B8237">
            <v>578</v>
          </cell>
          <cell r="C8237">
            <v>203</v>
          </cell>
          <cell r="D8237">
            <v>3</v>
          </cell>
          <cell r="E8237" t="str">
            <v>Equals: VALUE ADDED, GROSS, at basic prices</v>
          </cell>
          <cell r="F8237">
            <v>12</v>
          </cell>
          <cell r="G8237">
            <v>1971</v>
          </cell>
          <cell r="H8237">
            <v>200</v>
          </cell>
          <cell r="I8237">
            <v>89616000000</v>
          </cell>
        </row>
        <row r="8238">
          <cell r="A8238" t="str">
            <v>Norway</v>
          </cell>
          <cell r="B8238">
            <v>578</v>
          </cell>
          <cell r="C8238">
            <v>203</v>
          </cell>
          <cell r="D8238">
            <v>3</v>
          </cell>
          <cell r="E8238" t="str">
            <v>Equals: VALUE ADDED, GROSS, at basic prices</v>
          </cell>
          <cell r="F8238">
            <v>12</v>
          </cell>
          <cell r="G8238">
            <v>1972</v>
          </cell>
          <cell r="H8238">
            <v>200</v>
          </cell>
          <cell r="I8238">
            <v>99902000000</v>
          </cell>
        </row>
        <row r="8239">
          <cell r="A8239" t="str">
            <v>Norway</v>
          </cell>
          <cell r="B8239">
            <v>578</v>
          </cell>
          <cell r="C8239">
            <v>203</v>
          </cell>
          <cell r="D8239">
            <v>3</v>
          </cell>
          <cell r="E8239" t="str">
            <v>Equals: VALUE ADDED, GROSS, at basic prices</v>
          </cell>
          <cell r="F8239">
            <v>12</v>
          </cell>
          <cell r="G8239">
            <v>1973</v>
          </cell>
          <cell r="H8239">
            <v>200</v>
          </cell>
          <cell r="I8239">
            <v>113871000000</v>
          </cell>
        </row>
        <row r="8240">
          <cell r="A8240" t="str">
            <v>Norway</v>
          </cell>
          <cell r="B8240">
            <v>578</v>
          </cell>
          <cell r="C8240">
            <v>203</v>
          </cell>
          <cell r="D8240">
            <v>3</v>
          </cell>
          <cell r="E8240" t="str">
            <v>Equals: VALUE ADDED, GROSS, at basic prices</v>
          </cell>
          <cell r="F8240">
            <v>12</v>
          </cell>
          <cell r="G8240">
            <v>1974</v>
          </cell>
          <cell r="H8240">
            <v>200</v>
          </cell>
          <cell r="I8240">
            <v>133449000000</v>
          </cell>
        </row>
        <row r="8241">
          <cell r="A8241" t="str">
            <v>Norway</v>
          </cell>
          <cell r="B8241">
            <v>578</v>
          </cell>
          <cell r="C8241">
            <v>203</v>
          </cell>
          <cell r="D8241">
            <v>3</v>
          </cell>
          <cell r="E8241" t="str">
            <v>Equals: VALUE ADDED, GROSS, at basic prices</v>
          </cell>
          <cell r="F8241">
            <v>12</v>
          </cell>
          <cell r="G8241">
            <v>1975</v>
          </cell>
          <cell r="H8241">
            <v>200</v>
          </cell>
          <cell r="I8241">
            <v>152606000000</v>
          </cell>
        </row>
        <row r="8242">
          <cell r="A8242" t="str">
            <v>Norway</v>
          </cell>
          <cell r="B8242">
            <v>578</v>
          </cell>
          <cell r="C8242">
            <v>203</v>
          </cell>
          <cell r="D8242">
            <v>3</v>
          </cell>
          <cell r="E8242" t="str">
            <v>Equals: VALUE ADDED, GROSS, at basic prices</v>
          </cell>
          <cell r="F8242">
            <v>12</v>
          </cell>
          <cell r="G8242">
            <v>1976</v>
          </cell>
          <cell r="H8242">
            <v>200</v>
          </cell>
          <cell r="I8242">
            <v>174155000000</v>
          </cell>
        </row>
        <row r="8243">
          <cell r="A8243" t="str">
            <v>Norway</v>
          </cell>
          <cell r="B8243">
            <v>578</v>
          </cell>
          <cell r="C8243">
            <v>203</v>
          </cell>
          <cell r="D8243">
            <v>3</v>
          </cell>
          <cell r="E8243" t="str">
            <v>Equals: VALUE ADDED, GROSS, at basic prices</v>
          </cell>
          <cell r="F8243">
            <v>12</v>
          </cell>
          <cell r="G8243">
            <v>1977</v>
          </cell>
          <cell r="H8243">
            <v>200</v>
          </cell>
          <cell r="I8243">
            <v>195867000000</v>
          </cell>
        </row>
        <row r="8244">
          <cell r="A8244" t="str">
            <v>Norway</v>
          </cell>
          <cell r="B8244">
            <v>578</v>
          </cell>
          <cell r="C8244">
            <v>203</v>
          </cell>
          <cell r="D8244">
            <v>3</v>
          </cell>
          <cell r="E8244" t="str">
            <v>Equals: VALUE ADDED, GROSS, at basic prices</v>
          </cell>
          <cell r="F8244">
            <v>12</v>
          </cell>
          <cell r="G8244">
            <v>1978</v>
          </cell>
          <cell r="H8244">
            <v>200</v>
          </cell>
          <cell r="I8244">
            <v>218153000000</v>
          </cell>
        </row>
        <row r="8245">
          <cell r="A8245" t="str">
            <v>Norway</v>
          </cell>
          <cell r="B8245">
            <v>578</v>
          </cell>
          <cell r="C8245">
            <v>203</v>
          </cell>
          <cell r="D8245">
            <v>3</v>
          </cell>
          <cell r="E8245" t="str">
            <v>Equals: VALUE ADDED, GROSS, at basic prices</v>
          </cell>
          <cell r="F8245">
            <v>12</v>
          </cell>
          <cell r="G8245">
            <v>1979</v>
          </cell>
          <cell r="H8245">
            <v>200</v>
          </cell>
          <cell r="I8245">
            <v>241438000000</v>
          </cell>
        </row>
        <row r="8246">
          <cell r="A8246" t="str">
            <v>Norway</v>
          </cell>
          <cell r="B8246">
            <v>578</v>
          </cell>
          <cell r="C8246">
            <v>203</v>
          </cell>
          <cell r="D8246">
            <v>3</v>
          </cell>
          <cell r="E8246" t="str">
            <v>Equals: VALUE ADDED, GROSS, at basic prices</v>
          </cell>
          <cell r="F8246">
            <v>12</v>
          </cell>
          <cell r="G8246">
            <v>1980</v>
          </cell>
          <cell r="H8246">
            <v>200</v>
          </cell>
          <cell r="I8246">
            <v>287992000000</v>
          </cell>
        </row>
        <row r="8247">
          <cell r="A8247" t="str">
            <v>Norway</v>
          </cell>
          <cell r="B8247">
            <v>578</v>
          </cell>
          <cell r="C8247">
            <v>203</v>
          </cell>
          <cell r="D8247">
            <v>3</v>
          </cell>
          <cell r="E8247" t="str">
            <v>Equals: VALUE ADDED, GROSS, at basic prices</v>
          </cell>
          <cell r="F8247">
            <v>12</v>
          </cell>
          <cell r="G8247">
            <v>1981</v>
          </cell>
          <cell r="H8247">
            <v>200</v>
          </cell>
          <cell r="I8247">
            <v>329134000000</v>
          </cell>
        </row>
        <row r="8248">
          <cell r="A8248" t="str">
            <v>Norway</v>
          </cell>
          <cell r="B8248">
            <v>578</v>
          </cell>
          <cell r="C8248">
            <v>203</v>
          </cell>
          <cell r="D8248">
            <v>3</v>
          </cell>
          <cell r="E8248" t="str">
            <v>Equals: VALUE ADDED, GROSS, at basic prices</v>
          </cell>
          <cell r="F8248">
            <v>12</v>
          </cell>
          <cell r="G8248">
            <v>1982</v>
          </cell>
          <cell r="H8248">
            <v>200</v>
          </cell>
          <cell r="I8248">
            <v>366007000000</v>
          </cell>
        </row>
        <row r="8249">
          <cell r="A8249" t="str">
            <v>Norway</v>
          </cell>
          <cell r="B8249">
            <v>578</v>
          </cell>
          <cell r="C8249">
            <v>203</v>
          </cell>
          <cell r="D8249">
            <v>3</v>
          </cell>
          <cell r="E8249" t="str">
            <v>Equals: VALUE ADDED, GROSS, at basic prices</v>
          </cell>
          <cell r="F8249">
            <v>12</v>
          </cell>
          <cell r="G8249">
            <v>1983</v>
          </cell>
          <cell r="H8249">
            <v>200</v>
          </cell>
          <cell r="I8249">
            <v>405682000000</v>
          </cell>
        </row>
        <row r="8250">
          <cell r="A8250" t="str">
            <v>Norway</v>
          </cell>
          <cell r="B8250">
            <v>578</v>
          </cell>
          <cell r="C8250">
            <v>203</v>
          </cell>
          <cell r="D8250">
            <v>3</v>
          </cell>
          <cell r="E8250" t="str">
            <v>Equals: VALUE ADDED, GROSS, at basic prices</v>
          </cell>
          <cell r="F8250">
            <v>12</v>
          </cell>
          <cell r="G8250">
            <v>1984</v>
          </cell>
          <cell r="H8250">
            <v>200</v>
          </cell>
          <cell r="I8250">
            <v>455345000000</v>
          </cell>
        </row>
        <row r="8251">
          <cell r="A8251" t="str">
            <v>Norway</v>
          </cell>
          <cell r="B8251">
            <v>578</v>
          </cell>
          <cell r="C8251">
            <v>203</v>
          </cell>
          <cell r="D8251">
            <v>3</v>
          </cell>
          <cell r="E8251" t="str">
            <v>Equals: VALUE ADDED, GROSS, at basic prices</v>
          </cell>
          <cell r="F8251">
            <v>12</v>
          </cell>
          <cell r="G8251">
            <v>1985</v>
          </cell>
          <cell r="H8251">
            <v>200</v>
          </cell>
          <cell r="I8251">
            <v>497485000000</v>
          </cell>
        </row>
        <row r="8252">
          <cell r="A8252" t="str">
            <v>Norway</v>
          </cell>
          <cell r="B8252">
            <v>578</v>
          </cell>
          <cell r="C8252">
            <v>203</v>
          </cell>
          <cell r="D8252">
            <v>3</v>
          </cell>
          <cell r="E8252" t="str">
            <v>Equals: VALUE ADDED, GROSS, at basic prices</v>
          </cell>
          <cell r="F8252">
            <v>12</v>
          </cell>
          <cell r="G8252">
            <v>1986</v>
          </cell>
          <cell r="H8252">
            <v>200</v>
          </cell>
          <cell r="I8252">
            <v>506602000000</v>
          </cell>
        </row>
        <row r="8253">
          <cell r="A8253" t="str">
            <v>Norway</v>
          </cell>
          <cell r="B8253">
            <v>578</v>
          </cell>
          <cell r="C8253">
            <v>203</v>
          </cell>
          <cell r="D8253">
            <v>3</v>
          </cell>
          <cell r="E8253" t="str">
            <v>Equals: VALUE ADDED, GROSS, at basic prices</v>
          </cell>
          <cell r="F8253">
            <v>12</v>
          </cell>
          <cell r="G8253">
            <v>1987</v>
          </cell>
          <cell r="H8253">
            <v>200</v>
          </cell>
          <cell r="I8253">
            <v>560800000000</v>
          </cell>
        </row>
        <row r="8254">
          <cell r="A8254" t="str">
            <v>Norway</v>
          </cell>
          <cell r="B8254">
            <v>578</v>
          </cell>
          <cell r="C8254">
            <v>203</v>
          </cell>
          <cell r="D8254">
            <v>3</v>
          </cell>
          <cell r="E8254" t="str">
            <v>Equals: VALUE ADDED, GROSS, at basic prices</v>
          </cell>
          <cell r="F8254">
            <v>12</v>
          </cell>
          <cell r="G8254">
            <v>1988</v>
          </cell>
          <cell r="H8254">
            <v>200</v>
          </cell>
          <cell r="I8254">
            <v>589915000000</v>
          </cell>
        </row>
        <row r="8255">
          <cell r="A8255" t="str">
            <v>Norway</v>
          </cell>
          <cell r="B8255">
            <v>578</v>
          </cell>
          <cell r="C8255">
            <v>203</v>
          </cell>
          <cell r="D8255">
            <v>3</v>
          </cell>
          <cell r="E8255" t="str">
            <v>Equals: VALUE ADDED, GROSS, at basic prices</v>
          </cell>
          <cell r="F8255">
            <v>12</v>
          </cell>
          <cell r="G8255">
            <v>1989</v>
          </cell>
          <cell r="H8255">
            <v>200</v>
          </cell>
          <cell r="I8255">
            <v>636363000000</v>
          </cell>
        </row>
        <row r="8256">
          <cell r="A8256" t="str">
            <v>Norway</v>
          </cell>
          <cell r="B8256">
            <v>578</v>
          </cell>
          <cell r="C8256">
            <v>203</v>
          </cell>
          <cell r="D8256">
            <v>3</v>
          </cell>
          <cell r="E8256" t="str">
            <v>Equals: VALUE ADDED, GROSS, at basic prices</v>
          </cell>
          <cell r="F8256">
            <v>12</v>
          </cell>
          <cell r="G8256">
            <v>1990</v>
          </cell>
          <cell r="H8256">
            <v>200</v>
          </cell>
          <cell r="I8256">
            <v>675260000000</v>
          </cell>
        </row>
        <row r="8257">
          <cell r="A8257" t="str">
            <v>Norway</v>
          </cell>
          <cell r="B8257">
            <v>578</v>
          </cell>
          <cell r="C8257">
            <v>203</v>
          </cell>
          <cell r="D8257">
            <v>3</v>
          </cell>
          <cell r="E8257" t="str">
            <v>Equals: VALUE ADDED, GROSS, at basic prices</v>
          </cell>
          <cell r="F8257">
            <v>12</v>
          </cell>
          <cell r="G8257">
            <v>1991</v>
          </cell>
          <cell r="H8257">
            <v>200</v>
          </cell>
          <cell r="I8257">
            <v>707640000000</v>
          </cell>
        </row>
        <row r="8258">
          <cell r="A8258" t="str">
            <v>Norway</v>
          </cell>
          <cell r="B8258">
            <v>578</v>
          </cell>
          <cell r="C8258">
            <v>203</v>
          </cell>
          <cell r="D8258">
            <v>3</v>
          </cell>
          <cell r="E8258" t="str">
            <v>Equals: VALUE ADDED, GROSS, at basic prices</v>
          </cell>
          <cell r="F8258">
            <v>12</v>
          </cell>
          <cell r="G8258">
            <v>1992</v>
          </cell>
          <cell r="H8258">
            <v>200</v>
          </cell>
          <cell r="I8258">
            <v>724890000000</v>
          </cell>
        </row>
        <row r="8259">
          <cell r="A8259" t="str">
            <v>Norway</v>
          </cell>
          <cell r="B8259">
            <v>578</v>
          </cell>
          <cell r="C8259">
            <v>203</v>
          </cell>
          <cell r="D8259">
            <v>3</v>
          </cell>
          <cell r="E8259" t="str">
            <v>Equals: VALUE ADDED, GROSS, at basic prices</v>
          </cell>
          <cell r="F8259">
            <v>12</v>
          </cell>
          <cell r="G8259">
            <v>1993</v>
          </cell>
          <cell r="H8259">
            <v>200</v>
          </cell>
          <cell r="I8259">
            <v>757038000000</v>
          </cell>
        </row>
        <row r="8260">
          <cell r="A8260" t="str">
            <v>Norway</v>
          </cell>
          <cell r="B8260">
            <v>578</v>
          </cell>
          <cell r="C8260">
            <v>203</v>
          </cell>
          <cell r="D8260">
            <v>3</v>
          </cell>
          <cell r="E8260" t="str">
            <v>Equals: VALUE ADDED, GROSS, at basic prices</v>
          </cell>
          <cell r="F8260">
            <v>12</v>
          </cell>
          <cell r="G8260">
            <v>1994</v>
          </cell>
          <cell r="H8260">
            <v>200</v>
          </cell>
          <cell r="I8260">
            <v>785568000000</v>
          </cell>
        </row>
        <row r="8261">
          <cell r="A8261" t="str">
            <v>Norway</v>
          </cell>
          <cell r="B8261">
            <v>578</v>
          </cell>
          <cell r="C8261">
            <v>203</v>
          </cell>
          <cell r="D8261">
            <v>3</v>
          </cell>
          <cell r="E8261" t="str">
            <v>Equals: VALUE ADDED, GROSS, at basic prices</v>
          </cell>
          <cell r="F8261">
            <v>12</v>
          </cell>
          <cell r="G8261">
            <v>1995</v>
          </cell>
          <cell r="H8261">
            <v>200</v>
          </cell>
          <cell r="I8261">
            <v>835001000000</v>
          </cell>
        </row>
        <row r="8262">
          <cell r="A8262" t="str">
            <v>Norway</v>
          </cell>
          <cell r="B8262">
            <v>578</v>
          </cell>
          <cell r="C8262">
            <v>203</v>
          </cell>
          <cell r="D8262">
            <v>3</v>
          </cell>
          <cell r="E8262" t="str">
            <v>Equals: VALUE ADDED, GROSS, at basic prices</v>
          </cell>
          <cell r="F8262">
            <v>12</v>
          </cell>
          <cell r="G8262">
            <v>1996</v>
          </cell>
          <cell r="H8262">
            <v>200</v>
          </cell>
          <cell r="I8262">
            <v>913191000000</v>
          </cell>
        </row>
        <row r="8263">
          <cell r="A8263" t="str">
            <v>Norway</v>
          </cell>
          <cell r="B8263">
            <v>578</v>
          </cell>
          <cell r="C8263">
            <v>203</v>
          </cell>
          <cell r="D8263">
            <v>3</v>
          </cell>
          <cell r="E8263" t="str">
            <v>Equals: VALUE ADDED, GROSS, at basic prices</v>
          </cell>
          <cell r="F8263">
            <v>12</v>
          </cell>
          <cell r="G8263">
            <v>1997</v>
          </cell>
          <cell r="H8263">
            <v>200</v>
          </cell>
          <cell r="I8263">
            <v>987454000000</v>
          </cell>
        </row>
        <row r="8264">
          <cell r="A8264" t="str">
            <v>Norway</v>
          </cell>
          <cell r="B8264">
            <v>578</v>
          </cell>
          <cell r="C8264">
            <v>203</v>
          </cell>
          <cell r="D8264">
            <v>3</v>
          </cell>
          <cell r="E8264" t="str">
            <v>Equals: VALUE ADDED, GROSS, at basic prices</v>
          </cell>
          <cell r="F8264">
            <v>12</v>
          </cell>
          <cell r="G8264">
            <v>1998</v>
          </cell>
          <cell r="H8264">
            <v>200</v>
          </cell>
          <cell r="I8264">
            <v>1000989000000</v>
          </cell>
        </row>
        <row r="8265">
          <cell r="A8265" t="str">
            <v>Norway</v>
          </cell>
          <cell r="B8265">
            <v>578</v>
          </cell>
          <cell r="C8265">
            <v>203</v>
          </cell>
          <cell r="D8265">
            <v>3</v>
          </cell>
          <cell r="E8265" t="str">
            <v>Equals: VALUE ADDED, GROSS, at basic prices</v>
          </cell>
          <cell r="F8265">
            <v>12</v>
          </cell>
          <cell r="G8265">
            <v>1999</v>
          </cell>
          <cell r="H8265">
            <v>200</v>
          </cell>
          <cell r="I8265">
            <v>1095380000000</v>
          </cell>
        </row>
        <row r="8266">
          <cell r="A8266" t="str">
            <v>Norway</v>
          </cell>
          <cell r="B8266">
            <v>578</v>
          </cell>
          <cell r="C8266">
            <v>203</v>
          </cell>
          <cell r="D8266">
            <v>3</v>
          </cell>
          <cell r="E8266" t="str">
            <v>Equals: VALUE ADDED, GROSS, at basic prices</v>
          </cell>
          <cell r="F8266">
            <v>12</v>
          </cell>
          <cell r="G8266">
            <v>2000</v>
          </cell>
          <cell r="H8266">
            <v>200</v>
          </cell>
          <cell r="I8266">
            <v>1323855000000</v>
          </cell>
        </row>
        <row r="8267">
          <cell r="A8267" t="str">
            <v>Norway</v>
          </cell>
          <cell r="B8267">
            <v>578</v>
          </cell>
          <cell r="C8267">
            <v>203</v>
          </cell>
          <cell r="D8267">
            <v>3</v>
          </cell>
          <cell r="E8267" t="str">
            <v>Equals: VALUE ADDED, GROSS, at basic prices</v>
          </cell>
          <cell r="F8267">
            <v>12</v>
          </cell>
          <cell r="G8267">
            <v>2001</v>
          </cell>
          <cell r="H8267">
            <v>200</v>
          </cell>
          <cell r="I8267">
            <v>1377421000000</v>
          </cell>
        </row>
        <row r="8268">
          <cell r="A8268" t="str">
            <v>New Zealand</v>
          </cell>
          <cell r="B8268">
            <v>554</v>
          </cell>
          <cell r="C8268">
            <v>203</v>
          </cell>
          <cell r="D8268">
            <v>22</v>
          </cell>
          <cell r="E8268" t="str">
            <v>Taxes on production and imports, less Subsidies</v>
          </cell>
          <cell r="F8268">
            <v>12</v>
          </cell>
          <cell r="G8268">
            <v>1971</v>
          </cell>
          <cell r="H8268">
            <v>20</v>
          </cell>
          <cell r="I8268">
            <v>467000000</v>
          </cell>
        </row>
        <row r="8269">
          <cell r="A8269" t="str">
            <v>New Zealand</v>
          </cell>
          <cell r="B8269">
            <v>554</v>
          </cell>
          <cell r="C8269">
            <v>203</v>
          </cell>
          <cell r="D8269">
            <v>22</v>
          </cell>
          <cell r="E8269" t="str">
            <v>Taxes on production and imports, less Subsidies</v>
          </cell>
          <cell r="F8269">
            <v>12</v>
          </cell>
          <cell r="G8269">
            <v>1972</v>
          </cell>
          <cell r="H8269">
            <v>20</v>
          </cell>
          <cell r="I8269">
            <v>523000000</v>
          </cell>
        </row>
        <row r="8270">
          <cell r="A8270" t="str">
            <v>New Zealand</v>
          </cell>
          <cell r="B8270">
            <v>554</v>
          </cell>
          <cell r="C8270">
            <v>203</v>
          </cell>
          <cell r="D8270">
            <v>22</v>
          </cell>
          <cell r="E8270" t="str">
            <v>Taxes on production and imports, less Subsidies</v>
          </cell>
          <cell r="F8270">
            <v>12</v>
          </cell>
          <cell r="G8270">
            <v>1973</v>
          </cell>
          <cell r="H8270">
            <v>20</v>
          </cell>
          <cell r="I8270">
            <v>544000000</v>
          </cell>
        </row>
        <row r="8271">
          <cell r="A8271" t="str">
            <v>New Zealand</v>
          </cell>
          <cell r="B8271">
            <v>554</v>
          </cell>
          <cell r="C8271">
            <v>203</v>
          </cell>
          <cell r="D8271">
            <v>22</v>
          </cell>
          <cell r="E8271" t="str">
            <v>Taxes on production and imports, less Subsidies</v>
          </cell>
          <cell r="F8271">
            <v>12</v>
          </cell>
          <cell r="G8271">
            <v>1974</v>
          </cell>
          <cell r="H8271">
            <v>20</v>
          </cell>
          <cell r="I8271">
            <v>518000000</v>
          </cell>
        </row>
        <row r="8272">
          <cell r="A8272" t="str">
            <v>New Zealand</v>
          </cell>
          <cell r="B8272">
            <v>554</v>
          </cell>
          <cell r="C8272">
            <v>203</v>
          </cell>
          <cell r="D8272">
            <v>22</v>
          </cell>
          <cell r="E8272" t="str">
            <v>Taxes on production and imports, less Subsidies</v>
          </cell>
          <cell r="F8272">
            <v>12</v>
          </cell>
          <cell r="G8272">
            <v>1975</v>
          </cell>
          <cell r="H8272">
            <v>20</v>
          </cell>
          <cell r="I8272">
            <v>568000000</v>
          </cell>
        </row>
        <row r="8273">
          <cell r="A8273" t="str">
            <v>New Zealand</v>
          </cell>
          <cell r="B8273">
            <v>554</v>
          </cell>
          <cell r="C8273">
            <v>203</v>
          </cell>
          <cell r="D8273">
            <v>22</v>
          </cell>
          <cell r="E8273" t="str">
            <v>Taxes on production and imports, less Subsidies</v>
          </cell>
          <cell r="F8273">
            <v>12</v>
          </cell>
          <cell r="G8273">
            <v>1976</v>
          </cell>
          <cell r="H8273">
            <v>20</v>
          </cell>
          <cell r="I8273">
            <v>884000000</v>
          </cell>
        </row>
        <row r="8274">
          <cell r="A8274" t="str">
            <v>New Zealand</v>
          </cell>
          <cell r="B8274">
            <v>554</v>
          </cell>
          <cell r="C8274">
            <v>203</v>
          </cell>
          <cell r="D8274">
            <v>22</v>
          </cell>
          <cell r="E8274" t="str">
            <v>Taxes on production and imports, less Subsidies</v>
          </cell>
          <cell r="F8274">
            <v>12</v>
          </cell>
          <cell r="G8274">
            <v>1977</v>
          </cell>
          <cell r="H8274">
            <v>30</v>
          </cell>
          <cell r="I8274">
            <v>1018000000</v>
          </cell>
        </row>
        <row r="8275">
          <cell r="A8275" t="str">
            <v>New Zealand</v>
          </cell>
          <cell r="B8275">
            <v>554</v>
          </cell>
          <cell r="C8275">
            <v>203</v>
          </cell>
          <cell r="D8275">
            <v>22</v>
          </cell>
          <cell r="E8275" t="str">
            <v>Taxes on production and imports, less Subsidies</v>
          </cell>
          <cell r="F8275">
            <v>12</v>
          </cell>
          <cell r="G8275">
            <v>1978</v>
          </cell>
          <cell r="H8275">
            <v>30</v>
          </cell>
          <cell r="I8275">
            <v>1108000000</v>
          </cell>
        </row>
        <row r="8276">
          <cell r="A8276" t="str">
            <v>New Zealand</v>
          </cell>
          <cell r="B8276">
            <v>554</v>
          </cell>
          <cell r="C8276">
            <v>203</v>
          </cell>
          <cell r="D8276">
            <v>22</v>
          </cell>
          <cell r="E8276" t="str">
            <v>Taxes on production and imports, less Subsidies</v>
          </cell>
          <cell r="F8276">
            <v>12</v>
          </cell>
          <cell r="G8276">
            <v>1979</v>
          </cell>
          <cell r="H8276">
            <v>30</v>
          </cell>
          <cell r="I8276">
            <v>1407000000</v>
          </cell>
        </row>
        <row r="8277">
          <cell r="A8277" t="str">
            <v>New Zealand</v>
          </cell>
          <cell r="B8277">
            <v>554</v>
          </cell>
          <cell r="C8277">
            <v>203</v>
          </cell>
          <cell r="D8277">
            <v>22</v>
          </cell>
          <cell r="E8277" t="str">
            <v>Taxes on production and imports, less Subsidies</v>
          </cell>
          <cell r="F8277">
            <v>12</v>
          </cell>
          <cell r="G8277">
            <v>1980</v>
          </cell>
          <cell r="H8277">
            <v>30</v>
          </cell>
          <cell r="I8277">
            <v>1727000000</v>
          </cell>
        </row>
        <row r="8278">
          <cell r="A8278" t="str">
            <v>New Zealand</v>
          </cell>
          <cell r="B8278">
            <v>554</v>
          </cell>
          <cell r="C8278">
            <v>203</v>
          </cell>
          <cell r="D8278">
            <v>22</v>
          </cell>
          <cell r="E8278" t="str">
            <v>Taxes on production and imports, less Subsidies</v>
          </cell>
          <cell r="F8278">
            <v>12</v>
          </cell>
          <cell r="G8278">
            <v>1981</v>
          </cell>
          <cell r="H8278">
            <v>30</v>
          </cell>
          <cell r="I8278">
            <v>1945000000</v>
          </cell>
        </row>
        <row r="8279">
          <cell r="A8279" t="str">
            <v>New Zealand</v>
          </cell>
          <cell r="B8279">
            <v>554</v>
          </cell>
          <cell r="C8279">
            <v>203</v>
          </cell>
          <cell r="D8279">
            <v>22</v>
          </cell>
          <cell r="E8279" t="str">
            <v>Taxes on production and imports, less Subsidies</v>
          </cell>
          <cell r="F8279">
            <v>12</v>
          </cell>
          <cell r="G8279">
            <v>1982</v>
          </cell>
          <cell r="H8279">
            <v>30</v>
          </cell>
          <cell r="I8279">
            <v>2270000000</v>
          </cell>
        </row>
        <row r="8280">
          <cell r="A8280" t="str">
            <v>New Zealand</v>
          </cell>
          <cell r="B8280">
            <v>554</v>
          </cell>
          <cell r="C8280">
            <v>203</v>
          </cell>
          <cell r="D8280">
            <v>22</v>
          </cell>
          <cell r="E8280" t="str">
            <v>Taxes on production and imports, less Subsidies</v>
          </cell>
          <cell r="F8280">
            <v>12</v>
          </cell>
          <cell r="G8280">
            <v>1983</v>
          </cell>
          <cell r="H8280">
            <v>30</v>
          </cell>
          <cell r="I8280">
            <v>2720000000</v>
          </cell>
        </row>
        <row r="8281">
          <cell r="A8281" t="str">
            <v>New Zealand</v>
          </cell>
          <cell r="B8281">
            <v>554</v>
          </cell>
          <cell r="C8281">
            <v>203</v>
          </cell>
          <cell r="D8281">
            <v>22</v>
          </cell>
          <cell r="E8281" t="str">
            <v>Taxes on production and imports, less Subsidies</v>
          </cell>
          <cell r="F8281">
            <v>12</v>
          </cell>
          <cell r="G8281">
            <v>1984</v>
          </cell>
          <cell r="H8281">
            <v>30</v>
          </cell>
          <cell r="I8281">
            <v>3241000000</v>
          </cell>
        </row>
        <row r="8282">
          <cell r="A8282" t="str">
            <v>New Zealand</v>
          </cell>
          <cell r="B8282">
            <v>554</v>
          </cell>
          <cell r="C8282">
            <v>203</v>
          </cell>
          <cell r="D8282">
            <v>22</v>
          </cell>
          <cell r="E8282" t="str">
            <v>Taxes on production and imports, less Subsidies</v>
          </cell>
          <cell r="F8282">
            <v>12</v>
          </cell>
          <cell r="G8282">
            <v>1985</v>
          </cell>
          <cell r="H8282">
            <v>30</v>
          </cell>
          <cell r="I8282">
            <v>3857000000</v>
          </cell>
        </row>
        <row r="8283">
          <cell r="A8283" t="str">
            <v>New Zealand</v>
          </cell>
          <cell r="B8283">
            <v>554</v>
          </cell>
          <cell r="C8283">
            <v>203</v>
          </cell>
          <cell r="D8283">
            <v>22</v>
          </cell>
          <cell r="E8283" t="str">
            <v>Taxes on production and imports, less Subsidies</v>
          </cell>
          <cell r="F8283">
            <v>12</v>
          </cell>
          <cell r="G8283">
            <v>1986</v>
          </cell>
          <cell r="H8283">
            <v>30</v>
          </cell>
          <cell r="I8283">
            <v>4204000000</v>
          </cell>
        </row>
        <row r="8284">
          <cell r="A8284" t="str">
            <v>New Zealand</v>
          </cell>
          <cell r="B8284">
            <v>554</v>
          </cell>
          <cell r="C8284">
            <v>203</v>
          </cell>
          <cell r="D8284">
            <v>22</v>
          </cell>
          <cell r="E8284" t="str">
            <v>Taxes on production and imports, less Subsidies</v>
          </cell>
          <cell r="F8284">
            <v>12</v>
          </cell>
          <cell r="G8284">
            <v>1986</v>
          </cell>
          <cell r="H8284">
            <v>100</v>
          </cell>
          <cell r="I8284">
            <v>4149653000</v>
          </cell>
        </row>
        <row r="8285">
          <cell r="A8285" t="str">
            <v>New Zealand</v>
          </cell>
          <cell r="B8285">
            <v>554</v>
          </cell>
          <cell r="C8285">
            <v>203</v>
          </cell>
          <cell r="D8285">
            <v>22</v>
          </cell>
          <cell r="E8285" t="str">
            <v>Taxes on production and imports, less Subsidies</v>
          </cell>
          <cell r="F8285">
            <v>12</v>
          </cell>
          <cell r="G8285">
            <v>1987</v>
          </cell>
          <cell r="H8285">
            <v>100</v>
          </cell>
          <cell r="I8285">
            <v>4325808000</v>
          </cell>
        </row>
        <row r="8286">
          <cell r="A8286" t="str">
            <v>New Zealand</v>
          </cell>
          <cell r="B8286">
            <v>554</v>
          </cell>
          <cell r="C8286">
            <v>203</v>
          </cell>
          <cell r="D8286">
            <v>22</v>
          </cell>
          <cell r="E8286" t="str">
            <v>Taxes on production and imports, less Subsidies</v>
          </cell>
          <cell r="F8286">
            <v>12</v>
          </cell>
          <cell r="G8286">
            <v>1988</v>
          </cell>
          <cell r="H8286">
            <v>100</v>
          </cell>
          <cell r="I8286">
            <v>4975398000</v>
          </cell>
        </row>
        <row r="8287">
          <cell r="A8287" t="str">
            <v>New Zealand</v>
          </cell>
          <cell r="B8287">
            <v>554</v>
          </cell>
          <cell r="C8287">
            <v>203</v>
          </cell>
          <cell r="D8287">
            <v>22</v>
          </cell>
          <cell r="E8287" t="str">
            <v>Taxes on production and imports, less Subsidies</v>
          </cell>
          <cell r="F8287">
            <v>12</v>
          </cell>
          <cell r="G8287">
            <v>1989</v>
          </cell>
          <cell r="H8287">
            <v>100</v>
          </cell>
          <cell r="I8287">
            <v>5307560000</v>
          </cell>
        </row>
        <row r="8288">
          <cell r="A8288" t="str">
            <v>New Zealand</v>
          </cell>
          <cell r="B8288">
            <v>554</v>
          </cell>
          <cell r="C8288">
            <v>203</v>
          </cell>
          <cell r="D8288">
            <v>22</v>
          </cell>
          <cell r="E8288" t="str">
            <v>Taxes on production and imports, less Subsidies</v>
          </cell>
          <cell r="F8288">
            <v>12</v>
          </cell>
          <cell r="G8288">
            <v>1990</v>
          </cell>
          <cell r="H8288">
            <v>100</v>
          </cell>
          <cell r="I8288">
            <v>5273294000</v>
          </cell>
        </row>
        <row r="8289">
          <cell r="A8289" t="str">
            <v>New Zealand</v>
          </cell>
          <cell r="B8289">
            <v>554</v>
          </cell>
          <cell r="C8289">
            <v>203</v>
          </cell>
          <cell r="D8289">
            <v>22</v>
          </cell>
          <cell r="E8289" t="str">
            <v>Taxes on production and imports, less Subsidies</v>
          </cell>
          <cell r="F8289">
            <v>12</v>
          </cell>
          <cell r="G8289">
            <v>1991</v>
          </cell>
          <cell r="H8289">
            <v>100</v>
          </cell>
          <cell r="I8289">
            <v>5062266980</v>
          </cell>
        </row>
        <row r="8290">
          <cell r="A8290" t="str">
            <v>New Zealand</v>
          </cell>
          <cell r="B8290">
            <v>554</v>
          </cell>
          <cell r="C8290">
            <v>203</v>
          </cell>
          <cell r="D8290">
            <v>22</v>
          </cell>
          <cell r="E8290" t="str">
            <v>Taxes on production and imports, less Subsidies</v>
          </cell>
          <cell r="F8290">
            <v>12</v>
          </cell>
          <cell r="G8290">
            <v>1992</v>
          </cell>
          <cell r="H8290">
            <v>100</v>
          </cell>
          <cell r="I8290">
            <v>4860487193</v>
          </cell>
        </row>
        <row r="8291">
          <cell r="A8291" t="str">
            <v>New Zealand</v>
          </cell>
          <cell r="B8291">
            <v>554</v>
          </cell>
          <cell r="C8291">
            <v>203</v>
          </cell>
          <cell r="D8291">
            <v>22</v>
          </cell>
          <cell r="E8291" t="str">
            <v>Taxes on production and imports, less Subsidies</v>
          </cell>
          <cell r="F8291">
            <v>12</v>
          </cell>
          <cell r="G8291">
            <v>1993</v>
          </cell>
          <cell r="H8291">
            <v>100</v>
          </cell>
          <cell r="I8291">
            <v>4943782100</v>
          </cell>
        </row>
        <row r="8292">
          <cell r="A8292" t="str">
            <v>New Zealand</v>
          </cell>
          <cell r="B8292">
            <v>554</v>
          </cell>
          <cell r="C8292">
            <v>203</v>
          </cell>
          <cell r="D8292">
            <v>22</v>
          </cell>
          <cell r="E8292" t="str">
            <v>Taxes on production and imports, less Subsidies</v>
          </cell>
          <cell r="F8292">
            <v>12</v>
          </cell>
          <cell r="G8292">
            <v>1994</v>
          </cell>
          <cell r="H8292">
            <v>100</v>
          </cell>
          <cell r="I8292">
            <v>4965809735</v>
          </cell>
        </row>
        <row r="8293">
          <cell r="A8293" t="str">
            <v>New Zealand</v>
          </cell>
          <cell r="B8293">
            <v>554</v>
          </cell>
          <cell r="C8293">
            <v>203</v>
          </cell>
          <cell r="D8293">
            <v>22</v>
          </cell>
          <cell r="E8293" t="str">
            <v>Taxes on production and imports, less Subsidies</v>
          </cell>
          <cell r="F8293">
            <v>12</v>
          </cell>
          <cell r="G8293">
            <v>1995</v>
          </cell>
          <cell r="H8293">
            <v>100</v>
          </cell>
          <cell r="I8293">
            <v>5152500000</v>
          </cell>
        </row>
        <row r="8294">
          <cell r="A8294" t="str">
            <v>New Zealand</v>
          </cell>
          <cell r="B8294">
            <v>554</v>
          </cell>
          <cell r="C8294">
            <v>203</v>
          </cell>
          <cell r="D8294">
            <v>22</v>
          </cell>
          <cell r="E8294" t="str">
            <v>Taxes on production and imports, less Subsidies</v>
          </cell>
          <cell r="F8294">
            <v>12</v>
          </cell>
          <cell r="G8294">
            <v>1996</v>
          </cell>
          <cell r="H8294">
            <v>100</v>
          </cell>
          <cell r="I8294">
            <v>5256082000</v>
          </cell>
        </row>
        <row r="8295">
          <cell r="A8295" t="str">
            <v>New Zealand</v>
          </cell>
          <cell r="B8295">
            <v>554</v>
          </cell>
          <cell r="C8295">
            <v>203</v>
          </cell>
          <cell r="D8295">
            <v>22</v>
          </cell>
          <cell r="E8295" t="str">
            <v>Taxes on production and imports, less Subsidies</v>
          </cell>
          <cell r="F8295">
            <v>12</v>
          </cell>
          <cell r="G8295">
            <v>1997</v>
          </cell>
          <cell r="H8295">
            <v>100</v>
          </cell>
          <cell r="I8295">
            <v>5489449663</v>
          </cell>
        </row>
        <row r="8296">
          <cell r="A8296" t="str">
            <v>New Zealand</v>
          </cell>
          <cell r="B8296">
            <v>554</v>
          </cell>
          <cell r="C8296">
            <v>203</v>
          </cell>
          <cell r="D8296">
            <v>22</v>
          </cell>
          <cell r="E8296" t="str">
            <v>Taxes on production and imports, less Subsidies</v>
          </cell>
          <cell r="F8296">
            <v>12</v>
          </cell>
          <cell r="G8296">
            <v>1998</v>
          </cell>
          <cell r="H8296">
            <v>100</v>
          </cell>
          <cell r="I8296">
            <v>5728432214</v>
          </cell>
        </row>
        <row r="8297">
          <cell r="A8297" t="str">
            <v>New Zealand</v>
          </cell>
          <cell r="B8297">
            <v>554</v>
          </cell>
          <cell r="C8297">
            <v>203</v>
          </cell>
          <cell r="D8297">
            <v>22</v>
          </cell>
          <cell r="E8297" t="str">
            <v>Taxes on production and imports, less Subsidies</v>
          </cell>
          <cell r="F8297">
            <v>12</v>
          </cell>
          <cell r="G8297">
            <v>1999</v>
          </cell>
          <cell r="H8297">
            <v>100</v>
          </cell>
          <cell r="I8297">
            <v>5926333668</v>
          </cell>
        </row>
        <row r="8298">
          <cell r="A8298" t="str">
            <v>New Zealand</v>
          </cell>
          <cell r="B8298">
            <v>554</v>
          </cell>
          <cell r="C8298">
            <v>203</v>
          </cell>
          <cell r="D8298">
            <v>22</v>
          </cell>
          <cell r="E8298" t="str">
            <v>Taxes on production and imports, less Subsidies</v>
          </cell>
          <cell r="F8298">
            <v>12</v>
          </cell>
          <cell r="G8298">
            <v>2000</v>
          </cell>
          <cell r="H8298">
            <v>100</v>
          </cell>
          <cell r="I8298">
            <v>6134450839</v>
          </cell>
        </row>
        <row r="8299">
          <cell r="A8299" t="str">
            <v>Norway</v>
          </cell>
          <cell r="B8299">
            <v>578</v>
          </cell>
          <cell r="C8299">
            <v>203</v>
          </cell>
          <cell r="D8299">
            <v>4</v>
          </cell>
          <cell r="E8299" t="str">
            <v>Compensation of employees</v>
          </cell>
          <cell r="F8299">
            <v>12</v>
          </cell>
          <cell r="G8299">
            <v>1970</v>
          </cell>
          <cell r="H8299">
            <v>200</v>
          </cell>
          <cell r="I8299">
            <v>43904000000</v>
          </cell>
        </row>
        <row r="8300">
          <cell r="A8300" t="str">
            <v>Norway</v>
          </cell>
          <cell r="B8300">
            <v>578</v>
          </cell>
          <cell r="C8300">
            <v>203</v>
          </cell>
          <cell r="D8300">
            <v>4</v>
          </cell>
          <cell r="E8300" t="str">
            <v>Compensation of employees</v>
          </cell>
          <cell r="F8300">
            <v>12</v>
          </cell>
          <cell r="G8300">
            <v>1971</v>
          </cell>
          <cell r="H8300">
            <v>200</v>
          </cell>
          <cell r="I8300">
            <v>51178000000</v>
          </cell>
        </row>
        <row r="8301">
          <cell r="A8301" t="str">
            <v>Norway</v>
          </cell>
          <cell r="B8301">
            <v>578</v>
          </cell>
          <cell r="C8301">
            <v>203</v>
          </cell>
          <cell r="D8301">
            <v>4</v>
          </cell>
          <cell r="E8301" t="str">
            <v>Compensation of employees</v>
          </cell>
          <cell r="F8301">
            <v>12</v>
          </cell>
          <cell r="G8301">
            <v>1972</v>
          </cell>
          <cell r="H8301">
            <v>200</v>
          </cell>
          <cell r="I8301">
            <v>57500000000</v>
          </cell>
        </row>
        <row r="8302">
          <cell r="A8302" t="str">
            <v>Norway</v>
          </cell>
          <cell r="B8302">
            <v>578</v>
          </cell>
          <cell r="C8302">
            <v>203</v>
          </cell>
          <cell r="D8302">
            <v>4</v>
          </cell>
          <cell r="E8302" t="str">
            <v>Compensation of employees</v>
          </cell>
          <cell r="F8302">
            <v>12</v>
          </cell>
          <cell r="G8302">
            <v>1973</v>
          </cell>
          <cell r="H8302">
            <v>200</v>
          </cell>
          <cell r="I8302">
            <v>64813000000</v>
          </cell>
        </row>
        <row r="8303">
          <cell r="A8303" t="str">
            <v>Norway</v>
          </cell>
          <cell r="B8303">
            <v>578</v>
          </cell>
          <cell r="C8303">
            <v>203</v>
          </cell>
          <cell r="D8303">
            <v>4</v>
          </cell>
          <cell r="E8303" t="str">
            <v>Compensation of employees</v>
          </cell>
          <cell r="F8303">
            <v>12</v>
          </cell>
          <cell r="G8303">
            <v>1974</v>
          </cell>
          <cell r="H8303">
            <v>200</v>
          </cell>
          <cell r="I8303">
            <v>74615000000</v>
          </cell>
        </row>
        <row r="8304">
          <cell r="A8304" t="str">
            <v>Norway</v>
          </cell>
          <cell r="B8304">
            <v>578</v>
          </cell>
          <cell r="C8304">
            <v>203</v>
          </cell>
          <cell r="D8304">
            <v>4</v>
          </cell>
          <cell r="E8304" t="str">
            <v>Compensation of employees</v>
          </cell>
          <cell r="F8304">
            <v>12</v>
          </cell>
          <cell r="G8304">
            <v>1975</v>
          </cell>
          <cell r="H8304">
            <v>200</v>
          </cell>
          <cell r="I8304">
            <v>88790000000</v>
          </cell>
        </row>
        <row r="8305">
          <cell r="A8305" t="str">
            <v>Norway</v>
          </cell>
          <cell r="B8305">
            <v>578</v>
          </cell>
          <cell r="C8305">
            <v>203</v>
          </cell>
          <cell r="D8305">
            <v>4</v>
          </cell>
          <cell r="E8305" t="str">
            <v>Compensation of employees</v>
          </cell>
          <cell r="F8305">
            <v>12</v>
          </cell>
          <cell r="G8305">
            <v>1976</v>
          </cell>
          <cell r="H8305">
            <v>200</v>
          </cell>
          <cell r="I8305">
            <v>103718000000</v>
          </cell>
        </row>
        <row r="8306">
          <cell r="A8306" t="str">
            <v>Norway</v>
          </cell>
          <cell r="B8306">
            <v>578</v>
          </cell>
          <cell r="C8306">
            <v>203</v>
          </cell>
          <cell r="D8306">
            <v>4</v>
          </cell>
          <cell r="E8306" t="str">
            <v>Compensation of employees</v>
          </cell>
          <cell r="F8306">
            <v>12</v>
          </cell>
          <cell r="G8306">
            <v>1977</v>
          </cell>
          <cell r="H8306">
            <v>200</v>
          </cell>
          <cell r="I8306">
            <v>117627000000</v>
          </cell>
        </row>
        <row r="8307">
          <cell r="A8307" t="str">
            <v>Norway</v>
          </cell>
          <cell r="B8307">
            <v>578</v>
          </cell>
          <cell r="C8307">
            <v>203</v>
          </cell>
          <cell r="D8307">
            <v>4</v>
          </cell>
          <cell r="E8307" t="str">
            <v>Compensation of employees</v>
          </cell>
          <cell r="F8307">
            <v>12</v>
          </cell>
          <cell r="G8307">
            <v>1978</v>
          </cell>
          <cell r="H8307">
            <v>200</v>
          </cell>
          <cell r="I8307">
            <v>129393000000</v>
          </cell>
        </row>
        <row r="8308">
          <cell r="A8308" t="str">
            <v>Norway</v>
          </cell>
          <cell r="B8308">
            <v>578</v>
          </cell>
          <cell r="C8308">
            <v>203</v>
          </cell>
          <cell r="D8308">
            <v>4</v>
          </cell>
          <cell r="E8308" t="str">
            <v>Compensation of employees</v>
          </cell>
          <cell r="F8308">
            <v>12</v>
          </cell>
          <cell r="G8308">
            <v>1979</v>
          </cell>
          <cell r="H8308">
            <v>200</v>
          </cell>
          <cell r="I8308">
            <v>135168000000</v>
          </cell>
        </row>
        <row r="8309">
          <cell r="A8309" t="str">
            <v>Norway</v>
          </cell>
          <cell r="B8309">
            <v>578</v>
          </cell>
          <cell r="C8309">
            <v>203</v>
          </cell>
          <cell r="D8309">
            <v>4</v>
          </cell>
          <cell r="E8309" t="str">
            <v>Compensation of employees</v>
          </cell>
          <cell r="F8309">
            <v>12</v>
          </cell>
          <cell r="G8309">
            <v>1980</v>
          </cell>
          <cell r="H8309">
            <v>200</v>
          </cell>
          <cell r="I8309">
            <v>151929000000</v>
          </cell>
        </row>
        <row r="8310">
          <cell r="A8310" t="str">
            <v>Norway</v>
          </cell>
          <cell r="B8310">
            <v>578</v>
          </cell>
          <cell r="C8310">
            <v>203</v>
          </cell>
          <cell r="D8310">
            <v>4</v>
          </cell>
          <cell r="E8310" t="str">
            <v>Compensation of employees</v>
          </cell>
          <cell r="F8310">
            <v>12</v>
          </cell>
          <cell r="G8310">
            <v>1981</v>
          </cell>
          <cell r="H8310">
            <v>200</v>
          </cell>
          <cell r="I8310">
            <v>172068000000</v>
          </cell>
        </row>
        <row r="8311">
          <cell r="A8311" t="str">
            <v>Norway</v>
          </cell>
          <cell r="B8311">
            <v>578</v>
          </cell>
          <cell r="C8311">
            <v>203</v>
          </cell>
          <cell r="D8311">
            <v>4</v>
          </cell>
          <cell r="E8311" t="str">
            <v>Compensation of employees</v>
          </cell>
          <cell r="F8311">
            <v>12</v>
          </cell>
          <cell r="G8311">
            <v>1982</v>
          </cell>
          <cell r="H8311">
            <v>200</v>
          </cell>
          <cell r="I8311">
            <v>192095000000</v>
          </cell>
        </row>
        <row r="8312">
          <cell r="A8312" t="str">
            <v>Norway</v>
          </cell>
          <cell r="B8312">
            <v>578</v>
          </cell>
          <cell r="C8312">
            <v>203</v>
          </cell>
          <cell r="D8312">
            <v>4</v>
          </cell>
          <cell r="E8312" t="str">
            <v>Compensation of employees</v>
          </cell>
          <cell r="F8312">
            <v>12</v>
          </cell>
          <cell r="G8312">
            <v>1983</v>
          </cell>
          <cell r="H8312">
            <v>200</v>
          </cell>
          <cell r="I8312">
            <v>208102000000</v>
          </cell>
        </row>
        <row r="8313">
          <cell r="A8313" t="str">
            <v>Norway</v>
          </cell>
          <cell r="B8313">
            <v>578</v>
          </cell>
          <cell r="C8313">
            <v>203</v>
          </cell>
          <cell r="D8313">
            <v>4</v>
          </cell>
          <cell r="E8313" t="str">
            <v>Compensation of employees</v>
          </cell>
          <cell r="F8313">
            <v>12</v>
          </cell>
          <cell r="G8313">
            <v>1984</v>
          </cell>
          <cell r="H8313">
            <v>200</v>
          </cell>
          <cell r="I8313">
            <v>227401000000</v>
          </cell>
        </row>
        <row r="8314">
          <cell r="A8314" t="str">
            <v>Norway</v>
          </cell>
          <cell r="B8314">
            <v>578</v>
          </cell>
          <cell r="C8314">
            <v>203</v>
          </cell>
          <cell r="D8314">
            <v>4</v>
          </cell>
          <cell r="E8314" t="str">
            <v>Compensation of employees</v>
          </cell>
          <cell r="F8314">
            <v>12</v>
          </cell>
          <cell r="G8314">
            <v>1985</v>
          </cell>
          <cell r="H8314">
            <v>200</v>
          </cell>
          <cell r="I8314">
            <v>252148000000</v>
          </cell>
        </row>
        <row r="8315">
          <cell r="A8315" t="str">
            <v>Norway</v>
          </cell>
          <cell r="B8315">
            <v>578</v>
          </cell>
          <cell r="C8315">
            <v>203</v>
          </cell>
          <cell r="D8315">
            <v>4</v>
          </cell>
          <cell r="E8315" t="str">
            <v>Compensation of employees</v>
          </cell>
          <cell r="F8315">
            <v>12</v>
          </cell>
          <cell r="G8315">
            <v>1986</v>
          </cell>
          <cell r="H8315">
            <v>200</v>
          </cell>
          <cell r="I8315">
            <v>284524000000</v>
          </cell>
        </row>
        <row r="8316">
          <cell r="A8316" t="str">
            <v>Norway</v>
          </cell>
          <cell r="B8316">
            <v>578</v>
          </cell>
          <cell r="C8316">
            <v>203</v>
          </cell>
          <cell r="D8316">
            <v>4</v>
          </cell>
          <cell r="E8316" t="str">
            <v>Compensation of employees</v>
          </cell>
          <cell r="F8316">
            <v>12</v>
          </cell>
          <cell r="G8316">
            <v>1987</v>
          </cell>
          <cell r="H8316">
            <v>200</v>
          </cell>
          <cell r="I8316">
            <v>320081000000</v>
          </cell>
        </row>
        <row r="8317">
          <cell r="A8317" t="str">
            <v>Norway</v>
          </cell>
          <cell r="B8317">
            <v>578</v>
          </cell>
          <cell r="C8317">
            <v>203</v>
          </cell>
          <cell r="D8317">
            <v>4</v>
          </cell>
          <cell r="E8317" t="str">
            <v>Compensation of employees</v>
          </cell>
          <cell r="F8317">
            <v>12</v>
          </cell>
          <cell r="G8317">
            <v>1988</v>
          </cell>
          <cell r="H8317">
            <v>200</v>
          </cell>
          <cell r="I8317">
            <v>339738000000</v>
          </cell>
        </row>
        <row r="8318">
          <cell r="A8318" t="str">
            <v>Norway</v>
          </cell>
          <cell r="B8318">
            <v>578</v>
          </cell>
          <cell r="C8318">
            <v>203</v>
          </cell>
          <cell r="D8318">
            <v>4</v>
          </cell>
          <cell r="E8318" t="str">
            <v>Compensation of employees</v>
          </cell>
          <cell r="F8318">
            <v>12</v>
          </cell>
          <cell r="G8318">
            <v>1989</v>
          </cell>
          <cell r="H8318">
            <v>200</v>
          </cell>
          <cell r="I8318">
            <v>344185000000</v>
          </cell>
        </row>
        <row r="8319">
          <cell r="A8319" t="str">
            <v>Norway</v>
          </cell>
          <cell r="B8319">
            <v>578</v>
          </cell>
          <cell r="C8319">
            <v>203</v>
          </cell>
          <cell r="D8319">
            <v>4</v>
          </cell>
          <cell r="E8319" t="str">
            <v>Compensation of employees</v>
          </cell>
          <cell r="F8319">
            <v>12</v>
          </cell>
          <cell r="G8319">
            <v>1990</v>
          </cell>
          <cell r="H8319">
            <v>200</v>
          </cell>
          <cell r="I8319">
            <v>357217000000</v>
          </cell>
        </row>
        <row r="8320">
          <cell r="A8320" t="str">
            <v>Norway</v>
          </cell>
          <cell r="B8320">
            <v>578</v>
          </cell>
          <cell r="C8320">
            <v>203</v>
          </cell>
          <cell r="D8320">
            <v>4</v>
          </cell>
          <cell r="E8320" t="str">
            <v>Compensation of employees</v>
          </cell>
          <cell r="F8320">
            <v>12</v>
          </cell>
          <cell r="G8320">
            <v>1991</v>
          </cell>
          <cell r="H8320">
            <v>200</v>
          </cell>
          <cell r="I8320">
            <v>373996000000</v>
          </cell>
        </row>
        <row r="8321">
          <cell r="A8321" t="str">
            <v>Norway</v>
          </cell>
          <cell r="B8321">
            <v>578</v>
          </cell>
          <cell r="C8321">
            <v>203</v>
          </cell>
          <cell r="D8321">
            <v>4</v>
          </cell>
          <cell r="E8321" t="str">
            <v>Compensation of employees</v>
          </cell>
          <cell r="F8321">
            <v>12</v>
          </cell>
          <cell r="G8321">
            <v>1992</v>
          </cell>
          <cell r="H8321">
            <v>200</v>
          </cell>
          <cell r="I8321">
            <v>388516000000</v>
          </cell>
        </row>
        <row r="8322">
          <cell r="A8322" t="str">
            <v>Norway</v>
          </cell>
          <cell r="B8322">
            <v>578</v>
          </cell>
          <cell r="C8322">
            <v>203</v>
          </cell>
          <cell r="D8322">
            <v>4</v>
          </cell>
          <cell r="E8322" t="str">
            <v>Compensation of employees</v>
          </cell>
          <cell r="F8322">
            <v>12</v>
          </cell>
          <cell r="G8322">
            <v>1993</v>
          </cell>
          <cell r="H8322">
            <v>200</v>
          </cell>
          <cell r="I8322">
            <v>398283000000</v>
          </cell>
        </row>
        <row r="8323">
          <cell r="A8323" t="str">
            <v>Norway</v>
          </cell>
          <cell r="B8323">
            <v>578</v>
          </cell>
          <cell r="C8323">
            <v>203</v>
          </cell>
          <cell r="D8323">
            <v>4</v>
          </cell>
          <cell r="E8323" t="str">
            <v>Compensation of employees</v>
          </cell>
          <cell r="F8323">
            <v>12</v>
          </cell>
          <cell r="G8323">
            <v>1994</v>
          </cell>
          <cell r="H8323">
            <v>200</v>
          </cell>
          <cell r="I8323">
            <v>418521000000</v>
          </cell>
        </row>
        <row r="8324">
          <cell r="A8324" t="str">
            <v>Norway</v>
          </cell>
          <cell r="B8324">
            <v>578</v>
          </cell>
          <cell r="C8324">
            <v>203</v>
          </cell>
          <cell r="D8324">
            <v>4</v>
          </cell>
          <cell r="E8324" t="str">
            <v>Compensation of employees</v>
          </cell>
          <cell r="F8324">
            <v>12</v>
          </cell>
          <cell r="G8324">
            <v>1995</v>
          </cell>
          <cell r="H8324">
            <v>200</v>
          </cell>
          <cell r="I8324">
            <v>443994000000</v>
          </cell>
        </row>
        <row r="8325">
          <cell r="A8325" t="str">
            <v>Norway</v>
          </cell>
          <cell r="B8325">
            <v>578</v>
          </cell>
          <cell r="C8325">
            <v>203</v>
          </cell>
          <cell r="D8325">
            <v>4</v>
          </cell>
          <cell r="E8325" t="str">
            <v>Compensation of employees</v>
          </cell>
          <cell r="F8325">
            <v>12</v>
          </cell>
          <cell r="G8325">
            <v>1996</v>
          </cell>
          <cell r="H8325">
            <v>200</v>
          </cell>
          <cell r="I8325">
            <v>476170000000</v>
          </cell>
        </row>
        <row r="8326">
          <cell r="A8326" t="str">
            <v>Norway</v>
          </cell>
          <cell r="B8326">
            <v>578</v>
          </cell>
          <cell r="C8326">
            <v>203</v>
          </cell>
          <cell r="D8326">
            <v>4</v>
          </cell>
          <cell r="E8326" t="str">
            <v>Compensation of employees</v>
          </cell>
          <cell r="F8326">
            <v>12</v>
          </cell>
          <cell r="G8326">
            <v>1997</v>
          </cell>
          <cell r="H8326">
            <v>200</v>
          </cell>
          <cell r="I8326">
            <v>516523000000</v>
          </cell>
        </row>
        <row r="8327">
          <cell r="A8327" t="str">
            <v>Norway</v>
          </cell>
          <cell r="B8327">
            <v>578</v>
          </cell>
          <cell r="C8327">
            <v>203</v>
          </cell>
          <cell r="D8327">
            <v>4</v>
          </cell>
          <cell r="E8327" t="str">
            <v>Compensation of employees</v>
          </cell>
          <cell r="F8327">
            <v>12</v>
          </cell>
          <cell r="G8327">
            <v>1998</v>
          </cell>
          <cell r="H8327">
            <v>200</v>
          </cell>
          <cell r="I8327">
            <v>567804000000</v>
          </cell>
        </row>
        <row r="8328">
          <cell r="A8328" t="str">
            <v>Norway</v>
          </cell>
          <cell r="B8328">
            <v>578</v>
          </cell>
          <cell r="C8328">
            <v>203</v>
          </cell>
          <cell r="D8328">
            <v>4</v>
          </cell>
          <cell r="E8328" t="str">
            <v>Compensation of employees</v>
          </cell>
          <cell r="F8328">
            <v>12</v>
          </cell>
          <cell r="G8328">
            <v>1999</v>
          </cell>
          <cell r="H8328">
            <v>200</v>
          </cell>
          <cell r="I8328">
            <v>606127000000</v>
          </cell>
        </row>
        <row r="8329">
          <cell r="A8329" t="str">
            <v>Norway</v>
          </cell>
          <cell r="B8329">
            <v>578</v>
          </cell>
          <cell r="C8329">
            <v>203</v>
          </cell>
          <cell r="D8329">
            <v>4</v>
          </cell>
          <cell r="E8329" t="str">
            <v>Compensation of employees</v>
          </cell>
          <cell r="F8329">
            <v>12</v>
          </cell>
          <cell r="G8329">
            <v>2000</v>
          </cell>
          <cell r="H8329">
            <v>200</v>
          </cell>
          <cell r="I8329">
            <v>640062000000</v>
          </cell>
        </row>
        <row r="8330">
          <cell r="A8330" t="str">
            <v>Norway</v>
          </cell>
          <cell r="B8330">
            <v>578</v>
          </cell>
          <cell r="C8330">
            <v>203</v>
          </cell>
          <cell r="D8330">
            <v>4</v>
          </cell>
          <cell r="E8330" t="str">
            <v>Compensation of employees</v>
          </cell>
          <cell r="F8330">
            <v>12</v>
          </cell>
          <cell r="G8330">
            <v>2001</v>
          </cell>
          <cell r="H8330">
            <v>200</v>
          </cell>
          <cell r="I8330">
            <v>680715000000</v>
          </cell>
        </row>
        <row r="8331">
          <cell r="A8331" t="str">
            <v>Nigeria</v>
          </cell>
          <cell r="B8331">
            <v>566</v>
          </cell>
          <cell r="C8331">
            <v>203</v>
          </cell>
          <cell r="D8331">
            <v>3</v>
          </cell>
          <cell r="E8331" t="str">
            <v>Equals: VALUE ADDED, GROSS, at basic prices</v>
          </cell>
          <cell r="F8331">
            <v>12</v>
          </cell>
          <cell r="G8331">
            <v>1981</v>
          </cell>
          <cell r="H8331">
            <v>30</v>
          </cell>
          <cell r="I8331">
            <v>50749000000</v>
          </cell>
        </row>
        <row r="8332">
          <cell r="A8332" t="str">
            <v>Nigeria</v>
          </cell>
          <cell r="B8332">
            <v>566</v>
          </cell>
          <cell r="C8332">
            <v>203</v>
          </cell>
          <cell r="D8332">
            <v>3</v>
          </cell>
          <cell r="E8332" t="str">
            <v>Equals: VALUE ADDED, GROSS, at basic prices</v>
          </cell>
          <cell r="F8332">
            <v>12</v>
          </cell>
          <cell r="G8332">
            <v>1982</v>
          </cell>
          <cell r="H8332">
            <v>30</v>
          </cell>
          <cell r="I8332">
            <v>51709000000</v>
          </cell>
        </row>
        <row r="8333">
          <cell r="A8333" t="str">
            <v>Nigeria</v>
          </cell>
          <cell r="B8333">
            <v>566</v>
          </cell>
          <cell r="C8333">
            <v>203</v>
          </cell>
          <cell r="D8333">
            <v>3</v>
          </cell>
          <cell r="E8333" t="str">
            <v>Equals: VALUE ADDED, GROSS, at basic prices</v>
          </cell>
          <cell r="F8333">
            <v>12</v>
          </cell>
          <cell r="G8333">
            <v>1983</v>
          </cell>
          <cell r="H8333">
            <v>30</v>
          </cell>
          <cell r="I8333">
            <v>57142000000</v>
          </cell>
        </row>
        <row r="8334">
          <cell r="A8334" t="str">
            <v>Nigeria</v>
          </cell>
          <cell r="B8334">
            <v>566</v>
          </cell>
          <cell r="C8334">
            <v>203</v>
          </cell>
          <cell r="D8334">
            <v>3</v>
          </cell>
          <cell r="E8334" t="str">
            <v>Equals: VALUE ADDED, GROSS, at basic prices</v>
          </cell>
          <cell r="F8334">
            <v>12</v>
          </cell>
          <cell r="G8334">
            <v>1984</v>
          </cell>
          <cell r="H8334">
            <v>30</v>
          </cell>
          <cell r="I8334">
            <v>63608000000</v>
          </cell>
        </row>
        <row r="8335">
          <cell r="A8335" t="str">
            <v>Nigeria</v>
          </cell>
          <cell r="B8335">
            <v>566</v>
          </cell>
          <cell r="C8335">
            <v>203</v>
          </cell>
          <cell r="D8335">
            <v>3</v>
          </cell>
          <cell r="E8335" t="str">
            <v>Equals: VALUE ADDED, GROSS, at basic prices</v>
          </cell>
          <cell r="F8335">
            <v>12</v>
          </cell>
          <cell r="G8335">
            <v>1985</v>
          </cell>
          <cell r="H8335">
            <v>30</v>
          </cell>
          <cell r="I8335">
            <v>72355000000</v>
          </cell>
        </row>
        <row r="8336">
          <cell r="A8336" t="str">
            <v>Nigeria</v>
          </cell>
          <cell r="B8336">
            <v>566</v>
          </cell>
          <cell r="C8336">
            <v>203</v>
          </cell>
          <cell r="D8336">
            <v>3</v>
          </cell>
          <cell r="E8336" t="str">
            <v>Equals: VALUE ADDED, GROSS, at basic prices</v>
          </cell>
          <cell r="F8336">
            <v>12</v>
          </cell>
          <cell r="G8336">
            <v>1986</v>
          </cell>
          <cell r="H8336">
            <v>30</v>
          </cell>
          <cell r="I8336">
            <v>73064000000</v>
          </cell>
        </row>
        <row r="8337">
          <cell r="A8337" t="str">
            <v>Nigeria</v>
          </cell>
          <cell r="B8337">
            <v>566</v>
          </cell>
          <cell r="C8337">
            <v>203</v>
          </cell>
          <cell r="D8337">
            <v>3</v>
          </cell>
          <cell r="E8337" t="str">
            <v>Equals: VALUE ADDED, GROSS, at basic prices</v>
          </cell>
          <cell r="F8337">
            <v>12</v>
          </cell>
          <cell r="G8337">
            <v>1987</v>
          </cell>
          <cell r="H8337">
            <v>30</v>
          </cell>
          <cell r="I8337">
            <v>108885000000</v>
          </cell>
        </row>
        <row r="8338">
          <cell r="A8338" t="str">
            <v>Nigeria</v>
          </cell>
          <cell r="B8338">
            <v>566</v>
          </cell>
          <cell r="C8338">
            <v>203</v>
          </cell>
          <cell r="D8338">
            <v>3</v>
          </cell>
          <cell r="E8338" t="str">
            <v>Equals: VALUE ADDED, GROSS, at basic prices</v>
          </cell>
          <cell r="F8338">
            <v>12</v>
          </cell>
          <cell r="G8338">
            <v>1988</v>
          </cell>
          <cell r="H8338">
            <v>30</v>
          </cell>
          <cell r="I8338">
            <v>145243000000</v>
          </cell>
        </row>
        <row r="8339">
          <cell r="A8339" t="str">
            <v>Nigeria</v>
          </cell>
          <cell r="B8339">
            <v>566</v>
          </cell>
          <cell r="C8339">
            <v>203</v>
          </cell>
          <cell r="D8339">
            <v>3</v>
          </cell>
          <cell r="E8339" t="str">
            <v>Equals: VALUE ADDED, GROSS, at basic prices</v>
          </cell>
          <cell r="F8339">
            <v>12</v>
          </cell>
          <cell r="G8339">
            <v>1989</v>
          </cell>
          <cell r="H8339">
            <v>30</v>
          </cell>
          <cell r="I8339">
            <v>224797000000</v>
          </cell>
        </row>
        <row r="8340">
          <cell r="A8340" t="str">
            <v>Nigeria</v>
          </cell>
          <cell r="B8340">
            <v>566</v>
          </cell>
          <cell r="C8340">
            <v>203</v>
          </cell>
          <cell r="D8340">
            <v>3</v>
          </cell>
          <cell r="E8340" t="str">
            <v>Equals: VALUE ADDED, GROSS, at basic prices</v>
          </cell>
          <cell r="F8340">
            <v>12</v>
          </cell>
          <cell r="G8340">
            <v>1990</v>
          </cell>
          <cell r="H8340">
            <v>30</v>
          </cell>
          <cell r="I8340">
            <v>260637000000</v>
          </cell>
        </row>
        <row r="8341">
          <cell r="A8341" t="str">
            <v>Nigeria</v>
          </cell>
          <cell r="B8341">
            <v>566</v>
          </cell>
          <cell r="C8341">
            <v>203</v>
          </cell>
          <cell r="D8341">
            <v>3</v>
          </cell>
          <cell r="E8341" t="str">
            <v>Equals: VALUE ADDED, GROSS, at basic prices</v>
          </cell>
          <cell r="F8341">
            <v>12</v>
          </cell>
          <cell r="G8341">
            <v>1991</v>
          </cell>
          <cell r="H8341">
            <v>30</v>
          </cell>
          <cell r="I8341">
            <v>323990000000</v>
          </cell>
        </row>
        <row r="8342">
          <cell r="A8342" t="str">
            <v>Nigeria</v>
          </cell>
          <cell r="B8342">
            <v>566</v>
          </cell>
          <cell r="C8342">
            <v>203</v>
          </cell>
          <cell r="D8342">
            <v>3</v>
          </cell>
          <cell r="E8342" t="str">
            <v>Equals: VALUE ADDED, GROSS, at basic prices</v>
          </cell>
          <cell r="F8342">
            <v>12</v>
          </cell>
          <cell r="G8342">
            <v>1992</v>
          </cell>
          <cell r="H8342">
            <v>30</v>
          </cell>
          <cell r="I8342">
            <v>549809000000</v>
          </cell>
        </row>
        <row r="8343">
          <cell r="A8343" t="str">
            <v>Nigeria</v>
          </cell>
          <cell r="B8343">
            <v>566</v>
          </cell>
          <cell r="C8343">
            <v>203</v>
          </cell>
          <cell r="D8343">
            <v>3</v>
          </cell>
          <cell r="E8343" t="str">
            <v>Equals: VALUE ADDED, GROSS, at basic prices</v>
          </cell>
          <cell r="F8343">
            <v>12</v>
          </cell>
          <cell r="G8343">
            <v>1993</v>
          </cell>
          <cell r="H8343">
            <v>30</v>
          </cell>
          <cell r="I8343">
            <v>701473000000</v>
          </cell>
        </row>
        <row r="8344">
          <cell r="A8344" t="str">
            <v>Nigeria</v>
          </cell>
          <cell r="B8344">
            <v>566</v>
          </cell>
          <cell r="C8344">
            <v>203</v>
          </cell>
          <cell r="D8344">
            <v>3</v>
          </cell>
          <cell r="E8344" t="str">
            <v>Equals: VALUE ADDED, GROSS, at basic prices</v>
          </cell>
          <cell r="F8344">
            <v>12</v>
          </cell>
          <cell r="G8344">
            <v>1994</v>
          </cell>
          <cell r="H8344">
            <v>30</v>
          </cell>
          <cell r="I8344">
            <v>914334000000</v>
          </cell>
        </row>
        <row r="8345">
          <cell r="A8345" t="str">
            <v>Nigeria</v>
          </cell>
          <cell r="B8345">
            <v>566</v>
          </cell>
          <cell r="C8345">
            <v>203</v>
          </cell>
          <cell r="D8345">
            <v>4</v>
          </cell>
          <cell r="E8345" t="str">
            <v>Compensation of employees</v>
          </cell>
          <cell r="F8345">
            <v>12</v>
          </cell>
          <cell r="G8345">
            <v>1981</v>
          </cell>
          <cell r="H8345">
            <v>30</v>
          </cell>
          <cell r="I8345">
            <v>12321000000</v>
          </cell>
        </row>
        <row r="8346">
          <cell r="A8346" t="str">
            <v>Nigeria</v>
          </cell>
          <cell r="B8346">
            <v>566</v>
          </cell>
          <cell r="C8346">
            <v>203</v>
          </cell>
          <cell r="D8346">
            <v>4</v>
          </cell>
          <cell r="E8346" t="str">
            <v>Compensation of employees</v>
          </cell>
          <cell r="F8346">
            <v>12</v>
          </cell>
          <cell r="G8346">
            <v>1982</v>
          </cell>
          <cell r="H8346">
            <v>30</v>
          </cell>
          <cell r="I8346">
            <v>13097000000</v>
          </cell>
        </row>
        <row r="8347">
          <cell r="A8347" t="str">
            <v>Nigeria</v>
          </cell>
          <cell r="B8347">
            <v>566</v>
          </cell>
          <cell r="C8347">
            <v>203</v>
          </cell>
          <cell r="D8347">
            <v>4</v>
          </cell>
          <cell r="E8347" t="str">
            <v>Compensation of employees</v>
          </cell>
          <cell r="F8347">
            <v>12</v>
          </cell>
          <cell r="G8347">
            <v>1983</v>
          </cell>
          <cell r="H8347">
            <v>30</v>
          </cell>
          <cell r="I8347">
            <v>14485000000</v>
          </cell>
        </row>
        <row r="8348">
          <cell r="A8348" t="str">
            <v>Nigeria</v>
          </cell>
          <cell r="B8348">
            <v>566</v>
          </cell>
          <cell r="C8348">
            <v>203</v>
          </cell>
          <cell r="D8348">
            <v>4</v>
          </cell>
          <cell r="E8348" t="str">
            <v>Compensation of employees</v>
          </cell>
          <cell r="F8348">
            <v>12</v>
          </cell>
          <cell r="G8348">
            <v>1984</v>
          </cell>
          <cell r="H8348">
            <v>30</v>
          </cell>
          <cell r="I8348">
            <v>14661000000</v>
          </cell>
        </row>
        <row r="8349">
          <cell r="A8349" t="str">
            <v>Nigeria</v>
          </cell>
          <cell r="B8349">
            <v>566</v>
          </cell>
          <cell r="C8349">
            <v>203</v>
          </cell>
          <cell r="D8349">
            <v>4</v>
          </cell>
          <cell r="E8349" t="str">
            <v>Compensation of employees</v>
          </cell>
          <cell r="F8349">
            <v>12</v>
          </cell>
          <cell r="G8349">
            <v>1985</v>
          </cell>
          <cell r="H8349">
            <v>30</v>
          </cell>
          <cell r="I8349">
            <v>15871000000</v>
          </cell>
        </row>
        <row r="8350">
          <cell r="A8350" t="str">
            <v>Nigeria</v>
          </cell>
          <cell r="B8350">
            <v>566</v>
          </cell>
          <cell r="C8350">
            <v>203</v>
          </cell>
          <cell r="D8350">
            <v>4</v>
          </cell>
          <cell r="E8350" t="str">
            <v>Compensation of employees</v>
          </cell>
          <cell r="F8350">
            <v>12</v>
          </cell>
          <cell r="G8350">
            <v>1986</v>
          </cell>
          <cell r="H8350">
            <v>30</v>
          </cell>
          <cell r="I8350">
            <v>16790000000</v>
          </cell>
        </row>
        <row r="8351">
          <cell r="A8351" t="str">
            <v>Nigeria</v>
          </cell>
          <cell r="B8351">
            <v>566</v>
          </cell>
          <cell r="C8351">
            <v>203</v>
          </cell>
          <cell r="D8351">
            <v>4</v>
          </cell>
          <cell r="E8351" t="str">
            <v>Compensation of employees</v>
          </cell>
          <cell r="F8351">
            <v>12</v>
          </cell>
          <cell r="G8351">
            <v>1987</v>
          </cell>
          <cell r="H8351">
            <v>30</v>
          </cell>
          <cell r="I8351">
            <v>20841000000</v>
          </cell>
        </row>
        <row r="8352">
          <cell r="A8352" t="str">
            <v>Nigeria</v>
          </cell>
          <cell r="B8352">
            <v>566</v>
          </cell>
          <cell r="C8352">
            <v>203</v>
          </cell>
          <cell r="D8352">
            <v>4</v>
          </cell>
          <cell r="E8352" t="str">
            <v>Compensation of employees</v>
          </cell>
          <cell r="F8352">
            <v>12</v>
          </cell>
          <cell r="G8352">
            <v>1988</v>
          </cell>
          <cell r="H8352">
            <v>30</v>
          </cell>
          <cell r="I8352">
            <v>28036000000</v>
          </cell>
        </row>
        <row r="8353">
          <cell r="A8353" t="str">
            <v>Nigeria</v>
          </cell>
          <cell r="B8353">
            <v>566</v>
          </cell>
          <cell r="C8353">
            <v>203</v>
          </cell>
          <cell r="D8353">
            <v>4</v>
          </cell>
          <cell r="E8353" t="str">
            <v>Compensation of employees</v>
          </cell>
          <cell r="F8353">
            <v>12</v>
          </cell>
          <cell r="G8353">
            <v>1989</v>
          </cell>
          <cell r="H8353">
            <v>30</v>
          </cell>
          <cell r="I8353">
            <v>35099000000</v>
          </cell>
        </row>
        <row r="8354">
          <cell r="A8354" t="str">
            <v>Nigeria</v>
          </cell>
          <cell r="B8354">
            <v>566</v>
          </cell>
          <cell r="C8354">
            <v>203</v>
          </cell>
          <cell r="D8354">
            <v>4</v>
          </cell>
          <cell r="E8354" t="str">
            <v>Compensation of employees</v>
          </cell>
          <cell r="F8354">
            <v>12</v>
          </cell>
          <cell r="G8354">
            <v>1990</v>
          </cell>
          <cell r="H8354">
            <v>30</v>
          </cell>
          <cell r="I8354">
            <v>41050000000</v>
          </cell>
        </row>
        <row r="8355">
          <cell r="A8355" t="str">
            <v>Nigeria</v>
          </cell>
          <cell r="B8355">
            <v>566</v>
          </cell>
          <cell r="C8355">
            <v>203</v>
          </cell>
          <cell r="D8355">
            <v>4</v>
          </cell>
          <cell r="E8355" t="str">
            <v>Compensation of employees</v>
          </cell>
          <cell r="F8355">
            <v>12</v>
          </cell>
          <cell r="G8355">
            <v>1991</v>
          </cell>
          <cell r="H8355">
            <v>30</v>
          </cell>
          <cell r="I8355">
            <v>46861000000</v>
          </cell>
        </row>
        <row r="8356">
          <cell r="A8356" t="str">
            <v>Nigeria</v>
          </cell>
          <cell r="B8356">
            <v>566</v>
          </cell>
          <cell r="C8356">
            <v>203</v>
          </cell>
          <cell r="D8356">
            <v>4</v>
          </cell>
          <cell r="E8356" t="str">
            <v>Compensation of employees</v>
          </cell>
          <cell r="F8356">
            <v>12</v>
          </cell>
          <cell r="G8356">
            <v>1992</v>
          </cell>
          <cell r="H8356">
            <v>30</v>
          </cell>
          <cell r="I8356">
            <v>59099000000</v>
          </cell>
        </row>
        <row r="8357">
          <cell r="A8357" t="str">
            <v>Nigeria</v>
          </cell>
          <cell r="B8357">
            <v>566</v>
          </cell>
          <cell r="C8357">
            <v>203</v>
          </cell>
          <cell r="D8357">
            <v>4</v>
          </cell>
          <cell r="E8357" t="str">
            <v>Compensation of employees</v>
          </cell>
          <cell r="F8357">
            <v>12</v>
          </cell>
          <cell r="G8357">
            <v>1993</v>
          </cell>
          <cell r="H8357">
            <v>30</v>
          </cell>
          <cell r="I8357">
            <v>74547000000</v>
          </cell>
        </row>
        <row r="8358">
          <cell r="A8358" t="str">
            <v>Nigeria</v>
          </cell>
          <cell r="B8358">
            <v>566</v>
          </cell>
          <cell r="C8358">
            <v>203</v>
          </cell>
          <cell r="D8358">
            <v>4</v>
          </cell>
          <cell r="E8358" t="str">
            <v>Compensation of employees</v>
          </cell>
          <cell r="F8358">
            <v>12</v>
          </cell>
          <cell r="G8358">
            <v>1994</v>
          </cell>
          <cell r="H8358">
            <v>30</v>
          </cell>
          <cell r="I8358">
            <v>81048000000</v>
          </cell>
        </row>
        <row r="8359">
          <cell r="A8359" t="str">
            <v>Nigeria</v>
          </cell>
          <cell r="B8359">
            <v>566</v>
          </cell>
          <cell r="C8359">
            <v>203</v>
          </cell>
          <cell r="D8359">
            <v>11</v>
          </cell>
          <cell r="E8359" t="str">
            <v>OPERATING SURPLUS, GROSS</v>
          </cell>
          <cell r="F8359">
            <v>12</v>
          </cell>
          <cell r="G8359">
            <v>1981</v>
          </cell>
          <cell r="H8359">
            <v>30</v>
          </cell>
          <cell r="I8359">
            <v>38136000000</v>
          </cell>
        </row>
        <row r="8360">
          <cell r="A8360" t="str">
            <v>Nigeria</v>
          </cell>
          <cell r="B8360">
            <v>566</v>
          </cell>
          <cell r="C8360">
            <v>203</v>
          </cell>
          <cell r="D8360">
            <v>11</v>
          </cell>
          <cell r="E8360" t="str">
            <v>OPERATING SURPLUS, GROSS</v>
          </cell>
          <cell r="F8360">
            <v>12</v>
          </cell>
          <cell r="G8360">
            <v>1982</v>
          </cell>
          <cell r="H8360">
            <v>30</v>
          </cell>
          <cell r="I8360">
            <v>38473000000</v>
          </cell>
        </row>
        <row r="8361">
          <cell r="A8361" t="str">
            <v>Nigeria</v>
          </cell>
          <cell r="B8361">
            <v>566</v>
          </cell>
          <cell r="C8361">
            <v>203</v>
          </cell>
          <cell r="D8361">
            <v>11</v>
          </cell>
          <cell r="E8361" t="str">
            <v>OPERATING SURPLUS, GROSS</v>
          </cell>
          <cell r="F8361">
            <v>12</v>
          </cell>
          <cell r="G8361">
            <v>1983</v>
          </cell>
          <cell r="H8361">
            <v>30</v>
          </cell>
          <cell r="I8361">
            <v>42225000000</v>
          </cell>
        </row>
        <row r="8362">
          <cell r="A8362" t="str">
            <v>Nigeria</v>
          </cell>
          <cell r="B8362">
            <v>566</v>
          </cell>
          <cell r="C8362">
            <v>203</v>
          </cell>
          <cell r="D8362">
            <v>11</v>
          </cell>
          <cell r="E8362" t="str">
            <v>OPERATING SURPLUS, GROSS</v>
          </cell>
          <cell r="F8362">
            <v>12</v>
          </cell>
          <cell r="G8362">
            <v>1984</v>
          </cell>
          <cell r="H8362">
            <v>30</v>
          </cell>
          <cell r="I8362">
            <v>48346000000</v>
          </cell>
        </row>
        <row r="8363">
          <cell r="A8363" t="str">
            <v>Nigeria</v>
          </cell>
          <cell r="B8363">
            <v>566</v>
          </cell>
          <cell r="C8363">
            <v>203</v>
          </cell>
          <cell r="D8363">
            <v>11</v>
          </cell>
          <cell r="E8363" t="str">
            <v>OPERATING SURPLUS, GROSS</v>
          </cell>
          <cell r="F8363">
            <v>12</v>
          </cell>
          <cell r="G8363">
            <v>1985</v>
          </cell>
          <cell r="H8363">
            <v>30</v>
          </cell>
          <cell r="I8363">
            <v>55497000000</v>
          </cell>
        </row>
        <row r="8364">
          <cell r="A8364" t="str">
            <v>Nigeria</v>
          </cell>
          <cell r="B8364">
            <v>566</v>
          </cell>
          <cell r="C8364">
            <v>203</v>
          </cell>
          <cell r="D8364">
            <v>11</v>
          </cell>
          <cell r="E8364" t="str">
            <v>OPERATING SURPLUS, GROSS</v>
          </cell>
          <cell r="F8364">
            <v>12</v>
          </cell>
          <cell r="G8364">
            <v>1986</v>
          </cell>
          <cell r="H8364">
            <v>30</v>
          </cell>
          <cell r="I8364">
            <v>55340000000</v>
          </cell>
        </row>
        <row r="8365">
          <cell r="A8365" t="str">
            <v>Nigeria</v>
          </cell>
          <cell r="B8365">
            <v>566</v>
          </cell>
          <cell r="C8365">
            <v>203</v>
          </cell>
          <cell r="D8365">
            <v>11</v>
          </cell>
          <cell r="E8365" t="str">
            <v>OPERATING SURPLUS, GROSS</v>
          </cell>
          <cell r="F8365">
            <v>12</v>
          </cell>
          <cell r="G8365">
            <v>1987</v>
          </cell>
          <cell r="H8365">
            <v>30</v>
          </cell>
          <cell r="I8365">
            <v>86042000000</v>
          </cell>
        </row>
        <row r="8366">
          <cell r="A8366" t="str">
            <v>Nigeria</v>
          </cell>
          <cell r="B8366">
            <v>566</v>
          </cell>
          <cell r="C8366">
            <v>203</v>
          </cell>
          <cell r="D8366">
            <v>11</v>
          </cell>
          <cell r="E8366" t="str">
            <v>OPERATING SURPLUS, GROSS</v>
          </cell>
          <cell r="F8366">
            <v>12</v>
          </cell>
          <cell r="G8366">
            <v>1988</v>
          </cell>
          <cell r="H8366">
            <v>30</v>
          </cell>
          <cell r="I8366">
            <v>114643000000</v>
          </cell>
        </row>
        <row r="8367">
          <cell r="A8367" t="str">
            <v>Nigeria</v>
          </cell>
          <cell r="B8367">
            <v>566</v>
          </cell>
          <cell r="C8367">
            <v>203</v>
          </cell>
          <cell r="D8367">
            <v>11</v>
          </cell>
          <cell r="E8367" t="str">
            <v>OPERATING SURPLUS, GROSS</v>
          </cell>
          <cell r="F8367">
            <v>12</v>
          </cell>
          <cell r="G8367">
            <v>1989</v>
          </cell>
          <cell r="H8367">
            <v>30</v>
          </cell>
          <cell r="I8367">
            <v>187359000000</v>
          </cell>
        </row>
        <row r="8368">
          <cell r="A8368" t="str">
            <v>Nigeria</v>
          </cell>
          <cell r="B8368">
            <v>566</v>
          </cell>
          <cell r="C8368">
            <v>203</v>
          </cell>
          <cell r="D8368">
            <v>11</v>
          </cell>
          <cell r="E8368" t="str">
            <v>OPERATING SURPLUS, GROSS</v>
          </cell>
          <cell r="F8368">
            <v>12</v>
          </cell>
          <cell r="G8368">
            <v>1990</v>
          </cell>
          <cell r="H8368">
            <v>30</v>
          </cell>
          <cell r="I8368">
            <v>216823000000</v>
          </cell>
        </row>
        <row r="8369">
          <cell r="A8369" t="str">
            <v>Nigeria</v>
          </cell>
          <cell r="B8369">
            <v>566</v>
          </cell>
          <cell r="C8369">
            <v>203</v>
          </cell>
          <cell r="D8369">
            <v>11</v>
          </cell>
          <cell r="E8369" t="str">
            <v>OPERATING SURPLUS, GROSS</v>
          </cell>
          <cell r="F8369">
            <v>12</v>
          </cell>
          <cell r="G8369">
            <v>1991</v>
          </cell>
          <cell r="H8369">
            <v>30</v>
          </cell>
          <cell r="I8369">
            <v>273378000000</v>
          </cell>
        </row>
        <row r="8370">
          <cell r="A8370" t="str">
            <v>Nigeria</v>
          </cell>
          <cell r="B8370">
            <v>566</v>
          </cell>
          <cell r="C8370">
            <v>203</v>
          </cell>
          <cell r="D8370">
            <v>11</v>
          </cell>
          <cell r="E8370" t="str">
            <v>OPERATING SURPLUS, GROSS</v>
          </cell>
          <cell r="F8370">
            <v>12</v>
          </cell>
          <cell r="G8370">
            <v>1992</v>
          </cell>
          <cell r="H8370">
            <v>30</v>
          </cell>
          <cell r="I8370">
            <v>485231000000</v>
          </cell>
        </row>
        <row r="8371">
          <cell r="A8371" t="str">
            <v>Nigeria</v>
          </cell>
          <cell r="B8371">
            <v>566</v>
          </cell>
          <cell r="C8371">
            <v>203</v>
          </cell>
          <cell r="D8371">
            <v>11</v>
          </cell>
          <cell r="E8371" t="str">
            <v>OPERATING SURPLUS, GROSS</v>
          </cell>
          <cell r="F8371">
            <v>12</v>
          </cell>
          <cell r="G8371">
            <v>1993</v>
          </cell>
          <cell r="H8371">
            <v>30</v>
          </cell>
          <cell r="I8371">
            <v>621439000000</v>
          </cell>
        </row>
        <row r="8372">
          <cell r="A8372" t="str">
            <v>Nigeria</v>
          </cell>
          <cell r="B8372">
            <v>566</v>
          </cell>
          <cell r="C8372">
            <v>203</v>
          </cell>
          <cell r="D8372">
            <v>11</v>
          </cell>
          <cell r="E8372" t="str">
            <v>OPERATING SURPLUS, GROSS</v>
          </cell>
          <cell r="F8372">
            <v>12</v>
          </cell>
          <cell r="G8372">
            <v>1994</v>
          </cell>
          <cell r="H8372">
            <v>30</v>
          </cell>
          <cell r="I8372">
            <v>827446000000</v>
          </cell>
        </row>
        <row r="8373">
          <cell r="A8373" t="str">
            <v>Nigeria</v>
          </cell>
          <cell r="B8373">
            <v>566</v>
          </cell>
          <cell r="C8373">
            <v>203</v>
          </cell>
          <cell r="D8373">
            <v>22</v>
          </cell>
          <cell r="E8373" t="str">
            <v>Taxes on production and imports, less Subsidies</v>
          </cell>
          <cell r="F8373">
            <v>12</v>
          </cell>
          <cell r="G8373">
            <v>1981</v>
          </cell>
          <cell r="H8373">
            <v>30</v>
          </cell>
          <cell r="I8373">
            <v>292000000</v>
          </cell>
        </row>
        <row r="8374">
          <cell r="A8374" t="str">
            <v>Nigeria</v>
          </cell>
          <cell r="B8374">
            <v>566</v>
          </cell>
          <cell r="C8374">
            <v>203</v>
          </cell>
          <cell r="D8374">
            <v>22</v>
          </cell>
          <cell r="E8374" t="str">
            <v>Taxes on production and imports, less Subsidies</v>
          </cell>
          <cell r="F8374">
            <v>12</v>
          </cell>
          <cell r="G8374">
            <v>1982</v>
          </cell>
          <cell r="H8374">
            <v>30</v>
          </cell>
          <cell r="I8374">
            <v>139000000</v>
          </cell>
        </row>
        <row r="8375">
          <cell r="A8375" t="str">
            <v>Nigeria</v>
          </cell>
          <cell r="B8375">
            <v>566</v>
          </cell>
          <cell r="C8375">
            <v>203</v>
          </cell>
          <cell r="D8375">
            <v>22</v>
          </cell>
          <cell r="E8375" t="str">
            <v>Taxes on production and imports, less Subsidies</v>
          </cell>
          <cell r="F8375">
            <v>12</v>
          </cell>
          <cell r="G8375">
            <v>1983</v>
          </cell>
          <cell r="H8375">
            <v>30</v>
          </cell>
          <cell r="I8375">
            <v>433000000</v>
          </cell>
        </row>
        <row r="8376">
          <cell r="A8376" t="str">
            <v>Nigeria</v>
          </cell>
          <cell r="B8376">
            <v>566</v>
          </cell>
          <cell r="C8376">
            <v>203</v>
          </cell>
          <cell r="D8376">
            <v>22</v>
          </cell>
          <cell r="E8376" t="str">
            <v>Taxes on production and imports, less Subsidies</v>
          </cell>
          <cell r="F8376">
            <v>12</v>
          </cell>
          <cell r="G8376">
            <v>1984</v>
          </cell>
          <cell r="H8376">
            <v>30</v>
          </cell>
          <cell r="I8376">
            <v>602000000</v>
          </cell>
        </row>
        <row r="8377">
          <cell r="A8377" t="str">
            <v>Nigeria</v>
          </cell>
          <cell r="B8377">
            <v>566</v>
          </cell>
          <cell r="C8377">
            <v>203</v>
          </cell>
          <cell r="D8377">
            <v>22</v>
          </cell>
          <cell r="E8377" t="str">
            <v>Taxes on production and imports, less Subsidies</v>
          </cell>
          <cell r="F8377">
            <v>12</v>
          </cell>
          <cell r="G8377">
            <v>1985</v>
          </cell>
          <cell r="H8377">
            <v>30</v>
          </cell>
          <cell r="I8377">
            <v>988000000</v>
          </cell>
        </row>
        <row r="8378">
          <cell r="A8378" t="str">
            <v>Nigeria</v>
          </cell>
          <cell r="B8378">
            <v>566</v>
          </cell>
          <cell r="C8378">
            <v>203</v>
          </cell>
          <cell r="D8378">
            <v>22</v>
          </cell>
          <cell r="E8378" t="str">
            <v>Taxes on production and imports, less Subsidies</v>
          </cell>
          <cell r="F8378">
            <v>12</v>
          </cell>
          <cell r="G8378">
            <v>1986</v>
          </cell>
          <cell r="H8378">
            <v>30</v>
          </cell>
          <cell r="I8378">
            <v>934000000</v>
          </cell>
        </row>
        <row r="8379">
          <cell r="A8379" t="str">
            <v>Nigeria</v>
          </cell>
          <cell r="B8379">
            <v>566</v>
          </cell>
          <cell r="C8379">
            <v>203</v>
          </cell>
          <cell r="D8379">
            <v>22</v>
          </cell>
          <cell r="E8379" t="str">
            <v>Taxes on production and imports, less Subsidies</v>
          </cell>
          <cell r="F8379">
            <v>12</v>
          </cell>
          <cell r="G8379">
            <v>1987</v>
          </cell>
          <cell r="H8379">
            <v>30</v>
          </cell>
          <cell r="I8379">
            <v>1999000000</v>
          </cell>
        </row>
        <row r="8380">
          <cell r="A8380" t="str">
            <v>Nigeria</v>
          </cell>
          <cell r="B8380">
            <v>566</v>
          </cell>
          <cell r="C8380">
            <v>203</v>
          </cell>
          <cell r="D8380">
            <v>22</v>
          </cell>
          <cell r="E8380" t="str">
            <v>Taxes on production and imports, less Subsidies</v>
          </cell>
          <cell r="F8380">
            <v>12</v>
          </cell>
          <cell r="G8380">
            <v>1988</v>
          </cell>
          <cell r="H8380">
            <v>30</v>
          </cell>
          <cell r="I8380">
            <v>2565000000</v>
          </cell>
        </row>
        <row r="8381">
          <cell r="A8381" t="str">
            <v>Nigeria</v>
          </cell>
          <cell r="B8381">
            <v>566</v>
          </cell>
          <cell r="C8381">
            <v>203</v>
          </cell>
          <cell r="D8381">
            <v>22</v>
          </cell>
          <cell r="E8381" t="str">
            <v>Taxes on production and imports, less Subsidies</v>
          </cell>
          <cell r="F8381">
            <v>12</v>
          </cell>
          <cell r="G8381">
            <v>1989</v>
          </cell>
          <cell r="H8381">
            <v>30</v>
          </cell>
          <cell r="I8381">
            <v>2339000000</v>
          </cell>
        </row>
        <row r="8382">
          <cell r="A8382" t="str">
            <v>Nigeria</v>
          </cell>
          <cell r="B8382">
            <v>566</v>
          </cell>
          <cell r="C8382">
            <v>203</v>
          </cell>
          <cell r="D8382">
            <v>22</v>
          </cell>
          <cell r="E8382" t="str">
            <v>Taxes on production and imports, less Subsidies</v>
          </cell>
          <cell r="F8382">
            <v>12</v>
          </cell>
          <cell r="G8382">
            <v>1990</v>
          </cell>
          <cell r="H8382">
            <v>30</v>
          </cell>
          <cell r="I8382">
            <v>2765000000</v>
          </cell>
        </row>
        <row r="8383">
          <cell r="A8383" t="str">
            <v>Nigeria</v>
          </cell>
          <cell r="B8383">
            <v>566</v>
          </cell>
          <cell r="C8383">
            <v>203</v>
          </cell>
          <cell r="D8383">
            <v>22</v>
          </cell>
          <cell r="E8383" t="str">
            <v>Taxes on production and imports, less Subsidies</v>
          </cell>
          <cell r="F8383">
            <v>12</v>
          </cell>
          <cell r="G8383">
            <v>1991</v>
          </cell>
          <cell r="H8383">
            <v>30</v>
          </cell>
          <cell r="I8383">
            <v>3751000000</v>
          </cell>
        </row>
        <row r="8384">
          <cell r="A8384" t="str">
            <v>Nigeria</v>
          </cell>
          <cell r="B8384">
            <v>566</v>
          </cell>
          <cell r="C8384">
            <v>203</v>
          </cell>
          <cell r="D8384">
            <v>22</v>
          </cell>
          <cell r="E8384" t="str">
            <v>Taxes on production and imports, less Subsidies</v>
          </cell>
          <cell r="F8384">
            <v>12</v>
          </cell>
          <cell r="G8384">
            <v>1992</v>
          </cell>
          <cell r="H8384">
            <v>30</v>
          </cell>
          <cell r="I8384">
            <v>5478000000</v>
          </cell>
        </row>
        <row r="8385">
          <cell r="A8385" t="str">
            <v>Nigeria</v>
          </cell>
          <cell r="B8385">
            <v>566</v>
          </cell>
          <cell r="C8385">
            <v>203</v>
          </cell>
          <cell r="D8385">
            <v>22</v>
          </cell>
          <cell r="E8385" t="str">
            <v>Taxes on production and imports, less Subsidies</v>
          </cell>
          <cell r="F8385">
            <v>12</v>
          </cell>
          <cell r="G8385">
            <v>1993</v>
          </cell>
          <cell r="H8385">
            <v>30</v>
          </cell>
          <cell r="I8385">
            <v>5487000000</v>
          </cell>
        </row>
        <row r="8386">
          <cell r="A8386" t="str">
            <v>Nigeria</v>
          </cell>
          <cell r="B8386">
            <v>566</v>
          </cell>
          <cell r="C8386">
            <v>203</v>
          </cell>
          <cell r="D8386">
            <v>22</v>
          </cell>
          <cell r="E8386" t="str">
            <v>Taxes on production and imports, less Subsidies</v>
          </cell>
          <cell r="F8386">
            <v>12</v>
          </cell>
          <cell r="G8386">
            <v>1994</v>
          </cell>
          <cell r="H8386">
            <v>30</v>
          </cell>
          <cell r="I8386">
            <v>5840000000</v>
          </cell>
        </row>
        <row r="8387">
          <cell r="A8387" t="str">
            <v>Norway</v>
          </cell>
          <cell r="B8387">
            <v>578</v>
          </cell>
          <cell r="C8387">
            <v>203</v>
          </cell>
          <cell r="D8387">
            <v>11</v>
          </cell>
          <cell r="E8387" t="str">
            <v>OPERATING SURPLUS, GROSS</v>
          </cell>
          <cell r="F8387">
            <v>12</v>
          </cell>
          <cell r="G8387">
            <v>1970</v>
          </cell>
          <cell r="H8387">
            <v>200</v>
          </cell>
          <cell r="I8387">
            <v>37167000000</v>
          </cell>
        </row>
        <row r="8388">
          <cell r="A8388" t="str">
            <v>Norway</v>
          </cell>
          <cell r="B8388">
            <v>578</v>
          </cell>
          <cell r="C8388">
            <v>203</v>
          </cell>
          <cell r="D8388">
            <v>11</v>
          </cell>
          <cell r="E8388" t="str">
            <v>OPERATING SURPLUS, GROSS</v>
          </cell>
          <cell r="F8388">
            <v>12</v>
          </cell>
          <cell r="G8388">
            <v>1971</v>
          </cell>
          <cell r="H8388">
            <v>200</v>
          </cell>
          <cell r="I8388">
            <v>38981000000</v>
          </cell>
        </row>
        <row r="8389">
          <cell r="A8389" t="str">
            <v>Norway</v>
          </cell>
          <cell r="B8389">
            <v>578</v>
          </cell>
          <cell r="C8389">
            <v>203</v>
          </cell>
          <cell r="D8389">
            <v>11</v>
          </cell>
          <cell r="E8389" t="str">
            <v>OPERATING SURPLUS, GROSS</v>
          </cell>
          <cell r="F8389">
            <v>12</v>
          </cell>
          <cell r="G8389">
            <v>1972</v>
          </cell>
          <cell r="H8389">
            <v>200</v>
          </cell>
          <cell r="I8389">
            <v>42910000000</v>
          </cell>
        </row>
        <row r="8390">
          <cell r="A8390" t="str">
            <v>Norway</v>
          </cell>
          <cell r="B8390">
            <v>578</v>
          </cell>
          <cell r="C8390">
            <v>203</v>
          </cell>
          <cell r="D8390">
            <v>11</v>
          </cell>
          <cell r="E8390" t="str">
            <v>OPERATING SURPLUS, GROSS</v>
          </cell>
          <cell r="F8390">
            <v>12</v>
          </cell>
          <cell r="G8390">
            <v>1973</v>
          </cell>
          <cell r="H8390">
            <v>200</v>
          </cell>
          <cell r="I8390">
            <v>49875000000</v>
          </cell>
        </row>
        <row r="8391">
          <cell r="A8391" t="str">
            <v>Norway</v>
          </cell>
          <cell r="B8391">
            <v>578</v>
          </cell>
          <cell r="C8391">
            <v>203</v>
          </cell>
          <cell r="D8391">
            <v>11</v>
          </cell>
          <cell r="E8391" t="str">
            <v>OPERATING SURPLUS, GROSS</v>
          </cell>
          <cell r="F8391">
            <v>12</v>
          </cell>
          <cell r="G8391">
            <v>1974</v>
          </cell>
          <cell r="H8391">
            <v>200</v>
          </cell>
          <cell r="I8391">
            <v>60237000000</v>
          </cell>
        </row>
        <row r="8392">
          <cell r="A8392" t="str">
            <v>Norway</v>
          </cell>
          <cell r="B8392">
            <v>578</v>
          </cell>
          <cell r="C8392">
            <v>203</v>
          </cell>
          <cell r="D8392">
            <v>11</v>
          </cell>
          <cell r="E8392" t="str">
            <v>OPERATING SURPLUS, GROSS</v>
          </cell>
          <cell r="F8392">
            <v>12</v>
          </cell>
          <cell r="G8392">
            <v>1975</v>
          </cell>
          <cell r="H8392">
            <v>200</v>
          </cell>
          <cell r="I8392">
            <v>65690000000</v>
          </cell>
        </row>
        <row r="8393">
          <cell r="A8393" t="str">
            <v>Norway</v>
          </cell>
          <cell r="B8393">
            <v>578</v>
          </cell>
          <cell r="C8393">
            <v>203</v>
          </cell>
          <cell r="D8393">
            <v>11</v>
          </cell>
          <cell r="E8393" t="str">
            <v>OPERATING SURPLUS, GROSS</v>
          </cell>
          <cell r="F8393">
            <v>12</v>
          </cell>
          <cell r="G8393">
            <v>1976</v>
          </cell>
          <cell r="H8393">
            <v>200</v>
          </cell>
          <cell r="I8393">
            <v>72725000000</v>
          </cell>
        </row>
        <row r="8394">
          <cell r="A8394" t="str">
            <v>Norway</v>
          </cell>
          <cell r="B8394">
            <v>578</v>
          </cell>
          <cell r="C8394">
            <v>203</v>
          </cell>
          <cell r="D8394">
            <v>11</v>
          </cell>
          <cell r="E8394" t="str">
            <v>OPERATING SURPLUS, GROSS</v>
          </cell>
          <cell r="F8394">
            <v>12</v>
          </cell>
          <cell r="G8394">
            <v>1977</v>
          </cell>
          <cell r="H8394">
            <v>200</v>
          </cell>
          <cell r="I8394">
            <v>81608000000</v>
          </cell>
        </row>
        <row r="8395">
          <cell r="A8395" t="str">
            <v>Norway</v>
          </cell>
          <cell r="B8395">
            <v>578</v>
          </cell>
          <cell r="C8395">
            <v>203</v>
          </cell>
          <cell r="D8395">
            <v>11</v>
          </cell>
          <cell r="E8395" t="str">
            <v>OPERATING SURPLUS, GROSS</v>
          </cell>
          <cell r="F8395">
            <v>12</v>
          </cell>
          <cell r="G8395">
            <v>1978</v>
          </cell>
          <cell r="H8395">
            <v>200</v>
          </cell>
          <cell r="I8395">
            <v>92864000000</v>
          </cell>
        </row>
        <row r="8396">
          <cell r="A8396" t="str">
            <v>Norway</v>
          </cell>
          <cell r="B8396">
            <v>578</v>
          </cell>
          <cell r="C8396">
            <v>203</v>
          </cell>
          <cell r="D8396">
            <v>11</v>
          </cell>
          <cell r="E8396" t="str">
            <v>OPERATING SURPLUS, GROSS</v>
          </cell>
          <cell r="F8396">
            <v>12</v>
          </cell>
          <cell r="G8396">
            <v>1979</v>
          </cell>
          <cell r="H8396">
            <v>200</v>
          </cell>
          <cell r="I8396">
            <v>110175000000</v>
          </cell>
        </row>
        <row r="8397">
          <cell r="A8397" t="str">
            <v>Norway</v>
          </cell>
          <cell r="B8397">
            <v>578</v>
          </cell>
          <cell r="C8397">
            <v>203</v>
          </cell>
          <cell r="D8397">
            <v>11</v>
          </cell>
          <cell r="E8397" t="str">
            <v>OPERATING SURPLUS, GROSS</v>
          </cell>
          <cell r="F8397">
            <v>12</v>
          </cell>
          <cell r="G8397">
            <v>1980</v>
          </cell>
          <cell r="H8397">
            <v>200</v>
          </cell>
          <cell r="I8397">
            <v>139257000000</v>
          </cell>
        </row>
        <row r="8398">
          <cell r="A8398" t="str">
            <v>Norway</v>
          </cell>
          <cell r="B8398">
            <v>578</v>
          </cell>
          <cell r="C8398">
            <v>203</v>
          </cell>
          <cell r="D8398">
            <v>11</v>
          </cell>
          <cell r="E8398" t="str">
            <v>OPERATING SURPLUS, GROSS</v>
          </cell>
          <cell r="F8398">
            <v>12</v>
          </cell>
          <cell r="G8398">
            <v>1981</v>
          </cell>
          <cell r="H8398">
            <v>200</v>
          </cell>
          <cell r="I8398">
            <v>159861000000</v>
          </cell>
        </row>
        <row r="8399">
          <cell r="A8399" t="str">
            <v>Norway</v>
          </cell>
          <cell r="B8399">
            <v>578</v>
          </cell>
          <cell r="C8399">
            <v>203</v>
          </cell>
          <cell r="D8399">
            <v>11</v>
          </cell>
          <cell r="E8399" t="str">
            <v>OPERATING SURPLUS, GROSS</v>
          </cell>
          <cell r="F8399">
            <v>12</v>
          </cell>
          <cell r="G8399">
            <v>1982</v>
          </cell>
          <cell r="H8399">
            <v>200</v>
          </cell>
          <cell r="I8399">
            <v>178281000000</v>
          </cell>
        </row>
        <row r="8400">
          <cell r="A8400" t="str">
            <v>Norway</v>
          </cell>
          <cell r="B8400">
            <v>578</v>
          </cell>
          <cell r="C8400">
            <v>203</v>
          </cell>
          <cell r="D8400">
            <v>11</v>
          </cell>
          <cell r="E8400" t="str">
            <v>OPERATING SURPLUS, GROSS</v>
          </cell>
          <cell r="F8400">
            <v>12</v>
          </cell>
          <cell r="G8400">
            <v>1983</v>
          </cell>
          <cell r="H8400">
            <v>200</v>
          </cell>
          <cell r="I8400">
            <v>199274000000</v>
          </cell>
        </row>
        <row r="8401">
          <cell r="A8401" t="str">
            <v>Norway</v>
          </cell>
          <cell r="B8401">
            <v>578</v>
          </cell>
          <cell r="C8401">
            <v>203</v>
          </cell>
          <cell r="D8401">
            <v>11</v>
          </cell>
          <cell r="E8401" t="str">
            <v>OPERATING SURPLUS, GROSS</v>
          </cell>
          <cell r="F8401">
            <v>12</v>
          </cell>
          <cell r="G8401">
            <v>1984</v>
          </cell>
          <cell r="H8401">
            <v>200</v>
          </cell>
          <cell r="I8401">
            <v>228092000000</v>
          </cell>
        </row>
        <row r="8402">
          <cell r="A8402" t="str">
            <v>Norway</v>
          </cell>
          <cell r="B8402">
            <v>578</v>
          </cell>
          <cell r="C8402">
            <v>203</v>
          </cell>
          <cell r="D8402">
            <v>11</v>
          </cell>
          <cell r="E8402" t="str">
            <v>OPERATING SURPLUS, GROSS</v>
          </cell>
          <cell r="F8402">
            <v>12</v>
          </cell>
          <cell r="G8402">
            <v>1985</v>
          </cell>
          <cell r="H8402">
            <v>200</v>
          </cell>
          <cell r="I8402">
            <v>243884000000</v>
          </cell>
        </row>
        <row r="8403">
          <cell r="A8403" t="str">
            <v>Norway</v>
          </cell>
          <cell r="B8403">
            <v>578</v>
          </cell>
          <cell r="C8403">
            <v>203</v>
          </cell>
          <cell r="D8403">
            <v>11</v>
          </cell>
          <cell r="E8403" t="str">
            <v>OPERATING SURPLUS, GROSS</v>
          </cell>
          <cell r="F8403">
            <v>12</v>
          </cell>
          <cell r="G8403">
            <v>1986</v>
          </cell>
          <cell r="H8403">
            <v>200</v>
          </cell>
          <cell r="I8403">
            <v>224785000000</v>
          </cell>
        </row>
        <row r="8404">
          <cell r="A8404" t="str">
            <v>Norway</v>
          </cell>
          <cell r="B8404">
            <v>578</v>
          </cell>
          <cell r="C8404">
            <v>203</v>
          </cell>
          <cell r="D8404">
            <v>11</v>
          </cell>
          <cell r="E8404" t="str">
            <v>OPERATING SURPLUS, GROSS</v>
          </cell>
          <cell r="F8404">
            <v>12</v>
          </cell>
          <cell r="G8404">
            <v>1987</v>
          </cell>
          <cell r="H8404">
            <v>200</v>
          </cell>
          <cell r="I8404">
            <v>243554000000</v>
          </cell>
        </row>
        <row r="8405">
          <cell r="A8405" t="str">
            <v>Norway</v>
          </cell>
          <cell r="B8405">
            <v>578</v>
          </cell>
          <cell r="C8405">
            <v>203</v>
          </cell>
          <cell r="D8405">
            <v>11</v>
          </cell>
          <cell r="E8405" t="str">
            <v>OPERATING SURPLUS, GROSS</v>
          </cell>
          <cell r="F8405">
            <v>12</v>
          </cell>
          <cell r="G8405">
            <v>1988</v>
          </cell>
          <cell r="H8405">
            <v>200</v>
          </cell>
          <cell r="I8405">
            <v>256255000000</v>
          </cell>
        </row>
        <row r="8406">
          <cell r="A8406" t="str">
            <v>Norway</v>
          </cell>
          <cell r="B8406">
            <v>578</v>
          </cell>
          <cell r="C8406">
            <v>203</v>
          </cell>
          <cell r="D8406">
            <v>11</v>
          </cell>
          <cell r="E8406" t="str">
            <v>OPERATING SURPLUS, GROSS</v>
          </cell>
          <cell r="F8406">
            <v>12</v>
          </cell>
          <cell r="G8406">
            <v>1989</v>
          </cell>
          <cell r="H8406">
            <v>200</v>
          </cell>
          <cell r="I8406">
            <v>297821000000</v>
          </cell>
        </row>
        <row r="8407">
          <cell r="A8407" t="str">
            <v>Norway</v>
          </cell>
          <cell r="B8407">
            <v>578</v>
          </cell>
          <cell r="C8407">
            <v>203</v>
          </cell>
          <cell r="D8407">
            <v>11</v>
          </cell>
          <cell r="E8407" t="str">
            <v>OPERATING SURPLUS, GROSS</v>
          </cell>
          <cell r="F8407">
            <v>12</v>
          </cell>
          <cell r="G8407">
            <v>1990</v>
          </cell>
          <cell r="H8407">
            <v>200</v>
          </cell>
          <cell r="I8407">
            <v>325262000000</v>
          </cell>
        </row>
        <row r="8408">
          <cell r="A8408" t="str">
            <v>Norway</v>
          </cell>
          <cell r="B8408">
            <v>578</v>
          </cell>
          <cell r="C8408">
            <v>203</v>
          </cell>
          <cell r="D8408">
            <v>11</v>
          </cell>
          <cell r="E8408" t="str">
            <v>OPERATING SURPLUS, GROSS</v>
          </cell>
          <cell r="F8408">
            <v>12</v>
          </cell>
          <cell r="G8408">
            <v>1991</v>
          </cell>
          <cell r="H8408">
            <v>200</v>
          </cell>
          <cell r="I8408">
            <v>342156000000</v>
          </cell>
        </row>
        <row r="8409">
          <cell r="A8409" t="str">
            <v>Norway</v>
          </cell>
          <cell r="B8409">
            <v>578</v>
          </cell>
          <cell r="C8409">
            <v>203</v>
          </cell>
          <cell r="D8409">
            <v>11</v>
          </cell>
          <cell r="E8409" t="str">
            <v>OPERATING SURPLUS, GROSS</v>
          </cell>
          <cell r="F8409">
            <v>12</v>
          </cell>
          <cell r="G8409">
            <v>1992</v>
          </cell>
          <cell r="H8409">
            <v>200</v>
          </cell>
          <cell r="I8409">
            <v>345331000000</v>
          </cell>
        </row>
        <row r="8410">
          <cell r="A8410" t="str">
            <v>Norway</v>
          </cell>
          <cell r="B8410">
            <v>578</v>
          </cell>
          <cell r="C8410">
            <v>203</v>
          </cell>
          <cell r="D8410">
            <v>11</v>
          </cell>
          <cell r="E8410" t="str">
            <v>OPERATING SURPLUS, GROSS</v>
          </cell>
          <cell r="F8410">
            <v>12</v>
          </cell>
          <cell r="G8410">
            <v>1993</v>
          </cell>
          <cell r="H8410">
            <v>200</v>
          </cell>
          <cell r="I8410">
            <v>368096000000</v>
          </cell>
        </row>
        <row r="8411">
          <cell r="A8411" t="str">
            <v>Norway</v>
          </cell>
          <cell r="B8411">
            <v>578</v>
          </cell>
          <cell r="C8411">
            <v>203</v>
          </cell>
          <cell r="D8411">
            <v>11</v>
          </cell>
          <cell r="E8411" t="str">
            <v>OPERATING SURPLUS, GROSS</v>
          </cell>
          <cell r="F8411">
            <v>12</v>
          </cell>
          <cell r="G8411">
            <v>1994</v>
          </cell>
          <cell r="H8411">
            <v>200</v>
          </cell>
          <cell r="I8411">
            <v>379627000000</v>
          </cell>
        </row>
        <row r="8412">
          <cell r="A8412" t="str">
            <v>Norway</v>
          </cell>
          <cell r="B8412">
            <v>578</v>
          </cell>
          <cell r="C8412">
            <v>203</v>
          </cell>
          <cell r="D8412">
            <v>11</v>
          </cell>
          <cell r="E8412" t="str">
            <v>OPERATING SURPLUS, GROSS</v>
          </cell>
          <cell r="F8412">
            <v>12</v>
          </cell>
          <cell r="G8412">
            <v>1995</v>
          </cell>
          <cell r="H8412">
            <v>200</v>
          </cell>
          <cell r="I8412">
            <v>402318000000</v>
          </cell>
        </row>
        <row r="8413">
          <cell r="A8413" t="str">
            <v>Norway</v>
          </cell>
          <cell r="B8413">
            <v>578</v>
          </cell>
          <cell r="C8413">
            <v>203</v>
          </cell>
          <cell r="D8413">
            <v>11</v>
          </cell>
          <cell r="E8413" t="str">
            <v>OPERATING SURPLUS, GROSS</v>
          </cell>
          <cell r="F8413">
            <v>12</v>
          </cell>
          <cell r="G8413">
            <v>1996</v>
          </cell>
          <cell r="H8413">
            <v>200</v>
          </cell>
          <cell r="I8413">
            <v>447335000000</v>
          </cell>
        </row>
        <row r="8414">
          <cell r="A8414" t="str">
            <v>Norway</v>
          </cell>
          <cell r="B8414">
            <v>578</v>
          </cell>
          <cell r="C8414">
            <v>203</v>
          </cell>
          <cell r="D8414">
            <v>11</v>
          </cell>
          <cell r="E8414" t="str">
            <v>OPERATING SURPLUS, GROSS</v>
          </cell>
          <cell r="F8414">
            <v>12</v>
          </cell>
          <cell r="G8414">
            <v>1997</v>
          </cell>
          <cell r="H8414">
            <v>200</v>
          </cell>
          <cell r="I8414">
            <v>478644000000</v>
          </cell>
        </row>
        <row r="8415">
          <cell r="A8415" t="str">
            <v>Norway</v>
          </cell>
          <cell r="B8415">
            <v>578</v>
          </cell>
          <cell r="C8415">
            <v>203</v>
          </cell>
          <cell r="D8415">
            <v>11</v>
          </cell>
          <cell r="E8415" t="str">
            <v>OPERATING SURPLUS, GROSS</v>
          </cell>
          <cell r="F8415">
            <v>12</v>
          </cell>
          <cell r="G8415">
            <v>1998</v>
          </cell>
          <cell r="H8415">
            <v>200</v>
          </cell>
          <cell r="I8415">
            <v>442834000000</v>
          </cell>
        </row>
        <row r="8416">
          <cell r="A8416" t="str">
            <v>Norway</v>
          </cell>
          <cell r="B8416">
            <v>578</v>
          </cell>
          <cell r="C8416">
            <v>203</v>
          </cell>
          <cell r="D8416">
            <v>11</v>
          </cell>
          <cell r="E8416" t="str">
            <v>OPERATING SURPLUS, GROSS</v>
          </cell>
          <cell r="F8416">
            <v>12</v>
          </cell>
          <cell r="G8416">
            <v>1999</v>
          </cell>
          <cell r="H8416">
            <v>200</v>
          </cell>
          <cell r="I8416">
            <v>498478000000</v>
          </cell>
        </row>
        <row r="8417">
          <cell r="A8417" t="str">
            <v>Norway</v>
          </cell>
          <cell r="B8417">
            <v>578</v>
          </cell>
          <cell r="C8417">
            <v>203</v>
          </cell>
          <cell r="D8417">
            <v>11</v>
          </cell>
          <cell r="E8417" t="str">
            <v>OPERATING SURPLUS, GROSS</v>
          </cell>
          <cell r="F8417">
            <v>12</v>
          </cell>
          <cell r="G8417">
            <v>2000</v>
          </cell>
          <cell r="H8417">
            <v>200</v>
          </cell>
          <cell r="I8417">
            <v>691902000000</v>
          </cell>
        </row>
        <row r="8418">
          <cell r="A8418" t="str">
            <v>Norway</v>
          </cell>
          <cell r="B8418">
            <v>578</v>
          </cell>
          <cell r="C8418">
            <v>203</v>
          </cell>
          <cell r="D8418">
            <v>11</v>
          </cell>
          <cell r="E8418" t="str">
            <v>OPERATING SURPLUS, GROSS</v>
          </cell>
          <cell r="F8418">
            <v>12</v>
          </cell>
          <cell r="G8418">
            <v>2001</v>
          </cell>
          <cell r="H8418">
            <v>200</v>
          </cell>
          <cell r="I8418">
            <v>707142000000</v>
          </cell>
        </row>
        <row r="8419">
          <cell r="A8419" t="str">
            <v>Marshall Islands</v>
          </cell>
          <cell r="B8419">
            <v>584</v>
          </cell>
          <cell r="C8419">
            <v>201</v>
          </cell>
          <cell r="D8419">
            <v>13</v>
          </cell>
          <cell r="E8419" t="str">
            <v>Less: Financial intermediation services indirectly measured (FISIM) (only to be deducted if FISIM is not distributed to uses)</v>
          </cell>
          <cell r="F8419">
            <v>0</v>
          </cell>
          <cell r="G8419">
            <v>1989</v>
          </cell>
          <cell r="H8419">
            <v>10</v>
          </cell>
          <cell r="I8419">
            <v>0</v>
          </cell>
        </row>
        <row r="8420">
          <cell r="A8420" t="str">
            <v>Marshall Islands</v>
          </cell>
          <cell r="B8420">
            <v>584</v>
          </cell>
          <cell r="C8420">
            <v>201</v>
          </cell>
          <cell r="D8420">
            <v>13</v>
          </cell>
          <cell r="E8420" t="str">
            <v>Less: Financial intermediation services indirectly measured (FISIM) (only to be deducted if FISIM is not distributed to uses)</v>
          </cell>
          <cell r="F8420">
            <v>0</v>
          </cell>
          <cell r="G8420">
            <v>1990</v>
          </cell>
          <cell r="H8420">
            <v>10</v>
          </cell>
          <cell r="I8420">
            <v>0</v>
          </cell>
        </row>
        <row r="8421">
          <cell r="A8421" t="str">
            <v>Marshall Islands</v>
          </cell>
          <cell r="B8421">
            <v>584</v>
          </cell>
          <cell r="C8421">
            <v>201</v>
          </cell>
          <cell r="D8421">
            <v>13</v>
          </cell>
          <cell r="E8421" t="str">
            <v>Less: Financial intermediation services indirectly measured (FISIM) (only to be deducted if FISIM is not distributed to uses)</v>
          </cell>
          <cell r="F8421">
            <v>0</v>
          </cell>
          <cell r="G8421">
            <v>1991</v>
          </cell>
          <cell r="H8421">
            <v>10</v>
          </cell>
          <cell r="I8421">
            <v>4148000</v>
          </cell>
        </row>
        <row r="8422">
          <cell r="A8422" t="str">
            <v>Marshall Islands</v>
          </cell>
          <cell r="B8422">
            <v>584</v>
          </cell>
          <cell r="C8422">
            <v>201</v>
          </cell>
          <cell r="D8422">
            <v>13</v>
          </cell>
          <cell r="E8422" t="str">
            <v>Less: Financial intermediation services indirectly measured (FISIM) (only to be deducted if FISIM is not distributed to uses)</v>
          </cell>
          <cell r="F8422">
            <v>0</v>
          </cell>
          <cell r="G8422">
            <v>1992</v>
          </cell>
          <cell r="H8422">
            <v>10</v>
          </cell>
          <cell r="I8422">
            <v>4351000</v>
          </cell>
        </row>
        <row r="8423">
          <cell r="A8423" t="str">
            <v>Marshall Islands</v>
          </cell>
          <cell r="B8423">
            <v>584</v>
          </cell>
          <cell r="C8423">
            <v>201</v>
          </cell>
          <cell r="D8423">
            <v>13</v>
          </cell>
          <cell r="E8423" t="str">
            <v>Less: Financial intermediation services indirectly measured (FISIM) (only to be deducted if FISIM is not distributed to uses)</v>
          </cell>
          <cell r="F8423">
            <v>0</v>
          </cell>
          <cell r="G8423">
            <v>1993</v>
          </cell>
          <cell r="H8423">
            <v>10</v>
          </cell>
          <cell r="I8423">
            <v>5240000</v>
          </cell>
        </row>
        <row r="8424">
          <cell r="A8424" t="str">
            <v>Marshall Islands</v>
          </cell>
          <cell r="B8424">
            <v>584</v>
          </cell>
          <cell r="C8424">
            <v>201</v>
          </cell>
          <cell r="D8424">
            <v>13</v>
          </cell>
          <cell r="E8424" t="str">
            <v>Less: Financial intermediation services indirectly measured (FISIM) (only to be deducted if FISIM is not distributed to uses)</v>
          </cell>
          <cell r="F8424">
            <v>0</v>
          </cell>
          <cell r="G8424">
            <v>1994</v>
          </cell>
          <cell r="H8424">
            <v>10</v>
          </cell>
          <cell r="I8424">
            <v>6604000</v>
          </cell>
        </row>
        <row r="8425">
          <cell r="A8425" t="str">
            <v>Marshall Islands</v>
          </cell>
          <cell r="B8425">
            <v>584</v>
          </cell>
          <cell r="C8425">
            <v>201</v>
          </cell>
          <cell r="D8425">
            <v>13</v>
          </cell>
          <cell r="E8425" t="str">
            <v>Less: Financial intermediation services indirectly measured (FISIM) (only to be deducted if FISIM is not distributed to uses)</v>
          </cell>
          <cell r="F8425">
            <v>0</v>
          </cell>
          <cell r="G8425">
            <v>1995</v>
          </cell>
          <cell r="H8425">
            <v>10</v>
          </cell>
          <cell r="I8425">
            <v>6918000</v>
          </cell>
        </row>
        <row r="8426">
          <cell r="A8426" t="str">
            <v>Marshall Islands</v>
          </cell>
          <cell r="B8426">
            <v>584</v>
          </cell>
          <cell r="C8426">
            <v>201</v>
          </cell>
          <cell r="D8426">
            <v>13</v>
          </cell>
          <cell r="E8426" t="str">
            <v>Less: Financial intermediation services indirectly measured (FISIM) (only to be deducted if FISIM is not distributed to uses)</v>
          </cell>
          <cell r="F8426">
            <v>0</v>
          </cell>
          <cell r="G8426">
            <v>1996</v>
          </cell>
          <cell r="H8426">
            <v>10</v>
          </cell>
          <cell r="I8426">
            <v>4905000</v>
          </cell>
        </row>
        <row r="8427">
          <cell r="A8427" t="str">
            <v>Marshall Islands</v>
          </cell>
          <cell r="B8427">
            <v>584</v>
          </cell>
          <cell r="C8427">
            <v>201</v>
          </cell>
          <cell r="D8427">
            <v>13</v>
          </cell>
          <cell r="E8427" t="str">
            <v>Less: Financial intermediation services indirectly measured (FISIM) (only to be deducted if FISIM is not distributed to uses)</v>
          </cell>
          <cell r="F8427">
            <v>0</v>
          </cell>
          <cell r="G8427">
            <v>1997</v>
          </cell>
          <cell r="H8427">
            <v>10</v>
          </cell>
          <cell r="I8427">
            <v>4905000</v>
          </cell>
        </row>
        <row r="8428">
          <cell r="A8428" t="str">
            <v>Marshall Islands</v>
          </cell>
          <cell r="B8428">
            <v>584</v>
          </cell>
          <cell r="C8428">
            <v>201</v>
          </cell>
          <cell r="D8428">
            <v>13</v>
          </cell>
          <cell r="E8428" t="str">
            <v>Less: Financial intermediation services indirectly measured (FISIM) (only to be deducted if FISIM is not distributed to uses)</v>
          </cell>
          <cell r="F8428">
            <v>0</v>
          </cell>
          <cell r="G8428">
            <v>1998</v>
          </cell>
          <cell r="H8428">
            <v>10</v>
          </cell>
          <cell r="I8428">
            <v>5714500</v>
          </cell>
        </row>
        <row r="8429">
          <cell r="A8429" t="str">
            <v>Marshall Islands</v>
          </cell>
          <cell r="B8429">
            <v>584</v>
          </cell>
          <cell r="C8429">
            <v>201</v>
          </cell>
          <cell r="D8429">
            <v>13</v>
          </cell>
          <cell r="E8429" t="str">
            <v>Less: Financial intermediation services indirectly measured (FISIM) (only to be deducted if FISIM is not distributed to uses)</v>
          </cell>
          <cell r="F8429">
            <v>0</v>
          </cell>
          <cell r="G8429">
            <v>1999</v>
          </cell>
          <cell r="H8429">
            <v>10</v>
          </cell>
          <cell r="I8429">
            <v>5809400</v>
          </cell>
        </row>
        <row r="8430">
          <cell r="A8430" t="str">
            <v>Marshall Islands</v>
          </cell>
          <cell r="B8430">
            <v>584</v>
          </cell>
          <cell r="C8430">
            <v>201</v>
          </cell>
          <cell r="D8430">
            <v>13</v>
          </cell>
          <cell r="E8430" t="str">
            <v>Less: Financial intermediation services indirectly measured (FISIM) (only to be deducted if FISIM is not distributed to uses)</v>
          </cell>
          <cell r="F8430">
            <v>0</v>
          </cell>
          <cell r="G8430">
            <v>2000</v>
          </cell>
          <cell r="H8430">
            <v>10</v>
          </cell>
          <cell r="I8430">
            <v>6160000</v>
          </cell>
        </row>
        <row r="8431">
          <cell r="A8431" t="str">
            <v>Marshall Islands</v>
          </cell>
          <cell r="B8431">
            <v>584</v>
          </cell>
          <cell r="C8431">
            <v>201</v>
          </cell>
          <cell r="D8431">
            <v>13</v>
          </cell>
          <cell r="E8431" t="str">
            <v>Less: Financial intermediation services indirectly measured (FISIM) (only to be deducted if FISIM is not distributed to uses)</v>
          </cell>
          <cell r="F8431">
            <v>0</v>
          </cell>
          <cell r="G8431">
            <v>2001</v>
          </cell>
          <cell r="H8431">
            <v>10</v>
          </cell>
          <cell r="I8431">
            <v>6283200</v>
          </cell>
        </row>
        <row r="8432">
          <cell r="A8432" t="str">
            <v>Panama</v>
          </cell>
          <cell r="B8432">
            <v>591</v>
          </cell>
          <cell r="C8432">
            <v>201</v>
          </cell>
          <cell r="D8432">
            <v>13</v>
          </cell>
          <cell r="E8432" t="str">
            <v>Less: Financial intermediation services indirectly measured (FISIM) (only to be deducted if FISIM is not distributed to uses)</v>
          </cell>
          <cell r="F8432">
            <v>0</v>
          </cell>
          <cell r="G8432">
            <v>1970</v>
          </cell>
          <cell r="H8432">
            <v>20</v>
          </cell>
          <cell r="I8432">
            <v>10600000</v>
          </cell>
        </row>
        <row r="8433">
          <cell r="A8433" t="str">
            <v>Panama</v>
          </cell>
          <cell r="B8433">
            <v>591</v>
          </cell>
          <cell r="C8433">
            <v>201</v>
          </cell>
          <cell r="D8433">
            <v>13</v>
          </cell>
          <cell r="E8433" t="str">
            <v>Less: Financial intermediation services indirectly measured (FISIM) (only to be deducted if FISIM is not distributed to uses)</v>
          </cell>
          <cell r="F8433">
            <v>0</v>
          </cell>
          <cell r="G8433">
            <v>1971</v>
          </cell>
          <cell r="H8433">
            <v>20</v>
          </cell>
          <cell r="I8433">
            <v>10600000</v>
          </cell>
        </row>
        <row r="8434">
          <cell r="A8434" t="str">
            <v>Panama</v>
          </cell>
          <cell r="B8434">
            <v>591</v>
          </cell>
          <cell r="C8434">
            <v>201</v>
          </cell>
          <cell r="D8434">
            <v>13</v>
          </cell>
          <cell r="E8434" t="str">
            <v>Less: Financial intermediation services indirectly measured (FISIM) (only to be deducted if FISIM is not distributed to uses)</v>
          </cell>
          <cell r="F8434">
            <v>0</v>
          </cell>
          <cell r="G8434">
            <v>1972</v>
          </cell>
          <cell r="H8434">
            <v>20</v>
          </cell>
          <cell r="I8434">
            <v>22000000</v>
          </cell>
        </row>
        <row r="8435">
          <cell r="A8435" t="str">
            <v>Panama</v>
          </cell>
          <cell r="B8435">
            <v>591</v>
          </cell>
          <cell r="C8435">
            <v>201</v>
          </cell>
          <cell r="D8435">
            <v>13</v>
          </cell>
          <cell r="E8435" t="str">
            <v>Less: Financial intermediation services indirectly measured (FISIM) (only to be deducted if FISIM is not distributed to uses)</v>
          </cell>
          <cell r="F8435">
            <v>0</v>
          </cell>
          <cell r="G8435">
            <v>1973</v>
          </cell>
          <cell r="H8435">
            <v>20</v>
          </cell>
          <cell r="I8435">
            <v>25800000</v>
          </cell>
        </row>
        <row r="8436">
          <cell r="A8436" t="str">
            <v>Panama</v>
          </cell>
          <cell r="B8436">
            <v>591</v>
          </cell>
          <cell r="C8436">
            <v>201</v>
          </cell>
          <cell r="D8436">
            <v>13</v>
          </cell>
          <cell r="E8436" t="str">
            <v>Less: Financial intermediation services indirectly measured (FISIM) (only to be deducted if FISIM is not distributed to uses)</v>
          </cell>
          <cell r="F8436">
            <v>0</v>
          </cell>
          <cell r="G8436">
            <v>1974</v>
          </cell>
          <cell r="H8436">
            <v>20</v>
          </cell>
          <cell r="I8436">
            <v>42200000</v>
          </cell>
        </row>
        <row r="8437">
          <cell r="A8437" t="str">
            <v>Panama</v>
          </cell>
          <cell r="B8437">
            <v>591</v>
          </cell>
          <cell r="C8437">
            <v>201</v>
          </cell>
          <cell r="D8437">
            <v>13</v>
          </cell>
          <cell r="E8437" t="str">
            <v>Less: Financial intermediation services indirectly measured (FISIM) (only to be deducted if FISIM is not distributed to uses)</v>
          </cell>
          <cell r="F8437">
            <v>0</v>
          </cell>
          <cell r="G8437">
            <v>1975</v>
          </cell>
          <cell r="H8437">
            <v>20</v>
          </cell>
          <cell r="I8437">
            <v>42400000</v>
          </cell>
        </row>
        <row r="8438">
          <cell r="A8438" t="str">
            <v>Panama</v>
          </cell>
          <cell r="B8438">
            <v>591</v>
          </cell>
          <cell r="C8438">
            <v>201</v>
          </cell>
          <cell r="D8438">
            <v>13</v>
          </cell>
          <cell r="E8438" t="str">
            <v>Less: Financial intermediation services indirectly measured (FISIM) (only to be deducted if FISIM is not distributed to uses)</v>
          </cell>
          <cell r="F8438">
            <v>0</v>
          </cell>
          <cell r="G8438">
            <v>1976</v>
          </cell>
          <cell r="H8438">
            <v>20</v>
          </cell>
          <cell r="I8438">
            <v>55900000</v>
          </cell>
        </row>
        <row r="8439">
          <cell r="A8439" t="str">
            <v>Panama</v>
          </cell>
          <cell r="B8439">
            <v>591</v>
          </cell>
          <cell r="C8439">
            <v>201</v>
          </cell>
          <cell r="D8439">
            <v>13</v>
          </cell>
          <cell r="E8439" t="str">
            <v>Less: Financial intermediation services indirectly measured (FISIM) (only to be deducted if FISIM is not distributed to uses)</v>
          </cell>
          <cell r="F8439">
            <v>0</v>
          </cell>
          <cell r="G8439">
            <v>1977</v>
          </cell>
          <cell r="H8439">
            <v>20</v>
          </cell>
          <cell r="I8439">
            <v>87900000</v>
          </cell>
        </row>
        <row r="8440">
          <cell r="A8440" t="str">
            <v>Panama</v>
          </cell>
          <cell r="B8440">
            <v>591</v>
          </cell>
          <cell r="C8440">
            <v>201</v>
          </cell>
          <cell r="D8440">
            <v>13</v>
          </cell>
          <cell r="E8440" t="str">
            <v>Less: Financial intermediation services indirectly measured (FISIM) (only to be deducted if FISIM is not distributed to uses)</v>
          </cell>
          <cell r="F8440">
            <v>0</v>
          </cell>
          <cell r="G8440">
            <v>1978</v>
          </cell>
          <cell r="H8440">
            <v>20</v>
          </cell>
          <cell r="I8440">
            <v>70400000</v>
          </cell>
        </row>
        <row r="8441">
          <cell r="A8441" t="str">
            <v>Panama</v>
          </cell>
          <cell r="B8441">
            <v>591</v>
          </cell>
          <cell r="C8441">
            <v>201</v>
          </cell>
          <cell r="D8441">
            <v>13</v>
          </cell>
          <cell r="E8441" t="str">
            <v>Less: Financial intermediation services indirectly measured (FISIM) (only to be deducted if FISIM is not distributed to uses)</v>
          </cell>
          <cell r="F8441">
            <v>0</v>
          </cell>
          <cell r="G8441">
            <v>1979</v>
          </cell>
          <cell r="H8441">
            <v>20</v>
          </cell>
          <cell r="I8441">
            <v>141600000</v>
          </cell>
        </row>
        <row r="8442">
          <cell r="A8442" t="str">
            <v>Panama</v>
          </cell>
          <cell r="B8442">
            <v>591</v>
          </cell>
          <cell r="C8442">
            <v>201</v>
          </cell>
          <cell r="D8442">
            <v>13</v>
          </cell>
          <cell r="E8442" t="str">
            <v>Less: Financial intermediation services indirectly measured (FISIM) (only to be deducted if FISIM is not distributed to uses)</v>
          </cell>
          <cell r="F8442">
            <v>0</v>
          </cell>
          <cell r="G8442">
            <v>1980</v>
          </cell>
          <cell r="H8442">
            <v>20</v>
          </cell>
          <cell r="I8442">
            <v>147500000</v>
          </cell>
        </row>
        <row r="8443">
          <cell r="A8443" t="str">
            <v>Panama</v>
          </cell>
          <cell r="B8443">
            <v>591</v>
          </cell>
          <cell r="C8443">
            <v>201</v>
          </cell>
          <cell r="D8443">
            <v>13</v>
          </cell>
          <cell r="E8443" t="str">
            <v>Less: Financial intermediation services indirectly measured (FISIM) (only to be deducted if FISIM is not distributed to uses)</v>
          </cell>
          <cell r="F8443">
            <v>0</v>
          </cell>
          <cell r="G8443">
            <v>1980</v>
          </cell>
          <cell r="H8443">
            <v>30</v>
          </cell>
          <cell r="I8443">
            <v>452800000</v>
          </cell>
        </row>
        <row r="8444">
          <cell r="A8444" t="str">
            <v>Panama</v>
          </cell>
          <cell r="B8444">
            <v>591</v>
          </cell>
          <cell r="C8444">
            <v>201</v>
          </cell>
          <cell r="D8444">
            <v>13</v>
          </cell>
          <cell r="E8444" t="str">
            <v>Less: Financial intermediation services indirectly measured (FISIM) (only to be deducted if FISIM is not distributed to uses)</v>
          </cell>
          <cell r="F8444">
            <v>0</v>
          </cell>
          <cell r="G8444">
            <v>1981</v>
          </cell>
          <cell r="H8444">
            <v>30</v>
          </cell>
          <cell r="I8444">
            <v>926100000</v>
          </cell>
        </row>
        <row r="8445">
          <cell r="A8445" t="str">
            <v>Panama</v>
          </cell>
          <cell r="B8445">
            <v>591</v>
          </cell>
          <cell r="C8445">
            <v>201</v>
          </cell>
          <cell r="D8445">
            <v>13</v>
          </cell>
          <cell r="E8445" t="str">
            <v>Less: Financial intermediation services indirectly measured (FISIM) (only to be deducted if FISIM is not distributed to uses)</v>
          </cell>
          <cell r="F8445">
            <v>0</v>
          </cell>
          <cell r="G8445">
            <v>1982</v>
          </cell>
          <cell r="H8445">
            <v>30</v>
          </cell>
          <cell r="I8445">
            <v>710700000</v>
          </cell>
        </row>
        <row r="8446">
          <cell r="A8446" t="str">
            <v>Panama</v>
          </cell>
          <cell r="B8446">
            <v>591</v>
          </cell>
          <cell r="C8446">
            <v>201</v>
          </cell>
          <cell r="D8446">
            <v>13</v>
          </cell>
          <cell r="E8446" t="str">
            <v>Less: Financial intermediation services indirectly measured (FISIM) (only to be deducted if FISIM is not distributed to uses)</v>
          </cell>
          <cell r="F8446">
            <v>0</v>
          </cell>
          <cell r="G8446">
            <v>1983</v>
          </cell>
          <cell r="H8446">
            <v>30</v>
          </cell>
          <cell r="I8446">
            <v>811500000</v>
          </cell>
        </row>
        <row r="8447">
          <cell r="A8447" t="str">
            <v>Panama</v>
          </cell>
          <cell r="B8447">
            <v>591</v>
          </cell>
          <cell r="C8447">
            <v>201</v>
          </cell>
          <cell r="D8447">
            <v>13</v>
          </cell>
          <cell r="E8447" t="str">
            <v>Less: Financial intermediation services indirectly measured (FISIM) (only to be deducted if FISIM is not distributed to uses)</v>
          </cell>
          <cell r="F8447">
            <v>0</v>
          </cell>
          <cell r="G8447">
            <v>1984</v>
          </cell>
          <cell r="H8447">
            <v>30</v>
          </cell>
          <cell r="I8447">
            <v>719900000</v>
          </cell>
        </row>
        <row r="8448">
          <cell r="A8448" t="str">
            <v>Panama</v>
          </cell>
          <cell r="B8448">
            <v>591</v>
          </cell>
          <cell r="C8448">
            <v>201</v>
          </cell>
          <cell r="D8448">
            <v>13</v>
          </cell>
          <cell r="E8448" t="str">
            <v>Less: Financial intermediation services indirectly measured (FISIM) (only to be deducted if FISIM is not distributed to uses)</v>
          </cell>
          <cell r="F8448">
            <v>0</v>
          </cell>
          <cell r="G8448">
            <v>1985</v>
          </cell>
          <cell r="H8448">
            <v>30</v>
          </cell>
          <cell r="I8448">
            <v>752700000</v>
          </cell>
        </row>
        <row r="8449">
          <cell r="A8449" t="str">
            <v>Panama</v>
          </cell>
          <cell r="B8449">
            <v>591</v>
          </cell>
          <cell r="C8449">
            <v>201</v>
          </cell>
          <cell r="D8449">
            <v>13</v>
          </cell>
          <cell r="E8449" t="str">
            <v>Less: Financial intermediation services indirectly measured (FISIM) (only to be deducted if FISIM is not distributed to uses)</v>
          </cell>
          <cell r="F8449">
            <v>0</v>
          </cell>
          <cell r="G8449">
            <v>1986</v>
          </cell>
          <cell r="H8449">
            <v>30</v>
          </cell>
          <cell r="I8449">
            <v>648700000</v>
          </cell>
        </row>
        <row r="8450">
          <cell r="A8450" t="str">
            <v>Panama</v>
          </cell>
          <cell r="B8450">
            <v>591</v>
          </cell>
          <cell r="C8450">
            <v>201</v>
          </cell>
          <cell r="D8450">
            <v>13</v>
          </cell>
          <cell r="E8450" t="str">
            <v>Less: Financial intermediation services indirectly measured (FISIM) (only to be deducted if FISIM is not distributed to uses)</v>
          </cell>
          <cell r="F8450">
            <v>0</v>
          </cell>
          <cell r="G8450">
            <v>1987</v>
          </cell>
          <cell r="H8450">
            <v>30</v>
          </cell>
          <cell r="I8450">
            <v>553000000</v>
          </cell>
        </row>
        <row r="8451">
          <cell r="A8451" t="str">
            <v>Panama</v>
          </cell>
          <cell r="B8451">
            <v>591</v>
          </cell>
          <cell r="C8451">
            <v>201</v>
          </cell>
          <cell r="D8451">
            <v>13</v>
          </cell>
          <cell r="E8451" t="str">
            <v>Less: Financial intermediation services indirectly measured (FISIM) (only to be deducted if FISIM is not distributed to uses)</v>
          </cell>
          <cell r="F8451">
            <v>0</v>
          </cell>
          <cell r="G8451">
            <v>1988</v>
          </cell>
          <cell r="H8451">
            <v>30</v>
          </cell>
          <cell r="I8451">
            <v>169500000</v>
          </cell>
        </row>
        <row r="8452">
          <cell r="A8452" t="str">
            <v>Panama</v>
          </cell>
          <cell r="B8452">
            <v>591</v>
          </cell>
          <cell r="C8452">
            <v>201</v>
          </cell>
          <cell r="D8452">
            <v>13</v>
          </cell>
          <cell r="E8452" t="str">
            <v>Less: Financial intermediation services indirectly measured (FISIM) (only to be deducted if FISIM is not distributed to uses)</v>
          </cell>
          <cell r="F8452">
            <v>0</v>
          </cell>
          <cell r="G8452">
            <v>1989</v>
          </cell>
          <cell r="H8452">
            <v>30</v>
          </cell>
          <cell r="I8452">
            <v>133800000</v>
          </cell>
        </row>
        <row r="8453">
          <cell r="A8453" t="str">
            <v>Panama</v>
          </cell>
          <cell r="B8453">
            <v>591</v>
          </cell>
          <cell r="C8453">
            <v>201</v>
          </cell>
          <cell r="D8453">
            <v>13</v>
          </cell>
          <cell r="E8453" t="str">
            <v>Less: Financial intermediation services indirectly measured (FISIM) (only to be deducted if FISIM is not distributed to uses)</v>
          </cell>
          <cell r="F8453">
            <v>0</v>
          </cell>
          <cell r="G8453">
            <v>1990</v>
          </cell>
          <cell r="H8453">
            <v>30</v>
          </cell>
          <cell r="I8453">
            <v>159200000</v>
          </cell>
        </row>
        <row r="8454">
          <cell r="A8454" t="str">
            <v>Panama</v>
          </cell>
          <cell r="B8454">
            <v>591</v>
          </cell>
          <cell r="C8454">
            <v>201</v>
          </cell>
          <cell r="D8454">
            <v>13</v>
          </cell>
          <cell r="E8454" t="str">
            <v>Less: Financial intermediation services indirectly measured (FISIM) (only to be deducted if FISIM is not distributed to uses)</v>
          </cell>
          <cell r="F8454">
            <v>0</v>
          </cell>
          <cell r="G8454">
            <v>1991</v>
          </cell>
          <cell r="H8454">
            <v>30</v>
          </cell>
          <cell r="I8454">
            <v>72300000</v>
          </cell>
        </row>
        <row r="8455">
          <cell r="A8455" t="str">
            <v>Panama</v>
          </cell>
          <cell r="B8455">
            <v>591</v>
          </cell>
          <cell r="C8455">
            <v>201</v>
          </cell>
          <cell r="D8455">
            <v>13</v>
          </cell>
          <cell r="E8455" t="str">
            <v>Less: Financial intermediation services indirectly measured (FISIM) (only to be deducted if FISIM is not distributed to uses)</v>
          </cell>
          <cell r="F8455">
            <v>0</v>
          </cell>
          <cell r="G8455">
            <v>1992</v>
          </cell>
          <cell r="H8455">
            <v>30</v>
          </cell>
          <cell r="I8455">
            <v>143600000</v>
          </cell>
        </row>
        <row r="8456">
          <cell r="A8456" t="str">
            <v>Panama</v>
          </cell>
          <cell r="B8456">
            <v>591</v>
          </cell>
          <cell r="C8456">
            <v>201</v>
          </cell>
          <cell r="D8456">
            <v>13</v>
          </cell>
          <cell r="E8456" t="str">
            <v>Less: Financial intermediation services indirectly measured (FISIM) (only to be deducted if FISIM is not distributed to uses)</v>
          </cell>
          <cell r="F8456">
            <v>0</v>
          </cell>
          <cell r="G8456">
            <v>1993</v>
          </cell>
          <cell r="H8456">
            <v>30</v>
          </cell>
          <cell r="I8456">
            <v>191300000</v>
          </cell>
        </row>
        <row r="8457">
          <cell r="A8457" t="str">
            <v>Panama</v>
          </cell>
          <cell r="B8457">
            <v>591</v>
          </cell>
          <cell r="C8457">
            <v>201</v>
          </cell>
          <cell r="D8457">
            <v>13</v>
          </cell>
          <cell r="E8457" t="str">
            <v>Less: Financial intermediation services indirectly measured (FISIM) (only to be deducted if FISIM is not distributed to uses)</v>
          </cell>
          <cell r="F8457">
            <v>0</v>
          </cell>
          <cell r="G8457">
            <v>1994</v>
          </cell>
          <cell r="H8457">
            <v>30</v>
          </cell>
          <cell r="I8457">
            <v>285000000</v>
          </cell>
        </row>
        <row r="8458">
          <cell r="A8458" t="str">
            <v>Panama</v>
          </cell>
          <cell r="B8458">
            <v>591</v>
          </cell>
          <cell r="C8458">
            <v>201</v>
          </cell>
          <cell r="D8458">
            <v>13</v>
          </cell>
          <cell r="E8458" t="str">
            <v>Less: Financial intermediation services indirectly measured (FISIM) (only to be deducted if FISIM is not distributed to uses)</v>
          </cell>
          <cell r="F8458">
            <v>0</v>
          </cell>
          <cell r="G8458">
            <v>1995</v>
          </cell>
          <cell r="H8458">
            <v>30</v>
          </cell>
          <cell r="I8458">
            <v>231300000</v>
          </cell>
        </row>
        <row r="8459">
          <cell r="A8459" t="str">
            <v>Panama</v>
          </cell>
          <cell r="B8459">
            <v>591</v>
          </cell>
          <cell r="C8459">
            <v>201</v>
          </cell>
          <cell r="D8459">
            <v>13</v>
          </cell>
          <cell r="E8459" t="str">
            <v>Less: Financial intermediation services indirectly measured (FISIM) (only to be deducted if FISIM is not distributed to uses)</v>
          </cell>
          <cell r="F8459">
            <v>0</v>
          </cell>
          <cell r="G8459">
            <v>1996</v>
          </cell>
          <cell r="H8459">
            <v>30</v>
          </cell>
          <cell r="I8459">
            <v>327100000</v>
          </cell>
        </row>
        <row r="8460">
          <cell r="A8460" t="str">
            <v>Panama</v>
          </cell>
          <cell r="B8460">
            <v>591</v>
          </cell>
          <cell r="C8460">
            <v>201</v>
          </cell>
          <cell r="D8460">
            <v>13</v>
          </cell>
          <cell r="E8460" t="str">
            <v>Less: Financial intermediation services indirectly measured (FISIM) (only to be deducted if FISIM is not distributed to uses)</v>
          </cell>
          <cell r="F8460">
            <v>0</v>
          </cell>
          <cell r="G8460">
            <v>1996</v>
          </cell>
          <cell r="H8460">
            <v>100</v>
          </cell>
          <cell r="I8460">
            <v>268700000</v>
          </cell>
        </row>
        <row r="8461">
          <cell r="A8461" t="str">
            <v>Panama</v>
          </cell>
          <cell r="B8461">
            <v>591</v>
          </cell>
          <cell r="C8461">
            <v>201</v>
          </cell>
          <cell r="D8461">
            <v>13</v>
          </cell>
          <cell r="E8461" t="str">
            <v>Less: Financial intermediation services indirectly measured (FISIM) (only to be deducted if FISIM is not distributed to uses)</v>
          </cell>
          <cell r="F8461">
            <v>0</v>
          </cell>
          <cell r="G8461">
            <v>1997</v>
          </cell>
          <cell r="H8461">
            <v>100</v>
          </cell>
          <cell r="I8461">
            <v>275800000</v>
          </cell>
        </row>
        <row r="8462">
          <cell r="A8462" t="str">
            <v>Panama</v>
          </cell>
          <cell r="B8462">
            <v>591</v>
          </cell>
          <cell r="C8462">
            <v>201</v>
          </cell>
          <cell r="D8462">
            <v>13</v>
          </cell>
          <cell r="E8462" t="str">
            <v>Less: Financial intermediation services indirectly measured (FISIM) (only to be deducted if FISIM is not distributed to uses)</v>
          </cell>
          <cell r="F8462">
            <v>0</v>
          </cell>
          <cell r="G8462">
            <v>1998</v>
          </cell>
          <cell r="H8462">
            <v>100</v>
          </cell>
          <cell r="I8462">
            <v>323800000</v>
          </cell>
        </row>
        <row r="8463">
          <cell r="A8463" t="str">
            <v>Panama</v>
          </cell>
          <cell r="B8463">
            <v>591</v>
          </cell>
          <cell r="C8463">
            <v>201</v>
          </cell>
          <cell r="D8463">
            <v>13</v>
          </cell>
          <cell r="E8463" t="str">
            <v>Less: Financial intermediation services indirectly measured (FISIM) (only to be deducted if FISIM is not distributed to uses)</v>
          </cell>
          <cell r="F8463">
            <v>0</v>
          </cell>
          <cell r="G8463">
            <v>1999</v>
          </cell>
          <cell r="H8463">
            <v>100</v>
          </cell>
          <cell r="I8463">
            <v>371800000</v>
          </cell>
        </row>
        <row r="8464">
          <cell r="A8464" t="str">
            <v>Panama</v>
          </cell>
          <cell r="B8464">
            <v>591</v>
          </cell>
          <cell r="C8464">
            <v>201</v>
          </cell>
          <cell r="D8464">
            <v>13</v>
          </cell>
          <cell r="E8464" t="str">
            <v>Less: Financial intermediation services indirectly measured (FISIM) (only to be deducted if FISIM is not distributed to uses)</v>
          </cell>
          <cell r="F8464">
            <v>0</v>
          </cell>
          <cell r="G8464">
            <v>2000</v>
          </cell>
          <cell r="H8464">
            <v>100</v>
          </cell>
          <cell r="I8464">
            <v>397100000</v>
          </cell>
        </row>
        <row r="8465">
          <cell r="A8465" t="str">
            <v>Panama</v>
          </cell>
          <cell r="B8465">
            <v>591</v>
          </cell>
          <cell r="C8465">
            <v>201</v>
          </cell>
          <cell r="D8465">
            <v>13</v>
          </cell>
          <cell r="E8465" t="str">
            <v>Less: Financial intermediation services indirectly measured (FISIM) (only to be deducted if FISIM is not distributed to uses)</v>
          </cell>
          <cell r="F8465">
            <v>0</v>
          </cell>
          <cell r="G8465">
            <v>2001</v>
          </cell>
          <cell r="H8465">
            <v>100</v>
          </cell>
          <cell r="I8465">
            <v>402900000</v>
          </cell>
        </row>
        <row r="8466">
          <cell r="A8466" t="str">
            <v>Panama</v>
          </cell>
          <cell r="B8466">
            <v>591</v>
          </cell>
          <cell r="C8466">
            <v>201</v>
          </cell>
          <cell r="D8466">
            <v>13</v>
          </cell>
          <cell r="E8466" t="str">
            <v>Less: Financial intermediation services indirectly measured (FISIM) (only to be deducted if FISIM is not distributed to uses)</v>
          </cell>
          <cell r="F8466">
            <v>0</v>
          </cell>
          <cell r="G8466">
            <v>2002</v>
          </cell>
          <cell r="H8466">
            <v>100</v>
          </cell>
          <cell r="I8466">
            <v>370300000</v>
          </cell>
        </row>
        <row r="8467">
          <cell r="A8467" t="str">
            <v>Panama</v>
          </cell>
          <cell r="B8467">
            <v>591</v>
          </cell>
          <cell r="C8467">
            <v>201</v>
          </cell>
          <cell r="D8467">
            <v>13</v>
          </cell>
          <cell r="E8467" t="str">
            <v>Less: Financial intermediation services indirectly measured (FISIM) (only to be deducted if FISIM is not distributed to uses)</v>
          </cell>
          <cell r="F8467">
            <v>0</v>
          </cell>
          <cell r="G8467">
            <v>2003</v>
          </cell>
          <cell r="H8467">
            <v>100</v>
          </cell>
          <cell r="I8467">
            <v>416500000</v>
          </cell>
        </row>
        <row r="8468">
          <cell r="A8468" t="str">
            <v>Panama</v>
          </cell>
          <cell r="B8468">
            <v>591</v>
          </cell>
          <cell r="C8468">
            <v>203</v>
          </cell>
          <cell r="D8468">
            <v>3</v>
          </cell>
          <cell r="E8468" t="str">
            <v>Equals: VALUE ADDED, GROSS, at basic prices</v>
          </cell>
          <cell r="F8468">
            <v>12</v>
          </cell>
          <cell r="G8468">
            <v>1989</v>
          </cell>
          <cell r="H8468">
            <v>30</v>
          </cell>
          <cell r="I8468">
            <v>4915500000</v>
          </cell>
        </row>
        <row r="8469">
          <cell r="A8469" t="str">
            <v>Panama</v>
          </cell>
          <cell r="B8469">
            <v>591</v>
          </cell>
          <cell r="C8469">
            <v>203</v>
          </cell>
          <cell r="D8469">
            <v>3</v>
          </cell>
          <cell r="E8469" t="str">
            <v>Equals: VALUE ADDED, GROSS, at basic prices</v>
          </cell>
          <cell r="F8469">
            <v>12</v>
          </cell>
          <cell r="G8469">
            <v>1990</v>
          </cell>
          <cell r="H8469">
            <v>30</v>
          </cell>
          <cell r="I8469">
            <v>5311000000</v>
          </cell>
        </row>
        <row r="8470">
          <cell r="A8470" t="str">
            <v>Panama</v>
          </cell>
          <cell r="B8470">
            <v>591</v>
          </cell>
          <cell r="C8470">
            <v>203</v>
          </cell>
          <cell r="D8470">
            <v>3</v>
          </cell>
          <cell r="E8470" t="str">
            <v>Equals: VALUE ADDED, GROSS, at basic prices</v>
          </cell>
          <cell r="F8470">
            <v>12</v>
          </cell>
          <cell r="G8470">
            <v>1991</v>
          </cell>
          <cell r="H8470">
            <v>30</v>
          </cell>
          <cell r="I8470">
            <v>5747600000</v>
          </cell>
        </row>
        <row r="8471">
          <cell r="A8471" t="str">
            <v>Panama</v>
          </cell>
          <cell r="B8471">
            <v>591</v>
          </cell>
          <cell r="C8471">
            <v>203</v>
          </cell>
          <cell r="D8471">
            <v>3</v>
          </cell>
          <cell r="E8471" t="str">
            <v>Equals: VALUE ADDED, GROSS, at basic prices</v>
          </cell>
          <cell r="F8471">
            <v>12</v>
          </cell>
          <cell r="G8471">
            <v>1992</v>
          </cell>
          <cell r="H8471">
            <v>30</v>
          </cell>
          <cell r="I8471">
            <v>6641000000</v>
          </cell>
        </row>
        <row r="8472">
          <cell r="A8472" t="str">
            <v>Panama</v>
          </cell>
          <cell r="B8472">
            <v>591</v>
          </cell>
          <cell r="C8472">
            <v>203</v>
          </cell>
          <cell r="D8472">
            <v>3</v>
          </cell>
          <cell r="E8472" t="str">
            <v>Equals: VALUE ADDED, GROSS, at basic prices</v>
          </cell>
          <cell r="F8472">
            <v>12</v>
          </cell>
          <cell r="G8472">
            <v>1993</v>
          </cell>
          <cell r="H8472">
            <v>30</v>
          </cell>
          <cell r="I8472">
            <v>7253000000</v>
          </cell>
        </row>
        <row r="8473">
          <cell r="A8473" t="str">
            <v>Panama</v>
          </cell>
          <cell r="B8473">
            <v>591</v>
          </cell>
          <cell r="C8473">
            <v>203</v>
          </cell>
          <cell r="D8473">
            <v>3</v>
          </cell>
          <cell r="E8473" t="str">
            <v>Equals: VALUE ADDED, GROSS, at basic prices</v>
          </cell>
          <cell r="F8473">
            <v>12</v>
          </cell>
          <cell r="G8473">
            <v>1994</v>
          </cell>
          <cell r="H8473">
            <v>30</v>
          </cell>
          <cell r="I8473">
            <v>7734000000</v>
          </cell>
        </row>
        <row r="8474">
          <cell r="A8474" t="str">
            <v>Panama</v>
          </cell>
          <cell r="B8474">
            <v>591</v>
          </cell>
          <cell r="C8474">
            <v>203</v>
          </cell>
          <cell r="D8474">
            <v>3</v>
          </cell>
          <cell r="E8474" t="str">
            <v>Equals: VALUE ADDED, GROSS, at basic prices</v>
          </cell>
          <cell r="F8474">
            <v>12</v>
          </cell>
          <cell r="G8474">
            <v>1995</v>
          </cell>
          <cell r="H8474">
            <v>30</v>
          </cell>
          <cell r="I8474">
            <v>7906000000</v>
          </cell>
        </row>
        <row r="8475">
          <cell r="A8475" t="str">
            <v>Panama</v>
          </cell>
          <cell r="B8475">
            <v>591</v>
          </cell>
          <cell r="C8475">
            <v>203</v>
          </cell>
          <cell r="D8475">
            <v>3</v>
          </cell>
          <cell r="E8475" t="str">
            <v>Equals: VALUE ADDED, GROSS, at basic prices</v>
          </cell>
          <cell r="F8475">
            <v>12</v>
          </cell>
          <cell r="G8475">
            <v>1996</v>
          </cell>
          <cell r="H8475">
            <v>30</v>
          </cell>
          <cell r="I8475">
            <v>8151000000</v>
          </cell>
        </row>
        <row r="8476">
          <cell r="A8476" t="str">
            <v>Panama</v>
          </cell>
          <cell r="B8476">
            <v>591</v>
          </cell>
          <cell r="C8476">
            <v>203</v>
          </cell>
          <cell r="D8476">
            <v>3</v>
          </cell>
          <cell r="E8476" t="str">
            <v>Equals: VALUE ADDED, GROSS, at basic prices</v>
          </cell>
          <cell r="F8476">
            <v>12</v>
          </cell>
          <cell r="G8476">
            <v>1997</v>
          </cell>
          <cell r="H8476">
            <v>30</v>
          </cell>
          <cell r="I8476">
            <v>8658000000</v>
          </cell>
        </row>
        <row r="8477">
          <cell r="A8477" t="str">
            <v>Panama</v>
          </cell>
          <cell r="B8477">
            <v>591</v>
          </cell>
          <cell r="C8477">
            <v>203</v>
          </cell>
          <cell r="D8477">
            <v>3</v>
          </cell>
          <cell r="E8477" t="str">
            <v>Equals: VALUE ADDED, GROSS, at basic prices</v>
          </cell>
          <cell r="F8477">
            <v>12</v>
          </cell>
          <cell r="G8477">
            <v>1998</v>
          </cell>
          <cell r="H8477">
            <v>30</v>
          </cell>
          <cell r="I8477">
            <v>9345000000</v>
          </cell>
        </row>
        <row r="8478">
          <cell r="A8478" t="str">
            <v>Panama</v>
          </cell>
          <cell r="B8478">
            <v>591</v>
          </cell>
          <cell r="C8478">
            <v>203</v>
          </cell>
          <cell r="D8478">
            <v>3</v>
          </cell>
          <cell r="E8478" t="str">
            <v>Equals: VALUE ADDED, GROSS, at basic prices</v>
          </cell>
          <cell r="F8478">
            <v>12</v>
          </cell>
          <cell r="G8478">
            <v>1999</v>
          </cell>
          <cell r="H8478">
            <v>30</v>
          </cell>
          <cell r="I8478">
            <v>9637000000</v>
          </cell>
        </row>
        <row r="8479">
          <cell r="A8479" t="str">
            <v>Panama</v>
          </cell>
          <cell r="B8479">
            <v>591</v>
          </cell>
          <cell r="C8479">
            <v>203</v>
          </cell>
          <cell r="D8479">
            <v>3</v>
          </cell>
          <cell r="E8479" t="str">
            <v>Equals: VALUE ADDED, GROSS, at basic prices</v>
          </cell>
          <cell r="F8479">
            <v>12</v>
          </cell>
          <cell r="G8479">
            <v>2000</v>
          </cell>
          <cell r="H8479">
            <v>30</v>
          </cell>
          <cell r="I8479">
            <v>10019000000</v>
          </cell>
        </row>
        <row r="8480">
          <cell r="A8480" t="str">
            <v>Panama</v>
          </cell>
          <cell r="B8480">
            <v>591</v>
          </cell>
          <cell r="C8480">
            <v>203</v>
          </cell>
          <cell r="D8480">
            <v>4</v>
          </cell>
          <cell r="E8480" t="str">
            <v>Compensation of employees</v>
          </cell>
          <cell r="F8480">
            <v>12</v>
          </cell>
          <cell r="G8480">
            <v>1989</v>
          </cell>
          <cell r="H8480">
            <v>30</v>
          </cell>
          <cell r="I8480">
            <v>2770600000</v>
          </cell>
        </row>
        <row r="8481">
          <cell r="A8481" t="str">
            <v>Panama</v>
          </cell>
          <cell r="B8481">
            <v>591</v>
          </cell>
          <cell r="C8481">
            <v>203</v>
          </cell>
          <cell r="D8481">
            <v>4</v>
          </cell>
          <cell r="E8481" t="str">
            <v>Compensation of employees</v>
          </cell>
          <cell r="F8481">
            <v>12</v>
          </cell>
          <cell r="G8481">
            <v>1990</v>
          </cell>
          <cell r="H8481">
            <v>30</v>
          </cell>
          <cell r="I8481">
            <v>2813200000</v>
          </cell>
        </row>
        <row r="8482">
          <cell r="A8482" t="str">
            <v>Panama</v>
          </cell>
          <cell r="B8482">
            <v>591</v>
          </cell>
          <cell r="C8482">
            <v>203</v>
          </cell>
          <cell r="D8482">
            <v>4</v>
          </cell>
          <cell r="E8482" t="str">
            <v>Compensation of employees</v>
          </cell>
          <cell r="F8482">
            <v>12</v>
          </cell>
          <cell r="G8482">
            <v>1991</v>
          </cell>
          <cell r="H8482">
            <v>30</v>
          </cell>
          <cell r="I8482">
            <v>2998400000</v>
          </cell>
        </row>
        <row r="8483">
          <cell r="A8483" t="str">
            <v>Panama</v>
          </cell>
          <cell r="B8483">
            <v>591</v>
          </cell>
          <cell r="C8483">
            <v>203</v>
          </cell>
          <cell r="D8483">
            <v>4</v>
          </cell>
          <cell r="E8483" t="str">
            <v>Compensation of employees</v>
          </cell>
          <cell r="F8483">
            <v>12</v>
          </cell>
          <cell r="G8483">
            <v>1992</v>
          </cell>
          <cell r="H8483">
            <v>30</v>
          </cell>
          <cell r="I8483">
            <v>3279000000</v>
          </cell>
        </row>
        <row r="8484">
          <cell r="A8484" t="str">
            <v>Panama</v>
          </cell>
          <cell r="B8484">
            <v>591</v>
          </cell>
          <cell r="C8484">
            <v>203</v>
          </cell>
          <cell r="D8484">
            <v>4</v>
          </cell>
          <cell r="E8484" t="str">
            <v>Compensation of employees</v>
          </cell>
          <cell r="F8484">
            <v>12</v>
          </cell>
          <cell r="G8484">
            <v>1993</v>
          </cell>
          <cell r="H8484">
            <v>30</v>
          </cell>
          <cell r="I8484">
            <v>3485300000</v>
          </cell>
        </row>
        <row r="8485">
          <cell r="A8485" t="str">
            <v>Panama</v>
          </cell>
          <cell r="B8485">
            <v>591</v>
          </cell>
          <cell r="C8485">
            <v>203</v>
          </cell>
          <cell r="D8485">
            <v>4</v>
          </cell>
          <cell r="E8485" t="str">
            <v>Compensation of employees</v>
          </cell>
          <cell r="F8485">
            <v>12</v>
          </cell>
          <cell r="G8485">
            <v>1994</v>
          </cell>
          <cell r="H8485">
            <v>30</v>
          </cell>
          <cell r="I8485">
            <v>3690600000</v>
          </cell>
        </row>
        <row r="8486">
          <cell r="A8486" t="str">
            <v>Panama</v>
          </cell>
          <cell r="B8486">
            <v>591</v>
          </cell>
          <cell r="C8486">
            <v>203</v>
          </cell>
          <cell r="D8486">
            <v>4</v>
          </cell>
          <cell r="E8486" t="str">
            <v>Compensation of employees</v>
          </cell>
          <cell r="F8486">
            <v>12</v>
          </cell>
          <cell r="G8486">
            <v>1995</v>
          </cell>
          <cell r="H8486">
            <v>30</v>
          </cell>
          <cell r="I8486">
            <v>3775800000</v>
          </cell>
        </row>
        <row r="8487">
          <cell r="A8487" t="str">
            <v>Panama</v>
          </cell>
          <cell r="B8487">
            <v>591</v>
          </cell>
          <cell r="C8487">
            <v>203</v>
          </cell>
          <cell r="D8487">
            <v>4</v>
          </cell>
          <cell r="E8487" t="str">
            <v>Compensation of employees</v>
          </cell>
          <cell r="F8487">
            <v>12</v>
          </cell>
          <cell r="G8487">
            <v>1996</v>
          </cell>
          <cell r="H8487">
            <v>30</v>
          </cell>
          <cell r="I8487">
            <v>4071700000</v>
          </cell>
        </row>
        <row r="8488">
          <cell r="A8488" t="str">
            <v>Panama</v>
          </cell>
          <cell r="B8488">
            <v>591</v>
          </cell>
          <cell r="C8488">
            <v>203</v>
          </cell>
          <cell r="D8488">
            <v>4</v>
          </cell>
          <cell r="E8488" t="str">
            <v>Compensation of employees</v>
          </cell>
          <cell r="F8488">
            <v>12</v>
          </cell>
          <cell r="G8488">
            <v>1997</v>
          </cell>
          <cell r="H8488">
            <v>30</v>
          </cell>
          <cell r="I8488">
            <v>4318300000</v>
          </cell>
        </row>
        <row r="8489">
          <cell r="A8489" t="str">
            <v>Panama</v>
          </cell>
          <cell r="B8489">
            <v>591</v>
          </cell>
          <cell r="C8489">
            <v>203</v>
          </cell>
          <cell r="D8489">
            <v>4</v>
          </cell>
          <cell r="E8489" t="str">
            <v>Compensation of employees</v>
          </cell>
          <cell r="F8489">
            <v>12</v>
          </cell>
          <cell r="G8489">
            <v>1998</v>
          </cell>
          <cell r="H8489">
            <v>30</v>
          </cell>
          <cell r="I8489">
            <v>4724200000</v>
          </cell>
        </row>
        <row r="8490">
          <cell r="A8490" t="str">
            <v>Panama</v>
          </cell>
          <cell r="B8490">
            <v>591</v>
          </cell>
          <cell r="C8490">
            <v>203</v>
          </cell>
          <cell r="D8490">
            <v>4</v>
          </cell>
          <cell r="E8490" t="str">
            <v>Compensation of employees</v>
          </cell>
          <cell r="F8490">
            <v>12</v>
          </cell>
          <cell r="G8490">
            <v>1999</v>
          </cell>
          <cell r="H8490">
            <v>30</v>
          </cell>
          <cell r="I8490">
            <v>4857000000</v>
          </cell>
        </row>
        <row r="8491">
          <cell r="A8491" t="str">
            <v>Panama</v>
          </cell>
          <cell r="B8491">
            <v>591</v>
          </cell>
          <cell r="C8491">
            <v>203</v>
          </cell>
          <cell r="D8491">
            <v>4</v>
          </cell>
          <cell r="E8491" t="str">
            <v>Compensation of employees</v>
          </cell>
          <cell r="F8491">
            <v>12</v>
          </cell>
          <cell r="G8491">
            <v>2000</v>
          </cell>
          <cell r="H8491">
            <v>30</v>
          </cell>
          <cell r="I8491">
            <v>4985000000</v>
          </cell>
        </row>
        <row r="8492">
          <cell r="A8492" t="str">
            <v>Panama</v>
          </cell>
          <cell r="B8492">
            <v>591</v>
          </cell>
          <cell r="C8492">
            <v>203</v>
          </cell>
          <cell r="D8492">
            <v>11</v>
          </cell>
          <cell r="E8492" t="str">
            <v>OPERATING SURPLUS, GROSS</v>
          </cell>
          <cell r="F8492">
            <v>12</v>
          </cell>
          <cell r="G8492">
            <v>1989</v>
          </cell>
          <cell r="H8492">
            <v>30</v>
          </cell>
          <cell r="I8492">
            <v>1790900000</v>
          </cell>
        </row>
        <row r="8493">
          <cell r="A8493" t="str">
            <v>Panama</v>
          </cell>
          <cell r="B8493">
            <v>591</v>
          </cell>
          <cell r="C8493">
            <v>203</v>
          </cell>
          <cell r="D8493">
            <v>11</v>
          </cell>
          <cell r="E8493" t="str">
            <v>OPERATING SURPLUS, GROSS</v>
          </cell>
          <cell r="F8493">
            <v>12</v>
          </cell>
          <cell r="G8493">
            <v>1990</v>
          </cell>
          <cell r="H8493">
            <v>30</v>
          </cell>
          <cell r="I8493">
            <v>2147000000</v>
          </cell>
        </row>
        <row r="8494">
          <cell r="A8494" t="str">
            <v>Panama</v>
          </cell>
          <cell r="B8494">
            <v>591</v>
          </cell>
          <cell r="C8494">
            <v>203</v>
          </cell>
          <cell r="D8494">
            <v>11</v>
          </cell>
          <cell r="E8494" t="str">
            <v>OPERATING SURPLUS, GROSS</v>
          </cell>
          <cell r="F8494">
            <v>12</v>
          </cell>
          <cell r="G8494">
            <v>1991</v>
          </cell>
          <cell r="H8494">
            <v>30</v>
          </cell>
          <cell r="I8494">
            <v>2365100000</v>
          </cell>
        </row>
        <row r="8495">
          <cell r="A8495" t="str">
            <v>Panama</v>
          </cell>
          <cell r="B8495">
            <v>591</v>
          </cell>
          <cell r="C8495">
            <v>203</v>
          </cell>
          <cell r="D8495">
            <v>11</v>
          </cell>
          <cell r="E8495" t="str">
            <v>OPERATING SURPLUS, GROSS</v>
          </cell>
          <cell r="F8495">
            <v>12</v>
          </cell>
          <cell r="G8495">
            <v>1992</v>
          </cell>
          <cell r="H8495">
            <v>30</v>
          </cell>
          <cell r="I8495">
            <v>2712000000</v>
          </cell>
        </row>
        <row r="8496">
          <cell r="A8496" t="str">
            <v>Panama</v>
          </cell>
          <cell r="B8496">
            <v>591</v>
          </cell>
          <cell r="C8496">
            <v>203</v>
          </cell>
          <cell r="D8496">
            <v>11</v>
          </cell>
          <cell r="E8496" t="str">
            <v>OPERATING SURPLUS, GROSS</v>
          </cell>
          <cell r="F8496">
            <v>12</v>
          </cell>
          <cell r="G8496">
            <v>1993</v>
          </cell>
          <cell r="H8496">
            <v>30</v>
          </cell>
          <cell r="I8496">
            <v>3090000000</v>
          </cell>
        </row>
        <row r="8497">
          <cell r="A8497" t="str">
            <v>Panama</v>
          </cell>
          <cell r="B8497">
            <v>591</v>
          </cell>
          <cell r="C8497">
            <v>203</v>
          </cell>
          <cell r="D8497">
            <v>11</v>
          </cell>
          <cell r="E8497" t="str">
            <v>OPERATING SURPLUS, GROSS</v>
          </cell>
          <cell r="F8497">
            <v>12</v>
          </cell>
          <cell r="G8497">
            <v>1994</v>
          </cell>
          <cell r="H8497">
            <v>30</v>
          </cell>
          <cell r="I8497">
            <v>3338000000</v>
          </cell>
        </row>
        <row r="8498">
          <cell r="A8498" t="str">
            <v>Panama</v>
          </cell>
          <cell r="B8498">
            <v>591</v>
          </cell>
          <cell r="C8498">
            <v>203</v>
          </cell>
          <cell r="D8498">
            <v>11</v>
          </cell>
          <cell r="E8498" t="str">
            <v>OPERATING SURPLUS, GROSS</v>
          </cell>
          <cell r="F8498">
            <v>12</v>
          </cell>
          <cell r="G8498">
            <v>1995</v>
          </cell>
          <cell r="H8498">
            <v>30</v>
          </cell>
          <cell r="I8498">
            <v>3396000000</v>
          </cell>
        </row>
        <row r="8499">
          <cell r="A8499" t="str">
            <v>Panama</v>
          </cell>
          <cell r="B8499">
            <v>591</v>
          </cell>
          <cell r="C8499">
            <v>203</v>
          </cell>
          <cell r="D8499">
            <v>11</v>
          </cell>
          <cell r="E8499" t="str">
            <v>OPERATING SURPLUS, GROSS</v>
          </cell>
          <cell r="F8499">
            <v>12</v>
          </cell>
          <cell r="G8499">
            <v>1996</v>
          </cell>
          <cell r="H8499">
            <v>30</v>
          </cell>
          <cell r="I8499">
            <v>3346000000</v>
          </cell>
        </row>
        <row r="8500">
          <cell r="A8500" t="str">
            <v>Panama</v>
          </cell>
          <cell r="B8500">
            <v>591</v>
          </cell>
          <cell r="C8500">
            <v>203</v>
          </cell>
          <cell r="D8500">
            <v>11</v>
          </cell>
          <cell r="E8500" t="str">
            <v>OPERATING SURPLUS, GROSS</v>
          </cell>
          <cell r="F8500">
            <v>12</v>
          </cell>
          <cell r="G8500">
            <v>1997</v>
          </cell>
          <cell r="H8500">
            <v>30</v>
          </cell>
          <cell r="I8500">
            <v>3604000000</v>
          </cell>
        </row>
        <row r="8501">
          <cell r="A8501" t="str">
            <v>Panama</v>
          </cell>
          <cell r="B8501">
            <v>591</v>
          </cell>
          <cell r="C8501">
            <v>203</v>
          </cell>
          <cell r="D8501">
            <v>11</v>
          </cell>
          <cell r="E8501" t="str">
            <v>OPERATING SURPLUS, GROSS</v>
          </cell>
          <cell r="F8501">
            <v>12</v>
          </cell>
          <cell r="G8501">
            <v>1998</v>
          </cell>
          <cell r="H8501">
            <v>30</v>
          </cell>
          <cell r="I8501">
            <v>3772000000</v>
          </cell>
        </row>
        <row r="8502">
          <cell r="A8502" t="str">
            <v>Panama</v>
          </cell>
          <cell r="B8502">
            <v>591</v>
          </cell>
          <cell r="C8502">
            <v>203</v>
          </cell>
          <cell r="D8502">
            <v>11</v>
          </cell>
          <cell r="E8502" t="str">
            <v>OPERATING SURPLUS, GROSS</v>
          </cell>
          <cell r="F8502">
            <v>12</v>
          </cell>
          <cell r="G8502">
            <v>1999</v>
          </cell>
          <cell r="H8502">
            <v>30</v>
          </cell>
          <cell r="I8502">
            <v>3893000000</v>
          </cell>
        </row>
        <row r="8503">
          <cell r="A8503" t="str">
            <v>Panama</v>
          </cell>
          <cell r="B8503">
            <v>591</v>
          </cell>
          <cell r="C8503">
            <v>203</v>
          </cell>
          <cell r="D8503">
            <v>11</v>
          </cell>
          <cell r="E8503" t="str">
            <v>OPERATING SURPLUS, GROSS</v>
          </cell>
          <cell r="F8503">
            <v>12</v>
          </cell>
          <cell r="G8503">
            <v>2000</v>
          </cell>
          <cell r="H8503">
            <v>30</v>
          </cell>
          <cell r="I8503">
            <v>4178000000</v>
          </cell>
        </row>
        <row r="8504">
          <cell r="A8504" t="str">
            <v>Panama</v>
          </cell>
          <cell r="B8504">
            <v>591</v>
          </cell>
          <cell r="C8504">
            <v>203</v>
          </cell>
          <cell r="D8504">
            <v>22</v>
          </cell>
          <cell r="E8504" t="str">
            <v>Taxes on production and imports, less Subsidies</v>
          </cell>
          <cell r="F8504">
            <v>12</v>
          </cell>
          <cell r="G8504">
            <v>1989</v>
          </cell>
          <cell r="H8504">
            <v>30</v>
          </cell>
          <cell r="I8504">
            <v>354000000</v>
          </cell>
        </row>
        <row r="8505">
          <cell r="A8505" t="str">
            <v>Panama</v>
          </cell>
          <cell r="B8505">
            <v>591</v>
          </cell>
          <cell r="C8505">
            <v>203</v>
          </cell>
          <cell r="D8505">
            <v>22</v>
          </cell>
          <cell r="E8505" t="str">
            <v>Taxes on production and imports, less Subsidies</v>
          </cell>
          <cell r="F8505">
            <v>12</v>
          </cell>
          <cell r="G8505">
            <v>1990</v>
          </cell>
          <cell r="H8505">
            <v>30</v>
          </cell>
          <cell r="I8505">
            <v>350800000</v>
          </cell>
        </row>
        <row r="8506">
          <cell r="A8506" t="str">
            <v>Panama</v>
          </cell>
          <cell r="B8506">
            <v>591</v>
          </cell>
          <cell r="C8506">
            <v>203</v>
          </cell>
          <cell r="D8506">
            <v>22</v>
          </cell>
          <cell r="E8506" t="str">
            <v>Taxes on production and imports, less Subsidies</v>
          </cell>
          <cell r="F8506">
            <v>12</v>
          </cell>
          <cell r="G8506">
            <v>1991</v>
          </cell>
          <cell r="H8506">
            <v>30</v>
          </cell>
          <cell r="I8506">
            <v>384100000</v>
          </cell>
        </row>
        <row r="8507">
          <cell r="A8507" t="str">
            <v>Panama</v>
          </cell>
          <cell r="B8507">
            <v>591</v>
          </cell>
          <cell r="C8507">
            <v>203</v>
          </cell>
          <cell r="D8507">
            <v>22</v>
          </cell>
          <cell r="E8507" t="str">
            <v>Taxes on production and imports, less Subsidies</v>
          </cell>
          <cell r="F8507">
            <v>12</v>
          </cell>
          <cell r="G8507">
            <v>1992</v>
          </cell>
          <cell r="H8507">
            <v>30</v>
          </cell>
          <cell r="I8507">
            <v>651000000</v>
          </cell>
        </row>
        <row r="8508">
          <cell r="A8508" t="str">
            <v>Panama</v>
          </cell>
          <cell r="B8508">
            <v>591</v>
          </cell>
          <cell r="C8508">
            <v>203</v>
          </cell>
          <cell r="D8508">
            <v>22</v>
          </cell>
          <cell r="E8508" t="str">
            <v>Taxes on production and imports, less Subsidies</v>
          </cell>
          <cell r="F8508">
            <v>12</v>
          </cell>
          <cell r="G8508">
            <v>1993</v>
          </cell>
          <cell r="H8508">
            <v>30</v>
          </cell>
          <cell r="I8508">
            <v>677000000</v>
          </cell>
        </row>
        <row r="8509">
          <cell r="A8509" t="str">
            <v>Panama</v>
          </cell>
          <cell r="B8509">
            <v>591</v>
          </cell>
          <cell r="C8509">
            <v>203</v>
          </cell>
          <cell r="D8509">
            <v>22</v>
          </cell>
          <cell r="E8509" t="str">
            <v>Taxes on production and imports, less Subsidies</v>
          </cell>
          <cell r="F8509">
            <v>12</v>
          </cell>
          <cell r="G8509">
            <v>1994</v>
          </cell>
          <cell r="H8509">
            <v>30</v>
          </cell>
          <cell r="I8509">
            <v>705000000</v>
          </cell>
        </row>
        <row r="8510">
          <cell r="A8510" t="str">
            <v>Panama</v>
          </cell>
          <cell r="B8510">
            <v>591</v>
          </cell>
          <cell r="C8510">
            <v>203</v>
          </cell>
          <cell r="D8510">
            <v>22</v>
          </cell>
          <cell r="E8510" t="str">
            <v>Taxes on production and imports, less Subsidies</v>
          </cell>
          <cell r="F8510">
            <v>12</v>
          </cell>
          <cell r="G8510">
            <v>1995</v>
          </cell>
          <cell r="H8510">
            <v>30</v>
          </cell>
          <cell r="I8510">
            <v>734000000</v>
          </cell>
        </row>
        <row r="8511">
          <cell r="A8511" t="str">
            <v>Panama</v>
          </cell>
          <cell r="B8511">
            <v>591</v>
          </cell>
          <cell r="C8511">
            <v>203</v>
          </cell>
          <cell r="D8511">
            <v>22</v>
          </cell>
          <cell r="E8511" t="str">
            <v>Taxes on production and imports, less Subsidies</v>
          </cell>
          <cell r="F8511">
            <v>12</v>
          </cell>
          <cell r="G8511">
            <v>1996</v>
          </cell>
          <cell r="H8511">
            <v>30</v>
          </cell>
          <cell r="I8511">
            <v>734000000</v>
          </cell>
        </row>
        <row r="8512">
          <cell r="A8512" t="str">
            <v>Panama</v>
          </cell>
          <cell r="B8512">
            <v>591</v>
          </cell>
          <cell r="C8512">
            <v>203</v>
          </cell>
          <cell r="D8512">
            <v>22</v>
          </cell>
          <cell r="E8512" t="str">
            <v>Taxes on production and imports, less Subsidies</v>
          </cell>
          <cell r="F8512">
            <v>12</v>
          </cell>
          <cell r="G8512">
            <v>1997</v>
          </cell>
          <cell r="H8512">
            <v>30</v>
          </cell>
          <cell r="I8512">
            <v>735000000</v>
          </cell>
        </row>
        <row r="8513">
          <cell r="A8513" t="str">
            <v>Panama</v>
          </cell>
          <cell r="B8513">
            <v>591</v>
          </cell>
          <cell r="C8513">
            <v>203</v>
          </cell>
          <cell r="D8513">
            <v>22</v>
          </cell>
          <cell r="E8513" t="str">
            <v>Taxes on production and imports, less Subsidies</v>
          </cell>
          <cell r="F8513">
            <v>12</v>
          </cell>
          <cell r="G8513">
            <v>1998</v>
          </cell>
          <cell r="H8513">
            <v>30</v>
          </cell>
          <cell r="I8513">
            <v>849000000</v>
          </cell>
        </row>
        <row r="8514">
          <cell r="A8514" t="str">
            <v>Panama</v>
          </cell>
          <cell r="B8514">
            <v>591</v>
          </cell>
          <cell r="C8514">
            <v>203</v>
          </cell>
          <cell r="D8514">
            <v>22</v>
          </cell>
          <cell r="E8514" t="str">
            <v>Taxes on production and imports, less Subsidies</v>
          </cell>
          <cell r="F8514">
            <v>12</v>
          </cell>
          <cell r="G8514">
            <v>1999</v>
          </cell>
          <cell r="H8514">
            <v>30</v>
          </cell>
          <cell r="I8514">
            <v>886000000</v>
          </cell>
        </row>
        <row r="8515">
          <cell r="A8515" t="str">
            <v>Panama</v>
          </cell>
          <cell r="B8515">
            <v>591</v>
          </cell>
          <cell r="C8515">
            <v>203</v>
          </cell>
          <cell r="D8515">
            <v>22</v>
          </cell>
          <cell r="E8515" t="str">
            <v>Taxes on production and imports, less Subsidies</v>
          </cell>
          <cell r="F8515">
            <v>12</v>
          </cell>
          <cell r="G8515">
            <v>2000</v>
          </cell>
          <cell r="H8515">
            <v>30</v>
          </cell>
          <cell r="I8515">
            <v>856000000</v>
          </cell>
        </row>
        <row r="8516">
          <cell r="A8516" t="str">
            <v>Peru</v>
          </cell>
          <cell r="B8516">
            <v>604</v>
          </cell>
          <cell r="C8516">
            <v>201</v>
          </cell>
          <cell r="D8516">
            <v>13</v>
          </cell>
          <cell r="E8516" t="str">
            <v>Less: Financial intermediation services indirectly measured (FISIM) (only to be deducted if FISIM is not distributed to uses)</v>
          </cell>
          <cell r="F8516">
            <v>0</v>
          </cell>
          <cell r="G8516">
            <v>1970</v>
          </cell>
          <cell r="H8516">
            <v>10</v>
          </cell>
          <cell r="I8516">
            <v>4</v>
          </cell>
        </row>
        <row r="8517">
          <cell r="A8517" t="str">
            <v>Peru</v>
          </cell>
          <cell r="B8517">
            <v>604</v>
          </cell>
          <cell r="C8517">
            <v>201</v>
          </cell>
          <cell r="D8517">
            <v>13</v>
          </cell>
          <cell r="E8517" t="str">
            <v>Less: Financial intermediation services indirectly measured (FISIM) (only to be deducted if FISIM is not distributed to uses)</v>
          </cell>
          <cell r="F8517">
            <v>0</v>
          </cell>
          <cell r="G8517">
            <v>1971</v>
          </cell>
          <cell r="H8517">
            <v>10</v>
          </cell>
          <cell r="I8517">
            <v>5</v>
          </cell>
        </row>
        <row r="8518">
          <cell r="A8518" t="str">
            <v>Peru</v>
          </cell>
          <cell r="B8518">
            <v>604</v>
          </cell>
          <cell r="C8518">
            <v>201</v>
          </cell>
          <cell r="D8518">
            <v>13</v>
          </cell>
          <cell r="E8518" t="str">
            <v>Less: Financial intermediation services indirectly measured (FISIM) (only to be deducted if FISIM is not distributed to uses)</v>
          </cell>
          <cell r="F8518">
            <v>0</v>
          </cell>
          <cell r="G8518">
            <v>1972</v>
          </cell>
          <cell r="H8518">
            <v>10</v>
          </cell>
          <cell r="I8518">
            <v>6</v>
          </cell>
        </row>
        <row r="8519">
          <cell r="A8519" t="str">
            <v>Peru</v>
          </cell>
          <cell r="B8519">
            <v>604</v>
          </cell>
          <cell r="C8519">
            <v>201</v>
          </cell>
          <cell r="D8519">
            <v>13</v>
          </cell>
          <cell r="E8519" t="str">
            <v>Less: Financial intermediation services indirectly measured (FISIM) (only to be deducted if FISIM is not distributed to uses)</v>
          </cell>
          <cell r="F8519">
            <v>0</v>
          </cell>
          <cell r="G8519">
            <v>1973</v>
          </cell>
          <cell r="H8519">
            <v>10</v>
          </cell>
          <cell r="I8519">
            <v>9</v>
          </cell>
        </row>
        <row r="8520">
          <cell r="A8520" t="str">
            <v>Peru</v>
          </cell>
          <cell r="B8520">
            <v>604</v>
          </cell>
          <cell r="C8520">
            <v>201</v>
          </cell>
          <cell r="D8520">
            <v>13</v>
          </cell>
          <cell r="E8520" t="str">
            <v>Less: Financial intermediation services indirectly measured (FISIM) (only to be deducted if FISIM is not distributed to uses)</v>
          </cell>
          <cell r="F8520">
            <v>0</v>
          </cell>
          <cell r="G8520">
            <v>1974</v>
          </cell>
          <cell r="H8520">
            <v>10</v>
          </cell>
          <cell r="I8520">
            <v>11</v>
          </cell>
        </row>
        <row r="8521">
          <cell r="A8521" t="str">
            <v>Peru</v>
          </cell>
          <cell r="B8521">
            <v>604</v>
          </cell>
          <cell r="C8521">
            <v>201</v>
          </cell>
          <cell r="D8521">
            <v>13</v>
          </cell>
          <cell r="E8521" t="str">
            <v>Less: Financial intermediation services indirectly measured (FISIM) (only to be deducted if FISIM is not distributed to uses)</v>
          </cell>
          <cell r="F8521">
            <v>0</v>
          </cell>
          <cell r="G8521">
            <v>1975</v>
          </cell>
          <cell r="H8521">
            <v>10</v>
          </cell>
          <cell r="I8521">
            <v>12</v>
          </cell>
        </row>
        <row r="8522">
          <cell r="A8522" t="str">
            <v>Peru</v>
          </cell>
          <cell r="B8522">
            <v>604</v>
          </cell>
          <cell r="C8522">
            <v>201</v>
          </cell>
          <cell r="D8522">
            <v>13</v>
          </cell>
          <cell r="E8522" t="str">
            <v>Less: Financial intermediation services indirectly measured (FISIM) (only to be deducted if FISIM is not distributed to uses)</v>
          </cell>
          <cell r="F8522">
            <v>0</v>
          </cell>
          <cell r="G8522">
            <v>1976</v>
          </cell>
          <cell r="H8522">
            <v>10</v>
          </cell>
          <cell r="I8522">
            <v>18</v>
          </cell>
        </row>
        <row r="8523">
          <cell r="A8523" t="str">
            <v>Peru</v>
          </cell>
          <cell r="B8523">
            <v>604</v>
          </cell>
          <cell r="C8523">
            <v>201</v>
          </cell>
          <cell r="D8523">
            <v>13</v>
          </cell>
          <cell r="E8523" t="str">
            <v>Less: Financial intermediation services indirectly measured (FISIM) (only to be deducted if FISIM is not distributed to uses)</v>
          </cell>
          <cell r="F8523">
            <v>0</v>
          </cell>
          <cell r="G8523">
            <v>1977</v>
          </cell>
          <cell r="H8523">
            <v>10</v>
          </cell>
          <cell r="I8523">
            <v>26</v>
          </cell>
        </row>
        <row r="8524">
          <cell r="A8524" t="str">
            <v>Peru</v>
          </cell>
          <cell r="B8524">
            <v>604</v>
          </cell>
          <cell r="C8524">
            <v>201</v>
          </cell>
          <cell r="D8524">
            <v>13</v>
          </cell>
          <cell r="E8524" t="str">
            <v>Less: Financial intermediation services indirectly measured (FISIM) (only to be deducted if FISIM is not distributed to uses)</v>
          </cell>
          <cell r="F8524">
            <v>0</v>
          </cell>
          <cell r="G8524">
            <v>1978</v>
          </cell>
          <cell r="H8524">
            <v>10</v>
          </cell>
          <cell r="I8524">
            <v>41</v>
          </cell>
        </row>
        <row r="8525">
          <cell r="A8525" t="str">
            <v>Peru</v>
          </cell>
          <cell r="B8525">
            <v>604</v>
          </cell>
          <cell r="C8525">
            <v>201</v>
          </cell>
          <cell r="D8525">
            <v>13</v>
          </cell>
          <cell r="E8525" t="str">
            <v>Less: Financial intermediation services indirectly measured (FISIM) (only to be deducted if FISIM is not distributed to uses)</v>
          </cell>
          <cell r="F8525">
            <v>0</v>
          </cell>
          <cell r="G8525">
            <v>1979</v>
          </cell>
          <cell r="H8525">
            <v>10</v>
          </cell>
          <cell r="I8525">
            <v>76</v>
          </cell>
        </row>
        <row r="8526">
          <cell r="A8526" t="str">
            <v>Peru</v>
          </cell>
          <cell r="B8526">
            <v>604</v>
          </cell>
          <cell r="C8526">
            <v>201</v>
          </cell>
          <cell r="D8526">
            <v>13</v>
          </cell>
          <cell r="E8526" t="str">
            <v>Less: Financial intermediation services indirectly measured (FISIM) (only to be deducted if FISIM is not distributed to uses)</v>
          </cell>
          <cell r="F8526">
            <v>0</v>
          </cell>
          <cell r="G8526">
            <v>1980</v>
          </cell>
          <cell r="H8526">
            <v>10</v>
          </cell>
          <cell r="I8526">
            <v>118</v>
          </cell>
        </row>
        <row r="8527">
          <cell r="A8527" t="str">
            <v>Peru</v>
          </cell>
          <cell r="B8527">
            <v>604</v>
          </cell>
          <cell r="C8527">
            <v>201</v>
          </cell>
          <cell r="D8527">
            <v>13</v>
          </cell>
          <cell r="E8527" t="str">
            <v>Less: Financial intermediation services indirectly measured (FISIM) (only to be deducted if FISIM is not distributed to uses)</v>
          </cell>
          <cell r="F8527">
            <v>0</v>
          </cell>
          <cell r="G8527">
            <v>1981</v>
          </cell>
          <cell r="H8527">
            <v>10</v>
          </cell>
          <cell r="I8527">
            <v>284</v>
          </cell>
        </row>
        <row r="8528">
          <cell r="A8528" t="str">
            <v>Peru</v>
          </cell>
          <cell r="B8528">
            <v>604</v>
          </cell>
          <cell r="C8528">
            <v>201</v>
          </cell>
          <cell r="D8528">
            <v>13</v>
          </cell>
          <cell r="E8528" t="str">
            <v>Less: Financial intermediation services indirectly measured (FISIM) (only to be deducted if FISIM is not distributed to uses)</v>
          </cell>
          <cell r="F8528">
            <v>0</v>
          </cell>
          <cell r="G8528">
            <v>1982</v>
          </cell>
          <cell r="H8528">
            <v>10</v>
          </cell>
          <cell r="I8528">
            <v>404</v>
          </cell>
        </row>
        <row r="8529">
          <cell r="A8529" t="str">
            <v>Peru</v>
          </cell>
          <cell r="B8529">
            <v>604</v>
          </cell>
          <cell r="C8529">
            <v>201</v>
          </cell>
          <cell r="D8529">
            <v>13</v>
          </cell>
          <cell r="E8529" t="str">
            <v>Less: Financial intermediation services indirectly measured (FISIM) (only to be deducted if FISIM is not distributed to uses)</v>
          </cell>
          <cell r="F8529">
            <v>0</v>
          </cell>
          <cell r="G8529">
            <v>1983</v>
          </cell>
          <cell r="H8529">
            <v>10</v>
          </cell>
          <cell r="I8529">
            <v>767</v>
          </cell>
        </row>
        <row r="8530">
          <cell r="A8530" t="str">
            <v>Peru</v>
          </cell>
          <cell r="B8530">
            <v>604</v>
          </cell>
          <cell r="C8530">
            <v>201</v>
          </cell>
          <cell r="D8530">
            <v>13</v>
          </cell>
          <cell r="E8530" t="str">
            <v>Less: Financial intermediation services indirectly measured (FISIM) (only to be deducted if FISIM is not distributed to uses)</v>
          </cell>
          <cell r="F8530">
            <v>0</v>
          </cell>
          <cell r="G8530">
            <v>1984</v>
          </cell>
          <cell r="H8530">
            <v>10</v>
          </cell>
          <cell r="I8530">
            <v>1624</v>
          </cell>
        </row>
        <row r="8531">
          <cell r="A8531" t="str">
            <v>Peru</v>
          </cell>
          <cell r="B8531">
            <v>604</v>
          </cell>
          <cell r="C8531">
            <v>201</v>
          </cell>
          <cell r="D8531">
            <v>13</v>
          </cell>
          <cell r="E8531" t="str">
            <v>Less: Financial intermediation services indirectly measured (FISIM) (only to be deducted if FISIM is not distributed to uses)</v>
          </cell>
          <cell r="F8531">
            <v>0</v>
          </cell>
          <cell r="G8531">
            <v>1985</v>
          </cell>
          <cell r="H8531">
            <v>10</v>
          </cell>
          <cell r="I8531">
            <v>5716</v>
          </cell>
        </row>
        <row r="8532">
          <cell r="A8532" t="str">
            <v>Peru</v>
          </cell>
          <cell r="B8532">
            <v>604</v>
          </cell>
          <cell r="C8532">
            <v>201</v>
          </cell>
          <cell r="D8532">
            <v>13</v>
          </cell>
          <cell r="E8532" t="str">
            <v>Less: Financial intermediation services indirectly measured (FISIM) (only to be deducted if FISIM is not distributed to uses)</v>
          </cell>
          <cell r="F8532">
            <v>0</v>
          </cell>
          <cell r="G8532">
            <v>1986</v>
          </cell>
          <cell r="H8532">
            <v>10</v>
          </cell>
          <cell r="I8532">
            <v>11687</v>
          </cell>
        </row>
        <row r="8533">
          <cell r="A8533" t="str">
            <v>Peru</v>
          </cell>
          <cell r="B8533">
            <v>604</v>
          </cell>
          <cell r="C8533">
            <v>201</v>
          </cell>
          <cell r="D8533">
            <v>13</v>
          </cell>
          <cell r="E8533" t="str">
            <v>Less: Financial intermediation services indirectly measured (FISIM) (only to be deducted if FISIM is not distributed to uses)</v>
          </cell>
          <cell r="F8533">
            <v>0</v>
          </cell>
          <cell r="G8533">
            <v>1987</v>
          </cell>
          <cell r="H8533">
            <v>10</v>
          </cell>
          <cell r="I8533">
            <v>20430</v>
          </cell>
        </row>
        <row r="8534">
          <cell r="A8534" t="str">
            <v>Peru</v>
          </cell>
          <cell r="B8534">
            <v>604</v>
          </cell>
          <cell r="C8534">
            <v>201</v>
          </cell>
          <cell r="D8534">
            <v>13</v>
          </cell>
          <cell r="E8534" t="str">
            <v>Less: Financial intermediation services indirectly measured (FISIM) (only to be deducted if FISIM is not distributed to uses)</v>
          </cell>
          <cell r="F8534">
            <v>0</v>
          </cell>
          <cell r="G8534">
            <v>1988</v>
          </cell>
          <cell r="H8534">
            <v>10</v>
          </cell>
          <cell r="I8534">
            <v>131631</v>
          </cell>
        </row>
        <row r="8535">
          <cell r="A8535" t="str">
            <v>Peru</v>
          </cell>
          <cell r="B8535">
            <v>604</v>
          </cell>
          <cell r="C8535">
            <v>201</v>
          </cell>
          <cell r="D8535">
            <v>13</v>
          </cell>
          <cell r="E8535" t="str">
            <v>Less: Financial intermediation services indirectly measured (FISIM) (only to be deducted if FISIM is not distributed to uses)</v>
          </cell>
          <cell r="F8535">
            <v>0</v>
          </cell>
          <cell r="G8535">
            <v>1989</v>
          </cell>
          <cell r="H8535">
            <v>10</v>
          </cell>
          <cell r="I8535">
            <v>1000000</v>
          </cell>
        </row>
        <row r="8536">
          <cell r="A8536" t="str">
            <v>Peru</v>
          </cell>
          <cell r="B8536">
            <v>604</v>
          </cell>
          <cell r="C8536">
            <v>201</v>
          </cell>
          <cell r="D8536">
            <v>13</v>
          </cell>
          <cell r="E8536" t="str">
            <v>Less: Financial intermediation services indirectly measured (FISIM) (only to be deducted if FISIM is not distributed to uses)</v>
          </cell>
          <cell r="F8536">
            <v>0</v>
          </cell>
          <cell r="G8536">
            <v>1990</v>
          </cell>
          <cell r="H8536">
            <v>10</v>
          </cell>
          <cell r="I8536">
            <v>146000000</v>
          </cell>
        </row>
        <row r="8537">
          <cell r="A8537" t="str">
            <v>Peru</v>
          </cell>
          <cell r="B8537">
            <v>604</v>
          </cell>
          <cell r="C8537">
            <v>201</v>
          </cell>
          <cell r="D8537">
            <v>13</v>
          </cell>
          <cell r="E8537" t="str">
            <v>Less: Financial intermediation services indirectly measured (FISIM) (only to be deducted if FISIM is not distributed to uses)</v>
          </cell>
          <cell r="F8537">
            <v>0</v>
          </cell>
          <cell r="G8537">
            <v>1991</v>
          </cell>
          <cell r="H8537">
            <v>10</v>
          </cell>
          <cell r="I8537">
            <v>714000000</v>
          </cell>
        </row>
        <row r="8538">
          <cell r="A8538" t="str">
            <v>Peru</v>
          </cell>
          <cell r="B8538">
            <v>604</v>
          </cell>
          <cell r="C8538">
            <v>203</v>
          </cell>
          <cell r="D8538">
            <v>3</v>
          </cell>
          <cell r="E8538" t="str">
            <v>Equals: VALUE ADDED, GROSS, at basic prices</v>
          </cell>
          <cell r="F8538">
            <v>12</v>
          </cell>
          <cell r="G8538">
            <v>1970</v>
          </cell>
          <cell r="H8538">
            <v>10</v>
          </cell>
          <cell r="I8538">
            <v>275</v>
          </cell>
        </row>
        <row r="8539">
          <cell r="A8539" t="str">
            <v>Peru</v>
          </cell>
          <cell r="B8539">
            <v>604</v>
          </cell>
          <cell r="C8539">
            <v>203</v>
          </cell>
          <cell r="D8539">
            <v>3</v>
          </cell>
          <cell r="E8539" t="str">
            <v>Equals: VALUE ADDED, GROSS, at basic prices</v>
          </cell>
          <cell r="F8539">
            <v>12</v>
          </cell>
          <cell r="G8539">
            <v>1971</v>
          </cell>
          <cell r="H8539">
            <v>10</v>
          </cell>
          <cell r="I8539">
            <v>307</v>
          </cell>
        </row>
        <row r="8540">
          <cell r="A8540" t="str">
            <v>Peru</v>
          </cell>
          <cell r="B8540">
            <v>604</v>
          </cell>
          <cell r="C8540">
            <v>203</v>
          </cell>
          <cell r="D8540">
            <v>3</v>
          </cell>
          <cell r="E8540" t="str">
            <v>Equals: VALUE ADDED, GROSS, at basic prices</v>
          </cell>
          <cell r="F8540">
            <v>12</v>
          </cell>
          <cell r="G8540">
            <v>1972</v>
          </cell>
          <cell r="H8540">
            <v>10</v>
          </cell>
          <cell r="I8540">
            <v>343</v>
          </cell>
        </row>
        <row r="8541">
          <cell r="A8541" t="str">
            <v>Peru</v>
          </cell>
          <cell r="B8541">
            <v>604</v>
          </cell>
          <cell r="C8541">
            <v>203</v>
          </cell>
          <cell r="D8541">
            <v>3</v>
          </cell>
          <cell r="E8541" t="str">
            <v>Equals: VALUE ADDED, GROSS, at basic prices</v>
          </cell>
          <cell r="F8541">
            <v>12</v>
          </cell>
          <cell r="G8541">
            <v>1973</v>
          </cell>
          <cell r="H8541">
            <v>10</v>
          </cell>
          <cell r="I8541">
            <v>412</v>
          </cell>
        </row>
        <row r="8542">
          <cell r="A8542" t="str">
            <v>Peru</v>
          </cell>
          <cell r="B8542">
            <v>604</v>
          </cell>
          <cell r="C8542">
            <v>203</v>
          </cell>
          <cell r="D8542">
            <v>3</v>
          </cell>
          <cell r="E8542" t="str">
            <v>Equals: VALUE ADDED, GROSS, at basic prices</v>
          </cell>
          <cell r="F8542">
            <v>12</v>
          </cell>
          <cell r="G8542">
            <v>1974</v>
          </cell>
          <cell r="H8542">
            <v>10</v>
          </cell>
          <cell r="I8542">
            <v>522</v>
          </cell>
        </row>
        <row r="8543">
          <cell r="A8543" t="str">
            <v>Peru</v>
          </cell>
          <cell r="B8543">
            <v>604</v>
          </cell>
          <cell r="C8543">
            <v>203</v>
          </cell>
          <cell r="D8543">
            <v>3</v>
          </cell>
          <cell r="E8543" t="str">
            <v>Equals: VALUE ADDED, GROSS, at basic prices</v>
          </cell>
          <cell r="F8543">
            <v>12</v>
          </cell>
          <cell r="G8543">
            <v>1975</v>
          </cell>
          <cell r="H8543">
            <v>10</v>
          </cell>
          <cell r="I8543">
            <v>657</v>
          </cell>
        </row>
        <row r="8544">
          <cell r="A8544" t="str">
            <v>Peru</v>
          </cell>
          <cell r="B8544">
            <v>604</v>
          </cell>
          <cell r="C8544">
            <v>203</v>
          </cell>
          <cell r="D8544">
            <v>3</v>
          </cell>
          <cell r="E8544" t="str">
            <v>Equals: VALUE ADDED, GROSS, at basic prices</v>
          </cell>
          <cell r="F8544">
            <v>12</v>
          </cell>
          <cell r="G8544">
            <v>1976</v>
          </cell>
          <cell r="H8544">
            <v>10</v>
          </cell>
          <cell r="I8544">
            <v>876</v>
          </cell>
        </row>
        <row r="8545">
          <cell r="A8545" t="str">
            <v>Peru</v>
          </cell>
          <cell r="B8545">
            <v>604</v>
          </cell>
          <cell r="C8545">
            <v>203</v>
          </cell>
          <cell r="D8545">
            <v>3</v>
          </cell>
          <cell r="E8545" t="str">
            <v>Equals: VALUE ADDED, GROSS, at basic prices</v>
          </cell>
          <cell r="F8545">
            <v>12</v>
          </cell>
          <cell r="G8545">
            <v>1977</v>
          </cell>
          <cell r="H8545">
            <v>10</v>
          </cell>
          <cell r="I8545">
            <v>1198</v>
          </cell>
        </row>
        <row r="8546">
          <cell r="A8546" t="str">
            <v>Peru</v>
          </cell>
          <cell r="B8546">
            <v>604</v>
          </cell>
          <cell r="C8546">
            <v>203</v>
          </cell>
          <cell r="D8546">
            <v>3</v>
          </cell>
          <cell r="E8546" t="str">
            <v>Equals: VALUE ADDED, GROSS, at basic prices</v>
          </cell>
          <cell r="F8546">
            <v>12</v>
          </cell>
          <cell r="G8546">
            <v>1978</v>
          </cell>
          <cell r="H8546">
            <v>10</v>
          </cell>
          <cell r="I8546">
            <v>1896</v>
          </cell>
        </row>
        <row r="8547">
          <cell r="A8547" t="str">
            <v>Peru</v>
          </cell>
          <cell r="B8547">
            <v>604</v>
          </cell>
          <cell r="C8547">
            <v>203</v>
          </cell>
          <cell r="D8547">
            <v>3</v>
          </cell>
          <cell r="E8547" t="str">
            <v>Equals: VALUE ADDED, GROSS, at basic prices</v>
          </cell>
          <cell r="F8547">
            <v>12</v>
          </cell>
          <cell r="G8547">
            <v>1979</v>
          </cell>
          <cell r="H8547">
            <v>10</v>
          </cell>
          <cell r="I8547">
            <v>3488</v>
          </cell>
        </row>
        <row r="8548">
          <cell r="A8548" t="str">
            <v>Peru</v>
          </cell>
          <cell r="B8548">
            <v>604</v>
          </cell>
          <cell r="C8548">
            <v>203</v>
          </cell>
          <cell r="D8548">
            <v>3</v>
          </cell>
          <cell r="E8548" t="str">
            <v>Equals: VALUE ADDED, GROSS, at basic prices</v>
          </cell>
          <cell r="F8548">
            <v>12</v>
          </cell>
          <cell r="G8548">
            <v>1980</v>
          </cell>
          <cell r="H8548">
            <v>10</v>
          </cell>
          <cell r="I8548">
            <v>5926</v>
          </cell>
        </row>
        <row r="8549">
          <cell r="A8549" t="str">
            <v>Peru</v>
          </cell>
          <cell r="B8549">
            <v>604</v>
          </cell>
          <cell r="C8549">
            <v>203</v>
          </cell>
          <cell r="D8549">
            <v>3</v>
          </cell>
          <cell r="E8549" t="str">
            <v>Equals: VALUE ADDED, GROSS, at basic prices</v>
          </cell>
          <cell r="F8549">
            <v>12</v>
          </cell>
          <cell r="G8549">
            <v>1981</v>
          </cell>
          <cell r="H8549">
            <v>10</v>
          </cell>
          <cell r="I8549">
            <v>10631</v>
          </cell>
        </row>
        <row r="8550">
          <cell r="A8550" t="str">
            <v>Peru</v>
          </cell>
          <cell r="B8550">
            <v>604</v>
          </cell>
          <cell r="C8550">
            <v>203</v>
          </cell>
          <cell r="D8550">
            <v>3</v>
          </cell>
          <cell r="E8550" t="str">
            <v>Equals: VALUE ADDED, GROSS, at basic prices</v>
          </cell>
          <cell r="F8550">
            <v>12</v>
          </cell>
          <cell r="G8550">
            <v>1982</v>
          </cell>
          <cell r="H8550">
            <v>10</v>
          </cell>
          <cell r="I8550">
            <v>17893</v>
          </cell>
        </row>
        <row r="8551">
          <cell r="A8551" t="str">
            <v>Peru</v>
          </cell>
          <cell r="B8551">
            <v>604</v>
          </cell>
          <cell r="C8551">
            <v>203</v>
          </cell>
          <cell r="D8551">
            <v>3</v>
          </cell>
          <cell r="E8551" t="str">
            <v>Equals: VALUE ADDED, GROSS, at basic prices</v>
          </cell>
          <cell r="F8551">
            <v>12</v>
          </cell>
          <cell r="G8551">
            <v>1983</v>
          </cell>
          <cell r="H8551">
            <v>10</v>
          </cell>
          <cell r="I8551">
            <v>32509</v>
          </cell>
        </row>
        <row r="8552">
          <cell r="A8552" t="str">
            <v>Peru</v>
          </cell>
          <cell r="B8552">
            <v>604</v>
          </cell>
          <cell r="C8552">
            <v>203</v>
          </cell>
          <cell r="D8552">
            <v>3</v>
          </cell>
          <cell r="E8552" t="str">
            <v>Equals: VALUE ADDED, GROSS, at basic prices</v>
          </cell>
          <cell r="F8552">
            <v>12</v>
          </cell>
          <cell r="G8552">
            <v>1984</v>
          </cell>
          <cell r="H8552">
            <v>10</v>
          </cell>
          <cell r="I8552">
            <v>72634</v>
          </cell>
        </row>
        <row r="8553">
          <cell r="A8553" t="str">
            <v>Peru</v>
          </cell>
          <cell r="B8553">
            <v>604</v>
          </cell>
          <cell r="C8553">
            <v>203</v>
          </cell>
          <cell r="D8553">
            <v>3</v>
          </cell>
          <cell r="E8553" t="str">
            <v>Equals: VALUE ADDED, GROSS, at basic prices</v>
          </cell>
          <cell r="F8553">
            <v>12</v>
          </cell>
          <cell r="G8553">
            <v>1985</v>
          </cell>
          <cell r="H8553">
            <v>10</v>
          </cell>
          <cell r="I8553">
            <v>199571</v>
          </cell>
        </row>
        <row r="8554">
          <cell r="A8554" t="str">
            <v>Peru</v>
          </cell>
          <cell r="B8554">
            <v>604</v>
          </cell>
          <cell r="C8554">
            <v>203</v>
          </cell>
          <cell r="D8554">
            <v>3</v>
          </cell>
          <cell r="E8554" t="str">
            <v>Equals: VALUE ADDED, GROSS, at basic prices</v>
          </cell>
          <cell r="F8554">
            <v>12</v>
          </cell>
          <cell r="G8554">
            <v>1986</v>
          </cell>
          <cell r="H8554">
            <v>10</v>
          </cell>
          <cell r="I8554">
            <v>377761</v>
          </cell>
        </row>
        <row r="8555">
          <cell r="A8555" t="str">
            <v>Peru</v>
          </cell>
          <cell r="B8555">
            <v>604</v>
          </cell>
          <cell r="C8555">
            <v>203</v>
          </cell>
          <cell r="D8555">
            <v>3</v>
          </cell>
          <cell r="E8555" t="str">
            <v>Equals: VALUE ADDED, GROSS, at basic prices</v>
          </cell>
          <cell r="F8555">
            <v>12</v>
          </cell>
          <cell r="G8555">
            <v>1987</v>
          </cell>
          <cell r="H8555">
            <v>10</v>
          </cell>
          <cell r="I8555">
            <v>746769</v>
          </cell>
        </row>
        <row r="8556">
          <cell r="A8556" t="str">
            <v>Peru</v>
          </cell>
          <cell r="B8556">
            <v>604</v>
          </cell>
          <cell r="C8556">
            <v>203</v>
          </cell>
          <cell r="D8556">
            <v>3</v>
          </cell>
          <cell r="E8556" t="str">
            <v>Equals: VALUE ADDED, GROSS, at basic prices</v>
          </cell>
          <cell r="F8556">
            <v>12</v>
          </cell>
          <cell r="G8556">
            <v>1988</v>
          </cell>
          <cell r="H8556">
            <v>10</v>
          </cell>
          <cell r="I8556">
            <v>5018078</v>
          </cell>
        </row>
        <row r="8557">
          <cell r="A8557" t="str">
            <v>Peru</v>
          </cell>
          <cell r="B8557">
            <v>604</v>
          </cell>
          <cell r="C8557">
            <v>203</v>
          </cell>
          <cell r="D8557">
            <v>3</v>
          </cell>
          <cell r="E8557" t="str">
            <v>Equals: VALUE ADDED, GROSS, at basic prices</v>
          </cell>
          <cell r="F8557">
            <v>12</v>
          </cell>
          <cell r="G8557">
            <v>1989</v>
          </cell>
          <cell r="H8557">
            <v>10</v>
          </cell>
          <cell r="I8557">
            <v>115000000</v>
          </cell>
        </row>
        <row r="8558">
          <cell r="A8558" t="str">
            <v>Peru</v>
          </cell>
          <cell r="B8558">
            <v>604</v>
          </cell>
          <cell r="C8558">
            <v>203</v>
          </cell>
          <cell r="D8558">
            <v>3</v>
          </cell>
          <cell r="E8558" t="str">
            <v>Equals: VALUE ADDED, GROSS, at basic prices</v>
          </cell>
          <cell r="F8558">
            <v>12</v>
          </cell>
          <cell r="G8558">
            <v>1990</v>
          </cell>
          <cell r="H8558">
            <v>10</v>
          </cell>
          <cell r="I8558">
            <v>6869000000</v>
          </cell>
        </row>
        <row r="8559">
          <cell r="A8559" t="str">
            <v>Peru</v>
          </cell>
          <cell r="B8559">
            <v>604</v>
          </cell>
          <cell r="C8559">
            <v>203</v>
          </cell>
          <cell r="D8559">
            <v>3</v>
          </cell>
          <cell r="E8559" t="str">
            <v>Equals: VALUE ADDED, GROSS, at basic prices</v>
          </cell>
          <cell r="F8559">
            <v>12</v>
          </cell>
          <cell r="G8559">
            <v>1991</v>
          </cell>
          <cell r="H8559">
            <v>10</v>
          </cell>
          <cell r="I8559">
            <v>33362000000</v>
          </cell>
        </row>
        <row r="8560">
          <cell r="A8560" t="str">
            <v>Peru</v>
          </cell>
          <cell r="B8560">
            <v>604</v>
          </cell>
          <cell r="C8560">
            <v>203</v>
          </cell>
          <cell r="D8560">
            <v>3</v>
          </cell>
          <cell r="E8560" t="str">
            <v>Equals: VALUE ADDED, GROSS, at basic prices</v>
          </cell>
          <cell r="F8560">
            <v>12</v>
          </cell>
          <cell r="G8560">
            <v>1991</v>
          </cell>
          <cell r="H8560">
            <v>100</v>
          </cell>
          <cell r="I8560">
            <v>24578931000</v>
          </cell>
        </row>
        <row r="8561">
          <cell r="A8561" t="str">
            <v>Peru</v>
          </cell>
          <cell r="B8561">
            <v>604</v>
          </cell>
          <cell r="C8561">
            <v>203</v>
          </cell>
          <cell r="D8561">
            <v>3</v>
          </cell>
          <cell r="E8561" t="str">
            <v>Equals: VALUE ADDED, GROSS, at basic prices</v>
          </cell>
          <cell r="F8561">
            <v>12</v>
          </cell>
          <cell r="G8561">
            <v>1992</v>
          </cell>
          <cell r="H8561">
            <v>100</v>
          </cell>
          <cell r="I8561">
            <v>40880443000</v>
          </cell>
        </row>
        <row r="8562">
          <cell r="A8562" t="str">
            <v>Peru</v>
          </cell>
          <cell r="B8562">
            <v>604</v>
          </cell>
          <cell r="C8562">
            <v>203</v>
          </cell>
          <cell r="D8562">
            <v>3</v>
          </cell>
          <cell r="E8562" t="str">
            <v>Equals: VALUE ADDED, GROSS, at basic prices</v>
          </cell>
          <cell r="F8562">
            <v>12</v>
          </cell>
          <cell r="G8562">
            <v>1993</v>
          </cell>
          <cell r="H8562">
            <v>100</v>
          </cell>
          <cell r="I8562">
            <v>62903399000</v>
          </cell>
        </row>
        <row r="8563">
          <cell r="A8563" t="str">
            <v>Peru</v>
          </cell>
          <cell r="B8563">
            <v>604</v>
          </cell>
          <cell r="C8563">
            <v>203</v>
          </cell>
          <cell r="D8563">
            <v>3</v>
          </cell>
          <cell r="E8563" t="str">
            <v>Equals: VALUE ADDED, GROSS, at basic prices</v>
          </cell>
          <cell r="F8563">
            <v>12</v>
          </cell>
          <cell r="G8563">
            <v>1994</v>
          </cell>
          <cell r="H8563">
            <v>100</v>
          </cell>
          <cell r="I8563">
            <v>88973000000</v>
          </cell>
        </row>
        <row r="8564">
          <cell r="A8564" t="str">
            <v>Peru</v>
          </cell>
          <cell r="B8564">
            <v>604</v>
          </cell>
          <cell r="C8564">
            <v>203</v>
          </cell>
          <cell r="D8564">
            <v>3</v>
          </cell>
          <cell r="E8564" t="str">
            <v>Equals: VALUE ADDED, GROSS, at basic prices</v>
          </cell>
          <cell r="F8564">
            <v>12</v>
          </cell>
          <cell r="G8564">
            <v>1995</v>
          </cell>
          <cell r="H8564">
            <v>100</v>
          </cell>
          <cell r="I8564">
            <v>108864465000</v>
          </cell>
        </row>
        <row r="8565">
          <cell r="A8565" t="str">
            <v>Peru</v>
          </cell>
          <cell r="B8565">
            <v>604</v>
          </cell>
          <cell r="C8565">
            <v>203</v>
          </cell>
          <cell r="D8565">
            <v>3</v>
          </cell>
          <cell r="E8565" t="str">
            <v>Equals: VALUE ADDED, GROSS, at basic prices</v>
          </cell>
          <cell r="F8565">
            <v>12</v>
          </cell>
          <cell r="G8565">
            <v>1996</v>
          </cell>
          <cell r="H8565">
            <v>100</v>
          </cell>
          <cell r="I8565">
            <v>123915579000</v>
          </cell>
        </row>
        <row r="8566">
          <cell r="A8566" t="str">
            <v>Peru</v>
          </cell>
          <cell r="B8566">
            <v>604</v>
          </cell>
          <cell r="C8566">
            <v>203</v>
          </cell>
          <cell r="D8566">
            <v>3</v>
          </cell>
          <cell r="E8566" t="str">
            <v>Equals: VALUE ADDED, GROSS, at basic prices</v>
          </cell>
          <cell r="F8566">
            <v>12</v>
          </cell>
          <cell r="G8566">
            <v>1997</v>
          </cell>
          <cell r="H8566">
            <v>100</v>
          </cell>
          <cell r="I8566">
            <v>142316000000</v>
          </cell>
        </row>
        <row r="8567">
          <cell r="A8567" t="str">
            <v>Peru</v>
          </cell>
          <cell r="B8567">
            <v>604</v>
          </cell>
          <cell r="C8567">
            <v>203</v>
          </cell>
          <cell r="D8567">
            <v>3</v>
          </cell>
          <cell r="E8567" t="str">
            <v>Equals: VALUE ADDED, GROSS, at basic prices</v>
          </cell>
          <cell r="F8567">
            <v>12</v>
          </cell>
          <cell r="G8567">
            <v>1998</v>
          </cell>
          <cell r="H8567">
            <v>100</v>
          </cell>
          <cell r="I8567">
            <v>150097000000</v>
          </cell>
        </row>
        <row r="8568">
          <cell r="A8568" t="str">
            <v>Peru</v>
          </cell>
          <cell r="B8568">
            <v>604</v>
          </cell>
          <cell r="C8568">
            <v>203</v>
          </cell>
          <cell r="D8568">
            <v>3</v>
          </cell>
          <cell r="E8568" t="str">
            <v>Equals: VALUE ADDED, GROSS, at basic prices</v>
          </cell>
          <cell r="F8568">
            <v>12</v>
          </cell>
          <cell r="G8568">
            <v>1999</v>
          </cell>
          <cell r="H8568">
            <v>100</v>
          </cell>
          <cell r="I8568">
            <v>158186000000</v>
          </cell>
        </row>
        <row r="8569">
          <cell r="A8569" t="str">
            <v>Peru</v>
          </cell>
          <cell r="B8569">
            <v>604</v>
          </cell>
          <cell r="C8569">
            <v>203</v>
          </cell>
          <cell r="D8569">
            <v>3</v>
          </cell>
          <cell r="E8569" t="str">
            <v>Equals: VALUE ADDED, GROSS, at basic prices</v>
          </cell>
          <cell r="F8569">
            <v>12</v>
          </cell>
          <cell r="G8569">
            <v>2000</v>
          </cell>
          <cell r="H8569">
            <v>100</v>
          </cell>
          <cell r="I8569">
            <v>169184000000</v>
          </cell>
        </row>
        <row r="8570">
          <cell r="A8570" t="str">
            <v>Peru</v>
          </cell>
          <cell r="B8570">
            <v>604</v>
          </cell>
          <cell r="C8570">
            <v>203</v>
          </cell>
          <cell r="D8570">
            <v>3</v>
          </cell>
          <cell r="E8570" t="str">
            <v>Equals: VALUE ADDED, GROSS, at basic prices</v>
          </cell>
          <cell r="F8570">
            <v>12</v>
          </cell>
          <cell r="G8570">
            <v>2001</v>
          </cell>
          <cell r="H8570">
            <v>100</v>
          </cell>
          <cell r="I8570">
            <v>172436000000</v>
          </cell>
        </row>
        <row r="8571">
          <cell r="A8571" t="str">
            <v>Peru</v>
          </cell>
          <cell r="B8571">
            <v>604</v>
          </cell>
          <cell r="C8571">
            <v>203</v>
          </cell>
          <cell r="D8571">
            <v>3</v>
          </cell>
          <cell r="E8571" t="str">
            <v>Equals: VALUE ADDED, GROSS, at basic prices</v>
          </cell>
          <cell r="F8571">
            <v>12</v>
          </cell>
          <cell r="G8571">
            <v>2002</v>
          </cell>
          <cell r="H8571">
            <v>100</v>
          </cell>
          <cell r="I8571">
            <v>181803000000</v>
          </cell>
        </row>
        <row r="8572">
          <cell r="A8572" t="str">
            <v>Peru</v>
          </cell>
          <cell r="B8572">
            <v>604</v>
          </cell>
          <cell r="C8572">
            <v>203</v>
          </cell>
          <cell r="D8572">
            <v>3</v>
          </cell>
          <cell r="E8572" t="str">
            <v>Equals: VALUE ADDED, GROSS, at basic prices</v>
          </cell>
          <cell r="F8572">
            <v>12</v>
          </cell>
          <cell r="G8572">
            <v>2003</v>
          </cell>
          <cell r="H8572">
            <v>100</v>
          </cell>
          <cell r="I8572">
            <v>192100000000</v>
          </cell>
        </row>
        <row r="8573">
          <cell r="A8573" t="str">
            <v>Peru</v>
          </cell>
          <cell r="B8573">
            <v>604</v>
          </cell>
          <cell r="C8573">
            <v>203</v>
          </cell>
          <cell r="D8573">
            <v>4</v>
          </cell>
          <cell r="E8573" t="str">
            <v>Compensation of employees</v>
          </cell>
          <cell r="F8573">
            <v>12</v>
          </cell>
          <cell r="G8573">
            <v>1970</v>
          </cell>
          <cell r="H8573">
            <v>10</v>
          </cell>
          <cell r="I8573">
            <v>100</v>
          </cell>
        </row>
        <row r="8574">
          <cell r="A8574" t="str">
            <v>Peru</v>
          </cell>
          <cell r="B8574">
            <v>604</v>
          </cell>
          <cell r="C8574">
            <v>203</v>
          </cell>
          <cell r="D8574">
            <v>4</v>
          </cell>
          <cell r="E8574" t="str">
            <v>Compensation of employees</v>
          </cell>
          <cell r="F8574">
            <v>12</v>
          </cell>
          <cell r="G8574">
            <v>1971</v>
          </cell>
          <cell r="H8574">
            <v>10</v>
          </cell>
          <cell r="I8574">
            <v>116</v>
          </cell>
        </row>
        <row r="8575">
          <cell r="A8575" t="str">
            <v>Peru</v>
          </cell>
          <cell r="B8575">
            <v>604</v>
          </cell>
          <cell r="C8575">
            <v>203</v>
          </cell>
          <cell r="D8575">
            <v>4</v>
          </cell>
          <cell r="E8575" t="str">
            <v>Compensation of employees</v>
          </cell>
          <cell r="F8575">
            <v>12</v>
          </cell>
          <cell r="G8575">
            <v>1972</v>
          </cell>
          <cell r="H8575">
            <v>10</v>
          </cell>
          <cell r="I8575">
            <v>135</v>
          </cell>
        </row>
        <row r="8576">
          <cell r="A8576" t="str">
            <v>Peru</v>
          </cell>
          <cell r="B8576">
            <v>604</v>
          </cell>
          <cell r="C8576">
            <v>203</v>
          </cell>
          <cell r="D8576">
            <v>4</v>
          </cell>
          <cell r="E8576" t="str">
            <v>Compensation of employees</v>
          </cell>
          <cell r="F8576">
            <v>12</v>
          </cell>
          <cell r="G8576">
            <v>1973</v>
          </cell>
          <cell r="H8576">
            <v>10</v>
          </cell>
          <cell r="I8576">
            <v>164</v>
          </cell>
        </row>
        <row r="8577">
          <cell r="A8577" t="str">
            <v>Peru</v>
          </cell>
          <cell r="B8577">
            <v>604</v>
          </cell>
          <cell r="C8577">
            <v>203</v>
          </cell>
          <cell r="D8577">
            <v>4</v>
          </cell>
          <cell r="E8577" t="str">
            <v>Compensation of employees</v>
          </cell>
          <cell r="F8577">
            <v>12</v>
          </cell>
          <cell r="G8577">
            <v>1974</v>
          </cell>
          <cell r="H8577">
            <v>10</v>
          </cell>
          <cell r="I8577">
            <v>196</v>
          </cell>
        </row>
        <row r="8578">
          <cell r="A8578" t="str">
            <v>Peru</v>
          </cell>
          <cell r="B8578">
            <v>604</v>
          </cell>
          <cell r="C8578">
            <v>203</v>
          </cell>
          <cell r="D8578">
            <v>4</v>
          </cell>
          <cell r="E8578" t="str">
            <v>Compensation of employees</v>
          </cell>
          <cell r="F8578">
            <v>12</v>
          </cell>
          <cell r="G8578">
            <v>1975</v>
          </cell>
          <cell r="H8578">
            <v>10</v>
          </cell>
          <cell r="I8578">
            <v>249</v>
          </cell>
        </row>
        <row r="8579">
          <cell r="A8579" t="str">
            <v>Peru</v>
          </cell>
          <cell r="B8579">
            <v>604</v>
          </cell>
          <cell r="C8579">
            <v>203</v>
          </cell>
          <cell r="D8579">
            <v>4</v>
          </cell>
          <cell r="E8579" t="str">
            <v>Compensation of employees</v>
          </cell>
          <cell r="F8579">
            <v>12</v>
          </cell>
          <cell r="G8579">
            <v>1976</v>
          </cell>
          <cell r="H8579">
            <v>10</v>
          </cell>
          <cell r="I8579">
            <v>328</v>
          </cell>
        </row>
        <row r="8580">
          <cell r="A8580" t="str">
            <v>Peru</v>
          </cell>
          <cell r="B8580">
            <v>604</v>
          </cell>
          <cell r="C8580">
            <v>203</v>
          </cell>
          <cell r="D8580">
            <v>4</v>
          </cell>
          <cell r="E8580" t="str">
            <v>Compensation of employees</v>
          </cell>
          <cell r="F8580">
            <v>12</v>
          </cell>
          <cell r="G8580">
            <v>1977</v>
          </cell>
          <cell r="H8580">
            <v>10</v>
          </cell>
          <cell r="I8580">
            <v>448</v>
          </cell>
        </row>
        <row r="8581">
          <cell r="A8581" t="str">
            <v>Peru</v>
          </cell>
          <cell r="B8581">
            <v>604</v>
          </cell>
          <cell r="C8581">
            <v>203</v>
          </cell>
          <cell r="D8581">
            <v>4</v>
          </cell>
          <cell r="E8581" t="str">
            <v>Compensation of employees</v>
          </cell>
          <cell r="F8581">
            <v>12</v>
          </cell>
          <cell r="G8581">
            <v>1978</v>
          </cell>
          <cell r="H8581">
            <v>10</v>
          </cell>
          <cell r="I8581">
            <v>611</v>
          </cell>
        </row>
        <row r="8582">
          <cell r="A8582" t="str">
            <v>Peru</v>
          </cell>
          <cell r="B8582">
            <v>604</v>
          </cell>
          <cell r="C8582">
            <v>203</v>
          </cell>
          <cell r="D8582">
            <v>4</v>
          </cell>
          <cell r="E8582" t="str">
            <v>Compensation of employees</v>
          </cell>
          <cell r="F8582">
            <v>12</v>
          </cell>
          <cell r="G8582">
            <v>1979</v>
          </cell>
          <cell r="H8582">
            <v>10</v>
          </cell>
          <cell r="I8582">
            <v>981</v>
          </cell>
        </row>
        <row r="8583">
          <cell r="A8583" t="str">
            <v>Peru</v>
          </cell>
          <cell r="B8583">
            <v>604</v>
          </cell>
          <cell r="C8583">
            <v>203</v>
          </cell>
          <cell r="D8583">
            <v>4</v>
          </cell>
          <cell r="E8583" t="str">
            <v>Compensation of employees</v>
          </cell>
          <cell r="F8583">
            <v>12</v>
          </cell>
          <cell r="G8583">
            <v>1980</v>
          </cell>
          <cell r="H8583">
            <v>10</v>
          </cell>
          <cell r="I8583">
            <v>1772</v>
          </cell>
        </row>
        <row r="8584">
          <cell r="A8584" t="str">
            <v>Peru</v>
          </cell>
          <cell r="B8584">
            <v>604</v>
          </cell>
          <cell r="C8584">
            <v>203</v>
          </cell>
          <cell r="D8584">
            <v>4</v>
          </cell>
          <cell r="E8584" t="str">
            <v>Compensation of employees</v>
          </cell>
          <cell r="F8584">
            <v>12</v>
          </cell>
          <cell r="G8584">
            <v>1981</v>
          </cell>
          <cell r="H8584">
            <v>10</v>
          </cell>
          <cell r="I8584">
            <v>3286</v>
          </cell>
        </row>
        <row r="8585">
          <cell r="A8585" t="str">
            <v>Peru</v>
          </cell>
          <cell r="B8585">
            <v>604</v>
          </cell>
          <cell r="C8585">
            <v>203</v>
          </cell>
          <cell r="D8585">
            <v>4</v>
          </cell>
          <cell r="E8585" t="str">
            <v>Compensation of employees</v>
          </cell>
          <cell r="F8585">
            <v>12</v>
          </cell>
          <cell r="G8585">
            <v>1982</v>
          </cell>
          <cell r="H8585">
            <v>10</v>
          </cell>
          <cell r="I8585">
            <v>5702</v>
          </cell>
        </row>
        <row r="8586">
          <cell r="A8586" t="str">
            <v>Peru</v>
          </cell>
          <cell r="B8586">
            <v>604</v>
          </cell>
          <cell r="C8586">
            <v>203</v>
          </cell>
          <cell r="D8586">
            <v>4</v>
          </cell>
          <cell r="E8586" t="str">
            <v>Compensation of employees</v>
          </cell>
          <cell r="F8586">
            <v>12</v>
          </cell>
          <cell r="G8586">
            <v>1983</v>
          </cell>
          <cell r="H8586">
            <v>10</v>
          </cell>
          <cell r="I8586">
            <v>10701</v>
          </cell>
        </row>
        <row r="8587">
          <cell r="A8587" t="str">
            <v>Peru</v>
          </cell>
          <cell r="B8587">
            <v>604</v>
          </cell>
          <cell r="C8587">
            <v>203</v>
          </cell>
          <cell r="D8587">
            <v>4</v>
          </cell>
          <cell r="E8587" t="str">
            <v>Compensation of employees</v>
          </cell>
          <cell r="F8587">
            <v>12</v>
          </cell>
          <cell r="G8587">
            <v>1984</v>
          </cell>
          <cell r="H8587">
            <v>10</v>
          </cell>
          <cell r="I8587">
            <v>21681</v>
          </cell>
        </row>
        <row r="8588">
          <cell r="A8588" t="str">
            <v>Peru</v>
          </cell>
          <cell r="B8588">
            <v>604</v>
          </cell>
          <cell r="C8588">
            <v>203</v>
          </cell>
          <cell r="D8588">
            <v>4</v>
          </cell>
          <cell r="E8588" t="str">
            <v>Compensation of employees</v>
          </cell>
          <cell r="F8588">
            <v>12</v>
          </cell>
          <cell r="G8588">
            <v>1985</v>
          </cell>
          <cell r="H8588">
            <v>10</v>
          </cell>
          <cell r="I8588">
            <v>54321</v>
          </cell>
        </row>
        <row r="8589">
          <cell r="A8589" t="str">
            <v>Peru</v>
          </cell>
          <cell r="B8589">
            <v>604</v>
          </cell>
          <cell r="C8589">
            <v>203</v>
          </cell>
          <cell r="D8589">
            <v>4</v>
          </cell>
          <cell r="E8589" t="str">
            <v>Compensation of employees</v>
          </cell>
          <cell r="F8589">
            <v>12</v>
          </cell>
          <cell r="G8589">
            <v>1986</v>
          </cell>
          <cell r="H8589">
            <v>10</v>
          </cell>
          <cell r="I8589">
            <v>114488</v>
          </cell>
        </row>
        <row r="8590">
          <cell r="A8590" t="str">
            <v>Peru</v>
          </cell>
          <cell r="B8590">
            <v>604</v>
          </cell>
          <cell r="C8590">
            <v>203</v>
          </cell>
          <cell r="D8590">
            <v>4</v>
          </cell>
          <cell r="E8590" t="str">
            <v>Compensation of employees</v>
          </cell>
          <cell r="F8590">
            <v>12</v>
          </cell>
          <cell r="G8590">
            <v>1987</v>
          </cell>
          <cell r="H8590">
            <v>10</v>
          </cell>
          <cell r="I8590">
            <v>242634</v>
          </cell>
        </row>
        <row r="8591">
          <cell r="A8591" t="str">
            <v>Peru</v>
          </cell>
          <cell r="B8591">
            <v>604</v>
          </cell>
          <cell r="C8591">
            <v>203</v>
          </cell>
          <cell r="D8591">
            <v>4</v>
          </cell>
          <cell r="E8591" t="str">
            <v>Compensation of employees</v>
          </cell>
          <cell r="F8591">
            <v>12</v>
          </cell>
          <cell r="G8591">
            <v>1988</v>
          </cell>
          <cell r="H8591">
            <v>10</v>
          </cell>
          <cell r="I8591">
            <v>1342121</v>
          </cell>
        </row>
        <row r="8592">
          <cell r="A8592" t="str">
            <v>Peru</v>
          </cell>
          <cell r="B8592">
            <v>604</v>
          </cell>
          <cell r="C8592">
            <v>203</v>
          </cell>
          <cell r="D8592">
            <v>4</v>
          </cell>
          <cell r="E8592" t="str">
            <v>Compensation of employees</v>
          </cell>
          <cell r="F8592">
            <v>12</v>
          </cell>
          <cell r="G8592">
            <v>1989</v>
          </cell>
          <cell r="H8592">
            <v>10</v>
          </cell>
          <cell r="I8592">
            <v>31000000</v>
          </cell>
        </row>
        <row r="8593">
          <cell r="A8593" t="str">
            <v>Peru</v>
          </cell>
          <cell r="B8593">
            <v>604</v>
          </cell>
          <cell r="C8593">
            <v>203</v>
          </cell>
          <cell r="D8593">
            <v>4</v>
          </cell>
          <cell r="E8593" t="str">
            <v>Compensation of employees</v>
          </cell>
          <cell r="F8593">
            <v>12</v>
          </cell>
          <cell r="G8593">
            <v>1990</v>
          </cell>
          <cell r="H8593">
            <v>10</v>
          </cell>
          <cell r="I8593">
            <v>1810000000</v>
          </cell>
        </row>
        <row r="8594">
          <cell r="A8594" t="str">
            <v>Peru</v>
          </cell>
          <cell r="B8594">
            <v>604</v>
          </cell>
          <cell r="C8594">
            <v>203</v>
          </cell>
          <cell r="D8594">
            <v>4</v>
          </cell>
          <cell r="E8594" t="str">
            <v>Compensation of employees</v>
          </cell>
          <cell r="F8594">
            <v>12</v>
          </cell>
          <cell r="G8594">
            <v>1991</v>
          </cell>
          <cell r="H8594">
            <v>10</v>
          </cell>
          <cell r="I8594">
            <v>7577000000</v>
          </cell>
        </row>
        <row r="8595">
          <cell r="A8595" t="str">
            <v>Peru</v>
          </cell>
          <cell r="B8595">
            <v>604</v>
          </cell>
          <cell r="C8595">
            <v>203</v>
          </cell>
          <cell r="D8595">
            <v>4</v>
          </cell>
          <cell r="E8595" t="str">
            <v>Compensation of employees</v>
          </cell>
          <cell r="F8595">
            <v>12</v>
          </cell>
          <cell r="G8595">
            <v>1991</v>
          </cell>
          <cell r="H8595">
            <v>100</v>
          </cell>
          <cell r="I8595">
            <v>8023166000</v>
          </cell>
        </row>
        <row r="8596">
          <cell r="A8596" t="str">
            <v>Peru</v>
          </cell>
          <cell r="B8596">
            <v>604</v>
          </cell>
          <cell r="C8596">
            <v>203</v>
          </cell>
          <cell r="D8596">
            <v>4</v>
          </cell>
          <cell r="E8596" t="str">
            <v>Compensation of employees</v>
          </cell>
          <cell r="F8596">
            <v>12</v>
          </cell>
          <cell r="G8596">
            <v>1992</v>
          </cell>
          <cell r="H8596">
            <v>100</v>
          </cell>
          <cell r="I8596">
            <v>11889000000</v>
          </cell>
        </row>
        <row r="8597">
          <cell r="A8597" t="str">
            <v>Peru</v>
          </cell>
          <cell r="B8597">
            <v>604</v>
          </cell>
          <cell r="C8597">
            <v>203</v>
          </cell>
          <cell r="D8597">
            <v>4</v>
          </cell>
          <cell r="E8597" t="str">
            <v>Compensation of employees</v>
          </cell>
          <cell r="F8597">
            <v>12</v>
          </cell>
          <cell r="G8597">
            <v>1993</v>
          </cell>
          <cell r="H8597">
            <v>100</v>
          </cell>
          <cell r="I8597">
            <v>17311000000</v>
          </cell>
        </row>
        <row r="8598">
          <cell r="A8598" t="str">
            <v>Peru</v>
          </cell>
          <cell r="B8598">
            <v>604</v>
          </cell>
          <cell r="C8598">
            <v>203</v>
          </cell>
          <cell r="D8598">
            <v>4</v>
          </cell>
          <cell r="E8598" t="str">
            <v>Compensation of employees</v>
          </cell>
          <cell r="F8598">
            <v>12</v>
          </cell>
          <cell r="G8598">
            <v>1994</v>
          </cell>
          <cell r="H8598">
            <v>100</v>
          </cell>
          <cell r="I8598">
            <v>24765000000</v>
          </cell>
        </row>
        <row r="8599">
          <cell r="A8599" t="str">
            <v>Peru</v>
          </cell>
          <cell r="B8599">
            <v>604</v>
          </cell>
          <cell r="C8599">
            <v>203</v>
          </cell>
          <cell r="D8599">
            <v>4</v>
          </cell>
          <cell r="E8599" t="str">
            <v>Compensation of employees</v>
          </cell>
          <cell r="F8599">
            <v>12</v>
          </cell>
          <cell r="G8599">
            <v>1995</v>
          </cell>
          <cell r="H8599">
            <v>100</v>
          </cell>
          <cell r="I8599">
            <v>30435812000</v>
          </cell>
        </row>
        <row r="8600">
          <cell r="A8600" t="str">
            <v>Peru</v>
          </cell>
          <cell r="B8600">
            <v>604</v>
          </cell>
          <cell r="C8600">
            <v>203</v>
          </cell>
          <cell r="D8600">
            <v>4</v>
          </cell>
          <cell r="E8600" t="str">
            <v>Compensation of employees</v>
          </cell>
          <cell r="F8600">
            <v>12</v>
          </cell>
          <cell r="G8600">
            <v>1996</v>
          </cell>
          <cell r="H8600">
            <v>100</v>
          </cell>
          <cell r="I8600">
            <v>34150000000</v>
          </cell>
        </row>
        <row r="8601">
          <cell r="A8601" t="str">
            <v>Peru</v>
          </cell>
          <cell r="B8601">
            <v>604</v>
          </cell>
          <cell r="C8601">
            <v>203</v>
          </cell>
          <cell r="D8601">
            <v>4</v>
          </cell>
          <cell r="E8601" t="str">
            <v>Compensation of employees</v>
          </cell>
          <cell r="F8601">
            <v>12</v>
          </cell>
          <cell r="G8601">
            <v>1997</v>
          </cell>
          <cell r="H8601">
            <v>100</v>
          </cell>
          <cell r="I8601">
            <v>38064000000</v>
          </cell>
        </row>
        <row r="8602">
          <cell r="A8602" t="str">
            <v>Peru</v>
          </cell>
          <cell r="B8602">
            <v>604</v>
          </cell>
          <cell r="C8602">
            <v>203</v>
          </cell>
          <cell r="D8602">
            <v>4</v>
          </cell>
          <cell r="E8602" t="str">
            <v>Compensation of employees</v>
          </cell>
          <cell r="F8602">
            <v>12</v>
          </cell>
          <cell r="G8602">
            <v>1998</v>
          </cell>
          <cell r="H8602">
            <v>100</v>
          </cell>
          <cell r="I8602">
            <v>40781000000</v>
          </cell>
        </row>
        <row r="8603">
          <cell r="A8603" t="str">
            <v>Peru</v>
          </cell>
          <cell r="B8603">
            <v>604</v>
          </cell>
          <cell r="C8603">
            <v>203</v>
          </cell>
          <cell r="D8603">
            <v>4</v>
          </cell>
          <cell r="E8603" t="str">
            <v>Compensation of employees</v>
          </cell>
          <cell r="F8603">
            <v>12</v>
          </cell>
          <cell r="G8603">
            <v>1999</v>
          </cell>
          <cell r="H8603">
            <v>100</v>
          </cell>
          <cell r="I8603">
            <v>43346000000</v>
          </cell>
        </row>
        <row r="8604">
          <cell r="A8604" t="str">
            <v>Peru</v>
          </cell>
          <cell r="B8604">
            <v>604</v>
          </cell>
          <cell r="C8604">
            <v>203</v>
          </cell>
          <cell r="D8604">
            <v>4</v>
          </cell>
          <cell r="E8604" t="str">
            <v>Compensation of employees</v>
          </cell>
          <cell r="F8604">
            <v>12</v>
          </cell>
          <cell r="G8604">
            <v>2000</v>
          </cell>
          <cell r="H8604">
            <v>100</v>
          </cell>
          <cell r="I8604">
            <v>45410000000</v>
          </cell>
        </row>
        <row r="8605">
          <cell r="A8605" t="str">
            <v>Peru</v>
          </cell>
          <cell r="B8605">
            <v>604</v>
          </cell>
          <cell r="C8605">
            <v>203</v>
          </cell>
          <cell r="D8605">
            <v>4</v>
          </cell>
          <cell r="E8605" t="str">
            <v>Compensation of employees</v>
          </cell>
          <cell r="F8605">
            <v>12</v>
          </cell>
          <cell r="G8605">
            <v>2001</v>
          </cell>
          <cell r="H8605">
            <v>100</v>
          </cell>
          <cell r="I8605">
            <v>46306000000</v>
          </cell>
        </row>
        <row r="8606">
          <cell r="A8606" t="str">
            <v>Peru</v>
          </cell>
          <cell r="B8606">
            <v>604</v>
          </cell>
          <cell r="C8606">
            <v>203</v>
          </cell>
          <cell r="D8606">
            <v>4</v>
          </cell>
          <cell r="E8606" t="str">
            <v>Compensation of employees</v>
          </cell>
          <cell r="F8606">
            <v>12</v>
          </cell>
          <cell r="G8606">
            <v>2002</v>
          </cell>
          <cell r="H8606">
            <v>100</v>
          </cell>
          <cell r="I8606">
            <v>47792000000</v>
          </cell>
        </row>
        <row r="8607">
          <cell r="A8607" t="str">
            <v>Peru</v>
          </cell>
          <cell r="B8607">
            <v>604</v>
          </cell>
          <cell r="C8607">
            <v>203</v>
          </cell>
          <cell r="D8607">
            <v>4</v>
          </cell>
          <cell r="E8607" t="str">
            <v>Compensation of employees</v>
          </cell>
          <cell r="F8607">
            <v>12</v>
          </cell>
          <cell r="G8607">
            <v>2003</v>
          </cell>
          <cell r="H8607">
            <v>100</v>
          </cell>
          <cell r="I8607">
            <v>49949000000</v>
          </cell>
        </row>
        <row r="8608">
          <cell r="A8608" t="str">
            <v>Peru</v>
          </cell>
          <cell r="B8608">
            <v>604</v>
          </cell>
          <cell r="C8608">
            <v>203</v>
          </cell>
          <cell r="D8608">
            <v>11</v>
          </cell>
          <cell r="E8608" t="str">
            <v>OPERATING SURPLUS, GROSS</v>
          </cell>
          <cell r="F8608">
            <v>12</v>
          </cell>
          <cell r="G8608">
            <v>1970</v>
          </cell>
          <cell r="H8608">
            <v>10</v>
          </cell>
          <cell r="I8608">
            <v>162</v>
          </cell>
        </row>
        <row r="8609">
          <cell r="A8609" t="str">
            <v>Peru</v>
          </cell>
          <cell r="B8609">
            <v>604</v>
          </cell>
          <cell r="C8609">
            <v>203</v>
          </cell>
          <cell r="D8609">
            <v>11</v>
          </cell>
          <cell r="E8609" t="str">
            <v>OPERATING SURPLUS, GROSS</v>
          </cell>
          <cell r="F8609">
            <v>12</v>
          </cell>
          <cell r="G8609">
            <v>1971</v>
          </cell>
          <cell r="H8609">
            <v>10</v>
          </cell>
          <cell r="I8609">
            <v>178</v>
          </cell>
        </row>
        <row r="8610">
          <cell r="A8610" t="str">
            <v>Peru</v>
          </cell>
          <cell r="B8610">
            <v>604</v>
          </cell>
          <cell r="C8610">
            <v>203</v>
          </cell>
          <cell r="D8610">
            <v>11</v>
          </cell>
          <cell r="E8610" t="str">
            <v>OPERATING SURPLUS, GROSS</v>
          </cell>
          <cell r="F8610">
            <v>12</v>
          </cell>
          <cell r="G8610">
            <v>1972</v>
          </cell>
          <cell r="H8610">
            <v>10</v>
          </cell>
          <cell r="I8610">
            <v>190</v>
          </cell>
        </row>
        <row r="8611">
          <cell r="A8611" t="str">
            <v>Peru</v>
          </cell>
          <cell r="B8611">
            <v>604</v>
          </cell>
          <cell r="C8611">
            <v>203</v>
          </cell>
          <cell r="D8611">
            <v>11</v>
          </cell>
          <cell r="E8611" t="str">
            <v>OPERATING SURPLUS, GROSS</v>
          </cell>
          <cell r="F8611">
            <v>12</v>
          </cell>
          <cell r="G8611">
            <v>1973</v>
          </cell>
          <cell r="H8611">
            <v>10</v>
          </cell>
          <cell r="I8611">
            <v>229</v>
          </cell>
        </row>
        <row r="8612">
          <cell r="A8612" t="str">
            <v>Peru</v>
          </cell>
          <cell r="B8612">
            <v>604</v>
          </cell>
          <cell r="C8612">
            <v>203</v>
          </cell>
          <cell r="D8612">
            <v>11</v>
          </cell>
          <cell r="E8612" t="str">
            <v>OPERATING SURPLUS, GROSS</v>
          </cell>
          <cell r="F8612">
            <v>12</v>
          </cell>
          <cell r="G8612">
            <v>1974</v>
          </cell>
          <cell r="H8612">
            <v>10</v>
          </cell>
          <cell r="I8612">
            <v>306</v>
          </cell>
        </row>
        <row r="8613">
          <cell r="A8613" t="str">
            <v>Peru</v>
          </cell>
          <cell r="B8613">
            <v>604</v>
          </cell>
          <cell r="C8613">
            <v>203</v>
          </cell>
          <cell r="D8613">
            <v>11</v>
          </cell>
          <cell r="E8613" t="str">
            <v>OPERATING SURPLUS, GROSS</v>
          </cell>
          <cell r="F8613">
            <v>12</v>
          </cell>
          <cell r="G8613">
            <v>1975</v>
          </cell>
          <cell r="H8613">
            <v>10</v>
          </cell>
          <cell r="I8613">
            <v>382</v>
          </cell>
        </row>
        <row r="8614">
          <cell r="A8614" t="str">
            <v>Peru</v>
          </cell>
          <cell r="B8614">
            <v>604</v>
          </cell>
          <cell r="C8614">
            <v>203</v>
          </cell>
          <cell r="D8614">
            <v>11</v>
          </cell>
          <cell r="E8614" t="str">
            <v>OPERATING SURPLUS, GROSS</v>
          </cell>
          <cell r="F8614">
            <v>12</v>
          </cell>
          <cell r="G8614">
            <v>1976</v>
          </cell>
          <cell r="H8614">
            <v>10</v>
          </cell>
          <cell r="I8614">
            <v>512</v>
          </cell>
        </row>
        <row r="8615">
          <cell r="A8615" t="str">
            <v>Peru</v>
          </cell>
          <cell r="B8615">
            <v>604</v>
          </cell>
          <cell r="C8615">
            <v>203</v>
          </cell>
          <cell r="D8615">
            <v>11</v>
          </cell>
          <cell r="E8615" t="str">
            <v>OPERATING SURPLUS, GROSS</v>
          </cell>
          <cell r="F8615">
            <v>12</v>
          </cell>
          <cell r="G8615">
            <v>1977</v>
          </cell>
          <cell r="H8615">
            <v>10</v>
          </cell>
          <cell r="I8615">
            <v>722</v>
          </cell>
        </row>
        <row r="8616">
          <cell r="A8616" t="str">
            <v>Peru</v>
          </cell>
          <cell r="B8616">
            <v>604</v>
          </cell>
          <cell r="C8616">
            <v>203</v>
          </cell>
          <cell r="D8616">
            <v>11</v>
          </cell>
          <cell r="E8616" t="str">
            <v>OPERATING SURPLUS, GROSS</v>
          </cell>
          <cell r="F8616">
            <v>12</v>
          </cell>
          <cell r="G8616">
            <v>1978</v>
          </cell>
          <cell r="H8616">
            <v>10</v>
          </cell>
          <cell r="I8616">
            <v>1167</v>
          </cell>
        </row>
        <row r="8617">
          <cell r="A8617" t="str">
            <v>Peru</v>
          </cell>
          <cell r="B8617">
            <v>604</v>
          </cell>
          <cell r="C8617">
            <v>203</v>
          </cell>
          <cell r="D8617">
            <v>11</v>
          </cell>
          <cell r="E8617" t="str">
            <v>OPERATING SURPLUS, GROSS</v>
          </cell>
          <cell r="F8617">
            <v>12</v>
          </cell>
          <cell r="G8617">
            <v>1979</v>
          </cell>
          <cell r="H8617">
            <v>10</v>
          </cell>
          <cell r="I8617">
            <v>2224</v>
          </cell>
        </row>
        <row r="8618">
          <cell r="A8618" t="str">
            <v>Peru</v>
          </cell>
          <cell r="B8618">
            <v>604</v>
          </cell>
          <cell r="C8618">
            <v>203</v>
          </cell>
          <cell r="D8618">
            <v>11</v>
          </cell>
          <cell r="E8618" t="str">
            <v>OPERATING SURPLUS, GROSS</v>
          </cell>
          <cell r="F8618">
            <v>12</v>
          </cell>
          <cell r="G8618">
            <v>1980</v>
          </cell>
          <cell r="H8618">
            <v>10</v>
          </cell>
          <cell r="I8618">
            <v>3741</v>
          </cell>
        </row>
        <row r="8619">
          <cell r="A8619" t="str">
            <v>Peru</v>
          </cell>
          <cell r="B8619">
            <v>604</v>
          </cell>
          <cell r="C8619">
            <v>203</v>
          </cell>
          <cell r="D8619">
            <v>11</v>
          </cell>
          <cell r="E8619" t="str">
            <v>OPERATING SURPLUS, GROSS</v>
          </cell>
          <cell r="F8619">
            <v>12</v>
          </cell>
          <cell r="G8619">
            <v>1981</v>
          </cell>
          <cell r="H8619">
            <v>10</v>
          </cell>
          <cell r="I8619">
            <v>6631</v>
          </cell>
        </row>
        <row r="8620">
          <cell r="A8620" t="str">
            <v>Peru</v>
          </cell>
          <cell r="B8620">
            <v>604</v>
          </cell>
          <cell r="C8620">
            <v>203</v>
          </cell>
          <cell r="D8620">
            <v>11</v>
          </cell>
          <cell r="E8620" t="str">
            <v>OPERATING SURPLUS, GROSS</v>
          </cell>
          <cell r="F8620">
            <v>12</v>
          </cell>
          <cell r="G8620">
            <v>1982</v>
          </cell>
          <cell r="H8620">
            <v>10</v>
          </cell>
          <cell r="I8620">
            <v>10900</v>
          </cell>
        </row>
        <row r="8621">
          <cell r="A8621" t="str">
            <v>Peru</v>
          </cell>
          <cell r="B8621">
            <v>604</v>
          </cell>
          <cell r="C8621">
            <v>203</v>
          </cell>
          <cell r="D8621">
            <v>11</v>
          </cell>
          <cell r="E8621" t="str">
            <v>OPERATING SURPLUS, GROSS</v>
          </cell>
          <cell r="F8621">
            <v>12</v>
          </cell>
          <cell r="G8621">
            <v>1983</v>
          </cell>
          <cell r="H8621">
            <v>10</v>
          </cell>
          <cell r="I8621">
            <v>19768</v>
          </cell>
        </row>
        <row r="8622">
          <cell r="A8622" t="str">
            <v>Peru</v>
          </cell>
          <cell r="B8622">
            <v>604</v>
          </cell>
          <cell r="C8622">
            <v>203</v>
          </cell>
          <cell r="D8622">
            <v>11</v>
          </cell>
          <cell r="E8622" t="str">
            <v>OPERATING SURPLUS, GROSS</v>
          </cell>
          <cell r="F8622">
            <v>12</v>
          </cell>
          <cell r="G8622">
            <v>1984</v>
          </cell>
          <cell r="H8622">
            <v>10</v>
          </cell>
          <cell r="I8622">
            <v>46157</v>
          </cell>
        </row>
        <row r="8623">
          <cell r="A8623" t="str">
            <v>Peru</v>
          </cell>
          <cell r="B8623">
            <v>604</v>
          </cell>
          <cell r="C8623">
            <v>203</v>
          </cell>
          <cell r="D8623">
            <v>11</v>
          </cell>
          <cell r="E8623" t="str">
            <v>OPERATING SURPLUS, GROSS</v>
          </cell>
          <cell r="F8623">
            <v>12</v>
          </cell>
          <cell r="G8623">
            <v>1985</v>
          </cell>
          <cell r="H8623">
            <v>10</v>
          </cell>
          <cell r="I8623">
            <v>129461</v>
          </cell>
        </row>
        <row r="8624">
          <cell r="A8624" t="str">
            <v>Peru</v>
          </cell>
          <cell r="B8624">
            <v>604</v>
          </cell>
          <cell r="C8624">
            <v>203</v>
          </cell>
          <cell r="D8624">
            <v>11</v>
          </cell>
          <cell r="E8624" t="str">
            <v>OPERATING SURPLUS, GROSS</v>
          </cell>
          <cell r="F8624">
            <v>12</v>
          </cell>
          <cell r="G8624">
            <v>1986</v>
          </cell>
          <cell r="H8624">
            <v>10</v>
          </cell>
          <cell r="I8624">
            <v>240682</v>
          </cell>
        </row>
        <row r="8625">
          <cell r="A8625" t="str">
            <v>Peru</v>
          </cell>
          <cell r="B8625">
            <v>604</v>
          </cell>
          <cell r="C8625">
            <v>203</v>
          </cell>
          <cell r="D8625">
            <v>11</v>
          </cell>
          <cell r="E8625" t="str">
            <v>OPERATING SURPLUS, GROSS</v>
          </cell>
          <cell r="F8625">
            <v>12</v>
          </cell>
          <cell r="G8625">
            <v>1987</v>
          </cell>
          <cell r="H8625">
            <v>10</v>
          </cell>
          <cell r="I8625">
            <v>467153</v>
          </cell>
        </row>
        <row r="8626">
          <cell r="A8626" t="str">
            <v>Peru</v>
          </cell>
          <cell r="B8626">
            <v>604</v>
          </cell>
          <cell r="C8626">
            <v>203</v>
          </cell>
          <cell r="D8626">
            <v>11</v>
          </cell>
          <cell r="E8626" t="str">
            <v>OPERATING SURPLUS, GROSS</v>
          </cell>
          <cell r="F8626">
            <v>12</v>
          </cell>
          <cell r="G8626">
            <v>1988</v>
          </cell>
          <cell r="H8626">
            <v>10</v>
          </cell>
          <cell r="I8626">
            <v>3491203</v>
          </cell>
        </row>
        <row r="8627">
          <cell r="A8627" t="str">
            <v>Peru</v>
          </cell>
          <cell r="B8627">
            <v>604</v>
          </cell>
          <cell r="C8627">
            <v>203</v>
          </cell>
          <cell r="D8627">
            <v>11</v>
          </cell>
          <cell r="E8627" t="str">
            <v>OPERATING SURPLUS, GROSS</v>
          </cell>
          <cell r="F8627">
            <v>12</v>
          </cell>
          <cell r="G8627">
            <v>1989</v>
          </cell>
          <cell r="H8627">
            <v>10</v>
          </cell>
          <cell r="I8627">
            <v>78000000</v>
          </cell>
        </row>
        <row r="8628">
          <cell r="A8628" t="str">
            <v>Peru</v>
          </cell>
          <cell r="B8628">
            <v>604</v>
          </cell>
          <cell r="C8628">
            <v>203</v>
          </cell>
          <cell r="D8628">
            <v>11</v>
          </cell>
          <cell r="E8628" t="str">
            <v>OPERATING SURPLUS, GROSS</v>
          </cell>
          <cell r="F8628">
            <v>12</v>
          </cell>
          <cell r="G8628">
            <v>1990</v>
          </cell>
          <cell r="H8628">
            <v>10</v>
          </cell>
          <cell r="I8628">
            <v>4566000000</v>
          </cell>
        </row>
        <row r="8629">
          <cell r="A8629" t="str">
            <v>Peru</v>
          </cell>
          <cell r="B8629">
            <v>604</v>
          </cell>
          <cell r="C8629">
            <v>203</v>
          </cell>
          <cell r="D8629">
            <v>11</v>
          </cell>
          <cell r="E8629" t="str">
            <v>OPERATING SURPLUS, GROSS</v>
          </cell>
          <cell r="F8629">
            <v>12</v>
          </cell>
          <cell r="G8629">
            <v>1991</v>
          </cell>
          <cell r="H8629">
            <v>10</v>
          </cell>
          <cell r="I8629">
            <v>23286000000</v>
          </cell>
        </row>
        <row r="8630">
          <cell r="A8630" t="str">
            <v>Peru</v>
          </cell>
          <cell r="B8630">
            <v>604</v>
          </cell>
          <cell r="C8630">
            <v>203</v>
          </cell>
          <cell r="D8630">
            <v>11</v>
          </cell>
          <cell r="E8630" t="str">
            <v>OPERATING SURPLUS, GROSS</v>
          </cell>
          <cell r="F8630">
            <v>12</v>
          </cell>
          <cell r="G8630">
            <v>1991</v>
          </cell>
          <cell r="H8630">
            <v>100</v>
          </cell>
          <cell r="I8630">
            <v>14065128000</v>
          </cell>
        </row>
        <row r="8631">
          <cell r="A8631" t="str">
            <v>Peru</v>
          </cell>
          <cell r="B8631">
            <v>604</v>
          </cell>
          <cell r="C8631">
            <v>203</v>
          </cell>
          <cell r="D8631">
            <v>11</v>
          </cell>
          <cell r="E8631" t="str">
            <v>OPERATING SURPLUS, GROSS</v>
          </cell>
          <cell r="F8631">
            <v>12</v>
          </cell>
          <cell r="G8631">
            <v>1992</v>
          </cell>
          <cell r="H8631">
            <v>100</v>
          </cell>
          <cell r="I8631">
            <v>25352771000</v>
          </cell>
        </row>
        <row r="8632">
          <cell r="A8632" t="str">
            <v>Peru</v>
          </cell>
          <cell r="B8632">
            <v>604</v>
          </cell>
          <cell r="C8632">
            <v>203</v>
          </cell>
          <cell r="D8632">
            <v>11</v>
          </cell>
          <cell r="E8632" t="str">
            <v>OPERATING SURPLUS, GROSS</v>
          </cell>
          <cell r="F8632">
            <v>12</v>
          </cell>
          <cell r="G8632">
            <v>1993</v>
          </cell>
          <cell r="H8632">
            <v>100</v>
          </cell>
          <cell r="I8632">
            <v>40451061000</v>
          </cell>
        </row>
        <row r="8633">
          <cell r="A8633" t="str">
            <v>Peru</v>
          </cell>
          <cell r="B8633">
            <v>604</v>
          </cell>
          <cell r="C8633">
            <v>203</v>
          </cell>
          <cell r="D8633">
            <v>11</v>
          </cell>
          <cell r="E8633" t="str">
            <v>OPERATING SURPLUS, GROSS</v>
          </cell>
          <cell r="F8633">
            <v>12</v>
          </cell>
          <cell r="G8633">
            <v>1994</v>
          </cell>
          <cell r="H8633">
            <v>100</v>
          </cell>
          <cell r="I8633">
            <v>63075000000</v>
          </cell>
        </row>
        <row r="8634">
          <cell r="A8634" t="str">
            <v>Peru</v>
          </cell>
          <cell r="B8634">
            <v>604</v>
          </cell>
          <cell r="C8634">
            <v>203</v>
          </cell>
          <cell r="D8634">
            <v>11</v>
          </cell>
          <cell r="E8634" t="str">
            <v>OPERATING SURPLUS, GROSS</v>
          </cell>
          <cell r="F8634">
            <v>12</v>
          </cell>
          <cell r="G8634">
            <v>1995</v>
          </cell>
          <cell r="H8634">
            <v>100</v>
          </cell>
          <cell r="I8634">
            <v>77077000000</v>
          </cell>
        </row>
        <row r="8635">
          <cell r="A8635" t="str">
            <v>Peru</v>
          </cell>
          <cell r="B8635">
            <v>604</v>
          </cell>
          <cell r="C8635">
            <v>203</v>
          </cell>
          <cell r="D8635">
            <v>11</v>
          </cell>
          <cell r="E8635" t="str">
            <v>OPERATING SURPLUS, GROSS</v>
          </cell>
          <cell r="F8635">
            <v>12</v>
          </cell>
          <cell r="G8635">
            <v>1996</v>
          </cell>
          <cell r="H8635">
            <v>100</v>
          </cell>
          <cell r="I8635">
            <v>88242000000</v>
          </cell>
        </row>
        <row r="8636">
          <cell r="A8636" t="str">
            <v>Peru</v>
          </cell>
          <cell r="B8636">
            <v>604</v>
          </cell>
          <cell r="C8636">
            <v>203</v>
          </cell>
          <cell r="D8636">
            <v>11</v>
          </cell>
          <cell r="E8636" t="str">
            <v>OPERATING SURPLUS, GROSS</v>
          </cell>
          <cell r="F8636">
            <v>12</v>
          </cell>
          <cell r="G8636">
            <v>1997</v>
          </cell>
          <cell r="H8636">
            <v>100</v>
          </cell>
          <cell r="I8636">
            <v>102753000000</v>
          </cell>
        </row>
        <row r="8637">
          <cell r="A8637" t="str">
            <v>Peru</v>
          </cell>
          <cell r="B8637">
            <v>604</v>
          </cell>
          <cell r="C8637">
            <v>203</v>
          </cell>
          <cell r="D8637">
            <v>11</v>
          </cell>
          <cell r="E8637" t="str">
            <v>OPERATING SURPLUS, GROSS</v>
          </cell>
          <cell r="F8637">
            <v>12</v>
          </cell>
          <cell r="G8637">
            <v>1998</v>
          </cell>
          <cell r="H8637">
            <v>100</v>
          </cell>
          <cell r="I8637">
            <v>107963000000</v>
          </cell>
        </row>
        <row r="8638">
          <cell r="A8638" t="str">
            <v>Peru</v>
          </cell>
          <cell r="B8638">
            <v>604</v>
          </cell>
          <cell r="C8638">
            <v>203</v>
          </cell>
          <cell r="D8638">
            <v>11</v>
          </cell>
          <cell r="E8638" t="str">
            <v>OPERATING SURPLUS, GROSS</v>
          </cell>
          <cell r="F8638">
            <v>12</v>
          </cell>
          <cell r="G8638">
            <v>1999</v>
          </cell>
          <cell r="H8638">
            <v>100</v>
          </cell>
          <cell r="I8638">
            <v>113568000000</v>
          </cell>
        </row>
        <row r="8639">
          <cell r="A8639" t="str">
            <v>Peru</v>
          </cell>
          <cell r="B8639">
            <v>604</v>
          </cell>
          <cell r="C8639">
            <v>203</v>
          </cell>
          <cell r="D8639">
            <v>11</v>
          </cell>
          <cell r="E8639" t="str">
            <v>OPERATING SURPLUS, GROSS</v>
          </cell>
          <cell r="F8639">
            <v>12</v>
          </cell>
          <cell r="G8639">
            <v>2000</v>
          </cell>
          <cell r="H8639">
            <v>100</v>
          </cell>
          <cell r="I8639">
            <v>122365000000</v>
          </cell>
        </row>
        <row r="8640">
          <cell r="A8640" t="str">
            <v>Peru</v>
          </cell>
          <cell r="B8640">
            <v>604</v>
          </cell>
          <cell r="C8640">
            <v>203</v>
          </cell>
          <cell r="D8640">
            <v>11</v>
          </cell>
          <cell r="E8640" t="str">
            <v>OPERATING SURPLUS, GROSS</v>
          </cell>
          <cell r="F8640">
            <v>12</v>
          </cell>
          <cell r="G8640">
            <v>2001</v>
          </cell>
          <cell r="H8640">
            <v>100</v>
          </cell>
          <cell r="I8640">
            <v>124914000000</v>
          </cell>
        </row>
        <row r="8641">
          <cell r="A8641" t="str">
            <v>Peru</v>
          </cell>
          <cell r="B8641">
            <v>604</v>
          </cell>
          <cell r="C8641">
            <v>203</v>
          </cell>
          <cell r="D8641">
            <v>11</v>
          </cell>
          <cell r="E8641" t="str">
            <v>OPERATING SURPLUS, GROSS</v>
          </cell>
          <cell r="F8641">
            <v>12</v>
          </cell>
          <cell r="G8641">
            <v>2002</v>
          </cell>
          <cell r="H8641">
            <v>100</v>
          </cell>
          <cell r="I8641">
            <v>133289000000</v>
          </cell>
        </row>
        <row r="8642">
          <cell r="A8642" t="str">
            <v>Peru</v>
          </cell>
          <cell r="B8642">
            <v>604</v>
          </cell>
          <cell r="C8642">
            <v>203</v>
          </cell>
          <cell r="D8642">
            <v>11</v>
          </cell>
          <cell r="E8642" t="str">
            <v>OPERATING SURPLUS, GROSS</v>
          </cell>
          <cell r="F8642">
            <v>12</v>
          </cell>
          <cell r="G8642">
            <v>2003</v>
          </cell>
          <cell r="H8642">
            <v>100</v>
          </cell>
          <cell r="I8642">
            <v>141362000000</v>
          </cell>
        </row>
        <row r="8643">
          <cell r="A8643" t="str">
            <v>Peru</v>
          </cell>
          <cell r="B8643">
            <v>604</v>
          </cell>
          <cell r="C8643">
            <v>203</v>
          </cell>
          <cell r="D8643">
            <v>22</v>
          </cell>
          <cell r="E8643" t="str">
            <v>Taxes on production and imports, less Subsidies</v>
          </cell>
          <cell r="F8643">
            <v>12</v>
          </cell>
          <cell r="G8643">
            <v>1979</v>
          </cell>
          <cell r="H8643">
            <v>10</v>
          </cell>
          <cell r="I8643">
            <v>283</v>
          </cell>
        </row>
        <row r="8644">
          <cell r="A8644" t="str">
            <v>Peru</v>
          </cell>
          <cell r="B8644">
            <v>604</v>
          </cell>
          <cell r="C8644">
            <v>203</v>
          </cell>
          <cell r="D8644">
            <v>22</v>
          </cell>
          <cell r="E8644" t="str">
            <v>Taxes on production and imports, less Subsidies</v>
          </cell>
          <cell r="F8644">
            <v>12</v>
          </cell>
          <cell r="G8644">
            <v>1980</v>
          </cell>
          <cell r="H8644">
            <v>10</v>
          </cell>
          <cell r="I8644">
            <v>413</v>
          </cell>
        </row>
        <row r="8645">
          <cell r="A8645" t="str">
            <v>Peru</v>
          </cell>
          <cell r="B8645">
            <v>604</v>
          </cell>
          <cell r="C8645">
            <v>203</v>
          </cell>
          <cell r="D8645">
            <v>22</v>
          </cell>
          <cell r="E8645" t="str">
            <v>Taxes on production and imports, less Subsidies</v>
          </cell>
          <cell r="F8645">
            <v>12</v>
          </cell>
          <cell r="G8645">
            <v>1981</v>
          </cell>
          <cell r="H8645">
            <v>10</v>
          </cell>
          <cell r="I8645">
            <v>714</v>
          </cell>
        </row>
        <row r="8646">
          <cell r="A8646" t="str">
            <v>Peru</v>
          </cell>
          <cell r="B8646">
            <v>604</v>
          </cell>
          <cell r="C8646">
            <v>203</v>
          </cell>
          <cell r="D8646">
            <v>22</v>
          </cell>
          <cell r="E8646" t="str">
            <v>Taxes on production and imports, less Subsidies</v>
          </cell>
          <cell r="F8646">
            <v>12</v>
          </cell>
          <cell r="G8646">
            <v>1982</v>
          </cell>
          <cell r="H8646">
            <v>10</v>
          </cell>
          <cell r="I8646">
            <v>1291</v>
          </cell>
        </row>
        <row r="8647">
          <cell r="A8647" t="str">
            <v>Peru</v>
          </cell>
          <cell r="B8647">
            <v>604</v>
          </cell>
          <cell r="C8647">
            <v>203</v>
          </cell>
          <cell r="D8647">
            <v>22</v>
          </cell>
          <cell r="E8647" t="str">
            <v>Taxes on production and imports, less Subsidies</v>
          </cell>
          <cell r="F8647">
            <v>12</v>
          </cell>
          <cell r="G8647">
            <v>1983</v>
          </cell>
          <cell r="H8647">
            <v>10</v>
          </cell>
          <cell r="I8647">
            <v>2041</v>
          </cell>
        </row>
        <row r="8648">
          <cell r="A8648" t="str">
            <v>Peru</v>
          </cell>
          <cell r="B8648">
            <v>604</v>
          </cell>
          <cell r="C8648">
            <v>203</v>
          </cell>
          <cell r="D8648">
            <v>22</v>
          </cell>
          <cell r="E8648" t="str">
            <v>Taxes on production and imports, less Subsidies</v>
          </cell>
          <cell r="F8648">
            <v>12</v>
          </cell>
          <cell r="G8648">
            <v>1984</v>
          </cell>
          <cell r="H8648">
            <v>10</v>
          </cell>
          <cell r="I8648">
            <v>4797</v>
          </cell>
        </row>
        <row r="8649">
          <cell r="A8649" t="str">
            <v>Peru</v>
          </cell>
          <cell r="B8649">
            <v>604</v>
          </cell>
          <cell r="C8649">
            <v>203</v>
          </cell>
          <cell r="D8649">
            <v>22</v>
          </cell>
          <cell r="E8649" t="str">
            <v>Taxes on production and imports, less Subsidies</v>
          </cell>
          <cell r="F8649">
            <v>12</v>
          </cell>
          <cell r="G8649">
            <v>1985</v>
          </cell>
          <cell r="H8649">
            <v>10</v>
          </cell>
          <cell r="I8649">
            <v>15790</v>
          </cell>
        </row>
        <row r="8650">
          <cell r="A8650" t="str">
            <v>Peru</v>
          </cell>
          <cell r="B8650">
            <v>604</v>
          </cell>
          <cell r="C8650">
            <v>203</v>
          </cell>
          <cell r="D8650">
            <v>22</v>
          </cell>
          <cell r="E8650" t="str">
            <v>Taxes on production and imports, less Subsidies</v>
          </cell>
          <cell r="F8650">
            <v>12</v>
          </cell>
          <cell r="G8650">
            <v>1986</v>
          </cell>
          <cell r="H8650">
            <v>10</v>
          </cell>
          <cell r="I8650">
            <v>22590</v>
          </cell>
        </row>
        <row r="8651">
          <cell r="A8651" t="str">
            <v>Peru</v>
          </cell>
          <cell r="B8651">
            <v>604</v>
          </cell>
          <cell r="C8651">
            <v>203</v>
          </cell>
          <cell r="D8651">
            <v>22</v>
          </cell>
          <cell r="E8651" t="str">
            <v>Taxes on production and imports, less Subsidies</v>
          </cell>
          <cell r="F8651">
            <v>12</v>
          </cell>
          <cell r="G8651">
            <v>1989</v>
          </cell>
          <cell r="H8651">
            <v>10</v>
          </cell>
          <cell r="I8651">
            <v>5000000</v>
          </cell>
        </row>
        <row r="8652">
          <cell r="A8652" t="str">
            <v>Peru</v>
          </cell>
          <cell r="B8652">
            <v>604</v>
          </cell>
          <cell r="C8652">
            <v>203</v>
          </cell>
          <cell r="D8652">
            <v>22</v>
          </cell>
          <cell r="E8652" t="str">
            <v>Taxes on production and imports, less Subsidies</v>
          </cell>
          <cell r="F8652">
            <v>12</v>
          </cell>
          <cell r="G8652">
            <v>1990</v>
          </cell>
          <cell r="H8652">
            <v>10</v>
          </cell>
          <cell r="I8652">
            <v>492000000</v>
          </cell>
        </row>
        <row r="8653">
          <cell r="A8653" t="str">
            <v>Peru</v>
          </cell>
          <cell r="B8653">
            <v>604</v>
          </cell>
          <cell r="C8653">
            <v>203</v>
          </cell>
          <cell r="D8653">
            <v>22</v>
          </cell>
          <cell r="E8653" t="str">
            <v>Taxes on production and imports, less Subsidies</v>
          </cell>
          <cell r="F8653">
            <v>12</v>
          </cell>
          <cell r="G8653">
            <v>1991</v>
          </cell>
          <cell r="H8653">
            <v>10</v>
          </cell>
          <cell r="I8653">
            <v>2500000000</v>
          </cell>
        </row>
        <row r="8654">
          <cell r="A8654" t="str">
            <v>Peru</v>
          </cell>
          <cell r="B8654">
            <v>604</v>
          </cell>
          <cell r="C8654">
            <v>203</v>
          </cell>
          <cell r="D8654">
            <v>22</v>
          </cell>
          <cell r="E8654" t="str">
            <v>Taxes on production and imports, less Subsidies</v>
          </cell>
          <cell r="F8654">
            <v>12</v>
          </cell>
          <cell r="G8654">
            <v>1991</v>
          </cell>
          <cell r="H8654">
            <v>100</v>
          </cell>
          <cell r="I8654">
            <v>2645354000</v>
          </cell>
        </row>
        <row r="8655">
          <cell r="A8655" t="str">
            <v>Peru</v>
          </cell>
          <cell r="B8655">
            <v>604</v>
          </cell>
          <cell r="C8655">
            <v>203</v>
          </cell>
          <cell r="D8655">
            <v>22</v>
          </cell>
          <cell r="E8655" t="str">
            <v>Taxes on production and imports, less Subsidies</v>
          </cell>
          <cell r="F8655">
            <v>12</v>
          </cell>
          <cell r="G8655">
            <v>1992</v>
          </cell>
          <cell r="H8655">
            <v>100</v>
          </cell>
          <cell r="I8655">
            <v>4781000000</v>
          </cell>
        </row>
        <row r="8656">
          <cell r="A8656" t="str">
            <v>Peru</v>
          </cell>
          <cell r="B8656">
            <v>604</v>
          </cell>
          <cell r="C8656">
            <v>203</v>
          </cell>
          <cell r="D8656">
            <v>22</v>
          </cell>
          <cell r="E8656" t="str">
            <v>Taxes on production and imports, less Subsidies</v>
          </cell>
          <cell r="F8656">
            <v>12</v>
          </cell>
          <cell r="G8656">
            <v>1993</v>
          </cell>
          <cell r="H8656">
            <v>100</v>
          </cell>
          <cell r="I8656">
            <v>7164000000</v>
          </cell>
        </row>
        <row r="8657">
          <cell r="A8657" t="str">
            <v>Peru</v>
          </cell>
          <cell r="B8657">
            <v>604</v>
          </cell>
          <cell r="C8657">
            <v>203</v>
          </cell>
          <cell r="D8657">
            <v>22</v>
          </cell>
          <cell r="E8657" t="str">
            <v>Taxes on production and imports, less Subsidies</v>
          </cell>
          <cell r="F8657">
            <v>12</v>
          </cell>
          <cell r="G8657">
            <v>1994</v>
          </cell>
          <cell r="H8657">
            <v>100</v>
          </cell>
          <cell r="I8657">
            <v>1133000000</v>
          </cell>
        </row>
        <row r="8658">
          <cell r="A8658" t="str">
            <v>Peru</v>
          </cell>
          <cell r="B8658">
            <v>604</v>
          </cell>
          <cell r="C8658">
            <v>203</v>
          </cell>
          <cell r="D8658">
            <v>22</v>
          </cell>
          <cell r="E8658" t="str">
            <v>Taxes on production and imports, less Subsidies</v>
          </cell>
          <cell r="F8658">
            <v>12</v>
          </cell>
          <cell r="G8658">
            <v>1995</v>
          </cell>
          <cell r="H8658">
            <v>100</v>
          </cell>
          <cell r="I8658">
            <v>1351000000</v>
          </cell>
        </row>
        <row r="8659">
          <cell r="A8659" t="str">
            <v>Peru</v>
          </cell>
          <cell r="B8659">
            <v>604</v>
          </cell>
          <cell r="C8659">
            <v>203</v>
          </cell>
          <cell r="D8659">
            <v>22</v>
          </cell>
          <cell r="E8659" t="str">
            <v>Taxes on production and imports, less Subsidies</v>
          </cell>
          <cell r="F8659">
            <v>12</v>
          </cell>
          <cell r="G8659">
            <v>1996</v>
          </cell>
          <cell r="H8659">
            <v>100</v>
          </cell>
          <cell r="I8659">
            <v>1524000000</v>
          </cell>
        </row>
        <row r="8660">
          <cell r="A8660" t="str">
            <v>Peru</v>
          </cell>
          <cell r="B8660">
            <v>604</v>
          </cell>
          <cell r="C8660">
            <v>203</v>
          </cell>
          <cell r="D8660">
            <v>22</v>
          </cell>
          <cell r="E8660" t="str">
            <v>Taxes on production and imports, less Subsidies</v>
          </cell>
          <cell r="F8660">
            <v>12</v>
          </cell>
          <cell r="G8660">
            <v>1997</v>
          </cell>
          <cell r="H8660">
            <v>100</v>
          </cell>
          <cell r="I8660">
            <v>1499000000</v>
          </cell>
        </row>
        <row r="8661">
          <cell r="A8661" t="str">
            <v>Peru</v>
          </cell>
          <cell r="B8661">
            <v>604</v>
          </cell>
          <cell r="C8661">
            <v>203</v>
          </cell>
          <cell r="D8661">
            <v>22</v>
          </cell>
          <cell r="E8661" t="str">
            <v>Taxes on production and imports, less Subsidies</v>
          </cell>
          <cell r="F8661">
            <v>12</v>
          </cell>
          <cell r="G8661">
            <v>1998</v>
          </cell>
          <cell r="H8661">
            <v>100</v>
          </cell>
          <cell r="I8661">
            <v>1354000000</v>
          </cell>
        </row>
        <row r="8662">
          <cell r="A8662" t="str">
            <v>Peru</v>
          </cell>
          <cell r="B8662">
            <v>604</v>
          </cell>
          <cell r="C8662">
            <v>203</v>
          </cell>
          <cell r="D8662">
            <v>22</v>
          </cell>
          <cell r="E8662" t="str">
            <v>Taxes on production and imports, less Subsidies</v>
          </cell>
          <cell r="F8662">
            <v>12</v>
          </cell>
          <cell r="G8662">
            <v>1999</v>
          </cell>
          <cell r="H8662">
            <v>100</v>
          </cell>
          <cell r="I8662">
            <v>1273000000</v>
          </cell>
        </row>
        <row r="8663">
          <cell r="A8663" t="str">
            <v>Peru</v>
          </cell>
          <cell r="B8663">
            <v>604</v>
          </cell>
          <cell r="C8663">
            <v>203</v>
          </cell>
          <cell r="D8663">
            <v>22</v>
          </cell>
          <cell r="E8663" t="str">
            <v>Taxes on production and imports, less Subsidies</v>
          </cell>
          <cell r="F8663">
            <v>12</v>
          </cell>
          <cell r="G8663">
            <v>2000</v>
          </cell>
          <cell r="H8663">
            <v>100</v>
          </cell>
          <cell r="I8663">
            <v>1410000000</v>
          </cell>
        </row>
        <row r="8664">
          <cell r="A8664" t="str">
            <v>Peru</v>
          </cell>
          <cell r="B8664">
            <v>604</v>
          </cell>
          <cell r="C8664">
            <v>203</v>
          </cell>
          <cell r="D8664">
            <v>22</v>
          </cell>
          <cell r="E8664" t="str">
            <v>Taxes on production and imports, less Subsidies</v>
          </cell>
          <cell r="F8664">
            <v>12</v>
          </cell>
          <cell r="G8664">
            <v>2001</v>
          </cell>
          <cell r="H8664">
            <v>100</v>
          </cell>
          <cell r="I8664">
            <v>1217000000</v>
          </cell>
        </row>
        <row r="8665">
          <cell r="A8665" t="str">
            <v>Peru</v>
          </cell>
          <cell r="B8665">
            <v>604</v>
          </cell>
          <cell r="C8665">
            <v>203</v>
          </cell>
          <cell r="D8665">
            <v>22</v>
          </cell>
          <cell r="E8665" t="str">
            <v>Taxes on production and imports, less Subsidies</v>
          </cell>
          <cell r="F8665">
            <v>12</v>
          </cell>
          <cell r="G8665">
            <v>2002</v>
          </cell>
          <cell r="H8665">
            <v>100</v>
          </cell>
          <cell r="I8665">
            <v>723000000</v>
          </cell>
        </row>
        <row r="8666">
          <cell r="A8666" t="str">
            <v>Peru</v>
          </cell>
          <cell r="B8666">
            <v>604</v>
          </cell>
          <cell r="C8666">
            <v>203</v>
          </cell>
          <cell r="D8666">
            <v>22</v>
          </cell>
          <cell r="E8666" t="str">
            <v>Taxes on production and imports, less Subsidies</v>
          </cell>
          <cell r="F8666">
            <v>12</v>
          </cell>
          <cell r="G8666">
            <v>2003</v>
          </cell>
          <cell r="H8666">
            <v>100</v>
          </cell>
          <cell r="I8666">
            <v>791000000</v>
          </cell>
        </row>
        <row r="8667">
          <cell r="A8667" t="str">
            <v>Portugal</v>
          </cell>
          <cell r="B8667">
            <v>620</v>
          </cell>
          <cell r="C8667">
            <v>201</v>
          </cell>
          <cell r="D8667">
            <v>13</v>
          </cell>
          <cell r="E8667" t="str">
            <v>Less: Financial intermediation services indirectly measured (FISIM) (only to be deducted if FISIM is not distributed to uses)</v>
          </cell>
          <cell r="F8667">
            <v>0</v>
          </cell>
          <cell r="G8667">
            <v>1970</v>
          </cell>
          <cell r="H8667">
            <v>200</v>
          </cell>
          <cell r="I8667">
            <v>40844444.392591201</v>
          </cell>
        </row>
        <row r="8668">
          <cell r="A8668" t="str">
            <v>Portugal</v>
          </cell>
          <cell r="B8668">
            <v>620</v>
          </cell>
          <cell r="C8668">
            <v>201</v>
          </cell>
          <cell r="D8668">
            <v>13</v>
          </cell>
          <cell r="E8668" t="str">
            <v>Less: Financial intermediation services indirectly measured (FISIM) (only to be deducted if FISIM is not distributed to uses)</v>
          </cell>
          <cell r="F8668">
            <v>0</v>
          </cell>
          <cell r="G8668">
            <v>1971</v>
          </cell>
          <cell r="H8668">
            <v>200</v>
          </cell>
          <cell r="I8668">
            <v>45300997.065755904</v>
          </cell>
        </row>
        <row r="8669">
          <cell r="A8669" t="str">
            <v>Portugal</v>
          </cell>
          <cell r="B8669">
            <v>620</v>
          </cell>
          <cell r="C8669">
            <v>201</v>
          </cell>
          <cell r="D8669">
            <v>13</v>
          </cell>
          <cell r="E8669" t="str">
            <v>Less: Financial intermediation services indirectly measured (FISIM) (only to be deducted if FISIM is not distributed to uses)</v>
          </cell>
          <cell r="F8669">
            <v>0</v>
          </cell>
          <cell r="G8669">
            <v>1972</v>
          </cell>
          <cell r="H8669">
            <v>200</v>
          </cell>
          <cell r="I8669">
            <v>52874353.749412403</v>
          </cell>
        </row>
        <row r="8670">
          <cell r="A8670" t="str">
            <v>Portugal</v>
          </cell>
          <cell r="B8670">
            <v>620</v>
          </cell>
          <cell r="C8670">
            <v>201</v>
          </cell>
          <cell r="D8670">
            <v>13</v>
          </cell>
          <cell r="E8670" t="str">
            <v>Less: Financial intermediation services indirectly measured (FISIM) (only to be deducted if FISIM is not distributed to uses)</v>
          </cell>
          <cell r="F8670">
            <v>0</v>
          </cell>
          <cell r="G8670">
            <v>1973</v>
          </cell>
          <cell r="H8670">
            <v>200</v>
          </cell>
          <cell r="I8670">
            <v>64148915.195527598</v>
          </cell>
        </row>
        <row r="8671">
          <cell r="A8671" t="str">
            <v>Portugal</v>
          </cell>
          <cell r="B8671">
            <v>620</v>
          </cell>
          <cell r="C8671">
            <v>201</v>
          </cell>
          <cell r="D8671">
            <v>13</v>
          </cell>
          <cell r="E8671" t="str">
            <v>Less: Financial intermediation services indirectly measured (FISIM) (only to be deducted if FISIM is not distributed to uses)</v>
          </cell>
          <cell r="F8671">
            <v>0</v>
          </cell>
          <cell r="G8671">
            <v>1974</v>
          </cell>
          <cell r="H8671">
            <v>200</v>
          </cell>
          <cell r="I8671">
            <v>76103289.761278197</v>
          </cell>
        </row>
        <row r="8672">
          <cell r="A8672" t="str">
            <v>Portugal</v>
          </cell>
          <cell r="B8672">
            <v>620</v>
          </cell>
          <cell r="C8672">
            <v>201</v>
          </cell>
          <cell r="D8672">
            <v>13</v>
          </cell>
          <cell r="E8672" t="str">
            <v>Less: Financial intermediation services indirectly measured (FISIM) (only to be deducted if FISIM is not distributed to uses)</v>
          </cell>
          <cell r="F8672">
            <v>0</v>
          </cell>
          <cell r="G8672">
            <v>1975</v>
          </cell>
          <cell r="H8672">
            <v>200</v>
          </cell>
          <cell r="I8672">
            <v>86455531.653268397</v>
          </cell>
        </row>
        <row r="8673">
          <cell r="A8673" t="str">
            <v>Portugal</v>
          </cell>
          <cell r="B8673">
            <v>620</v>
          </cell>
          <cell r="C8673">
            <v>201</v>
          </cell>
          <cell r="D8673">
            <v>13</v>
          </cell>
          <cell r="E8673" t="str">
            <v>Less: Financial intermediation services indirectly measured (FISIM) (only to be deducted if FISIM is not distributed to uses)</v>
          </cell>
          <cell r="F8673">
            <v>0</v>
          </cell>
          <cell r="G8673">
            <v>1976</v>
          </cell>
          <cell r="H8673">
            <v>200</v>
          </cell>
          <cell r="I8673">
            <v>107374693.264502</v>
          </cell>
        </row>
        <row r="8674">
          <cell r="A8674" t="str">
            <v>Portugal</v>
          </cell>
          <cell r="B8674">
            <v>620</v>
          </cell>
          <cell r="C8674">
            <v>201</v>
          </cell>
          <cell r="D8674">
            <v>13</v>
          </cell>
          <cell r="E8674" t="str">
            <v>Less: Financial intermediation services indirectly measured (FISIM) (only to be deducted if FISIM is not distributed to uses)</v>
          </cell>
          <cell r="F8674">
            <v>0</v>
          </cell>
          <cell r="G8674">
            <v>1977</v>
          </cell>
          <cell r="H8674">
            <v>200</v>
          </cell>
          <cell r="I8674">
            <v>143325601.726215</v>
          </cell>
        </row>
        <row r="8675">
          <cell r="A8675" t="str">
            <v>Portugal</v>
          </cell>
          <cell r="B8675">
            <v>620</v>
          </cell>
          <cell r="C8675">
            <v>201</v>
          </cell>
          <cell r="D8675">
            <v>13</v>
          </cell>
          <cell r="E8675" t="str">
            <v>Less: Financial intermediation services indirectly measured (FISIM) (only to be deducted if FISIM is not distributed to uses)</v>
          </cell>
          <cell r="F8675">
            <v>0</v>
          </cell>
          <cell r="G8675">
            <v>1978</v>
          </cell>
          <cell r="H8675">
            <v>200</v>
          </cell>
          <cell r="I8675">
            <v>248177499.811021</v>
          </cell>
        </row>
        <row r="8676">
          <cell r="A8676" t="str">
            <v>Portugal</v>
          </cell>
          <cell r="B8676">
            <v>620</v>
          </cell>
          <cell r="C8676">
            <v>201</v>
          </cell>
          <cell r="D8676">
            <v>13</v>
          </cell>
          <cell r="E8676" t="str">
            <v>Less: Financial intermediation services indirectly measured (FISIM) (only to be deducted if FISIM is not distributed to uses)</v>
          </cell>
          <cell r="F8676">
            <v>0</v>
          </cell>
          <cell r="G8676">
            <v>1979</v>
          </cell>
          <cell r="H8676">
            <v>200</v>
          </cell>
          <cell r="I8676">
            <v>231627173.84803599</v>
          </cell>
        </row>
        <row r="8677">
          <cell r="A8677" t="str">
            <v>Portugal</v>
          </cell>
          <cell r="B8677">
            <v>620</v>
          </cell>
          <cell r="C8677">
            <v>201</v>
          </cell>
          <cell r="D8677">
            <v>13</v>
          </cell>
          <cell r="E8677" t="str">
            <v>Less: Financial intermediation services indirectly measured (FISIM) (only to be deducted if FISIM is not distributed to uses)</v>
          </cell>
          <cell r="F8677">
            <v>0</v>
          </cell>
          <cell r="G8677">
            <v>1980</v>
          </cell>
          <cell r="H8677">
            <v>200</v>
          </cell>
          <cell r="I8677">
            <v>307087594.59643799</v>
          </cell>
        </row>
        <row r="8678">
          <cell r="A8678" t="str">
            <v>Portugal</v>
          </cell>
          <cell r="B8678">
            <v>620</v>
          </cell>
          <cell r="C8678">
            <v>201</v>
          </cell>
          <cell r="D8678">
            <v>13</v>
          </cell>
          <cell r="E8678" t="str">
            <v>Less: Financial intermediation services indirectly measured (FISIM) (only to be deducted if FISIM is not distributed to uses)</v>
          </cell>
          <cell r="F8678">
            <v>0</v>
          </cell>
          <cell r="G8678">
            <v>1981</v>
          </cell>
          <cell r="H8678">
            <v>200</v>
          </cell>
          <cell r="I8678">
            <v>428893350.30598497</v>
          </cell>
        </row>
        <row r="8679">
          <cell r="A8679" t="str">
            <v>Portugal</v>
          </cell>
          <cell r="B8679">
            <v>620</v>
          </cell>
          <cell r="C8679">
            <v>201</v>
          </cell>
          <cell r="D8679">
            <v>13</v>
          </cell>
          <cell r="E8679" t="str">
            <v>Less: Financial intermediation services indirectly measured (FISIM) (only to be deducted if FISIM is not distributed to uses)</v>
          </cell>
          <cell r="F8679">
            <v>0</v>
          </cell>
          <cell r="G8679">
            <v>1982</v>
          </cell>
          <cell r="H8679">
            <v>200</v>
          </cell>
          <cell r="I8679">
            <v>593799604.18968105</v>
          </cell>
        </row>
        <row r="8680">
          <cell r="A8680" t="str">
            <v>Portugal</v>
          </cell>
          <cell r="B8680">
            <v>620</v>
          </cell>
          <cell r="C8680">
            <v>201</v>
          </cell>
          <cell r="D8680">
            <v>13</v>
          </cell>
          <cell r="E8680" t="str">
            <v>Less: Financial intermediation services indirectly measured (FISIM) (only to be deducted if FISIM is not distributed to uses)</v>
          </cell>
          <cell r="F8680">
            <v>0</v>
          </cell>
          <cell r="G8680">
            <v>1983</v>
          </cell>
          <cell r="H8680">
            <v>200</v>
          </cell>
          <cell r="I8680">
            <v>750541251.71154296</v>
          </cell>
        </row>
        <row r="8681">
          <cell r="A8681" t="str">
            <v>Portugal</v>
          </cell>
          <cell r="B8681">
            <v>620</v>
          </cell>
          <cell r="C8681">
            <v>201</v>
          </cell>
          <cell r="D8681">
            <v>13</v>
          </cell>
          <cell r="E8681" t="str">
            <v>Less: Financial intermediation services indirectly measured (FISIM) (only to be deducted if FISIM is not distributed to uses)</v>
          </cell>
          <cell r="F8681">
            <v>0</v>
          </cell>
          <cell r="G8681">
            <v>1984</v>
          </cell>
          <cell r="H8681">
            <v>200</v>
          </cell>
          <cell r="I8681">
            <v>772530963.36176205</v>
          </cell>
        </row>
        <row r="8682">
          <cell r="A8682" t="str">
            <v>Portugal</v>
          </cell>
          <cell r="B8682">
            <v>620</v>
          </cell>
          <cell r="C8682">
            <v>201</v>
          </cell>
          <cell r="D8682">
            <v>13</v>
          </cell>
          <cell r="E8682" t="str">
            <v>Less: Financial intermediation services indirectly measured (FISIM) (only to be deducted if FISIM is not distributed to uses)</v>
          </cell>
          <cell r="F8682">
            <v>0</v>
          </cell>
          <cell r="G8682">
            <v>1985</v>
          </cell>
          <cell r="H8682">
            <v>200</v>
          </cell>
          <cell r="I8682">
            <v>991626544.37142503</v>
          </cell>
        </row>
        <row r="8683">
          <cell r="A8683" t="str">
            <v>Portugal</v>
          </cell>
          <cell r="B8683">
            <v>620</v>
          </cell>
          <cell r="C8683">
            <v>201</v>
          </cell>
          <cell r="D8683">
            <v>13</v>
          </cell>
          <cell r="E8683" t="str">
            <v>Less: Financial intermediation services indirectly measured (FISIM) (only to be deducted if FISIM is not distributed to uses)</v>
          </cell>
          <cell r="F8683">
            <v>0</v>
          </cell>
          <cell r="G8683">
            <v>1986</v>
          </cell>
          <cell r="H8683">
            <v>200</v>
          </cell>
          <cell r="I8683">
            <v>1231528881.2009499</v>
          </cell>
        </row>
        <row r="8684">
          <cell r="A8684" t="str">
            <v>Portugal</v>
          </cell>
          <cell r="B8684">
            <v>620</v>
          </cell>
          <cell r="C8684">
            <v>201</v>
          </cell>
          <cell r="D8684">
            <v>13</v>
          </cell>
          <cell r="E8684" t="str">
            <v>Less: Financial intermediation services indirectly measured (FISIM) (only to be deducted if FISIM is not distributed to uses)</v>
          </cell>
          <cell r="F8684">
            <v>0</v>
          </cell>
          <cell r="G8684">
            <v>1987</v>
          </cell>
          <cell r="H8684">
            <v>200</v>
          </cell>
          <cell r="I8684">
            <v>1547745744.9162099</v>
          </cell>
        </row>
        <row r="8685">
          <cell r="A8685" t="str">
            <v>Portugal</v>
          </cell>
          <cell r="B8685">
            <v>620</v>
          </cell>
          <cell r="C8685">
            <v>201</v>
          </cell>
          <cell r="D8685">
            <v>13</v>
          </cell>
          <cell r="E8685" t="str">
            <v>Less: Financial intermediation services indirectly measured (FISIM) (only to be deducted if FISIM is not distributed to uses)</v>
          </cell>
          <cell r="F8685">
            <v>0</v>
          </cell>
          <cell r="G8685">
            <v>1988</v>
          </cell>
          <cell r="H8685">
            <v>200</v>
          </cell>
          <cell r="I8685">
            <v>1745009527</v>
          </cell>
        </row>
        <row r="8686">
          <cell r="A8686" t="str">
            <v>Portugal</v>
          </cell>
          <cell r="B8686">
            <v>620</v>
          </cell>
          <cell r="C8686">
            <v>201</v>
          </cell>
          <cell r="D8686">
            <v>13</v>
          </cell>
          <cell r="E8686" t="str">
            <v>Less: Financial intermediation services indirectly measured (FISIM) (only to be deducted if FISIM is not distributed to uses)</v>
          </cell>
          <cell r="F8686">
            <v>0</v>
          </cell>
          <cell r="G8686">
            <v>1989</v>
          </cell>
          <cell r="H8686">
            <v>200</v>
          </cell>
          <cell r="I8686">
            <v>2290749294</v>
          </cell>
        </row>
        <row r="8687">
          <cell r="A8687" t="str">
            <v>Portugal</v>
          </cell>
          <cell r="B8687">
            <v>620</v>
          </cell>
          <cell r="C8687">
            <v>201</v>
          </cell>
          <cell r="D8687">
            <v>13</v>
          </cell>
          <cell r="E8687" t="str">
            <v>Less: Financial intermediation services indirectly measured (FISIM) (only to be deducted if FISIM is not distributed to uses)</v>
          </cell>
          <cell r="F8687">
            <v>0</v>
          </cell>
          <cell r="G8687">
            <v>1990</v>
          </cell>
          <cell r="H8687">
            <v>200</v>
          </cell>
          <cell r="I8687">
            <v>2962724833</v>
          </cell>
        </row>
        <row r="8688">
          <cell r="A8688" t="str">
            <v>Portugal</v>
          </cell>
          <cell r="B8688">
            <v>620</v>
          </cell>
          <cell r="C8688">
            <v>201</v>
          </cell>
          <cell r="D8688">
            <v>13</v>
          </cell>
          <cell r="E8688" t="str">
            <v>Less: Financial intermediation services indirectly measured (FISIM) (only to be deducted if FISIM is not distributed to uses)</v>
          </cell>
          <cell r="F8688">
            <v>0</v>
          </cell>
          <cell r="G8688">
            <v>1991</v>
          </cell>
          <cell r="H8688">
            <v>200</v>
          </cell>
          <cell r="I8688">
            <v>3326044233</v>
          </cell>
        </row>
        <row r="8689">
          <cell r="A8689" t="str">
            <v>Portugal</v>
          </cell>
          <cell r="B8689">
            <v>620</v>
          </cell>
          <cell r="C8689">
            <v>201</v>
          </cell>
          <cell r="D8689">
            <v>13</v>
          </cell>
          <cell r="E8689" t="str">
            <v>Less: Financial intermediation services indirectly measured (FISIM) (only to be deducted if FISIM is not distributed to uses)</v>
          </cell>
          <cell r="F8689">
            <v>0</v>
          </cell>
          <cell r="G8689">
            <v>1992</v>
          </cell>
          <cell r="H8689">
            <v>200</v>
          </cell>
          <cell r="I8689">
            <v>3167785637</v>
          </cell>
        </row>
        <row r="8690">
          <cell r="A8690" t="str">
            <v>Portugal</v>
          </cell>
          <cell r="B8690">
            <v>620</v>
          </cell>
          <cell r="C8690">
            <v>201</v>
          </cell>
          <cell r="D8690">
            <v>13</v>
          </cell>
          <cell r="E8690" t="str">
            <v>Less: Financial intermediation services indirectly measured (FISIM) (only to be deducted if FISIM is not distributed to uses)</v>
          </cell>
          <cell r="F8690">
            <v>0</v>
          </cell>
          <cell r="G8690">
            <v>1993</v>
          </cell>
          <cell r="H8690">
            <v>200</v>
          </cell>
          <cell r="I8690">
            <v>3538397462</v>
          </cell>
        </row>
        <row r="8691">
          <cell r="A8691" t="str">
            <v>Portugal</v>
          </cell>
          <cell r="B8691">
            <v>620</v>
          </cell>
          <cell r="C8691">
            <v>201</v>
          </cell>
          <cell r="D8691">
            <v>13</v>
          </cell>
          <cell r="E8691" t="str">
            <v>Less: Financial intermediation services indirectly measured (FISIM) (only to be deducted if FISIM is not distributed to uses)</v>
          </cell>
          <cell r="F8691">
            <v>0</v>
          </cell>
          <cell r="G8691">
            <v>1994</v>
          </cell>
          <cell r="H8691">
            <v>200</v>
          </cell>
          <cell r="I8691">
            <v>3419578815</v>
          </cell>
        </row>
        <row r="8692">
          <cell r="A8692" t="str">
            <v>Portugal</v>
          </cell>
          <cell r="B8692">
            <v>620</v>
          </cell>
          <cell r="C8692">
            <v>201</v>
          </cell>
          <cell r="D8692">
            <v>13</v>
          </cell>
          <cell r="E8692" t="str">
            <v>Less: Financial intermediation services indirectly measured (FISIM) (only to be deducted if FISIM is not distributed to uses)</v>
          </cell>
          <cell r="F8692">
            <v>0</v>
          </cell>
          <cell r="G8692">
            <v>1995</v>
          </cell>
          <cell r="H8692">
            <v>200</v>
          </cell>
          <cell r="I8692">
            <v>3688156543</v>
          </cell>
        </row>
        <row r="8693">
          <cell r="A8693" t="str">
            <v>Portugal</v>
          </cell>
          <cell r="B8693">
            <v>620</v>
          </cell>
          <cell r="C8693">
            <v>201</v>
          </cell>
          <cell r="D8693">
            <v>13</v>
          </cell>
          <cell r="E8693" t="str">
            <v>Less: Financial intermediation services indirectly measured (FISIM) (only to be deducted if FISIM is not distributed to uses)</v>
          </cell>
          <cell r="F8693">
            <v>0</v>
          </cell>
          <cell r="G8693">
            <v>1996</v>
          </cell>
          <cell r="H8693">
            <v>200</v>
          </cell>
          <cell r="I8693">
            <v>3694880338</v>
          </cell>
        </row>
        <row r="8694">
          <cell r="A8694" t="str">
            <v>Portugal</v>
          </cell>
          <cell r="B8694">
            <v>620</v>
          </cell>
          <cell r="C8694">
            <v>201</v>
          </cell>
          <cell r="D8694">
            <v>13</v>
          </cell>
          <cell r="E8694" t="str">
            <v>Less: Financial intermediation services indirectly measured (FISIM) (only to be deducted if FISIM is not distributed to uses)</v>
          </cell>
          <cell r="F8694">
            <v>0</v>
          </cell>
          <cell r="G8694">
            <v>1997</v>
          </cell>
          <cell r="H8694">
            <v>200</v>
          </cell>
          <cell r="I8694">
            <v>4311549167</v>
          </cell>
        </row>
        <row r="8695">
          <cell r="A8695" t="str">
            <v>Portugal</v>
          </cell>
          <cell r="B8695">
            <v>620</v>
          </cell>
          <cell r="C8695">
            <v>201</v>
          </cell>
          <cell r="D8695">
            <v>13</v>
          </cell>
          <cell r="E8695" t="str">
            <v>Less: Financial intermediation services indirectly measured (FISIM) (only to be deducted if FISIM is not distributed to uses)</v>
          </cell>
          <cell r="F8695">
            <v>0</v>
          </cell>
          <cell r="G8695">
            <v>1998</v>
          </cell>
          <cell r="H8695">
            <v>200</v>
          </cell>
          <cell r="I8695">
            <v>4563072994</v>
          </cell>
        </row>
        <row r="8696">
          <cell r="A8696" t="str">
            <v>Portugal</v>
          </cell>
          <cell r="B8696">
            <v>620</v>
          </cell>
          <cell r="C8696">
            <v>201</v>
          </cell>
          <cell r="D8696">
            <v>13</v>
          </cell>
          <cell r="E8696" t="str">
            <v>Less: Financial intermediation services indirectly measured (FISIM) (only to be deducted if FISIM is not distributed to uses)</v>
          </cell>
          <cell r="F8696">
            <v>0</v>
          </cell>
          <cell r="G8696">
            <v>1999</v>
          </cell>
          <cell r="H8696">
            <v>200</v>
          </cell>
          <cell r="I8696">
            <v>4675926018</v>
          </cell>
        </row>
        <row r="8697">
          <cell r="A8697" t="str">
            <v>Portugal</v>
          </cell>
          <cell r="B8697">
            <v>620</v>
          </cell>
          <cell r="C8697">
            <v>201</v>
          </cell>
          <cell r="D8697">
            <v>13</v>
          </cell>
          <cell r="E8697" t="str">
            <v>Less: Financial intermediation services indirectly measured (FISIM) (only to be deducted if FISIM is not distributed to uses)</v>
          </cell>
          <cell r="F8697">
            <v>0</v>
          </cell>
          <cell r="G8697">
            <v>2000</v>
          </cell>
          <cell r="H8697">
            <v>200</v>
          </cell>
          <cell r="I8697">
            <v>5062100338</v>
          </cell>
        </row>
        <row r="8698">
          <cell r="A8698" t="str">
            <v>Portugal</v>
          </cell>
          <cell r="B8698">
            <v>620</v>
          </cell>
          <cell r="C8698">
            <v>201</v>
          </cell>
          <cell r="D8698">
            <v>13</v>
          </cell>
          <cell r="E8698" t="str">
            <v>Less: Financial intermediation services indirectly measured (FISIM) (only to be deducted if FISIM is not distributed to uses)</v>
          </cell>
          <cell r="F8698">
            <v>0</v>
          </cell>
          <cell r="G8698">
            <v>2001</v>
          </cell>
          <cell r="H8698">
            <v>200</v>
          </cell>
          <cell r="I8698">
            <v>5563182730</v>
          </cell>
        </row>
        <row r="8699">
          <cell r="A8699" t="str">
            <v>Portugal</v>
          </cell>
          <cell r="B8699">
            <v>620</v>
          </cell>
          <cell r="C8699">
            <v>201</v>
          </cell>
          <cell r="D8699">
            <v>13</v>
          </cell>
          <cell r="E8699" t="str">
            <v>Less: Financial intermediation services indirectly measured (FISIM) (only to be deducted if FISIM is not distributed to uses)</v>
          </cell>
          <cell r="F8699">
            <v>0</v>
          </cell>
          <cell r="G8699">
            <v>2002</v>
          </cell>
          <cell r="H8699">
            <v>200</v>
          </cell>
          <cell r="I8699">
            <v>5302500000</v>
          </cell>
        </row>
        <row r="8700">
          <cell r="A8700" t="str">
            <v>Norway</v>
          </cell>
          <cell r="B8700">
            <v>578</v>
          </cell>
          <cell r="C8700">
            <v>203</v>
          </cell>
          <cell r="D8700">
            <v>22</v>
          </cell>
          <cell r="E8700" t="str">
            <v>Taxes on production and imports, less Subsidies</v>
          </cell>
          <cell r="F8700">
            <v>12</v>
          </cell>
          <cell r="G8700">
            <v>1970</v>
          </cell>
          <cell r="H8700">
            <v>200</v>
          </cell>
          <cell r="I8700">
            <v>-420000000</v>
          </cell>
        </row>
        <row r="8701">
          <cell r="A8701" t="str">
            <v>Norway</v>
          </cell>
          <cell r="B8701">
            <v>578</v>
          </cell>
          <cell r="C8701">
            <v>203</v>
          </cell>
          <cell r="D8701">
            <v>22</v>
          </cell>
          <cell r="E8701" t="str">
            <v>Taxes on production and imports, less Subsidies</v>
          </cell>
          <cell r="F8701">
            <v>12</v>
          </cell>
          <cell r="G8701">
            <v>1971</v>
          </cell>
          <cell r="H8701">
            <v>200</v>
          </cell>
          <cell r="I8701">
            <v>-543000000</v>
          </cell>
        </row>
        <row r="8702">
          <cell r="A8702" t="str">
            <v>Norway</v>
          </cell>
          <cell r="B8702">
            <v>578</v>
          </cell>
          <cell r="C8702">
            <v>203</v>
          </cell>
          <cell r="D8702">
            <v>22</v>
          </cell>
          <cell r="E8702" t="str">
            <v>Taxes on production and imports, less Subsidies</v>
          </cell>
          <cell r="F8702">
            <v>12</v>
          </cell>
          <cell r="G8702">
            <v>1972</v>
          </cell>
          <cell r="H8702">
            <v>200</v>
          </cell>
          <cell r="I8702">
            <v>-508000000</v>
          </cell>
        </row>
        <row r="8703">
          <cell r="A8703" t="str">
            <v>Norway</v>
          </cell>
          <cell r="B8703">
            <v>578</v>
          </cell>
          <cell r="C8703">
            <v>203</v>
          </cell>
          <cell r="D8703">
            <v>22</v>
          </cell>
          <cell r="E8703" t="str">
            <v>Taxes on production and imports, less Subsidies</v>
          </cell>
          <cell r="F8703">
            <v>12</v>
          </cell>
          <cell r="G8703">
            <v>1973</v>
          </cell>
          <cell r="H8703">
            <v>200</v>
          </cell>
          <cell r="I8703">
            <v>-817000000</v>
          </cell>
        </row>
        <row r="8704">
          <cell r="A8704" t="str">
            <v>Norway</v>
          </cell>
          <cell r="B8704">
            <v>578</v>
          </cell>
          <cell r="C8704">
            <v>203</v>
          </cell>
          <cell r="D8704">
            <v>22</v>
          </cell>
          <cell r="E8704" t="str">
            <v>Taxes on production and imports, less Subsidies</v>
          </cell>
          <cell r="F8704">
            <v>12</v>
          </cell>
          <cell r="G8704">
            <v>1974</v>
          </cell>
          <cell r="H8704">
            <v>200</v>
          </cell>
          <cell r="I8704">
            <v>-1403000000</v>
          </cell>
        </row>
        <row r="8705">
          <cell r="A8705" t="str">
            <v>Norway</v>
          </cell>
          <cell r="B8705">
            <v>578</v>
          </cell>
          <cell r="C8705">
            <v>203</v>
          </cell>
          <cell r="D8705">
            <v>22</v>
          </cell>
          <cell r="E8705" t="str">
            <v>Taxes on production and imports, less Subsidies</v>
          </cell>
          <cell r="F8705">
            <v>12</v>
          </cell>
          <cell r="G8705">
            <v>1975</v>
          </cell>
          <cell r="H8705">
            <v>200</v>
          </cell>
          <cell r="I8705">
            <v>-1874000000</v>
          </cell>
        </row>
        <row r="8706">
          <cell r="A8706" t="str">
            <v>Norway</v>
          </cell>
          <cell r="B8706">
            <v>578</v>
          </cell>
          <cell r="C8706">
            <v>203</v>
          </cell>
          <cell r="D8706">
            <v>22</v>
          </cell>
          <cell r="E8706" t="str">
            <v>Taxes on production and imports, less Subsidies</v>
          </cell>
          <cell r="F8706">
            <v>12</v>
          </cell>
          <cell r="G8706">
            <v>1976</v>
          </cell>
          <cell r="H8706">
            <v>200</v>
          </cell>
          <cell r="I8706">
            <v>-2288000000</v>
          </cell>
        </row>
        <row r="8707">
          <cell r="A8707" t="str">
            <v>Norway</v>
          </cell>
          <cell r="B8707">
            <v>578</v>
          </cell>
          <cell r="C8707">
            <v>203</v>
          </cell>
          <cell r="D8707">
            <v>22</v>
          </cell>
          <cell r="E8707" t="str">
            <v>Taxes on production and imports, less Subsidies</v>
          </cell>
          <cell r="F8707">
            <v>12</v>
          </cell>
          <cell r="G8707">
            <v>1977</v>
          </cell>
          <cell r="H8707">
            <v>200</v>
          </cell>
          <cell r="I8707">
            <v>-3368000000</v>
          </cell>
        </row>
        <row r="8708">
          <cell r="A8708" t="str">
            <v>Norway</v>
          </cell>
          <cell r="B8708">
            <v>578</v>
          </cell>
          <cell r="C8708">
            <v>203</v>
          </cell>
          <cell r="D8708">
            <v>22</v>
          </cell>
          <cell r="E8708" t="str">
            <v>Taxes on production and imports, less Subsidies</v>
          </cell>
          <cell r="F8708">
            <v>12</v>
          </cell>
          <cell r="G8708">
            <v>1978</v>
          </cell>
          <cell r="H8708">
            <v>200</v>
          </cell>
          <cell r="I8708">
            <v>-4104000000</v>
          </cell>
        </row>
        <row r="8709">
          <cell r="A8709" t="str">
            <v>Norway</v>
          </cell>
          <cell r="B8709">
            <v>578</v>
          </cell>
          <cell r="C8709">
            <v>203</v>
          </cell>
          <cell r="D8709">
            <v>22</v>
          </cell>
          <cell r="E8709" t="str">
            <v>Taxes on production and imports, less Subsidies</v>
          </cell>
          <cell r="F8709">
            <v>12</v>
          </cell>
          <cell r="G8709">
            <v>1979</v>
          </cell>
          <cell r="H8709">
            <v>200</v>
          </cell>
          <cell r="I8709">
            <v>-3905000000</v>
          </cell>
        </row>
        <row r="8710">
          <cell r="A8710" t="str">
            <v>Norway</v>
          </cell>
          <cell r="B8710">
            <v>578</v>
          </cell>
          <cell r="C8710">
            <v>203</v>
          </cell>
          <cell r="D8710">
            <v>22</v>
          </cell>
          <cell r="E8710" t="str">
            <v>Taxes on production and imports, less Subsidies</v>
          </cell>
          <cell r="F8710">
            <v>12</v>
          </cell>
          <cell r="G8710">
            <v>1980</v>
          </cell>
          <cell r="H8710">
            <v>200</v>
          </cell>
          <cell r="I8710">
            <v>-3198000000</v>
          </cell>
        </row>
        <row r="8711">
          <cell r="A8711" t="str">
            <v>Norway</v>
          </cell>
          <cell r="B8711">
            <v>578</v>
          </cell>
          <cell r="C8711">
            <v>203</v>
          </cell>
          <cell r="D8711">
            <v>22</v>
          </cell>
          <cell r="E8711" t="str">
            <v>Taxes on production and imports, less Subsidies</v>
          </cell>
          <cell r="F8711">
            <v>12</v>
          </cell>
          <cell r="G8711">
            <v>1981</v>
          </cell>
          <cell r="H8711">
            <v>200</v>
          </cell>
          <cell r="I8711">
            <v>-2799000000</v>
          </cell>
        </row>
        <row r="8712">
          <cell r="A8712" t="str">
            <v>Norway</v>
          </cell>
          <cell r="B8712">
            <v>578</v>
          </cell>
          <cell r="C8712">
            <v>203</v>
          </cell>
          <cell r="D8712">
            <v>22</v>
          </cell>
          <cell r="E8712" t="str">
            <v>Taxes on production and imports, less Subsidies</v>
          </cell>
          <cell r="F8712">
            <v>12</v>
          </cell>
          <cell r="G8712">
            <v>1982</v>
          </cell>
          <cell r="H8712">
            <v>200</v>
          </cell>
          <cell r="I8712">
            <v>-4375000000</v>
          </cell>
        </row>
        <row r="8713">
          <cell r="A8713" t="str">
            <v>Norway</v>
          </cell>
          <cell r="B8713">
            <v>578</v>
          </cell>
          <cell r="C8713">
            <v>203</v>
          </cell>
          <cell r="D8713">
            <v>22</v>
          </cell>
          <cell r="E8713" t="str">
            <v>Taxes on production and imports, less Subsidies</v>
          </cell>
          <cell r="F8713">
            <v>12</v>
          </cell>
          <cell r="G8713">
            <v>1983</v>
          </cell>
          <cell r="H8713">
            <v>200</v>
          </cell>
          <cell r="I8713">
            <v>-1700000000</v>
          </cell>
        </row>
        <row r="8714">
          <cell r="A8714" t="str">
            <v>Norway</v>
          </cell>
          <cell r="B8714">
            <v>578</v>
          </cell>
          <cell r="C8714">
            <v>203</v>
          </cell>
          <cell r="D8714">
            <v>22</v>
          </cell>
          <cell r="E8714" t="str">
            <v>Taxes on production and imports, less Subsidies</v>
          </cell>
          <cell r="F8714">
            <v>12</v>
          </cell>
          <cell r="G8714">
            <v>1984</v>
          </cell>
          <cell r="H8714">
            <v>200</v>
          </cell>
          <cell r="I8714">
            <v>-146000000</v>
          </cell>
        </row>
        <row r="8715">
          <cell r="A8715" t="str">
            <v>Norway</v>
          </cell>
          <cell r="B8715">
            <v>578</v>
          </cell>
          <cell r="C8715">
            <v>203</v>
          </cell>
          <cell r="D8715">
            <v>22</v>
          </cell>
          <cell r="E8715" t="str">
            <v>Taxes on production and imports, less Subsidies</v>
          </cell>
          <cell r="F8715">
            <v>12</v>
          </cell>
          <cell r="G8715">
            <v>1985</v>
          </cell>
          <cell r="H8715">
            <v>200</v>
          </cell>
          <cell r="I8715">
            <v>1443000000</v>
          </cell>
        </row>
        <row r="8716">
          <cell r="A8716" t="str">
            <v>Norway</v>
          </cell>
          <cell r="B8716">
            <v>578</v>
          </cell>
          <cell r="C8716">
            <v>203</v>
          </cell>
          <cell r="D8716">
            <v>22</v>
          </cell>
          <cell r="E8716" t="str">
            <v>Taxes on production and imports, less Subsidies</v>
          </cell>
          <cell r="F8716">
            <v>12</v>
          </cell>
          <cell r="G8716">
            <v>1986</v>
          </cell>
          <cell r="H8716">
            <v>200</v>
          </cell>
          <cell r="I8716">
            <v>-2713000000</v>
          </cell>
        </row>
        <row r="8717">
          <cell r="A8717" t="str">
            <v>Norway</v>
          </cell>
          <cell r="B8717">
            <v>578</v>
          </cell>
          <cell r="C8717">
            <v>203</v>
          </cell>
          <cell r="D8717">
            <v>22</v>
          </cell>
          <cell r="E8717" t="str">
            <v>Taxes on production and imports, less Subsidies</v>
          </cell>
          <cell r="F8717">
            <v>12</v>
          </cell>
          <cell r="G8717">
            <v>1987</v>
          </cell>
          <cell r="H8717">
            <v>200</v>
          </cell>
          <cell r="I8717">
            <v>-2835000000</v>
          </cell>
        </row>
        <row r="8718">
          <cell r="A8718" t="str">
            <v>Norway</v>
          </cell>
          <cell r="B8718">
            <v>578</v>
          </cell>
          <cell r="C8718">
            <v>203</v>
          </cell>
          <cell r="D8718">
            <v>22</v>
          </cell>
          <cell r="E8718" t="str">
            <v>Taxes on production and imports, less Subsidies</v>
          </cell>
          <cell r="F8718">
            <v>12</v>
          </cell>
          <cell r="G8718">
            <v>1988</v>
          </cell>
          <cell r="H8718">
            <v>200</v>
          </cell>
          <cell r="I8718">
            <v>-6078000000</v>
          </cell>
        </row>
        <row r="8719">
          <cell r="A8719" t="str">
            <v>Norway</v>
          </cell>
          <cell r="B8719">
            <v>578</v>
          </cell>
          <cell r="C8719">
            <v>203</v>
          </cell>
          <cell r="D8719">
            <v>22</v>
          </cell>
          <cell r="E8719" t="str">
            <v>Taxes on production and imports, less Subsidies</v>
          </cell>
          <cell r="F8719">
            <v>12</v>
          </cell>
          <cell r="G8719">
            <v>1989</v>
          </cell>
          <cell r="H8719">
            <v>200</v>
          </cell>
          <cell r="I8719">
            <v>-5643000000</v>
          </cell>
        </row>
        <row r="8720">
          <cell r="A8720" t="str">
            <v>Norway</v>
          </cell>
          <cell r="B8720">
            <v>578</v>
          </cell>
          <cell r="C8720">
            <v>203</v>
          </cell>
          <cell r="D8720">
            <v>22</v>
          </cell>
          <cell r="E8720" t="str">
            <v>Taxes on production and imports, less Subsidies</v>
          </cell>
          <cell r="F8720">
            <v>12</v>
          </cell>
          <cell r="G8720">
            <v>1990</v>
          </cell>
          <cell r="H8720">
            <v>200</v>
          </cell>
          <cell r="I8720">
            <v>-7219000000</v>
          </cell>
        </row>
        <row r="8721">
          <cell r="A8721" t="str">
            <v>Norway</v>
          </cell>
          <cell r="B8721">
            <v>578</v>
          </cell>
          <cell r="C8721">
            <v>203</v>
          </cell>
          <cell r="D8721">
            <v>22</v>
          </cell>
          <cell r="E8721" t="str">
            <v>Taxes on production and imports, less Subsidies</v>
          </cell>
          <cell r="F8721">
            <v>12</v>
          </cell>
          <cell r="G8721">
            <v>1991</v>
          </cell>
          <cell r="H8721">
            <v>200</v>
          </cell>
          <cell r="I8721">
            <v>-8512000000</v>
          </cell>
        </row>
        <row r="8722">
          <cell r="A8722" t="str">
            <v>Norway</v>
          </cell>
          <cell r="B8722">
            <v>578</v>
          </cell>
          <cell r="C8722">
            <v>203</v>
          </cell>
          <cell r="D8722">
            <v>22</v>
          </cell>
          <cell r="E8722" t="str">
            <v>Taxes on production and imports, less Subsidies</v>
          </cell>
          <cell r="F8722">
            <v>12</v>
          </cell>
          <cell r="G8722">
            <v>1992</v>
          </cell>
          <cell r="H8722">
            <v>200</v>
          </cell>
          <cell r="I8722">
            <v>-8957000000</v>
          </cell>
        </row>
        <row r="8723">
          <cell r="A8723" t="str">
            <v>Norway</v>
          </cell>
          <cell r="B8723">
            <v>578</v>
          </cell>
          <cell r="C8723">
            <v>203</v>
          </cell>
          <cell r="D8723">
            <v>22</v>
          </cell>
          <cell r="E8723" t="str">
            <v>Taxes on production and imports, less Subsidies</v>
          </cell>
          <cell r="F8723">
            <v>12</v>
          </cell>
          <cell r="G8723">
            <v>1993</v>
          </cell>
          <cell r="H8723">
            <v>200</v>
          </cell>
          <cell r="I8723">
            <v>-9341000000</v>
          </cell>
        </row>
        <row r="8724">
          <cell r="A8724" t="str">
            <v>Norway</v>
          </cell>
          <cell r="B8724">
            <v>578</v>
          </cell>
          <cell r="C8724">
            <v>203</v>
          </cell>
          <cell r="D8724">
            <v>22</v>
          </cell>
          <cell r="E8724" t="str">
            <v>Taxes on production and imports, less Subsidies</v>
          </cell>
          <cell r="F8724">
            <v>12</v>
          </cell>
          <cell r="G8724">
            <v>1994</v>
          </cell>
          <cell r="H8724">
            <v>200</v>
          </cell>
          <cell r="I8724">
            <v>-12580000000</v>
          </cell>
        </row>
        <row r="8725">
          <cell r="A8725" t="str">
            <v>Norway</v>
          </cell>
          <cell r="B8725">
            <v>578</v>
          </cell>
          <cell r="C8725">
            <v>203</v>
          </cell>
          <cell r="D8725">
            <v>22</v>
          </cell>
          <cell r="E8725" t="str">
            <v>Taxes on production and imports, less Subsidies</v>
          </cell>
          <cell r="F8725">
            <v>12</v>
          </cell>
          <cell r="G8725">
            <v>1995</v>
          </cell>
          <cell r="H8725">
            <v>200</v>
          </cell>
          <cell r="I8725">
            <v>-11311000000</v>
          </cell>
        </row>
        <row r="8726">
          <cell r="A8726" t="str">
            <v>Norway</v>
          </cell>
          <cell r="B8726">
            <v>578</v>
          </cell>
          <cell r="C8726">
            <v>203</v>
          </cell>
          <cell r="D8726">
            <v>22</v>
          </cell>
          <cell r="E8726" t="str">
            <v>Taxes on production and imports, less Subsidies</v>
          </cell>
          <cell r="F8726">
            <v>12</v>
          </cell>
          <cell r="G8726">
            <v>1996</v>
          </cell>
          <cell r="H8726">
            <v>200</v>
          </cell>
          <cell r="I8726">
            <v>-10314000000</v>
          </cell>
        </row>
        <row r="8727">
          <cell r="A8727" t="str">
            <v>Norway</v>
          </cell>
          <cell r="B8727">
            <v>578</v>
          </cell>
          <cell r="C8727">
            <v>203</v>
          </cell>
          <cell r="D8727">
            <v>22</v>
          </cell>
          <cell r="E8727" t="str">
            <v>Taxes on production and imports, less Subsidies</v>
          </cell>
          <cell r="F8727">
            <v>12</v>
          </cell>
          <cell r="G8727">
            <v>1997</v>
          </cell>
          <cell r="H8727">
            <v>200</v>
          </cell>
          <cell r="I8727">
            <v>-7713000000</v>
          </cell>
        </row>
        <row r="8728">
          <cell r="A8728" t="str">
            <v>Norway</v>
          </cell>
          <cell r="B8728">
            <v>578</v>
          </cell>
          <cell r="C8728">
            <v>203</v>
          </cell>
          <cell r="D8728">
            <v>22</v>
          </cell>
          <cell r="E8728" t="str">
            <v>Taxes on production and imports, less Subsidies</v>
          </cell>
          <cell r="F8728">
            <v>12</v>
          </cell>
          <cell r="G8728">
            <v>1998</v>
          </cell>
          <cell r="H8728">
            <v>200</v>
          </cell>
          <cell r="I8728">
            <v>-9649000000</v>
          </cell>
        </row>
        <row r="8729">
          <cell r="A8729" t="str">
            <v>Norway</v>
          </cell>
          <cell r="B8729">
            <v>578</v>
          </cell>
          <cell r="C8729">
            <v>203</v>
          </cell>
          <cell r="D8729">
            <v>22</v>
          </cell>
          <cell r="E8729" t="str">
            <v>Taxes on production and imports, less Subsidies</v>
          </cell>
          <cell r="F8729">
            <v>12</v>
          </cell>
          <cell r="G8729">
            <v>1999</v>
          </cell>
          <cell r="H8729">
            <v>200</v>
          </cell>
          <cell r="I8729">
            <v>-9225000000</v>
          </cell>
        </row>
        <row r="8730">
          <cell r="A8730" t="str">
            <v>Norway</v>
          </cell>
          <cell r="B8730">
            <v>578</v>
          </cell>
          <cell r="C8730">
            <v>203</v>
          </cell>
          <cell r="D8730">
            <v>22</v>
          </cell>
          <cell r="E8730" t="str">
            <v>Taxes on production and imports, less Subsidies</v>
          </cell>
          <cell r="F8730">
            <v>12</v>
          </cell>
          <cell r="G8730">
            <v>2000</v>
          </cell>
          <cell r="H8730">
            <v>200</v>
          </cell>
          <cell r="I8730">
            <v>-8109000000</v>
          </cell>
        </row>
        <row r="8731">
          <cell r="A8731" t="str">
            <v>Norway</v>
          </cell>
          <cell r="B8731">
            <v>578</v>
          </cell>
          <cell r="C8731">
            <v>203</v>
          </cell>
          <cell r="D8731">
            <v>22</v>
          </cell>
          <cell r="E8731" t="str">
            <v>Taxes on production and imports, less Subsidies</v>
          </cell>
          <cell r="F8731">
            <v>12</v>
          </cell>
          <cell r="G8731">
            <v>2001</v>
          </cell>
          <cell r="H8731">
            <v>200</v>
          </cell>
          <cell r="I8731">
            <v>-10442000000</v>
          </cell>
        </row>
        <row r="8732">
          <cell r="A8732" t="str">
            <v>Palau</v>
          </cell>
          <cell r="B8732">
            <v>585</v>
          </cell>
          <cell r="C8732">
            <v>201</v>
          </cell>
          <cell r="D8732">
            <v>13</v>
          </cell>
          <cell r="E8732" t="str">
            <v>Less: Financial intermediation services indirectly measured (FISIM) (only to be deducted if FISIM is not distributed to uses)</v>
          </cell>
          <cell r="F8732">
            <v>0</v>
          </cell>
          <cell r="G8732">
            <v>1996</v>
          </cell>
          <cell r="H8732">
            <v>100</v>
          </cell>
          <cell r="I8732">
            <v>2100000</v>
          </cell>
        </row>
        <row r="8733">
          <cell r="A8733" t="str">
            <v>Palau</v>
          </cell>
          <cell r="B8733">
            <v>585</v>
          </cell>
          <cell r="C8733">
            <v>201</v>
          </cell>
          <cell r="D8733">
            <v>13</v>
          </cell>
          <cell r="E8733" t="str">
            <v>Less: Financial intermediation services indirectly measured (FISIM) (only to be deducted if FISIM is not distributed to uses)</v>
          </cell>
          <cell r="F8733">
            <v>0</v>
          </cell>
          <cell r="G8733">
            <v>1997</v>
          </cell>
          <cell r="H8733">
            <v>100</v>
          </cell>
          <cell r="I8733">
            <v>2101000</v>
          </cell>
        </row>
        <row r="8734">
          <cell r="A8734" t="str">
            <v>Palau</v>
          </cell>
          <cell r="B8734">
            <v>585</v>
          </cell>
          <cell r="C8734">
            <v>201</v>
          </cell>
          <cell r="D8734">
            <v>13</v>
          </cell>
          <cell r="E8734" t="str">
            <v>Less: Financial intermediation services indirectly measured (FISIM) (only to be deducted if FISIM is not distributed to uses)</v>
          </cell>
          <cell r="F8734">
            <v>0</v>
          </cell>
          <cell r="G8734">
            <v>1998</v>
          </cell>
          <cell r="H8734">
            <v>100</v>
          </cell>
          <cell r="I8734">
            <v>2640000</v>
          </cell>
        </row>
        <row r="8735">
          <cell r="A8735" t="str">
            <v>Palau</v>
          </cell>
          <cell r="B8735">
            <v>585</v>
          </cell>
          <cell r="C8735">
            <v>201</v>
          </cell>
          <cell r="D8735">
            <v>13</v>
          </cell>
          <cell r="E8735" t="str">
            <v>Less: Financial intermediation services indirectly measured (FISIM) (only to be deducted if FISIM is not distributed to uses)</v>
          </cell>
          <cell r="F8735">
            <v>0</v>
          </cell>
          <cell r="G8735">
            <v>1999</v>
          </cell>
          <cell r="H8735">
            <v>100</v>
          </cell>
          <cell r="I8735">
            <v>2384000</v>
          </cell>
        </row>
        <row r="8736">
          <cell r="A8736" t="str">
            <v>Palau</v>
          </cell>
          <cell r="B8736">
            <v>585</v>
          </cell>
          <cell r="C8736">
            <v>201</v>
          </cell>
          <cell r="D8736">
            <v>13</v>
          </cell>
          <cell r="E8736" t="str">
            <v>Less: Financial intermediation services indirectly measured (FISIM) (only to be deducted if FISIM is not distributed to uses)</v>
          </cell>
          <cell r="F8736">
            <v>0</v>
          </cell>
          <cell r="G8736">
            <v>2000</v>
          </cell>
          <cell r="H8736">
            <v>100</v>
          </cell>
          <cell r="I8736">
            <v>1250000</v>
          </cell>
        </row>
        <row r="8737">
          <cell r="A8737" t="str">
            <v>Palau</v>
          </cell>
          <cell r="B8737">
            <v>585</v>
          </cell>
          <cell r="C8737">
            <v>201</v>
          </cell>
          <cell r="D8737">
            <v>13</v>
          </cell>
          <cell r="E8737" t="str">
            <v>Less: Financial intermediation services indirectly measured (FISIM) (only to be deducted if FISIM is not distributed to uses)</v>
          </cell>
          <cell r="F8737">
            <v>0</v>
          </cell>
          <cell r="G8737">
            <v>2001</v>
          </cell>
          <cell r="H8737">
            <v>100</v>
          </cell>
          <cell r="I8737">
            <v>1250000</v>
          </cell>
        </row>
        <row r="8738">
          <cell r="A8738" t="str">
            <v>Papua New Guinea</v>
          </cell>
          <cell r="B8738">
            <v>598</v>
          </cell>
          <cell r="C8738">
            <v>201</v>
          </cell>
          <cell r="D8738">
            <v>13</v>
          </cell>
          <cell r="E8738" t="str">
            <v>Less: Financial intermediation services indirectly measured (FISIM) (only to be deducted if FISIM is not distributed to uses)</v>
          </cell>
          <cell r="F8738">
            <v>0</v>
          </cell>
          <cell r="G8738">
            <v>1970</v>
          </cell>
          <cell r="H8738">
            <v>10</v>
          </cell>
          <cell r="I8738">
            <v>4700000</v>
          </cell>
        </row>
        <row r="8739">
          <cell r="A8739" t="str">
            <v>Papua New Guinea</v>
          </cell>
          <cell r="B8739">
            <v>598</v>
          </cell>
          <cell r="C8739">
            <v>201</v>
          </cell>
          <cell r="D8739">
            <v>13</v>
          </cell>
          <cell r="E8739" t="str">
            <v>Less: Financial intermediation services indirectly measured (FISIM) (only to be deducted if FISIM is not distributed to uses)</v>
          </cell>
          <cell r="F8739">
            <v>0</v>
          </cell>
          <cell r="G8739">
            <v>1971</v>
          </cell>
          <cell r="H8739">
            <v>10</v>
          </cell>
          <cell r="I8739">
            <v>5400000</v>
          </cell>
        </row>
        <row r="8740">
          <cell r="A8740" t="str">
            <v>Papua New Guinea</v>
          </cell>
          <cell r="B8740">
            <v>598</v>
          </cell>
          <cell r="C8740">
            <v>201</v>
          </cell>
          <cell r="D8740">
            <v>13</v>
          </cell>
          <cell r="E8740" t="str">
            <v>Less: Financial intermediation services indirectly measured (FISIM) (only to be deducted if FISIM is not distributed to uses)</v>
          </cell>
          <cell r="F8740">
            <v>0</v>
          </cell>
          <cell r="G8740">
            <v>1972</v>
          </cell>
          <cell r="H8740">
            <v>10</v>
          </cell>
          <cell r="I8740">
            <v>6500000</v>
          </cell>
        </row>
        <row r="8741">
          <cell r="A8741" t="str">
            <v>Papua New Guinea</v>
          </cell>
          <cell r="B8741">
            <v>598</v>
          </cell>
          <cell r="C8741">
            <v>201</v>
          </cell>
          <cell r="D8741">
            <v>13</v>
          </cell>
          <cell r="E8741" t="str">
            <v>Less: Financial intermediation services indirectly measured (FISIM) (only to be deducted if FISIM is not distributed to uses)</v>
          </cell>
          <cell r="F8741">
            <v>0</v>
          </cell>
          <cell r="G8741">
            <v>1973</v>
          </cell>
          <cell r="H8741">
            <v>10</v>
          </cell>
          <cell r="I8741">
            <v>3900000</v>
          </cell>
        </row>
        <row r="8742">
          <cell r="A8742" t="str">
            <v>Papua New Guinea</v>
          </cell>
          <cell r="B8742">
            <v>598</v>
          </cell>
          <cell r="C8742">
            <v>201</v>
          </cell>
          <cell r="D8742">
            <v>13</v>
          </cell>
          <cell r="E8742" t="str">
            <v>Less: Financial intermediation services indirectly measured (FISIM) (only to be deducted if FISIM is not distributed to uses)</v>
          </cell>
          <cell r="F8742">
            <v>0</v>
          </cell>
          <cell r="G8742">
            <v>1974</v>
          </cell>
          <cell r="H8742">
            <v>10</v>
          </cell>
          <cell r="I8742">
            <v>4900000</v>
          </cell>
        </row>
        <row r="8743">
          <cell r="A8743" t="str">
            <v>Papua New Guinea</v>
          </cell>
          <cell r="B8743">
            <v>598</v>
          </cell>
          <cell r="C8743">
            <v>201</v>
          </cell>
          <cell r="D8743">
            <v>13</v>
          </cell>
          <cell r="E8743" t="str">
            <v>Less: Financial intermediation services indirectly measured (FISIM) (only to be deducted if FISIM is not distributed to uses)</v>
          </cell>
          <cell r="F8743">
            <v>0</v>
          </cell>
          <cell r="G8743">
            <v>1975</v>
          </cell>
          <cell r="H8743">
            <v>10</v>
          </cell>
          <cell r="I8743">
            <v>11200000</v>
          </cell>
        </row>
        <row r="8744">
          <cell r="A8744" t="str">
            <v>Papua New Guinea</v>
          </cell>
          <cell r="B8744">
            <v>598</v>
          </cell>
          <cell r="C8744">
            <v>201</v>
          </cell>
          <cell r="D8744">
            <v>13</v>
          </cell>
          <cell r="E8744" t="str">
            <v>Less: Financial intermediation services indirectly measured (FISIM) (only to be deducted if FISIM is not distributed to uses)</v>
          </cell>
          <cell r="F8744">
            <v>0</v>
          </cell>
          <cell r="G8744">
            <v>1976</v>
          </cell>
          <cell r="H8744">
            <v>10</v>
          </cell>
          <cell r="I8744">
            <v>12600000</v>
          </cell>
        </row>
        <row r="8745">
          <cell r="A8745" t="str">
            <v>Papua New Guinea</v>
          </cell>
          <cell r="B8745">
            <v>598</v>
          </cell>
          <cell r="C8745">
            <v>201</v>
          </cell>
          <cell r="D8745">
            <v>13</v>
          </cell>
          <cell r="E8745" t="str">
            <v>Less: Financial intermediation services indirectly measured (FISIM) (only to be deducted if FISIM is not distributed to uses)</v>
          </cell>
          <cell r="F8745">
            <v>0</v>
          </cell>
          <cell r="G8745">
            <v>1978</v>
          </cell>
          <cell r="H8745">
            <v>20</v>
          </cell>
          <cell r="I8745">
            <v>25400000</v>
          </cell>
        </row>
        <row r="8746">
          <cell r="A8746" t="str">
            <v>Papua New Guinea</v>
          </cell>
          <cell r="B8746">
            <v>598</v>
          </cell>
          <cell r="C8746">
            <v>201</v>
          </cell>
          <cell r="D8746">
            <v>13</v>
          </cell>
          <cell r="E8746" t="str">
            <v>Less: Financial intermediation services indirectly measured (FISIM) (only to be deducted if FISIM is not distributed to uses)</v>
          </cell>
          <cell r="F8746">
            <v>0</v>
          </cell>
          <cell r="G8746">
            <v>1979</v>
          </cell>
          <cell r="H8746">
            <v>20</v>
          </cell>
          <cell r="I8746">
            <v>34400000</v>
          </cell>
        </row>
        <row r="8747">
          <cell r="A8747" t="str">
            <v>Papua New Guinea</v>
          </cell>
          <cell r="B8747">
            <v>598</v>
          </cell>
          <cell r="C8747">
            <v>201</v>
          </cell>
          <cell r="D8747">
            <v>13</v>
          </cell>
          <cell r="E8747" t="str">
            <v>Less: Financial intermediation services indirectly measured (FISIM) (only to be deducted if FISIM is not distributed to uses)</v>
          </cell>
          <cell r="F8747">
            <v>0</v>
          </cell>
          <cell r="G8747">
            <v>1980</v>
          </cell>
          <cell r="H8747">
            <v>20</v>
          </cell>
          <cell r="I8747">
            <v>41300000</v>
          </cell>
        </row>
        <row r="8748">
          <cell r="A8748" t="str">
            <v>Papua New Guinea</v>
          </cell>
          <cell r="B8748">
            <v>598</v>
          </cell>
          <cell r="C8748">
            <v>201</v>
          </cell>
          <cell r="D8748">
            <v>13</v>
          </cell>
          <cell r="E8748" t="str">
            <v>Less: Financial intermediation services indirectly measured (FISIM) (only to be deducted if FISIM is not distributed to uses)</v>
          </cell>
          <cell r="F8748">
            <v>0</v>
          </cell>
          <cell r="G8748">
            <v>1981</v>
          </cell>
          <cell r="H8748">
            <v>20</v>
          </cell>
          <cell r="I8748">
            <v>45700000</v>
          </cell>
        </row>
        <row r="8749">
          <cell r="A8749" t="str">
            <v>Papua New Guinea</v>
          </cell>
          <cell r="B8749">
            <v>598</v>
          </cell>
          <cell r="C8749">
            <v>201</v>
          </cell>
          <cell r="D8749">
            <v>13</v>
          </cell>
          <cell r="E8749" t="str">
            <v>Less: Financial intermediation services indirectly measured (FISIM) (only to be deducted if FISIM is not distributed to uses)</v>
          </cell>
          <cell r="F8749">
            <v>0</v>
          </cell>
          <cell r="G8749">
            <v>1982</v>
          </cell>
          <cell r="H8749">
            <v>20</v>
          </cell>
          <cell r="I8749">
            <v>49100000</v>
          </cell>
        </row>
        <row r="8750">
          <cell r="A8750" t="str">
            <v>Papua New Guinea</v>
          </cell>
          <cell r="B8750">
            <v>598</v>
          </cell>
          <cell r="C8750">
            <v>201</v>
          </cell>
          <cell r="D8750">
            <v>13</v>
          </cell>
          <cell r="E8750" t="str">
            <v>Less: Financial intermediation services indirectly measured (FISIM) (only to be deducted if FISIM is not distributed to uses)</v>
          </cell>
          <cell r="F8750">
            <v>0</v>
          </cell>
          <cell r="G8750">
            <v>1983</v>
          </cell>
          <cell r="H8750">
            <v>20</v>
          </cell>
          <cell r="I8750">
            <v>53500000</v>
          </cell>
        </row>
        <row r="8751">
          <cell r="A8751" t="str">
            <v>Papua New Guinea</v>
          </cell>
          <cell r="B8751">
            <v>598</v>
          </cell>
          <cell r="C8751">
            <v>201</v>
          </cell>
          <cell r="D8751">
            <v>13</v>
          </cell>
          <cell r="E8751" t="str">
            <v>Less: Financial intermediation services indirectly measured (FISIM) (only to be deducted if FISIM is not distributed to uses)</v>
          </cell>
          <cell r="F8751">
            <v>0</v>
          </cell>
          <cell r="G8751">
            <v>1983</v>
          </cell>
          <cell r="H8751">
            <v>30</v>
          </cell>
          <cell r="I8751">
            <v>57800000</v>
          </cell>
        </row>
        <row r="8752">
          <cell r="A8752" t="str">
            <v>Papua New Guinea</v>
          </cell>
          <cell r="B8752">
            <v>598</v>
          </cell>
          <cell r="C8752">
            <v>201</v>
          </cell>
          <cell r="D8752">
            <v>13</v>
          </cell>
          <cell r="E8752" t="str">
            <v>Less: Financial intermediation services indirectly measured (FISIM) (only to be deducted if FISIM is not distributed to uses)</v>
          </cell>
          <cell r="F8752">
            <v>0</v>
          </cell>
          <cell r="G8752">
            <v>1984</v>
          </cell>
          <cell r="H8752">
            <v>30</v>
          </cell>
          <cell r="I8752">
            <v>65200000</v>
          </cell>
        </row>
        <row r="8753">
          <cell r="A8753" t="str">
            <v>Papua New Guinea</v>
          </cell>
          <cell r="B8753">
            <v>598</v>
          </cell>
          <cell r="C8753">
            <v>201</v>
          </cell>
          <cell r="D8753">
            <v>13</v>
          </cell>
          <cell r="E8753" t="str">
            <v>Less: Financial intermediation services indirectly measured (FISIM) (only to be deducted if FISIM is not distributed to uses)</v>
          </cell>
          <cell r="F8753">
            <v>0</v>
          </cell>
          <cell r="G8753">
            <v>1985</v>
          </cell>
          <cell r="H8753">
            <v>30</v>
          </cell>
          <cell r="I8753">
            <v>73700000</v>
          </cell>
        </row>
        <row r="8754">
          <cell r="A8754" t="str">
            <v>Papua New Guinea</v>
          </cell>
          <cell r="B8754">
            <v>598</v>
          </cell>
          <cell r="C8754">
            <v>201</v>
          </cell>
          <cell r="D8754">
            <v>13</v>
          </cell>
          <cell r="E8754" t="str">
            <v>Less: Financial intermediation services indirectly measured (FISIM) (only to be deducted if FISIM is not distributed to uses)</v>
          </cell>
          <cell r="F8754">
            <v>0</v>
          </cell>
          <cell r="G8754">
            <v>1986</v>
          </cell>
          <cell r="H8754">
            <v>30</v>
          </cell>
          <cell r="I8754">
            <v>73800000</v>
          </cell>
        </row>
        <row r="8755">
          <cell r="A8755" t="str">
            <v>Papua New Guinea</v>
          </cell>
          <cell r="B8755">
            <v>598</v>
          </cell>
          <cell r="C8755">
            <v>201</v>
          </cell>
          <cell r="D8755">
            <v>13</v>
          </cell>
          <cell r="E8755" t="str">
            <v>Less: Financial intermediation services indirectly measured (FISIM) (only to be deducted if FISIM is not distributed to uses)</v>
          </cell>
          <cell r="F8755">
            <v>0</v>
          </cell>
          <cell r="G8755">
            <v>1987</v>
          </cell>
          <cell r="H8755">
            <v>30</v>
          </cell>
          <cell r="I8755">
            <v>89200000</v>
          </cell>
        </row>
        <row r="8756">
          <cell r="A8756" t="str">
            <v>Papua New Guinea</v>
          </cell>
          <cell r="B8756">
            <v>598</v>
          </cell>
          <cell r="C8756">
            <v>201</v>
          </cell>
          <cell r="D8756">
            <v>13</v>
          </cell>
          <cell r="E8756" t="str">
            <v>Less: Financial intermediation services indirectly measured (FISIM) (only to be deducted if FISIM is not distributed to uses)</v>
          </cell>
          <cell r="F8756">
            <v>0</v>
          </cell>
          <cell r="G8756">
            <v>1988</v>
          </cell>
          <cell r="H8756">
            <v>30</v>
          </cell>
          <cell r="I8756">
            <v>109000000</v>
          </cell>
        </row>
        <row r="8757">
          <cell r="A8757" t="str">
            <v>Papua New Guinea</v>
          </cell>
          <cell r="B8757">
            <v>598</v>
          </cell>
          <cell r="C8757">
            <v>201</v>
          </cell>
          <cell r="D8757">
            <v>13</v>
          </cell>
          <cell r="E8757" t="str">
            <v>Less: Financial intermediation services indirectly measured (FISIM) (only to be deducted if FISIM is not distributed to uses)</v>
          </cell>
          <cell r="F8757">
            <v>0</v>
          </cell>
          <cell r="G8757">
            <v>1989</v>
          </cell>
          <cell r="H8757">
            <v>30</v>
          </cell>
          <cell r="I8757">
            <v>121500000</v>
          </cell>
        </row>
        <row r="8758">
          <cell r="A8758" t="str">
            <v>Papua New Guinea</v>
          </cell>
          <cell r="B8758">
            <v>598</v>
          </cell>
          <cell r="C8758">
            <v>201</v>
          </cell>
          <cell r="D8758">
            <v>13</v>
          </cell>
          <cell r="E8758" t="str">
            <v>Less: Financial intermediation services indirectly measured (FISIM) (only to be deducted if FISIM is not distributed to uses)</v>
          </cell>
          <cell r="F8758">
            <v>0</v>
          </cell>
          <cell r="G8758">
            <v>1990</v>
          </cell>
          <cell r="H8758">
            <v>30</v>
          </cell>
          <cell r="I8758">
            <v>108200000</v>
          </cell>
        </row>
        <row r="8759">
          <cell r="A8759" t="str">
            <v>Papua New Guinea</v>
          </cell>
          <cell r="B8759">
            <v>598</v>
          </cell>
          <cell r="C8759">
            <v>201</v>
          </cell>
          <cell r="D8759">
            <v>13</v>
          </cell>
          <cell r="E8759" t="str">
            <v>Less: Financial intermediation services indirectly measured (FISIM) (only to be deducted if FISIM is not distributed to uses)</v>
          </cell>
          <cell r="F8759">
            <v>0</v>
          </cell>
          <cell r="G8759">
            <v>1991</v>
          </cell>
          <cell r="H8759">
            <v>30</v>
          </cell>
          <cell r="I8759">
            <v>110500000</v>
          </cell>
        </row>
        <row r="8760">
          <cell r="A8760" t="str">
            <v>Papua New Guinea</v>
          </cell>
          <cell r="B8760">
            <v>598</v>
          </cell>
          <cell r="C8760">
            <v>203</v>
          </cell>
          <cell r="D8760">
            <v>3</v>
          </cell>
          <cell r="E8760" t="str">
            <v>Equals: VALUE ADDED, GROSS, at basic prices</v>
          </cell>
          <cell r="F8760">
            <v>12</v>
          </cell>
          <cell r="G8760">
            <v>1970</v>
          </cell>
          <cell r="H8760">
            <v>10</v>
          </cell>
          <cell r="I8760">
            <v>604000000</v>
          </cell>
        </row>
        <row r="8761">
          <cell r="A8761" t="str">
            <v>Papua New Guinea</v>
          </cell>
          <cell r="B8761">
            <v>598</v>
          </cell>
          <cell r="C8761">
            <v>203</v>
          </cell>
          <cell r="D8761">
            <v>3</v>
          </cell>
          <cell r="E8761" t="str">
            <v>Equals: VALUE ADDED, GROSS, at basic prices</v>
          </cell>
          <cell r="F8761">
            <v>12</v>
          </cell>
          <cell r="G8761">
            <v>1971</v>
          </cell>
          <cell r="H8761">
            <v>10</v>
          </cell>
          <cell r="I8761">
            <v>627000000</v>
          </cell>
        </row>
        <row r="8762">
          <cell r="A8762" t="str">
            <v>Papua New Guinea</v>
          </cell>
          <cell r="B8762">
            <v>598</v>
          </cell>
          <cell r="C8762">
            <v>203</v>
          </cell>
          <cell r="D8762">
            <v>3</v>
          </cell>
          <cell r="E8762" t="str">
            <v>Equals: VALUE ADDED, GROSS, at basic prices</v>
          </cell>
          <cell r="F8762">
            <v>12</v>
          </cell>
          <cell r="G8762">
            <v>1972</v>
          </cell>
          <cell r="H8762">
            <v>10</v>
          </cell>
          <cell r="I8762">
            <v>773000000</v>
          </cell>
        </row>
        <row r="8763">
          <cell r="A8763" t="str">
            <v>Papua New Guinea</v>
          </cell>
          <cell r="B8763">
            <v>598</v>
          </cell>
          <cell r="C8763">
            <v>203</v>
          </cell>
          <cell r="D8763">
            <v>3</v>
          </cell>
          <cell r="E8763" t="str">
            <v>Equals: VALUE ADDED, GROSS, at basic prices</v>
          </cell>
          <cell r="F8763">
            <v>12</v>
          </cell>
          <cell r="G8763">
            <v>1973</v>
          </cell>
          <cell r="H8763">
            <v>10</v>
          </cell>
          <cell r="I8763">
            <v>1022000000</v>
          </cell>
        </row>
        <row r="8764">
          <cell r="A8764" t="str">
            <v>Papua New Guinea</v>
          </cell>
          <cell r="B8764">
            <v>598</v>
          </cell>
          <cell r="C8764">
            <v>203</v>
          </cell>
          <cell r="D8764">
            <v>3</v>
          </cell>
          <cell r="E8764" t="str">
            <v>Equals: VALUE ADDED, GROSS, at basic prices</v>
          </cell>
          <cell r="F8764">
            <v>12</v>
          </cell>
          <cell r="G8764">
            <v>1974</v>
          </cell>
          <cell r="H8764">
            <v>10</v>
          </cell>
          <cell r="I8764">
            <v>983000000</v>
          </cell>
        </row>
        <row r="8765">
          <cell r="A8765" t="str">
            <v>Papua New Guinea</v>
          </cell>
          <cell r="B8765">
            <v>598</v>
          </cell>
          <cell r="C8765">
            <v>203</v>
          </cell>
          <cell r="D8765">
            <v>3</v>
          </cell>
          <cell r="E8765" t="str">
            <v>Equals: VALUE ADDED, GROSS, at basic prices</v>
          </cell>
          <cell r="F8765">
            <v>12</v>
          </cell>
          <cell r="G8765">
            <v>1983</v>
          </cell>
          <cell r="H8765">
            <v>30</v>
          </cell>
          <cell r="I8765">
            <v>2117000000</v>
          </cell>
        </row>
        <row r="8766">
          <cell r="A8766" t="str">
            <v>Papua New Guinea</v>
          </cell>
          <cell r="B8766">
            <v>598</v>
          </cell>
          <cell r="C8766">
            <v>203</v>
          </cell>
          <cell r="D8766">
            <v>3</v>
          </cell>
          <cell r="E8766" t="str">
            <v>Equals: VALUE ADDED, GROSS, at basic prices</v>
          </cell>
          <cell r="F8766">
            <v>12</v>
          </cell>
          <cell r="G8766">
            <v>1984</v>
          </cell>
          <cell r="H8766">
            <v>30</v>
          </cell>
          <cell r="I8766">
            <v>2250000000</v>
          </cell>
        </row>
        <row r="8767">
          <cell r="A8767" t="str">
            <v>Papua New Guinea</v>
          </cell>
          <cell r="B8767">
            <v>598</v>
          </cell>
          <cell r="C8767">
            <v>203</v>
          </cell>
          <cell r="D8767">
            <v>3</v>
          </cell>
          <cell r="E8767" t="str">
            <v>Equals: VALUE ADDED, GROSS, at basic prices</v>
          </cell>
          <cell r="F8767">
            <v>12</v>
          </cell>
          <cell r="G8767">
            <v>1985</v>
          </cell>
          <cell r="H8767">
            <v>30</v>
          </cell>
          <cell r="I8767">
            <v>2372000000</v>
          </cell>
        </row>
        <row r="8768">
          <cell r="A8768" t="str">
            <v>Papua New Guinea</v>
          </cell>
          <cell r="B8768">
            <v>598</v>
          </cell>
          <cell r="C8768">
            <v>203</v>
          </cell>
          <cell r="D8768">
            <v>3</v>
          </cell>
          <cell r="E8768" t="str">
            <v>Equals: VALUE ADDED, GROSS, at basic prices</v>
          </cell>
          <cell r="F8768">
            <v>12</v>
          </cell>
          <cell r="G8768">
            <v>1986</v>
          </cell>
          <cell r="H8768">
            <v>30</v>
          </cell>
          <cell r="I8768">
            <v>2525000000</v>
          </cell>
        </row>
        <row r="8769">
          <cell r="A8769" t="str">
            <v>Papua New Guinea</v>
          </cell>
          <cell r="B8769">
            <v>598</v>
          </cell>
          <cell r="C8769">
            <v>203</v>
          </cell>
          <cell r="D8769">
            <v>3</v>
          </cell>
          <cell r="E8769" t="str">
            <v>Equals: VALUE ADDED, GROSS, at basic prices</v>
          </cell>
          <cell r="F8769">
            <v>12</v>
          </cell>
          <cell r="G8769">
            <v>1987</v>
          </cell>
          <cell r="H8769">
            <v>30</v>
          </cell>
          <cell r="I8769">
            <v>2801100000</v>
          </cell>
        </row>
        <row r="8770">
          <cell r="A8770" t="str">
            <v>Papua New Guinea</v>
          </cell>
          <cell r="B8770">
            <v>598</v>
          </cell>
          <cell r="C8770">
            <v>203</v>
          </cell>
          <cell r="D8770">
            <v>3</v>
          </cell>
          <cell r="E8770" t="str">
            <v>Equals: VALUE ADDED, GROSS, at basic prices</v>
          </cell>
          <cell r="F8770">
            <v>12</v>
          </cell>
          <cell r="G8770">
            <v>1988</v>
          </cell>
          <cell r="H8770">
            <v>30</v>
          </cell>
          <cell r="I8770">
            <v>3123100000</v>
          </cell>
        </row>
        <row r="8771">
          <cell r="A8771" t="str">
            <v>Papua New Guinea</v>
          </cell>
          <cell r="B8771">
            <v>598</v>
          </cell>
          <cell r="C8771">
            <v>203</v>
          </cell>
          <cell r="D8771">
            <v>3</v>
          </cell>
          <cell r="E8771" t="str">
            <v>Equals: VALUE ADDED, GROSS, at basic prices</v>
          </cell>
          <cell r="F8771">
            <v>12</v>
          </cell>
          <cell r="G8771">
            <v>1989</v>
          </cell>
          <cell r="H8771">
            <v>30</v>
          </cell>
          <cell r="I8771">
            <v>2964300000</v>
          </cell>
        </row>
        <row r="8772">
          <cell r="A8772" t="str">
            <v>Papua New Guinea</v>
          </cell>
          <cell r="B8772">
            <v>598</v>
          </cell>
          <cell r="C8772">
            <v>203</v>
          </cell>
          <cell r="D8772">
            <v>3</v>
          </cell>
          <cell r="E8772" t="str">
            <v>Equals: VALUE ADDED, GROSS, at basic prices</v>
          </cell>
          <cell r="F8772">
            <v>12</v>
          </cell>
          <cell r="G8772">
            <v>1990</v>
          </cell>
          <cell r="H8772">
            <v>30</v>
          </cell>
          <cell r="I8772">
            <v>2996400000</v>
          </cell>
        </row>
        <row r="8773">
          <cell r="A8773" t="str">
            <v>Papua New Guinea</v>
          </cell>
          <cell r="B8773">
            <v>598</v>
          </cell>
          <cell r="C8773">
            <v>203</v>
          </cell>
          <cell r="D8773">
            <v>3</v>
          </cell>
          <cell r="E8773" t="str">
            <v>Equals: VALUE ADDED, GROSS, at basic prices</v>
          </cell>
          <cell r="F8773">
            <v>12</v>
          </cell>
          <cell r="G8773">
            <v>1991</v>
          </cell>
          <cell r="H8773">
            <v>30</v>
          </cell>
          <cell r="I8773">
            <v>3515000000</v>
          </cell>
        </row>
        <row r="8774">
          <cell r="A8774" t="str">
            <v>Portugal</v>
          </cell>
          <cell r="B8774">
            <v>620</v>
          </cell>
          <cell r="C8774">
            <v>203</v>
          </cell>
          <cell r="D8774">
            <v>3</v>
          </cell>
          <cell r="E8774" t="str">
            <v>Equals: VALUE ADDED, GROSS, at basic prices</v>
          </cell>
          <cell r="F8774">
            <v>12</v>
          </cell>
          <cell r="G8774">
            <v>1970</v>
          </cell>
          <cell r="H8774">
            <v>20</v>
          </cell>
          <cell r="I8774">
            <v>159032000000</v>
          </cell>
        </row>
        <row r="8775">
          <cell r="A8775" t="str">
            <v>Portugal</v>
          </cell>
          <cell r="B8775">
            <v>620</v>
          </cell>
          <cell r="C8775">
            <v>203</v>
          </cell>
          <cell r="D8775">
            <v>3</v>
          </cell>
          <cell r="E8775" t="str">
            <v>Equals: VALUE ADDED, GROSS, at basic prices</v>
          </cell>
          <cell r="F8775">
            <v>12</v>
          </cell>
          <cell r="G8775">
            <v>1971</v>
          </cell>
          <cell r="H8775">
            <v>20</v>
          </cell>
          <cell r="I8775">
            <v>178934000000</v>
          </cell>
        </row>
        <row r="8776">
          <cell r="A8776" t="str">
            <v>Portugal</v>
          </cell>
          <cell r="B8776">
            <v>620</v>
          </cell>
          <cell r="C8776">
            <v>203</v>
          </cell>
          <cell r="D8776">
            <v>3</v>
          </cell>
          <cell r="E8776" t="str">
            <v>Equals: VALUE ADDED, GROSS, at basic prices</v>
          </cell>
          <cell r="F8776">
            <v>12</v>
          </cell>
          <cell r="G8776">
            <v>1972</v>
          </cell>
          <cell r="H8776">
            <v>20</v>
          </cell>
          <cell r="I8776">
            <v>208597000000</v>
          </cell>
        </row>
        <row r="8777">
          <cell r="A8777" t="str">
            <v>Portugal</v>
          </cell>
          <cell r="B8777">
            <v>620</v>
          </cell>
          <cell r="C8777">
            <v>203</v>
          </cell>
          <cell r="D8777">
            <v>3</v>
          </cell>
          <cell r="E8777" t="str">
            <v>Equals: VALUE ADDED, GROSS, at basic prices</v>
          </cell>
          <cell r="F8777">
            <v>12</v>
          </cell>
          <cell r="G8777">
            <v>1973</v>
          </cell>
          <cell r="H8777">
            <v>20</v>
          </cell>
          <cell r="I8777">
            <v>254592000000</v>
          </cell>
        </row>
        <row r="8778">
          <cell r="A8778" t="str">
            <v>Portugal</v>
          </cell>
          <cell r="B8778">
            <v>620</v>
          </cell>
          <cell r="C8778">
            <v>203</v>
          </cell>
          <cell r="D8778">
            <v>3</v>
          </cell>
          <cell r="E8778" t="str">
            <v>Equals: VALUE ADDED, GROSS, at basic prices</v>
          </cell>
          <cell r="F8778">
            <v>12</v>
          </cell>
          <cell r="G8778">
            <v>1974</v>
          </cell>
          <cell r="H8778">
            <v>20</v>
          </cell>
          <cell r="I8778">
            <v>308962000000</v>
          </cell>
        </row>
        <row r="8779">
          <cell r="A8779" t="str">
            <v>Portugal</v>
          </cell>
          <cell r="B8779">
            <v>620</v>
          </cell>
          <cell r="C8779">
            <v>203</v>
          </cell>
          <cell r="D8779">
            <v>3</v>
          </cell>
          <cell r="E8779" t="str">
            <v>Equals: VALUE ADDED, GROSS, at basic prices</v>
          </cell>
          <cell r="F8779">
            <v>12</v>
          </cell>
          <cell r="G8779">
            <v>1975</v>
          </cell>
          <cell r="H8779">
            <v>20</v>
          </cell>
          <cell r="I8779">
            <v>342138000000</v>
          </cell>
        </row>
        <row r="8780">
          <cell r="A8780" t="str">
            <v>Portugal</v>
          </cell>
          <cell r="B8780">
            <v>620</v>
          </cell>
          <cell r="C8780">
            <v>203</v>
          </cell>
          <cell r="D8780">
            <v>3</v>
          </cell>
          <cell r="E8780" t="str">
            <v>Equals: VALUE ADDED, GROSS, at basic prices</v>
          </cell>
          <cell r="F8780">
            <v>12</v>
          </cell>
          <cell r="G8780">
            <v>1976</v>
          </cell>
          <cell r="H8780">
            <v>20</v>
          </cell>
          <cell r="I8780">
            <v>419656000000</v>
          </cell>
        </row>
        <row r="8781">
          <cell r="A8781" t="str">
            <v>Portugal</v>
          </cell>
          <cell r="B8781">
            <v>620</v>
          </cell>
          <cell r="C8781">
            <v>203</v>
          </cell>
          <cell r="D8781">
            <v>3</v>
          </cell>
          <cell r="E8781" t="str">
            <v>Equals: VALUE ADDED, GROSS, at basic prices</v>
          </cell>
          <cell r="F8781">
            <v>12</v>
          </cell>
          <cell r="G8781">
            <v>1977</v>
          </cell>
          <cell r="H8781">
            <v>30</v>
          </cell>
          <cell r="I8781">
            <v>636973000000</v>
          </cell>
        </row>
        <row r="8782">
          <cell r="A8782" t="str">
            <v>Portugal</v>
          </cell>
          <cell r="B8782">
            <v>620</v>
          </cell>
          <cell r="C8782">
            <v>203</v>
          </cell>
          <cell r="D8782">
            <v>3</v>
          </cell>
          <cell r="E8782" t="str">
            <v>Equals: VALUE ADDED, GROSS, at basic prices</v>
          </cell>
          <cell r="F8782">
            <v>12</v>
          </cell>
          <cell r="G8782">
            <v>1978</v>
          </cell>
          <cell r="H8782">
            <v>30</v>
          </cell>
          <cell r="I8782">
            <v>818350000000</v>
          </cell>
        </row>
        <row r="8783">
          <cell r="A8783" t="str">
            <v>Portugal</v>
          </cell>
          <cell r="B8783">
            <v>620</v>
          </cell>
          <cell r="C8783">
            <v>203</v>
          </cell>
          <cell r="D8783">
            <v>3</v>
          </cell>
          <cell r="E8783" t="str">
            <v>Equals: VALUE ADDED, GROSS, at basic prices</v>
          </cell>
          <cell r="F8783">
            <v>12</v>
          </cell>
          <cell r="G8783">
            <v>1979</v>
          </cell>
          <cell r="H8783">
            <v>30</v>
          </cell>
          <cell r="I8783">
            <v>1022721000000</v>
          </cell>
        </row>
        <row r="8784">
          <cell r="A8784" t="str">
            <v>Portugal</v>
          </cell>
          <cell r="B8784">
            <v>620</v>
          </cell>
          <cell r="C8784">
            <v>203</v>
          </cell>
          <cell r="D8784">
            <v>3</v>
          </cell>
          <cell r="E8784" t="str">
            <v>Equals: VALUE ADDED, GROSS, at basic prices</v>
          </cell>
          <cell r="F8784">
            <v>12</v>
          </cell>
          <cell r="G8784">
            <v>1980</v>
          </cell>
          <cell r="H8784">
            <v>30</v>
          </cell>
          <cell r="I8784">
            <v>1295578000000</v>
          </cell>
        </row>
        <row r="8785">
          <cell r="A8785" t="str">
            <v>Papua New Guinea</v>
          </cell>
          <cell r="B8785">
            <v>598</v>
          </cell>
          <cell r="C8785">
            <v>203</v>
          </cell>
          <cell r="D8785">
            <v>4</v>
          </cell>
          <cell r="E8785" t="str">
            <v>Compensation of employees</v>
          </cell>
          <cell r="F8785">
            <v>12</v>
          </cell>
          <cell r="G8785">
            <v>1970</v>
          </cell>
          <cell r="H8785">
            <v>10</v>
          </cell>
          <cell r="I8785">
            <v>296900000</v>
          </cell>
        </row>
        <row r="8786">
          <cell r="A8786" t="str">
            <v>Papua New Guinea</v>
          </cell>
          <cell r="B8786">
            <v>598</v>
          </cell>
          <cell r="C8786">
            <v>203</v>
          </cell>
          <cell r="D8786">
            <v>4</v>
          </cell>
          <cell r="E8786" t="str">
            <v>Compensation of employees</v>
          </cell>
          <cell r="F8786">
            <v>12</v>
          </cell>
          <cell r="G8786">
            <v>1971</v>
          </cell>
          <cell r="H8786">
            <v>10</v>
          </cell>
          <cell r="I8786">
            <v>311500000</v>
          </cell>
        </row>
        <row r="8787">
          <cell r="A8787" t="str">
            <v>Papua New Guinea</v>
          </cell>
          <cell r="B8787">
            <v>598</v>
          </cell>
          <cell r="C8787">
            <v>203</v>
          </cell>
          <cell r="D8787">
            <v>4</v>
          </cell>
          <cell r="E8787" t="str">
            <v>Compensation of employees</v>
          </cell>
          <cell r="F8787">
            <v>12</v>
          </cell>
          <cell r="G8787">
            <v>1972</v>
          </cell>
          <cell r="H8787">
            <v>10</v>
          </cell>
          <cell r="I8787">
            <v>317400000</v>
          </cell>
        </row>
        <row r="8788">
          <cell r="A8788" t="str">
            <v>Papua New Guinea</v>
          </cell>
          <cell r="B8788">
            <v>598</v>
          </cell>
          <cell r="C8788">
            <v>203</v>
          </cell>
          <cell r="D8788">
            <v>4</v>
          </cell>
          <cell r="E8788" t="str">
            <v>Compensation of employees</v>
          </cell>
          <cell r="F8788">
            <v>12</v>
          </cell>
          <cell r="G8788">
            <v>1973</v>
          </cell>
          <cell r="H8788">
            <v>10</v>
          </cell>
          <cell r="I8788">
            <v>406200000</v>
          </cell>
        </row>
        <row r="8789">
          <cell r="A8789" t="str">
            <v>Papua New Guinea</v>
          </cell>
          <cell r="B8789">
            <v>598</v>
          </cell>
          <cell r="C8789">
            <v>203</v>
          </cell>
          <cell r="D8789">
            <v>4</v>
          </cell>
          <cell r="E8789" t="str">
            <v>Compensation of employees</v>
          </cell>
          <cell r="F8789">
            <v>12</v>
          </cell>
          <cell r="G8789">
            <v>1974</v>
          </cell>
          <cell r="H8789">
            <v>10</v>
          </cell>
          <cell r="I8789">
            <v>453200000</v>
          </cell>
        </row>
        <row r="8790">
          <cell r="A8790" t="str">
            <v>Papua New Guinea</v>
          </cell>
          <cell r="B8790">
            <v>598</v>
          </cell>
          <cell r="C8790">
            <v>203</v>
          </cell>
          <cell r="D8790">
            <v>4</v>
          </cell>
          <cell r="E8790" t="str">
            <v>Compensation of employees</v>
          </cell>
          <cell r="F8790">
            <v>12</v>
          </cell>
          <cell r="G8790">
            <v>1983</v>
          </cell>
          <cell r="H8790">
            <v>30</v>
          </cell>
          <cell r="I8790">
            <v>843700000</v>
          </cell>
        </row>
        <row r="8791">
          <cell r="A8791" t="str">
            <v>Papua New Guinea</v>
          </cell>
          <cell r="B8791">
            <v>598</v>
          </cell>
          <cell r="C8791">
            <v>203</v>
          </cell>
          <cell r="D8791">
            <v>4</v>
          </cell>
          <cell r="E8791" t="str">
            <v>Compensation of employees</v>
          </cell>
          <cell r="F8791">
            <v>12</v>
          </cell>
          <cell r="G8791">
            <v>1984</v>
          </cell>
          <cell r="H8791">
            <v>30</v>
          </cell>
          <cell r="I8791">
            <v>881000000</v>
          </cell>
        </row>
        <row r="8792">
          <cell r="A8792" t="str">
            <v>Papua New Guinea</v>
          </cell>
          <cell r="B8792">
            <v>598</v>
          </cell>
          <cell r="C8792">
            <v>203</v>
          </cell>
          <cell r="D8792">
            <v>4</v>
          </cell>
          <cell r="E8792" t="str">
            <v>Compensation of employees</v>
          </cell>
          <cell r="F8792">
            <v>12</v>
          </cell>
          <cell r="G8792">
            <v>1985</v>
          </cell>
          <cell r="H8792">
            <v>30</v>
          </cell>
          <cell r="I8792">
            <v>944200000</v>
          </cell>
        </row>
        <row r="8793">
          <cell r="A8793" t="str">
            <v>Papua New Guinea</v>
          </cell>
          <cell r="B8793">
            <v>598</v>
          </cell>
          <cell r="C8793">
            <v>203</v>
          </cell>
          <cell r="D8793">
            <v>4</v>
          </cell>
          <cell r="E8793" t="str">
            <v>Compensation of employees</v>
          </cell>
          <cell r="F8793">
            <v>12</v>
          </cell>
          <cell r="G8793">
            <v>1986</v>
          </cell>
          <cell r="H8793">
            <v>30</v>
          </cell>
          <cell r="I8793">
            <v>982000000</v>
          </cell>
        </row>
        <row r="8794">
          <cell r="A8794" t="str">
            <v>Papua New Guinea</v>
          </cell>
          <cell r="B8794">
            <v>598</v>
          </cell>
          <cell r="C8794">
            <v>203</v>
          </cell>
          <cell r="D8794">
            <v>4</v>
          </cell>
          <cell r="E8794" t="str">
            <v>Compensation of employees</v>
          </cell>
          <cell r="F8794">
            <v>12</v>
          </cell>
          <cell r="G8794">
            <v>1987</v>
          </cell>
          <cell r="H8794">
            <v>30</v>
          </cell>
          <cell r="I8794">
            <v>1052100000</v>
          </cell>
        </row>
        <row r="8795">
          <cell r="A8795" t="str">
            <v>Papua New Guinea</v>
          </cell>
          <cell r="B8795">
            <v>598</v>
          </cell>
          <cell r="C8795">
            <v>203</v>
          </cell>
          <cell r="D8795">
            <v>4</v>
          </cell>
          <cell r="E8795" t="str">
            <v>Compensation of employees</v>
          </cell>
          <cell r="F8795">
            <v>12</v>
          </cell>
          <cell r="G8795">
            <v>1988</v>
          </cell>
          <cell r="H8795">
            <v>30</v>
          </cell>
          <cell r="I8795">
            <v>1160300000</v>
          </cell>
        </row>
        <row r="8796">
          <cell r="A8796" t="str">
            <v>Papua New Guinea</v>
          </cell>
          <cell r="B8796">
            <v>598</v>
          </cell>
          <cell r="C8796">
            <v>203</v>
          </cell>
          <cell r="D8796">
            <v>4</v>
          </cell>
          <cell r="E8796" t="str">
            <v>Compensation of employees</v>
          </cell>
          <cell r="F8796">
            <v>12</v>
          </cell>
          <cell r="G8796">
            <v>1989</v>
          </cell>
          <cell r="H8796">
            <v>30</v>
          </cell>
          <cell r="I8796">
            <v>1268500000</v>
          </cell>
        </row>
        <row r="8797">
          <cell r="A8797" t="str">
            <v>Papua New Guinea</v>
          </cell>
          <cell r="B8797">
            <v>598</v>
          </cell>
          <cell r="C8797">
            <v>203</v>
          </cell>
          <cell r="D8797">
            <v>4</v>
          </cell>
          <cell r="E8797" t="str">
            <v>Compensation of employees</v>
          </cell>
          <cell r="F8797">
            <v>12</v>
          </cell>
          <cell r="G8797">
            <v>1990</v>
          </cell>
          <cell r="H8797">
            <v>30</v>
          </cell>
          <cell r="I8797">
            <v>1262400000</v>
          </cell>
        </row>
        <row r="8798">
          <cell r="A8798" t="str">
            <v>Papua New Guinea</v>
          </cell>
          <cell r="B8798">
            <v>598</v>
          </cell>
          <cell r="C8798">
            <v>203</v>
          </cell>
          <cell r="D8798">
            <v>4</v>
          </cell>
          <cell r="E8798" t="str">
            <v>Compensation of employees</v>
          </cell>
          <cell r="F8798">
            <v>12</v>
          </cell>
          <cell r="G8798">
            <v>1991</v>
          </cell>
          <cell r="H8798">
            <v>30</v>
          </cell>
          <cell r="I8798">
            <v>1348700000</v>
          </cell>
        </row>
        <row r="8799">
          <cell r="A8799" t="str">
            <v>Portugal</v>
          </cell>
          <cell r="B8799">
            <v>620</v>
          </cell>
          <cell r="C8799">
            <v>203</v>
          </cell>
          <cell r="D8799">
            <v>3</v>
          </cell>
          <cell r="E8799" t="str">
            <v>Equals: VALUE ADDED, GROSS, at basic prices</v>
          </cell>
          <cell r="F8799">
            <v>12</v>
          </cell>
          <cell r="G8799">
            <v>1981</v>
          </cell>
          <cell r="H8799">
            <v>30</v>
          </cell>
          <cell r="I8799">
            <v>1554511000000</v>
          </cell>
        </row>
        <row r="8800">
          <cell r="A8800" t="str">
            <v>Portugal</v>
          </cell>
          <cell r="B8800">
            <v>620</v>
          </cell>
          <cell r="C8800">
            <v>203</v>
          </cell>
          <cell r="D8800">
            <v>3</v>
          </cell>
          <cell r="E8800" t="str">
            <v>Equals: VALUE ADDED, GROSS, at basic prices</v>
          </cell>
          <cell r="F8800">
            <v>12</v>
          </cell>
          <cell r="G8800">
            <v>1982</v>
          </cell>
          <cell r="H8800">
            <v>30</v>
          </cell>
          <cell r="I8800">
            <v>1927620000000</v>
          </cell>
        </row>
        <row r="8801">
          <cell r="A8801" t="str">
            <v>Portugal</v>
          </cell>
          <cell r="B8801">
            <v>620</v>
          </cell>
          <cell r="C8801">
            <v>203</v>
          </cell>
          <cell r="D8801">
            <v>3</v>
          </cell>
          <cell r="E8801" t="str">
            <v>Equals: VALUE ADDED, GROSS, at basic prices</v>
          </cell>
          <cell r="F8801">
            <v>12</v>
          </cell>
          <cell r="G8801">
            <v>1983</v>
          </cell>
          <cell r="H8801">
            <v>30</v>
          </cell>
          <cell r="I8801">
            <v>2394530000000</v>
          </cell>
        </row>
        <row r="8802">
          <cell r="A8802" t="str">
            <v>Portugal</v>
          </cell>
          <cell r="B8802">
            <v>620</v>
          </cell>
          <cell r="C8802">
            <v>203</v>
          </cell>
          <cell r="D8802">
            <v>3</v>
          </cell>
          <cell r="E8802" t="str">
            <v>Equals: VALUE ADDED, GROSS, at basic prices</v>
          </cell>
          <cell r="F8802">
            <v>12</v>
          </cell>
          <cell r="G8802">
            <v>1984</v>
          </cell>
          <cell r="H8802">
            <v>30</v>
          </cell>
          <cell r="I8802">
            <v>2915582000000</v>
          </cell>
        </row>
        <row r="8803">
          <cell r="A8803" t="str">
            <v>Portugal</v>
          </cell>
          <cell r="B8803">
            <v>620</v>
          </cell>
          <cell r="C8803">
            <v>203</v>
          </cell>
          <cell r="D8803">
            <v>3</v>
          </cell>
          <cell r="E8803" t="str">
            <v>Equals: VALUE ADDED, GROSS, at basic prices</v>
          </cell>
          <cell r="F8803">
            <v>12</v>
          </cell>
          <cell r="G8803">
            <v>1985</v>
          </cell>
          <cell r="H8803">
            <v>30</v>
          </cell>
          <cell r="I8803">
            <v>3651068000000</v>
          </cell>
        </row>
        <row r="8804">
          <cell r="A8804" t="str">
            <v>Portugal</v>
          </cell>
          <cell r="B8804">
            <v>620</v>
          </cell>
          <cell r="C8804">
            <v>203</v>
          </cell>
          <cell r="D8804">
            <v>3</v>
          </cell>
          <cell r="E8804" t="str">
            <v>Equals: VALUE ADDED, GROSS, at basic prices</v>
          </cell>
          <cell r="F8804">
            <v>12</v>
          </cell>
          <cell r="G8804">
            <v>1986</v>
          </cell>
          <cell r="H8804">
            <v>30</v>
          </cell>
          <cell r="I8804">
            <v>4307033000000</v>
          </cell>
        </row>
        <row r="8805">
          <cell r="A8805" t="str">
            <v>Portugal</v>
          </cell>
          <cell r="B8805">
            <v>620</v>
          </cell>
          <cell r="C8805">
            <v>203</v>
          </cell>
          <cell r="D8805">
            <v>3</v>
          </cell>
          <cell r="E8805" t="str">
            <v>Equals: VALUE ADDED, GROSS, at basic prices</v>
          </cell>
          <cell r="F8805">
            <v>12</v>
          </cell>
          <cell r="G8805">
            <v>1986</v>
          </cell>
          <cell r="H8805">
            <v>40</v>
          </cell>
          <cell r="I8805">
            <v>4997652000000</v>
          </cell>
        </row>
        <row r="8806">
          <cell r="A8806" t="str">
            <v>Portugal</v>
          </cell>
          <cell r="B8806">
            <v>620</v>
          </cell>
          <cell r="C8806">
            <v>203</v>
          </cell>
          <cell r="D8806">
            <v>3</v>
          </cell>
          <cell r="E8806" t="str">
            <v>Equals: VALUE ADDED, GROSS, at basic prices</v>
          </cell>
          <cell r="F8806">
            <v>12</v>
          </cell>
          <cell r="G8806">
            <v>1987</v>
          </cell>
          <cell r="H8806">
            <v>40</v>
          </cell>
          <cell r="I8806">
            <v>5844997000000</v>
          </cell>
        </row>
        <row r="8807">
          <cell r="A8807" t="str">
            <v>Portugal</v>
          </cell>
          <cell r="B8807">
            <v>620</v>
          </cell>
          <cell r="C8807">
            <v>203</v>
          </cell>
          <cell r="D8807">
            <v>3</v>
          </cell>
          <cell r="E8807" t="str">
            <v>Equals: VALUE ADDED, GROSS, at basic prices</v>
          </cell>
          <cell r="F8807">
            <v>12</v>
          </cell>
          <cell r="G8807">
            <v>1988</v>
          </cell>
          <cell r="H8807">
            <v>40</v>
          </cell>
          <cell r="I8807">
            <v>6940401000000</v>
          </cell>
        </row>
        <row r="8808">
          <cell r="A8808" t="str">
            <v>Portugal</v>
          </cell>
          <cell r="B8808">
            <v>620</v>
          </cell>
          <cell r="C8808">
            <v>203</v>
          </cell>
          <cell r="D8808">
            <v>3</v>
          </cell>
          <cell r="E8808" t="str">
            <v>Equals: VALUE ADDED, GROSS, at basic prices</v>
          </cell>
          <cell r="F8808">
            <v>12</v>
          </cell>
          <cell r="G8808">
            <v>1988</v>
          </cell>
          <cell r="H8808">
            <v>200</v>
          </cell>
          <cell r="I8808">
            <v>33885909957</v>
          </cell>
        </row>
        <row r="8809">
          <cell r="A8809" t="str">
            <v>Portugal</v>
          </cell>
          <cell r="B8809">
            <v>620</v>
          </cell>
          <cell r="C8809">
            <v>203</v>
          </cell>
          <cell r="D8809">
            <v>3</v>
          </cell>
          <cell r="E8809" t="str">
            <v>Equals: VALUE ADDED, GROSS, at basic prices</v>
          </cell>
          <cell r="F8809">
            <v>12</v>
          </cell>
          <cell r="G8809">
            <v>1989</v>
          </cell>
          <cell r="H8809">
            <v>200</v>
          </cell>
          <cell r="I8809">
            <v>40237013797</v>
          </cell>
        </row>
        <row r="8810">
          <cell r="A8810" t="str">
            <v>Portugal</v>
          </cell>
          <cell r="B8810">
            <v>620</v>
          </cell>
          <cell r="C8810">
            <v>203</v>
          </cell>
          <cell r="D8810">
            <v>3</v>
          </cell>
          <cell r="E8810" t="str">
            <v>Equals: VALUE ADDED, GROSS, at basic prices</v>
          </cell>
          <cell r="F8810">
            <v>12</v>
          </cell>
          <cell r="G8810">
            <v>1990</v>
          </cell>
          <cell r="H8810">
            <v>200</v>
          </cell>
          <cell r="I8810">
            <v>47863843138</v>
          </cell>
        </row>
        <row r="8811">
          <cell r="A8811" t="str">
            <v>Portugal</v>
          </cell>
          <cell r="B8811">
            <v>620</v>
          </cell>
          <cell r="C8811">
            <v>203</v>
          </cell>
          <cell r="D8811">
            <v>3</v>
          </cell>
          <cell r="E8811" t="str">
            <v>Equals: VALUE ADDED, GROSS, at basic prices</v>
          </cell>
          <cell r="F8811">
            <v>12</v>
          </cell>
          <cell r="G8811">
            <v>1991</v>
          </cell>
          <cell r="H8811">
            <v>200</v>
          </cell>
          <cell r="I8811">
            <v>54974356800</v>
          </cell>
        </row>
        <row r="8812">
          <cell r="A8812" t="str">
            <v>Portugal</v>
          </cell>
          <cell r="B8812">
            <v>620</v>
          </cell>
          <cell r="C8812">
            <v>203</v>
          </cell>
          <cell r="D8812">
            <v>3</v>
          </cell>
          <cell r="E8812" t="str">
            <v>Equals: VALUE ADDED, GROSS, at basic prices</v>
          </cell>
          <cell r="F8812">
            <v>12</v>
          </cell>
          <cell r="G8812">
            <v>1992</v>
          </cell>
          <cell r="H8812">
            <v>200</v>
          </cell>
          <cell r="I8812">
            <v>60603630251</v>
          </cell>
        </row>
        <row r="8813">
          <cell r="A8813" t="str">
            <v>Portugal</v>
          </cell>
          <cell r="B8813">
            <v>620</v>
          </cell>
          <cell r="C8813">
            <v>203</v>
          </cell>
          <cell r="D8813">
            <v>3</v>
          </cell>
          <cell r="E8813" t="str">
            <v>Equals: VALUE ADDED, GROSS, at basic prices</v>
          </cell>
          <cell r="F8813">
            <v>12</v>
          </cell>
          <cell r="G8813">
            <v>1993</v>
          </cell>
          <cell r="H8813">
            <v>200</v>
          </cell>
          <cell r="I8813">
            <v>64533045361</v>
          </cell>
        </row>
        <row r="8814">
          <cell r="A8814" t="str">
            <v>Portugal</v>
          </cell>
          <cell r="B8814">
            <v>620</v>
          </cell>
          <cell r="C8814">
            <v>203</v>
          </cell>
          <cell r="D8814">
            <v>3</v>
          </cell>
          <cell r="E8814" t="str">
            <v>Equals: VALUE ADDED, GROSS, at basic prices</v>
          </cell>
          <cell r="F8814">
            <v>12</v>
          </cell>
          <cell r="G8814">
            <v>1994</v>
          </cell>
          <cell r="H8814">
            <v>200</v>
          </cell>
          <cell r="I8814">
            <v>68649639369</v>
          </cell>
        </row>
        <row r="8815">
          <cell r="A8815" t="str">
            <v>Portugal</v>
          </cell>
          <cell r="B8815">
            <v>620</v>
          </cell>
          <cell r="C8815">
            <v>203</v>
          </cell>
          <cell r="D8815">
            <v>3</v>
          </cell>
          <cell r="E8815" t="str">
            <v>Equals: VALUE ADDED, GROSS, at basic prices</v>
          </cell>
          <cell r="F8815">
            <v>12</v>
          </cell>
          <cell r="G8815">
            <v>1995</v>
          </cell>
          <cell r="H8815">
            <v>200</v>
          </cell>
          <cell r="I8815">
            <v>73980068036</v>
          </cell>
        </row>
        <row r="8816">
          <cell r="A8816" t="str">
            <v>Portugal</v>
          </cell>
          <cell r="B8816">
            <v>620</v>
          </cell>
          <cell r="C8816">
            <v>203</v>
          </cell>
          <cell r="D8816">
            <v>3</v>
          </cell>
          <cell r="E8816" t="str">
            <v>Equals: VALUE ADDED, GROSS, at basic prices</v>
          </cell>
          <cell r="F8816">
            <v>12</v>
          </cell>
          <cell r="G8816">
            <v>1996</v>
          </cell>
          <cell r="H8816">
            <v>200</v>
          </cell>
          <cell r="I8816">
            <v>78539165611</v>
          </cell>
        </row>
        <row r="8817">
          <cell r="A8817" t="str">
            <v>Portugal</v>
          </cell>
          <cell r="B8817">
            <v>620</v>
          </cell>
          <cell r="C8817">
            <v>203</v>
          </cell>
          <cell r="D8817">
            <v>3</v>
          </cell>
          <cell r="E8817" t="str">
            <v>Equals: VALUE ADDED, GROSS, at basic prices</v>
          </cell>
          <cell r="F8817">
            <v>12</v>
          </cell>
          <cell r="G8817">
            <v>1997</v>
          </cell>
          <cell r="H8817">
            <v>200</v>
          </cell>
          <cell r="I8817">
            <v>85102338365</v>
          </cell>
        </row>
        <row r="8818">
          <cell r="A8818" t="str">
            <v>Portugal</v>
          </cell>
          <cell r="B8818">
            <v>620</v>
          </cell>
          <cell r="C8818">
            <v>203</v>
          </cell>
          <cell r="D8818">
            <v>3</v>
          </cell>
          <cell r="E8818" t="str">
            <v>Equals: VALUE ADDED, GROSS, at basic prices</v>
          </cell>
          <cell r="F8818">
            <v>12</v>
          </cell>
          <cell r="G8818">
            <v>1998</v>
          </cell>
          <cell r="H8818">
            <v>200</v>
          </cell>
          <cell r="I8818">
            <v>91721152024</v>
          </cell>
        </row>
        <row r="8819">
          <cell r="A8819" t="str">
            <v>Portugal</v>
          </cell>
          <cell r="B8819">
            <v>620</v>
          </cell>
          <cell r="C8819">
            <v>203</v>
          </cell>
          <cell r="D8819">
            <v>3</v>
          </cell>
          <cell r="E8819" t="str">
            <v>Equals: VALUE ADDED, GROSS, at basic prices</v>
          </cell>
          <cell r="F8819">
            <v>12</v>
          </cell>
          <cell r="G8819">
            <v>1999</v>
          </cell>
          <cell r="H8819">
            <v>200</v>
          </cell>
          <cell r="I8819">
            <v>97488796999</v>
          </cell>
        </row>
        <row r="8820">
          <cell r="A8820" t="str">
            <v>Portugal</v>
          </cell>
          <cell r="B8820">
            <v>620</v>
          </cell>
          <cell r="C8820">
            <v>203</v>
          </cell>
          <cell r="D8820">
            <v>3</v>
          </cell>
          <cell r="E8820" t="str">
            <v>Equals: VALUE ADDED, GROSS, at basic prices</v>
          </cell>
          <cell r="F8820">
            <v>12</v>
          </cell>
          <cell r="G8820">
            <v>2000</v>
          </cell>
          <cell r="H8820">
            <v>200</v>
          </cell>
          <cell r="I8820">
            <v>104686310991</v>
          </cell>
        </row>
        <row r="8821">
          <cell r="A8821" t="str">
            <v>Portugal</v>
          </cell>
          <cell r="B8821">
            <v>620</v>
          </cell>
          <cell r="C8821">
            <v>203</v>
          </cell>
          <cell r="D8821">
            <v>3</v>
          </cell>
          <cell r="E8821" t="str">
            <v>Equals: VALUE ADDED, GROSS, at basic prices</v>
          </cell>
          <cell r="F8821">
            <v>12</v>
          </cell>
          <cell r="G8821">
            <v>2001</v>
          </cell>
          <cell r="H8821">
            <v>200</v>
          </cell>
          <cell r="I8821">
            <v>111953861195</v>
          </cell>
        </row>
        <row r="8822">
          <cell r="A8822" t="str">
            <v>Papua New Guinea</v>
          </cell>
          <cell r="B8822">
            <v>598</v>
          </cell>
          <cell r="C8822">
            <v>203</v>
          </cell>
          <cell r="D8822">
            <v>11</v>
          </cell>
          <cell r="E8822" t="str">
            <v>OPERATING SURPLUS, GROSS</v>
          </cell>
          <cell r="F8822">
            <v>12</v>
          </cell>
          <cell r="G8822">
            <v>1983</v>
          </cell>
          <cell r="H8822">
            <v>30</v>
          </cell>
          <cell r="I8822">
            <v>1207600000</v>
          </cell>
        </row>
        <row r="8823">
          <cell r="A8823" t="str">
            <v>Papua New Guinea</v>
          </cell>
          <cell r="B8823">
            <v>598</v>
          </cell>
          <cell r="C8823">
            <v>203</v>
          </cell>
          <cell r="D8823">
            <v>11</v>
          </cell>
          <cell r="E8823" t="str">
            <v>OPERATING SURPLUS, GROSS</v>
          </cell>
          <cell r="F8823">
            <v>12</v>
          </cell>
          <cell r="G8823">
            <v>1984</v>
          </cell>
          <cell r="H8823">
            <v>30</v>
          </cell>
          <cell r="I8823">
            <v>1287100000</v>
          </cell>
        </row>
        <row r="8824">
          <cell r="A8824" t="str">
            <v>Papua New Guinea</v>
          </cell>
          <cell r="B8824">
            <v>598</v>
          </cell>
          <cell r="C8824">
            <v>203</v>
          </cell>
          <cell r="D8824">
            <v>11</v>
          </cell>
          <cell r="E8824" t="str">
            <v>OPERATING SURPLUS, GROSS</v>
          </cell>
          <cell r="F8824">
            <v>12</v>
          </cell>
          <cell r="G8824">
            <v>1985</v>
          </cell>
          <cell r="H8824">
            <v>30</v>
          </cell>
          <cell r="I8824">
            <v>1342400000</v>
          </cell>
        </row>
        <row r="8825">
          <cell r="A8825" t="str">
            <v>Papua New Guinea</v>
          </cell>
          <cell r="B8825">
            <v>598</v>
          </cell>
          <cell r="C8825">
            <v>203</v>
          </cell>
          <cell r="D8825">
            <v>11</v>
          </cell>
          <cell r="E8825" t="str">
            <v>OPERATING SURPLUS, GROSS</v>
          </cell>
          <cell r="F8825">
            <v>12</v>
          </cell>
          <cell r="G8825">
            <v>1986</v>
          </cell>
          <cell r="H8825">
            <v>30</v>
          </cell>
          <cell r="I8825">
            <v>1434800000</v>
          </cell>
        </row>
        <row r="8826">
          <cell r="A8826" t="str">
            <v>Papua New Guinea</v>
          </cell>
          <cell r="B8826">
            <v>598</v>
          </cell>
          <cell r="C8826">
            <v>203</v>
          </cell>
          <cell r="D8826">
            <v>11</v>
          </cell>
          <cell r="E8826" t="str">
            <v>OPERATING SURPLUS, GROSS</v>
          </cell>
          <cell r="F8826">
            <v>12</v>
          </cell>
          <cell r="G8826">
            <v>1987</v>
          </cell>
          <cell r="H8826">
            <v>30</v>
          </cell>
          <cell r="I8826">
            <v>1627400000</v>
          </cell>
        </row>
        <row r="8827">
          <cell r="A8827" t="str">
            <v>Papua New Guinea</v>
          </cell>
          <cell r="B8827">
            <v>598</v>
          </cell>
          <cell r="C8827">
            <v>203</v>
          </cell>
          <cell r="D8827">
            <v>11</v>
          </cell>
          <cell r="E8827" t="str">
            <v>OPERATING SURPLUS, GROSS</v>
          </cell>
          <cell r="F8827">
            <v>12</v>
          </cell>
          <cell r="G8827">
            <v>1988</v>
          </cell>
          <cell r="H8827">
            <v>30</v>
          </cell>
          <cell r="I8827">
            <v>1835300000</v>
          </cell>
        </row>
        <row r="8828">
          <cell r="A8828" t="str">
            <v>Papua New Guinea</v>
          </cell>
          <cell r="B8828">
            <v>598</v>
          </cell>
          <cell r="C8828">
            <v>203</v>
          </cell>
          <cell r="D8828">
            <v>11</v>
          </cell>
          <cell r="E8828" t="str">
            <v>OPERATING SURPLUS, GROSS</v>
          </cell>
          <cell r="F8828">
            <v>12</v>
          </cell>
          <cell r="G8828">
            <v>1989</v>
          </cell>
          <cell r="H8828">
            <v>30</v>
          </cell>
          <cell r="I8828">
            <v>1552600000</v>
          </cell>
        </row>
        <row r="8829">
          <cell r="A8829" t="str">
            <v>Papua New Guinea</v>
          </cell>
          <cell r="B8829">
            <v>598</v>
          </cell>
          <cell r="C8829">
            <v>203</v>
          </cell>
          <cell r="D8829">
            <v>11</v>
          </cell>
          <cell r="E8829" t="str">
            <v>OPERATING SURPLUS, GROSS</v>
          </cell>
          <cell r="F8829">
            <v>12</v>
          </cell>
          <cell r="G8829">
            <v>1990</v>
          </cell>
          <cell r="H8829">
            <v>30</v>
          </cell>
          <cell r="I8829">
            <v>1592200000</v>
          </cell>
        </row>
        <row r="8830">
          <cell r="A8830" t="str">
            <v>Papua New Guinea</v>
          </cell>
          <cell r="B8830">
            <v>598</v>
          </cell>
          <cell r="C8830">
            <v>203</v>
          </cell>
          <cell r="D8830">
            <v>11</v>
          </cell>
          <cell r="E8830" t="str">
            <v>OPERATING SURPLUS, GROSS</v>
          </cell>
          <cell r="F8830">
            <v>12</v>
          </cell>
          <cell r="G8830">
            <v>1991</v>
          </cell>
          <cell r="H8830">
            <v>30</v>
          </cell>
          <cell r="I8830">
            <v>1983100000</v>
          </cell>
        </row>
        <row r="8831">
          <cell r="A8831" t="str">
            <v>Papua New Guinea</v>
          </cell>
          <cell r="B8831">
            <v>598</v>
          </cell>
          <cell r="C8831">
            <v>203</v>
          </cell>
          <cell r="D8831">
            <v>11</v>
          </cell>
          <cell r="E8831" t="str">
            <v>OPERATING SURPLUS, GROSS</v>
          </cell>
          <cell r="F8831">
            <v>12</v>
          </cell>
          <cell r="G8831">
            <v>1992</v>
          </cell>
          <cell r="H8831">
            <v>100</v>
          </cell>
          <cell r="I8831">
            <v>1908400000</v>
          </cell>
        </row>
        <row r="8832">
          <cell r="A8832" t="str">
            <v>Papua New Guinea</v>
          </cell>
          <cell r="B8832">
            <v>598</v>
          </cell>
          <cell r="C8832">
            <v>203</v>
          </cell>
          <cell r="D8832">
            <v>11</v>
          </cell>
          <cell r="E8832" t="str">
            <v>OPERATING SURPLUS, GROSS</v>
          </cell>
          <cell r="F8832">
            <v>12</v>
          </cell>
          <cell r="G8832">
            <v>1993</v>
          </cell>
          <cell r="H8832">
            <v>100</v>
          </cell>
          <cell r="I8832">
            <v>2506200000</v>
          </cell>
        </row>
        <row r="8833">
          <cell r="A8833" t="str">
            <v>Papua New Guinea</v>
          </cell>
          <cell r="B8833">
            <v>598</v>
          </cell>
          <cell r="C8833">
            <v>203</v>
          </cell>
          <cell r="D8833">
            <v>11</v>
          </cell>
          <cell r="E8833" t="str">
            <v>OPERATING SURPLUS, GROSS</v>
          </cell>
          <cell r="F8833">
            <v>12</v>
          </cell>
          <cell r="G8833">
            <v>1994</v>
          </cell>
          <cell r="H8833">
            <v>100</v>
          </cell>
          <cell r="I8833">
            <v>2685400000</v>
          </cell>
        </row>
        <row r="8834">
          <cell r="A8834" t="str">
            <v>Papua New Guinea</v>
          </cell>
          <cell r="B8834">
            <v>598</v>
          </cell>
          <cell r="C8834">
            <v>203</v>
          </cell>
          <cell r="D8834">
            <v>11</v>
          </cell>
          <cell r="E8834" t="str">
            <v>OPERATING SURPLUS, GROSS</v>
          </cell>
          <cell r="F8834">
            <v>12</v>
          </cell>
          <cell r="G8834">
            <v>1995</v>
          </cell>
          <cell r="H8834">
            <v>100</v>
          </cell>
          <cell r="I8834">
            <v>3338000000</v>
          </cell>
        </row>
        <row r="8835">
          <cell r="A8835" t="str">
            <v>Papua New Guinea</v>
          </cell>
          <cell r="B8835">
            <v>598</v>
          </cell>
          <cell r="C8835">
            <v>203</v>
          </cell>
          <cell r="D8835">
            <v>11</v>
          </cell>
          <cell r="E8835" t="str">
            <v>OPERATING SURPLUS, GROSS</v>
          </cell>
          <cell r="F8835">
            <v>12</v>
          </cell>
          <cell r="G8835">
            <v>1996</v>
          </cell>
          <cell r="H8835">
            <v>100</v>
          </cell>
          <cell r="I8835">
            <v>3882000000</v>
          </cell>
        </row>
        <row r="8836">
          <cell r="A8836" t="str">
            <v>Papua New Guinea</v>
          </cell>
          <cell r="B8836">
            <v>598</v>
          </cell>
          <cell r="C8836">
            <v>203</v>
          </cell>
          <cell r="D8836">
            <v>11</v>
          </cell>
          <cell r="E8836" t="str">
            <v>OPERATING SURPLUS, GROSS</v>
          </cell>
          <cell r="F8836">
            <v>12</v>
          </cell>
          <cell r="G8836">
            <v>1997</v>
          </cell>
          <cell r="H8836">
            <v>100</v>
          </cell>
          <cell r="I8836">
            <v>4006000000</v>
          </cell>
        </row>
        <row r="8837">
          <cell r="A8837" t="str">
            <v>Papua New Guinea</v>
          </cell>
          <cell r="B8837">
            <v>598</v>
          </cell>
          <cell r="C8837">
            <v>203</v>
          </cell>
          <cell r="D8837">
            <v>11</v>
          </cell>
          <cell r="E8837" t="str">
            <v>OPERATING SURPLUS, GROSS</v>
          </cell>
          <cell r="F8837">
            <v>12</v>
          </cell>
          <cell r="G8837">
            <v>1998</v>
          </cell>
          <cell r="H8837">
            <v>100</v>
          </cell>
          <cell r="I8837">
            <v>4768000000</v>
          </cell>
        </row>
        <row r="8838">
          <cell r="A8838" t="str">
            <v>Papua New Guinea</v>
          </cell>
          <cell r="B8838">
            <v>598</v>
          </cell>
          <cell r="C8838">
            <v>203</v>
          </cell>
          <cell r="D8838">
            <v>11</v>
          </cell>
          <cell r="E8838" t="str">
            <v>OPERATING SURPLUS, GROSS</v>
          </cell>
          <cell r="F8838">
            <v>12</v>
          </cell>
          <cell r="G8838">
            <v>1999</v>
          </cell>
          <cell r="H8838">
            <v>100</v>
          </cell>
          <cell r="I8838">
            <v>5945000000</v>
          </cell>
        </row>
        <row r="8839">
          <cell r="A8839" t="str">
            <v>Papua New Guinea</v>
          </cell>
          <cell r="B8839">
            <v>598</v>
          </cell>
          <cell r="C8839">
            <v>203</v>
          </cell>
          <cell r="D8839">
            <v>11</v>
          </cell>
          <cell r="E8839" t="str">
            <v>OPERATING SURPLUS, GROSS</v>
          </cell>
          <cell r="F8839">
            <v>12</v>
          </cell>
          <cell r="G8839">
            <v>2000</v>
          </cell>
          <cell r="H8839">
            <v>100</v>
          </cell>
          <cell r="I8839">
            <v>6890000000</v>
          </cell>
        </row>
        <row r="8840">
          <cell r="A8840" t="str">
            <v>Papua New Guinea</v>
          </cell>
          <cell r="B8840">
            <v>598</v>
          </cell>
          <cell r="C8840">
            <v>203</v>
          </cell>
          <cell r="D8840">
            <v>11</v>
          </cell>
          <cell r="E8840" t="str">
            <v>OPERATING SURPLUS, GROSS</v>
          </cell>
          <cell r="F8840">
            <v>12</v>
          </cell>
          <cell r="G8840">
            <v>2001</v>
          </cell>
          <cell r="H8840">
            <v>100</v>
          </cell>
          <cell r="I8840">
            <v>7439000000</v>
          </cell>
        </row>
        <row r="8841">
          <cell r="A8841" t="str">
            <v>Papua New Guinea</v>
          </cell>
          <cell r="B8841">
            <v>598</v>
          </cell>
          <cell r="C8841">
            <v>203</v>
          </cell>
          <cell r="D8841">
            <v>11</v>
          </cell>
          <cell r="E8841" t="str">
            <v>OPERATING SURPLUS, GROSS</v>
          </cell>
          <cell r="F8841">
            <v>12</v>
          </cell>
          <cell r="G8841">
            <v>2002</v>
          </cell>
          <cell r="H8841">
            <v>100</v>
          </cell>
          <cell r="I8841">
            <v>8497000000</v>
          </cell>
        </row>
        <row r="8842">
          <cell r="A8842" t="str">
            <v>Portugal</v>
          </cell>
          <cell r="B8842">
            <v>620</v>
          </cell>
          <cell r="C8842">
            <v>203</v>
          </cell>
          <cell r="D8842">
            <v>4</v>
          </cell>
          <cell r="E8842" t="str">
            <v>Compensation of employees</v>
          </cell>
          <cell r="F8842">
            <v>12</v>
          </cell>
          <cell r="G8842">
            <v>1977</v>
          </cell>
          <cell r="H8842">
            <v>30</v>
          </cell>
          <cell r="I8842">
            <v>345711000000</v>
          </cell>
        </row>
        <row r="8843">
          <cell r="A8843" t="str">
            <v>Portugal</v>
          </cell>
          <cell r="B8843">
            <v>620</v>
          </cell>
          <cell r="C8843">
            <v>203</v>
          </cell>
          <cell r="D8843">
            <v>4</v>
          </cell>
          <cell r="E8843" t="str">
            <v>Compensation of employees</v>
          </cell>
          <cell r="F8843">
            <v>12</v>
          </cell>
          <cell r="G8843">
            <v>1978</v>
          </cell>
          <cell r="H8843">
            <v>30</v>
          </cell>
          <cell r="I8843">
            <v>411200000000</v>
          </cell>
        </row>
        <row r="8844">
          <cell r="A8844" t="str">
            <v>Portugal</v>
          </cell>
          <cell r="B8844">
            <v>620</v>
          </cell>
          <cell r="C8844">
            <v>203</v>
          </cell>
          <cell r="D8844">
            <v>4</v>
          </cell>
          <cell r="E8844" t="str">
            <v>Compensation of employees</v>
          </cell>
          <cell r="F8844">
            <v>12</v>
          </cell>
          <cell r="G8844">
            <v>1979</v>
          </cell>
          <cell r="H8844">
            <v>30</v>
          </cell>
          <cell r="I8844">
            <v>503638000000</v>
          </cell>
        </row>
        <row r="8845">
          <cell r="A8845" t="str">
            <v>Portugal</v>
          </cell>
          <cell r="B8845">
            <v>620</v>
          </cell>
          <cell r="C8845">
            <v>203</v>
          </cell>
          <cell r="D8845">
            <v>4</v>
          </cell>
          <cell r="E8845" t="str">
            <v>Compensation of employees</v>
          </cell>
          <cell r="F8845">
            <v>12</v>
          </cell>
          <cell r="G8845">
            <v>1980</v>
          </cell>
          <cell r="H8845">
            <v>30</v>
          </cell>
          <cell r="I8845">
            <v>642966000000</v>
          </cell>
        </row>
        <row r="8846">
          <cell r="A8846" t="str">
            <v>Portugal</v>
          </cell>
          <cell r="B8846">
            <v>620</v>
          </cell>
          <cell r="C8846">
            <v>203</v>
          </cell>
          <cell r="D8846">
            <v>4</v>
          </cell>
          <cell r="E8846" t="str">
            <v>Compensation of employees</v>
          </cell>
          <cell r="F8846">
            <v>12</v>
          </cell>
          <cell r="G8846">
            <v>1981</v>
          </cell>
          <cell r="H8846">
            <v>30</v>
          </cell>
          <cell r="I8846">
            <v>788599000000</v>
          </cell>
        </row>
        <row r="8847">
          <cell r="A8847" t="str">
            <v>Portugal</v>
          </cell>
          <cell r="B8847">
            <v>620</v>
          </cell>
          <cell r="C8847">
            <v>203</v>
          </cell>
          <cell r="D8847">
            <v>4</v>
          </cell>
          <cell r="E8847" t="str">
            <v>Compensation of employees</v>
          </cell>
          <cell r="F8847">
            <v>12</v>
          </cell>
          <cell r="G8847">
            <v>1982</v>
          </cell>
          <cell r="H8847">
            <v>30</v>
          </cell>
          <cell r="I8847">
            <v>963576000000</v>
          </cell>
        </row>
        <row r="8848">
          <cell r="A8848" t="str">
            <v>Portugal</v>
          </cell>
          <cell r="B8848">
            <v>620</v>
          </cell>
          <cell r="C8848">
            <v>203</v>
          </cell>
          <cell r="D8848">
            <v>4</v>
          </cell>
          <cell r="E8848" t="str">
            <v>Compensation of employees</v>
          </cell>
          <cell r="F8848">
            <v>12</v>
          </cell>
          <cell r="G8848">
            <v>1983</v>
          </cell>
          <cell r="H8848">
            <v>30</v>
          </cell>
          <cell r="I8848">
            <v>1174167000000</v>
          </cell>
        </row>
        <row r="8849">
          <cell r="A8849" t="str">
            <v>Portugal</v>
          </cell>
          <cell r="B8849">
            <v>620</v>
          </cell>
          <cell r="C8849">
            <v>203</v>
          </cell>
          <cell r="D8849">
            <v>4</v>
          </cell>
          <cell r="E8849" t="str">
            <v>Compensation of employees</v>
          </cell>
          <cell r="F8849">
            <v>12</v>
          </cell>
          <cell r="G8849">
            <v>1984</v>
          </cell>
          <cell r="H8849">
            <v>30</v>
          </cell>
          <cell r="I8849">
            <v>1385852000000</v>
          </cell>
        </row>
        <row r="8850">
          <cell r="A8850" t="str">
            <v>Portugal</v>
          </cell>
          <cell r="B8850">
            <v>620</v>
          </cell>
          <cell r="C8850">
            <v>203</v>
          </cell>
          <cell r="D8850">
            <v>4</v>
          </cell>
          <cell r="E8850" t="str">
            <v>Compensation of employees</v>
          </cell>
          <cell r="F8850">
            <v>12</v>
          </cell>
          <cell r="G8850">
            <v>1985</v>
          </cell>
          <cell r="H8850">
            <v>30</v>
          </cell>
          <cell r="I8850">
            <v>1669807000000</v>
          </cell>
        </row>
        <row r="8851">
          <cell r="A8851" t="str">
            <v>Portugal</v>
          </cell>
          <cell r="B8851">
            <v>620</v>
          </cell>
          <cell r="C8851">
            <v>203</v>
          </cell>
          <cell r="D8851">
            <v>4</v>
          </cell>
          <cell r="E8851" t="str">
            <v>Compensation of employees</v>
          </cell>
          <cell r="F8851">
            <v>12</v>
          </cell>
          <cell r="G8851">
            <v>1986</v>
          </cell>
          <cell r="H8851">
            <v>30</v>
          </cell>
          <cell r="I8851">
            <v>2009235000000</v>
          </cell>
        </row>
        <row r="8852">
          <cell r="A8852" t="str">
            <v>Portugal</v>
          </cell>
          <cell r="B8852">
            <v>620</v>
          </cell>
          <cell r="C8852">
            <v>203</v>
          </cell>
          <cell r="D8852">
            <v>4</v>
          </cell>
          <cell r="E8852" t="str">
            <v>Compensation of employees</v>
          </cell>
          <cell r="F8852">
            <v>12</v>
          </cell>
          <cell r="G8852">
            <v>1986</v>
          </cell>
          <cell r="H8852">
            <v>40</v>
          </cell>
          <cell r="I8852">
            <v>2225899000000</v>
          </cell>
        </row>
        <row r="8853">
          <cell r="A8853" t="str">
            <v>Portugal</v>
          </cell>
          <cell r="B8853">
            <v>620</v>
          </cell>
          <cell r="C8853">
            <v>203</v>
          </cell>
          <cell r="D8853">
            <v>4</v>
          </cell>
          <cell r="E8853" t="str">
            <v>Compensation of employees</v>
          </cell>
          <cell r="F8853">
            <v>12</v>
          </cell>
          <cell r="G8853">
            <v>1987</v>
          </cell>
          <cell r="H8853">
            <v>40</v>
          </cell>
          <cell r="I8853">
            <v>2588732000000</v>
          </cell>
        </row>
        <row r="8854">
          <cell r="A8854" t="str">
            <v>Portugal</v>
          </cell>
          <cell r="B8854">
            <v>620</v>
          </cell>
          <cell r="C8854">
            <v>203</v>
          </cell>
          <cell r="D8854">
            <v>4</v>
          </cell>
          <cell r="E8854" t="str">
            <v>Compensation of employees</v>
          </cell>
          <cell r="F8854">
            <v>12</v>
          </cell>
          <cell r="G8854">
            <v>1988</v>
          </cell>
          <cell r="H8854">
            <v>40</v>
          </cell>
          <cell r="I8854">
            <v>3013538000000</v>
          </cell>
        </row>
        <row r="8855">
          <cell r="A8855" t="str">
            <v>Portugal</v>
          </cell>
          <cell r="B8855">
            <v>620</v>
          </cell>
          <cell r="C8855">
            <v>203</v>
          </cell>
          <cell r="D8855">
            <v>4</v>
          </cell>
          <cell r="E8855" t="str">
            <v>Compensation of employees</v>
          </cell>
          <cell r="F8855">
            <v>12</v>
          </cell>
          <cell r="G8855">
            <v>1995</v>
          </cell>
          <cell r="H8855">
            <v>200</v>
          </cell>
          <cell r="I8855">
            <v>38563292465</v>
          </cell>
        </row>
        <row r="8856">
          <cell r="A8856" t="str">
            <v>Portugal</v>
          </cell>
          <cell r="B8856">
            <v>620</v>
          </cell>
          <cell r="C8856">
            <v>203</v>
          </cell>
          <cell r="D8856">
            <v>4</v>
          </cell>
          <cell r="E8856" t="str">
            <v>Compensation of employees</v>
          </cell>
          <cell r="F8856">
            <v>12</v>
          </cell>
          <cell r="G8856">
            <v>1996</v>
          </cell>
          <cell r="H8856">
            <v>200</v>
          </cell>
          <cell r="I8856">
            <v>41367319759</v>
          </cell>
        </row>
        <row r="8857">
          <cell r="A8857" t="str">
            <v>Portugal</v>
          </cell>
          <cell r="B8857">
            <v>620</v>
          </cell>
          <cell r="C8857">
            <v>203</v>
          </cell>
          <cell r="D8857">
            <v>4</v>
          </cell>
          <cell r="E8857" t="str">
            <v>Compensation of employees</v>
          </cell>
          <cell r="F8857">
            <v>12</v>
          </cell>
          <cell r="G8857">
            <v>1997</v>
          </cell>
          <cell r="H8857">
            <v>200</v>
          </cell>
          <cell r="I8857">
            <v>44584546244</v>
          </cell>
        </row>
        <row r="8858">
          <cell r="A8858" t="str">
            <v>Portugal</v>
          </cell>
          <cell r="B8858">
            <v>620</v>
          </cell>
          <cell r="C8858">
            <v>203</v>
          </cell>
          <cell r="D8858">
            <v>4</v>
          </cell>
          <cell r="E8858" t="str">
            <v>Compensation of employees</v>
          </cell>
          <cell r="F8858">
            <v>12</v>
          </cell>
          <cell r="G8858">
            <v>1998</v>
          </cell>
          <cell r="H8858">
            <v>200</v>
          </cell>
          <cell r="I8858">
            <v>48265684700</v>
          </cell>
        </row>
        <row r="8859">
          <cell r="A8859" t="str">
            <v>Portugal</v>
          </cell>
          <cell r="B8859">
            <v>620</v>
          </cell>
          <cell r="C8859">
            <v>203</v>
          </cell>
          <cell r="D8859">
            <v>4</v>
          </cell>
          <cell r="E8859" t="str">
            <v>Compensation of employees</v>
          </cell>
          <cell r="F8859">
            <v>12</v>
          </cell>
          <cell r="G8859">
            <v>1999</v>
          </cell>
          <cell r="H8859">
            <v>200</v>
          </cell>
          <cell r="I8859">
            <v>52092132960</v>
          </cell>
        </row>
        <row r="8860">
          <cell r="A8860" t="str">
            <v>Portugal</v>
          </cell>
          <cell r="B8860">
            <v>620</v>
          </cell>
          <cell r="C8860">
            <v>203</v>
          </cell>
          <cell r="D8860">
            <v>4</v>
          </cell>
          <cell r="E8860" t="str">
            <v>Compensation of employees</v>
          </cell>
          <cell r="F8860">
            <v>12</v>
          </cell>
          <cell r="G8860">
            <v>2000</v>
          </cell>
          <cell r="H8860">
            <v>200</v>
          </cell>
          <cell r="I8860">
            <v>57061287298</v>
          </cell>
        </row>
        <row r="8861">
          <cell r="A8861" t="str">
            <v>Portugal</v>
          </cell>
          <cell r="B8861">
            <v>620</v>
          </cell>
          <cell r="C8861">
            <v>203</v>
          </cell>
          <cell r="D8861">
            <v>4</v>
          </cell>
          <cell r="E8861" t="str">
            <v>Compensation of employees</v>
          </cell>
          <cell r="F8861">
            <v>12</v>
          </cell>
          <cell r="G8861">
            <v>2001</v>
          </cell>
          <cell r="H8861">
            <v>200</v>
          </cell>
          <cell r="I8861">
            <v>61170090083</v>
          </cell>
        </row>
        <row r="8862">
          <cell r="A8862" t="str">
            <v>Papua New Guinea</v>
          </cell>
          <cell r="B8862">
            <v>598</v>
          </cell>
          <cell r="C8862">
            <v>203</v>
          </cell>
          <cell r="D8862">
            <v>22</v>
          </cell>
          <cell r="E8862" t="str">
            <v>Taxes on production and imports, less Subsidies</v>
          </cell>
          <cell r="F8862">
            <v>12</v>
          </cell>
          <cell r="G8862">
            <v>1983</v>
          </cell>
          <cell r="H8862">
            <v>30</v>
          </cell>
          <cell r="I8862">
            <v>65300000</v>
          </cell>
        </row>
        <row r="8863">
          <cell r="A8863" t="str">
            <v>Papua New Guinea</v>
          </cell>
          <cell r="B8863">
            <v>598</v>
          </cell>
          <cell r="C8863">
            <v>203</v>
          </cell>
          <cell r="D8863">
            <v>22</v>
          </cell>
          <cell r="E8863" t="str">
            <v>Taxes on production and imports, less Subsidies</v>
          </cell>
          <cell r="F8863">
            <v>12</v>
          </cell>
          <cell r="G8863">
            <v>1984</v>
          </cell>
          <cell r="H8863">
            <v>30</v>
          </cell>
          <cell r="I8863">
            <v>82200000</v>
          </cell>
        </row>
        <row r="8864">
          <cell r="A8864" t="str">
            <v>Papua New Guinea</v>
          </cell>
          <cell r="B8864">
            <v>598</v>
          </cell>
          <cell r="C8864">
            <v>203</v>
          </cell>
          <cell r="D8864">
            <v>22</v>
          </cell>
          <cell r="E8864" t="str">
            <v>Taxes on production and imports, less Subsidies</v>
          </cell>
          <cell r="F8864">
            <v>12</v>
          </cell>
          <cell r="G8864">
            <v>1985</v>
          </cell>
          <cell r="H8864">
            <v>30</v>
          </cell>
          <cell r="I8864">
            <v>85600000</v>
          </cell>
        </row>
        <row r="8865">
          <cell r="A8865" t="str">
            <v>Papua New Guinea</v>
          </cell>
          <cell r="B8865">
            <v>598</v>
          </cell>
          <cell r="C8865">
            <v>203</v>
          </cell>
          <cell r="D8865">
            <v>22</v>
          </cell>
          <cell r="E8865" t="str">
            <v>Taxes on production and imports, less Subsidies</v>
          </cell>
          <cell r="F8865">
            <v>12</v>
          </cell>
          <cell r="G8865">
            <v>1986</v>
          </cell>
          <cell r="H8865">
            <v>30</v>
          </cell>
          <cell r="I8865">
            <v>108000000</v>
          </cell>
        </row>
        <row r="8866">
          <cell r="A8866" t="str">
            <v>Papua New Guinea</v>
          </cell>
          <cell r="B8866">
            <v>598</v>
          </cell>
          <cell r="C8866">
            <v>203</v>
          </cell>
          <cell r="D8866">
            <v>22</v>
          </cell>
          <cell r="E8866" t="str">
            <v>Taxes on production and imports, less Subsidies</v>
          </cell>
          <cell r="F8866">
            <v>12</v>
          </cell>
          <cell r="G8866">
            <v>1987</v>
          </cell>
          <cell r="H8866">
            <v>30</v>
          </cell>
          <cell r="I8866">
            <v>121400000</v>
          </cell>
        </row>
        <row r="8867">
          <cell r="A8867" t="str">
            <v>Papua New Guinea</v>
          </cell>
          <cell r="B8867">
            <v>598</v>
          </cell>
          <cell r="C8867">
            <v>203</v>
          </cell>
          <cell r="D8867">
            <v>22</v>
          </cell>
          <cell r="E8867" t="str">
            <v>Taxes on production and imports, less Subsidies</v>
          </cell>
          <cell r="F8867">
            <v>12</v>
          </cell>
          <cell r="G8867">
            <v>1988</v>
          </cell>
          <cell r="H8867">
            <v>30</v>
          </cell>
          <cell r="I8867">
            <v>127200000</v>
          </cell>
        </row>
        <row r="8868">
          <cell r="A8868" t="str">
            <v>Papua New Guinea</v>
          </cell>
          <cell r="B8868">
            <v>598</v>
          </cell>
          <cell r="C8868">
            <v>203</v>
          </cell>
          <cell r="D8868">
            <v>22</v>
          </cell>
          <cell r="E8868" t="str">
            <v>Taxes on production and imports, less Subsidies</v>
          </cell>
          <cell r="F8868">
            <v>12</v>
          </cell>
          <cell r="G8868">
            <v>1989</v>
          </cell>
          <cell r="H8868">
            <v>30</v>
          </cell>
          <cell r="I8868">
            <v>143000000</v>
          </cell>
        </row>
        <row r="8869">
          <cell r="A8869" t="str">
            <v>Papua New Guinea</v>
          </cell>
          <cell r="B8869">
            <v>598</v>
          </cell>
          <cell r="C8869">
            <v>203</v>
          </cell>
          <cell r="D8869">
            <v>22</v>
          </cell>
          <cell r="E8869" t="str">
            <v>Taxes on production and imports, less Subsidies</v>
          </cell>
          <cell r="F8869">
            <v>12</v>
          </cell>
          <cell r="G8869">
            <v>1990</v>
          </cell>
          <cell r="H8869">
            <v>30</v>
          </cell>
          <cell r="I8869">
            <v>141700000</v>
          </cell>
        </row>
        <row r="8870">
          <cell r="A8870" t="str">
            <v>Papua New Guinea</v>
          </cell>
          <cell r="B8870">
            <v>598</v>
          </cell>
          <cell r="C8870">
            <v>203</v>
          </cell>
          <cell r="D8870">
            <v>22</v>
          </cell>
          <cell r="E8870" t="str">
            <v>Taxes on production and imports, less Subsidies</v>
          </cell>
          <cell r="F8870">
            <v>12</v>
          </cell>
          <cell r="G8870">
            <v>1991</v>
          </cell>
          <cell r="H8870">
            <v>30</v>
          </cell>
          <cell r="I8870">
            <v>183100000</v>
          </cell>
        </row>
        <row r="8871">
          <cell r="A8871" t="str">
            <v>Portugal</v>
          </cell>
          <cell r="B8871">
            <v>620</v>
          </cell>
          <cell r="C8871">
            <v>203</v>
          </cell>
          <cell r="D8871">
            <v>11</v>
          </cell>
          <cell r="E8871" t="str">
            <v>OPERATING SURPLUS, GROSS</v>
          </cell>
          <cell r="F8871">
            <v>12</v>
          </cell>
          <cell r="G8871">
            <v>1977</v>
          </cell>
          <cell r="H8871">
            <v>30</v>
          </cell>
          <cell r="I8871">
            <v>248254000000</v>
          </cell>
        </row>
        <row r="8872">
          <cell r="A8872" t="str">
            <v>Portugal</v>
          </cell>
          <cell r="B8872">
            <v>620</v>
          </cell>
          <cell r="C8872">
            <v>203</v>
          </cell>
          <cell r="D8872">
            <v>11</v>
          </cell>
          <cell r="E8872" t="str">
            <v>OPERATING SURPLUS, GROSS</v>
          </cell>
          <cell r="F8872">
            <v>12</v>
          </cell>
          <cell r="G8872">
            <v>1978</v>
          </cell>
          <cell r="H8872">
            <v>30</v>
          </cell>
          <cell r="I8872">
            <v>360418000000</v>
          </cell>
        </row>
        <row r="8873">
          <cell r="A8873" t="str">
            <v>Portugal</v>
          </cell>
          <cell r="B8873">
            <v>620</v>
          </cell>
          <cell r="C8873">
            <v>203</v>
          </cell>
          <cell r="D8873">
            <v>11</v>
          </cell>
          <cell r="E8873" t="str">
            <v>OPERATING SURPLUS, GROSS</v>
          </cell>
          <cell r="F8873">
            <v>12</v>
          </cell>
          <cell r="G8873">
            <v>1979</v>
          </cell>
          <cell r="H8873">
            <v>30</v>
          </cell>
          <cell r="I8873">
            <v>456824000000</v>
          </cell>
        </row>
        <row r="8874">
          <cell r="A8874" t="str">
            <v>Portugal</v>
          </cell>
          <cell r="B8874">
            <v>620</v>
          </cell>
          <cell r="C8874">
            <v>203</v>
          </cell>
          <cell r="D8874">
            <v>11</v>
          </cell>
          <cell r="E8874" t="str">
            <v>OPERATING SURPLUS, GROSS</v>
          </cell>
          <cell r="F8874">
            <v>12</v>
          </cell>
          <cell r="G8874">
            <v>1980</v>
          </cell>
          <cell r="H8874">
            <v>30</v>
          </cell>
          <cell r="I8874">
            <v>557094000000</v>
          </cell>
        </row>
        <row r="8875">
          <cell r="A8875" t="str">
            <v>Portugal</v>
          </cell>
          <cell r="B8875">
            <v>620</v>
          </cell>
          <cell r="C8875">
            <v>203</v>
          </cell>
          <cell r="D8875">
            <v>11</v>
          </cell>
          <cell r="E8875" t="str">
            <v>OPERATING SURPLUS, GROSS</v>
          </cell>
          <cell r="F8875">
            <v>12</v>
          </cell>
          <cell r="G8875">
            <v>1981</v>
          </cell>
          <cell r="H8875">
            <v>30</v>
          </cell>
          <cell r="I8875">
            <v>656475000000</v>
          </cell>
        </row>
        <row r="8876">
          <cell r="A8876" t="str">
            <v>Portugal</v>
          </cell>
          <cell r="B8876">
            <v>620</v>
          </cell>
          <cell r="C8876">
            <v>203</v>
          </cell>
          <cell r="D8876">
            <v>11</v>
          </cell>
          <cell r="E8876" t="str">
            <v>OPERATING SURPLUS, GROSS</v>
          </cell>
          <cell r="F8876">
            <v>12</v>
          </cell>
          <cell r="G8876">
            <v>1982</v>
          </cell>
          <cell r="H8876">
            <v>30</v>
          </cell>
          <cell r="I8876">
            <v>798456000000</v>
          </cell>
        </row>
        <row r="8877">
          <cell r="A8877" t="str">
            <v>Portugal</v>
          </cell>
          <cell r="B8877">
            <v>620</v>
          </cell>
          <cell r="C8877">
            <v>203</v>
          </cell>
          <cell r="D8877">
            <v>11</v>
          </cell>
          <cell r="E8877" t="str">
            <v>OPERATING SURPLUS, GROSS</v>
          </cell>
          <cell r="F8877">
            <v>12</v>
          </cell>
          <cell r="G8877">
            <v>1983</v>
          </cell>
          <cell r="H8877">
            <v>30</v>
          </cell>
          <cell r="I8877">
            <v>996610000000</v>
          </cell>
        </row>
        <row r="8878">
          <cell r="A8878" t="str">
            <v>Portugal</v>
          </cell>
          <cell r="B8878">
            <v>620</v>
          </cell>
          <cell r="C8878">
            <v>203</v>
          </cell>
          <cell r="D8878">
            <v>11</v>
          </cell>
          <cell r="E8878" t="str">
            <v>OPERATING SURPLUS, GROSS</v>
          </cell>
          <cell r="F8878">
            <v>12</v>
          </cell>
          <cell r="G8878">
            <v>1984</v>
          </cell>
          <cell r="H8878">
            <v>30</v>
          </cell>
          <cell r="I8878">
            <v>1252969000000</v>
          </cell>
        </row>
        <row r="8879">
          <cell r="A8879" t="str">
            <v>Portugal</v>
          </cell>
          <cell r="B8879">
            <v>620</v>
          </cell>
          <cell r="C8879">
            <v>203</v>
          </cell>
          <cell r="D8879">
            <v>11</v>
          </cell>
          <cell r="E8879" t="str">
            <v>OPERATING SURPLUS, GROSS</v>
          </cell>
          <cell r="F8879">
            <v>12</v>
          </cell>
          <cell r="G8879">
            <v>1985</v>
          </cell>
          <cell r="H8879">
            <v>30</v>
          </cell>
          <cell r="I8879">
            <v>1626494000000</v>
          </cell>
        </row>
        <row r="8880">
          <cell r="A8880" t="str">
            <v>Portugal</v>
          </cell>
          <cell r="B8880">
            <v>620</v>
          </cell>
          <cell r="C8880">
            <v>203</v>
          </cell>
          <cell r="D8880">
            <v>11</v>
          </cell>
          <cell r="E8880" t="str">
            <v>OPERATING SURPLUS, GROSS</v>
          </cell>
          <cell r="F8880">
            <v>12</v>
          </cell>
          <cell r="G8880">
            <v>1986</v>
          </cell>
          <cell r="H8880">
            <v>30</v>
          </cell>
          <cell r="I8880">
            <v>2005113000000</v>
          </cell>
        </row>
        <row r="8881">
          <cell r="A8881" t="str">
            <v>Portugal</v>
          </cell>
          <cell r="B8881">
            <v>620</v>
          </cell>
          <cell r="C8881">
            <v>203</v>
          </cell>
          <cell r="D8881">
            <v>11</v>
          </cell>
          <cell r="E8881" t="str">
            <v>OPERATING SURPLUS, GROSS</v>
          </cell>
          <cell r="F8881">
            <v>12</v>
          </cell>
          <cell r="G8881">
            <v>1986</v>
          </cell>
          <cell r="H8881">
            <v>40</v>
          </cell>
          <cell r="I8881">
            <v>2491737000000</v>
          </cell>
        </row>
        <row r="8882">
          <cell r="A8882" t="str">
            <v>Portugal</v>
          </cell>
          <cell r="B8882">
            <v>620</v>
          </cell>
          <cell r="C8882">
            <v>203</v>
          </cell>
          <cell r="D8882">
            <v>11</v>
          </cell>
          <cell r="E8882" t="str">
            <v>OPERATING SURPLUS, GROSS</v>
          </cell>
          <cell r="F8882">
            <v>12</v>
          </cell>
          <cell r="G8882">
            <v>1987</v>
          </cell>
          <cell r="H8882">
            <v>40</v>
          </cell>
          <cell r="I8882">
            <v>2955120000000</v>
          </cell>
        </row>
        <row r="8883">
          <cell r="A8883" t="str">
            <v>Portugal</v>
          </cell>
          <cell r="B8883">
            <v>620</v>
          </cell>
          <cell r="C8883">
            <v>203</v>
          </cell>
          <cell r="D8883">
            <v>11</v>
          </cell>
          <cell r="E8883" t="str">
            <v>OPERATING SURPLUS, GROSS</v>
          </cell>
          <cell r="F8883">
            <v>12</v>
          </cell>
          <cell r="G8883">
            <v>1988</v>
          </cell>
          <cell r="H8883">
            <v>40</v>
          </cell>
          <cell r="I8883">
            <v>3525139000000</v>
          </cell>
        </row>
        <row r="8884">
          <cell r="A8884" t="str">
            <v>Portugal</v>
          </cell>
          <cell r="B8884">
            <v>620</v>
          </cell>
          <cell r="C8884">
            <v>203</v>
          </cell>
          <cell r="D8884">
            <v>11</v>
          </cell>
          <cell r="E8884" t="str">
            <v>OPERATING SURPLUS, GROSS</v>
          </cell>
          <cell r="F8884">
            <v>12</v>
          </cell>
          <cell r="G8884">
            <v>1995</v>
          </cell>
          <cell r="H8884">
            <v>200</v>
          </cell>
          <cell r="I8884">
            <v>35849617422</v>
          </cell>
        </row>
        <row r="8885">
          <cell r="A8885" t="str">
            <v>Portugal</v>
          </cell>
          <cell r="B8885">
            <v>620</v>
          </cell>
          <cell r="C8885">
            <v>203</v>
          </cell>
          <cell r="D8885">
            <v>11</v>
          </cell>
          <cell r="E8885" t="str">
            <v>OPERATING SURPLUS, GROSS</v>
          </cell>
          <cell r="F8885">
            <v>12</v>
          </cell>
          <cell r="G8885">
            <v>1996</v>
          </cell>
          <cell r="H8885">
            <v>200</v>
          </cell>
          <cell r="I8885">
            <v>37753553935</v>
          </cell>
        </row>
        <row r="8886">
          <cell r="A8886" t="str">
            <v>Portugal</v>
          </cell>
          <cell r="B8886">
            <v>620</v>
          </cell>
          <cell r="C8886">
            <v>203</v>
          </cell>
          <cell r="D8886">
            <v>11</v>
          </cell>
          <cell r="E8886" t="str">
            <v>OPERATING SURPLUS, GROSS</v>
          </cell>
          <cell r="F8886">
            <v>12</v>
          </cell>
          <cell r="G8886">
            <v>1997</v>
          </cell>
          <cell r="H8886">
            <v>200</v>
          </cell>
          <cell r="I8886">
            <v>40947022675</v>
          </cell>
        </row>
        <row r="8887">
          <cell r="A8887" t="str">
            <v>Portugal</v>
          </cell>
          <cell r="B8887">
            <v>620</v>
          </cell>
          <cell r="C8887">
            <v>203</v>
          </cell>
          <cell r="D8887">
            <v>11</v>
          </cell>
          <cell r="E8887" t="str">
            <v>OPERATING SURPLUS, GROSS</v>
          </cell>
          <cell r="F8887">
            <v>12</v>
          </cell>
          <cell r="G8887">
            <v>1998</v>
          </cell>
          <cell r="H8887">
            <v>200</v>
          </cell>
          <cell r="I8887">
            <v>44113735897</v>
          </cell>
        </row>
        <row r="8888">
          <cell r="A8888" t="str">
            <v>Portugal</v>
          </cell>
          <cell r="B8888">
            <v>620</v>
          </cell>
          <cell r="C8888">
            <v>203</v>
          </cell>
          <cell r="D8888">
            <v>11</v>
          </cell>
          <cell r="E8888" t="str">
            <v>OPERATING SURPLUS, GROSS</v>
          </cell>
          <cell r="F8888">
            <v>12</v>
          </cell>
          <cell r="G8888">
            <v>1999</v>
          </cell>
          <cell r="H8888">
            <v>200</v>
          </cell>
          <cell r="I8888">
            <v>46291278020</v>
          </cell>
        </row>
        <row r="8889">
          <cell r="A8889" t="str">
            <v>Portugal</v>
          </cell>
          <cell r="B8889">
            <v>620</v>
          </cell>
          <cell r="C8889">
            <v>203</v>
          </cell>
          <cell r="D8889">
            <v>11</v>
          </cell>
          <cell r="E8889" t="str">
            <v>OPERATING SURPLUS, GROSS</v>
          </cell>
          <cell r="F8889">
            <v>12</v>
          </cell>
          <cell r="G8889">
            <v>2000</v>
          </cell>
          <cell r="H8889">
            <v>200</v>
          </cell>
          <cell r="I8889">
            <v>47904659770</v>
          </cell>
        </row>
        <row r="8890">
          <cell r="A8890" t="str">
            <v>Portugal</v>
          </cell>
          <cell r="B8890">
            <v>620</v>
          </cell>
          <cell r="C8890">
            <v>203</v>
          </cell>
          <cell r="D8890">
            <v>11</v>
          </cell>
          <cell r="E8890" t="str">
            <v>OPERATING SURPLUS, GROSS</v>
          </cell>
          <cell r="F8890">
            <v>12</v>
          </cell>
          <cell r="G8890">
            <v>2001</v>
          </cell>
          <cell r="H8890">
            <v>200</v>
          </cell>
          <cell r="I8890">
            <v>51345542243</v>
          </cell>
        </row>
        <row r="8891">
          <cell r="A8891" t="str">
            <v>Portugal</v>
          </cell>
          <cell r="B8891">
            <v>620</v>
          </cell>
          <cell r="C8891">
            <v>203</v>
          </cell>
          <cell r="D8891">
            <v>22</v>
          </cell>
          <cell r="E8891" t="str">
            <v>Taxes on production and imports, less Subsidies</v>
          </cell>
          <cell r="F8891">
            <v>12</v>
          </cell>
          <cell r="G8891">
            <v>1977</v>
          </cell>
          <cell r="H8891">
            <v>30</v>
          </cell>
          <cell r="I8891">
            <v>43008000000</v>
          </cell>
        </row>
        <row r="8892">
          <cell r="A8892" t="str">
            <v>Portugal</v>
          </cell>
          <cell r="B8892">
            <v>620</v>
          </cell>
          <cell r="C8892">
            <v>203</v>
          </cell>
          <cell r="D8892">
            <v>22</v>
          </cell>
          <cell r="E8892" t="str">
            <v>Taxes on production and imports, less Subsidies</v>
          </cell>
          <cell r="F8892">
            <v>12</v>
          </cell>
          <cell r="G8892">
            <v>1978</v>
          </cell>
          <cell r="H8892">
            <v>30</v>
          </cell>
          <cell r="I8892">
            <v>46732000000</v>
          </cell>
        </row>
        <row r="8893">
          <cell r="A8893" t="str">
            <v>Portugal</v>
          </cell>
          <cell r="B8893">
            <v>620</v>
          </cell>
          <cell r="C8893">
            <v>203</v>
          </cell>
          <cell r="D8893">
            <v>22</v>
          </cell>
          <cell r="E8893" t="str">
            <v>Taxes on production and imports, less Subsidies</v>
          </cell>
          <cell r="F8893">
            <v>12</v>
          </cell>
          <cell r="G8893">
            <v>1979</v>
          </cell>
          <cell r="H8893">
            <v>30</v>
          </cell>
          <cell r="I8893">
            <v>62259000000</v>
          </cell>
        </row>
        <row r="8894">
          <cell r="A8894" t="str">
            <v>Portugal</v>
          </cell>
          <cell r="B8894">
            <v>620</v>
          </cell>
          <cell r="C8894">
            <v>203</v>
          </cell>
          <cell r="D8894">
            <v>22</v>
          </cell>
          <cell r="E8894" t="str">
            <v>Taxes on production and imports, less Subsidies</v>
          </cell>
          <cell r="F8894">
            <v>12</v>
          </cell>
          <cell r="G8894">
            <v>1980</v>
          </cell>
          <cell r="H8894">
            <v>30</v>
          </cell>
          <cell r="I8894">
            <v>95518000000</v>
          </cell>
        </row>
        <row r="8895">
          <cell r="A8895" t="str">
            <v>Portugal</v>
          </cell>
          <cell r="B8895">
            <v>620</v>
          </cell>
          <cell r="C8895">
            <v>203</v>
          </cell>
          <cell r="D8895">
            <v>22</v>
          </cell>
          <cell r="E8895" t="str">
            <v>Taxes on production and imports, less Subsidies</v>
          </cell>
          <cell r="F8895">
            <v>12</v>
          </cell>
          <cell r="G8895">
            <v>1981</v>
          </cell>
          <cell r="H8895">
            <v>30</v>
          </cell>
          <cell r="I8895">
            <v>109437000000</v>
          </cell>
        </row>
        <row r="8896">
          <cell r="A8896" t="str">
            <v>Portugal</v>
          </cell>
          <cell r="B8896">
            <v>620</v>
          </cell>
          <cell r="C8896">
            <v>203</v>
          </cell>
          <cell r="D8896">
            <v>22</v>
          </cell>
          <cell r="E8896" t="str">
            <v>Taxes on production and imports, less Subsidies</v>
          </cell>
          <cell r="F8896">
            <v>12</v>
          </cell>
          <cell r="G8896">
            <v>1982</v>
          </cell>
          <cell r="H8896">
            <v>30</v>
          </cell>
          <cell r="I8896">
            <v>165588000000</v>
          </cell>
        </row>
        <row r="8897">
          <cell r="A8897" t="str">
            <v>Portugal</v>
          </cell>
          <cell r="B8897">
            <v>620</v>
          </cell>
          <cell r="C8897">
            <v>203</v>
          </cell>
          <cell r="D8897">
            <v>22</v>
          </cell>
          <cell r="E8897" t="str">
            <v>Taxes on production and imports, less Subsidies</v>
          </cell>
          <cell r="F8897">
            <v>12</v>
          </cell>
          <cell r="G8897">
            <v>1983</v>
          </cell>
          <cell r="H8897">
            <v>30</v>
          </cell>
          <cell r="I8897">
            <v>223753000000</v>
          </cell>
        </row>
        <row r="8898">
          <cell r="A8898" t="str">
            <v>Portugal</v>
          </cell>
          <cell r="B8898">
            <v>620</v>
          </cell>
          <cell r="C8898">
            <v>203</v>
          </cell>
          <cell r="D8898">
            <v>22</v>
          </cell>
          <cell r="E8898" t="str">
            <v>Taxes on production and imports, less Subsidies</v>
          </cell>
          <cell r="F8898">
            <v>12</v>
          </cell>
          <cell r="G8898">
            <v>1984</v>
          </cell>
          <cell r="H8898">
            <v>30</v>
          </cell>
          <cell r="I8898">
            <v>276761000000</v>
          </cell>
        </row>
        <row r="8899">
          <cell r="A8899" t="str">
            <v>Portugal</v>
          </cell>
          <cell r="B8899">
            <v>620</v>
          </cell>
          <cell r="C8899">
            <v>203</v>
          </cell>
          <cell r="D8899">
            <v>22</v>
          </cell>
          <cell r="E8899" t="str">
            <v>Taxes on production and imports, less Subsidies</v>
          </cell>
          <cell r="F8899">
            <v>12</v>
          </cell>
          <cell r="G8899">
            <v>1985</v>
          </cell>
          <cell r="H8899">
            <v>30</v>
          </cell>
          <cell r="I8899">
            <v>354767000000</v>
          </cell>
        </row>
        <row r="8900">
          <cell r="A8900" t="str">
            <v>Portugal</v>
          </cell>
          <cell r="B8900">
            <v>620</v>
          </cell>
          <cell r="C8900">
            <v>203</v>
          </cell>
          <cell r="D8900">
            <v>22</v>
          </cell>
          <cell r="E8900" t="str">
            <v>Taxes on production and imports, less Subsidies</v>
          </cell>
          <cell r="F8900">
            <v>12</v>
          </cell>
          <cell r="G8900">
            <v>1986</v>
          </cell>
          <cell r="H8900">
            <v>30</v>
          </cell>
          <cell r="I8900">
            <v>292685000000</v>
          </cell>
        </row>
        <row r="8901">
          <cell r="A8901" t="str">
            <v>Portugal</v>
          </cell>
          <cell r="B8901">
            <v>620</v>
          </cell>
          <cell r="C8901">
            <v>203</v>
          </cell>
          <cell r="D8901">
            <v>22</v>
          </cell>
          <cell r="E8901" t="str">
            <v>Taxes on production and imports, less Subsidies</v>
          </cell>
          <cell r="F8901">
            <v>12</v>
          </cell>
          <cell r="G8901">
            <v>1986</v>
          </cell>
          <cell r="H8901">
            <v>40</v>
          </cell>
          <cell r="I8901">
            <v>280016000000</v>
          </cell>
        </row>
        <row r="8902">
          <cell r="A8902" t="str">
            <v>Portugal</v>
          </cell>
          <cell r="B8902">
            <v>620</v>
          </cell>
          <cell r="C8902">
            <v>203</v>
          </cell>
          <cell r="D8902">
            <v>22</v>
          </cell>
          <cell r="E8902" t="str">
            <v>Taxes on production and imports, less Subsidies</v>
          </cell>
          <cell r="F8902">
            <v>12</v>
          </cell>
          <cell r="G8902">
            <v>1987</v>
          </cell>
          <cell r="H8902">
            <v>40</v>
          </cell>
          <cell r="I8902">
            <v>301145000000</v>
          </cell>
        </row>
        <row r="8903">
          <cell r="A8903" t="str">
            <v>Portugal</v>
          </cell>
          <cell r="B8903">
            <v>620</v>
          </cell>
          <cell r="C8903">
            <v>203</v>
          </cell>
          <cell r="D8903">
            <v>22</v>
          </cell>
          <cell r="E8903" t="str">
            <v>Taxes on production and imports, less Subsidies</v>
          </cell>
          <cell r="F8903">
            <v>12</v>
          </cell>
          <cell r="G8903">
            <v>1988</v>
          </cell>
          <cell r="H8903">
            <v>40</v>
          </cell>
          <cell r="I8903">
            <v>401724000000</v>
          </cell>
        </row>
        <row r="8904">
          <cell r="A8904" t="str">
            <v>Portugal</v>
          </cell>
          <cell r="B8904">
            <v>620</v>
          </cell>
          <cell r="C8904">
            <v>203</v>
          </cell>
          <cell r="D8904">
            <v>22</v>
          </cell>
          <cell r="E8904" t="str">
            <v>Taxes on production and imports, less Subsidies</v>
          </cell>
          <cell r="F8904">
            <v>12</v>
          </cell>
          <cell r="G8904">
            <v>1988</v>
          </cell>
          <cell r="H8904">
            <v>200</v>
          </cell>
          <cell r="I8904">
            <v>-433874362.78568602</v>
          </cell>
        </row>
        <row r="8905">
          <cell r="A8905" t="str">
            <v>Portugal</v>
          </cell>
          <cell r="B8905">
            <v>620</v>
          </cell>
          <cell r="C8905">
            <v>203</v>
          </cell>
          <cell r="D8905">
            <v>22</v>
          </cell>
          <cell r="E8905" t="str">
            <v>Taxes on production and imports, less Subsidies</v>
          </cell>
          <cell r="F8905">
            <v>12</v>
          </cell>
          <cell r="G8905">
            <v>1989</v>
          </cell>
          <cell r="H8905">
            <v>200</v>
          </cell>
          <cell r="I8905">
            <v>-302116898.27515697</v>
          </cell>
        </row>
        <row r="8906">
          <cell r="A8906" t="str">
            <v>Portugal</v>
          </cell>
          <cell r="B8906">
            <v>620</v>
          </cell>
          <cell r="C8906">
            <v>203</v>
          </cell>
          <cell r="D8906">
            <v>22</v>
          </cell>
          <cell r="E8906" t="str">
            <v>Taxes on production and imports, less Subsidies</v>
          </cell>
          <cell r="F8906">
            <v>12</v>
          </cell>
          <cell r="G8906">
            <v>1990</v>
          </cell>
          <cell r="H8906">
            <v>200</v>
          </cell>
          <cell r="I8906">
            <v>-443815404.87425297</v>
          </cell>
        </row>
        <row r="8907">
          <cell r="A8907" t="str">
            <v>Portugal</v>
          </cell>
          <cell r="B8907">
            <v>620</v>
          </cell>
          <cell r="C8907">
            <v>203</v>
          </cell>
          <cell r="D8907">
            <v>22</v>
          </cell>
          <cell r="E8907" t="str">
            <v>Taxes on production and imports, less Subsidies</v>
          </cell>
          <cell r="F8907">
            <v>12</v>
          </cell>
          <cell r="G8907">
            <v>1991</v>
          </cell>
          <cell r="H8907">
            <v>200</v>
          </cell>
          <cell r="I8907">
            <v>-458894065.30262101</v>
          </cell>
        </row>
        <row r="8908">
          <cell r="A8908" t="str">
            <v>Portugal</v>
          </cell>
          <cell r="B8908">
            <v>620</v>
          </cell>
          <cell r="C8908">
            <v>203</v>
          </cell>
          <cell r="D8908">
            <v>22</v>
          </cell>
          <cell r="E8908" t="str">
            <v>Taxes on production and imports, less Subsidies</v>
          </cell>
          <cell r="F8908">
            <v>12</v>
          </cell>
          <cell r="G8908">
            <v>1992</v>
          </cell>
          <cell r="H8908">
            <v>200</v>
          </cell>
          <cell r="I8908">
            <v>-571547570.355443</v>
          </cell>
        </row>
        <row r="8909">
          <cell r="A8909" t="str">
            <v>Philippines</v>
          </cell>
          <cell r="B8909">
            <v>608</v>
          </cell>
          <cell r="C8909">
            <v>203</v>
          </cell>
          <cell r="D8909">
            <v>3</v>
          </cell>
          <cell r="E8909" t="str">
            <v>Equals: VALUE ADDED, GROSS, at basic prices</v>
          </cell>
          <cell r="F8909">
            <v>12</v>
          </cell>
          <cell r="G8909">
            <v>1980</v>
          </cell>
          <cell r="H8909">
            <v>10</v>
          </cell>
          <cell r="I8909">
            <v>243749000000</v>
          </cell>
        </row>
        <row r="8910">
          <cell r="A8910" t="str">
            <v>Philippines</v>
          </cell>
          <cell r="B8910">
            <v>608</v>
          </cell>
          <cell r="C8910">
            <v>203</v>
          </cell>
          <cell r="D8910">
            <v>3</v>
          </cell>
          <cell r="E8910" t="str">
            <v>Equals: VALUE ADDED, GROSS, at basic prices</v>
          </cell>
          <cell r="F8910">
            <v>12</v>
          </cell>
          <cell r="G8910">
            <v>1981</v>
          </cell>
          <cell r="H8910">
            <v>10</v>
          </cell>
          <cell r="I8910">
            <v>281596000000</v>
          </cell>
        </row>
        <row r="8911">
          <cell r="A8911" t="str">
            <v>Philippines</v>
          </cell>
          <cell r="B8911">
            <v>608</v>
          </cell>
          <cell r="C8911">
            <v>203</v>
          </cell>
          <cell r="D8911">
            <v>3</v>
          </cell>
          <cell r="E8911" t="str">
            <v>Equals: VALUE ADDED, GROSS, at basic prices</v>
          </cell>
          <cell r="F8911">
            <v>12</v>
          </cell>
          <cell r="G8911">
            <v>1982</v>
          </cell>
          <cell r="H8911">
            <v>10</v>
          </cell>
          <cell r="I8911">
            <v>317177000000</v>
          </cell>
        </row>
        <row r="8912">
          <cell r="A8912" t="str">
            <v>Philippines</v>
          </cell>
          <cell r="B8912">
            <v>608</v>
          </cell>
          <cell r="C8912">
            <v>203</v>
          </cell>
          <cell r="D8912">
            <v>3</v>
          </cell>
          <cell r="E8912" t="str">
            <v>Equals: VALUE ADDED, GROSS, at basic prices</v>
          </cell>
          <cell r="F8912">
            <v>12</v>
          </cell>
          <cell r="G8912">
            <v>1983</v>
          </cell>
          <cell r="H8912">
            <v>10</v>
          </cell>
          <cell r="I8912">
            <v>369077000000</v>
          </cell>
        </row>
        <row r="8913">
          <cell r="A8913" t="str">
            <v>Philippines</v>
          </cell>
          <cell r="B8913">
            <v>608</v>
          </cell>
          <cell r="C8913">
            <v>203</v>
          </cell>
          <cell r="D8913">
            <v>3</v>
          </cell>
          <cell r="E8913" t="str">
            <v>Equals: VALUE ADDED, GROSS, at basic prices</v>
          </cell>
          <cell r="F8913">
            <v>12</v>
          </cell>
          <cell r="G8913">
            <v>1984</v>
          </cell>
          <cell r="H8913">
            <v>10</v>
          </cell>
          <cell r="I8913">
            <v>524481000000</v>
          </cell>
        </row>
        <row r="8914">
          <cell r="A8914" t="str">
            <v>Philippines</v>
          </cell>
          <cell r="B8914">
            <v>608</v>
          </cell>
          <cell r="C8914">
            <v>203</v>
          </cell>
          <cell r="D8914">
            <v>3</v>
          </cell>
          <cell r="E8914" t="str">
            <v>Equals: VALUE ADDED, GROSS, at basic prices</v>
          </cell>
          <cell r="F8914">
            <v>12</v>
          </cell>
          <cell r="G8914">
            <v>1985</v>
          </cell>
          <cell r="H8914">
            <v>10</v>
          </cell>
          <cell r="I8914">
            <v>571883000000</v>
          </cell>
        </row>
        <row r="8915">
          <cell r="A8915" t="str">
            <v>Philippines</v>
          </cell>
          <cell r="B8915">
            <v>608</v>
          </cell>
          <cell r="C8915">
            <v>203</v>
          </cell>
          <cell r="D8915">
            <v>3</v>
          </cell>
          <cell r="E8915" t="str">
            <v>Equals: VALUE ADDED, GROSS, at basic prices</v>
          </cell>
          <cell r="F8915">
            <v>12</v>
          </cell>
          <cell r="G8915">
            <v>1986</v>
          </cell>
          <cell r="H8915">
            <v>10</v>
          </cell>
          <cell r="I8915">
            <v>608887000000</v>
          </cell>
        </row>
        <row r="8916">
          <cell r="A8916" t="str">
            <v>Philippines</v>
          </cell>
          <cell r="B8916">
            <v>608</v>
          </cell>
          <cell r="C8916">
            <v>203</v>
          </cell>
          <cell r="D8916">
            <v>3</v>
          </cell>
          <cell r="E8916" t="str">
            <v>Equals: VALUE ADDED, GROSS, at basic prices</v>
          </cell>
          <cell r="F8916">
            <v>12</v>
          </cell>
          <cell r="G8916">
            <v>1987</v>
          </cell>
          <cell r="H8916">
            <v>10</v>
          </cell>
          <cell r="I8916">
            <v>682764000000</v>
          </cell>
        </row>
        <row r="8917">
          <cell r="A8917" t="str">
            <v>Philippines</v>
          </cell>
          <cell r="B8917">
            <v>608</v>
          </cell>
          <cell r="C8917">
            <v>203</v>
          </cell>
          <cell r="D8917">
            <v>3</v>
          </cell>
          <cell r="E8917" t="str">
            <v>Equals: VALUE ADDED, GROSS, at basic prices</v>
          </cell>
          <cell r="F8917">
            <v>12</v>
          </cell>
          <cell r="G8917">
            <v>1988</v>
          </cell>
          <cell r="H8917">
            <v>10</v>
          </cell>
          <cell r="I8917">
            <v>799182000000</v>
          </cell>
        </row>
        <row r="8918">
          <cell r="A8918" t="str">
            <v>Philippines</v>
          </cell>
          <cell r="B8918">
            <v>608</v>
          </cell>
          <cell r="C8918">
            <v>203</v>
          </cell>
          <cell r="D8918">
            <v>3</v>
          </cell>
          <cell r="E8918" t="str">
            <v>Equals: VALUE ADDED, GROSS, at basic prices</v>
          </cell>
          <cell r="F8918">
            <v>12</v>
          </cell>
          <cell r="G8918">
            <v>1989</v>
          </cell>
          <cell r="H8918">
            <v>10</v>
          </cell>
          <cell r="I8918">
            <v>925444000000</v>
          </cell>
        </row>
        <row r="8919">
          <cell r="A8919" t="str">
            <v>Philippines</v>
          </cell>
          <cell r="B8919">
            <v>608</v>
          </cell>
          <cell r="C8919">
            <v>203</v>
          </cell>
          <cell r="D8919">
            <v>3</v>
          </cell>
          <cell r="E8919" t="str">
            <v>Equals: VALUE ADDED, GROSS, at basic prices</v>
          </cell>
          <cell r="F8919">
            <v>12</v>
          </cell>
          <cell r="G8919">
            <v>1990</v>
          </cell>
          <cell r="H8919">
            <v>10</v>
          </cell>
          <cell r="I8919">
            <v>1077237000000</v>
          </cell>
        </row>
        <row r="8920">
          <cell r="A8920" t="str">
            <v>Philippines</v>
          </cell>
          <cell r="B8920">
            <v>608</v>
          </cell>
          <cell r="C8920">
            <v>203</v>
          </cell>
          <cell r="D8920">
            <v>3</v>
          </cell>
          <cell r="E8920" t="str">
            <v>Equals: VALUE ADDED, GROSS, at basic prices</v>
          </cell>
          <cell r="F8920">
            <v>12</v>
          </cell>
          <cell r="G8920">
            <v>1991</v>
          </cell>
          <cell r="H8920">
            <v>10</v>
          </cell>
          <cell r="I8920">
            <v>1248011000000</v>
          </cell>
        </row>
        <row r="8921">
          <cell r="A8921" t="str">
            <v>Philippines</v>
          </cell>
          <cell r="B8921">
            <v>608</v>
          </cell>
          <cell r="C8921">
            <v>203</v>
          </cell>
          <cell r="D8921">
            <v>3</v>
          </cell>
          <cell r="E8921" t="str">
            <v>Equals: VALUE ADDED, GROSS, at basic prices</v>
          </cell>
          <cell r="F8921">
            <v>12</v>
          </cell>
          <cell r="G8921">
            <v>1992</v>
          </cell>
          <cell r="H8921">
            <v>10</v>
          </cell>
          <cell r="I8921">
            <v>1351559000000</v>
          </cell>
        </row>
        <row r="8922">
          <cell r="A8922" t="str">
            <v>Philippines</v>
          </cell>
          <cell r="B8922">
            <v>608</v>
          </cell>
          <cell r="C8922">
            <v>203</v>
          </cell>
          <cell r="D8922">
            <v>3</v>
          </cell>
          <cell r="E8922" t="str">
            <v>Equals: VALUE ADDED, GROSS, at basic prices</v>
          </cell>
          <cell r="F8922">
            <v>12</v>
          </cell>
          <cell r="G8922">
            <v>1993</v>
          </cell>
          <cell r="H8922">
            <v>10</v>
          </cell>
          <cell r="I8922">
            <v>1474457000000</v>
          </cell>
        </row>
        <row r="8923">
          <cell r="A8923" t="str">
            <v>Philippines</v>
          </cell>
          <cell r="B8923">
            <v>608</v>
          </cell>
          <cell r="C8923">
            <v>203</v>
          </cell>
          <cell r="D8923">
            <v>3</v>
          </cell>
          <cell r="E8923" t="str">
            <v>Equals: VALUE ADDED, GROSS, at basic prices</v>
          </cell>
          <cell r="F8923">
            <v>12</v>
          </cell>
          <cell r="G8923">
            <v>1994</v>
          </cell>
          <cell r="H8923">
            <v>10</v>
          </cell>
          <cell r="I8923">
            <v>1692932000000</v>
          </cell>
        </row>
        <row r="8924">
          <cell r="A8924" t="str">
            <v>Philippines</v>
          </cell>
          <cell r="B8924">
            <v>608</v>
          </cell>
          <cell r="C8924">
            <v>203</v>
          </cell>
          <cell r="D8924">
            <v>3</v>
          </cell>
          <cell r="E8924" t="str">
            <v>Equals: VALUE ADDED, GROSS, at basic prices</v>
          </cell>
          <cell r="F8924">
            <v>12</v>
          </cell>
          <cell r="G8924">
            <v>1995</v>
          </cell>
          <cell r="H8924">
            <v>10</v>
          </cell>
          <cell r="I8924">
            <v>1905951000000</v>
          </cell>
        </row>
        <row r="8925">
          <cell r="A8925" t="str">
            <v>Philippines</v>
          </cell>
          <cell r="B8925">
            <v>608</v>
          </cell>
          <cell r="C8925">
            <v>203</v>
          </cell>
          <cell r="D8925">
            <v>3</v>
          </cell>
          <cell r="E8925" t="str">
            <v>Equals: VALUE ADDED, GROSS, at basic prices</v>
          </cell>
          <cell r="F8925">
            <v>12</v>
          </cell>
          <cell r="G8925">
            <v>1996</v>
          </cell>
          <cell r="H8925">
            <v>10</v>
          </cell>
          <cell r="I8925">
            <v>2171922000000</v>
          </cell>
        </row>
        <row r="8926">
          <cell r="A8926" t="str">
            <v>Philippines</v>
          </cell>
          <cell r="B8926">
            <v>608</v>
          </cell>
          <cell r="C8926">
            <v>203</v>
          </cell>
          <cell r="D8926">
            <v>3</v>
          </cell>
          <cell r="E8926" t="str">
            <v>Equals: VALUE ADDED, GROSS, at basic prices</v>
          </cell>
          <cell r="F8926">
            <v>12</v>
          </cell>
          <cell r="G8926">
            <v>1997</v>
          </cell>
          <cell r="H8926">
            <v>10</v>
          </cell>
          <cell r="I8926">
            <v>2426743000000</v>
          </cell>
        </row>
        <row r="8927">
          <cell r="A8927" t="str">
            <v>Philippines</v>
          </cell>
          <cell r="B8927">
            <v>608</v>
          </cell>
          <cell r="C8927">
            <v>203</v>
          </cell>
          <cell r="D8927">
            <v>3</v>
          </cell>
          <cell r="E8927" t="str">
            <v>Equals: VALUE ADDED, GROSS, at basic prices</v>
          </cell>
          <cell r="F8927">
            <v>12</v>
          </cell>
          <cell r="G8927">
            <v>1998</v>
          </cell>
          <cell r="H8927">
            <v>10</v>
          </cell>
          <cell r="I8927">
            <v>2665060000000</v>
          </cell>
        </row>
        <row r="8928">
          <cell r="A8928" t="str">
            <v>Philippines</v>
          </cell>
          <cell r="B8928">
            <v>608</v>
          </cell>
          <cell r="C8928">
            <v>203</v>
          </cell>
          <cell r="D8928">
            <v>3</v>
          </cell>
          <cell r="E8928" t="str">
            <v>Equals: VALUE ADDED, GROSS, at basic prices</v>
          </cell>
          <cell r="F8928">
            <v>12</v>
          </cell>
          <cell r="G8928">
            <v>1999</v>
          </cell>
          <cell r="H8928">
            <v>10</v>
          </cell>
          <cell r="I8928">
            <v>2976904000000</v>
          </cell>
        </row>
        <row r="8929">
          <cell r="A8929" t="str">
            <v>Philippines</v>
          </cell>
          <cell r="B8929">
            <v>608</v>
          </cell>
          <cell r="C8929">
            <v>203</v>
          </cell>
          <cell r="D8929">
            <v>3</v>
          </cell>
          <cell r="E8929" t="str">
            <v>Equals: VALUE ADDED, GROSS, at basic prices</v>
          </cell>
          <cell r="F8929">
            <v>12</v>
          </cell>
          <cell r="G8929">
            <v>2000</v>
          </cell>
          <cell r="H8929">
            <v>10</v>
          </cell>
          <cell r="I8929">
            <v>3354727000000</v>
          </cell>
        </row>
        <row r="8930">
          <cell r="A8930" t="str">
            <v>Philippines</v>
          </cell>
          <cell r="B8930">
            <v>608</v>
          </cell>
          <cell r="C8930">
            <v>203</v>
          </cell>
          <cell r="D8930">
            <v>3</v>
          </cell>
          <cell r="E8930" t="str">
            <v>Equals: VALUE ADDED, GROSS, at basic prices</v>
          </cell>
          <cell r="F8930">
            <v>12</v>
          </cell>
          <cell r="G8930">
            <v>2001</v>
          </cell>
          <cell r="H8930">
            <v>10</v>
          </cell>
          <cell r="I8930">
            <v>3631474000000</v>
          </cell>
        </row>
        <row r="8931">
          <cell r="A8931" t="str">
            <v>Philippines</v>
          </cell>
          <cell r="B8931">
            <v>608</v>
          </cell>
          <cell r="C8931">
            <v>203</v>
          </cell>
          <cell r="D8931">
            <v>3</v>
          </cell>
          <cell r="E8931" t="str">
            <v>Equals: VALUE ADDED, GROSS, at basic prices</v>
          </cell>
          <cell r="F8931">
            <v>12</v>
          </cell>
          <cell r="G8931">
            <v>2002</v>
          </cell>
          <cell r="H8931">
            <v>10</v>
          </cell>
          <cell r="I8931">
            <v>3959648000000</v>
          </cell>
        </row>
        <row r="8932">
          <cell r="A8932" t="str">
            <v>Philippines</v>
          </cell>
          <cell r="B8932">
            <v>608</v>
          </cell>
          <cell r="C8932">
            <v>203</v>
          </cell>
          <cell r="D8932">
            <v>3</v>
          </cell>
          <cell r="E8932" t="str">
            <v>Equals: VALUE ADDED, GROSS, at basic prices</v>
          </cell>
          <cell r="F8932">
            <v>12</v>
          </cell>
          <cell r="G8932">
            <v>2003</v>
          </cell>
          <cell r="H8932">
            <v>10</v>
          </cell>
          <cell r="I8932">
            <v>4299932000000</v>
          </cell>
        </row>
        <row r="8933">
          <cell r="A8933" t="str">
            <v>Philippines</v>
          </cell>
          <cell r="B8933">
            <v>608</v>
          </cell>
          <cell r="C8933">
            <v>203</v>
          </cell>
          <cell r="D8933">
            <v>4</v>
          </cell>
          <cell r="E8933" t="str">
            <v>Compensation of employees</v>
          </cell>
          <cell r="F8933">
            <v>12</v>
          </cell>
          <cell r="G8933">
            <v>1992</v>
          </cell>
          <cell r="H8933">
            <v>10</v>
          </cell>
          <cell r="I8933">
            <v>336914000000</v>
          </cell>
        </row>
        <row r="8934">
          <cell r="A8934" t="str">
            <v>Philippines</v>
          </cell>
          <cell r="B8934">
            <v>608</v>
          </cell>
          <cell r="C8934">
            <v>203</v>
          </cell>
          <cell r="D8934">
            <v>4</v>
          </cell>
          <cell r="E8934" t="str">
            <v>Compensation of employees</v>
          </cell>
          <cell r="F8934">
            <v>12</v>
          </cell>
          <cell r="G8934">
            <v>1993</v>
          </cell>
          <cell r="H8934">
            <v>10</v>
          </cell>
          <cell r="I8934">
            <v>371467000000</v>
          </cell>
        </row>
        <row r="8935">
          <cell r="A8935" t="str">
            <v>Philippines</v>
          </cell>
          <cell r="B8935">
            <v>608</v>
          </cell>
          <cell r="C8935">
            <v>203</v>
          </cell>
          <cell r="D8935">
            <v>4</v>
          </cell>
          <cell r="E8935" t="str">
            <v>Compensation of employees</v>
          </cell>
          <cell r="F8935">
            <v>12</v>
          </cell>
          <cell r="G8935">
            <v>1994</v>
          </cell>
          <cell r="H8935">
            <v>10</v>
          </cell>
          <cell r="I8935">
            <v>427963000000</v>
          </cell>
        </row>
        <row r="8936">
          <cell r="A8936" t="str">
            <v>Philippines</v>
          </cell>
          <cell r="B8936">
            <v>608</v>
          </cell>
          <cell r="C8936">
            <v>203</v>
          </cell>
          <cell r="D8936">
            <v>4</v>
          </cell>
          <cell r="E8936" t="str">
            <v>Compensation of employees</v>
          </cell>
          <cell r="F8936">
            <v>12</v>
          </cell>
          <cell r="G8936">
            <v>1995</v>
          </cell>
          <cell r="H8936">
            <v>10</v>
          </cell>
          <cell r="I8936">
            <v>482570000000</v>
          </cell>
        </row>
        <row r="8937">
          <cell r="A8937" t="str">
            <v>Philippines</v>
          </cell>
          <cell r="B8937">
            <v>608</v>
          </cell>
          <cell r="C8937">
            <v>203</v>
          </cell>
          <cell r="D8937">
            <v>4</v>
          </cell>
          <cell r="E8937" t="str">
            <v>Compensation of employees</v>
          </cell>
          <cell r="F8937">
            <v>12</v>
          </cell>
          <cell r="G8937">
            <v>1996</v>
          </cell>
          <cell r="H8937">
            <v>10</v>
          </cell>
          <cell r="I8937">
            <v>563686000000</v>
          </cell>
        </row>
        <row r="8938">
          <cell r="A8938" t="str">
            <v>Philippines</v>
          </cell>
          <cell r="B8938">
            <v>608</v>
          </cell>
          <cell r="C8938">
            <v>203</v>
          </cell>
          <cell r="D8938">
            <v>4</v>
          </cell>
          <cell r="E8938" t="str">
            <v>Compensation of employees</v>
          </cell>
          <cell r="F8938">
            <v>12</v>
          </cell>
          <cell r="G8938">
            <v>1997</v>
          </cell>
          <cell r="H8938">
            <v>10</v>
          </cell>
          <cell r="I8938">
            <v>660133000000</v>
          </cell>
        </row>
        <row r="8939">
          <cell r="A8939" t="str">
            <v>Philippines</v>
          </cell>
          <cell r="B8939">
            <v>608</v>
          </cell>
          <cell r="C8939">
            <v>203</v>
          </cell>
          <cell r="D8939">
            <v>4</v>
          </cell>
          <cell r="E8939" t="str">
            <v>Compensation of employees</v>
          </cell>
          <cell r="F8939">
            <v>12</v>
          </cell>
          <cell r="G8939">
            <v>1998</v>
          </cell>
          <cell r="H8939">
            <v>10</v>
          </cell>
          <cell r="I8939">
            <v>635639000000</v>
          </cell>
        </row>
        <row r="8940">
          <cell r="A8940" t="str">
            <v>Philippines</v>
          </cell>
          <cell r="B8940">
            <v>608</v>
          </cell>
          <cell r="C8940">
            <v>203</v>
          </cell>
          <cell r="D8940">
            <v>4</v>
          </cell>
          <cell r="E8940" t="str">
            <v>Compensation of employees</v>
          </cell>
          <cell r="F8940">
            <v>12</v>
          </cell>
          <cell r="G8940">
            <v>1999</v>
          </cell>
          <cell r="H8940">
            <v>10</v>
          </cell>
          <cell r="I8940">
            <v>807637000000</v>
          </cell>
        </row>
        <row r="8941">
          <cell r="A8941" t="str">
            <v>Philippines</v>
          </cell>
          <cell r="B8941">
            <v>608</v>
          </cell>
          <cell r="C8941">
            <v>203</v>
          </cell>
          <cell r="D8941">
            <v>4</v>
          </cell>
          <cell r="E8941" t="str">
            <v>Compensation of employees</v>
          </cell>
          <cell r="F8941">
            <v>12</v>
          </cell>
          <cell r="G8941">
            <v>2000</v>
          </cell>
          <cell r="H8941">
            <v>10</v>
          </cell>
          <cell r="I8941">
            <v>878800000000</v>
          </cell>
        </row>
        <row r="8942">
          <cell r="A8942" t="str">
            <v>Philippines</v>
          </cell>
          <cell r="B8942">
            <v>608</v>
          </cell>
          <cell r="C8942">
            <v>203</v>
          </cell>
          <cell r="D8942">
            <v>4</v>
          </cell>
          <cell r="E8942" t="str">
            <v>Compensation of employees</v>
          </cell>
          <cell r="F8942">
            <v>12</v>
          </cell>
          <cell r="G8942">
            <v>2001</v>
          </cell>
          <cell r="H8942">
            <v>10</v>
          </cell>
          <cell r="I8942">
            <v>913561000000</v>
          </cell>
        </row>
        <row r="8943">
          <cell r="A8943" t="str">
            <v>Philippines</v>
          </cell>
          <cell r="B8943">
            <v>608</v>
          </cell>
          <cell r="C8943">
            <v>203</v>
          </cell>
          <cell r="D8943">
            <v>4</v>
          </cell>
          <cell r="E8943" t="str">
            <v>Compensation of employees</v>
          </cell>
          <cell r="F8943">
            <v>12</v>
          </cell>
          <cell r="G8943">
            <v>2002</v>
          </cell>
          <cell r="H8943">
            <v>10</v>
          </cell>
          <cell r="I8943">
            <v>984424000000</v>
          </cell>
        </row>
        <row r="8944">
          <cell r="A8944" t="str">
            <v>Philippines</v>
          </cell>
          <cell r="B8944">
            <v>608</v>
          </cell>
          <cell r="C8944">
            <v>203</v>
          </cell>
          <cell r="D8944">
            <v>4</v>
          </cell>
          <cell r="E8944" t="str">
            <v>Compensation of employees</v>
          </cell>
          <cell r="F8944">
            <v>12</v>
          </cell>
          <cell r="G8944">
            <v>2003</v>
          </cell>
          <cell r="H8944">
            <v>10</v>
          </cell>
          <cell r="I8944">
            <v>1053349000000</v>
          </cell>
        </row>
        <row r="8945">
          <cell r="A8945" t="str">
            <v>Philippines</v>
          </cell>
          <cell r="B8945">
            <v>608</v>
          </cell>
          <cell r="C8945">
            <v>203</v>
          </cell>
          <cell r="D8945">
            <v>11</v>
          </cell>
          <cell r="E8945" t="str">
            <v>OPERATING SURPLUS, GROSS</v>
          </cell>
          <cell r="F8945">
            <v>12</v>
          </cell>
          <cell r="G8945">
            <v>1992</v>
          </cell>
          <cell r="H8945">
            <v>10</v>
          </cell>
          <cell r="I8945">
            <v>881113000000</v>
          </cell>
        </row>
        <row r="8946">
          <cell r="A8946" t="str">
            <v>Philippines</v>
          </cell>
          <cell r="B8946">
            <v>608</v>
          </cell>
          <cell r="C8946">
            <v>203</v>
          </cell>
          <cell r="D8946">
            <v>11</v>
          </cell>
          <cell r="E8946" t="str">
            <v>OPERATING SURPLUS, GROSS</v>
          </cell>
          <cell r="F8946">
            <v>12</v>
          </cell>
          <cell r="G8946">
            <v>1993</v>
          </cell>
          <cell r="H8946">
            <v>10</v>
          </cell>
          <cell r="I8946">
            <v>952571000000</v>
          </cell>
        </row>
        <row r="8947">
          <cell r="A8947" t="str">
            <v>Philippines</v>
          </cell>
          <cell r="B8947">
            <v>608</v>
          </cell>
          <cell r="C8947">
            <v>203</v>
          </cell>
          <cell r="D8947">
            <v>11</v>
          </cell>
          <cell r="E8947" t="str">
            <v>OPERATING SURPLUS, GROSS</v>
          </cell>
          <cell r="F8947">
            <v>12</v>
          </cell>
          <cell r="G8947">
            <v>1994</v>
          </cell>
          <cell r="H8947">
            <v>10</v>
          </cell>
          <cell r="I8947">
            <v>1083893000000</v>
          </cell>
        </row>
        <row r="8948">
          <cell r="A8948" t="str">
            <v>Philippines</v>
          </cell>
          <cell r="B8948">
            <v>608</v>
          </cell>
          <cell r="C8948">
            <v>203</v>
          </cell>
          <cell r="D8948">
            <v>11</v>
          </cell>
          <cell r="E8948" t="str">
            <v>OPERATING SURPLUS, GROSS</v>
          </cell>
          <cell r="F8948">
            <v>12</v>
          </cell>
          <cell r="G8948">
            <v>1995</v>
          </cell>
          <cell r="H8948">
            <v>10</v>
          </cell>
          <cell r="I8948">
            <v>1215803000000</v>
          </cell>
        </row>
        <row r="8949">
          <cell r="A8949" t="str">
            <v>Philippines</v>
          </cell>
          <cell r="B8949">
            <v>608</v>
          </cell>
          <cell r="C8949">
            <v>203</v>
          </cell>
          <cell r="D8949">
            <v>11</v>
          </cell>
          <cell r="E8949" t="str">
            <v>OPERATING SURPLUS, GROSS</v>
          </cell>
          <cell r="F8949">
            <v>12</v>
          </cell>
          <cell r="G8949">
            <v>1996</v>
          </cell>
          <cell r="H8949">
            <v>10</v>
          </cell>
          <cell r="I8949">
            <v>1388054000000</v>
          </cell>
        </row>
        <row r="8950">
          <cell r="A8950" t="str">
            <v>Philippines</v>
          </cell>
          <cell r="B8950">
            <v>608</v>
          </cell>
          <cell r="C8950">
            <v>203</v>
          </cell>
          <cell r="D8950">
            <v>11</v>
          </cell>
          <cell r="E8950" t="str">
            <v>OPERATING SURPLUS, GROSS</v>
          </cell>
          <cell r="F8950">
            <v>12</v>
          </cell>
          <cell r="G8950">
            <v>1997</v>
          </cell>
          <cell r="H8950">
            <v>10</v>
          </cell>
          <cell r="I8950">
            <v>1513283000000</v>
          </cell>
        </row>
        <row r="8951">
          <cell r="A8951" t="str">
            <v>Philippines</v>
          </cell>
          <cell r="B8951">
            <v>608</v>
          </cell>
          <cell r="C8951">
            <v>203</v>
          </cell>
          <cell r="D8951">
            <v>11</v>
          </cell>
          <cell r="E8951" t="str">
            <v>OPERATING SURPLUS, GROSS</v>
          </cell>
          <cell r="F8951">
            <v>12</v>
          </cell>
          <cell r="G8951">
            <v>1998</v>
          </cell>
          <cell r="H8951">
            <v>10</v>
          </cell>
          <cell r="I8951">
            <v>1776486000000</v>
          </cell>
        </row>
        <row r="8952">
          <cell r="A8952" t="str">
            <v>Philippines</v>
          </cell>
          <cell r="B8952">
            <v>608</v>
          </cell>
          <cell r="C8952">
            <v>203</v>
          </cell>
          <cell r="D8952">
            <v>11</v>
          </cell>
          <cell r="E8952" t="str">
            <v>OPERATING SURPLUS, GROSS</v>
          </cell>
          <cell r="F8952">
            <v>12</v>
          </cell>
          <cell r="G8952">
            <v>1999</v>
          </cell>
          <cell r="H8952">
            <v>10</v>
          </cell>
          <cell r="I8952">
            <v>1896402000000</v>
          </cell>
        </row>
        <row r="8953">
          <cell r="A8953" t="str">
            <v>Philippines</v>
          </cell>
          <cell r="B8953">
            <v>608</v>
          </cell>
          <cell r="C8953">
            <v>203</v>
          </cell>
          <cell r="D8953">
            <v>11</v>
          </cell>
          <cell r="E8953" t="str">
            <v>OPERATING SURPLUS, GROSS</v>
          </cell>
          <cell r="F8953">
            <v>12</v>
          </cell>
          <cell r="G8953">
            <v>2000</v>
          </cell>
          <cell r="H8953">
            <v>10</v>
          </cell>
          <cell r="I8953">
            <v>2200589000000</v>
          </cell>
        </row>
        <row r="8954">
          <cell r="A8954" t="str">
            <v>Philippines</v>
          </cell>
          <cell r="B8954">
            <v>608</v>
          </cell>
          <cell r="C8954">
            <v>203</v>
          </cell>
          <cell r="D8954">
            <v>11</v>
          </cell>
          <cell r="E8954" t="str">
            <v>OPERATING SURPLUS, GROSS</v>
          </cell>
          <cell r="F8954">
            <v>12</v>
          </cell>
          <cell r="G8954">
            <v>2001</v>
          </cell>
          <cell r="H8954">
            <v>10</v>
          </cell>
          <cell r="I8954">
            <v>2439389000000</v>
          </cell>
        </row>
        <row r="8955">
          <cell r="A8955" t="str">
            <v>Philippines</v>
          </cell>
          <cell r="B8955">
            <v>608</v>
          </cell>
          <cell r="C8955">
            <v>203</v>
          </cell>
          <cell r="D8955">
            <v>11</v>
          </cell>
          <cell r="E8955" t="str">
            <v>OPERATING SURPLUS, GROSS</v>
          </cell>
          <cell r="F8955">
            <v>12</v>
          </cell>
          <cell r="G8955">
            <v>2002</v>
          </cell>
          <cell r="H8955">
            <v>10</v>
          </cell>
          <cell r="I8955">
            <v>2683873000000</v>
          </cell>
        </row>
        <row r="8956">
          <cell r="A8956" t="str">
            <v>Philippines</v>
          </cell>
          <cell r="B8956">
            <v>608</v>
          </cell>
          <cell r="C8956">
            <v>203</v>
          </cell>
          <cell r="D8956">
            <v>11</v>
          </cell>
          <cell r="E8956" t="str">
            <v>OPERATING SURPLUS, GROSS</v>
          </cell>
          <cell r="F8956">
            <v>12</v>
          </cell>
          <cell r="G8956">
            <v>2003</v>
          </cell>
          <cell r="H8956">
            <v>10</v>
          </cell>
          <cell r="I8956">
            <v>2961826000000</v>
          </cell>
        </row>
        <row r="8957">
          <cell r="A8957" t="str">
            <v>Portugal</v>
          </cell>
          <cell r="B8957">
            <v>620</v>
          </cell>
          <cell r="C8957">
            <v>203</v>
          </cell>
          <cell r="D8957">
            <v>22</v>
          </cell>
          <cell r="E8957" t="str">
            <v>Taxes on production and imports, less Subsidies</v>
          </cell>
          <cell r="F8957">
            <v>12</v>
          </cell>
          <cell r="G8957">
            <v>1993</v>
          </cell>
          <cell r="H8957">
            <v>200</v>
          </cell>
          <cell r="I8957">
            <v>-835890503.88563597</v>
          </cell>
        </row>
        <row r="8958">
          <cell r="A8958" t="str">
            <v>Portugal</v>
          </cell>
          <cell r="B8958">
            <v>620</v>
          </cell>
          <cell r="C8958">
            <v>203</v>
          </cell>
          <cell r="D8958">
            <v>22</v>
          </cell>
          <cell r="E8958" t="str">
            <v>Taxes on production and imports, less Subsidies</v>
          </cell>
          <cell r="F8958">
            <v>12</v>
          </cell>
          <cell r="G8958">
            <v>1994</v>
          </cell>
          <cell r="H8958">
            <v>200</v>
          </cell>
          <cell r="I8958">
            <v>-405662353.72751701</v>
          </cell>
        </row>
        <row r="8959">
          <cell r="A8959" t="str">
            <v>Portugal</v>
          </cell>
          <cell r="B8959">
            <v>620</v>
          </cell>
          <cell r="C8959">
            <v>203</v>
          </cell>
          <cell r="D8959">
            <v>22</v>
          </cell>
          <cell r="E8959" t="str">
            <v>Taxes on production and imports, less Subsidies</v>
          </cell>
          <cell r="F8959">
            <v>12</v>
          </cell>
          <cell r="G8959">
            <v>1995</v>
          </cell>
          <cell r="H8959">
            <v>200</v>
          </cell>
          <cell r="I8959">
            <v>-432841851</v>
          </cell>
        </row>
        <row r="8960">
          <cell r="A8960" t="str">
            <v>Portugal</v>
          </cell>
          <cell r="B8960">
            <v>620</v>
          </cell>
          <cell r="C8960">
            <v>203</v>
          </cell>
          <cell r="D8960">
            <v>22</v>
          </cell>
          <cell r="E8960" t="str">
            <v>Taxes on production and imports, less Subsidies</v>
          </cell>
          <cell r="F8960">
            <v>12</v>
          </cell>
          <cell r="G8960">
            <v>1996</v>
          </cell>
          <cell r="H8960">
            <v>200</v>
          </cell>
          <cell r="I8960">
            <v>-581708084</v>
          </cell>
        </row>
        <row r="8961">
          <cell r="A8961" t="str">
            <v>Portugal</v>
          </cell>
          <cell r="B8961">
            <v>620</v>
          </cell>
          <cell r="C8961">
            <v>203</v>
          </cell>
          <cell r="D8961">
            <v>22</v>
          </cell>
          <cell r="E8961" t="str">
            <v>Taxes on production and imports, less Subsidies</v>
          </cell>
          <cell r="F8961">
            <v>12</v>
          </cell>
          <cell r="G8961">
            <v>1997</v>
          </cell>
          <cell r="H8961">
            <v>200</v>
          </cell>
          <cell r="I8961">
            <v>-429230554</v>
          </cell>
        </row>
        <row r="8962">
          <cell r="A8962" t="str">
            <v>Portugal</v>
          </cell>
          <cell r="B8962">
            <v>620</v>
          </cell>
          <cell r="C8962">
            <v>203</v>
          </cell>
          <cell r="D8962">
            <v>22</v>
          </cell>
          <cell r="E8962" t="str">
            <v>Taxes on production and imports, less Subsidies</v>
          </cell>
          <cell r="F8962">
            <v>12</v>
          </cell>
          <cell r="G8962">
            <v>1998</v>
          </cell>
          <cell r="H8962">
            <v>200</v>
          </cell>
          <cell r="I8962">
            <v>-658268573</v>
          </cell>
        </row>
        <row r="8963">
          <cell r="A8963" t="str">
            <v>Portugal</v>
          </cell>
          <cell r="B8963">
            <v>620</v>
          </cell>
          <cell r="C8963">
            <v>203</v>
          </cell>
          <cell r="D8963">
            <v>22</v>
          </cell>
          <cell r="E8963" t="str">
            <v>Taxes on production and imports, less Subsidies</v>
          </cell>
          <cell r="F8963">
            <v>12</v>
          </cell>
          <cell r="G8963">
            <v>1999</v>
          </cell>
          <cell r="H8963">
            <v>200</v>
          </cell>
          <cell r="I8963">
            <v>-894613980</v>
          </cell>
        </row>
        <row r="8964">
          <cell r="A8964" t="str">
            <v>Portugal</v>
          </cell>
          <cell r="B8964">
            <v>620</v>
          </cell>
          <cell r="C8964">
            <v>203</v>
          </cell>
          <cell r="D8964">
            <v>22</v>
          </cell>
          <cell r="E8964" t="str">
            <v>Taxes on production and imports, less Subsidies</v>
          </cell>
          <cell r="F8964">
            <v>12</v>
          </cell>
          <cell r="G8964">
            <v>2000</v>
          </cell>
          <cell r="H8964">
            <v>200</v>
          </cell>
          <cell r="I8964">
            <v>-279636077</v>
          </cell>
        </row>
        <row r="8965">
          <cell r="A8965" t="str">
            <v>Portugal</v>
          </cell>
          <cell r="B8965">
            <v>620</v>
          </cell>
          <cell r="C8965">
            <v>203</v>
          </cell>
          <cell r="D8965">
            <v>22</v>
          </cell>
          <cell r="E8965" t="str">
            <v>Taxes on production and imports, less Subsidies</v>
          </cell>
          <cell r="F8965">
            <v>12</v>
          </cell>
          <cell r="G8965">
            <v>2001</v>
          </cell>
          <cell r="H8965">
            <v>200</v>
          </cell>
          <cell r="I8965">
            <v>-561771132</v>
          </cell>
        </row>
        <row r="8966">
          <cell r="A8966" t="str">
            <v>Philippines</v>
          </cell>
          <cell r="B8966">
            <v>608</v>
          </cell>
          <cell r="C8966">
            <v>203</v>
          </cell>
          <cell r="D8966">
            <v>22</v>
          </cell>
          <cell r="E8966" t="str">
            <v>Taxes on production and imports, less Subsidies</v>
          </cell>
          <cell r="F8966">
            <v>12</v>
          </cell>
          <cell r="G8966">
            <v>1992</v>
          </cell>
          <cell r="H8966">
            <v>10</v>
          </cell>
          <cell r="I8966">
            <v>133532000000</v>
          </cell>
        </row>
        <row r="8967">
          <cell r="A8967" t="str">
            <v>Philippines</v>
          </cell>
          <cell r="B8967">
            <v>608</v>
          </cell>
          <cell r="C8967">
            <v>203</v>
          </cell>
          <cell r="D8967">
            <v>22</v>
          </cell>
          <cell r="E8967" t="str">
            <v>Taxes on production and imports, less Subsidies</v>
          </cell>
          <cell r="F8967">
            <v>12</v>
          </cell>
          <cell r="G8967">
            <v>1993</v>
          </cell>
          <cell r="H8967">
            <v>10</v>
          </cell>
          <cell r="I8967">
            <v>150419000000</v>
          </cell>
        </row>
        <row r="8968">
          <cell r="A8968" t="str">
            <v>Philippines</v>
          </cell>
          <cell r="B8968">
            <v>608</v>
          </cell>
          <cell r="C8968">
            <v>203</v>
          </cell>
          <cell r="D8968">
            <v>22</v>
          </cell>
          <cell r="E8968" t="str">
            <v>Taxes on production and imports, less Subsidies</v>
          </cell>
          <cell r="F8968">
            <v>12</v>
          </cell>
          <cell r="G8968">
            <v>1994</v>
          </cell>
          <cell r="H8968">
            <v>10</v>
          </cell>
          <cell r="I8968">
            <v>181076000000</v>
          </cell>
        </row>
        <row r="8969">
          <cell r="A8969" t="str">
            <v>Philippines</v>
          </cell>
          <cell r="B8969">
            <v>608</v>
          </cell>
          <cell r="C8969">
            <v>203</v>
          </cell>
          <cell r="D8969">
            <v>22</v>
          </cell>
          <cell r="E8969" t="str">
            <v>Taxes on production and imports, less Subsidies</v>
          </cell>
          <cell r="F8969">
            <v>12</v>
          </cell>
          <cell r="G8969">
            <v>1995</v>
          </cell>
          <cell r="H8969">
            <v>10</v>
          </cell>
          <cell r="I8969">
            <v>207578000000</v>
          </cell>
        </row>
        <row r="8970">
          <cell r="A8970" t="str">
            <v>Philippines</v>
          </cell>
          <cell r="B8970">
            <v>608</v>
          </cell>
          <cell r="C8970">
            <v>203</v>
          </cell>
          <cell r="D8970">
            <v>22</v>
          </cell>
          <cell r="E8970" t="str">
            <v>Taxes on production and imports, less Subsidies</v>
          </cell>
          <cell r="F8970">
            <v>12</v>
          </cell>
          <cell r="G8970">
            <v>1996</v>
          </cell>
          <cell r="H8970">
            <v>10</v>
          </cell>
          <cell r="I8970">
            <v>220182000000</v>
          </cell>
        </row>
        <row r="8971">
          <cell r="A8971" t="str">
            <v>Philippines</v>
          </cell>
          <cell r="B8971">
            <v>608</v>
          </cell>
          <cell r="C8971">
            <v>203</v>
          </cell>
          <cell r="D8971">
            <v>22</v>
          </cell>
          <cell r="E8971" t="str">
            <v>Taxes on production and imports, less Subsidies</v>
          </cell>
          <cell r="F8971">
            <v>12</v>
          </cell>
          <cell r="G8971">
            <v>1997</v>
          </cell>
          <cell r="H8971">
            <v>10</v>
          </cell>
          <cell r="I8971">
            <v>253327000000</v>
          </cell>
        </row>
        <row r="8972">
          <cell r="A8972" t="str">
            <v>Philippines</v>
          </cell>
          <cell r="B8972">
            <v>608</v>
          </cell>
          <cell r="C8972">
            <v>203</v>
          </cell>
          <cell r="D8972">
            <v>22</v>
          </cell>
          <cell r="E8972" t="str">
            <v>Taxes on production and imports, less Subsidies</v>
          </cell>
          <cell r="F8972">
            <v>12</v>
          </cell>
          <cell r="G8972">
            <v>1998</v>
          </cell>
          <cell r="H8972">
            <v>10</v>
          </cell>
          <cell r="I8972">
            <v>252935000000</v>
          </cell>
        </row>
        <row r="8973">
          <cell r="A8973" t="str">
            <v>Philippines</v>
          </cell>
          <cell r="B8973">
            <v>608</v>
          </cell>
          <cell r="C8973">
            <v>203</v>
          </cell>
          <cell r="D8973">
            <v>22</v>
          </cell>
          <cell r="E8973" t="str">
            <v>Taxes on production and imports, less Subsidies</v>
          </cell>
          <cell r="F8973">
            <v>12</v>
          </cell>
          <cell r="G8973">
            <v>1999</v>
          </cell>
          <cell r="H8973">
            <v>10</v>
          </cell>
          <cell r="I8973">
            <v>272865000000</v>
          </cell>
        </row>
        <row r="8974">
          <cell r="A8974" t="str">
            <v>Philippines</v>
          </cell>
          <cell r="B8974">
            <v>608</v>
          </cell>
          <cell r="C8974">
            <v>203</v>
          </cell>
          <cell r="D8974">
            <v>22</v>
          </cell>
          <cell r="E8974" t="str">
            <v>Taxes on production and imports, less Subsidies</v>
          </cell>
          <cell r="F8974">
            <v>12</v>
          </cell>
          <cell r="G8974">
            <v>2000</v>
          </cell>
          <cell r="H8974">
            <v>10</v>
          </cell>
          <cell r="I8974">
            <v>275338000000</v>
          </cell>
        </row>
        <row r="8975">
          <cell r="A8975" t="str">
            <v>Philippines</v>
          </cell>
          <cell r="B8975">
            <v>608</v>
          </cell>
          <cell r="C8975">
            <v>203</v>
          </cell>
          <cell r="D8975">
            <v>22</v>
          </cell>
          <cell r="E8975" t="str">
            <v>Taxes on production and imports, less Subsidies</v>
          </cell>
          <cell r="F8975">
            <v>12</v>
          </cell>
          <cell r="G8975">
            <v>2001</v>
          </cell>
          <cell r="H8975">
            <v>10</v>
          </cell>
          <cell r="I8975">
            <v>278524000000</v>
          </cell>
        </row>
        <row r="8976">
          <cell r="A8976" t="str">
            <v>Philippines</v>
          </cell>
          <cell r="B8976">
            <v>608</v>
          </cell>
          <cell r="C8976">
            <v>203</v>
          </cell>
          <cell r="D8976">
            <v>22</v>
          </cell>
          <cell r="E8976" t="str">
            <v>Taxes on production and imports, less Subsidies</v>
          </cell>
          <cell r="F8976">
            <v>12</v>
          </cell>
          <cell r="G8976">
            <v>2002</v>
          </cell>
          <cell r="H8976">
            <v>10</v>
          </cell>
          <cell r="I8976">
            <v>291351000000</v>
          </cell>
        </row>
        <row r="8977">
          <cell r="A8977" t="str">
            <v>Philippines</v>
          </cell>
          <cell r="B8977">
            <v>608</v>
          </cell>
          <cell r="C8977">
            <v>203</v>
          </cell>
          <cell r="D8977">
            <v>22</v>
          </cell>
          <cell r="E8977" t="str">
            <v>Taxes on production and imports, less Subsidies</v>
          </cell>
          <cell r="F8977">
            <v>12</v>
          </cell>
          <cell r="G8977">
            <v>2003</v>
          </cell>
          <cell r="H8977">
            <v>10</v>
          </cell>
          <cell r="I8977">
            <v>284757000000</v>
          </cell>
        </row>
        <row r="8978">
          <cell r="A8978" t="str">
            <v>Puerto Rico</v>
          </cell>
          <cell r="B8978">
            <v>630</v>
          </cell>
          <cell r="C8978">
            <v>201</v>
          </cell>
          <cell r="D8978">
            <v>13</v>
          </cell>
          <cell r="E8978" t="str">
            <v>Less: Financial intermediation services indirectly measured (FISIM) (only to be deducted if FISIM is not distributed to uses)</v>
          </cell>
          <cell r="F8978">
            <v>0</v>
          </cell>
          <cell r="G8978">
            <v>1960</v>
          </cell>
          <cell r="H8978">
            <v>10</v>
          </cell>
          <cell r="I8978">
            <v>-25000000</v>
          </cell>
        </row>
        <row r="8979">
          <cell r="A8979" t="str">
            <v>Puerto Rico</v>
          </cell>
          <cell r="B8979">
            <v>630</v>
          </cell>
          <cell r="C8979">
            <v>201</v>
          </cell>
          <cell r="D8979">
            <v>13</v>
          </cell>
          <cell r="E8979" t="str">
            <v>Less: Financial intermediation services indirectly measured (FISIM) (only to be deducted if FISIM is not distributed to uses)</v>
          </cell>
          <cell r="F8979">
            <v>0</v>
          </cell>
          <cell r="G8979">
            <v>1961</v>
          </cell>
          <cell r="H8979">
            <v>10</v>
          </cell>
          <cell r="I8979">
            <v>-30000000</v>
          </cell>
        </row>
        <row r="8980">
          <cell r="A8980" t="str">
            <v>Puerto Rico</v>
          </cell>
          <cell r="B8980">
            <v>630</v>
          </cell>
          <cell r="C8980">
            <v>201</v>
          </cell>
          <cell r="D8980">
            <v>13</v>
          </cell>
          <cell r="E8980" t="str">
            <v>Less: Financial intermediation services indirectly measured (FISIM) (only to be deducted if FISIM is not distributed to uses)</v>
          </cell>
          <cell r="F8980">
            <v>0</v>
          </cell>
          <cell r="G8980">
            <v>1962</v>
          </cell>
          <cell r="H8980">
            <v>10</v>
          </cell>
          <cell r="I8980">
            <v>3000000</v>
          </cell>
        </row>
        <row r="8981">
          <cell r="A8981" t="str">
            <v>Puerto Rico</v>
          </cell>
          <cell r="B8981">
            <v>630</v>
          </cell>
          <cell r="C8981">
            <v>201</v>
          </cell>
          <cell r="D8981">
            <v>13</v>
          </cell>
          <cell r="E8981" t="str">
            <v>Less: Financial intermediation services indirectly measured (FISIM) (only to be deducted if FISIM is not distributed to uses)</v>
          </cell>
          <cell r="F8981">
            <v>0</v>
          </cell>
          <cell r="G8981">
            <v>1963</v>
          </cell>
          <cell r="H8981">
            <v>10</v>
          </cell>
          <cell r="I8981">
            <v>-37000000</v>
          </cell>
        </row>
        <row r="8982">
          <cell r="A8982" t="str">
            <v>Puerto Rico</v>
          </cell>
          <cell r="B8982">
            <v>630</v>
          </cell>
          <cell r="C8982">
            <v>201</v>
          </cell>
          <cell r="D8982">
            <v>13</v>
          </cell>
          <cell r="E8982" t="str">
            <v>Less: Financial intermediation services indirectly measured (FISIM) (only to be deducted if FISIM is not distributed to uses)</v>
          </cell>
          <cell r="F8982">
            <v>0</v>
          </cell>
          <cell r="G8982">
            <v>1964</v>
          </cell>
          <cell r="H8982">
            <v>10</v>
          </cell>
          <cell r="I8982">
            <v>-81000000</v>
          </cell>
        </row>
        <row r="8983">
          <cell r="A8983" t="str">
            <v>Puerto Rico</v>
          </cell>
          <cell r="B8983">
            <v>630</v>
          </cell>
          <cell r="C8983">
            <v>201</v>
          </cell>
          <cell r="D8983">
            <v>13</v>
          </cell>
          <cell r="E8983" t="str">
            <v>Less: Financial intermediation services indirectly measured (FISIM) (only to be deducted if FISIM is not distributed to uses)</v>
          </cell>
          <cell r="F8983">
            <v>0</v>
          </cell>
          <cell r="G8983">
            <v>1965</v>
          </cell>
          <cell r="H8983">
            <v>10</v>
          </cell>
          <cell r="I8983">
            <v>-61000000</v>
          </cell>
        </row>
        <row r="8984">
          <cell r="A8984" t="str">
            <v>Puerto Rico</v>
          </cell>
          <cell r="B8984">
            <v>630</v>
          </cell>
          <cell r="C8984">
            <v>201</v>
          </cell>
          <cell r="D8984">
            <v>13</v>
          </cell>
          <cell r="E8984" t="str">
            <v>Less: Financial intermediation services indirectly measured (FISIM) (only to be deducted if FISIM is not distributed to uses)</v>
          </cell>
          <cell r="F8984">
            <v>0</v>
          </cell>
          <cell r="G8984">
            <v>1966</v>
          </cell>
          <cell r="H8984">
            <v>10</v>
          </cell>
          <cell r="I8984">
            <v>-98000000</v>
          </cell>
        </row>
        <row r="8985">
          <cell r="A8985" t="str">
            <v>Puerto Rico</v>
          </cell>
          <cell r="B8985">
            <v>630</v>
          </cell>
          <cell r="C8985">
            <v>201</v>
          </cell>
          <cell r="D8985">
            <v>13</v>
          </cell>
          <cell r="E8985" t="str">
            <v>Less: Financial intermediation services indirectly measured (FISIM) (only to be deducted if FISIM is not distributed to uses)</v>
          </cell>
          <cell r="F8985">
            <v>0</v>
          </cell>
          <cell r="G8985">
            <v>1967</v>
          </cell>
          <cell r="H8985">
            <v>10</v>
          </cell>
          <cell r="I8985">
            <v>-138000000</v>
          </cell>
        </row>
        <row r="8986">
          <cell r="A8986" t="str">
            <v>Puerto Rico</v>
          </cell>
          <cell r="B8986">
            <v>630</v>
          </cell>
          <cell r="C8986">
            <v>201</v>
          </cell>
          <cell r="D8986">
            <v>13</v>
          </cell>
          <cell r="E8986" t="str">
            <v>Less: Financial intermediation services indirectly measured (FISIM) (only to be deducted if FISIM is not distributed to uses)</v>
          </cell>
          <cell r="F8986">
            <v>0</v>
          </cell>
          <cell r="G8986">
            <v>1968</v>
          </cell>
          <cell r="H8986">
            <v>10</v>
          </cell>
          <cell r="I8986">
            <v>-194000000</v>
          </cell>
        </row>
        <row r="8987">
          <cell r="A8987" t="str">
            <v>Puerto Rico</v>
          </cell>
          <cell r="B8987">
            <v>630</v>
          </cell>
          <cell r="C8987">
            <v>201</v>
          </cell>
          <cell r="D8987">
            <v>13</v>
          </cell>
          <cell r="E8987" t="str">
            <v>Less: Financial intermediation services indirectly measured (FISIM) (only to be deducted if FISIM is not distributed to uses)</v>
          </cell>
          <cell r="F8987">
            <v>0</v>
          </cell>
          <cell r="G8987">
            <v>1969</v>
          </cell>
          <cell r="H8987">
            <v>10</v>
          </cell>
          <cell r="I8987">
            <v>-231000000</v>
          </cell>
        </row>
        <row r="8988">
          <cell r="A8988" t="str">
            <v>Puerto Rico</v>
          </cell>
          <cell r="B8988">
            <v>630</v>
          </cell>
          <cell r="C8988">
            <v>201</v>
          </cell>
          <cell r="D8988">
            <v>13</v>
          </cell>
          <cell r="E8988" t="str">
            <v>Less: Financial intermediation services indirectly measured (FISIM) (only to be deducted if FISIM is not distributed to uses)</v>
          </cell>
          <cell r="F8988">
            <v>0</v>
          </cell>
          <cell r="G8988">
            <v>1970</v>
          </cell>
          <cell r="H8988">
            <v>10</v>
          </cell>
          <cell r="I8988">
            <v>-222100000</v>
          </cell>
        </row>
        <row r="8989">
          <cell r="A8989" t="str">
            <v>Puerto Rico</v>
          </cell>
          <cell r="B8989">
            <v>630</v>
          </cell>
          <cell r="C8989">
            <v>201</v>
          </cell>
          <cell r="D8989">
            <v>13</v>
          </cell>
          <cell r="E8989" t="str">
            <v>Less: Financial intermediation services indirectly measured (FISIM) (only to be deducted if FISIM is not distributed to uses)</v>
          </cell>
          <cell r="F8989">
            <v>0</v>
          </cell>
          <cell r="G8989">
            <v>1971</v>
          </cell>
          <cell r="H8989">
            <v>10</v>
          </cell>
          <cell r="I8989">
            <v>-167000000</v>
          </cell>
        </row>
        <row r="8990">
          <cell r="A8990" t="str">
            <v>Puerto Rico</v>
          </cell>
          <cell r="B8990">
            <v>630</v>
          </cell>
          <cell r="C8990">
            <v>201</v>
          </cell>
          <cell r="D8990">
            <v>13</v>
          </cell>
          <cell r="E8990" t="str">
            <v>Less: Financial intermediation services indirectly measured (FISIM) (only to be deducted if FISIM is not distributed to uses)</v>
          </cell>
          <cell r="F8990">
            <v>0</v>
          </cell>
          <cell r="G8990">
            <v>1972</v>
          </cell>
          <cell r="H8990">
            <v>10</v>
          </cell>
          <cell r="I8990">
            <v>-69100000</v>
          </cell>
        </row>
        <row r="8991">
          <cell r="A8991" t="str">
            <v>Puerto Rico</v>
          </cell>
          <cell r="B8991">
            <v>630</v>
          </cell>
          <cell r="C8991">
            <v>201</v>
          </cell>
          <cell r="D8991">
            <v>13</v>
          </cell>
          <cell r="E8991" t="str">
            <v>Less: Financial intermediation services indirectly measured (FISIM) (only to be deducted if FISIM is not distributed to uses)</v>
          </cell>
          <cell r="F8991">
            <v>0</v>
          </cell>
          <cell r="G8991">
            <v>1973</v>
          </cell>
          <cell r="H8991">
            <v>10</v>
          </cell>
          <cell r="I8991">
            <v>-3800000</v>
          </cell>
        </row>
        <row r="8992">
          <cell r="A8992" t="str">
            <v>Puerto Rico</v>
          </cell>
          <cell r="B8992">
            <v>630</v>
          </cell>
          <cell r="C8992">
            <v>201</v>
          </cell>
          <cell r="D8992">
            <v>13</v>
          </cell>
          <cell r="E8992" t="str">
            <v>Less: Financial intermediation services indirectly measured (FISIM) (only to be deducted if FISIM is not distributed to uses)</v>
          </cell>
          <cell r="F8992">
            <v>0</v>
          </cell>
          <cell r="G8992">
            <v>1974</v>
          </cell>
          <cell r="H8992">
            <v>10</v>
          </cell>
          <cell r="I8992">
            <v>162800000</v>
          </cell>
        </row>
        <row r="8993">
          <cell r="A8993" t="str">
            <v>Puerto Rico</v>
          </cell>
          <cell r="B8993">
            <v>630</v>
          </cell>
          <cell r="C8993">
            <v>201</v>
          </cell>
          <cell r="D8993">
            <v>13</v>
          </cell>
          <cell r="E8993" t="str">
            <v>Less: Financial intermediation services indirectly measured (FISIM) (only to be deducted if FISIM is not distributed to uses)</v>
          </cell>
          <cell r="F8993">
            <v>0</v>
          </cell>
          <cell r="G8993">
            <v>1975</v>
          </cell>
          <cell r="H8993">
            <v>10</v>
          </cell>
          <cell r="I8993">
            <v>276600000</v>
          </cell>
        </row>
        <row r="8994">
          <cell r="A8994" t="str">
            <v>Puerto Rico</v>
          </cell>
          <cell r="B8994">
            <v>630</v>
          </cell>
          <cell r="C8994">
            <v>201</v>
          </cell>
          <cell r="D8994">
            <v>13</v>
          </cell>
          <cell r="E8994" t="str">
            <v>Less: Financial intermediation services indirectly measured (FISIM) (only to be deducted if FISIM is not distributed to uses)</v>
          </cell>
          <cell r="F8994">
            <v>0</v>
          </cell>
          <cell r="G8994">
            <v>1976</v>
          </cell>
          <cell r="H8994">
            <v>10</v>
          </cell>
          <cell r="I8994">
            <v>100200000</v>
          </cell>
        </row>
        <row r="8995">
          <cell r="A8995" t="str">
            <v>Puerto Rico</v>
          </cell>
          <cell r="B8995">
            <v>630</v>
          </cell>
          <cell r="C8995">
            <v>201</v>
          </cell>
          <cell r="D8995">
            <v>13</v>
          </cell>
          <cell r="E8995" t="str">
            <v>Less: Financial intermediation services indirectly measured (FISIM) (only to be deducted if FISIM is not distributed to uses)</v>
          </cell>
          <cell r="F8995">
            <v>0</v>
          </cell>
          <cell r="G8995">
            <v>1977</v>
          </cell>
          <cell r="H8995">
            <v>10</v>
          </cell>
          <cell r="I8995">
            <v>148500000</v>
          </cell>
        </row>
        <row r="8996">
          <cell r="A8996" t="str">
            <v>Puerto Rico</v>
          </cell>
          <cell r="B8996">
            <v>630</v>
          </cell>
          <cell r="C8996">
            <v>201</v>
          </cell>
          <cell r="D8996">
            <v>13</v>
          </cell>
          <cell r="E8996" t="str">
            <v>Less: Financial intermediation services indirectly measured (FISIM) (only to be deducted if FISIM is not distributed to uses)</v>
          </cell>
          <cell r="F8996">
            <v>0</v>
          </cell>
          <cell r="G8996">
            <v>1978</v>
          </cell>
          <cell r="H8996">
            <v>10</v>
          </cell>
          <cell r="I8996">
            <v>128000000</v>
          </cell>
        </row>
        <row r="8997">
          <cell r="A8997" t="str">
            <v>Puerto Rico</v>
          </cell>
          <cell r="B8997">
            <v>630</v>
          </cell>
          <cell r="C8997">
            <v>201</v>
          </cell>
          <cell r="D8997">
            <v>13</v>
          </cell>
          <cell r="E8997" t="str">
            <v>Less: Financial intermediation services indirectly measured (FISIM) (only to be deducted if FISIM is not distributed to uses)</v>
          </cell>
          <cell r="F8997">
            <v>0</v>
          </cell>
          <cell r="G8997">
            <v>1979</v>
          </cell>
          <cell r="H8997">
            <v>10</v>
          </cell>
          <cell r="I8997">
            <v>165800000</v>
          </cell>
        </row>
        <row r="8998">
          <cell r="A8998" t="str">
            <v>Puerto Rico</v>
          </cell>
          <cell r="B8998">
            <v>630</v>
          </cell>
          <cell r="C8998">
            <v>201</v>
          </cell>
          <cell r="D8998">
            <v>13</v>
          </cell>
          <cell r="E8998" t="str">
            <v>Less: Financial intermediation services indirectly measured (FISIM) (only to be deducted if FISIM is not distributed to uses)</v>
          </cell>
          <cell r="F8998">
            <v>0</v>
          </cell>
          <cell r="G8998">
            <v>1980</v>
          </cell>
          <cell r="H8998">
            <v>10</v>
          </cell>
          <cell r="I8998">
            <v>-502000000</v>
          </cell>
        </row>
        <row r="8999">
          <cell r="A8999" t="str">
            <v>Puerto Rico</v>
          </cell>
          <cell r="B8999">
            <v>630</v>
          </cell>
          <cell r="C8999">
            <v>201</v>
          </cell>
          <cell r="D8999">
            <v>13</v>
          </cell>
          <cell r="E8999" t="str">
            <v>Less: Financial intermediation services indirectly measured (FISIM) (only to be deducted if FISIM is not distributed to uses)</v>
          </cell>
          <cell r="F8999">
            <v>0</v>
          </cell>
          <cell r="G8999">
            <v>1981</v>
          </cell>
          <cell r="H8999">
            <v>10</v>
          </cell>
          <cell r="I8999">
            <v>-380000000</v>
          </cell>
        </row>
        <row r="9000">
          <cell r="A9000" t="str">
            <v>Puerto Rico</v>
          </cell>
          <cell r="B9000">
            <v>630</v>
          </cell>
          <cell r="C9000">
            <v>201</v>
          </cell>
          <cell r="D9000">
            <v>13</v>
          </cell>
          <cell r="E9000" t="str">
            <v>Less: Financial intermediation services indirectly measured (FISIM) (only to be deducted if FISIM is not distributed to uses)</v>
          </cell>
          <cell r="F9000">
            <v>0</v>
          </cell>
          <cell r="G9000">
            <v>1982</v>
          </cell>
          <cell r="H9000">
            <v>10</v>
          </cell>
          <cell r="I9000">
            <v>-162000000</v>
          </cell>
        </row>
        <row r="9001">
          <cell r="A9001" t="str">
            <v>Puerto Rico</v>
          </cell>
          <cell r="B9001">
            <v>630</v>
          </cell>
          <cell r="C9001">
            <v>201</v>
          </cell>
          <cell r="D9001">
            <v>13</v>
          </cell>
          <cell r="E9001" t="str">
            <v>Less: Financial intermediation services indirectly measured (FISIM) (only to be deducted if FISIM is not distributed to uses)</v>
          </cell>
          <cell r="F9001">
            <v>0</v>
          </cell>
          <cell r="G9001">
            <v>1983</v>
          </cell>
          <cell r="H9001">
            <v>10</v>
          </cell>
          <cell r="I9001">
            <v>-186000000</v>
          </cell>
        </row>
        <row r="9002">
          <cell r="A9002" t="str">
            <v>Puerto Rico</v>
          </cell>
          <cell r="B9002">
            <v>630</v>
          </cell>
          <cell r="C9002">
            <v>201</v>
          </cell>
          <cell r="D9002">
            <v>13</v>
          </cell>
          <cell r="E9002" t="str">
            <v>Less: Financial intermediation services indirectly measured (FISIM) (only to be deducted if FISIM is not distributed to uses)</v>
          </cell>
          <cell r="F9002">
            <v>0</v>
          </cell>
          <cell r="G9002">
            <v>1984</v>
          </cell>
          <cell r="H9002">
            <v>10</v>
          </cell>
          <cell r="I9002">
            <v>-91000000</v>
          </cell>
        </row>
        <row r="9003">
          <cell r="A9003" t="str">
            <v>Puerto Rico</v>
          </cell>
          <cell r="B9003">
            <v>630</v>
          </cell>
          <cell r="C9003">
            <v>201</v>
          </cell>
          <cell r="D9003">
            <v>13</v>
          </cell>
          <cell r="E9003" t="str">
            <v>Less: Financial intermediation services indirectly measured (FISIM) (only to be deducted if FISIM is not distributed to uses)</v>
          </cell>
          <cell r="F9003">
            <v>0</v>
          </cell>
          <cell r="G9003">
            <v>1985</v>
          </cell>
          <cell r="H9003">
            <v>10</v>
          </cell>
          <cell r="I9003">
            <v>-147000000</v>
          </cell>
        </row>
        <row r="9004">
          <cell r="A9004" t="str">
            <v>Puerto Rico</v>
          </cell>
          <cell r="B9004">
            <v>630</v>
          </cell>
          <cell r="C9004">
            <v>201</v>
          </cell>
          <cell r="D9004">
            <v>13</v>
          </cell>
          <cell r="E9004" t="str">
            <v>Less: Financial intermediation services indirectly measured (FISIM) (only to be deducted if FISIM is not distributed to uses)</v>
          </cell>
          <cell r="F9004">
            <v>0</v>
          </cell>
          <cell r="G9004">
            <v>1986</v>
          </cell>
          <cell r="H9004">
            <v>10</v>
          </cell>
          <cell r="I9004">
            <v>271000000</v>
          </cell>
        </row>
        <row r="9005">
          <cell r="A9005" t="str">
            <v>Puerto Rico</v>
          </cell>
          <cell r="B9005">
            <v>630</v>
          </cell>
          <cell r="C9005">
            <v>201</v>
          </cell>
          <cell r="D9005">
            <v>13</v>
          </cell>
          <cell r="E9005" t="str">
            <v>Less: Financial intermediation services indirectly measured (FISIM) (only to be deducted if FISIM is not distributed to uses)</v>
          </cell>
          <cell r="F9005">
            <v>0</v>
          </cell>
          <cell r="G9005">
            <v>1987</v>
          </cell>
          <cell r="H9005">
            <v>10</v>
          </cell>
          <cell r="I9005">
            <v>540000000</v>
          </cell>
        </row>
        <row r="9006">
          <cell r="A9006" t="str">
            <v>Puerto Rico</v>
          </cell>
          <cell r="B9006">
            <v>630</v>
          </cell>
          <cell r="C9006">
            <v>201</v>
          </cell>
          <cell r="D9006">
            <v>13</v>
          </cell>
          <cell r="E9006" t="str">
            <v>Less: Financial intermediation services indirectly measured (FISIM) (only to be deducted if FISIM is not distributed to uses)</v>
          </cell>
          <cell r="F9006">
            <v>0</v>
          </cell>
          <cell r="G9006">
            <v>1988</v>
          </cell>
          <cell r="H9006">
            <v>10</v>
          </cell>
          <cell r="I9006">
            <v>298000000</v>
          </cell>
        </row>
        <row r="9007">
          <cell r="A9007" t="str">
            <v>Qatar</v>
          </cell>
          <cell r="B9007">
            <v>634</v>
          </cell>
          <cell r="C9007">
            <v>201</v>
          </cell>
          <cell r="D9007">
            <v>13</v>
          </cell>
          <cell r="E9007" t="str">
            <v>Less: Financial intermediation services indirectly measured (FISIM) (only to be deducted if FISIM is not distributed to uses)</v>
          </cell>
          <cell r="F9007">
            <v>0</v>
          </cell>
          <cell r="G9007">
            <v>1975</v>
          </cell>
          <cell r="H9007">
            <v>10</v>
          </cell>
          <cell r="I9007">
            <v>153000000</v>
          </cell>
        </row>
        <row r="9008">
          <cell r="A9008" t="str">
            <v>Qatar</v>
          </cell>
          <cell r="B9008">
            <v>634</v>
          </cell>
          <cell r="C9008">
            <v>201</v>
          </cell>
          <cell r="D9008">
            <v>13</v>
          </cell>
          <cell r="E9008" t="str">
            <v>Less: Financial intermediation services indirectly measured (FISIM) (only to be deducted if FISIM is not distributed to uses)</v>
          </cell>
          <cell r="F9008">
            <v>0</v>
          </cell>
          <cell r="G9008">
            <v>1976</v>
          </cell>
          <cell r="H9008">
            <v>10</v>
          </cell>
          <cell r="I9008">
            <v>187000000</v>
          </cell>
        </row>
        <row r="9009">
          <cell r="A9009" t="str">
            <v>Qatar</v>
          </cell>
          <cell r="B9009">
            <v>634</v>
          </cell>
          <cell r="C9009">
            <v>201</v>
          </cell>
          <cell r="D9009">
            <v>13</v>
          </cell>
          <cell r="E9009" t="str">
            <v>Less: Financial intermediation services indirectly measured (FISIM) (only to be deducted if FISIM is not distributed to uses)</v>
          </cell>
          <cell r="F9009">
            <v>0</v>
          </cell>
          <cell r="G9009">
            <v>1977</v>
          </cell>
          <cell r="H9009">
            <v>10</v>
          </cell>
          <cell r="I9009">
            <v>240000000</v>
          </cell>
        </row>
        <row r="9010">
          <cell r="A9010" t="str">
            <v>Qatar</v>
          </cell>
          <cell r="B9010">
            <v>634</v>
          </cell>
          <cell r="C9010">
            <v>201</v>
          </cell>
          <cell r="D9010">
            <v>13</v>
          </cell>
          <cell r="E9010" t="str">
            <v>Less: Financial intermediation services indirectly measured (FISIM) (only to be deducted if FISIM is not distributed to uses)</v>
          </cell>
          <cell r="F9010">
            <v>0</v>
          </cell>
          <cell r="G9010">
            <v>1978</v>
          </cell>
          <cell r="H9010">
            <v>10</v>
          </cell>
          <cell r="I9010">
            <v>313000000</v>
          </cell>
        </row>
        <row r="9011">
          <cell r="A9011" t="str">
            <v>Qatar</v>
          </cell>
          <cell r="B9011">
            <v>634</v>
          </cell>
          <cell r="C9011">
            <v>201</v>
          </cell>
          <cell r="D9011">
            <v>13</v>
          </cell>
          <cell r="E9011" t="str">
            <v>Less: Financial intermediation services indirectly measured (FISIM) (only to be deducted if FISIM is not distributed to uses)</v>
          </cell>
          <cell r="F9011">
            <v>0</v>
          </cell>
          <cell r="G9011">
            <v>1979</v>
          </cell>
          <cell r="H9011">
            <v>10</v>
          </cell>
          <cell r="I9011">
            <v>321000000</v>
          </cell>
        </row>
        <row r="9012">
          <cell r="A9012" t="str">
            <v>Qatar</v>
          </cell>
          <cell r="B9012">
            <v>634</v>
          </cell>
          <cell r="C9012">
            <v>201</v>
          </cell>
          <cell r="D9012">
            <v>13</v>
          </cell>
          <cell r="E9012" t="str">
            <v>Less: Financial intermediation services indirectly measured (FISIM) (only to be deducted if FISIM is not distributed to uses)</v>
          </cell>
          <cell r="F9012">
            <v>0</v>
          </cell>
          <cell r="G9012">
            <v>1980</v>
          </cell>
          <cell r="H9012">
            <v>10</v>
          </cell>
          <cell r="I9012">
            <v>406000000</v>
          </cell>
        </row>
        <row r="9013">
          <cell r="A9013" t="str">
            <v>Qatar</v>
          </cell>
          <cell r="B9013">
            <v>634</v>
          </cell>
          <cell r="C9013">
            <v>201</v>
          </cell>
          <cell r="D9013">
            <v>13</v>
          </cell>
          <cell r="E9013" t="str">
            <v>Less: Financial intermediation services indirectly measured (FISIM) (only to be deducted if FISIM is not distributed to uses)</v>
          </cell>
          <cell r="F9013">
            <v>0</v>
          </cell>
          <cell r="G9013">
            <v>1981</v>
          </cell>
          <cell r="H9013">
            <v>10</v>
          </cell>
          <cell r="I9013">
            <v>561000000</v>
          </cell>
        </row>
        <row r="9014">
          <cell r="A9014" t="str">
            <v>Qatar</v>
          </cell>
          <cell r="B9014">
            <v>634</v>
          </cell>
          <cell r="C9014">
            <v>201</v>
          </cell>
          <cell r="D9014">
            <v>13</v>
          </cell>
          <cell r="E9014" t="str">
            <v>Less: Financial intermediation services indirectly measured (FISIM) (only to be deducted if FISIM is not distributed to uses)</v>
          </cell>
          <cell r="F9014">
            <v>0</v>
          </cell>
          <cell r="G9014">
            <v>1982</v>
          </cell>
          <cell r="H9014">
            <v>10</v>
          </cell>
          <cell r="I9014">
            <v>569000000</v>
          </cell>
        </row>
        <row r="9015">
          <cell r="A9015" t="str">
            <v>Qatar</v>
          </cell>
          <cell r="B9015">
            <v>634</v>
          </cell>
          <cell r="C9015">
            <v>201</v>
          </cell>
          <cell r="D9015">
            <v>13</v>
          </cell>
          <cell r="E9015" t="str">
            <v>Less: Financial intermediation services indirectly measured (FISIM) (only to be deducted if FISIM is not distributed to uses)</v>
          </cell>
          <cell r="F9015">
            <v>0</v>
          </cell>
          <cell r="G9015">
            <v>1983</v>
          </cell>
          <cell r="H9015">
            <v>10</v>
          </cell>
          <cell r="I9015">
            <v>492000000</v>
          </cell>
        </row>
        <row r="9016">
          <cell r="A9016" t="str">
            <v>Qatar</v>
          </cell>
          <cell r="B9016">
            <v>634</v>
          </cell>
          <cell r="C9016">
            <v>201</v>
          </cell>
          <cell r="D9016">
            <v>13</v>
          </cell>
          <cell r="E9016" t="str">
            <v>Less: Financial intermediation services indirectly measured (FISIM) (only to be deducted if FISIM is not distributed to uses)</v>
          </cell>
          <cell r="F9016">
            <v>0</v>
          </cell>
          <cell r="G9016">
            <v>1984</v>
          </cell>
          <cell r="H9016">
            <v>10</v>
          </cell>
          <cell r="I9016">
            <v>543000000</v>
          </cell>
        </row>
        <row r="9017">
          <cell r="A9017" t="str">
            <v>Qatar</v>
          </cell>
          <cell r="B9017">
            <v>634</v>
          </cell>
          <cell r="C9017">
            <v>201</v>
          </cell>
          <cell r="D9017">
            <v>13</v>
          </cell>
          <cell r="E9017" t="str">
            <v>Less: Financial intermediation services indirectly measured (FISIM) (only to be deducted if FISIM is not distributed to uses)</v>
          </cell>
          <cell r="F9017">
            <v>0</v>
          </cell>
          <cell r="G9017">
            <v>1985</v>
          </cell>
          <cell r="H9017">
            <v>10</v>
          </cell>
          <cell r="I9017">
            <v>484000000</v>
          </cell>
        </row>
        <row r="9018">
          <cell r="A9018" t="str">
            <v>Qatar</v>
          </cell>
          <cell r="B9018">
            <v>634</v>
          </cell>
          <cell r="C9018">
            <v>201</v>
          </cell>
          <cell r="D9018">
            <v>13</v>
          </cell>
          <cell r="E9018" t="str">
            <v>Less: Financial intermediation services indirectly measured (FISIM) (only to be deducted if FISIM is not distributed to uses)</v>
          </cell>
          <cell r="F9018">
            <v>0</v>
          </cell>
          <cell r="G9018">
            <v>1986</v>
          </cell>
          <cell r="H9018">
            <v>10</v>
          </cell>
          <cell r="I9018">
            <v>553000000</v>
          </cell>
        </row>
        <row r="9019">
          <cell r="A9019" t="str">
            <v>Qatar</v>
          </cell>
          <cell r="B9019">
            <v>634</v>
          </cell>
          <cell r="C9019">
            <v>201</v>
          </cell>
          <cell r="D9019">
            <v>13</v>
          </cell>
          <cell r="E9019" t="str">
            <v>Less: Financial intermediation services indirectly measured (FISIM) (only to be deducted if FISIM is not distributed to uses)</v>
          </cell>
          <cell r="F9019">
            <v>0</v>
          </cell>
          <cell r="G9019">
            <v>1987</v>
          </cell>
          <cell r="H9019">
            <v>10</v>
          </cell>
          <cell r="I9019">
            <v>533000000</v>
          </cell>
        </row>
        <row r="9020">
          <cell r="A9020" t="str">
            <v>Qatar</v>
          </cell>
          <cell r="B9020">
            <v>634</v>
          </cell>
          <cell r="C9020">
            <v>201</v>
          </cell>
          <cell r="D9020">
            <v>13</v>
          </cell>
          <cell r="E9020" t="str">
            <v>Less: Financial intermediation services indirectly measured (FISIM) (only to be deducted if FISIM is not distributed to uses)</v>
          </cell>
          <cell r="F9020">
            <v>0</v>
          </cell>
          <cell r="G9020">
            <v>1988</v>
          </cell>
          <cell r="H9020">
            <v>10</v>
          </cell>
          <cell r="I9020">
            <v>540000000</v>
          </cell>
        </row>
        <row r="9021">
          <cell r="A9021" t="str">
            <v>Qatar</v>
          </cell>
          <cell r="B9021">
            <v>634</v>
          </cell>
          <cell r="C9021">
            <v>201</v>
          </cell>
          <cell r="D9021">
            <v>13</v>
          </cell>
          <cell r="E9021" t="str">
            <v>Less: Financial intermediation services indirectly measured (FISIM) (only to be deducted if FISIM is not distributed to uses)</v>
          </cell>
          <cell r="F9021">
            <v>0</v>
          </cell>
          <cell r="G9021">
            <v>1989</v>
          </cell>
          <cell r="H9021">
            <v>10</v>
          </cell>
          <cell r="I9021">
            <v>571000000</v>
          </cell>
        </row>
        <row r="9022">
          <cell r="A9022" t="str">
            <v>Qatar</v>
          </cell>
          <cell r="B9022">
            <v>634</v>
          </cell>
          <cell r="C9022">
            <v>201</v>
          </cell>
          <cell r="D9022">
            <v>13</v>
          </cell>
          <cell r="E9022" t="str">
            <v>Less: Financial intermediation services indirectly measured (FISIM) (only to be deducted if FISIM is not distributed to uses)</v>
          </cell>
          <cell r="F9022">
            <v>0</v>
          </cell>
          <cell r="G9022">
            <v>1990</v>
          </cell>
          <cell r="H9022">
            <v>10</v>
          </cell>
          <cell r="I9022">
            <v>629000000</v>
          </cell>
        </row>
        <row r="9023">
          <cell r="A9023" t="str">
            <v>Qatar</v>
          </cell>
          <cell r="B9023">
            <v>634</v>
          </cell>
          <cell r="C9023">
            <v>201</v>
          </cell>
          <cell r="D9023">
            <v>13</v>
          </cell>
          <cell r="E9023" t="str">
            <v>Less: Financial intermediation services indirectly measured (FISIM) (only to be deducted if FISIM is not distributed to uses)</v>
          </cell>
          <cell r="F9023">
            <v>0</v>
          </cell>
          <cell r="G9023">
            <v>1991</v>
          </cell>
          <cell r="H9023">
            <v>10</v>
          </cell>
          <cell r="I9023">
            <v>672000000</v>
          </cell>
        </row>
        <row r="9024">
          <cell r="A9024" t="str">
            <v>Qatar</v>
          </cell>
          <cell r="B9024">
            <v>634</v>
          </cell>
          <cell r="C9024">
            <v>201</v>
          </cell>
          <cell r="D9024">
            <v>13</v>
          </cell>
          <cell r="E9024" t="str">
            <v>Less: Financial intermediation services indirectly measured (FISIM) (only to be deducted if FISIM is not distributed to uses)</v>
          </cell>
          <cell r="F9024">
            <v>0</v>
          </cell>
          <cell r="G9024">
            <v>1992</v>
          </cell>
          <cell r="H9024">
            <v>100</v>
          </cell>
          <cell r="I9024">
            <v>796000000</v>
          </cell>
        </row>
        <row r="9025">
          <cell r="A9025" t="str">
            <v>Qatar</v>
          </cell>
          <cell r="B9025">
            <v>634</v>
          </cell>
          <cell r="C9025">
            <v>201</v>
          </cell>
          <cell r="D9025">
            <v>13</v>
          </cell>
          <cell r="E9025" t="str">
            <v>Less: Financial intermediation services indirectly measured (FISIM) (only to be deducted if FISIM is not distributed to uses)</v>
          </cell>
          <cell r="F9025">
            <v>0</v>
          </cell>
          <cell r="G9025">
            <v>1993</v>
          </cell>
          <cell r="H9025">
            <v>100</v>
          </cell>
          <cell r="I9025">
            <v>653000000</v>
          </cell>
        </row>
        <row r="9026">
          <cell r="A9026" t="str">
            <v>Qatar</v>
          </cell>
          <cell r="B9026">
            <v>634</v>
          </cell>
          <cell r="C9026">
            <v>201</v>
          </cell>
          <cell r="D9026">
            <v>13</v>
          </cell>
          <cell r="E9026" t="str">
            <v>Less: Financial intermediation services indirectly measured (FISIM) (only to be deducted if FISIM is not distributed to uses)</v>
          </cell>
          <cell r="F9026">
            <v>0</v>
          </cell>
          <cell r="G9026">
            <v>1994</v>
          </cell>
          <cell r="H9026">
            <v>100</v>
          </cell>
          <cell r="I9026">
            <v>767000000</v>
          </cell>
        </row>
        <row r="9027">
          <cell r="A9027" t="str">
            <v>Qatar</v>
          </cell>
          <cell r="B9027">
            <v>634</v>
          </cell>
          <cell r="C9027">
            <v>201</v>
          </cell>
          <cell r="D9027">
            <v>13</v>
          </cell>
          <cell r="E9027" t="str">
            <v>Less: Financial intermediation services indirectly measured (FISIM) (only to be deducted if FISIM is not distributed to uses)</v>
          </cell>
          <cell r="F9027">
            <v>0</v>
          </cell>
          <cell r="G9027">
            <v>1995</v>
          </cell>
          <cell r="H9027">
            <v>100</v>
          </cell>
          <cell r="I9027">
            <v>870000000</v>
          </cell>
        </row>
        <row r="9028">
          <cell r="A9028" t="str">
            <v>Qatar</v>
          </cell>
          <cell r="B9028">
            <v>634</v>
          </cell>
          <cell r="C9028">
            <v>201</v>
          </cell>
          <cell r="D9028">
            <v>13</v>
          </cell>
          <cell r="E9028" t="str">
            <v>Less: Financial intermediation services indirectly measured (FISIM) (only to be deducted if FISIM is not distributed to uses)</v>
          </cell>
          <cell r="F9028">
            <v>0</v>
          </cell>
          <cell r="G9028">
            <v>1996</v>
          </cell>
          <cell r="H9028">
            <v>100</v>
          </cell>
          <cell r="I9028">
            <v>1069000000</v>
          </cell>
        </row>
        <row r="9029">
          <cell r="A9029" t="str">
            <v>Qatar</v>
          </cell>
          <cell r="B9029">
            <v>634</v>
          </cell>
          <cell r="C9029">
            <v>201</v>
          </cell>
          <cell r="D9029">
            <v>13</v>
          </cell>
          <cell r="E9029" t="str">
            <v>Less: Financial intermediation services indirectly measured (FISIM) (only to be deducted if FISIM is not distributed to uses)</v>
          </cell>
          <cell r="F9029">
            <v>0</v>
          </cell>
          <cell r="G9029">
            <v>1997</v>
          </cell>
          <cell r="H9029">
            <v>100</v>
          </cell>
          <cell r="I9029">
            <v>1158000000</v>
          </cell>
        </row>
        <row r="9030">
          <cell r="A9030" t="str">
            <v>Qatar</v>
          </cell>
          <cell r="B9030">
            <v>634</v>
          </cell>
          <cell r="C9030">
            <v>201</v>
          </cell>
          <cell r="D9030">
            <v>13</v>
          </cell>
          <cell r="E9030" t="str">
            <v>Less: Financial intermediation services indirectly measured (FISIM) (only to be deducted if FISIM is not distributed to uses)</v>
          </cell>
          <cell r="F9030">
            <v>0</v>
          </cell>
          <cell r="G9030">
            <v>1998</v>
          </cell>
          <cell r="H9030">
            <v>100</v>
          </cell>
          <cell r="I9030">
            <v>1363000000</v>
          </cell>
        </row>
        <row r="9031">
          <cell r="A9031" t="str">
            <v>Qatar</v>
          </cell>
          <cell r="B9031">
            <v>634</v>
          </cell>
          <cell r="C9031">
            <v>201</v>
          </cell>
          <cell r="D9031">
            <v>13</v>
          </cell>
          <cell r="E9031" t="str">
            <v>Less: Financial intermediation services indirectly measured (FISIM) (only to be deducted if FISIM is not distributed to uses)</v>
          </cell>
          <cell r="F9031">
            <v>0</v>
          </cell>
          <cell r="G9031">
            <v>1999</v>
          </cell>
          <cell r="H9031">
            <v>100</v>
          </cell>
          <cell r="I9031">
            <v>1368000000</v>
          </cell>
        </row>
        <row r="9032">
          <cell r="A9032" t="str">
            <v>Qatar</v>
          </cell>
          <cell r="B9032">
            <v>634</v>
          </cell>
          <cell r="C9032">
            <v>201</v>
          </cell>
          <cell r="D9032">
            <v>13</v>
          </cell>
          <cell r="E9032" t="str">
            <v>Less: Financial intermediation services indirectly measured (FISIM) (only to be deducted if FISIM is not distributed to uses)</v>
          </cell>
          <cell r="F9032">
            <v>0</v>
          </cell>
          <cell r="G9032">
            <v>2000</v>
          </cell>
          <cell r="H9032">
            <v>100</v>
          </cell>
          <cell r="I9032">
            <v>1390000000</v>
          </cell>
        </row>
        <row r="9033">
          <cell r="A9033" t="str">
            <v>Qatar</v>
          </cell>
          <cell r="B9033">
            <v>634</v>
          </cell>
          <cell r="C9033">
            <v>201</v>
          </cell>
          <cell r="D9033">
            <v>13</v>
          </cell>
          <cell r="E9033" t="str">
            <v>Less: Financial intermediation services indirectly measured (FISIM) (only to be deducted if FISIM is not distributed to uses)</v>
          </cell>
          <cell r="F9033">
            <v>0</v>
          </cell>
          <cell r="G9033">
            <v>2001</v>
          </cell>
          <cell r="H9033">
            <v>100</v>
          </cell>
          <cell r="I9033">
            <v>1564000000</v>
          </cell>
        </row>
        <row r="9034">
          <cell r="A9034" t="str">
            <v>Qatar</v>
          </cell>
          <cell r="B9034">
            <v>634</v>
          </cell>
          <cell r="C9034">
            <v>201</v>
          </cell>
          <cell r="D9034">
            <v>13</v>
          </cell>
          <cell r="E9034" t="str">
            <v>Less: Financial intermediation services indirectly measured (FISIM) (only to be deducted if FISIM is not distributed to uses)</v>
          </cell>
          <cell r="F9034">
            <v>0</v>
          </cell>
          <cell r="G9034">
            <v>2002</v>
          </cell>
          <cell r="H9034">
            <v>100</v>
          </cell>
          <cell r="I9034">
            <v>1692000000</v>
          </cell>
        </row>
        <row r="9035">
          <cell r="A9035" t="str">
            <v>Qatar</v>
          </cell>
          <cell r="B9035">
            <v>634</v>
          </cell>
          <cell r="C9035">
            <v>203</v>
          </cell>
          <cell r="D9035">
            <v>3</v>
          </cell>
          <cell r="E9035" t="str">
            <v>Equals: VALUE ADDED, GROSS, at basic prices</v>
          </cell>
          <cell r="F9035">
            <v>12</v>
          </cell>
          <cell r="G9035">
            <v>1995</v>
          </cell>
          <cell r="H9035">
            <v>100</v>
          </cell>
          <cell r="I9035">
            <v>30253000000</v>
          </cell>
        </row>
        <row r="9036">
          <cell r="A9036" t="str">
            <v>Qatar</v>
          </cell>
          <cell r="B9036">
            <v>634</v>
          </cell>
          <cell r="C9036">
            <v>203</v>
          </cell>
          <cell r="D9036">
            <v>3</v>
          </cell>
          <cell r="E9036" t="str">
            <v>Equals: VALUE ADDED, GROSS, at basic prices</v>
          </cell>
          <cell r="F9036">
            <v>12</v>
          </cell>
          <cell r="G9036">
            <v>1996</v>
          </cell>
          <cell r="H9036">
            <v>100</v>
          </cell>
          <cell r="I9036">
            <v>33770000000</v>
          </cell>
        </row>
        <row r="9037">
          <cell r="A9037" t="str">
            <v>Qatar</v>
          </cell>
          <cell r="B9037">
            <v>634</v>
          </cell>
          <cell r="C9037">
            <v>203</v>
          </cell>
          <cell r="D9037">
            <v>3</v>
          </cell>
          <cell r="E9037" t="str">
            <v>Equals: VALUE ADDED, GROSS, at basic prices</v>
          </cell>
          <cell r="F9037">
            <v>12</v>
          </cell>
          <cell r="G9037">
            <v>1997</v>
          </cell>
          <cell r="H9037">
            <v>100</v>
          </cell>
          <cell r="I9037">
            <v>41958000000</v>
          </cell>
        </row>
        <row r="9038">
          <cell r="A9038" t="str">
            <v>Romania</v>
          </cell>
          <cell r="B9038">
            <v>642</v>
          </cell>
          <cell r="C9038">
            <v>201</v>
          </cell>
          <cell r="D9038">
            <v>13</v>
          </cell>
          <cell r="E9038" t="str">
            <v>Less: Financial intermediation services indirectly measured (FISIM) (only to be deducted if FISIM is not distributed to uses)</v>
          </cell>
          <cell r="F9038">
            <v>0</v>
          </cell>
          <cell r="G9038">
            <v>1980</v>
          </cell>
          <cell r="H9038">
            <v>10</v>
          </cell>
          <cell r="I9038">
            <v>19200000000</v>
          </cell>
        </row>
        <row r="9039">
          <cell r="A9039" t="str">
            <v>Romania</v>
          </cell>
          <cell r="B9039">
            <v>642</v>
          </cell>
          <cell r="C9039">
            <v>201</v>
          </cell>
          <cell r="D9039">
            <v>13</v>
          </cell>
          <cell r="E9039" t="str">
            <v>Less: Financial intermediation services indirectly measured (FISIM) (only to be deducted if FISIM is not distributed to uses)</v>
          </cell>
          <cell r="F9039">
            <v>0</v>
          </cell>
          <cell r="G9039">
            <v>1981</v>
          </cell>
          <cell r="H9039">
            <v>10</v>
          </cell>
          <cell r="I9039">
            <v>21200000000</v>
          </cell>
        </row>
        <row r="9040">
          <cell r="A9040" t="str">
            <v>Romania</v>
          </cell>
          <cell r="B9040">
            <v>642</v>
          </cell>
          <cell r="C9040">
            <v>201</v>
          </cell>
          <cell r="D9040">
            <v>13</v>
          </cell>
          <cell r="E9040" t="str">
            <v>Less: Financial intermediation services indirectly measured (FISIM) (only to be deducted if FISIM is not distributed to uses)</v>
          </cell>
          <cell r="F9040">
            <v>0</v>
          </cell>
          <cell r="G9040">
            <v>1982</v>
          </cell>
          <cell r="H9040">
            <v>10</v>
          </cell>
          <cell r="I9040">
            <v>23000000000</v>
          </cell>
        </row>
        <row r="9041">
          <cell r="A9041" t="str">
            <v>Romania</v>
          </cell>
          <cell r="B9041">
            <v>642</v>
          </cell>
          <cell r="C9041">
            <v>201</v>
          </cell>
          <cell r="D9041">
            <v>13</v>
          </cell>
          <cell r="E9041" t="str">
            <v>Less: Financial intermediation services indirectly measured (FISIM) (only to be deducted if FISIM is not distributed to uses)</v>
          </cell>
          <cell r="F9041">
            <v>0</v>
          </cell>
          <cell r="G9041">
            <v>1983</v>
          </cell>
          <cell r="H9041">
            <v>10</v>
          </cell>
          <cell r="I9041">
            <v>30500000000</v>
          </cell>
        </row>
        <row r="9042">
          <cell r="A9042" t="str">
            <v>Romania</v>
          </cell>
          <cell r="B9042">
            <v>642</v>
          </cell>
          <cell r="C9042">
            <v>201</v>
          </cell>
          <cell r="D9042">
            <v>13</v>
          </cell>
          <cell r="E9042" t="str">
            <v>Less: Financial intermediation services indirectly measured (FISIM) (only to be deducted if FISIM is not distributed to uses)</v>
          </cell>
          <cell r="F9042">
            <v>0</v>
          </cell>
          <cell r="G9042">
            <v>1984</v>
          </cell>
          <cell r="H9042">
            <v>10</v>
          </cell>
          <cell r="I9042">
            <v>37500000000</v>
          </cell>
        </row>
        <row r="9043">
          <cell r="A9043" t="str">
            <v>Romania</v>
          </cell>
          <cell r="B9043">
            <v>642</v>
          </cell>
          <cell r="C9043">
            <v>201</v>
          </cell>
          <cell r="D9043">
            <v>13</v>
          </cell>
          <cell r="E9043" t="str">
            <v>Less: Financial intermediation services indirectly measured (FISIM) (only to be deducted if FISIM is not distributed to uses)</v>
          </cell>
          <cell r="F9043">
            <v>0</v>
          </cell>
          <cell r="G9043">
            <v>1985</v>
          </cell>
          <cell r="H9043">
            <v>10</v>
          </cell>
          <cell r="I9043">
            <v>25600000000</v>
          </cell>
        </row>
        <row r="9044">
          <cell r="A9044" t="str">
            <v>Romania</v>
          </cell>
          <cell r="B9044">
            <v>642</v>
          </cell>
          <cell r="C9044">
            <v>201</v>
          </cell>
          <cell r="D9044">
            <v>13</v>
          </cell>
          <cell r="E9044" t="str">
            <v>Less: Financial intermediation services indirectly measured (FISIM) (only to be deducted if FISIM is not distributed to uses)</v>
          </cell>
          <cell r="F9044">
            <v>0</v>
          </cell>
          <cell r="G9044">
            <v>1986</v>
          </cell>
          <cell r="H9044">
            <v>10</v>
          </cell>
          <cell r="I9044">
            <v>22700000000</v>
          </cell>
        </row>
        <row r="9045">
          <cell r="A9045" t="str">
            <v>Romania</v>
          </cell>
          <cell r="B9045">
            <v>642</v>
          </cell>
          <cell r="C9045">
            <v>201</v>
          </cell>
          <cell r="D9045">
            <v>13</v>
          </cell>
          <cell r="E9045" t="str">
            <v>Less: Financial intermediation services indirectly measured (FISIM) (only to be deducted if FISIM is not distributed to uses)</v>
          </cell>
          <cell r="F9045">
            <v>0</v>
          </cell>
          <cell r="G9045">
            <v>1987</v>
          </cell>
          <cell r="H9045">
            <v>10</v>
          </cell>
          <cell r="I9045">
            <v>29300000000</v>
          </cell>
        </row>
        <row r="9046">
          <cell r="A9046" t="str">
            <v>Romania</v>
          </cell>
          <cell r="B9046">
            <v>642</v>
          </cell>
          <cell r="C9046">
            <v>201</v>
          </cell>
          <cell r="D9046">
            <v>13</v>
          </cell>
          <cell r="E9046" t="str">
            <v>Less: Financial intermediation services indirectly measured (FISIM) (only to be deducted if FISIM is not distributed to uses)</v>
          </cell>
          <cell r="F9046">
            <v>0</v>
          </cell>
          <cell r="G9046">
            <v>1988</v>
          </cell>
          <cell r="H9046">
            <v>10</v>
          </cell>
          <cell r="I9046">
            <v>22800000000</v>
          </cell>
        </row>
        <row r="9047">
          <cell r="A9047" t="str">
            <v>Romania</v>
          </cell>
          <cell r="B9047">
            <v>642</v>
          </cell>
          <cell r="C9047">
            <v>201</v>
          </cell>
          <cell r="D9047">
            <v>13</v>
          </cell>
          <cell r="E9047" t="str">
            <v>Less: Financial intermediation services indirectly measured (FISIM) (only to be deducted if FISIM is not distributed to uses)</v>
          </cell>
          <cell r="F9047">
            <v>0</v>
          </cell>
          <cell r="G9047">
            <v>1989</v>
          </cell>
          <cell r="H9047">
            <v>10</v>
          </cell>
          <cell r="I9047">
            <v>11600000000</v>
          </cell>
        </row>
        <row r="9048">
          <cell r="A9048" t="str">
            <v>Romania</v>
          </cell>
          <cell r="B9048">
            <v>642</v>
          </cell>
          <cell r="C9048">
            <v>201</v>
          </cell>
          <cell r="D9048">
            <v>13</v>
          </cell>
          <cell r="E9048" t="str">
            <v>Less: Financial intermediation services indirectly measured (FISIM) (only to be deducted if FISIM is not distributed to uses)</v>
          </cell>
          <cell r="F9048">
            <v>0</v>
          </cell>
          <cell r="G9048">
            <v>1990</v>
          </cell>
          <cell r="H9048">
            <v>10</v>
          </cell>
          <cell r="I9048">
            <v>19880000000</v>
          </cell>
        </row>
        <row r="9049">
          <cell r="A9049" t="str">
            <v>Romania</v>
          </cell>
          <cell r="B9049">
            <v>642</v>
          </cell>
          <cell r="C9049">
            <v>201</v>
          </cell>
          <cell r="D9049">
            <v>13</v>
          </cell>
          <cell r="E9049" t="str">
            <v>Less: Financial intermediation services indirectly measured (FISIM) (only to be deducted if FISIM is not distributed to uses)</v>
          </cell>
          <cell r="F9049">
            <v>0</v>
          </cell>
          <cell r="G9049">
            <v>1991</v>
          </cell>
          <cell r="H9049">
            <v>10</v>
          </cell>
          <cell r="I9049">
            <v>47236000000</v>
          </cell>
        </row>
        <row r="9050">
          <cell r="A9050" t="str">
            <v>Romania</v>
          </cell>
          <cell r="B9050">
            <v>642</v>
          </cell>
          <cell r="C9050">
            <v>201</v>
          </cell>
          <cell r="D9050">
            <v>13</v>
          </cell>
          <cell r="E9050" t="str">
            <v>Less: Financial intermediation services indirectly measured (FISIM) (only to be deducted if FISIM is not distributed to uses)</v>
          </cell>
          <cell r="F9050">
            <v>0</v>
          </cell>
          <cell r="G9050">
            <v>1992</v>
          </cell>
          <cell r="H9050">
            <v>10</v>
          </cell>
          <cell r="I9050">
            <v>281021000000</v>
          </cell>
        </row>
        <row r="9051">
          <cell r="A9051" t="str">
            <v>Romania</v>
          </cell>
          <cell r="B9051">
            <v>642</v>
          </cell>
          <cell r="C9051">
            <v>201</v>
          </cell>
          <cell r="D9051">
            <v>13</v>
          </cell>
          <cell r="E9051" t="str">
            <v>Less: Financial intermediation services indirectly measured (FISIM) (only to be deducted if FISIM is not distributed to uses)</v>
          </cell>
          <cell r="F9051">
            <v>0</v>
          </cell>
          <cell r="G9051">
            <v>1993</v>
          </cell>
          <cell r="H9051">
            <v>10</v>
          </cell>
          <cell r="I9051">
            <v>847856000000</v>
          </cell>
        </row>
        <row r="9052">
          <cell r="A9052" t="str">
            <v>Romania</v>
          </cell>
          <cell r="B9052">
            <v>642</v>
          </cell>
          <cell r="C9052">
            <v>201</v>
          </cell>
          <cell r="D9052">
            <v>13</v>
          </cell>
          <cell r="E9052" t="str">
            <v>Less: Financial intermediation services indirectly measured (FISIM) (only to be deducted if FISIM is not distributed to uses)</v>
          </cell>
          <cell r="F9052">
            <v>0</v>
          </cell>
          <cell r="G9052">
            <v>1994</v>
          </cell>
          <cell r="H9052">
            <v>10</v>
          </cell>
          <cell r="I9052">
            <v>1990672000000</v>
          </cell>
        </row>
        <row r="9053">
          <cell r="A9053" t="str">
            <v>Romania</v>
          </cell>
          <cell r="B9053">
            <v>642</v>
          </cell>
          <cell r="C9053">
            <v>201</v>
          </cell>
          <cell r="D9053">
            <v>13</v>
          </cell>
          <cell r="E9053" t="str">
            <v>Less: Financial intermediation services indirectly measured (FISIM) (only to be deducted if FISIM is not distributed to uses)</v>
          </cell>
          <cell r="F9053">
            <v>0</v>
          </cell>
          <cell r="G9053">
            <v>1995</v>
          </cell>
          <cell r="H9053">
            <v>10</v>
          </cell>
          <cell r="I9053">
            <v>2175018000000</v>
          </cell>
        </row>
        <row r="9054">
          <cell r="A9054" t="str">
            <v>Romania</v>
          </cell>
          <cell r="B9054">
            <v>642</v>
          </cell>
          <cell r="C9054">
            <v>201</v>
          </cell>
          <cell r="D9054">
            <v>13</v>
          </cell>
          <cell r="E9054" t="str">
            <v>Less: Financial intermediation services indirectly measured (FISIM) (only to be deducted if FISIM is not distributed to uses)</v>
          </cell>
          <cell r="F9054">
            <v>0</v>
          </cell>
          <cell r="G9054">
            <v>1996</v>
          </cell>
          <cell r="H9054">
            <v>10</v>
          </cell>
          <cell r="I9054">
            <v>2222671000000</v>
          </cell>
        </row>
        <row r="9055">
          <cell r="A9055" t="str">
            <v>Romania</v>
          </cell>
          <cell r="B9055">
            <v>642</v>
          </cell>
          <cell r="C9055">
            <v>201</v>
          </cell>
          <cell r="D9055">
            <v>13</v>
          </cell>
          <cell r="E9055" t="str">
            <v>Less: Financial intermediation services indirectly measured (FISIM) (only to be deducted if FISIM is not distributed to uses)</v>
          </cell>
          <cell r="F9055">
            <v>0</v>
          </cell>
          <cell r="G9055">
            <v>1997</v>
          </cell>
          <cell r="H9055">
            <v>10</v>
          </cell>
          <cell r="I9055">
            <v>1256000000000</v>
          </cell>
        </row>
        <row r="9056">
          <cell r="A9056" t="str">
            <v>Romania</v>
          </cell>
          <cell r="B9056">
            <v>642</v>
          </cell>
          <cell r="C9056">
            <v>201</v>
          </cell>
          <cell r="D9056">
            <v>13</v>
          </cell>
          <cell r="E9056" t="str">
            <v>Less: Financial intermediation services indirectly measured (FISIM) (only to be deducted if FISIM is not distributed to uses)</v>
          </cell>
          <cell r="F9056">
            <v>0</v>
          </cell>
          <cell r="G9056">
            <v>1998</v>
          </cell>
          <cell r="H9056">
            <v>100</v>
          </cell>
          <cell r="I9056">
            <v>5564672000000</v>
          </cell>
        </row>
        <row r="9057">
          <cell r="A9057" t="str">
            <v>Romania</v>
          </cell>
          <cell r="B9057">
            <v>642</v>
          </cell>
          <cell r="C9057">
            <v>201</v>
          </cell>
          <cell r="D9057">
            <v>13</v>
          </cell>
          <cell r="E9057" t="str">
            <v>Less: Financial intermediation services indirectly measured (FISIM) (only to be deducted if FISIM is not distributed to uses)</v>
          </cell>
          <cell r="F9057">
            <v>0</v>
          </cell>
          <cell r="G9057">
            <v>1999</v>
          </cell>
          <cell r="H9057">
            <v>100</v>
          </cell>
          <cell r="I9057">
            <v>8406608000000</v>
          </cell>
        </row>
        <row r="9058">
          <cell r="A9058" t="str">
            <v>Romania</v>
          </cell>
          <cell r="B9058">
            <v>642</v>
          </cell>
          <cell r="C9058">
            <v>201</v>
          </cell>
          <cell r="D9058">
            <v>13</v>
          </cell>
          <cell r="E9058" t="str">
            <v>Less: Financial intermediation services indirectly measured (FISIM) (only to be deducted if FISIM is not distributed to uses)</v>
          </cell>
          <cell r="F9058">
            <v>0</v>
          </cell>
          <cell r="G9058">
            <v>2000</v>
          </cell>
          <cell r="H9058">
            <v>100</v>
          </cell>
          <cell r="I9058">
            <v>8583508000000</v>
          </cell>
        </row>
        <row r="9059">
          <cell r="A9059" t="str">
            <v>Romania</v>
          </cell>
          <cell r="B9059">
            <v>642</v>
          </cell>
          <cell r="C9059">
            <v>201</v>
          </cell>
          <cell r="D9059">
            <v>13</v>
          </cell>
          <cell r="E9059" t="str">
            <v>Less: Financial intermediation services indirectly measured (FISIM) (only to be deducted if FISIM is not distributed to uses)</v>
          </cell>
          <cell r="F9059">
            <v>0</v>
          </cell>
          <cell r="G9059">
            <v>2001</v>
          </cell>
          <cell r="H9059">
            <v>100</v>
          </cell>
          <cell r="I9059">
            <v>17984600000000</v>
          </cell>
        </row>
        <row r="9060">
          <cell r="A9060" t="str">
            <v>Romania</v>
          </cell>
          <cell r="B9060">
            <v>642</v>
          </cell>
          <cell r="C9060">
            <v>201</v>
          </cell>
          <cell r="D9060">
            <v>13</v>
          </cell>
          <cell r="E9060" t="str">
            <v>Less: Financial intermediation services indirectly measured (FISIM) (only to be deducted if FISIM is not distributed to uses)</v>
          </cell>
          <cell r="F9060">
            <v>0</v>
          </cell>
          <cell r="G9060">
            <v>2002</v>
          </cell>
          <cell r="H9060">
            <v>100</v>
          </cell>
          <cell r="I9060">
            <v>16810000000000</v>
          </cell>
        </row>
        <row r="9061">
          <cell r="A9061" t="str">
            <v>Romania</v>
          </cell>
          <cell r="B9061">
            <v>642</v>
          </cell>
          <cell r="C9061">
            <v>201</v>
          </cell>
          <cell r="D9061">
            <v>13</v>
          </cell>
          <cell r="E9061" t="str">
            <v>Less: Financial intermediation services indirectly measured (FISIM) (only to be deducted if FISIM is not distributed to uses)</v>
          </cell>
          <cell r="F9061">
            <v>0</v>
          </cell>
          <cell r="G9061">
            <v>2003</v>
          </cell>
          <cell r="H9061">
            <v>100</v>
          </cell>
          <cell r="I9061">
            <v>25240700000000</v>
          </cell>
        </row>
        <row r="9062">
          <cell r="A9062" t="str">
            <v>Romania</v>
          </cell>
          <cell r="B9062">
            <v>642</v>
          </cell>
          <cell r="C9062">
            <v>201</v>
          </cell>
          <cell r="D9062">
            <v>13</v>
          </cell>
          <cell r="E9062" t="str">
            <v>Less: Financial intermediation services indirectly measured (FISIM) (only to be deducted if FISIM is not distributed to uses)</v>
          </cell>
          <cell r="F9062">
            <v>0</v>
          </cell>
          <cell r="G9062">
            <v>2004</v>
          </cell>
          <cell r="H9062">
            <v>100</v>
          </cell>
          <cell r="I9062">
            <v>35836400000000</v>
          </cell>
        </row>
        <row r="9063">
          <cell r="A9063" t="str">
            <v>Qatar</v>
          </cell>
          <cell r="B9063">
            <v>634</v>
          </cell>
          <cell r="C9063">
            <v>203</v>
          </cell>
          <cell r="D9063">
            <v>3</v>
          </cell>
          <cell r="E9063" t="str">
            <v>Equals: VALUE ADDED, GROSS, at basic prices</v>
          </cell>
          <cell r="F9063">
            <v>12</v>
          </cell>
          <cell r="G9063">
            <v>1998</v>
          </cell>
          <cell r="H9063">
            <v>100</v>
          </cell>
          <cell r="I9063">
            <v>38356000000</v>
          </cell>
        </row>
        <row r="9064">
          <cell r="A9064" t="str">
            <v>Qatar</v>
          </cell>
          <cell r="B9064">
            <v>634</v>
          </cell>
          <cell r="C9064">
            <v>203</v>
          </cell>
          <cell r="D9064">
            <v>3</v>
          </cell>
          <cell r="E9064" t="str">
            <v>Equals: VALUE ADDED, GROSS, at basic prices</v>
          </cell>
          <cell r="F9064">
            <v>12</v>
          </cell>
          <cell r="G9064">
            <v>1999</v>
          </cell>
          <cell r="H9064">
            <v>100</v>
          </cell>
          <cell r="I9064">
            <v>46170000000</v>
          </cell>
        </row>
        <row r="9065">
          <cell r="A9065" t="str">
            <v>Qatar</v>
          </cell>
          <cell r="B9065">
            <v>634</v>
          </cell>
          <cell r="C9065">
            <v>203</v>
          </cell>
          <cell r="D9065">
            <v>3</v>
          </cell>
          <cell r="E9065" t="str">
            <v>Equals: VALUE ADDED, GROSS, at basic prices</v>
          </cell>
          <cell r="F9065">
            <v>12</v>
          </cell>
          <cell r="G9065">
            <v>2000</v>
          </cell>
          <cell r="H9065">
            <v>100</v>
          </cell>
          <cell r="I9065">
            <v>65707000000</v>
          </cell>
        </row>
        <row r="9066">
          <cell r="A9066" t="str">
            <v>Qatar</v>
          </cell>
          <cell r="B9066">
            <v>634</v>
          </cell>
          <cell r="C9066">
            <v>203</v>
          </cell>
          <cell r="D9066">
            <v>3</v>
          </cell>
          <cell r="E9066" t="str">
            <v>Equals: VALUE ADDED, GROSS, at basic prices</v>
          </cell>
          <cell r="F9066">
            <v>12</v>
          </cell>
          <cell r="G9066">
            <v>2001</v>
          </cell>
          <cell r="H9066">
            <v>100</v>
          </cell>
          <cell r="I9066">
            <v>65776000000</v>
          </cell>
        </row>
        <row r="9067">
          <cell r="A9067" t="str">
            <v>Qatar</v>
          </cell>
          <cell r="B9067">
            <v>634</v>
          </cell>
          <cell r="C9067">
            <v>203</v>
          </cell>
          <cell r="D9067">
            <v>4</v>
          </cell>
          <cell r="E9067" t="str">
            <v>Compensation of employees</v>
          </cell>
          <cell r="F9067">
            <v>12</v>
          </cell>
          <cell r="G9067">
            <v>1995</v>
          </cell>
          <cell r="H9067">
            <v>100</v>
          </cell>
          <cell r="I9067">
            <v>10206000000</v>
          </cell>
        </row>
        <row r="9068">
          <cell r="A9068" t="str">
            <v>Qatar</v>
          </cell>
          <cell r="B9068">
            <v>634</v>
          </cell>
          <cell r="C9068">
            <v>203</v>
          </cell>
          <cell r="D9068">
            <v>4</v>
          </cell>
          <cell r="E9068" t="str">
            <v>Compensation of employees</v>
          </cell>
          <cell r="F9068">
            <v>12</v>
          </cell>
          <cell r="G9068">
            <v>1996</v>
          </cell>
          <cell r="H9068">
            <v>100</v>
          </cell>
          <cell r="I9068">
            <v>11214000000</v>
          </cell>
        </row>
        <row r="9069">
          <cell r="A9069" t="str">
            <v>Qatar</v>
          </cell>
          <cell r="B9069">
            <v>634</v>
          </cell>
          <cell r="C9069">
            <v>203</v>
          </cell>
          <cell r="D9069">
            <v>4</v>
          </cell>
          <cell r="E9069" t="str">
            <v>Compensation of employees</v>
          </cell>
          <cell r="F9069">
            <v>12</v>
          </cell>
          <cell r="G9069">
            <v>1997</v>
          </cell>
          <cell r="H9069">
            <v>100</v>
          </cell>
          <cell r="I9069">
            <v>13288000000</v>
          </cell>
        </row>
        <row r="9070">
          <cell r="A9070" t="str">
            <v>Qatar</v>
          </cell>
          <cell r="B9070">
            <v>634</v>
          </cell>
          <cell r="C9070">
            <v>203</v>
          </cell>
          <cell r="D9070">
            <v>4</v>
          </cell>
          <cell r="E9070" t="str">
            <v>Compensation of employees</v>
          </cell>
          <cell r="F9070">
            <v>12</v>
          </cell>
          <cell r="G9070">
            <v>1998</v>
          </cell>
          <cell r="H9070">
            <v>100</v>
          </cell>
          <cell r="I9070">
            <v>13630000000</v>
          </cell>
        </row>
        <row r="9071">
          <cell r="A9071" t="str">
            <v>Qatar</v>
          </cell>
          <cell r="B9071">
            <v>634</v>
          </cell>
          <cell r="C9071">
            <v>203</v>
          </cell>
          <cell r="D9071">
            <v>4</v>
          </cell>
          <cell r="E9071" t="str">
            <v>Compensation of employees</v>
          </cell>
          <cell r="F9071">
            <v>12</v>
          </cell>
          <cell r="G9071">
            <v>1999</v>
          </cell>
          <cell r="H9071">
            <v>100</v>
          </cell>
          <cell r="I9071">
            <v>13469000000</v>
          </cell>
        </row>
        <row r="9072">
          <cell r="A9072" t="str">
            <v>Qatar</v>
          </cell>
          <cell r="B9072">
            <v>634</v>
          </cell>
          <cell r="C9072">
            <v>203</v>
          </cell>
          <cell r="D9072">
            <v>4</v>
          </cell>
          <cell r="E9072" t="str">
            <v>Compensation of employees</v>
          </cell>
          <cell r="F9072">
            <v>12</v>
          </cell>
          <cell r="G9072">
            <v>2000</v>
          </cell>
          <cell r="H9072">
            <v>100</v>
          </cell>
          <cell r="I9072">
            <v>13598000000</v>
          </cell>
        </row>
        <row r="9073">
          <cell r="A9073" t="str">
            <v>Qatar</v>
          </cell>
          <cell r="B9073">
            <v>634</v>
          </cell>
          <cell r="C9073">
            <v>203</v>
          </cell>
          <cell r="D9073">
            <v>4</v>
          </cell>
          <cell r="E9073" t="str">
            <v>Compensation of employees</v>
          </cell>
          <cell r="F9073">
            <v>12</v>
          </cell>
          <cell r="G9073">
            <v>2001</v>
          </cell>
          <cell r="H9073">
            <v>100</v>
          </cell>
          <cell r="I9073">
            <v>14596000000</v>
          </cell>
        </row>
        <row r="9074">
          <cell r="A9074" t="str">
            <v>Qatar</v>
          </cell>
          <cell r="B9074">
            <v>634</v>
          </cell>
          <cell r="C9074">
            <v>203</v>
          </cell>
          <cell r="D9074">
            <v>11</v>
          </cell>
          <cell r="E9074" t="str">
            <v>OPERATING SURPLUS, GROSS</v>
          </cell>
          <cell r="F9074">
            <v>12</v>
          </cell>
          <cell r="G9074">
            <v>1995</v>
          </cell>
          <cell r="H9074">
            <v>100</v>
          </cell>
          <cell r="I9074">
            <v>20032000000</v>
          </cell>
        </row>
        <row r="9075">
          <cell r="A9075" t="str">
            <v>Qatar</v>
          </cell>
          <cell r="B9075">
            <v>634</v>
          </cell>
          <cell r="C9075">
            <v>203</v>
          </cell>
          <cell r="D9075">
            <v>11</v>
          </cell>
          <cell r="E9075" t="str">
            <v>OPERATING SURPLUS, GROSS</v>
          </cell>
          <cell r="F9075">
            <v>12</v>
          </cell>
          <cell r="G9075">
            <v>1996</v>
          </cell>
          <cell r="H9075">
            <v>100</v>
          </cell>
          <cell r="I9075">
            <v>22550000000</v>
          </cell>
        </row>
        <row r="9076">
          <cell r="A9076" t="str">
            <v>Qatar</v>
          </cell>
          <cell r="B9076">
            <v>634</v>
          </cell>
          <cell r="C9076">
            <v>203</v>
          </cell>
          <cell r="D9076">
            <v>11</v>
          </cell>
          <cell r="E9076" t="str">
            <v>OPERATING SURPLUS, GROSS</v>
          </cell>
          <cell r="F9076">
            <v>12</v>
          </cell>
          <cell r="G9076">
            <v>1997</v>
          </cell>
          <cell r="H9076">
            <v>100</v>
          </cell>
          <cell r="I9076">
            <v>28658000000</v>
          </cell>
        </row>
        <row r="9077">
          <cell r="A9077" t="str">
            <v>Qatar</v>
          </cell>
          <cell r="B9077">
            <v>634</v>
          </cell>
          <cell r="C9077">
            <v>203</v>
          </cell>
          <cell r="D9077">
            <v>11</v>
          </cell>
          <cell r="E9077" t="str">
            <v>OPERATING SURPLUS, GROSS</v>
          </cell>
          <cell r="F9077">
            <v>12</v>
          </cell>
          <cell r="G9077">
            <v>1998</v>
          </cell>
          <cell r="H9077">
            <v>100</v>
          </cell>
          <cell r="I9077">
            <v>24712000000</v>
          </cell>
        </row>
        <row r="9078">
          <cell r="A9078" t="str">
            <v>Qatar</v>
          </cell>
          <cell r="B9078">
            <v>634</v>
          </cell>
          <cell r="C9078">
            <v>203</v>
          </cell>
          <cell r="D9078">
            <v>11</v>
          </cell>
          <cell r="E9078" t="str">
            <v>OPERATING SURPLUS, GROSS</v>
          </cell>
          <cell r="F9078">
            <v>12</v>
          </cell>
          <cell r="G9078">
            <v>1999</v>
          </cell>
          <cell r="H9078">
            <v>100</v>
          </cell>
          <cell r="I9078">
            <v>32654000000</v>
          </cell>
        </row>
        <row r="9079">
          <cell r="A9079" t="str">
            <v>Qatar</v>
          </cell>
          <cell r="B9079">
            <v>634</v>
          </cell>
          <cell r="C9079">
            <v>203</v>
          </cell>
          <cell r="D9079">
            <v>11</v>
          </cell>
          <cell r="E9079" t="str">
            <v>OPERATING SURPLUS, GROSS</v>
          </cell>
          <cell r="F9079">
            <v>12</v>
          </cell>
          <cell r="G9079">
            <v>2000</v>
          </cell>
          <cell r="H9079">
            <v>100</v>
          </cell>
          <cell r="I9079">
            <v>44740000000</v>
          </cell>
        </row>
        <row r="9080">
          <cell r="A9080" t="str">
            <v>Qatar</v>
          </cell>
          <cell r="B9080">
            <v>634</v>
          </cell>
          <cell r="C9080">
            <v>203</v>
          </cell>
          <cell r="D9080">
            <v>11</v>
          </cell>
          <cell r="E9080" t="str">
            <v>OPERATING SURPLUS, GROSS</v>
          </cell>
          <cell r="F9080">
            <v>12</v>
          </cell>
          <cell r="G9080">
            <v>2001</v>
          </cell>
          <cell r="H9080">
            <v>100</v>
          </cell>
          <cell r="I9080">
            <v>51126000000</v>
          </cell>
        </row>
        <row r="9081">
          <cell r="A9081" t="str">
            <v>Qatar</v>
          </cell>
          <cell r="B9081">
            <v>634</v>
          </cell>
          <cell r="C9081">
            <v>203</v>
          </cell>
          <cell r="D9081">
            <v>22</v>
          </cell>
          <cell r="E9081" t="str">
            <v>Taxes on production and imports, less Subsidies</v>
          </cell>
          <cell r="F9081">
            <v>12</v>
          </cell>
          <cell r="G9081">
            <v>1995</v>
          </cell>
          <cell r="H9081">
            <v>100</v>
          </cell>
          <cell r="I9081">
            <v>15000000</v>
          </cell>
        </row>
        <row r="9082">
          <cell r="A9082" t="str">
            <v>Qatar</v>
          </cell>
          <cell r="B9082">
            <v>634</v>
          </cell>
          <cell r="C9082">
            <v>203</v>
          </cell>
          <cell r="D9082">
            <v>22</v>
          </cell>
          <cell r="E9082" t="str">
            <v>Taxes on production and imports, less Subsidies</v>
          </cell>
          <cell r="F9082">
            <v>12</v>
          </cell>
          <cell r="G9082">
            <v>1996</v>
          </cell>
          <cell r="H9082">
            <v>100</v>
          </cell>
          <cell r="I9082">
            <v>6000000</v>
          </cell>
        </row>
        <row r="9083">
          <cell r="A9083" t="str">
            <v>Qatar</v>
          </cell>
          <cell r="B9083">
            <v>634</v>
          </cell>
          <cell r="C9083">
            <v>203</v>
          </cell>
          <cell r="D9083">
            <v>22</v>
          </cell>
          <cell r="E9083" t="str">
            <v>Taxes on production and imports, less Subsidies</v>
          </cell>
          <cell r="F9083">
            <v>12</v>
          </cell>
          <cell r="G9083">
            <v>1997</v>
          </cell>
          <cell r="H9083">
            <v>100</v>
          </cell>
          <cell r="I9083">
            <v>12000000</v>
          </cell>
        </row>
        <row r="9084">
          <cell r="A9084" t="str">
            <v>Qatar</v>
          </cell>
          <cell r="B9084">
            <v>634</v>
          </cell>
          <cell r="C9084">
            <v>203</v>
          </cell>
          <cell r="D9084">
            <v>22</v>
          </cell>
          <cell r="E9084" t="str">
            <v>Taxes on production and imports, less Subsidies</v>
          </cell>
          <cell r="F9084">
            <v>12</v>
          </cell>
          <cell r="G9084">
            <v>1998</v>
          </cell>
          <cell r="H9084">
            <v>100</v>
          </cell>
          <cell r="I9084">
            <v>34000000</v>
          </cell>
        </row>
        <row r="9085">
          <cell r="A9085" t="str">
            <v>Qatar</v>
          </cell>
          <cell r="B9085">
            <v>634</v>
          </cell>
          <cell r="C9085">
            <v>203</v>
          </cell>
          <cell r="D9085">
            <v>22</v>
          </cell>
          <cell r="E9085" t="str">
            <v>Taxes on production and imports, less Subsidies</v>
          </cell>
          <cell r="F9085">
            <v>12</v>
          </cell>
          <cell r="G9085">
            <v>1999</v>
          </cell>
          <cell r="H9085">
            <v>100</v>
          </cell>
          <cell r="I9085">
            <v>47000000</v>
          </cell>
        </row>
        <row r="9086">
          <cell r="A9086" t="str">
            <v>Qatar</v>
          </cell>
          <cell r="B9086">
            <v>634</v>
          </cell>
          <cell r="C9086">
            <v>203</v>
          </cell>
          <cell r="D9086">
            <v>22</v>
          </cell>
          <cell r="E9086" t="str">
            <v>Taxes on production and imports, less Subsidies</v>
          </cell>
          <cell r="F9086">
            <v>12</v>
          </cell>
          <cell r="G9086">
            <v>2000</v>
          </cell>
          <cell r="H9086">
            <v>100</v>
          </cell>
          <cell r="I9086">
            <v>59000000</v>
          </cell>
        </row>
        <row r="9087">
          <cell r="A9087" t="str">
            <v>Qatar</v>
          </cell>
          <cell r="B9087">
            <v>634</v>
          </cell>
          <cell r="C9087">
            <v>203</v>
          </cell>
          <cell r="D9087">
            <v>22</v>
          </cell>
          <cell r="E9087" t="str">
            <v>Taxes on production and imports, less Subsidies</v>
          </cell>
          <cell r="F9087">
            <v>12</v>
          </cell>
          <cell r="G9087">
            <v>2001</v>
          </cell>
          <cell r="H9087">
            <v>100</v>
          </cell>
          <cell r="I9087">
            <v>54000000</v>
          </cell>
        </row>
        <row r="9088">
          <cell r="A9088" t="str">
            <v>Romania</v>
          </cell>
          <cell r="B9088">
            <v>642</v>
          </cell>
          <cell r="C9088">
            <v>203</v>
          </cell>
          <cell r="D9088">
            <v>3</v>
          </cell>
          <cell r="E9088" t="str">
            <v>Equals: VALUE ADDED, GROSS, at basic prices</v>
          </cell>
          <cell r="F9088">
            <v>12</v>
          </cell>
          <cell r="G9088">
            <v>1989</v>
          </cell>
          <cell r="H9088">
            <v>10</v>
          </cell>
          <cell r="I9088">
            <v>732700000000</v>
          </cell>
        </row>
        <row r="9089">
          <cell r="A9089" t="str">
            <v>Romania</v>
          </cell>
          <cell r="B9089">
            <v>642</v>
          </cell>
          <cell r="C9089">
            <v>203</v>
          </cell>
          <cell r="D9089">
            <v>3</v>
          </cell>
          <cell r="E9089" t="str">
            <v>Equals: VALUE ADDED, GROSS, at basic prices</v>
          </cell>
          <cell r="F9089">
            <v>12</v>
          </cell>
          <cell r="G9089">
            <v>1990</v>
          </cell>
          <cell r="H9089">
            <v>10</v>
          </cell>
          <cell r="I9089">
            <v>808000000000</v>
          </cell>
        </row>
        <row r="9090">
          <cell r="A9090" t="str">
            <v>Romania</v>
          </cell>
          <cell r="B9090">
            <v>642</v>
          </cell>
          <cell r="C9090">
            <v>203</v>
          </cell>
          <cell r="D9090">
            <v>3</v>
          </cell>
          <cell r="E9090" t="str">
            <v>Equals: VALUE ADDED, GROSS, at basic prices</v>
          </cell>
          <cell r="F9090">
            <v>12</v>
          </cell>
          <cell r="G9090">
            <v>1991</v>
          </cell>
          <cell r="H9090">
            <v>10</v>
          </cell>
          <cell r="I9090">
            <v>2113300000000</v>
          </cell>
        </row>
        <row r="9091">
          <cell r="A9091" t="str">
            <v>Romania</v>
          </cell>
          <cell r="B9091">
            <v>642</v>
          </cell>
          <cell r="C9091">
            <v>203</v>
          </cell>
          <cell r="D9091">
            <v>3</v>
          </cell>
          <cell r="E9091" t="str">
            <v>Equals: VALUE ADDED, GROSS, at basic prices</v>
          </cell>
          <cell r="F9091">
            <v>12</v>
          </cell>
          <cell r="G9091">
            <v>1992</v>
          </cell>
          <cell r="H9091">
            <v>10</v>
          </cell>
          <cell r="I9091">
            <v>6196200000000</v>
          </cell>
        </row>
        <row r="9092">
          <cell r="A9092" t="str">
            <v>Romania</v>
          </cell>
          <cell r="B9092">
            <v>642</v>
          </cell>
          <cell r="C9092">
            <v>203</v>
          </cell>
          <cell r="D9092">
            <v>3</v>
          </cell>
          <cell r="E9092" t="str">
            <v>Equals: VALUE ADDED, GROSS, at basic prices</v>
          </cell>
          <cell r="F9092">
            <v>12</v>
          </cell>
          <cell r="G9092">
            <v>1993</v>
          </cell>
          <cell r="H9092">
            <v>10</v>
          </cell>
          <cell r="I9092">
            <v>19427100000000</v>
          </cell>
        </row>
        <row r="9093">
          <cell r="A9093" t="str">
            <v>Romania</v>
          </cell>
          <cell r="B9093">
            <v>642</v>
          </cell>
          <cell r="C9093">
            <v>203</v>
          </cell>
          <cell r="D9093">
            <v>3</v>
          </cell>
          <cell r="E9093" t="str">
            <v>Equals: VALUE ADDED, GROSS, at basic prices</v>
          </cell>
          <cell r="F9093">
            <v>12</v>
          </cell>
          <cell r="G9093">
            <v>1994</v>
          </cell>
          <cell r="H9093">
            <v>10</v>
          </cell>
          <cell r="I9093">
            <v>47945400000000</v>
          </cell>
        </row>
        <row r="9094">
          <cell r="A9094" t="str">
            <v>Romania</v>
          </cell>
          <cell r="B9094">
            <v>642</v>
          </cell>
          <cell r="C9094">
            <v>203</v>
          </cell>
          <cell r="D9094">
            <v>3</v>
          </cell>
          <cell r="E9094" t="str">
            <v>Equals: VALUE ADDED, GROSS, at basic prices</v>
          </cell>
          <cell r="F9094">
            <v>12</v>
          </cell>
          <cell r="G9094">
            <v>1995</v>
          </cell>
          <cell r="H9094">
            <v>10</v>
          </cell>
          <cell r="I9094">
            <v>68773500000000</v>
          </cell>
        </row>
        <row r="9095">
          <cell r="A9095" t="str">
            <v>Romania</v>
          </cell>
          <cell r="B9095">
            <v>642</v>
          </cell>
          <cell r="C9095">
            <v>203</v>
          </cell>
          <cell r="D9095">
            <v>3</v>
          </cell>
          <cell r="E9095" t="str">
            <v>Equals: VALUE ADDED, GROSS, at basic prices</v>
          </cell>
          <cell r="F9095">
            <v>12</v>
          </cell>
          <cell r="G9095">
            <v>1996</v>
          </cell>
          <cell r="H9095">
            <v>10</v>
          </cell>
          <cell r="I9095">
            <v>104076900000000</v>
          </cell>
        </row>
        <row r="9096">
          <cell r="A9096" t="str">
            <v>Romania</v>
          </cell>
          <cell r="B9096">
            <v>642</v>
          </cell>
          <cell r="C9096">
            <v>203</v>
          </cell>
          <cell r="D9096">
            <v>3</v>
          </cell>
          <cell r="E9096" t="str">
            <v>Equals: VALUE ADDED, GROSS, at basic prices</v>
          </cell>
          <cell r="F9096">
            <v>12</v>
          </cell>
          <cell r="G9096">
            <v>1997</v>
          </cell>
          <cell r="H9096">
            <v>10</v>
          </cell>
          <cell r="I9096">
            <v>234073600000000</v>
          </cell>
        </row>
        <row r="9097">
          <cell r="A9097" t="str">
            <v>Romania</v>
          </cell>
          <cell r="B9097">
            <v>642</v>
          </cell>
          <cell r="C9097">
            <v>203</v>
          </cell>
          <cell r="D9097">
            <v>3</v>
          </cell>
          <cell r="E9097" t="str">
            <v>Equals: VALUE ADDED, GROSS, at basic prices</v>
          </cell>
          <cell r="F9097">
            <v>12</v>
          </cell>
          <cell r="G9097">
            <v>1998</v>
          </cell>
          <cell r="H9097">
            <v>100</v>
          </cell>
          <cell r="I9097">
            <v>337112300000000</v>
          </cell>
        </row>
        <row r="9098">
          <cell r="A9098" t="str">
            <v>Romania</v>
          </cell>
          <cell r="B9098">
            <v>642</v>
          </cell>
          <cell r="C9098">
            <v>203</v>
          </cell>
          <cell r="D9098">
            <v>3</v>
          </cell>
          <cell r="E9098" t="str">
            <v>Equals: VALUE ADDED, GROSS, at basic prices</v>
          </cell>
          <cell r="F9098">
            <v>12</v>
          </cell>
          <cell r="G9098">
            <v>1999</v>
          </cell>
          <cell r="H9098">
            <v>100</v>
          </cell>
          <cell r="I9098">
            <v>488881700000000</v>
          </cell>
        </row>
        <row r="9099">
          <cell r="A9099" t="str">
            <v>Romania</v>
          </cell>
          <cell r="B9099">
            <v>642</v>
          </cell>
          <cell r="C9099">
            <v>203</v>
          </cell>
          <cell r="D9099">
            <v>3</v>
          </cell>
          <cell r="E9099" t="str">
            <v>Equals: VALUE ADDED, GROSS, at basic prices</v>
          </cell>
          <cell r="F9099">
            <v>12</v>
          </cell>
          <cell r="G9099">
            <v>2000</v>
          </cell>
          <cell r="H9099">
            <v>100</v>
          </cell>
          <cell r="I9099">
            <v>719908600000000</v>
          </cell>
        </row>
        <row r="9100">
          <cell r="A9100" t="str">
            <v>Romania</v>
          </cell>
          <cell r="B9100">
            <v>642</v>
          </cell>
          <cell r="C9100">
            <v>203</v>
          </cell>
          <cell r="D9100">
            <v>3</v>
          </cell>
          <cell r="E9100" t="str">
            <v>Equals: VALUE ADDED, GROSS, at basic prices</v>
          </cell>
          <cell r="F9100">
            <v>12</v>
          </cell>
          <cell r="G9100">
            <v>2001</v>
          </cell>
          <cell r="H9100">
            <v>100</v>
          </cell>
          <cell r="I9100">
            <v>1060821900000000</v>
          </cell>
        </row>
        <row r="9101">
          <cell r="A9101" t="str">
            <v>Romania</v>
          </cell>
          <cell r="B9101">
            <v>642</v>
          </cell>
          <cell r="C9101">
            <v>203</v>
          </cell>
          <cell r="D9101">
            <v>3</v>
          </cell>
          <cell r="E9101" t="str">
            <v>Equals: VALUE ADDED, GROSS, at basic prices</v>
          </cell>
          <cell r="F9101">
            <v>12</v>
          </cell>
          <cell r="G9101">
            <v>2002</v>
          </cell>
          <cell r="H9101">
            <v>100</v>
          </cell>
          <cell r="I9101">
            <v>1373001700000000</v>
          </cell>
        </row>
        <row r="9102">
          <cell r="A9102" t="str">
            <v>Romania</v>
          </cell>
          <cell r="B9102">
            <v>642</v>
          </cell>
          <cell r="C9102">
            <v>203</v>
          </cell>
          <cell r="D9102">
            <v>3</v>
          </cell>
          <cell r="E9102" t="str">
            <v>Equals: VALUE ADDED, GROSS, at basic prices</v>
          </cell>
          <cell r="F9102">
            <v>12</v>
          </cell>
          <cell r="G9102">
            <v>2003</v>
          </cell>
          <cell r="H9102">
            <v>100</v>
          </cell>
          <cell r="I9102">
            <v>1706964900000000</v>
          </cell>
        </row>
        <row r="9103">
          <cell r="A9103" t="str">
            <v>Romania</v>
          </cell>
          <cell r="B9103">
            <v>642</v>
          </cell>
          <cell r="C9103">
            <v>203</v>
          </cell>
          <cell r="D9103">
            <v>3</v>
          </cell>
          <cell r="E9103" t="str">
            <v>Equals: VALUE ADDED, GROSS, at basic prices</v>
          </cell>
          <cell r="F9103">
            <v>12</v>
          </cell>
          <cell r="G9103">
            <v>2004</v>
          </cell>
          <cell r="H9103">
            <v>100</v>
          </cell>
          <cell r="I9103">
            <v>2152762800000000</v>
          </cell>
        </row>
        <row r="9104">
          <cell r="A9104" t="str">
            <v>Romania</v>
          </cell>
          <cell r="B9104">
            <v>642</v>
          </cell>
          <cell r="C9104">
            <v>203</v>
          </cell>
          <cell r="D9104">
            <v>4</v>
          </cell>
          <cell r="E9104" t="str">
            <v>Compensation of employees</v>
          </cell>
          <cell r="F9104">
            <v>12</v>
          </cell>
          <cell r="G9104">
            <v>1995</v>
          </cell>
          <cell r="H9104">
            <v>10</v>
          </cell>
          <cell r="I9104">
            <v>29082800000000</v>
          </cell>
        </row>
        <row r="9105">
          <cell r="A9105" t="str">
            <v>Romania</v>
          </cell>
          <cell r="B9105">
            <v>642</v>
          </cell>
          <cell r="C9105">
            <v>203</v>
          </cell>
          <cell r="D9105">
            <v>4</v>
          </cell>
          <cell r="E9105" t="str">
            <v>Compensation of employees</v>
          </cell>
          <cell r="F9105">
            <v>12</v>
          </cell>
          <cell r="G9105">
            <v>1996</v>
          </cell>
          <cell r="H9105">
            <v>10</v>
          </cell>
          <cell r="I9105">
            <v>43281300000000</v>
          </cell>
        </row>
        <row r="9106">
          <cell r="A9106" t="str">
            <v>Romania</v>
          </cell>
          <cell r="B9106">
            <v>642</v>
          </cell>
          <cell r="C9106">
            <v>203</v>
          </cell>
          <cell r="D9106">
            <v>4</v>
          </cell>
          <cell r="E9106" t="str">
            <v>Compensation of employees</v>
          </cell>
          <cell r="F9106">
            <v>12</v>
          </cell>
          <cell r="G9106">
            <v>1997</v>
          </cell>
          <cell r="H9106">
            <v>10</v>
          </cell>
          <cell r="I9106">
            <v>82134200000000</v>
          </cell>
        </row>
        <row r="9107">
          <cell r="A9107" t="str">
            <v>Romania</v>
          </cell>
          <cell r="B9107">
            <v>642</v>
          </cell>
          <cell r="C9107">
            <v>203</v>
          </cell>
          <cell r="D9107">
            <v>4</v>
          </cell>
          <cell r="E9107" t="str">
            <v>Compensation of employees</v>
          </cell>
          <cell r="F9107">
            <v>12</v>
          </cell>
          <cell r="G9107">
            <v>1998</v>
          </cell>
          <cell r="H9107">
            <v>100</v>
          </cell>
          <cell r="I9107">
            <v>149252300000000</v>
          </cell>
        </row>
        <row r="9108">
          <cell r="A9108" t="str">
            <v>Romania</v>
          </cell>
          <cell r="B9108">
            <v>642</v>
          </cell>
          <cell r="C9108">
            <v>203</v>
          </cell>
          <cell r="D9108">
            <v>4</v>
          </cell>
          <cell r="E9108" t="str">
            <v>Compensation of employees</v>
          </cell>
          <cell r="F9108">
            <v>12</v>
          </cell>
          <cell r="G9108">
            <v>1999</v>
          </cell>
          <cell r="H9108">
            <v>100</v>
          </cell>
          <cell r="I9108">
            <v>189470300000000</v>
          </cell>
        </row>
        <row r="9109">
          <cell r="A9109" t="str">
            <v>Romania</v>
          </cell>
          <cell r="B9109">
            <v>642</v>
          </cell>
          <cell r="C9109">
            <v>203</v>
          </cell>
          <cell r="D9109">
            <v>4</v>
          </cell>
          <cell r="E9109" t="str">
            <v>Compensation of employees</v>
          </cell>
          <cell r="F9109">
            <v>12</v>
          </cell>
          <cell r="G9109">
            <v>2000</v>
          </cell>
          <cell r="H9109">
            <v>100</v>
          </cell>
          <cell r="I9109">
            <v>330487000000000</v>
          </cell>
        </row>
        <row r="9110">
          <cell r="A9110" t="str">
            <v>Romania</v>
          </cell>
          <cell r="B9110">
            <v>642</v>
          </cell>
          <cell r="C9110">
            <v>203</v>
          </cell>
          <cell r="D9110">
            <v>4</v>
          </cell>
          <cell r="E9110" t="str">
            <v>Compensation of employees</v>
          </cell>
          <cell r="F9110">
            <v>12</v>
          </cell>
          <cell r="G9110">
            <v>2001</v>
          </cell>
          <cell r="H9110">
            <v>100</v>
          </cell>
          <cell r="I9110">
            <v>474971300000000</v>
          </cell>
        </row>
        <row r="9111">
          <cell r="A9111" t="str">
            <v>Romania</v>
          </cell>
          <cell r="B9111">
            <v>642</v>
          </cell>
          <cell r="C9111">
            <v>203</v>
          </cell>
          <cell r="D9111">
            <v>4</v>
          </cell>
          <cell r="E9111" t="str">
            <v>Compensation of employees</v>
          </cell>
          <cell r="F9111">
            <v>12</v>
          </cell>
          <cell r="G9111">
            <v>2002</v>
          </cell>
          <cell r="H9111">
            <v>100</v>
          </cell>
          <cell r="I9111">
            <v>598100700000000</v>
          </cell>
        </row>
        <row r="9112">
          <cell r="A9112" t="str">
            <v>Russian Federation</v>
          </cell>
          <cell r="B9112">
            <v>643</v>
          </cell>
          <cell r="C9112">
            <v>201</v>
          </cell>
          <cell r="D9112">
            <v>13</v>
          </cell>
          <cell r="E9112" t="str">
            <v>Less: Financial intermediation services indirectly measured (FISIM) (only to be deducted if FISIM is not distributed to uses)</v>
          </cell>
          <cell r="F9112">
            <v>0</v>
          </cell>
          <cell r="G9112">
            <v>1990</v>
          </cell>
          <cell r="H9112">
            <v>300</v>
          </cell>
          <cell r="I9112">
            <v>3100000</v>
          </cell>
        </row>
        <row r="9113">
          <cell r="A9113" t="str">
            <v>Russian Federation</v>
          </cell>
          <cell r="B9113">
            <v>643</v>
          </cell>
          <cell r="C9113">
            <v>201</v>
          </cell>
          <cell r="D9113">
            <v>13</v>
          </cell>
          <cell r="E9113" t="str">
            <v>Less: Financial intermediation services indirectly measured (FISIM) (only to be deducted if FISIM is not distributed to uses)</v>
          </cell>
          <cell r="F9113">
            <v>0</v>
          </cell>
          <cell r="G9113">
            <v>1991</v>
          </cell>
          <cell r="H9113">
            <v>300</v>
          </cell>
          <cell r="I9113">
            <v>30700000</v>
          </cell>
        </row>
        <row r="9114">
          <cell r="A9114" t="str">
            <v>Russian Federation</v>
          </cell>
          <cell r="B9114">
            <v>643</v>
          </cell>
          <cell r="C9114">
            <v>201</v>
          </cell>
          <cell r="D9114">
            <v>13</v>
          </cell>
          <cell r="E9114" t="str">
            <v>Less: Financial intermediation services indirectly measured (FISIM) (only to be deducted if FISIM is not distributed to uses)</v>
          </cell>
          <cell r="F9114">
            <v>0</v>
          </cell>
          <cell r="G9114">
            <v>1992</v>
          </cell>
          <cell r="H9114">
            <v>300</v>
          </cell>
          <cell r="I9114">
            <v>763000000</v>
          </cell>
        </row>
        <row r="9115">
          <cell r="A9115" t="str">
            <v>Russian Federation</v>
          </cell>
          <cell r="B9115">
            <v>643</v>
          </cell>
          <cell r="C9115">
            <v>201</v>
          </cell>
          <cell r="D9115">
            <v>13</v>
          </cell>
          <cell r="E9115" t="str">
            <v>Less: Financial intermediation services indirectly measured (FISIM) (only to be deducted if FISIM is not distributed to uses)</v>
          </cell>
          <cell r="F9115">
            <v>0</v>
          </cell>
          <cell r="G9115">
            <v>1993</v>
          </cell>
          <cell r="H9115">
            <v>300</v>
          </cell>
          <cell r="I9115">
            <v>5930000000</v>
          </cell>
        </row>
        <row r="9116">
          <cell r="A9116" t="str">
            <v>Russian Federation</v>
          </cell>
          <cell r="B9116">
            <v>643</v>
          </cell>
          <cell r="C9116">
            <v>201</v>
          </cell>
          <cell r="D9116">
            <v>13</v>
          </cell>
          <cell r="E9116" t="str">
            <v>Less: Financial intermediation services indirectly measured (FISIM) (only to be deducted if FISIM is not distributed to uses)</v>
          </cell>
          <cell r="F9116">
            <v>0</v>
          </cell>
          <cell r="G9116">
            <v>1994</v>
          </cell>
          <cell r="H9116">
            <v>300</v>
          </cell>
          <cell r="I9116">
            <v>23845800000</v>
          </cell>
        </row>
        <row r="9117">
          <cell r="A9117" t="str">
            <v>Russian Federation</v>
          </cell>
          <cell r="B9117">
            <v>643</v>
          </cell>
          <cell r="C9117">
            <v>201</v>
          </cell>
          <cell r="D9117">
            <v>13</v>
          </cell>
          <cell r="E9117" t="str">
            <v>Less: Financial intermediation services indirectly measured (FISIM) (only to be deducted if FISIM is not distributed to uses)</v>
          </cell>
          <cell r="F9117">
            <v>0</v>
          </cell>
          <cell r="G9117">
            <v>1995</v>
          </cell>
          <cell r="H9117">
            <v>300</v>
          </cell>
          <cell r="I9117">
            <v>15445800000</v>
          </cell>
        </row>
        <row r="9118">
          <cell r="A9118" t="str">
            <v>Russian Federation</v>
          </cell>
          <cell r="B9118">
            <v>643</v>
          </cell>
          <cell r="C9118">
            <v>201</v>
          </cell>
          <cell r="D9118">
            <v>13</v>
          </cell>
          <cell r="E9118" t="str">
            <v>Less: Financial intermediation services indirectly measured (FISIM) (only to be deducted if FISIM is not distributed to uses)</v>
          </cell>
          <cell r="F9118">
            <v>0</v>
          </cell>
          <cell r="G9118">
            <v>1996</v>
          </cell>
          <cell r="H9118">
            <v>300</v>
          </cell>
          <cell r="I9118">
            <v>5162700000</v>
          </cell>
        </row>
        <row r="9119">
          <cell r="A9119" t="str">
            <v>Russian Federation</v>
          </cell>
          <cell r="B9119">
            <v>643</v>
          </cell>
          <cell r="C9119">
            <v>201</v>
          </cell>
          <cell r="D9119">
            <v>13</v>
          </cell>
          <cell r="E9119" t="str">
            <v>Less: Financial intermediation services indirectly measured (FISIM) (only to be deducted if FISIM is not distributed to uses)</v>
          </cell>
          <cell r="F9119">
            <v>0</v>
          </cell>
          <cell r="G9119">
            <v>1997</v>
          </cell>
          <cell r="H9119">
            <v>300</v>
          </cell>
          <cell r="I9119">
            <v>7398500000</v>
          </cell>
        </row>
        <row r="9120">
          <cell r="A9120" t="str">
            <v>Russian Federation</v>
          </cell>
          <cell r="B9120">
            <v>643</v>
          </cell>
          <cell r="C9120">
            <v>201</v>
          </cell>
          <cell r="D9120">
            <v>13</v>
          </cell>
          <cell r="E9120" t="str">
            <v>Less: Financial intermediation services indirectly measured (FISIM) (only to be deducted if FISIM is not distributed to uses)</v>
          </cell>
          <cell r="F9120">
            <v>0</v>
          </cell>
          <cell r="G9120">
            <v>1998</v>
          </cell>
          <cell r="H9120">
            <v>300</v>
          </cell>
          <cell r="I9120">
            <v>6321400000</v>
          </cell>
        </row>
        <row r="9121">
          <cell r="A9121" t="str">
            <v>Russian Federation</v>
          </cell>
          <cell r="B9121">
            <v>643</v>
          </cell>
          <cell r="C9121">
            <v>201</v>
          </cell>
          <cell r="D9121">
            <v>13</v>
          </cell>
          <cell r="E9121" t="str">
            <v>Less: Financial intermediation services indirectly measured (FISIM) (only to be deducted if FISIM is not distributed to uses)</v>
          </cell>
          <cell r="F9121">
            <v>0</v>
          </cell>
          <cell r="G9121">
            <v>1999</v>
          </cell>
          <cell r="H9121">
            <v>300</v>
          </cell>
          <cell r="I9121">
            <v>11466500000</v>
          </cell>
        </row>
        <row r="9122">
          <cell r="A9122" t="str">
            <v>Russian Federation</v>
          </cell>
          <cell r="B9122">
            <v>643</v>
          </cell>
          <cell r="C9122">
            <v>201</v>
          </cell>
          <cell r="D9122">
            <v>13</v>
          </cell>
          <cell r="E9122" t="str">
            <v>Less: Financial intermediation services indirectly measured (FISIM) (only to be deducted if FISIM is not distributed to uses)</v>
          </cell>
          <cell r="F9122">
            <v>0</v>
          </cell>
          <cell r="G9122">
            <v>2000</v>
          </cell>
          <cell r="H9122">
            <v>300</v>
          </cell>
          <cell r="I9122">
            <v>58239400000</v>
          </cell>
        </row>
        <row r="9123">
          <cell r="A9123" t="str">
            <v>Russian Federation</v>
          </cell>
          <cell r="B9123">
            <v>643</v>
          </cell>
          <cell r="C9123">
            <v>201</v>
          </cell>
          <cell r="D9123">
            <v>13</v>
          </cell>
          <cell r="E9123" t="str">
            <v>Less: Financial intermediation services indirectly measured (FISIM) (only to be deducted if FISIM is not distributed to uses)</v>
          </cell>
          <cell r="F9123">
            <v>0</v>
          </cell>
          <cell r="G9123">
            <v>2001</v>
          </cell>
          <cell r="H9123">
            <v>300</v>
          </cell>
          <cell r="I9123">
            <v>129719500000</v>
          </cell>
        </row>
        <row r="9124">
          <cell r="A9124" t="str">
            <v>Russian Federation</v>
          </cell>
          <cell r="B9124">
            <v>643</v>
          </cell>
          <cell r="C9124">
            <v>201</v>
          </cell>
          <cell r="D9124">
            <v>13</v>
          </cell>
          <cell r="E9124" t="str">
            <v>Less: Financial intermediation services indirectly measured (FISIM) (only to be deducted if FISIM is not distributed to uses)</v>
          </cell>
          <cell r="F9124">
            <v>0</v>
          </cell>
          <cell r="G9124">
            <v>2002</v>
          </cell>
          <cell r="H9124">
            <v>300</v>
          </cell>
          <cell r="I9124">
            <v>179287900000</v>
          </cell>
        </row>
        <row r="9125">
          <cell r="A9125" t="str">
            <v>Russian Federation</v>
          </cell>
          <cell r="B9125">
            <v>643</v>
          </cell>
          <cell r="C9125">
            <v>201</v>
          </cell>
          <cell r="D9125">
            <v>13</v>
          </cell>
          <cell r="E9125" t="str">
            <v>Less: Financial intermediation services indirectly measured (FISIM) (only to be deducted if FISIM is not distributed to uses)</v>
          </cell>
          <cell r="F9125">
            <v>0</v>
          </cell>
          <cell r="G9125">
            <v>2003</v>
          </cell>
          <cell r="H9125">
            <v>300</v>
          </cell>
          <cell r="I9125">
            <v>209119900000</v>
          </cell>
        </row>
        <row r="9126">
          <cell r="A9126" t="str">
            <v>Russian Federation</v>
          </cell>
          <cell r="B9126">
            <v>643</v>
          </cell>
          <cell r="C9126">
            <v>203</v>
          </cell>
          <cell r="D9126">
            <v>3</v>
          </cell>
          <cell r="E9126" t="str">
            <v>Equals: VALUE ADDED, GROSS, at basic prices</v>
          </cell>
          <cell r="F9126">
            <v>12</v>
          </cell>
          <cell r="G9126">
            <v>1989</v>
          </cell>
          <cell r="H9126">
            <v>100</v>
          </cell>
          <cell r="I9126">
            <v>573000000000</v>
          </cell>
        </row>
        <row r="9127">
          <cell r="A9127" t="str">
            <v>Russian Federation</v>
          </cell>
          <cell r="B9127">
            <v>643</v>
          </cell>
          <cell r="C9127">
            <v>203</v>
          </cell>
          <cell r="D9127">
            <v>3</v>
          </cell>
          <cell r="E9127" t="str">
            <v>Equals: VALUE ADDED, GROSS, at basic prices</v>
          </cell>
          <cell r="F9127">
            <v>12</v>
          </cell>
          <cell r="G9127">
            <v>1990</v>
          </cell>
          <cell r="H9127">
            <v>100</v>
          </cell>
          <cell r="I9127">
            <v>644200000000</v>
          </cell>
        </row>
        <row r="9128">
          <cell r="A9128" t="str">
            <v>Russian Federation</v>
          </cell>
          <cell r="B9128">
            <v>643</v>
          </cell>
          <cell r="C9128">
            <v>203</v>
          </cell>
          <cell r="D9128">
            <v>3</v>
          </cell>
          <cell r="E9128" t="str">
            <v>Equals: VALUE ADDED, GROSS, at basic prices</v>
          </cell>
          <cell r="F9128">
            <v>12</v>
          </cell>
          <cell r="G9128">
            <v>1991</v>
          </cell>
          <cell r="H9128">
            <v>100</v>
          </cell>
          <cell r="I9128">
            <v>1398500000000</v>
          </cell>
        </row>
        <row r="9129">
          <cell r="A9129" t="str">
            <v>Russian Federation</v>
          </cell>
          <cell r="B9129">
            <v>643</v>
          </cell>
          <cell r="C9129">
            <v>203</v>
          </cell>
          <cell r="D9129">
            <v>3</v>
          </cell>
          <cell r="E9129" t="str">
            <v>Equals: VALUE ADDED, GROSS, at basic prices</v>
          </cell>
          <cell r="F9129">
            <v>12</v>
          </cell>
          <cell r="G9129">
            <v>1992</v>
          </cell>
          <cell r="H9129">
            <v>100</v>
          </cell>
          <cell r="I9129">
            <v>19005500000000</v>
          </cell>
        </row>
        <row r="9130">
          <cell r="A9130" t="str">
            <v>Russian Federation</v>
          </cell>
          <cell r="B9130">
            <v>643</v>
          </cell>
          <cell r="C9130">
            <v>203</v>
          </cell>
          <cell r="D9130">
            <v>3</v>
          </cell>
          <cell r="E9130" t="str">
            <v>Equals: VALUE ADDED, GROSS, at basic prices</v>
          </cell>
          <cell r="F9130">
            <v>12</v>
          </cell>
          <cell r="G9130">
            <v>1993</v>
          </cell>
          <cell r="H9130">
            <v>100</v>
          </cell>
          <cell r="I9130">
            <v>171510000000000</v>
          </cell>
        </row>
        <row r="9131">
          <cell r="A9131" t="str">
            <v>Russian Federation</v>
          </cell>
          <cell r="B9131">
            <v>643</v>
          </cell>
          <cell r="C9131">
            <v>203</v>
          </cell>
          <cell r="D9131">
            <v>3</v>
          </cell>
          <cell r="E9131" t="str">
            <v>Equals: VALUE ADDED, GROSS, at basic prices</v>
          </cell>
          <cell r="F9131">
            <v>12</v>
          </cell>
          <cell r="G9131">
            <v>1994</v>
          </cell>
          <cell r="H9131">
            <v>100</v>
          </cell>
          <cell r="I9131">
            <v>610745000000000</v>
          </cell>
        </row>
        <row r="9132">
          <cell r="A9132" t="str">
            <v>Russian Federation</v>
          </cell>
          <cell r="B9132">
            <v>643</v>
          </cell>
          <cell r="C9132">
            <v>203</v>
          </cell>
          <cell r="D9132">
            <v>3</v>
          </cell>
          <cell r="E9132" t="str">
            <v>Equals: VALUE ADDED, GROSS, at basic prices</v>
          </cell>
          <cell r="F9132">
            <v>12</v>
          </cell>
          <cell r="G9132">
            <v>1995</v>
          </cell>
          <cell r="H9132">
            <v>100</v>
          </cell>
          <cell r="I9132">
            <v>1540490000000000</v>
          </cell>
        </row>
        <row r="9133">
          <cell r="A9133" t="str">
            <v>Russian Federation</v>
          </cell>
          <cell r="B9133">
            <v>643</v>
          </cell>
          <cell r="C9133">
            <v>203</v>
          </cell>
          <cell r="D9133">
            <v>3</v>
          </cell>
          <cell r="E9133" t="str">
            <v>Equals: VALUE ADDED, GROSS, at basic prices</v>
          </cell>
          <cell r="F9133">
            <v>12</v>
          </cell>
          <cell r="G9133">
            <v>1995</v>
          </cell>
          <cell r="H9133">
            <v>300</v>
          </cell>
          <cell r="I9133">
            <v>1428522100000</v>
          </cell>
        </row>
        <row r="9134">
          <cell r="A9134" t="str">
            <v>Russian Federation</v>
          </cell>
          <cell r="B9134">
            <v>643</v>
          </cell>
          <cell r="C9134">
            <v>203</v>
          </cell>
          <cell r="D9134">
            <v>3</v>
          </cell>
          <cell r="E9134" t="str">
            <v>Equals: VALUE ADDED, GROSS, at basic prices</v>
          </cell>
          <cell r="F9134">
            <v>12</v>
          </cell>
          <cell r="G9134">
            <v>1996</v>
          </cell>
          <cell r="H9134">
            <v>300</v>
          </cell>
          <cell r="I9134">
            <v>2007825100000</v>
          </cell>
        </row>
        <row r="9135">
          <cell r="A9135" t="str">
            <v>Russian Federation</v>
          </cell>
          <cell r="B9135">
            <v>643</v>
          </cell>
          <cell r="C9135">
            <v>203</v>
          </cell>
          <cell r="D9135">
            <v>3</v>
          </cell>
          <cell r="E9135" t="str">
            <v>Equals: VALUE ADDED, GROSS, at basic prices</v>
          </cell>
          <cell r="F9135">
            <v>12</v>
          </cell>
          <cell r="G9135">
            <v>1997</v>
          </cell>
          <cell r="H9135">
            <v>300</v>
          </cell>
          <cell r="I9135">
            <v>2342514000000</v>
          </cell>
        </row>
        <row r="9136">
          <cell r="A9136" t="str">
            <v>Russian Federation</v>
          </cell>
          <cell r="B9136">
            <v>643</v>
          </cell>
          <cell r="C9136">
            <v>203</v>
          </cell>
          <cell r="D9136">
            <v>3</v>
          </cell>
          <cell r="E9136" t="str">
            <v>Equals: VALUE ADDED, GROSS, at basic prices</v>
          </cell>
          <cell r="F9136">
            <v>12</v>
          </cell>
          <cell r="G9136">
            <v>1998</v>
          </cell>
          <cell r="H9136">
            <v>300</v>
          </cell>
          <cell r="I9136">
            <v>2629623000000</v>
          </cell>
        </row>
        <row r="9137">
          <cell r="A9137" t="str">
            <v>Russian Federation</v>
          </cell>
          <cell r="B9137">
            <v>643</v>
          </cell>
          <cell r="C9137">
            <v>203</v>
          </cell>
          <cell r="D9137">
            <v>3</v>
          </cell>
          <cell r="E9137" t="str">
            <v>Equals: VALUE ADDED, GROSS, at basic prices</v>
          </cell>
          <cell r="F9137">
            <v>12</v>
          </cell>
          <cell r="G9137">
            <v>1999</v>
          </cell>
          <cell r="H9137">
            <v>300</v>
          </cell>
          <cell r="I9137">
            <v>4823233500000</v>
          </cell>
        </row>
        <row r="9138">
          <cell r="A9138" t="str">
            <v>Russian Federation</v>
          </cell>
          <cell r="B9138">
            <v>643</v>
          </cell>
          <cell r="C9138">
            <v>203</v>
          </cell>
          <cell r="D9138">
            <v>3</v>
          </cell>
          <cell r="E9138" t="str">
            <v>Equals: VALUE ADDED, GROSS, at basic prices</v>
          </cell>
          <cell r="F9138">
            <v>12</v>
          </cell>
          <cell r="G9138">
            <v>2000</v>
          </cell>
          <cell r="H9138">
            <v>300</v>
          </cell>
          <cell r="I9138">
            <v>7305646300000</v>
          </cell>
        </row>
        <row r="9139">
          <cell r="A9139" t="str">
            <v>Russian Federation</v>
          </cell>
          <cell r="B9139">
            <v>643</v>
          </cell>
          <cell r="C9139">
            <v>203</v>
          </cell>
          <cell r="D9139">
            <v>3</v>
          </cell>
          <cell r="E9139" t="str">
            <v>Equals: VALUE ADDED, GROSS, at basic prices</v>
          </cell>
          <cell r="F9139">
            <v>12</v>
          </cell>
          <cell r="G9139">
            <v>2001</v>
          </cell>
          <cell r="H9139">
            <v>300</v>
          </cell>
          <cell r="I9139">
            <v>8943582400000</v>
          </cell>
        </row>
        <row r="9140">
          <cell r="A9140" t="str">
            <v>Russian Federation</v>
          </cell>
          <cell r="B9140">
            <v>643</v>
          </cell>
          <cell r="C9140">
            <v>203</v>
          </cell>
          <cell r="D9140">
            <v>3</v>
          </cell>
          <cell r="E9140" t="str">
            <v>Equals: VALUE ADDED, GROSS, at basic prices</v>
          </cell>
          <cell r="F9140">
            <v>12</v>
          </cell>
          <cell r="G9140">
            <v>2002</v>
          </cell>
          <cell r="H9140">
            <v>300</v>
          </cell>
          <cell r="I9140">
            <v>10834170000000</v>
          </cell>
        </row>
        <row r="9141">
          <cell r="A9141" t="str">
            <v>Russian Federation</v>
          </cell>
          <cell r="B9141">
            <v>643</v>
          </cell>
          <cell r="C9141">
            <v>203</v>
          </cell>
          <cell r="D9141">
            <v>3</v>
          </cell>
          <cell r="E9141" t="str">
            <v>Equals: VALUE ADDED, GROSS, at basic prices</v>
          </cell>
          <cell r="F9141">
            <v>12</v>
          </cell>
          <cell r="G9141">
            <v>2003</v>
          </cell>
          <cell r="H9141">
            <v>300</v>
          </cell>
          <cell r="I9141">
            <v>13285240700000</v>
          </cell>
        </row>
        <row r="9142">
          <cell r="A9142" t="str">
            <v>Russian Federation</v>
          </cell>
          <cell r="B9142">
            <v>643</v>
          </cell>
          <cell r="C9142">
            <v>203</v>
          </cell>
          <cell r="D9142">
            <v>4</v>
          </cell>
          <cell r="E9142" t="str">
            <v>Compensation of employees</v>
          </cell>
          <cell r="F9142">
            <v>12</v>
          </cell>
          <cell r="G9142">
            <v>1989</v>
          </cell>
          <cell r="H9142">
            <v>100</v>
          </cell>
          <cell r="I9142">
            <v>267000000000</v>
          </cell>
        </row>
        <row r="9143">
          <cell r="A9143" t="str">
            <v>Russian Federation</v>
          </cell>
          <cell r="B9143">
            <v>643</v>
          </cell>
          <cell r="C9143">
            <v>203</v>
          </cell>
          <cell r="D9143">
            <v>4</v>
          </cell>
          <cell r="E9143" t="str">
            <v>Compensation of employees</v>
          </cell>
          <cell r="F9143">
            <v>12</v>
          </cell>
          <cell r="G9143">
            <v>1990</v>
          </cell>
          <cell r="H9143">
            <v>100</v>
          </cell>
          <cell r="I9143">
            <v>314400000000</v>
          </cell>
        </row>
        <row r="9144">
          <cell r="A9144" t="str">
            <v>Russian Federation</v>
          </cell>
          <cell r="B9144">
            <v>643</v>
          </cell>
          <cell r="C9144">
            <v>203</v>
          </cell>
          <cell r="D9144">
            <v>4</v>
          </cell>
          <cell r="E9144" t="str">
            <v>Compensation of employees</v>
          </cell>
          <cell r="F9144">
            <v>12</v>
          </cell>
          <cell r="G9144">
            <v>1991</v>
          </cell>
          <cell r="H9144">
            <v>100</v>
          </cell>
          <cell r="I9144">
            <v>610900000000</v>
          </cell>
        </row>
        <row r="9145">
          <cell r="A9145" t="str">
            <v>Russian Federation</v>
          </cell>
          <cell r="B9145">
            <v>643</v>
          </cell>
          <cell r="C9145">
            <v>203</v>
          </cell>
          <cell r="D9145">
            <v>4</v>
          </cell>
          <cell r="E9145" t="str">
            <v>Compensation of employees</v>
          </cell>
          <cell r="F9145">
            <v>12</v>
          </cell>
          <cell r="G9145">
            <v>1992</v>
          </cell>
          <cell r="H9145">
            <v>100</v>
          </cell>
          <cell r="I9145">
            <v>6979400000000</v>
          </cell>
        </row>
        <row r="9146">
          <cell r="A9146" t="str">
            <v>Russian Federation</v>
          </cell>
          <cell r="B9146">
            <v>643</v>
          </cell>
          <cell r="C9146">
            <v>203</v>
          </cell>
          <cell r="D9146">
            <v>4</v>
          </cell>
          <cell r="E9146" t="str">
            <v>Compensation of employees</v>
          </cell>
          <cell r="F9146">
            <v>12</v>
          </cell>
          <cell r="G9146">
            <v>1993</v>
          </cell>
          <cell r="H9146">
            <v>100</v>
          </cell>
          <cell r="I9146">
            <v>76346200000000</v>
          </cell>
        </row>
        <row r="9147">
          <cell r="A9147" t="str">
            <v>Russian Federation</v>
          </cell>
          <cell r="B9147">
            <v>643</v>
          </cell>
          <cell r="C9147">
            <v>203</v>
          </cell>
          <cell r="D9147">
            <v>4</v>
          </cell>
          <cell r="E9147" t="str">
            <v>Compensation of employees</v>
          </cell>
          <cell r="F9147">
            <v>12</v>
          </cell>
          <cell r="G9147">
            <v>1994</v>
          </cell>
          <cell r="H9147">
            <v>100</v>
          </cell>
          <cell r="I9147">
            <v>300997600000000</v>
          </cell>
        </row>
        <row r="9148">
          <cell r="A9148" t="str">
            <v>Russian Federation</v>
          </cell>
          <cell r="B9148">
            <v>643</v>
          </cell>
          <cell r="C9148">
            <v>203</v>
          </cell>
          <cell r="D9148">
            <v>4</v>
          </cell>
          <cell r="E9148" t="str">
            <v>Compensation of employees</v>
          </cell>
          <cell r="F9148">
            <v>12</v>
          </cell>
          <cell r="G9148">
            <v>1995</v>
          </cell>
          <cell r="H9148">
            <v>100</v>
          </cell>
          <cell r="I9148">
            <v>695804400000000</v>
          </cell>
        </row>
        <row r="9149">
          <cell r="A9149" t="str">
            <v>Russian Federation</v>
          </cell>
          <cell r="B9149">
            <v>643</v>
          </cell>
          <cell r="C9149">
            <v>203</v>
          </cell>
          <cell r="D9149">
            <v>4</v>
          </cell>
          <cell r="E9149" t="str">
            <v>Compensation of employees</v>
          </cell>
          <cell r="F9149">
            <v>12</v>
          </cell>
          <cell r="G9149">
            <v>1995</v>
          </cell>
          <cell r="H9149">
            <v>300</v>
          </cell>
          <cell r="I9149">
            <v>647875800000</v>
          </cell>
        </row>
        <row r="9150">
          <cell r="A9150" t="str">
            <v>Russian Federation</v>
          </cell>
          <cell r="B9150">
            <v>643</v>
          </cell>
          <cell r="C9150">
            <v>203</v>
          </cell>
          <cell r="D9150">
            <v>4</v>
          </cell>
          <cell r="E9150" t="str">
            <v>Compensation of employees</v>
          </cell>
          <cell r="F9150">
            <v>12</v>
          </cell>
          <cell r="G9150">
            <v>1996</v>
          </cell>
          <cell r="H9150">
            <v>300</v>
          </cell>
          <cell r="I9150">
            <v>1022643300000</v>
          </cell>
        </row>
        <row r="9151">
          <cell r="A9151" t="str">
            <v>Russian Federation</v>
          </cell>
          <cell r="B9151">
            <v>643</v>
          </cell>
          <cell r="C9151">
            <v>203</v>
          </cell>
          <cell r="D9151">
            <v>4</v>
          </cell>
          <cell r="E9151" t="str">
            <v>Compensation of employees</v>
          </cell>
          <cell r="F9151">
            <v>12</v>
          </cell>
          <cell r="G9151">
            <v>1997</v>
          </cell>
          <cell r="H9151">
            <v>300</v>
          </cell>
          <cell r="I9151">
            <v>1202900500000</v>
          </cell>
        </row>
        <row r="9152">
          <cell r="A9152" t="str">
            <v>Russian Federation</v>
          </cell>
          <cell r="B9152">
            <v>643</v>
          </cell>
          <cell r="C9152">
            <v>203</v>
          </cell>
          <cell r="D9152">
            <v>4</v>
          </cell>
          <cell r="E9152" t="str">
            <v>Compensation of employees</v>
          </cell>
          <cell r="F9152">
            <v>12</v>
          </cell>
          <cell r="G9152">
            <v>1998</v>
          </cell>
          <cell r="H9152">
            <v>300</v>
          </cell>
          <cell r="I9152">
            <v>1263046800000</v>
          </cell>
        </row>
        <row r="9153">
          <cell r="A9153" t="str">
            <v>Russian Federation</v>
          </cell>
          <cell r="B9153">
            <v>643</v>
          </cell>
          <cell r="C9153">
            <v>203</v>
          </cell>
          <cell r="D9153">
            <v>4</v>
          </cell>
          <cell r="E9153" t="str">
            <v>Compensation of employees</v>
          </cell>
          <cell r="F9153">
            <v>12</v>
          </cell>
          <cell r="G9153">
            <v>1999</v>
          </cell>
          <cell r="H9153">
            <v>300</v>
          </cell>
          <cell r="I9153">
            <v>1933606100000</v>
          </cell>
        </row>
        <row r="9154">
          <cell r="A9154" t="str">
            <v>Russian Federation</v>
          </cell>
          <cell r="B9154">
            <v>643</v>
          </cell>
          <cell r="C9154">
            <v>203</v>
          </cell>
          <cell r="D9154">
            <v>4</v>
          </cell>
          <cell r="E9154" t="str">
            <v>Compensation of employees</v>
          </cell>
          <cell r="F9154">
            <v>12</v>
          </cell>
          <cell r="G9154">
            <v>2000</v>
          </cell>
          <cell r="H9154">
            <v>300</v>
          </cell>
          <cell r="I9154">
            <v>2937229900000</v>
          </cell>
        </row>
        <row r="9155">
          <cell r="A9155" t="str">
            <v>Russian Federation</v>
          </cell>
          <cell r="B9155">
            <v>643</v>
          </cell>
          <cell r="C9155">
            <v>203</v>
          </cell>
          <cell r="D9155">
            <v>4</v>
          </cell>
          <cell r="E9155" t="str">
            <v>Compensation of employees</v>
          </cell>
          <cell r="F9155">
            <v>12</v>
          </cell>
          <cell r="G9155">
            <v>2001</v>
          </cell>
          <cell r="H9155">
            <v>300</v>
          </cell>
          <cell r="I9155">
            <v>3848398500000</v>
          </cell>
        </row>
        <row r="9156">
          <cell r="A9156" t="str">
            <v>Russian Federation</v>
          </cell>
          <cell r="B9156">
            <v>643</v>
          </cell>
          <cell r="C9156">
            <v>203</v>
          </cell>
          <cell r="D9156">
            <v>4</v>
          </cell>
          <cell r="E9156" t="str">
            <v>Compensation of employees</v>
          </cell>
          <cell r="F9156">
            <v>12</v>
          </cell>
          <cell r="G9156">
            <v>2002</v>
          </cell>
          <cell r="H9156">
            <v>300</v>
          </cell>
          <cell r="I9156">
            <v>5047545400000</v>
          </cell>
        </row>
        <row r="9157">
          <cell r="A9157" t="str">
            <v>Russian Federation</v>
          </cell>
          <cell r="B9157">
            <v>643</v>
          </cell>
          <cell r="C9157">
            <v>203</v>
          </cell>
          <cell r="D9157">
            <v>4</v>
          </cell>
          <cell r="E9157" t="str">
            <v>Compensation of employees</v>
          </cell>
          <cell r="F9157">
            <v>12</v>
          </cell>
          <cell r="G9157">
            <v>2003</v>
          </cell>
          <cell r="H9157">
            <v>300</v>
          </cell>
          <cell r="I9157">
            <v>6132200000000</v>
          </cell>
        </row>
        <row r="9158">
          <cell r="A9158" t="str">
            <v>Russian Federation</v>
          </cell>
          <cell r="B9158">
            <v>643</v>
          </cell>
          <cell r="C9158">
            <v>203</v>
          </cell>
          <cell r="D9158">
            <v>11</v>
          </cell>
          <cell r="E9158" t="str">
            <v>OPERATING SURPLUS, GROSS</v>
          </cell>
          <cell r="F9158">
            <v>12</v>
          </cell>
          <cell r="G9158">
            <v>1989</v>
          </cell>
          <cell r="H9158">
            <v>100</v>
          </cell>
          <cell r="I9158">
            <v>231800000000</v>
          </cell>
        </row>
        <row r="9159">
          <cell r="A9159" t="str">
            <v>Russian Federation</v>
          </cell>
          <cell r="B9159">
            <v>643</v>
          </cell>
          <cell r="C9159">
            <v>203</v>
          </cell>
          <cell r="D9159">
            <v>11</v>
          </cell>
          <cell r="E9159" t="str">
            <v>OPERATING SURPLUS, GROSS</v>
          </cell>
          <cell r="F9159">
            <v>12</v>
          </cell>
          <cell r="G9159">
            <v>1990</v>
          </cell>
          <cell r="H9159">
            <v>100</v>
          </cell>
          <cell r="I9159">
            <v>253600000000</v>
          </cell>
        </row>
        <row r="9160">
          <cell r="A9160" t="str">
            <v>Russian Federation</v>
          </cell>
          <cell r="B9160">
            <v>643</v>
          </cell>
          <cell r="C9160">
            <v>203</v>
          </cell>
          <cell r="D9160">
            <v>11</v>
          </cell>
          <cell r="E9160" t="str">
            <v>OPERATING SURPLUS, GROSS</v>
          </cell>
          <cell r="F9160">
            <v>12</v>
          </cell>
          <cell r="G9160">
            <v>1991</v>
          </cell>
          <cell r="H9160">
            <v>100</v>
          </cell>
          <cell r="I9160">
            <v>725600000000</v>
          </cell>
        </row>
        <row r="9161">
          <cell r="A9161" t="str">
            <v>Russian Federation</v>
          </cell>
          <cell r="B9161">
            <v>643</v>
          </cell>
          <cell r="C9161">
            <v>203</v>
          </cell>
          <cell r="D9161">
            <v>11</v>
          </cell>
          <cell r="E9161" t="str">
            <v>OPERATING SURPLUS, GROSS</v>
          </cell>
          <cell r="F9161">
            <v>12</v>
          </cell>
          <cell r="G9161">
            <v>1992</v>
          </cell>
          <cell r="H9161">
            <v>100</v>
          </cell>
          <cell r="I9161">
            <v>11390500000000</v>
          </cell>
        </row>
        <row r="9162">
          <cell r="A9162" t="str">
            <v>Russian Federation</v>
          </cell>
          <cell r="B9162">
            <v>643</v>
          </cell>
          <cell r="C9162">
            <v>203</v>
          </cell>
          <cell r="D9162">
            <v>11</v>
          </cell>
          <cell r="E9162" t="str">
            <v>OPERATING SURPLUS, GROSS</v>
          </cell>
          <cell r="F9162">
            <v>12</v>
          </cell>
          <cell r="G9162">
            <v>1993</v>
          </cell>
          <cell r="H9162">
            <v>100</v>
          </cell>
          <cell r="I9162">
            <v>76961700000000</v>
          </cell>
        </row>
        <row r="9163">
          <cell r="A9163" t="str">
            <v>Russian Federation</v>
          </cell>
          <cell r="B9163">
            <v>643</v>
          </cell>
          <cell r="C9163">
            <v>203</v>
          </cell>
          <cell r="D9163">
            <v>11</v>
          </cell>
          <cell r="E9163" t="str">
            <v>OPERATING SURPLUS, GROSS</v>
          </cell>
          <cell r="F9163">
            <v>12</v>
          </cell>
          <cell r="G9163">
            <v>1994</v>
          </cell>
          <cell r="H9163">
            <v>100</v>
          </cell>
          <cell r="I9163">
            <v>251344400000000</v>
          </cell>
        </row>
        <row r="9164">
          <cell r="A9164" t="str">
            <v>Russian Federation</v>
          </cell>
          <cell r="B9164">
            <v>643</v>
          </cell>
          <cell r="C9164">
            <v>203</v>
          </cell>
          <cell r="D9164">
            <v>11</v>
          </cell>
          <cell r="E9164" t="str">
            <v>OPERATING SURPLUS, GROSS</v>
          </cell>
          <cell r="F9164">
            <v>12</v>
          </cell>
          <cell r="G9164">
            <v>1995</v>
          </cell>
          <cell r="H9164">
            <v>100</v>
          </cell>
          <cell r="I9164">
            <v>662374400000000</v>
          </cell>
        </row>
        <row r="9165">
          <cell r="A9165" t="str">
            <v>Russian Federation</v>
          </cell>
          <cell r="B9165">
            <v>643</v>
          </cell>
          <cell r="C9165">
            <v>203</v>
          </cell>
          <cell r="D9165">
            <v>11</v>
          </cell>
          <cell r="E9165" t="str">
            <v>OPERATING SURPLUS, GROSS</v>
          </cell>
          <cell r="F9165">
            <v>12</v>
          </cell>
          <cell r="G9165">
            <v>1995</v>
          </cell>
          <cell r="H9165">
            <v>300</v>
          </cell>
          <cell r="I9165">
            <v>610792000000</v>
          </cell>
        </row>
        <row r="9166">
          <cell r="A9166" t="str">
            <v>Russian Federation</v>
          </cell>
          <cell r="B9166">
            <v>643</v>
          </cell>
          <cell r="C9166">
            <v>203</v>
          </cell>
          <cell r="D9166">
            <v>11</v>
          </cell>
          <cell r="E9166" t="str">
            <v>OPERATING SURPLUS, GROSS</v>
          </cell>
          <cell r="F9166">
            <v>12</v>
          </cell>
          <cell r="G9166">
            <v>1996</v>
          </cell>
          <cell r="H9166">
            <v>300</v>
          </cell>
          <cell r="I9166">
            <v>699367100000</v>
          </cell>
        </row>
        <row r="9167">
          <cell r="A9167" t="str">
            <v>Russian Federation</v>
          </cell>
          <cell r="B9167">
            <v>643</v>
          </cell>
          <cell r="C9167">
            <v>203</v>
          </cell>
          <cell r="D9167">
            <v>11</v>
          </cell>
          <cell r="E9167" t="str">
            <v>OPERATING SURPLUS, GROSS</v>
          </cell>
          <cell r="F9167">
            <v>12</v>
          </cell>
          <cell r="G9167">
            <v>1997</v>
          </cell>
          <cell r="H9167">
            <v>300</v>
          </cell>
          <cell r="I9167">
            <v>783343700000</v>
          </cell>
        </row>
        <row r="9168">
          <cell r="A9168" t="str">
            <v>Russian Federation</v>
          </cell>
          <cell r="B9168">
            <v>643</v>
          </cell>
          <cell r="C9168">
            <v>203</v>
          </cell>
          <cell r="D9168">
            <v>11</v>
          </cell>
          <cell r="E9168" t="str">
            <v>OPERATING SURPLUS, GROSS</v>
          </cell>
          <cell r="F9168">
            <v>12</v>
          </cell>
          <cell r="G9168">
            <v>1998</v>
          </cell>
          <cell r="H9168">
            <v>300</v>
          </cell>
          <cell r="I9168">
            <v>946688500000</v>
          </cell>
        </row>
        <row r="9169">
          <cell r="A9169" t="str">
            <v>Russian Federation</v>
          </cell>
          <cell r="B9169">
            <v>643</v>
          </cell>
          <cell r="C9169">
            <v>203</v>
          </cell>
          <cell r="D9169">
            <v>11</v>
          </cell>
          <cell r="E9169" t="str">
            <v>OPERATING SURPLUS, GROSS</v>
          </cell>
          <cell r="F9169">
            <v>12</v>
          </cell>
          <cell r="G9169">
            <v>1999</v>
          </cell>
          <cell r="H9169">
            <v>300</v>
          </cell>
          <cell r="I9169">
            <v>2131511900000</v>
          </cell>
        </row>
        <row r="9170">
          <cell r="A9170" t="str">
            <v>Russian Federation</v>
          </cell>
          <cell r="B9170">
            <v>643</v>
          </cell>
          <cell r="C9170">
            <v>203</v>
          </cell>
          <cell r="D9170">
            <v>11</v>
          </cell>
          <cell r="E9170" t="str">
            <v>OPERATING SURPLUS, GROSS</v>
          </cell>
          <cell r="F9170">
            <v>12</v>
          </cell>
          <cell r="G9170">
            <v>2000</v>
          </cell>
          <cell r="H9170">
            <v>300</v>
          </cell>
          <cell r="I9170">
            <v>3119932400000</v>
          </cell>
        </row>
        <row r="9171">
          <cell r="A9171" t="str">
            <v>Russian Federation</v>
          </cell>
          <cell r="B9171">
            <v>643</v>
          </cell>
          <cell r="C9171">
            <v>203</v>
          </cell>
          <cell r="D9171">
            <v>11</v>
          </cell>
          <cell r="E9171" t="str">
            <v>OPERATING SURPLUS, GROSS</v>
          </cell>
          <cell r="F9171">
            <v>12</v>
          </cell>
          <cell r="G9171">
            <v>2001</v>
          </cell>
          <cell r="H9171">
            <v>300</v>
          </cell>
          <cell r="I9171">
            <v>3692601400000</v>
          </cell>
        </row>
        <row r="9172">
          <cell r="A9172" t="str">
            <v>Russian Federation</v>
          </cell>
          <cell r="B9172">
            <v>643</v>
          </cell>
          <cell r="C9172">
            <v>203</v>
          </cell>
          <cell r="D9172">
            <v>11</v>
          </cell>
          <cell r="E9172" t="str">
            <v>OPERATING SURPLUS, GROSS</v>
          </cell>
          <cell r="F9172">
            <v>12</v>
          </cell>
          <cell r="G9172">
            <v>2002</v>
          </cell>
          <cell r="H9172">
            <v>300</v>
          </cell>
          <cell r="I9172">
            <v>4260393500000</v>
          </cell>
        </row>
        <row r="9173">
          <cell r="A9173" t="str">
            <v>Russian Federation</v>
          </cell>
          <cell r="B9173">
            <v>643</v>
          </cell>
          <cell r="C9173">
            <v>203</v>
          </cell>
          <cell r="D9173">
            <v>11</v>
          </cell>
          <cell r="E9173" t="str">
            <v>OPERATING SURPLUS, GROSS</v>
          </cell>
          <cell r="F9173">
            <v>12</v>
          </cell>
          <cell r="G9173">
            <v>2003</v>
          </cell>
          <cell r="H9173">
            <v>300</v>
          </cell>
          <cell r="I9173">
            <v>5379267000000</v>
          </cell>
        </row>
        <row r="9174">
          <cell r="A9174" t="str">
            <v>Russian Federation</v>
          </cell>
          <cell r="B9174">
            <v>643</v>
          </cell>
          <cell r="C9174">
            <v>203</v>
          </cell>
          <cell r="D9174">
            <v>22</v>
          </cell>
          <cell r="E9174" t="str">
            <v>Taxes on production and imports, less Subsidies</v>
          </cell>
          <cell r="F9174">
            <v>12</v>
          </cell>
          <cell r="G9174">
            <v>1989</v>
          </cell>
          <cell r="H9174">
            <v>100</v>
          </cell>
          <cell r="I9174">
            <v>74200000000</v>
          </cell>
        </row>
        <row r="9175">
          <cell r="A9175" t="str">
            <v>Russian Federation</v>
          </cell>
          <cell r="B9175">
            <v>643</v>
          </cell>
          <cell r="C9175">
            <v>203</v>
          </cell>
          <cell r="D9175">
            <v>22</v>
          </cell>
          <cell r="E9175" t="str">
            <v>Taxes on production and imports, less Subsidies</v>
          </cell>
          <cell r="F9175">
            <v>12</v>
          </cell>
          <cell r="G9175">
            <v>1990</v>
          </cell>
          <cell r="H9175">
            <v>100</v>
          </cell>
          <cell r="I9175">
            <v>76200000000</v>
          </cell>
        </row>
        <row r="9176">
          <cell r="A9176" t="str">
            <v>Russian Federation</v>
          </cell>
          <cell r="B9176">
            <v>643</v>
          </cell>
          <cell r="C9176">
            <v>203</v>
          </cell>
          <cell r="D9176">
            <v>22</v>
          </cell>
          <cell r="E9176" t="str">
            <v>Taxes on production and imports, less Subsidies</v>
          </cell>
          <cell r="F9176">
            <v>12</v>
          </cell>
          <cell r="G9176">
            <v>1991</v>
          </cell>
          <cell r="H9176">
            <v>100</v>
          </cell>
          <cell r="I9176">
            <v>62000000000</v>
          </cell>
        </row>
        <row r="9177">
          <cell r="A9177" t="str">
            <v>Russian Federation</v>
          </cell>
          <cell r="B9177">
            <v>643</v>
          </cell>
          <cell r="C9177">
            <v>203</v>
          </cell>
          <cell r="D9177">
            <v>22</v>
          </cell>
          <cell r="E9177" t="str">
            <v>Taxes on production and imports, less Subsidies</v>
          </cell>
          <cell r="F9177">
            <v>12</v>
          </cell>
          <cell r="G9177">
            <v>1992</v>
          </cell>
          <cell r="H9177">
            <v>100</v>
          </cell>
          <cell r="I9177">
            <v>635600000000</v>
          </cell>
        </row>
        <row r="9178">
          <cell r="A9178" t="str">
            <v>Russian Federation</v>
          </cell>
          <cell r="B9178">
            <v>643</v>
          </cell>
          <cell r="C9178">
            <v>203</v>
          </cell>
          <cell r="D9178">
            <v>22</v>
          </cell>
          <cell r="E9178" t="str">
            <v>Taxes on production and imports, less Subsidies</v>
          </cell>
          <cell r="F9178">
            <v>12</v>
          </cell>
          <cell r="G9178">
            <v>1993</v>
          </cell>
          <cell r="H9178">
            <v>100</v>
          </cell>
          <cell r="I9178">
            <v>18201600000000</v>
          </cell>
        </row>
        <row r="9179">
          <cell r="A9179" t="str">
            <v>Russian Federation</v>
          </cell>
          <cell r="B9179">
            <v>643</v>
          </cell>
          <cell r="C9179">
            <v>203</v>
          </cell>
          <cell r="D9179">
            <v>22</v>
          </cell>
          <cell r="E9179" t="str">
            <v>Taxes on production and imports, less Subsidies</v>
          </cell>
          <cell r="F9179">
            <v>12</v>
          </cell>
          <cell r="G9179">
            <v>1994</v>
          </cell>
          <cell r="H9179">
            <v>100</v>
          </cell>
          <cell r="I9179">
            <v>58403200000000</v>
          </cell>
        </row>
        <row r="9180">
          <cell r="A9180" t="str">
            <v>Russian Federation</v>
          </cell>
          <cell r="B9180">
            <v>643</v>
          </cell>
          <cell r="C9180">
            <v>203</v>
          </cell>
          <cell r="D9180">
            <v>22</v>
          </cell>
          <cell r="E9180" t="str">
            <v>Taxes on production and imports, less Subsidies</v>
          </cell>
          <cell r="F9180">
            <v>12</v>
          </cell>
          <cell r="G9180">
            <v>1995</v>
          </cell>
          <cell r="H9180">
            <v>100</v>
          </cell>
          <cell r="I9180">
            <v>182314000000000</v>
          </cell>
        </row>
        <row r="9181">
          <cell r="A9181" t="str">
            <v>Russian Federation</v>
          </cell>
          <cell r="B9181">
            <v>643</v>
          </cell>
          <cell r="C9181">
            <v>203</v>
          </cell>
          <cell r="D9181">
            <v>22</v>
          </cell>
          <cell r="E9181" t="str">
            <v>Taxes on production and imports, less Subsidies</v>
          </cell>
          <cell r="F9181">
            <v>12</v>
          </cell>
          <cell r="G9181">
            <v>1995</v>
          </cell>
          <cell r="H9181">
            <v>300</v>
          </cell>
          <cell r="I9181">
            <v>169854300000</v>
          </cell>
        </row>
        <row r="9182">
          <cell r="A9182" t="str">
            <v>Russian Federation</v>
          </cell>
          <cell r="B9182">
            <v>643</v>
          </cell>
          <cell r="C9182">
            <v>203</v>
          </cell>
          <cell r="D9182">
            <v>22</v>
          </cell>
          <cell r="E9182" t="str">
            <v>Taxes on production and imports, less Subsidies</v>
          </cell>
          <cell r="F9182">
            <v>12</v>
          </cell>
          <cell r="G9182">
            <v>1996</v>
          </cell>
          <cell r="H9182">
            <v>300</v>
          </cell>
          <cell r="I9182">
            <v>285814800000</v>
          </cell>
        </row>
        <row r="9183">
          <cell r="A9183" t="str">
            <v>Russian Federation</v>
          </cell>
          <cell r="B9183">
            <v>643</v>
          </cell>
          <cell r="C9183">
            <v>203</v>
          </cell>
          <cell r="D9183">
            <v>22</v>
          </cell>
          <cell r="E9183" t="str">
            <v>Taxes on production and imports, less Subsidies</v>
          </cell>
          <cell r="F9183">
            <v>12</v>
          </cell>
          <cell r="G9183">
            <v>1997</v>
          </cell>
          <cell r="H9183">
            <v>300</v>
          </cell>
          <cell r="I9183">
            <v>356269200000</v>
          </cell>
        </row>
        <row r="9184">
          <cell r="A9184" t="str">
            <v>Russian Federation</v>
          </cell>
          <cell r="B9184">
            <v>643</v>
          </cell>
          <cell r="C9184">
            <v>203</v>
          </cell>
          <cell r="D9184">
            <v>22</v>
          </cell>
          <cell r="E9184" t="str">
            <v>Taxes on production and imports, less Subsidies</v>
          </cell>
          <cell r="F9184">
            <v>12</v>
          </cell>
          <cell r="G9184">
            <v>1998</v>
          </cell>
          <cell r="H9184">
            <v>300</v>
          </cell>
          <cell r="I9184">
            <v>419887700000</v>
          </cell>
        </row>
        <row r="9185">
          <cell r="A9185" t="str">
            <v>Russian Federation</v>
          </cell>
          <cell r="B9185">
            <v>643</v>
          </cell>
          <cell r="C9185">
            <v>203</v>
          </cell>
          <cell r="D9185">
            <v>22</v>
          </cell>
          <cell r="E9185" t="str">
            <v>Taxes on production and imports, less Subsidies</v>
          </cell>
          <cell r="F9185">
            <v>12</v>
          </cell>
          <cell r="G9185">
            <v>1999</v>
          </cell>
          <cell r="H9185">
            <v>300</v>
          </cell>
          <cell r="I9185">
            <v>758115500000</v>
          </cell>
        </row>
        <row r="9186">
          <cell r="A9186" t="str">
            <v>Russian Federation</v>
          </cell>
          <cell r="B9186">
            <v>643</v>
          </cell>
          <cell r="C9186">
            <v>203</v>
          </cell>
          <cell r="D9186">
            <v>22</v>
          </cell>
          <cell r="E9186" t="str">
            <v>Taxes on production and imports, less Subsidies</v>
          </cell>
          <cell r="F9186">
            <v>12</v>
          </cell>
          <cell r="G9186">
            <v>2000</v>
          </cell>
          <cell r="H9186">
            <v>300</v>
          </cell>
          <cell r="I9186">
            <v>1248484800000</v>
          </cell>
        </row>
        <row r="9187">
          <cell r="A9187" t="str">
            <v>Russian Federation</v>
          </cell>
          <cell r="B9187">
            <v>643</v>
          </cell>
          <cell r="C9187">
            <v>203</v>
          </cell>
          <cell r="D9187">
            <v>22</v>
          </cell>
          <cell r="E9187" t="str">
            <v>Taxes on production and imports, less Subsidies</v>
          </cell>
          <cell r="F9187">
            <v>12</v>
          </cell>
          <cell r="G9187">
            <v>2001</v>
          </cell>
          <cell r="H9187">
            <v>300</v>
          </cell>
          <cell r="I9187">
            <v>1402582500000</v>
          </cell>
        </row>
        <row r="9188">
          <cell r="A9188" t="str">
            <v>Russian Federation</v>
          </cell>
          <cell r="B9188">
            <v>643</v>
          </cell>
          <cell r="C9188">
            <v>203</v>
          </cell>
          <cell r="D9188">
            <v>22</v>
          </cell>
          <cell r="E9188" t="str">
            <v>Taxes on production and imports, less Subsidies</v>
          </cell>
          <cell r="F9188">
            <v>12</v>
          </cell>
          <cell r="G9188">
            <v>2002</v>
          </cell>
          <cell r="H9188">
            <v>300</v>
          </cell>
          <cell r="I9188">
            <v>1526231100000</v>
          </cell>
        </row>
        <row r="9189">
          <cell r="A9189" t="str">
            <v>Russian Federation</v>
          </cell>
          <cell r="B9189">
            <v>643</v>
          </cell>
          <cell r="C9189">
            <v>203</v>
          </cell>
          <cell r="D9189">
            <v>22</v>
          </cell>
          <cell r="E9189" t="str">
            <v>Taxes on production and imports, less Subsidies</v>
          </cell>
          <cell r="F9189">
            <v>12</v>
          </cell>
          <cell r="G9189">
            <v>2003</v>
          </cell>
          <cell r="H9189">
            <v>300</v>
          </cell>
          <cell r="I9189">
            <v>1773773700000</v>
          </cell>
        </row>
        <row r="9190">
          <cell r="A9190" t="str">
            <v>Romania</v>
          </cell>
          <cell r="B9190">
            <v>642</v>
          </cell>
          <cell r="C9190">
            <v>203</v>
          </cell>
          <cell r="D9190">
            <v>11</v>
          </cell>
          <cell r="E9190" t="str">
            <v>OPERATING SURPLUS, GROSS</v>
          </cell>
          <cell r="F9190">
            <v>12</v>
          </cell>
          <cell r="G9190">
            <v>1995</v>
          </cell>
          <cell r="H9190">
            <v>10</v>
          </cell>
          <cell r="I9190">
            <v>38563500000000</v>
          </cell>
        </row>
        <row r="9191">
          <cell r="A9191" t="str">
            <v>Romania</v>
          </cell>
          <cell r="B9191">
            <v>642</v>
          </cell>
          <cell r="C9191">
            <v>203</v>
          </cell>
          <cell r="D9191">
            <v>11</v>
          </cell>
          <cell r="E9191" t="str">
            <v>OPERATING SURPLUS, GROSS</v>
          </cell>
          <cell r="F9191">
            <v>12</v>
          </cell>
          <cell r="G9191">
            <v>1996</v>
          </cell>
          <cell r="H9191">
            <v>10</v>
          </cell>
          <cell r="I9191">
            <v>59519200000000</v>
          </cell>
        </row>
        <row r="9192">
          <cell r="A9192" t="str">
            <v>Romania</v>
          </cell>
          <cell r="B9192">
            <v>642</v>
          </cell>
          <cell r="C9192">
            <v>203</v>
          </cell>
          <cell r="D9192">
            <v>11</v>
          </cell>
          <cell r="E9192" t="str">
            <v>OPERATING SURPLUS, GROSS</v>
          </cell>
          <cell r="F9192">
            <v>12</v>
          </cell>
          <cell r="G9192">
            <v>1997</v>
          </cell>
          <cell r="H9192">
            <v>10</v>
          </cell>
          <cell r="I9192">
            <v>153368200000000</v>
          </cell>
        </row>
        <row r="9193">
          <cell r="A9193" t="str">
            <v>Romania</v>
          </cell>
          <cell r="B9193">
            <v>642</v>
          </cell>
          <cell r="C9193">
            <v>203</v>
          </cell>
          <cell r="D9193">
            <v>11</v>
          </cell>
          <cell r="E9193" t="str">
            <v>OPERATING SURPLUS, GROSS</v>
          </cell>
          <cell r="F9193">
            <v>12</v>
          </cell>
          <cell r="G9193">
            <v>1998</v>
          </cell>
          <cell r="H9193">
            <v>100</v>
          </cell>
          <cell r="I9193">
            <v>180724800000000</v>
          </cell>
        </row>
        <row r="9194">
          <cell r="A9194" t="str">
            <v>Romania</v>
          </cell>
          <cell r="B9194">
            <v>642</v>
          </cell>
          <cell r="C9194">
            <v>203</v>
          </cell>
          <cell r="D9194">
            <v>11</v>
          </cell>
          <cell r="E9194" t="str">
            <v>OPERATING SURPLUS, GROSS</v>
          </cell>
          <cell r="F9194">
            <v>12</v>
          </cell>
          <cell r="G9194">
            <v>1999</v>
          </cell>
          <cell r="H9194">
            <v>100</v>
          </cell>
          <cell r="I9194">
            <v>284587600000000</v>
          </cell>
        </row>
        <row r="9195">
          <cell r="A9195" t="str">
            <v>Romania</v>
          </cell>
          <cell r="B9195">
            <v>642</v>
          </cell>
          <cell r="C9195">
            <v>203</v>
          </cell>
          <cell r="D9195">
            <v>11</v>
          </cell>
          <cell r="E9195" t="str">
            <v>OPERATING SURPLUS, GROSS</v>
          </cell>
          <cell r="F9195">
            <v>12</v>
          </cell>
          <cell r="G9195">
            <v>2000</v>
          </cell>
          <cell r="H9195">
            <v>100</v>
          </cell>
          <cell r="I9195">
            <v>356664700000000</v>
          </cell>
        </row>
        <row r="9196">
          <cell r="A9196" t="str">
            <v>Romania</v>
          </cell>
          <cell r="B9196">
            <v>642</v>
          </cell>
          <cell r="C9196">
            <v>203</v>
          </cell>
          <cell r="D9196">
            <v>11</v>
          </cell>
          <cell r="E9196" t="str">
            <v>OPERATING SURPLUS, GROSS</v>
          </cell>
          <cell r="F9196">
            <v>12</v>
          </cell>
          <cell r="G9196">
            <v>2001</v>
          </cell>
          <cell r="H9196">
            <v>100</v>
          </cell>
          <cell r="I9196">
            <v>572505400000000</v>
          </cell>
        </row>
        <row r="9197">
          <cell r="A9197" t="str">
            <v>Romania</v>
          </cell>
          <cell r="B9197">
            <v>642</v>
          </cell>
          <cell r="C9197">
            <v>203</v>
          </cell>
          <cell r="D9197">
            <v>11</v>
          </cell>
          <cell r="E9197" t="str">
            <v>OPERATING SURPLUS, GROSS</v>
          </cell>
          <cell r="F9197">
            <v>12</v>
          </cell>
          <cell r="G9197">
            <v>2002</v>
          </cell>
          <cell r="H9197">
            <v>100</v>
          </cell>
          <cell r="I9197">
            <v>756681700000000</v>
          </cell>
        </row>
        <row r="9198">
          <cell r="A9198" t="str">
            <v>Anguilla</v>
          </cell>
          <cell r="B9198">
            <v>660</v>
          </cell>
          <cell r="C9198">
            <v>201</v>
          </cell>
          <cell r="D9198">
            <v>13</v>
          </cell>
          <cell r="E9198" t="str">
            <v>Less: Financial intermediation services indirectly measured (FISIM) (only to be deducted if FISIM is not distributed to uses)</v>
          </cell>
          <cell r="F9198">
            <v>0</v>
          </cell>
          <cell r="G9198">
            <v>1984</v>
          </cell>
          <cell r="H9198">
            <v>10</v>
          </cell>
          <cell r="I9198">
            <v>1970000</v>
          </cell>
        </row>
        <row r="9199">
          <cell r="A9199" t="str">
            <v>Anguilla</v>
          </cell>
          <cell r="B9199">
            <v>660</v>
          </cell>
          <cell r="C9199">
            <v>201</v>
          </cell>
          <cell r="D9199">
            <v>13</v>
          </cell>
          <cell r="E9199" t="str">
            <v>Less: Financial intermediation services indirectly measured (FISIM) (only to be deducted if FISIM is not distributed to uses)</v>
          </cell>
          <cell r="F9199">
            <v>0</v>
          </cell>
          <cell r="G9199">
            <v>1985</v>
          </cell>
          <cell r="H9199">
            <v>10</v>
          </cell>
          <cell r="I9199">
            <v>2420000</v>
          </cell>
        </row>
        <row r="9200">
          <cell r="A9200" t="str">
            <v>Anguilla</v>
          </cell>
          <cell r="B9200">
            <v>660</v>
          </cell>
          <cell r="C9200">
            <v>201</v>
          </cell>
          <cell r="D9200">
            <v>13</v>
          </cell>
          <cell r="E9200" t="str">
            <v>Less: Financial intermediation services indirectly measured (FISIM) (only to be deducted if FISIM is not distributed to uses)</v>
          </cell>
          <cell r="F9200">
            <v>0</v>
          </cell>
          <cell r="G9200">
            <v>1986</v>
          </cell>
          <cell r="H9200">
            <v>10</v>
          </cell>
          <cell r="I9200">
            <v>3200000</v>
          </cell>
        </row>
        <row r="9201">
          <cell r="A9201" t="str">
            <v>Anguilla</v>
          </cell>
          <cell r="B9201">
            <v>660</v>
          </cell>
          <cell r="C9201">
            <v>201</v>
          </cell>
          <cell r="D9201">
            <v>13</v>
          </cell>
          <cell r="E9201" t="str">
            <v>Less: Financial intermediation services indirectly measured (FISIM) (only to be deducted if FISIM is not distributed to uses)</v>
          </cell>
          <cell r="F9201">
            <v>0</v>
          </cell>
          <cell r="G9201">
            <v>1987</v>
          </cell>
          <cell r="H9201">
            <v>10</v>
          </cell>
          <cell r="I9201">
            <v>4280000</v>
          </cell>
        </row>
        <row r="9202">
          <cell r="A9202" t="str">
            <v>Anguilla</v>
          </cell>
          <cell r="B9202">
            <v>660</v>
          </cell>
          <cell r="C9202">
            <v>201</v>
          </cell>
          <cell r="D9202">
            <v>13</v>
          </cell>
          <cell r="E9202" t="str">
            <v>Less: Financial intermediation services indirectly measured (FISIM) (only to be deducted if FISIM is not distributed to uses)</v>
          </cell>
          <cell r="F9202">
            <v>0</v>
          </cell>
          <cell r="G9202">
            <v>1988</v>
          </cell>
          <cell r="H9202">
            <v>10</v>
          </cell>
          <cell r="I9202">
            <v>6530000</v>
          </cell>
        </row>
        <row r="9203">
          <cell r="A9203" t="str">
            <v>Anguilla</v>
          </cell>
          <cell r="B9203">
            <v>660</v>
          </cell>
          <cell r="C9203">
            <v>201</v>
          </cell>
          <cell r="D9203">
            <v>13</v>
          </cell>
          <cell r="E9203" t="str">
            <v>Less: Financial intermediation services indirectly measured (FISIM) (only to be deducted if FISIM is not distributed to uses)</v>
          </cell>
          <cell r="F9203">
            <v>0</v>
          </cell>
          <cell r="G9203">
            <v>1989</v>
          </cell>
          <cell r="H9203">
            <v>10</v>
          </cell>
          <cell r="I9203">
            <v>9580000</v>
          </cell>
        </row>
        <row r="9204">
          <cell r="A9204" t="str">
            <v>Anguilla</v>
          </cell>
          <cell r="B9204">
            <v>660</v>
          </cell>
          <cell r="C9204">
            <v>201</v>
          </cell>
          <cell r="D9204">
            <v>13</v>
          </cell>
          <cell r="E9204" t="str">
            <v>Less: Financial intermediation services indirectly measured (FISIM) (only to be deducted if FISIM is not distributed to uses)</v>
          </cell>
          <cell r="F9204">
            <v>0</v>
          </cell>
          <cell r="G9204">
            <v>1990</v>
          </cell>
          <cell r="H9204">
            <v>10</v>
          </cell>
          <cell r="I9204">
            <v>10290000</v>
          </cell>
        </row>
        <row r="9205">
          <cell r="A9205" t="str">
            <v>Anguilla</v>
          </cell>
          <cell r="B9205">
            <v>660</v>
          </cell>
          <cell r="C9205">
            <v>201</v>
          </cell>
          <cell r="D9205">
            <v>13</v>
          </cell>
          <cell r="E9205" t="str">
            <v>Less: Financial intermediation services indirectly measured (FISIM) (only to be deducted if FISIM is not distributed to uses)</v>
          </cell>
          <cell r="F9205">
            <v>0</v>
          </cell>
          <cell r="G9205">
            <v>1991</v>
          </cell>
          <cell r="H9205">
            <v>10</v>
          </cell>
          <cell r="I9205">
            <v>12440000</v>
          </cell>
        </row>
        <row r="9206">
          <cell r="A9206" t="str">
            <v>Anguilla</v>
          </cell>
          <cell r="B9206">
            <v>660</v>
          </cell>
          <cell r="C9206">
            <v>201</v>
          </cell>
          <cell r="D9206">
            <v>13</v>
          </cell>
          <cell r="E9206" t="str">
            <v>Less: Financial intermediation services indirectly measured (FISIM) (only to be deducted if FISIM is not distributed to uses)</v>
          </cell>
          <cell r="F9206">
            <v>0</v>
          </cell>
          <cell r="G9206">
            <v>1992</v>
          </cell>
          <cell r="H9206">
            <v>10</v>
          </cell>
          <cell r="I9206">
            <v>11280000</v>
          </cell>
        </row>
        <row r="9207">
          <cell r="A9207" t="str">
            <v>Anguilla</v>
          </cell>
          <cell r="B9207">
            <v>660</v>
          </cell>
          <cell r="C9207">
            <v>201</v>
          </cell>
          <cell r="D9207">
            <v>13</v>
          </cell>
          <cell r="E9207" t="str">
            <v>Less: Financial intermediation services indirectly measured (FISIM) (only to be deducted if FISIM is not distributed to uses)</v>
          </cell>
          <cell r="F9207">
            <v>0</v>
          </cell>
          <cell r="G9207">
            <v>1993</v>
          </cell>
          <cell r="H9207">
            <v>10</v>
          </cell>
          <cell r="I9207">
            <v>12490000</v>
          </cell>
        </row>
        <row r="9208">
          <cell r="A9208" t="str">
            <v>Anguilla</v>
          </cell>
          <cell r="B9208">
            <v>660</v>
          </cell>
          <cell r="C9208">
            <v>201</v>
          </cell>
          <cell r="D9208">
            <v>13</v>
          </cell>
          <cell r="E9208" t="str">
            <v>Less: Financial intermediation services indirectly measured (FISIM) (only to be deducted if FISIM is not distributed to uses)</v>
          </cell>
          <cell r="F9208">
            <v>0</v>
          </cell>
          <cell r="G9208">
            <v>1994</v>
          </cell>
          <cell r="H9208">
            <v>10</v>
          </cell>
          <cell r="I9208">
            <v>16230000</v>
          </cell>
        </row>
        <row r="9209">
          <cell r="A9209" t="str">
            <v>Anguilla</v>
          </cell>
          <cell r="B9209">
            <v>660</v>
          </cell>
          <cell r="C9209">
            <v>201</v>
          </cell>
          <cell r="D9209">
            <v>13</v>
          </cell>
          <cell r="E9209" t="str">
            <v>Less: Financial intermediation services indirectly measured (FISIM) (only to be deducted if FISIM is not distributed to uses)</v>
          </cell>
          <cell r="F9209">
            <v>0</v>
          </cell>
          <cell r="G9209">
            <v>1995</v>
          </cell>
          <cell r="H9209">
            <v>10</v>
          </cell>
          <cell r="I9209">
            <v>17910000</v>
          </cell>
        </row>
        <row r="9210">
          <cell r="A9210" t="str">
            <v>Anguilla</v>
          </cell>
          <cell r="B9210">
            <v>660</v>
          </cell>
          <cell r="C9210">
            <v>201</v>
          </cell>
          <cell r="D9210">
            <v>13</v>
          </cell>
          <cell r="E9210" t="str">
            <v>Less: Financial intermediation services indirectly measured (FISIM) (only to be deducted if FISIM is not distributed to uses)</v>
          </cell>
          <cell r="F9210">
            <v>0</v>
          </cell>
          <cell r="G9210">
            <v>1996</v>
          </cell>
          <cell r="H9210">
            <v>10</v>
          </cell>
          <cell r="I9210">
            <v>21570000</v>
          </cell>
        </row>
        <row r="9211">
          <cell r="A9211" t="str">
            <v>Anguilla</v>
          </cell>
          <cell r="B9211">
            <v>660</v>
          </cell>
          <cell r="C9211">
            <v>201</v>
          </cell>
          <cell r="D9211">
            <v>13</v>
          </cell>
          <cell r="E9211" t="str">
            <v>Less: Financial intermediation services indirectly measured (FISIM) (only to be deducted if FISIM is not distributed to uses)</v>
          </cell>
          <cell r="F9211">
            <v>0</v>
          </cell>
          <cell r="G9211">
            <v>1997</v>
          </cell>
          <cell r="H9211">
            <v>10</v>
          </cell>
          <cell r="I9211">
            <v>22880000</v>
          </cell>
        </row>
        <row r="9212">
          <cell r="A9212" t="str">
            <v>Anguilla</v>
          </cell>
          <cell r="B9212">
            <v>660</v>
          </cell>
          <cell r="C9212">
            <v>201</v>
          </cell>
          <cell r="D9212">
            <v>13</v>
          </cell>
          <cell r="E9212" t="str">
            <v>Less: Financial intermediation services indirectly measured (FISIM) (only to be deducted if FISIM is not distributed to uses)</v>
          </cell>
          <cell r="F9212">
            <v>0</v>
          </cell>
          <cell r="G9212">
            <v>1998</v>
          </cell>
          <cell r="H9212">
            <v>10</v>
          </cell>
          <cell r="I9212">
            <v>22260000</v>
          </cell>
        </row>
        <row r="9213">
          <cell r="A9213" t="str">
            <v>Anguilla</v>
          </cell>
          <cell r="B9213">
            <v>660</v>
          </cell>
          <cell r="C9213">
            <v>201</v>
          </cell>
          <cell r="D9213">
            <v>13</v>
          </cell>
          <cell r="E9213" t="str">
            <v>Less: Financial intermediation services indirectly measured (FISIM) (only to be deducted if FISIM is not distributed to uses)</v>
          </cell>
          <cell r="F9213">
            <v>0</v>
          </cell>
          <cell r="G9213">
            <v>1999</v>
          </cell>
          <cell r="H9213">
            <v>10</v>
          </cell>
          <cell r="I9213">
            <v>26060000</v>
          </cell>
        </row>
        <row r="9214">
          <cell r="A9214" t="str">
            <v>Anguilla</v>
          </cell>
          <cell r="B9214">
            <v>660</v>
          </cell>
          <cell r="C9214">
            <v>201</v>
          </cell>
          <cell r="D9214">
            <v>13</v>
          </cell>
          <cell r="E9214" t="str">
            <v>Less: Financial intermediation services indirectly measured (FISIM) (only to be deducted if FISIM is not distributed to uses)</v>
          </cell>
          <cell r="F9214">
            <v>0</v>
          </cell>
          <cell r="G9214">
            <v>2000</v>
          </cell>
          <cell r="H9214">
            <v>10</v>
          </cell>
          <cell r="I9214">
            <v>31910000</v>
          </cell>
        </row>
        <row r="9215">
          <cell r="A9215" t="str">
            <v>Anguilla</v>
          </cell>
          <cell r="B9215">
            <v>660</v>
          </cell>
          <cell r="C9215">
            <v>201</v>
          </cell>
          <cell r="D9215">
            <v>13</v>
          </cell>
          <cell r="E9215" t="str">
            <v>Less: Financial intermediation services indirectly measured (FISIM) (only to be deducted if FISIM is not distributed to uses)</v>
          </cell>
          <cell r="F9215">
            <v>0</v>
          </cell>
          <cell r="G9215">
            <v>2001</v>
          </cell>
          <cell r="H9215">
            <v>10</v>
          </cell>
          <cell r="I9215">
            <v>33490000</v>
          </cell>
        </row>
        <row r="9216">
          <cell r="A9216" t="str">
            <v>Anguilla</v>
          </cell>
          <cell r="B9216">
            <v>660</v>
          </cell>
          <cell r="C9216">
            <v>201</v>
          </cell>
          <cell r="D9216">
            <v>13</v>
          </cell>
          <cell r="E9216" t="str">
            <v>Less: Financial intermediation services indirectly measured (FISIM) (only to be deducted if FISIM is not distributed to uses)</v>
          </cell>
          <cell r="F9216">
            <v>0</v>
          </cell>
          <cell r="G9216">
            <v>2002</v>
          </cell>
          <cell r="H9216">
            <v>10</v>
          </cell>
          <cell r="I9216">
            <v>25480000</v>
          </cell>
        </row>
        <row r="9217">
          <cell r="A9217" t="str">
            <v>Anguilla</v>
          </cell>
          <cell r="B9217">
            <v>660</v>
          </cell>
          <cell r="C9217">
            <v>201</v>
          </cell>
          <cell r="D9217">
            <v>13</v>
          </cell>
          <cell r="E9217" t="str">
            <v>Less: Financial intermediation services indirectly measured (FISIM) (only to be deducted if FISIM is not distributed to uses)</v>
          </cell>
          <cell r="F9217">
            <v>0</v>
          </cell>
          <cell r="G9217">
            <v>2003</v>
          </cell>
          <cell r="H9217">
            <v>10</v>
          </cell>
          <cell r="I9217">
            <v>29010000</v>
          </cell>
        </row>
        <row r="9218">
          <cell r="A9218" t="str">
            <v>Romania</v>
          </cell>
          <cell r="B9218">
            <v>642</v>
          </cell>
          <cell r="C9218">
            <v>203</v>
          </cell>
          <cell r="D9218">
            <v>22</v>
          </cell>
          <cell r="E9218" t="str">
            <v>Taxes on production and imports, less Subsidies</v>
          </cell>
          <cell r="F9218">
            <v>12</v>
          </cell>
          <cell r="G9218">
            <v>1995</v>
          </cell>
          <cell r="H9218">
            <v>10</v>
          </cell>
          <cell r="I9218">
            <v>-1047800000000</v>
          </cell>
        </row>
        <row r="9219">
          <cell r="A9219" t="str">
            <v>Romania</v>
          </cell>
          <cell r="B9219">
            <v>642</v>
          </cell>
          <cell r="C9219">
            <v>203</v>
          </cell>
          <cell r="D9219">
            <v>22</v>
          </cell>
          <cell r="E9219" t="str">
            <v>Taxes on production and imports, less Subsidies</v>
          </cell>
          <cell r="F9219">
            <v>12</v>
          </cell>
          <cell r="G9219">
            <v>1996</v>
          </cell>
          <cell r="H9219">
            <v>10</v>
          </cell>
          <cell r="I9219">
            <v>-946400000000</v>
          </cell>
        </row>
        <row r="9220">
          <cell r="A9220" t="str">
            <v>Romania</v>
          </cell>
          <cell r="B9220">
            <v>642</v>
          </cell>
          <cell r="C9220">
            <v>203</v>
          </cell>
          <cell r="D9220">
            <v>22</v>
          </cell>
          <cell r="E9220" t="str">
            <v>Taxes on production and imports, less Subsidies</v>
          </cell>
          <cell r="F9220">
            <v>12</v>
          </cell>
          <cell r="G9220">
            <v>1997</v>
          </cell>
          <cell r="H9220">
            <v>10</v>
          </cell>
          <cell r="I9220">
            <v>-2684800000000</v>
          </cell>
        </row>
        <row r="9221">
          <cell r="A9221" t="str">
            <v>Romania</v>
          </cell>
          <cell r="B9221">
            <v>642</v>
          </cell>
          <cell r="C9221">
            <v>203</v>
          </cell>
          <cell r="D9221">
            <v>22</v>
          </cell>
          <cell r="E9221" t="str">
            <v>Taxes on production and imports, less Subsidies</v>
          </cell>
          <cell r="F9221">
            <v>12</v>
          </cell>
          <cell r="G9221">
            <v>1998</v>
          </cell>
          <cell r="H9221">
            <v>100</v>
          </cell>
          <cell r="I9221">
            <v>1570500000000</v>
          </cell>
        </row>
        <row r="9222">
          <cell r="A9222" t="str">
            <v>Romania</v>
          </cell>
          <cell r="B9222">
            <v>642</v>
          </cell>
          <cell r="C9222">
            <v>203</v>
          </cell>
          <cell r="D9222">
            <v>22</v>
          </cell>
          <cell r="E9222" t="str">
            <v>Taxes on production and imports, less Subsidies</v>
          </cell>
          <cell r="F9222">
            <v>12</v>
          </cell>
          <cell r="G9222">
            <v>1999</v>
          </cell>
          <cell r="H9222">
            <v>100</v>
          </cell>
          <cell r="I9222">
            <v>6417200000000</v>
          </cell>
        </row>
        <row r="9223">
          <cell r="A9223" t="str">
            <v>Romania</v>
          </cell>
          <cell r="B9223">
            <v>642</v>
          </cell>
          <cell r="C9223">
            <v>203</v>
          </cell>
          <cell r="D9223">
            <v>22</v>
          </cell>
          <cell r="E9223" t="str">
            <v>Taxes on production and imports, less Subsidies</v>
          </cell>
          <cell r="F9223">
            <v>12</v>
          </cell>
          <cell r="G9223">
            <v>2000</v>
          </cell>
          <cell r="H9223">
            <v>100</v>
          </cell>
          <cell r="I9223">
            <v>24173400000000</v>
          </cell>
        </row>
        <row r="9224">
          <cell r="A9224" t="str">
            <v>Romania</v>
          </cell>
          <cell r="B9224">
            <v>642</v>
          </cell>
          <cell r="C9224">
            <v>203</v>
          </cell>
          <cell r="D9224">
            <v>22</v>
          </cell>
          <cell r="E9224" t="str">
            <v>Taxes on production and imports, less Subsidies</v>
          </cell>
          <cell r="F9224">
            <v>12</v>
          </cell>
          <cell r="G9224">
            <v>2001</v>
          </cell>
          <cell r="H9224">
            <v>100</v>
          </cell>
          <cell r="I9224">
            <v>-4639400000000</v>
          </cell>
        </row>
        <row r="9225">
          <cell r="A9225" t="str">
            <v>Romania</v>
          </cell>
          <cell r="B9225">
            <v>642</v>
          </cell>
          <cell r="C9225">
            <v>203</v>
          </cell>
          <cell r="D9225">
            <v>22</v>
          </cell>
          <cell r="E9225" t="str">
            <v>Taxes on production and imports, less Subsidies</v>
          </cell>
          <cell r="F9225">
            <v>12</v>
          </cell>
          <cell r="G9225">
            <v>2002</v>
          </cell>
          <cell r="H9225">
            <v>100</v>
          </cell>
          <cell r="I9225">
            <v>1409300000000</v>
          </cell>
        </row>
        <row r="9226">
          <cell r="A9226" t="str">
            <v>Saint Kitts and Nevis</v>
          </cell>
          <cell r="B9226">
            <v>659</v>
          </cell>
          <cell r="C9226">
            <v>201</v>
          </cell>
          <cell r="D9226">
            <v>13</v>
          </cell>
          <cell r="E9226" t="str">
            <v>Less: Financial intermediation services indirectly measured (FISIM) (only to be deducted if FISIM is not distributed to uses)</v>
          </cell>
          <cell r="F9226">
            <v>0</v>
          </cell>
          <cell r="G9226">
            <v>1977</v>
          </cell>
          <cell r="H9226">
            <v>30</v>
          </cell>
          <cell r="I9226">
            <v>2480000</v>
          </cell>
        </row>
        <row r="9227">
          <cell r="A9227" t="str">
            <v>Saint Kitts and Nevis</v>
          </cell>
          <cell r="B9227">
            <v>659</v>
          </cell>
          <cell r="C9227">
            <v>201</v>
          </cell>
          <cell r="D9227">
            <v>13</v>
          </cell>
          <cell r="E9227" t="str">
            <v>Less: Financial intermediation services indirectly measured (FISIM) (only to be deducted if FISIM is not distributed to uses)</v>
          </cell>
          <cell r="F9227">
            <v>0</v>
          </cell>
          <cell r="G9227">
            <v>1978</v>
          </cell>
          <cell r="H9227">
            <v>30</v>
          </cell>
          <cell r="I9227">
            <v>2930000</v>
          </cell>
        </row>
        <row r="9228">
          <cell r="A9228" t="str">
            <v>Saint Kitts and Nevis</v>
          </cell>
          <cell r="B9228">
            <v>659</v>
          </cell>
          <cell r="C9228">
            <v>201</v>
          </cell>
          <cell r="D9228">
            <v>13</v>
          </cell>
          <cell r="E9228" t="str">
            <v>Less: Financial intermediation services indirectly measured (FISIM) (only to be deducted if FISIM is not distributed to uses)</v>
          </cell>
          <cell r="F9228">
            <v>0</v>
          </cell>
          <cell r="G9228">
            <v>1979</v>
          </cell>
          <cell r="H9228">
            <v>30</v>
          </cell>
          <cell r="I9228">
            <v>3480000</v>
          </cell>
        </row>
        <row r="9229">
          <cell r="A9229" t="str">
            <v>Saint Kitts and Nevis</v>
          </cell>
          <cell r="B9229">
            <v>659</v>
          </cell>
          <cell r="C9229">
            <v>201</v>
          </cell>
          <cell r="D9229">
            <v>13</v>
          </cell>
          <cell r="E9229" t="str">
            <v>Less: Financial intermediation services indirectly measured (FISIM) (only to be deducted if FISIM is not distributed to uses)</v>
          </cell>
          <cell r="F9229">
            <v>0</v>
          </cell>
          <cell r="G9229">
            <v>1980</v>
          </cell>
          <cell r="H9229">
            <v>30</v>
          </cell>
          <cell r="I9229">
            <v>4360000</v>
          </cell>
        </row>
        <row r="9230">
          <cell r="A9230" t="str">
            <v>Saint Kitts and Nevis</v>
          </cell>
          <cell r="B9230">
            <v>659</v>
          </cell>
          <cell r="C9230">
            <v>201</v>
          </cell>
          <cell r="D9230">
            <v>13</v>
          </cell>
          <cell r="E9230" t="str">
            <v>Less: Financial intermediation services indirectly measured (FISIM) (only to be deducted if FISIM is not distributed to uses)</v>
          </cell>
          <cell r="F9230">
            <v>0</v>
          </cell>
          <cell r="G9230">
            <v>1981</v>
          </cell>
          <cell r="H9230">
            <v>30</v>
          </cell>
          <cell r="I9230">
            <v>3990000</v>
          </cell>
        </row>
        <row r="9231">
          <cell r="A9231" t="str">
            <v>Saint Kitts and Nevis</v>
          </cell>
          <cell r="B9231">
            <v>659</v>
          </cell>
          <cell r="C9231">
            <v>201</v>
          </cell>
          <cell r="D9231">
            <v>13</v>
          </cell>
          <cell r="E9231" t="str">
            <v>Less: Financial intermediation services indirectly measured (FISIM) (only to be deducted if FISIM is not distributed to uses)</v>
          </cell>
          <cell r="F9231">
            <v>0</v>
          </cell>
          <cell r="G9231">
            <v>1982</v>
          </cell>
          <cell r="H9231">
            <v>30</v>
          </cell>
          <cell r="I9231">
            <v>6180000</v>
          </cell>
        </row>
        <row r="9232">
          <cell r="A9232" t="str">
            <v>Saint Kitts and Nevis</v>
          </cell>
          <cell r="B9232">
            <v>659</v>
          </cell>
          <cell r="C9232">
            <v>201</v>
          </cell>
          <cell r="D9232">
            <v>13</v>
          </cell>
          <cell r="E9232" t="str">
            <v>Less: Financial intermediation services indirectly measured (FISIM) (only to be deducted if FISIM is not distributed to uses)</v>
          </cell>
          <cell r="F9232">
            <v>0</v>
          </cell>
          <cell r="G9232">
            <v>1983</v>
          </cell>
          <cell r="H9232">
            <v>30</v>
          </cell>
          <cell r="I9232">
            <v>7130000</v>
          </cell>
        </row>
        <row r="9233">
          <cell r="A9233" t="str">
            <v>Saint Kitts and Nevis</v>
          </cell>
          <cell r="B9233">
            <v>659</v>
          </cell>
          <cell r="C9233">
            <v>201</v>
          </cell>
          <cell r="D9233">
            <v>13</v>
          </cell>
          <cell r="E9233" t="str">
            <v>Less: Financial intermediation services indirectly measured (FISIM) (only to be deducted if FISIM is not distributed to uses)</v>
          </cell>
          <cell r="F9233">
            <v>0</v>
          </cell>
          <cell r="G9233">
            <v>1984</v>
          </cell>
          <cell r="H9233">
            <v>30</v>
          </cell>
          <cell r="I9233">
            <v>8920000</v>
          </cell>
        </row>
        <row r="9234">
          <cell r="A9234" t="str">
            <v>Saint Kitts and Nevis</v>
          </cell>
          <cell r="B9234">
            <v>659</v>
          </cell>
          <cell r="C9234">
            <v>201</v>
          </cell>
          <cell r="D9234">
            <v>13</v>
          </cell>
          <cell r="E9234" t="str">
            <v>Less: Financial intermediation services indirectly measured (FISIM) (only to be deducted if FISIM is not distributed to uses)</v>
          </cell>
          <cell r="F9234">
            <v>0</v>
          </cell>
          <cell r="G9234">
            <v>1985</v>
          </cell>
          <cell r="H9234">
            <v>30</v>
          </cell>
          <cell r="I9234">
            <v>8020000</v>
          </cell>
        </row>
        <row r="9235">
          <cell r="A9235" t="str">
            <v>Saint Kitts and Nevis</v>
          </cell>
          <cell r="B9235">
            <v>659</v>
          </cell>
          <cell r="C9235">
            <v>201</v>
          </cell>
          <cell r="D9235">
            <v>13</v>
          </cell>
          <cell r="E9235" t="str">
            <v>Less: Financial intermediation services indirectly measured (FISIM) (only to be deducted if FISIM is not distributed to uses)</v>
          </cell>
          <cell r="F9235">
            <v>0</v>
          </cell>
          <cell r="G9235">
            <v>1986</v>
          </cell>
          <cell r="H9235">
            <v>30</v>
          </cell>
          <cell r="I9235">
            <v>13160000</v>
          </cell>
        </row>
        <row r="9236">
          <cell r="A9236" t="str">
            <v>Saint Kitts and Nevis</v>
          </cell>
          <cell r="B9236">
            <v>659</v>
          </cell>
          <cell r="C9236">
            <v>201</v>
          </cell>
          <cell r="D9236">
            <v>13</v>
          </cell>
          <cell r="E9236" t="str">
            <v>Less: Financial intermediation services indirectly measured (FISIM) (only to be deducted if FISIM is not distributed to uses)</v>
          </cell>
          <cell r="F9236">
            <v>0</v>
          </cell>
          <cell r="G9236">
            <v>1987</v>
          </cell>
          <cell r="H9236">
            <v>30</v>
          </cell>
          <cell r="I9236">
            <v>12940000</v>
          </cell>
        </row>
        <row r="9237">
          <cell r="A9237" t="str">
            <v>Saint Kitts and Nevis</v>
          </cell>
          <cell r="B9237">
            <v>659</v>
          </cell>
          <cell r="C9237">
            <v>201</v>
          </cell>
          <cell r="D9237">
            <v>13</v>
          </cell>
          <cell r="E9237" t="str">
            <v>Less: Financial intermediation services indirectly measured (FISIM) (only to be deducted if FISIM is not distributed to uses)</v>
          </cell>
          <cell r="F9237">
            <v>0</v>
          </cell>
          <cell r="G9237">
            <v>1988</v>
          </cell>
          <cell r="H9237">
            <v>30</v>
          </cell>
          <cell r="I9237">
            <v>16800000</v>
          </cell>
        </row>
        <row r="9238">
          <cell r="A9238" t="str">
            <v>Saint Kitts and Nevis</v>
          </cell>
          <cell r="B9238">
            <v>659</v>
          </cell>
          <cell r="C9238">
            <v>201</v>
          </cell>
          <cell r="D9238">
            <v>13</v>
          </cell>
          <cell r="E9238" t="str">
            <v>Less: Financial intermediation services indirectly measured (FISIM) (only to be deducted if FISIM is not distributed to uses)</v>
          </cell>
          <cell r="F9238">
            <v>0</v>
          </cell>
          <cell r="G9238">
            <v>1989</v>
          </cell>
          <cell r="H9238">
            <v>30</v>
          </cell>
          <cell r="I9238">
            <v>22420000</v>
          </cell>
        </row>
        <row r="9239">
          <cell r="A9239" t="str">
            <v>Saint Kitts and Nevis</v>
          </cell>
          <cell r="B9239">
            <v>659</v>
          </cell>
          <cell r="C9239">
            <v>201</v>
          </cell>
          <cell r="D9239">
            <v>13</v>
          </cell>
          <cell r="E9239" t="str">
            <v>Less: Financial intermediation services indirectly measured (FISIM) (only to be deducted if FISIM is not distributed to uses)</v>
          </cell>
          <cell r="F9239">
            <v>0</v>
          </cell>
          <cell r="G9239">
            <v>1990</v>
          </cell>
          <cell r="H9239">
            <v>30</v>
          </cell>
          <cell r="I9239">
            <v>20650000</v>
          </cell>
        </row>
        <row r="9240">
          <cell r="A9240" t="str">
            <v>Saint Kitts and Nevis</v>
          </cell>
          <cell r="B9240">
            <v>659</v>
          </cell>
          <cell r="C9240">
            <v>201</v>
          </cell>
          <cell r="D9240">
            <v>13</v>
          </cell>
          <cell r="E9240" t="str">
            <v>Less: Financial intermediation services indirectly measured (FISIM) (only to be deducted if FISIM is not distributed to uses)</v>
          </cell>
          <cell r="F9240">
            <v>0</v>
          </cell>
          <cell r="G9240">
            <v>1991</v>
          </cell>
          <cell r="H9240">
            <v>30</v>
          </cell>
          <cell r="I9240">
            <v>21920000</v>
          </cell>
        </row>
        <row r="9241">
          <cell r="A9241" t="str">
            <v>Saint Kitts and Nevis</v>
          </cell>
          <cell r="B9241">
            <v>659</v>
          </cell>
          <cell r="C9241">
            <v>201</v>
          </cell>
          <cell r="D9241">
            <v>13</v>
          </cell>
          <cell r="E9241" t="str">
            <v>Less: Financial intermediation services indirectly measured (FISIM) (only to be deducted if FISIM is not distributed to uses)</v>
          </cell>
          <cell r="F9241">
            <v>0</v>
          </cell>
          <cell r="G9241">
            <v>1992</v>
          </cell>
          <cell r="H9241">
            <v>30</v>
          </cell>
          <cell r="I9241">
            <v>20660000</v>
          </cell>
        </row>
        <row r="9242">
          <cell r="A9242" t="str">
            <v>Saint Kitts and Nevis</v>
          </cell>
          <cell r="B9242">
            <v>659</v>
          </cell>
          <cell r="C9242">
            <v>201</v>
          </cell>
          <cell r="D9242">
            <v>13</v>
          </cell>
          <cell r="E9242" t="str">
            <v>Less: Financial intermediation services indirectly measured (FISIM) (only to be deducted if FISIM is not distributed to uses)</v>
          </cell>
          <cell r="F9242">
            <v>0</v>
          </cell>
          <cell r="G9242">
            <v>1993</v>
          </cell>
          <cell r="H9242">
            <v>30</v>
          </cell>
          <cell r="I9242">
            <v>25810000</v>
          </cell>
        </row>
        <row r="9243">
          <cell r="A9243" t="str">
            <v>Saint Kitts and Nevis</v>
          </cell>
          <cell r="B9243">
            <v>659</v>
          </cell>
          <cell r="C9243">
            <v>201</v>
          </cell>
          <cell r="D9243">
            <v>13</v>
          </cell>
          <cell r="E9243" t="str">
            <v>Less: Financial intermediation services indirectly measured (FISIM) (only to be deducted if FISIM is not distributed to uses)</v>
          </cell>
          <cell r="F9243">
            <v>0</v>
          </cell>
          <cell r="G9243">
            <v>1994</v>
          </cell>
          <cell r="H9243">
            <v>30</v>
          </cell>
          <cell r="I9243">
            <v>31790000</v>
          </cell>
        </row>
        <row r="9244">
          <cell r="A9244" t="str">
            <v>Saint Kitts and Nevis</v>
          </cell>
          <cell r="B9244">
            <v>659</v>
          </cell>
          <cell r="C9244">
            <v>201</v>
          </cell>
          <cell r="D9244">
            <v>13</v>
          </cell>
          <cell r="E9244" t="str">
            <v>Less: Financial intermediation services indirectly measured (FISIM) (only to be deducted if FISIM is not distributed to uses)</v>
          </cell>
          <cell r="F9244">
            <v>0</v>
          </cell>
          <cell r="G9244">
            <v>1995</v>
          </cell>
          <cell r="H9244">
            <v>30</v>
          </cell>
          <cell r="I9244">
            <v>39930000</v>
          </cell>
        </row>
        <row r="9245">
          <cell r="A9245" t="str">
            <v>Saint Kitts and Nevis</v>
          </cell>
          <cell r="B9245">
            <v>659</v>
          </cell>
          <cell r="C9245">
            <v>201</v>
          </cell>
          <cell r="D9245">
            <v>13</v>
          </cell>
          <cell r="E9245" t="str">
            <v>Less: Financial intermediation services indirectly measured (FISIM) (only to be deducted if FISIM is not distributed to uses)</v>
          </cell>
          <cell r="F9245">
            <v>0</v>
          </cell>
          <cell r="G9245">
            <v>1996</v>
          </cell>
          <cell r="H9245">
            <v>30</v>
          </cell>
          <cell r="I9245">
            <v>42700000</v>
          </cell>
        </row>
        <row r="9246">
          <cell r="A9246" t="str">
            <v>Saint Kitts and Nevis</v>
          </cell>
          <cell r="B9246">
            <v>659</v>
          </cell>
          <cell r="C9246">
            <v>201</v>
          </cell>
          <cell r="D9246">
            <v>13</v>
          </cell>
          <cell r="E9246" t="str">
            <v>Less: Financial intermediation services indirectly measured (FISIM) (only to be deducted if FISIM is not distributed to uses)</v>
          </cell>
          <cell r="F9246">
            <v>0</v>
          </cell>
          <cell r="G9246">
            <v>1997</v>
          </cell>
          <cell r="H9246">
            <v>30</v>
          </cell>
          <cell r="I9246">
            <v>45480000</v>
          </cell>
        </row>
        <row r="9247">
          <cell r="A9247" t="str">
            <v>Saint Kitts and Nevis</v>
          </cell>
          <cell r="B9247">
            <v>659</v>
          </cell>
          <cell r="C9247">
            <v>201</v>
          </cell>
          <cell r="D9247">
            <v>13</v>
          </cell>
          <cell r="E9247" t="str">
            <v>Less: Financial intermediation services indirectly measured (FISIM) (only to be deducted if FISIM is not distributed to uses)</v>
          </cell>
          <cell r="F9247">
            <v>0</v>
          </cell>
          <cell r="G9247">
            <v>1998</v>
          </cell>
          <cell r="H9247">
            <v>30</v>
          </cell>
          <cell r="I9247">
            <v>46300000</v>
          </cell>
        </row>
        <row r="9248">
          <cell r="A9248" t="str">
            <v>Saint Kitts and Nevis</v>
          </cell>
          <cell r="B9248">
            <v>659</v>
          </cell>
          <cell r="C9248">
            <v>201</v>
          </cell>
          <cell r="D9248">
            <v>13</v>
          </cell>
          <cell r="E9248" t="str">
            <v>Less: Financial intermediation services indirectly measured (FISIM) (only to be deducted if FISIM is not distributed to uses)</v>
          </cell>
          <cell r="F9248">
            <v>0</v>
          </cell>
          <cell r="G9248">
            <v>1999</v>
          </cell>
          <cell r="H9248">
            <v>30</v>
          </cell>
          <cell r="I9248">
            <v>46770000</v>
          </cell>
        </row>
        <row r="9249">
          <cell r="A9249" t="str">
            <v>Saint Kitts and Nevis</v>
          </cell>
          <cell r="B9249">
            <v>659</v>
          </cell>
          <cell r="C9249">
            <v>201</v>
          </cell>
          <cell r="D9249">
            <v>13</v>
          </cell>
          <cell r="E9249" t="str">
            <v>Less: Financial intermediation services indirectly measured (FISIM) (only to be deducted if FISIM is not distributed to uses)</v>
          </cell>
          <cell r="F9249">
            <v>0</v>
          </cell>
          <cell r="G9249">
            <v>2000</v>
          </cell>
          <cell r="H9249">
            <v>30</v>
          </cell>
          <cell r="I9249">
            <v>47510000</v>
          </cell>
        </row>
        <row r="9250">
          <cell r="A9250" t="str">
            <v>Saint Kitts and Nevis</v>
          </cell>
          <cell r="B9250">
            <v>659</v>
          </cell>
          <cell r="C9250">
            <v>201</v>
          </cell>
          <cell r="D9250">
            <v>13</v>
          </cell>
          <cell r="E9250" t="str">
            <v>Less: Financial intermediation services indirectly measured (FISIM) (only to be deducted if FISIM is not distributed to uses)</v>
          </cell>
          <cell r="F9250">
            <v>0</v>
          </cell>
          <cell r="G9250">
            <v>2001</v>
          </cell>
          <cell r="H9250">
            <v>30</v>
          </cell>
          <cell r="I9250">
            <v>52120000</v>
          </cell>
        </row>
        <row r="9251">
          <cell r="A9251" t="str">
            <v>Saint Kitts and Nevis</v>
          </cell>
          <cell r="B9251">
            <v>659</v>
          </cell>
          <cell r="C9251">
            <v>201</v>
          </cell>
          <cell r="D9251">
            <v>13</v>
          </cell>
          <cell r="E9251" t="str">
            <v>Less: Financial intermediation services indirectly measured (FISIM) (only to be deducted if FISIM is not distributed to uses)</v>
          </cell>
          <cell r="F9251">
            <v>0</v>
          </cell>
          <cell r="G9251">
            <v>2002</v>
          </cell>
          <cell r="H9251">
            <v>30</v>
          </cell>
          <cell r="I9251">
            <v>55180000</v>
          </cell>
        </row>
        <row r="9252">
          <cell r="A9252" t="str">
            <v>Saint Kitts and Nevis</v>
          </cell>
          <cell r="B9252">
            <v>659</v>
          </cell>
          <cell r="C9252">
            <v>201</v>
          </cell>
          <cell r="D9252">
            <v>13</v>
          </cell>
          <cell r="E9252" t="str">
            <v>Less: Financial intermediation services indirectly measured (FISIM) (only to be deducted if FISIM is not distributed to uses)</v>
          </cell>
          <cell r="F9252">
            <v>0</v>
          </cell>
          <cell r="G9252">
            <v>2003</v>
          </cell>
          <cell r="H9252">
            <v>30</v>
          </cell>
          <cell r="I9252">
            <v>55950000</v>
          </cell>
        </row>
        <row r="9253">
          <cell r="A9253" t="str">
            <v>Senegal</v>
          </cell>
          <cell r="B9253">
            <v>686</v>
          </cell>
          <cell r="C9253">
            <v>203</v>
          </cell>
          <cell r="D9253">
            <v>3</v>
          </cell>
          <cell r="E9253" t="str">
            <v>Equals: VALUE ADDED, GROSS, at basic prices</v>
          </cell>
          <cell r="F9253">
            <v>12</v>
          </cell>
          <cell r="G9253">
            <v>1990</v>
          </cell>
          <cell r="H9253">
            <v>30</v>
          </cell>
          <cell r="I9253">
            <v>1551500000000</v>
          </cell>
        </row>
        <row r="9254">
          <cell r="A9254" t="str">
            <v>Senegal</v>
          </cell>
          <cell r="B9254">
            <v>686</v>
          </cell>
          <cell r="C9254">
            <v>203</v>
          </cell>
          <cell r="D9254">
            <v>3</v>
          </cell>
          <cell r="E9254" t="str">
            <v>Equals: VALUE ADDED, GROSS, at basic prices</v>
          </cell>
          <cell r="F9254">
            <v>12</v>
          </cell>
          <cell r="G9254">
            <v>1991</v>
          </cell>
          <cell r="H9254">
            <v>30</v>
          </cell>
          <cell r="I9254">
            <v>1551500000000</v>
          </cell>
        </row>
        <row r="9255">
          <cell r="A9255" t="str">
            <v>Senegal</v>
          </cell>
          <cell r="B9255">
            <v>686</v>
          </cell>
          <cell r="C9255">
            <v>203</v>
          </cell>
          <cell r="D9255">
            <v>3</v>
          </cell>
          <cell r="E9255" t="str">
            <v>Equals: VALUE ADDED, GROSS, at basic prices</v>
          </cell>
          <cell r="F9255">
            <v>12</v>
          </cell>
          <cell r="G9255">
            <v>1992</v>
          </cell>
          <cell r="H9255">
            <v>30</v>
          </cell>
          <cell r="I9255">
            <v>1595400000000</v>
          </cell>
        </row>
        <row r="9256">
          <cell r="A9256" t="str">
            <v>Senegal</v>
          </cell>
          <cell r="B9256">
            <v>686</v>
          </cell>
          <cell r="C9256">
            <v>203</v>
          </cell>
          <cell r="D9256">
            <v>3</v>
          </cell>
          <cell r="E9256" t="str">
            <v>Equals: VALUE ADDED, GROSS, at basic prices</v>
          </cell>
          <cell r="F9256">
            <v>12</v>
          </cell>
          <cell r="G9256">
            <v>1993</v>
          </cell>
          <cell r="H9256">
            <v>30</v>
          </cell>
          <cell r="I9256">
            <v>1537800000000</v>
          </cell>
        </row>
        <row r="9257">
          <cell r="A9257" t="str">
            <v>Senegal</v>
          </cell>
          <cell r="B9257">
            <v>686</v>
          </cell>
          <cell r="C9257">
            <v>203</v>
          </cell>
          <cell r="D9257">
            <v>3</v>
          </cell>
          <cell r="E9257" t="str">
            <v>Equals: VALUE ADDED, GROSS, at basic prices</v>
          </cell>
          <cell r="F9257">
            <v>12</v>
          </cell>
          <cell r="G9257">
            <v>1994</v>
          </cell>
          <cell r="H9257">
            <v>30</v>
          </cell>
          <cell r="I9257">
            <v>2022300000000</v>
          </cell>
        </row>
        <row r="9258">
          <cell r="A9258" t="str">
            <v>Senegal</v>
          </cell>
          <cell r="B9258">
            <v>686</v>
          </cell>
          <cell r="C9258">
            <v>203</v>
          </cell>
          <cell r="D9258">
            <v>3</v>
          </cell>
          <cell r="E9258" t="str">
            <v>Equals: VALUE ADDED, GROSS, at basic prices</v>
          </cell>
          <cell r="F9258">
            <v>12</v>
          </cell>
          <cell r="G9258">
            <v>1995</v>
          </cell>
          <cell r="H9258">
            <v>30</v>
          </cell>
          <cell r="I9258">
            <v>2234000000000</v>
          </cell>
        </row>
        <row r="9259">
          <cell r="A9259" t="str">
            <v>Senegal</v>
          </cell>
          <cell r="B9259">
            <v>686</v>
          </cell>
          <cell r="C9259">
            <v>203</v>
          </cell>
          <cell r="D9259">
            <v>3</v>
          </cell>
          <cell r="E9259" t="str">
            <v>Equals: VALUE ADDED, GROSS, at basic prices</v>
          </cell>
          <cell r="F9259">
            <v>12</v>
          </cell>
          <cell r="G9259">
            <v>1996</v>
          </cell>
          <cell r="H9259">
            <v>30</v>
          </cell>
          <cell r="I9259">
            <v>2380000000000</v>
          </cell>
        </row>
        <row r="9260">
          <cell r="A9260" t="str">
            <v>Senegal</v>
          </cell>
          <cell r="B9260">
            <v>686</v>
          </cell>
          <cell r="C9260">
            <v>203</v>
          </cell>
          <cell r="D9260">
            <v>11</v>
          </cell>
          <cell r="E9260" t="str">
            <v>OPERATING SURPLUS, GROSS</v>
          </cell>
          <cell r="F9260">
            <v>12</v>
          </cell>
          <cell r="G9260">
            <v>1992</v>
          </cell>
          <cell r="H9260">
            <v>30</v>
          </cell>
          <cell r="I9260">
            <v>1113335000000</v>
          </cell>
        </row>
        <row r="9261">
          <cell r="A9261" t="str">
            <v>Senegal</v>
          </cell>
          <cell r="B9261">
            <v>686</v>
          </cell>
          <cell r="C9261">
            <v>203</v>
          </cell>
          <cell r="D9261">
            <v>11</v>
          </cell>
          <cell r="E9261" t="str">
            <v>OPERATING SURPLUS, GROSS</v>
          </cell>
          <cell r="F9261">
            <v>12</v>
          </cell>
          <cell r="G9261">
            <v>1993</v>
          </cell>
          <cell r="H9261">
            <v>30</v>
          </cell>
          <cell r="I9261">
            <v>1062031000000</v>
          </cell>
        </row>
        <row r="9262">
          <cell r="A9262" t="str">
            <v>Senegal</v>
          </cell>
          <cell r="B9262">
            <v>686</v>
          </cell>
          <cell r="C9262">
            <v>203</v>
          </cell>
          <cell r="D9262">
            <v>11</v>
          </cell>
          <cell r="E9262" t="str">
            <v>OPERATING SURPLUS, GROSS</v>
          </cell>
          <cell r="F9262">
            <v>12</v>
          </cell>
          <cell r="G9262">
            <v>1994</v>
          </cell>
          <cell r="H9262">
            <v>30</v>
          </cell>
          <cell r="I9262">
            <v>1459877000000</v>
          </cell>
        </row>
        <row r="9263">
          <cell r="A9263" t="str">
            <v>Senegal</v>
          </cell>
          <cell r="B9263">
            <v>686</v>
          </cell>
          <cell r="C9263">
            <v>203</v>
          </cell>
          <cell r="D9263">
            <v>11</v>
          </cell>
          <cell r="E9263" t="str">
            <v>OPERATING SURPLUS, GROSS</v>
          </cell>
          <cell r="F9263">
            <v>12</v>
          </cell>
          <cell r="G9263">
            <v>1995</v>
          </cell>
          <cell r="H9263">
            <v>30</v>
          </cell>
          <cell r="I9263">
            <v>1645525000000</v>
          </cell>
        </row>
        <row r="9264">
          <cell r="A9264" t="str">
            <v>Senegal</v>
          </cell>
          <cell r="B9264">
            <v>686</v>
          </cell>
          <cell r="C9264">
            <v>203</v>
          </cell>
          <cell r="D9264">
            <v>11</v>
          </cell>
          <cell r="E9264" t="str">
            <v>OPERATING SURPLUS, GROSS</v>
          </cell>
          <cell r="F9264">
            <v>12</v>
          </cell>
          <cell r="G9264">
            <v>1996</v>
          </cell>
          <cell r="H9264">
            <v>30</v>
          </cell>
          <cell r="I9264">
            <v>1726279000000</v>
          </cell>
        </row>
        <row r="9265">
          <cell r="A9265" t="str">
            <v>Senegal</v>
          </cell>
          <cell r="B9265">
            <v>686</v>
          </cell>
          <cell r="C9265">
            <v>203</v>
          </cell>
          <cell r="D9265">
            <v>22</v>
          </cell>
          <cell r="E9265" t="str">
            <v>Taxes on production and imports, less Subsidies</v>
          </cell>
          <cell r="F9265">
            <v>12</v>
          </cell>
          <cell r="G9265">
            <v>1992</v>
          </cell>
          <cell r="H9265">
            <v>30</v>
          </cell>
          <cell r="I9265">
            <v>37420000000</v>
          </cell>
        </row>
        <row r="9266">
          <cell r="A9266" t="str">
            <v>Senegal</v>
          </cell>
          <cell r="B9266">
            <v>686</v>
          </cell>
          <cell r="C9266">
            <v>203</v>
          </cell>
          <cell r="D9266">
            <v>22</v>
          </cell>
          <cell r="E9266" t="str">
            <v>Taxes on production and imports, less Subsidies</v>
          </cell>
          <cell r="F9266">
            <v>12</v>
          </cell>
          <cell r="G9266">
            <v>1993</v>
          </cell>
          <cell r="H9266">
            <v>30</v>
          </cell>
          <cell r="I9266">
            <v>38818000000</v>
          </cell>
        </row>
        <row r="9267">
          <cell r="A9267" t="str">
            <v>Senegal</v>
          </cell>
          <cell r="B9267">
            <v>686</v>
          </cell>
          <cell r="C9267">
            <v>203</v>
          </cell>
          <cell r="D9267">
            <v>22</v>
          </cell>
          <cell r="E9267" t="str">
            <v>Taxes on production and imports, less Subsidies</v>
          </cell>
          <cell r="F9267">
            <v>12</v>
          </cell>
          <cell r="G9267">
            <v>1994</v>
          </cell>
          <cell r="H9267">
            <v>30</v>
          </cell>
          <cell r="I9267">
            <v>44710000000</v>
          </cell>
        </row>
        <row r="9268">
          <cell r="A9268" t="str">
            <v>Senegal</v>
          </cell>
          <cell r="B9268">
            <v>686</v>
          </cell>
          <cell r="C9268">
            <v>203</v>
          </cell>
          <cell r="D9268">
            <v>22</v>
          </cell>
          <cell r="E9268" t="str">
            <v>Taxes on production and imports, less Subsidies</v>
          </cell>
          <cell r="F9268">
            <v>12</v>
          </cell>
          <cell r="G9268">
            <v>1995</v>
          </cell>
          <cell r="H9268">
            <v>30</v>
          </cell>
          <cell r="I9268">
            <v>46541000000</v>
          </cell>
        </row>
        <row r="9269">
          <cell r="A9269" t="str">
            <v>Senegal</v>
          </cell>
          <cell r="B9269">
            <v>686</v>
          </cell>
          <cell r="C9269">
            <v>203</v>
          </cell>
          <cell r="D9269">
            <v>22</v>
          </cell>
          <cell r="E9269" t="str">
            <v>Taxes on production and imports, less Subsidies</v>
          </cell>
          <cell r="F9269">
            <v>12</v>
          </cell>
          <cell r="G9269">
            <v>1996</v>
          </cell>
          <cell r="H9269">
            <v>30</v>
          </cell>
          <cell r="I9269">
            <v>72147000000</v>
          </cell>
        </row>
        <row r="9270">
          <cell r="A9270" t="str">
            <v>Saint Vincent and the Grenadines</v>
          </cell>
          <cell r="B9270">
            <v>670</v>
          </cell>
          <cell r="C9270">
            <v>201</v>
          </cell>
          <cell r="D9270">
            <v>13</v>
          </cell>
          <cell r="E9270" t="str">
            <v>Less: Financial intermediation services indirectly measured (FISIM) (only to be deducted if FISIM is not distributed to uses)</v>
          </cell>
          <cell r="F9270">
            <v>0</v>
          </cell>
          <cell r="G9270">
            <v>1977</v>
          </cell>
          <cell r="H9270">
            <v>10</v>
          </cell>
          <cell r="I9270">
            <v>3200000</v>
          </cell>
        </row>
        <row r="9271">
          <cell r="A9271" t="str">
            <v>Saint Vincent and the Grenadines</v>
          </cell>
          <cell r="B9271">
            <v>670</v>
          </cell>
          <cell r="C9271">
            <v>201</v>
          </cell>
          <cell r="D9271">
            <v>13</v>
          </cell>
          <cell r="E9271" t="str">
            <v>Less: Financial intermediation services indirectly measured (FISIM) (only to be deducted if FISIM is not distributed to uses)</v>
          </cell>
          <cell r="F9271">
            <v>0</v>
          </cell>
          <cell r="G9271">
            <v>1978</v>
          </cell>
          <cell r="H9271">
            <v>10</v>
          </cell>
          <cell r="I9271">
            <v>4500000</v>
          </cell>
        </row>
        <row r="9272">
          <cell r="A9272" t="str">
            <v>Saint Vincent and the Grenadines</v>
          </cell>
          <cell r="B9272">
            <v>670</v>
          </cell>
          <cell r="C9272">
            <v>201</v>
          </cell>
          <cell r="D9272">
            <v>13</v>
          </cell>
          <cell r="E9272" t="str">
            <v>Less: Financial intermediation services indirectly measured (FISIM) (only to be deducted if FISIM is not distributed to uses)</v>
          </cell>
          <cell r="F9272">
            <v>0</v>
          </cell>
          <cell r="G9272">
            <v>1979</v>
          </cell>
          <cell r="H9272">
            <v>10</v>
          </cell>
          <cell r="I9272">
            <v>5500000</v>
          </cell>
        </row>
        <row r="9273">
          <cell r="A9273" t="str">
            <v>Saint Vincent and the Grenadines</v>
          </cell>
          <cell r="B9273">
            <v>670</v>
          </cell>
          <cell r="C9273">
            <v>201</v>
          </cell>
          <cell r="D9273">
            <v>13</v>
          </cell>
          <cell r="E9273" t="str">
            <v>Less: Financial intermediation services indirectly measured (FISIM) (only to be deducted if FISIM is not distributed to uses)</v>
          </cell>
          <cell r="F9273">
            <v>0</v>
          </cell>
          <cell r="G9273">
            <v>1980</v>
          </cell>
          <cell r="H9273">
            <v>10</v>
          </cell>
          <cell r="I9273">
            <v>7400000</v>
          </cell>
        </row>
        <row r="9274">
          <cell r="A9274" t="str">
            <v>Saint Vincent and the Grenadines</v>
          </cell>
          <cell r="B9274">
            <v>670</v>
          </cell>
          <cell r="C9274">
            <v>201</v>
          </cell>
          <cell r="D9274">
            <v>13</v>
          </cell>
          <cell r="E9274" t="str">
            <v>Less: Financial intermediation services indirectly measured (FISIM) (only to be deducted if FISIM is not distributed to uses)</v>
          </cell>
          <cell r="F9274">
            <v>0</v>
          </cell>
          <cell r="G9274">
            <v>1981</v>
          </cell>
          <cell r="H9274">
            <v>10</v>
          </cell>
          <cell r="I9274">
            <v>8500000</v>
          </cell>
        </row>
        <row r="9275">
          <cell r="A9275" t="str">
            <v>Saint Vincent and the Grenadines</v>
          </cell>
          <cell r="B9275">
            <v>670</v>
          </cell>
          <cell r="C9275">
            <v>201</v>
          </cell>
          <cell r="D9275">
            <v>13</v>
          </cell>
          <cell r="E9275" t="str">
            <v>Less: Financial intermediation services indirectly measured (FISIM) (only to be deducted if FISIM is not distributed to uses)</v>
          </cell>
          <cell r="F9275">
            <v>0</v>
          </cell>
          <cell r="G9275">
            <v>1982</v>
          </cell>
          <cell r="H9275">
            <v>10</v>
          </cell>
          <cell r="I9275">
            <v>10800000</v>
          </cell>
        </row>
        <row r="9276">
          <cell r="A9276" t="str">
            <v>Saint Vincent and the Grenadines</v>
          </cell>
          <cell r="B9276">
            <v>670</v>
          </cell>
          <cell r="C9276">
            <v>201</v>
          </cell>
          <cell r="D9276">
            <v>13</v>
          </cell>
          <cell r="E9276" t="str">
            <v>Less: Financial intermediation services indirectly measured (FISIM) (only to be deducted if FISIM is not distributed to uses)</v>
          </cell>
          <cell r="F9276">
            <v>0</v>
          </cell>
          <cell r="G9276">
            <v>1983</v>
          </cell>
          <cell r="H9276">
            <v>10</v>
          </cell>
          <cell r="I9276">
            <v>11700000</v>
          </cell>
        </row>
        <row r="9277">
          <cell r="A9277" t="str">
            <v>Saint Vincent and the Grenadines</v>
          </cell>
          <cell r="B9277">
            <v>670</v>
          </cell>
          <cell r="C9277">
            <v>201</v>
          </cell>
          <cell r="D9277">
            <v>13</v>
          </cell>
          <cell r="E9277" t="str">
            <v>Less: Financial intermediation services indirectly measured (FISIM) (only to be deducted if FISIM is not distributed to uses)</v>
          </cell>
          <cell r="F9277">
            <v>0</v>
          </cell>
          <cell r="G9277">
            <v>1984</v>
          </cell>
          <cell r="H9277">
            <v>10</v>
          </cell>
          <cell r="I9277">
            <v>11900000</v>
          </cell>
        </row>
        <row r="9278">
          <cell r="A9278" t="str">
            <v>Saint Vincent and the Grenadines</v>
          </cell>
          <cell r="B9278">
            <v>670</v>
          </cell>
          <cell r="C9278">
            <v>201</v>
          </cell>
          <cell r="D9278">
            <v>13</v>
          </cell>
          <cell r="E9278" t="str">
            <v>Less: Financial intermediation services indirectly measured (FISIM) (only to be deducted if FISIM is not distributed to uses)</v>
          </cell>
          <cell r="F9278">
            <v>0</v>
          </cell>
          <cell r="G9278">
            <v>1985</v>
          </cell>
          <cell r="H9278">
            <v>10</v>
          </cell>
          <cell r="I9278">
            <v>12000000</v>
          </cell>
        </row>
        <row r="9279">
          <cell r="A9279" t="str">
            <v>Saint Vincent and the Grenadines</v>
          </cell>
          <cell r="B9279">
            <v>670</v>
          </cell>
          <cell r="C9279">
            <v>201</v>
          </cell>
          <cell r="D9279">
            <v>13</v>
          </cell>
          <cell r="E9279" t="str">
            <v>Less: Financial intermediation services indirectly measured (FISIM) (only to be deducted if FISIM is not distributed to uses)</v>
          </cell>
          <cell r="F9279">
            <v>0</v>
          </cell>
          <cell r="G9279">
            <v>1986</v>
          </cell>
          <cell r="H9279">
            <v>10</v>
          </cell>
          <cell r="I9279">
            <v>13000000</v>
          </cell>
        </row>
        <row r="9280">
          <cell r="A9280" t="str">
            <v>Saint Vincent and the Grenadines</v>
          </cell>
          <cell r="B9280">
            <v>670</v>
          </cell>
          <cell r="C9280">
            <v>201</v>
          </cell>
          <cell r="D9280">
            <v>13</v>
          </cell>
          <cell r="E9280" t="str">
            <v>Less: Financial intermediation services indirectly measured (FISIM) (only to be deducted if FISIM is not distributed to uses)</v>
          </cell>
          <cell r="F9280">
            <v>0</v>
          </cell>
          <cell r="G9280">
            <v>1987</v>
          </cell>
          <cell r="H9280">
            <v>10</v>
          </cell>
          <cell r="I9280">
            <v>13000000</v>
          </cell>
        </row>
        <row r="9281">
          <cell r="A9281" t="str">
            <v>Saint Vincent and the Grenadines</v>
          </cell>
          <cell r="B9281">
            <v>670</v>
          </cell>
          <cell r="C9281">
            <v>201</v>
          </cell>
          <cell r="D9281">
            <v>13</v>
          </cell>
          <cell r="E9281" t="str">
            <v>Less: Financial intermediation services indirectly measured (FISIM) (only to be deducted if FISIM is not distributed to uses)</v>
          </cell>
          <cell r="F9281">
            <v>0</v>
          </cell>
          <cell r="G9281">
            <v>1988</v>
          </cell>
          <cell r="H9281">
            <v>10</v>
          </cell>
          <cell r="I9281">
            <v>16000000</v>
          </cell>
        </row>
        <row r="9282">
          <cell r="A9282" t="str">
            <v>Saint Vincent and the Grenadines</v>
          </cell>
          <cell r="B9282">
            <v>670</v>
          </cell>
          <cell r="C9282">
            <v>201</v>
          </cell>
          <cell r="D9282">
            <v>13</v>
          </cell>
          <cell r="E9282" t="str">
            <v>Less: Financial intermediation services indirectly measured (FISIM) (only to be deducted if FISIM is not distributed to uses)</v>
          </cell>
          <cell r="F9282">
            <v>0</v>
          </cell>
          <cell r="G9282">
            <v>1989</v>
          </cell>
          <cell r="H9282">
            <v>10</v>
          </cell>
          <cell r="I9282">
            <v>25000000</v>
          </cell>
        </row>
        <row r="9283">
          <cell r="A9283" t="str">
            <v>Saint Vincent and the Grenadines</v>
          </cell>
          <cell r="B9283">
            <v>670</v>
          </cell>
          <cell r="C9283">
            <v>201</v>
          </cell>
          <cell r="D9283">
            <v>13</v>
          </cell>
          <cell r="E9283" t="str">
            <v>Less: Financial intermediation services indirectly measured (FISIM) (only to be deducted if FISIM is not distributed to uses)</v>
          </cell>
          <cell r="F9283">
            <v>0</v>
          </cell>
          <cell r="G9283">
            <v>1990</v>
          </cell>
          <cell r="H9283">
            <v>10</v>
          </cell>
          <cell r="I9283">
            <v>26000000</v>
          </cell>
        </row>
        <row r="9284">
          <cell r="A9284" t="str">
            <v>Saint Vincent and the Grenadines</v>
          </cell>
          <cell r="B9284">
            <v>670</v>
          </cell>
          <cell r="C9284">
            <v>201</v>
          </cell>
          <cell r="D9284">
            <v>13</v>
          </cell>
          <cell r="E9284" t="str">
            <v>Less: Financial intermediation services indirectly measured (FISIM) (only to be deducted if FISIM is not distributed to uses)</v>
          </cell>
          <cell r="F9284">
            <v>0</v>
          </cell>
          <cell r="G9284">
            <v>1991</v>
          </cell>
          <cell r="H9284">
            <v>10</v>
          </cell>
          <cell r="I9284">
            <v>27000000</v>
          </cell>
        </row>
        <row r="9285">
          <cell r="A9285" t="str">
            <v>Saint Vincent and the Grenadines</v>
          </cell>
          <cell r="B9285">
            <v>670</v>
          </cell>
          <cell r="C9285">
            <v>201</v>
          </cell>
          <cell r="D9285">
            <v>13</v>
          </cell>
          <cell r="E9285" t="str">
            <v>Less: Financial intermediation services indirectly measured (FISIM) (only to be deducted if FISIM is not distributed to uses)</v>
          </cell>
          <cell r="F9285">
            <v>0</v>
          </cell>
          <cell r="G9285">
            <v>1992</v>
          </cell>
          <cell r="H9285">
            <v>10</v>
          </cell>
          <cell r="I9285">
            <v>29000000</v>
          </cell>
        </row>
        <row r="9286">
          <cell r="A9286" t="str">
            <v>Saint Vincent and the Grenadines</v>
          </cell>
          <cell r="B9286">
            <v>670</v>
          </cell>
          <cell r="C9286">
            <v>201</v>
          </cell>
          <cell r="D9286">
            <v>13</v>
          </cell>
          <cell r="E9286" t="str">
            <v>Less: Financial intermediation services indirectly measured (FISIM) (only to be deducted if FISIM is not distributed to uses)</v>
          </cell>
          <cell r="F9286">
            <v>0</v>
          </cell>
          <cell r="G9286">
            <v>1993</v>
          </cell>
          <cell r="H9286">
            <v>10</v>
          </cell>
          <cell r="I9286">
            <v>30000000</v>
          </cell>
        </row>
        <row r="9287">
          <cell r="A9287" t="str">
            <v>Saint Vincent and the Grenadines</v>
          </cell>
          <cell r="B9287">
            <v>670</v>
          </cell>
          <cell r="C9287">
            <v>201</v>
          </cell>
          <cell r="D9287">
            <v>13</v>
          </cell>
          <cell r="E9287" t="str">
            <v>Less: Financial intermediation services indirectly measured (FISIM) (only to be deducted if FISIM is not distributed to uses)</v>
          </cell>
          <cell r="F9287">
            <v>0</v>
          </cell>
          <cell r="G9287">
            <v>1994</v>
          </cell>
          <cell r="H9287">
            <v>10</v>
          </cell>
          <cell r="I9287">
            <v>33000000</v>
          </cell>
        </row>
        <row r="9288">
          <cell r="A9288" t="str">
            <v>Saint Vincent and the Grenadines</v>
          </cell>
          <cell r="B9288">
            <v>670</v>
          </cell>
          <cell r="C9288">
            <v>201</v>
          </cell>
          <cell r="D9288">
            <v>13</v>
          </cell>
          <cell r="E9288" t="str">
            <v>Less: Financial intermediation services indirectly measured (FISIM) (only to be deducted if FISIM is not distributed to uses)</v>
          </cell>
          <cell r="F9288">
            <v>0</v>
          </cell>
          <cell r="G9288">
            <v>1995</v>
          </cell>
          <cell r="H9288">
            <v>10</v>
          </cell>
          <cell r="I9288">
            <v>36000000</v>
          </cell>
        </row>
        <row r="9289">
          <cell r="A9289" t="str">
            <v>Saint Vincent and the Grenadines</v>
          </cell>
          <cell r="B9289">
            <v>670</v>
          </cell>
          <cell r="C9289">
            <v>201</v>
          </cell>
          <cell r="D9289">
            <v>13</v>
          </cell>
          <cell r="E9289" t="str">
            <v>Less: Financial intermediation services indirectly measured (FISIM) (only to be deducted if FISIM is not distributed to uses)</v>
          </cell>
          <cell r="F9289">
            <v>0</v>
          </cell>
          <cell r="G9289">
            <v>1996</v>
          </cell>
          <cell r="H9289">
            <v>10</v>
          </cell>
          <cell r="I9289">
            <v>33000000</v>
          </cell>
        </row>
        <row r="9290">
          <cell r="A9290" t="str">
            <v>Saint Vincent and the Grenadines</v>
          </cell>
          <cell r="B9290">
            <v>670</v>
          </cell>
          <cell r="C9290">
            <v>201</v>
          </cell>
          <cell r="D9290">
            <v>13</v>
          </cell>
          <cell r="E9290" t="str">
            <v>Less: Financial intermediation services indirectly measured (FISIM) (only to be deducted if FISIM is not distributed to uses)</v>
          </cell>
          <cell r="F9290">
            <v>0</v>
          </cell>
          <cell r="G9290">
            <v>1997</v>
          </cell>
          <cell r="H9290">
            <v>10</v>
          </cell>
          <cell r="I9290">
            <v>40000000</v>
          </cell>
        </row>
        <row r="9291">
          <cell r="A9291" t="str">
            <v>Saint Vincent and the Grenadines</v>
          </cell>
          <cell r="B9291">
            <v>670</v>
          </cell>
          <cell r="C9291">
            <v>201</v>
          </cell>
          <cell r="D9291">
            <v>13</v>
          </cell>
          <cell r="E9291" t="str">
            <v>Less: Financial intermediation services indirectly measured (FISIM) (only to be deducted if FISIM is not distributed to uses)</v>
          </cell>
          <cell r="F9291">
            <v>0</v>
          </cell>
          <cell r="G9291">
            <v>1998</v>
          </cell>
          <cell r="H9291">
            <v>10</v>
          </cell>
          <cell r="I9291">
            <v>40000000</v>
          </cell>
        </row>
        <row r="9292">
          <cell r="A9292" t="str">
            <v>Saint Vincent and the Grenadines</v>
          </cell>
          <cell r="B9292">
            <v>670</v>
          </cell>
          <cell r="C9292">
            <v>201</v>
          </cell>
          <cell r="D9292">
            <v>13</v>
          </cell>
          <cell r="E9292" t="str">
            <v>Less: Financial intermediation services indirectly measured (FISIM) (only to be deducted if FISIM is not distributed to uses)</v>
          </cell>
          <cell r="F9292">
            <v>0</v>
          </cell>
          <cell r="G9292">
            <v>1999</v>
          </cell>
          <cell r="H9292">
            <v>10</v>
          </cell>
          <cell r="I9292">
            <v>43000000</v>
          </cell>
        </row>
        <row r="9293">
          <cell r="A9293" t="str">
            <v>Saint Vincent and the Grenadines</v>
          </cell>
          <cell r="B9293">
            <v>670</v>
          </cell>
          <cell r="C9293">
            <v>201</v>
          </cell>
          <cell r="D9293">
            <v>13</v>
          </cell>
          <cell r="E9293" t="str">
            <v>Less: Financial intermediation services indirectly measured (FISIM) (only to be deducted if FISIM is not distributed to uses)</v>
          </cell>
          <cell r="F9293">
            <v>0</v>
          </cell>
          <cell r="G9293">
            <v>2000</v>
          </cell>
          <cell r="H9293">
            <v>10</v>
          </cell>
          <cell r="I9293">
            <v>49000000</v>
          </cell>
        </row>
        <row r="9294">
          <cell r="A9294" t="str">
            <v>Saint Vincent and the Grenadines</v>
          </cell>
          <cell r="B9294">
            <v>670</v>
          </cell>
          <cell r="C9294">
            <v>201</v>
          </cell>
          <cell r="D9294">
            <v>13</v>
          </cell>
          <cell r="E9294" t="str">
            <v>Less: Financial intermediation services indirectly measured (FISIM) (only to be deducted if FISIM is not distributed to uses)</v>
          </cell>
          <cell r="F9294">
            <v>0</v>
          </cell>
          <cell r="G9294">
            <v>2001</v>
          </cell>
          <cell r="H9294">
            <v>10</v>
          </cell>
          <cell r="I9294">
            <v>49000000</v>
          </cell>
        </row>
        <row r="9295">
          <cell r="A9295" t="str">
            <v>Saint Vincent and the Grenadines</v>
          </cell>
          <cell r="B9295">
            <v>670</v>
          </cell>
          <cell r="C9295">
            <v>201</v>
          </cell>
          <cell r="D9295">
            <v>13</v>
          </cell>
          <cell r="E9295" t="str">
            <v>Less: Financial intermediation services indirectly measured (FISIM) (only to be deducted if FISIM is not distributed to uses)</v>
          </cell>
          <cell r="F9295">
            <v>0</v>
          </cell>
          <cell r="G9295">
            <v>2002</v>
          </cell>
          <cell r="H9295">
            <v>10</v>
          </cell>
          <cell r="I9295">
            <v>52000000</v>
          </cell>
        </row>
        <row r="9296">
          <cell r="A9296" t="str">
            <v>Saint Vincent and the Grenadines</v>
          </cell>
          <cell r="B9296">
            <v>670</v>
          </cell>
          <cell r="C9296">
            <v>201</v>
          </cell>
          <cell r="D9296">
            <v>13</v>
          </cell>
          <cell r="E9296" t="str">
            <v>Less: Financial intermediation services indirectly measured (FISIM) (only to be deducted if FISIM is not distributed to uses)</v>
          </cell>
          <cell r="F9296">
            <v>0</v>
          </cell>
          <cell r="G9296">
            <v>2003</v>
          </cell>
          <cell r="H9296">
            <v>10</v>
          </cell>
          <cell r="I9296">
            <v>52000000</v>
          </cell>
        </row>
        <row r="9297">
          <cell r="A9297" t="str">
            <v>Saint Vincent and the Grenadines</v>
          </cell>
          <cell r="B9297">
            <v>670</v>
          </cell>
          <cell r="C9297">
            <v>203</v>
          </cell>
          <cell r="D9297">
            <v>3</v>
          </cell>
          <cell r="E9297" t="str">
            <v>Equals: VALUE ADDED, GROSS, at basic prices</v>
          </cell>
          <cell r="F9297">
            <v>12</v>
          </cell>
          <cell r="G9297">
            <v>1992</v>
          </cell>
          <cell r="H9297">
            <v>10</v>
          </cell>
          <cell r="I9297">
            <v>567000000</v>
          </cell>
        </row>
        <row r="9298">
          <cell r="A9298" t="str">
            <v>Saint Vincent and the Grenadines</v>
          </cell>
          <cell r="B9298">
            <v>670</v>
          </cell>
          <cell r="C9298">
            <v>203</v>
          </cell>
          <cell r="D9298">
            <v>3</v>
          </cell>
          <cell r="E9298" t="str">
            <v>Equals: VALUE ADDED, GROSS, at basic prices</v>
          </cell>
          <cell r="F9298">
            <v>12</v>
          </cell>
          <cell r="G9298">
            <v>1993</v>
          </cell>
          <cell r="H9298">
            <v>10</v>
          </cell>
          <cell r="I9298">
            <v>576000000</v>
          </cell>
        </row>
        <row r="9299">
          <cell r="A9299" t="str">
            <v>Saint Vincent and the Grenadines</v>
          </cell>
          <cell r="B9299">
            <v>670</v>
          </cell>
          <cell r="C9299">
            <v>203</v>
          </cell>
          <cell r="D9299">
            <v>3</v>
          </cell>
          <cell r="E9299" t="str">
            <v>Equals: VALUE ADDED, GROSS, at basic prices</v>
          </cell>
          <cell r="F9299">
            <v>12</v>
          </cell>
          <cell r="G9299">
            <v>1994</v>
          </cell>
          <cell r="H9299">
            <v>10</v>
          </cell>
          <cell r="I9299">
            <v>585000000</v>
          </cell>
        </row>
        <row r="9300">
          <cell r="A9300" t="str">
            <v>Saint Vincent and the Grenadines</v>
          </cell>
          <cell r="B9300">
            <v>670</v>
          </cell>
          <cell r="C9300">
            <v>203</v>
          </cell>
          <cell r="D9300">
            <v>3</v>
          </cell>
          <cell r="E9300" t="str">
            <v>Equals: VALUE ADDED, GROSS, at basic prices</v>
          </cell>
          <cell r="F9300">
            <v>12</v>
          </cell>
          <cell r="G9300">
            <v>1995</v>
          </cell>
          <cell r="H9300">
            <v>10</v>
          </cell>
          <cell r="I9300">
            <v>640000000</v>
          </cell>
        </row>
        <row r="9301">
          <cell r="A9301" t="str">
            <v>Saint Vincent and the Grenadines</v>
          </cell>
          <cell r="B9301">
            <v>670</v>
          </cell>
          <cell r="C9301">
            <v>203</v>
          </cell>
          <cell r="D9301">
            <v>3</v>
          </cell>
          <cell r="E9301" t="str">
            <v>Equals: VALUE ADDED, GROSS, at basic prices</v>
          </cell>
          <cell r="F9301">
            <v>12</v>
          </cell>
          <cell r="G9301">
            <v>1996</v>
          </cell>
          <cell r="H9301">
            <v>10</v>
          </cell>
          <cell r="I9301">
            <v>668000000</v>
          </cell>
        </row>
        <row r="9302">
          <cell r="A9302" t="str">
            <v>Saint Vincent and the Grenadines</v>
          </cell>
          <cell r="B9302">
            <v>670</v>
          </cell>
          <cell r="C9302">
            <v>203</v>
          </cell>
          <cell r="D9302">
            <v>3</v>
          </cell>
          <cell r="E9302" t="str">
            <v>Equals: VALUE ADDED, GROSS, at basic prices</v>
          </cell>
          <cell r="F9302">
            <v>12</v>
          </cell>
          <cell r="G9302">
            <v>1997</v>
          </cell>
          <cell r="H9302">
            <v>10</v>
          </cell>
          <cell r="I9302">
            <v>707000000</v>
          </cell>
        </row>
        <row r="9303">
          <cell r="A9303" t="str">
            <v>Saint Vincent and the Grenadines</v>
          </cell>
          <cell r="B9303">
            <v>670</v>
          </cell>
          <cell r="C9303">
            <v>203</v>
          </cell>
          <cell r="D9303">
            <v>3</v>
          </cell>
          <cell r="E9303" t="str">
            <v>Equals: VALUE ADDED, GROSS, at basic prices</v>
          </cell>
          <cell r="F9303">
            <v>12</v>
          </cell>
          <cell r="G9303">
            <v>1998</v>
          </cell>
          <cell r="H9303">
            <v>10</v>
          </cell>
          <cell r="I9303">
            <v>765000000</v>
          </cell>
        </row>
        <row r="9304">
          <cell r="A9304" t="str">
            <v>Saint Vincent and the Grenadines</v>
          </cell>
          <cell r="B9304">
            <v>670</v>
          </cell>
          <cell r="C9304">
            <v>203</v>
          </cell>
          <cell r="D9304">
            <v>3</v>
          </cell>
          <cell r="E9304" t="str">
            <v>Equals: VALUE ADDED, GROSS, at basic prices</v>
          </cell>
          <cell r="F9304">
            <v>12</v>
          </cell>
          <cell r="G9304">
            <v>1999</v>
          </cell>
          <cell r="H9304">
            <v>10</v>
          </cell>
          <cell r="I9304">
            <v>793000000</v>
          </cell>
        </row>
        <row r="9305">
          <cell r="A9305" t="str">
            <v>Saint Vincent and the Grenadines</v>
          </cell>
          <cell r="B9305">
            <v>670</v>
          </cell>
          <cell r="C9305">
            <v>203</v>
          </cell>
          <cell r="D9305">
            <v>3</v>
          </cell>
          <cell r="E9305" t="str">
            <v>Equals: VALUE ADDED, GROSS, at basic prices</v>
          </cell>
          <cell r="F9305">
            <v>12</v>
          </cell>
          <cell r="G9305">
            <v>2000</v>
          </cell>
          <cell r="H9305">
            <v>10</v>
          </cell>
          <cell r="I9305">
            <v>811000000</v>
          </cell>
        </row>
        <row r="9306">
          <cell r="A9306" t="str">
            <v>Saint Vincent and the Grenadines</v>
          </cell>
          <cell r="B9306">
            <v>670</v>
          </cell>
          <cell r="C9306">
            <v>203</v>
          </cell>
          <cell r="D9306">
            <v>3</v>
          </cell>
          <cell r="E9306" t="str">
            <v>Equals: VALUE ADDED, GROSS, at basic prices</v>
          </cell>
          <cell r="F9306">
            <v>12</v>
          </cell>
          <cell r="G9306">
            <v>2001</v>
          </cell>
          <cell r="H9306">
            <v>10</v>
          </cell>
          <cell r="I9306">
            <v>825000000</v>
          </cell>
        </row>
        <row r="9307">
          <cell r="A9307" t="str">
            <v>Saint Vincent and the Grenadines</v>
          </cell>
          <cell r="B9307">
            <v>670</v>
          </cell>
          <cell r="C9307">
            <v>203</v>
          </cell>
          <cell r="D9307">
            <v>3</v>
          </cell>
          <cell r="E9307" t="str">
            <v>Equals: VALUE ADDED, GROSS, at basic prices</v>
          </cell>
          <cell r="F9307">
            <v>12</v>
          </cell>
          <cell r="G9307">
            <v>2002</v>
          </cell>
          <cell r="H9307">
            <v>10</v>
          </cell>
          <cell r="I9307">
            <v>857000000</v>
          </cell>
        </row>
        <row r="9308">
          <cell r="A9308" t="str">
            <v>Saint Vincent and the Grenadines</v>
          </cell>
          <cell r="B9308">
            <v>670</v>
          </cell>
          <cell r="C9308">
            <v>203</v>
          </cell>
          <cell r="D9308">
            <v>3</v>
          </cell>
          <cell r="E9308" t="str">
            <v>Equals: VALUE ADDED, GROSS, at basic prices</v>
          </cell>
          <cell r="F9308">
            <v>12</v>
          </cell>
          <cell r="G9308">
            <v>2003</v>
          </cell>
          <cell r="H9308">
            <v>10</v>
          </cell>
          <cell r="I9308">
            <v>889000000</v>
          </cell>
        </row>
        <row r="9309">
          <cell r="A9309" t="str">
            <v>Saint Vincent and the Grenadines</v>
          </cell>
          <cell r="B9309">
            <v>670</v>
          </cell>
          <cell r="C9309">
            <v>203</v>
          </cell>
          <cell r="D9309">
            <v>4</v>
          </cell>
          <cell r="E9309" t="str">
            <v>Compensation of employees</v>
          </cell>
          <cell r="F9309">
            <v>12</v>
          </cell>
          <cell r="G9309">
            <v>1992</v>
          </cell>
          <cell r="H9309">
            <v>10</v>
          </cell>
          <cell r="I9309">
            <v>2000000</v>
          </cell>
        </row>
        <row r="9310">
          <cell r="A9310" t="str">
            <v>Saint Vincent and the Grenadines</v>
          </cell>
          <cell r="B9310">
            <v>670</v>
          </cell>
          <cell r="C9310">
            <v>203</v>
          </cell>
          <cell r="D9310">
            <v>4</v>
          </cell>
          <cell r="E9310" t="str">
            <v>Compensation of employees</v>
          </cell>
          <cell r="F9310">
            <v>12</v>
          </cell>
          <cell r="G9310">
            <v>1993</v>
          </cell>
          <cell r="H9310">
            <v>10</v>
          </cell>
          <cell r="I9310">
            <v>1000000</v>
          </cell>
        </row>
        <row r="9311">
          <cell r="A9311" t="str">
            <v>Saint Vincent and the Grenadines</v>
          </cell>
          <cell r="B9311">
            <v>670</v>
          </cell>
          <cell r="C9311">
            <v>203</v>
          </cell>
          <cell r="D9311">
            <v>4</v>
          </cell>
          <cell r="E9311" t="str">
            <v>Compensation of employees</v>
          </cell>
          <cell r="F9311">
            <v>12</v>
          </cell>
          <cell r="G9311">
            <v>1994</v>
          </cell>
          <cell r="H9311">
            <v>10</v>
          </cell>
          <cell r="I9311">
            <v>1000000</v>
          </cell>
        </row>
        <row r="9312">
          <cell r="A9312" t="str">
            <v>Saint Vincent and the Grenadines</v>
          </cell>
          <cell r="B9312">
            <v>670</v>
          </cell>
          <cell r="C9312">
            <v>203</v>
          </cell>
          <cell r="D9312">
            <v>4</v>
          </cell>
          <cell r="E9312" t="str">
            <v>Compensation of employees</v>
          </cell>
          <cell r="F9312">
            <v>12</v>
          </cell>
          <cell r="G9312">
            <v>1995</v>
          </cell>
          <cell r="H9312">
            <v>10</v>
          </cell>
          <cell r="I9312">
            <v>1000000</v>
          </cell>
        </row>
        <row r="9313">
          <cell r="A9313" t="str">
            <v>Saint Vincent and the Grenadines</v>
          </cell>
          <cell r="B9313">
            <v>670</v>
          </cell>
          <cell r="C9313">
            <v>203</v>
          </cell>
          <cell r="D9313">
            <v>4</v>
          </cell>
          <cell r="E9313" t="str">
            <v>Compensation of employees</v>
          </cell>
          <cell r="F9313">
            <v>12</v>
          </cell>
          <cell r="G9313">
            <v>1996</v>
          </cell>
          <cell r="H9313">
            <v>10</v>
          </cell>
          <cell r="I9313">
            <v>1000000</v>
          </cell>
        </row>
        <row r="9314">
          <cell r="A9314" t="str">
            <v>Saint Vincent and the Grenadines</v>
          </cell>
          <cell r="B9314">
            <v>670</v>
          </cell>
          <cell r="C9314">
            <v>203</v>
          </cell>
          <cell r="D9314">
            <v>4</v>
          </cell>
          <cell r="E9314" t="str">
            <v>Compensation of employees</v>
          </cell>
          <cell r="F9314">
            <v>12</v>
          </cell>
          <cell r="G9314">
            <v>1997</v>
          </cell>
          <cell r="H9314">
            <v>10</v>
          </cell>
          <cell r="I9314">
            <v>1000000</v>
          </cell>
        </row>
        <row r="9315">
          <cell r="A9315" t="str">
            <v>Saint Vincent and the Grenadines</v>
          </cell>
          <cell r="B9315">
            <v>670</v>
          </cell>
          <cell r="C9315">
            <v>203</v>
          </cell>
          <cell r="D9315">
            <v>4</v>
          </cell>
          <cell r="E9315" t="str">
            <v>Compensation of employees</v>
          </cell>
          <cell r="F9315">
            <v>12</v>
          </cell>
          <cell r="G9315">
            <v>1998</v>
          </cell>
          <cell r="H9315">
            <v>10</v>
          </cell>
          <cell r="I9315">
            <v>1000000</v>
          </cell>
        </row>
        <row r="9316">
          <cell r="A9316" t="str">
            <v>Saint Vincent and the Grenadines</v>
          </cell>
          <cell r="B9316">
            <v>670</v>
          </cell>
          <cell r="C9316">
            <v>203</v>
          </cell>
          <cell r="D9316">
            <v>4</v>
          </cell>
          <cell r="E9316" t="str">
            <v>Compensation of employees</v>
          </cell>
          <cell r="F9316">
            <v>12</v>
          </cell>
          <cell r="G9316">
            <v>1999</v>
          </cell>
          <cell r="H9316">
            <v>10</v>
          </cell>
          <cell r="I9316">
            <v>1000000</v>
          </cell>
        </row>
        <row r="9317">
          <cell r="A9317" t="str">
            <v>Saint Vincent and the Grenadines</v>
          </cell>
          <cell r="B9317">
            <v>670</v>
          </cell>
          <cell r="C9317">
            <v>203</v>
          </cell>
          <cell r="D9317">
            <v>4</v>
          </cell>
          <cell r="E9317" t="str">
            <v>Compensation of employees</v>
          </cell>
          <cell r="F9317">
            <v>12</v>
          </cell>
          <cell r="G9317">
            <v>2000</v>
          </cell>
          <cell r="H9317">
            <v>10</v>
          </cell>
          <cell r="I9317">
            <v>1000000</v>
          </cell>
        </row>
        <row r="9318">
          <cell r="A9318" t="str">
            <v>Saint Vincent and the Grenadines</v>
          </cell>
          <cell r="B9318">
            <v>670</v>
          </cell>
          <cell r="C9318">
            <v>203</v>
          </cell>
          <cell r="D9318">
            <v>4</v>
          </cell>
          <cell r="E9318" t="str">
            <v>Compensation of employees</v>
          </cell>
          <cell r="F9318">
            <v>12</v>
          </cell>
          <cell r="G9318">
            <v>2001</v>
          </cell>
          <cell r="H9318">
            <v>10</v>
          </cell>
          <cell r="I9318">
            <v>1000000</v>
          </cell>
        </row>
        <row r="9319">
          <cell r="A9319" t="str">
            <v>Saint Vincent and the Grenadines</v>
          </cell>
          <cell r="B9319">
            <v>670</v>
          </cell>
          <cell r="C9319">
            <v>203</v>
          </cell>
          <cell r="D9319">
            <v>4</v>
          </cell>
          <cell r="E9319" t="str">
            <v>Compensation of employees</v>
          </cell>
          <cell r="F9319">
            <v>12</v>
          </cell>
          <cell r="G9319">
            <v>2002</v>
          </cell>
          <cell r="H9319">
            <v>10</v>
          </cell>
          <cell r="I9319">
            <v>2000000</v>
          </cell>
        </row>
        <row r="9320">
          <cell r="A9320" t="str">
            <v>Saint Vincent and the Grenadines</v>
          </cell>
          <cell r="B9320">
            <v>670</v>
          </cell>
          <cell r="C9320">
            <v>203</v>
          </cell>
          <cell r="D9320">
            <v>4</v>
          </cell>
          <cell r="E9320" t="str">
            <v>Compensation of employees</v>
          </cell>
          <cell r="F9320">
            <v>12</v>
          </cell>
          <cell r="G9320">
            <v>2003</v>
          </cell>
          <cell r="H9320">
            <v>10</v>
          </cell>
          <cell r="I9320">
            <v>2000000</v>
          </cell>
        </row>
        <row r="9321">
          <cell r="A9321" t="str">
            <v>Singapore</v>
          </cell>
          <cell r="B9321">
            <v>702</v>
          </cell>
          <cell r="C9321">
            <v>201</v>
          </cell>
          <cell r="D9321">
            <v>13</v>
          </cell>
          <cell r="E9321" t="str">
            <v>Less: Financial intermediation services indirectly measured (FISIM) (only to be deducted if FISIM is not distributed to uses)</v>
          </cell>
          <cell r="F9321">
            <v>0</v>
          </cell>
          <cell r="G9321">
            <v>1970</v>
          </cell>
          <cell r="H9321">
            <v>20</v>
          </cell>
          <cell r="I9321">
            <v>110200000</v>
          </cell>
        </row>
        <row r="9322">
          <cell r="A9322" t="str">
            <v>Singapore</v>
          </cell>
          <cell r="B9322">
            <v>702</v>
          </cell>
          <cell r="C9322">
            <v>201</v>
          </cell>
          <cell r="D9322">
            <v>13</v>
          </cell>
          <cell r="E9322" t="str">
            <v>Less: Financial intermediation services indirectly measured (FISIM) (only to be deducted if FISIM is not distributed to uses)</v>
          </cell>
          <cell r="F9322">
            <v>0</v>
          </cell>
          <cell r="G9322">
            <v>1971</v>
          </cell>
          <cell r="H9322">
            <v>20</v>
          </cell>
          <cell r="I9322">
            <v>128200000</v>
          </cell>
        </row>
        <row r="9323">
          <cell r="A9323" t="str">
            <v>Singapore</v>
          </cell>
          <cell r="B9323">
            <v>702</v>
          </cell>
          <cell r="C9323">
            <v>201</v>
          </cell>
          <cell r="D9323">
            <v>13</v>
          </cell>
          <cell r="E9323" t="str">
            <v>Less: Financial intermediation services indirectly measured (FISIM) (only to be deducted if FISIM is not distributed to uses)</v>
          </cell>
          <cell r="F9323">
            <v>0</v>
          </cell>
          <cell r="G9323">
            <v>1972</v>
          </cell>
          <cell r="H9323">
            <v>20</v>
          </cell>
          <cell r="I9323">
            <v>155100000</v>
          </cell>
        </row>
        <row r="9324">
          <cell r="A9324" t="str">
            <v>Singapore</v>
          </cell>
          <cell r="B9324">
            <v>702</v>
          </cell>
          <cell r="C9324">
            <v>201</v>
          </cell>
          <cell r="D9324">
            <v>13</v>
          </cell>
          <cell r="E9324" t="str">
            <v>Less: Financial intermediation services indirectly measured (FISIM) (only to be deducted if FISIM is not distributed to uses)</v>
          </cell>
          <cell r="F9324">
            <v>0</v>
          </cell>
          <cell r="G9324">
            <v>1973</v>
          </cell>
          <cell r="H9324">
            <v>20</v>
          </cell>
          <cell r="I9324">
            <v>228500000</v>
          </cell>
        </row>
        <row r="9325">
          <cell r="A9325" t="str">
            <v>Singapore</v>
          </cell>
          <cell r="B9325">
            <v>702</v>
          </cell>
          <cell r="C9325">
            <v>201</v>
          </cell>
          <cell r="D9325">
            <v>13</v>
          </cell>
          <cell r="E9325" t="str">
            <v>Less: Financial intermediation services indirectly measured (FISIM) (only to be deducted if FISIM is not distributed to uses)</v>
          </cell>
          <cell r="F9325">
            <v>0</v>
          </cell>
          <cell r="G9325">
            <v>1974</v>
          </cell>
          <cell r="H9325">
            <v>20</v>
          </cell>
          <cell r="I9325">
            <v>389400000</v>
          </cell>
        </row>
        <row r="9326">
          <cell r="A9326" t="str">
            <v>Singapore</v>
          </cell>
          <cell r="B9326">
            <v>702</v>
          </cell>
          <cell r="C9326">
            <v>201</v>
          </cell>
          <cell r="D9326">
            <v>13</v>
          </cell>
          <cell r="E9326" t="str">
            <v>Less: Financial intermediation services indirectly measured (FISIM) (only to be deducted if FISIM is not distributed to uses)</v>
          </cell>
          <cell r="F9326">
            <v>0</v>
          </cell>
          <cell r="G9326">
            <v>1975</v>
          </cell>
          <cell r="H9326">
            <v>20</v>
          </cell>
          <cell r="I9326">
            <v>542200000</v>
          </cell>
        </row>
        <row r="9327">
          <cell r="A9327" t="str">
            <v>Singapore</v>
          </cell>
          <cell r="B9327">
            <v>702</v>
          </cell>
          <cell r="C9327">
            <v>201</v>
          </cell>
          <cell r="D9327">
            <v>13</v>
          </cell>
          <cell r="E9327" t="str">
            <v>Less: Financial intermediation services indirectly measured (FISIM) (only to be deducted if FISIM is not distributed to uses)</v>
          </cell>
          <cell r="F9327">
            <v>0</v>
          </cell>
          <cell r="G9327">
            <v>1976</v>
          </cell>
          <cell r="H9327">
            <v>20</v>
          </cell>
          <cell r="I9327">
            <v>611600000</v>
          </cell>
        </row>
        <row r="9328">
          <cell r="A9328" t="str">
            <v>Singapore</v>
          </cell>
          <cell r="B9328">
            <v>702</v>
          </cell>
          <cell r="C9328">
            <v>201</v>
          </cell>
          <cell r="D9328">
            <v>13</v>
          </cell>
          <cell r="E9328" t="str">
            <v>Less: Financial intermediation services indirectly measured (FISIM) (only to be deducted if FISIM is not distributed to uses)</v>
          </cell>
          <cell r="F9328">
            <v>0</v>
          </cell>
          <cell r="G9328">
            <v>1977</v>
          </cell>
          <cell r="H9328">
            <v>20</v>
          </cell>
          <cell r="I9328">
            <v>632700000</v>
          </cell>
        </row>
        <row r="9329">
          <cell r="A9329" t="str">
            <v>Singapore</v>
          </cell>
          <cell r="B9329">
            <v>702</v>
          </cell>
          <cell r="C9329">
            <v>201</v>
          </cell>
          <cell r="D9329">
            <v>13</v>
          </cell>
          <cell r="E9329" t="str">
            <v>Less: Financial intermediation services indirectly measured (FISIM) (only to be deducted if FISIM is not distributed to uses)</v>
          </cell>
          <cell r="F9329">
            <v>0</v>
          </cell>
          <cell r="G9329">
            <v>1978</v>
          </cell>
          <cell r="H9329">
            <v>20</v>
          </cell>
          <cell r="I9329">
            <v>737600000</v>
          </cell>
        </row>
        <row r="9330">
          <cell r="A9330" t="str">
            <v>Singapore</v>
          </cell>
          <cell r="B9330">
            <v>702</v>
          </cell>
          <cell r="C9330">
            <v>201</v>
          </cell>
          <cell r="D9330">
            <v>13</v>
          </cell>
          <cell r="E9330" t="str">
            <v>Less: Financial intermediation services indirectly measured (FISIM) (only to be deducted if FISIM is not distributed to uses)</v>
          </cell>
          <cell r="F9330">
            <v>0</v>
          </cell>
          <cell r="G9330">
            <v>1979</v>
          </cell>
          <cell r="H9330">
            <v>20</v>
          </cell>
          <cell r="I9330">
            <v>1039200000</v>
          </cell>
        </row>
        <row r="9331">
          <cell r="A9331" t="str">
            <v>Singapore</v>
          </cell>
          <cell r="B9331">
            <v>702</v>
          </cell>
          <cell r="C9331">
            <v>201</v>
          </cell>
          <cell r="D9331">
            <v>13</v>
          </cell>
          <cell r="E9331" t="str">
            <v>Less: Financial intermediation services indirectly measured (FISIM) (only to be deducted if FISIM is not distributed to uses)</v>
          </cell>
          <cell r="F9331">
            <v>0</v>
          </cell>
          <cell r="G9331">
            <v>1980</v>
          </cell>
          <cell r="H9331">
            <v>20</v>
          </cell>
          <cell r="I9331">
            <v>1410900000</v>
          </cell>
        </row>
        <row r="9332">
          <cell r="A9332" t="str">
            <v>Singapore</v>
          </cell>
          <cell r="B9332">
            <v>702</v>
          </cell>
          <cell r="C9332">
            <v>201</v>
          </cell>
          <cell r="D9332">
            <v>13</v>
          </cell>
          <cell r="E9332" t="str">
            <v>Less: Financial intermediation services indirectly measured (FISIM) (only to be deducted if FISIM is not distributed to uses)</v>
          </cell>
          <cell r="F9332">
            <v>0</v>
          </cell>
          <cell r="G9332">
            <v>1981</v>
          </cell>
          <cell r="H9332">
            <v>20</v>
          </cell>
          <cell r="I9332">
            <v>1778600000</v>
          </cell>
        </row>
        <row r="9333">
          <cell r="A9333" t="str">
            <v>Singapore</v>
          </cell>
          <cell r="B9333">
            <v>702</v>
          </cell>
          <cell r="C9333">
            <v>201</v>
          </cell>
          <cell r="D9333">
            <v>13</v>
          </cell>
          <cell r="E9333" t="str">
            <v>Less: Financial intermediation services indirectly measured (FISIM) (only to be deducted if FISIM is not distributed to uses)</v>
          </cell>
          <cell r="F9333">
            <v>0</v>
          </cell>
          <cell r="G9333">
            <v>1982</v>
          </cell>
          <cell r="H9333">
            <v>20</v>
          </cell>
          <cell r="I9333">
            <v>2109900000</v>
          </cell>
        </row>
        <row r="9334">
          <cell r="A9334" t="str">
            <v>Singapore</v>
          </cell>
          <cell r="B9334">
            <v>702</v>
          </cell>
          <cell r="C9334">
            <v>201</v>
          </cell>
          <cell r="D9334">
            <v>13</v>
          </cell>
          <cell r="E9334" t="str">
            <v>Less: Financial intermediation services indirectly measured (FISIM) (only to be deducted if FISIM is not distributed to uses)</v>
          </cell>
          <cell r="F9334">
            <v>0</v>
          </cell>
          <cell r="G9334">
            <v>1983</v>
          </cell>
          <cell r="H9334">
            <v>20</v>
          </cell>
          <cell r="I9334">
            <v>2306800000</v>
          </cell>
        </row>
        <row r="9335">
          <cell r="A9335" t="str">
            <v>Singapore</v>
          </cell>
          <cell r="B9335">
            <v>702</v>
          </cell>
          <cell r="C9335">
            <v>201</v>
          </cell>
          <cell r="D9335">
            <v>13</v>
          </cell>
          <cell r="E9335" t="str">
            <v>Less: Financial intermediation services indirectly measured (FISIM) (only to be deducted if FISIM is not distributed to uses)</v>
          </cell>
          <cell r="F9335">
            <v>0</v>
          </cell>
          <cell r="G9335">
            <v>1984</v>
          </cell>
          <cell r="H9335">
            <v>20</v>
          </cell>
          <cell r="I9335">
            <v>2827400000</v>
          </cell>
        </row>
        <row r="9336">
          <cell r="A9336" t="str">
            <v>Singapore</v>
          </cell>
          <cell r="B9336">
            <v>702</v>
          </cell>
          <cell r="C9336">
            <v>201</v>
          </cell>
          <cell r="D9336">
            <v>13</v>
          </cell>
          <cell r="E9336" t="str">
            <v>Less: Financial intermediation services indirectly measured (FISIM) (only to be deducted if FISIM is not distributed to uses)</v>
          </cell>
          <cell r="F9336">
            <v>0</v>
          </cell>
          <cell r="G9336">
            <v>1985</v>
          </cell>
          <cell r="H9336">
            <v>20</v>
          </cell>
          <cell r="I9336">
            <v>3196500000</v>
          </cell>
        </row>
        <row r="9337">
          <cell r="A9337" t="str">
            <v>Singapore</v>
          </cell>
          <cell r="B9337">
            <v>702</v>
          </cell>
          <cell r="C9337">
            <v>201</v>
          </cell>
          <cell r="D9337">
            <v>13</v>
          </cell>
          <cell r="E9337" t="str">
            <v>Less: Financial intermediation services indirectly measured (FISIM) (only to be deducted if FISIM is not distributed to uses)</v>
          </cell>
          <cell r="F9337">
            <v>0</v>
          </cell>
          <cell r="G9337">
            <v>1986</v>
          </cell>
          <cell r="H9337">
            <v>20</v>
          </cell>
          <cell r="I9337">
            <v>2600300000</v>
          </cell>
        </row>
        <row r="9338">
          <cell r="A9338" t="str">
            <v>Singapore</v>
          </cell>
          <cell r="B9338">
            <v>702</v>
          </cell>
          <cell r="C9338">
            <v>201</v>
          </cell>
          <cell r="D9338">
            <v>13</v>
          </cell>
          <cell r="E9338" t="str">
            <v>Less: Financial intermediation services indirectly measured (FISIM) (only to be deducted if FISIM is not distributed to uses)</v>
          </cell>
          <cell r="F9338">
            <v>0</v>
          </cell>
          <cell r="G9338">
            <v>1987</v>
          </cell>
          <cell r="H9338">
            <v>20</v>
          </cell>
          <cell r="I9338">
            <v>2887300000</v>
          </cell>
        </row>
        <row r="9339">
          <cell r="A9339" t="str">
            <v>Singapore</v>
          </cell>
          <cell r="B9339">
            <v>702</v>
          </cell>
          <cell r="C9339">
            <v>201</v>
          </cell>
          <cell r="D9339">
            <v>13</v>
          </cell>
          <cell r="E9339" t="str">
            <v>Less: Financial intermediation services indirectly measured (FISIM) (only to be deducted if FISIM is not distributed to uses)</v>
          </cell>
          <cell r="F9339">
            <v>0</v>
          </cell>
          <cell r="G9339">
            <v>1988</v>
          </cell>
          <cell r="H9339">
            <v>20</v>
          </cell>
          <cell r="I9339">
            <v>2939900000</v>
          </cell>
        </row>
        <row r="9340">
          <cell r="A9340" t="str">
            <v>Singapore</v>
          </cell>
          <cell r="B9340">
            <v>702</v>
          </cell>
          <cell r="C9340">
            <v>201</v>
          </cell>
          <cell r="D9340">
            <v>13</v>
          </cell>
          <cell r="E9340" t="str">
            <v>Less: Financial intermediation services indirectly measured (FISIM) (only to be deducted if FISIM is not distributed to uses)</v>
          </cell>
          <cell r="F9340">
            <v>0</v>
          </cell>
          <cell r="G9340">
            <v>1989</v>
          </cell>
          <cell r="H9340">
            <v>20</v>
          </cell>
          <cell r="I9340">
            <v>2929300000</v>
          </cell>
        </row>
        <row r="9341">
          <cell r="A9341" t="str">
            <v>Singapore</v>
          </cell>
          <cell r="B9341">
            <v>702</v>
          </cell>
          <cell r="C9341">
            <v>201</v>
          </cell>
          <cell r="D9341">
            <v>13</v>
          </cell>
          <cell r="E9341" t="str">
            <v>Less: Financial intermediation services indirectly measured (FISIM) (only to be deducted if FISIM is not distributed to uses)</v>
          </cell>
          <cell r="F9341">
            <v>0</v>
          </cell>
          <cell r="G9341">
            <v>1990</v>
          </cell>
          <cell r="H9341">
            <v>20</v>
          </cell>
          <cell r="I9341">
            <v>4029200000</v>
          </cell>
        </row>
        <row r="9342">
          <cell r="A9342" t="str">
            <v>Singapore</v>
          </cell>
          <cell r="B9342">
            <v>702</v>
          </cell>
          <cell r="C9342">
            <v>201</v>
          </cell>
          <cell r="D9342">
            <v>13</v>
          </cell>
          <cell r="E9342" t="str">
            <v>Less: Financial intermediation services indirectly measured (FISIM) (only to be deducted if FISIM is not distributed to uses)</v>
          </cell>
          <cell r="F9342">
            <v>0</v>
          </cell>
          <cell r="G9342">
            <v>1991</v>
          </cell>
          <cell r="H9342">
            <v>20</v>
          </cell>
          <cell r="I9342">
            <v>5015400000</v>
          </cell>
        </row>
        <row r="9343">
          <cell r="A9343" t="str">
            <v>Singapore</v>
          </cell>
          <cell r="B9343">
            <v>702</v>
          </cell>
          <cell r="C9343">
            <v>201</v>
          </cell>
          <cell r="D9343">
            <v>13</v>
          </cell>
          <cell r="E9343" t="str">
            <v>Less: Financial intermediation services indirectly measured (FISIM) (only to be deducted if FISIM is not distributed to uses)</v>
          </cell>
          <cell r="F9343">
            <v>0</v>
          </cell>
          <cell r="G9343">
            <v>1992</v>
          </cell>
          <cell r="H9343">
            <v>20</v>
          </cell>
          <cell r="I9343">
            <v>5284400000</v>
          </cell>
        </row>
        <row r="9344">
          <cell r="A9344" t="str">
            <v>Singapore</v>
          </cell>
          <cell r="B9344">
            <v>702</v>
          </cell>
          <cell r="C9344">
            <v>201</v>
          </cell>
          <cell r="D9344">
            <v>13</v>
          </cell>
          <cell r="E9344" t="str">
            <v>Less: Financial intermediation services indirectly measured (FISIM) (only to be deducted if FISIM is not distributed to uses)</v>
          </cell>
          <cell r="F9344">
            <v>0</v>
          </cell>
          <cell r="G9344">
            <v>1993</v>
          </cell>
          <cell r="H9344">
            <v>20</v>
          </cell>
          <cell r="I9344">
            <v>5866600000</v>
          </cell>
        </row>
        <row r="9345">
          <cell r="A9345" t="str">
            <v>Singapore</v>
          </cell>
          <cell r="B9345">
            <v>702</v>
          </cell>
          <cell r="C9345">
            <v>201</v>
          </cell>
          <cell r="D9345">
            <v>13</v>
          </cell>
          <cell r="E9345" t="str">
            <v>Less: Financial intermediation services indirectly measured (FISIM) (only to be deducted if FISIM is not distributed to uses)</v>
          </cell>
          <cell r="F9345">
            <v>0</v>
          </cell>
          <cell r="G9345">
            <v>1994</v>
          </cell>
          <cell r="H9345">
            <v>20</v>
          </cell>
          <cell r="I9345">
            <v>6620200000</v>
          </cell>
        </row>
        <row r="9346">
          <cell r="A9346" t="str">
            <v>Singapore</v>
          </cell>
          <cell r="B9346">
            <v>702</v>
          </cell>
          <cell r="C9346">
            <v>201</v>
          </cell>
          <cell r="D9346">
            <v>13</v>
          </cell>
          <cell r="E9346" t="str">
            <v>Less: Financial intermediation services indirectly measured (FISIM) (only to be deducted if FISIM is not distributed to uses)</v>
          </cell>
          <cell r="F9346">
            <v>0</v>
          </cell>
          <cell r="G9346">
            <v>1995</v>
          </cell>
          <cell r="H9346">
            <v>20</v>
          </cell>
          <cell r="I9346">
            <v>6981500000</v>
          </cell>
        </row>
        <row r="9347">
          <cell r="A9347" t="str">
            <v>Singapore</v>
          </cell>
          <cell r="B9347">
            <v>702</v>
          </cell>
          <cell r="C9347">
            <v>201</v>
          </cell>
          <cell r="D9347">
            <v>13</v>
          </cell>
          <cell r="E9347" t="str">
            <v>Less: Financial intermediation services indirectly measured (FISIM) (only to be deducted if FISIM is not distributed to uses)</v>
          </cell>
          <cell r="F9347">
            <v>0</v>
          </cell>
          <cell r="G9347">
            <v>1996</v>
          </cell>
          <cell r="H9347">
            <v>20</v>
          </cell>
          <cell r="I9347">
            <v>7697800000</v>
          </cell>
        </row>
        <row r="9348">
          <cell r="A9348" t="str">
            <v>Singapore</v>
          </cell>
          <cell r="B9348">
            <v>702</v>
          </cell>
          <cell r="C9348">
            <v>201</v>
          </cell>
          <cell r="D9348">
            <v>13</v>
          </cell>
          <cell r="E9348" t="str">
            <v>Less: Financial intermediation services indirectly measured (FISIM) (only to be deducted if FISIM is not distributed to uses)</v>
          </cell>
          <cell r="F9348">
            <v>0</v>
          </cell>
          <cell r="G9348">
            <v>1997</v>
          </cell>
          <cell r="H9348">
            <v>20</v>
          </cell>
          <cell r="I9348">
            <v>8722900000</v>
          </cell>
        </row>
        <row r="9349">
          <cell r="A9349" t="str">
            <v>Singapore</v>
          </cell>
          <cell r="B9349">
            <v>702</v>
          </cell>
          <cell r="C9349">
            <v>201</v>
          </cell>
          <cell r="D9349">
            <v>13</v>
          </cell>
          <cell r="E9349" t="str">
            <v>Less: Financial intermediation services indirectly measured (FISIM) (only to be deducted if FISIM is not distributed to uses)</v>
          </cell>
          <cell r="F9349">
            <v>0</v>
          </cell>
          <cell r="G9349">
            <v>1998</v>
          </cell>
          <cell r="H9349">
            <v>20</v>
          </cell>
          <cell r="I9349">
            <v>9248100000</v>
          </cell>
        </row>
        <row r="9350">
          <cell r="A9350" t="str">
            <v>Singapore</v>
          </cell>
          <cell r="B9350">
            <v>702</v>
          </cell>
          <cell r="C9350">
            <v>201</v>
          </cell>
          <cell r="D9350">
            <v>13</v>
          </cell>
          <cell r="E9350" t="str">
            <v>Less: Financial intermediation services indirectly measured (FISIM) (only to be deducted if FISIM is not distributed to uses)</v>
          </cell>
          <cell r="F9350">
            <v>0</v>
          </cell>
          <cell r="G9350">
            <v>1999</v>
          </cell>
          <cell r="H9350">
            <v>20</v>
          </cell>
          <cell r="I9350">
            <v>9941500000</v>
          </cell>
        </row>
        <row r="9351">
          <cell r="A9351" t="str">
            <v>Singapore</v>
          </cell>
          <cell r="B9351">
            <v>702</v>
          </cell>
          <cell r="C9351">
            <v>201</v>
          </cell>
          <cell r="D9351">
            <v>13</v>
          </cell>
          <cell r="E9351" t="str">
            <v>Less: Financial intermediation services indirectly measured (FISIM) (only to be deducted if FISIM is not distributed to uses)</v>
          </cell>
          <cell r="F9351">
            <v>0</v>
          </cell>
          <cell r="G9351">
            <v>2000</v>
          </cell>
          <cell r="H9351">
            <v>20</v>
          </cell>
          <cell r="I9351">
            <v>8842900000</v>
          </cell>
        </row>
        <row r="9352">
          <cell r="A9352" t="str">
            <v>Singapore</v>
          </cell>
          <cell r="B9352">
            <v>702</v>
          </cell>
          <cell r="C9352">
            <v>201</v>
          </cell>
          <cell r="D9352">
            <v>13</v>
          </cell>
          <cell r="E9352" t="str">
            <v>Less: Financial intermediation services indirectly measured (FISIM) (only to be deducted if FISIM is not distributed to uses)</v>
          </cell>
          <cell r="F9352">
            <v>0</v>
          </cell>
          <cell r="G9352">
            <v>2001</v>
          </cell>
          <cell r="H9352">
            <v>20</v>
          </cell>
          <cell r="I9352">
            <v>10183000000</v>
          </cell>
        </row>
        <row r="9353">
          <cell r="A9353" t="str">
            <v>Singapore</v>
          </cell>
          <cell r="B9353">
            <v>702</v>
          </cell>
          <cell r="C9353">
            <v>201</v>
          </cell>
          <cell r="D9353">
            <v>13</v>
          </cell>
          <cell r="E9353" t="str">
            <v>Less: Financial intermediation services indirectly measured (FISIM) (only to be deducted if FISIM is not distributed to uses)</v>
          </cell>
          <cell r="F9353">
            <v>0</v>
          </cell>
          <cell r="G9353">
            <v>2002</v>
          </cell>
          <cell r="H9353">
            <v>20</v>
          </cell>
          <cell r="I9353">
            <v>9583800000</v>
          </cell>
        </row>
        <row r="9354">
          <cell r="A9354" t="str">
            <v>Singapore</v>
          </cell>
          <cell r="B9354">
            <v>702</v>
          </cell>
          <cell r="C9354">
            <v>201</v>
          </cell>
          <cell r="D9354">
            <v>13</v>
          </cell>
          <cell r="E9354" t="str">
            <v>Less: Financial intermediation services indirectly measured (FISIM) (only to be deducted if FISIM is not distributed to uses)</v>
          </cell>
          <cell r="F9354">
            <v>0</v>
          </cell>
          <cell r="G9354">
            <v>2003</v>
          </cell>
          <cell r="H9354">
            <v>20</v>
          </cell>
          <cell r="I9354">
            <v>8300600000</v>
          </cell>
        </row>
        <row r="9355">
          <cell r="A9355" t="str">
            <v>Singapore</v>
          </cell>
          <cell r="B9355">
            <v>702</v>
          </cell>
          <cell r="C9355">
            <v>201</v>
          </cell>
          <cell r="D9355">
            <v>13</v>
          </cell>
          <cell r="E9355" t="str">
            <v>Less: Financial intermediation services indirectly measured (FISIM) (only to be deducted if FISIM is not distributed to uses)</v>
          </cell>
          <cell r="F9355">
            <v>0</v>
          </cell>
          <cell r="G9355">
            <v>2004</v>
          </cell>
          <cell r="H9355">
            <v>20</v>
          </cell>
          <cell r="I9355">
            <v>7404500000</v>
          </cell>
        </row>
        <row r="9356">
          <cell r="A9356" t="str">
            <v>Saudi Arabia</v>
          </cell>
          <cell r="B9356">
            <v>682</v>
          </cell>
          <cell r="C9356">
            <v>201</v>
          </cell>
          <cell r="D9356">
            <v>13</v>
          </cell>
          <cell r="E9356" t="str">
            <v>Less: Financial intermediation services indirectly measured (FISIM) (only to be deducted if FISIM is not distributed to uses)</v>
          </cell>
          <cell r="F9356">
            <v>0</v>
          </cell>
          <cell r="G9356">
            <v>1970</v>
          </cell>
          <cell r="H9356">
            <v>20</v>
          </cell>
          <cell r="I9356">
            <v>50000000</v>
          </cell>
        </row>
        <row r="9357">
          <cell r="A9357" t="str">
            <v>Saudi Arabia</v>
          </cell>
          <cell r="B9357">
            <v>682</v>
          </cell>
          <cell r="C9357">
            <v>201</v>
          </cell>
          <cell r="D9357">
            <v>13</v>
          </cell>
          <cell r="E9357" t="str">
            <v>Less: Financial intermediation services indirectly measured (FISIM) (only to be deducted if FISIM is not distributed to uses)</v>
          </cell>
          <cell r="F9357">
            <v>0</v>
          </cell>
          <cell r="G9357">
            <v>1971</v>
          </cell>
          <cell r="H9357">
            <v>20</v>
          </cell>
          <cell r="I9357">
            <v>50000000</v>
          </cell>
        </row>
        <row r="9358">
          <cell r="A9358" t="str">
            <v>Saudi Arabia</v>
          </cell>
          <cell r="B9358">
            <v>682</v>
          </cell>
          <cell r="C9358">
            <v>201</v>
          </cell>
          <cell r="D9358">
            <v>13</v>
          </cell>
          <cell r="E9358" t="str">
            <v>Less: Financial intermediation services indirectly measured (FISIM) (only to be deducted if FISIM is not distributed to uses)</v>
          </cell>
          <cell r="F9358">
            <v>0</v>
          </cell>
          <cell r="G9358">
            <v>1972</v>
          </cell>
          <cell r="H9358">
            <v>20</v>
          </cell>
          <cell r="I9358">
            <v>51000000</v>
          </cell>
        </row>
        <row r="9359">
          <cell r="A9359" t="str">
            <v>Saudi Arabia</v>
          </cell>
          <cell r="B9359">
            <v>682</v>
          </cell>
          <cell r="C9359">
            <v>201</v>
          </cell>
          <cell r="D9359">
            <v>13</v>
          </cell>
          <cell r="E9359" t="str">
            <v>Less: Financial intermediation services indirectly measured (FISIM) (only to be deducted if FISIM is not distributed to uses)</v>
          </cell>
          <cell r="F9359">
            <v>0</v>
          </cell>
          <cell r="G9359">
            <v>1973</v>
          </cell>
          <cell r="H9359">
            <v>20</v>
          </cell>
          <cell r="I9359">
            <v>64000000</v>
          </cell>
        </row>
        <row r="9360">
          <cell r="A9360" t="str">
            <v>Saudi Arabia</v>
          </cell>
          <cell r="B9360">
            <v>682</v>
          </cell>
          <cell r="C9360">
            <v>201</v>
          </cell>
          <cell r="D9360">
            <v>13</v>
          </cell>
          <cell r="E9360" t="str">
            <v>Less: Financial intermediation services indirectly measured (FISIM) (only to be deducted if FISIM is not distributed to uses)</v>
          </cell>
          <cell r="F9360">
            <v>0</v>
          </cell>
          <cell r="G9360">
            <v>1974</v>
          </cell>
          <cell r="H9360">
            <v>20</v>
          </cell>
          <cell r="I9360">
            <v>323000000</v>
          </cell>
        </row>
        <row r="9361">
          <cell r="A9361" t="str">
            <v>Saudi Arabia</v>
          </cell>
          <cell r="B9361">
            <v>682</v>
          </cell>
          <cell r="C9361">
            <v>201</v>
          </cell>
          <cell r="D9361">
            <v>13</v>
          </cell>
          <cell r="E9361" t="str">
            <v>Less: Financial intermediation services indirectly measured (FISIM) (only to be deducted if FISIM is not distributed to uses)</v>
          </cell>
          <cell r="F9361">
            <v>0</v>
          </cell>
          <cell r="G9361">
            <v>1975</v>
          </cell>
          <cell r="H9361">
            <v>20</v>
          </cell>
          <cell r="I9361">
            <v>547000000</v>
          </cell>
        </row>
        <row r="9362">
          <cell r="A9362" t="str">
            <v>Saudi Arabia</v>
          </cell>
          <cell r="B9362">
            <v>682</v>
          </cell>
          <cell r="C9362">
            <v>201</v>
          </cell>
          <cell r="D9362">
            <v>13</v>
          </cell>
          <cell r="E9362" t="str">
            <v>Less: Financial intermediation services indirectly measured (FISIM) (only to be deducted if FISIM is not distributed to uses)</v>
          </cell>
          <cell r="F9362">
            <v>0</v>
          </cell>
          <cell r="G9362">
            <v>1976</v>
          </cell>
          <cell r="H9362">
            <v>20</v>
          </cell>
          <cell r="I9362">
            <v>928000000</v>
          </cell>
        </row>
        <row r="9363">
          <cell r="A9363" t="str">
            <v>Saudi Arabia</v>
          </cell>
          <cell r="B9363">
            <v>682</v>
          </cell>
          <cell r="C9363">
            <v>201</v>
          </cell>
          <cell r="D9363">
            <v>13</v>
          </cell>
          <cell r="E9363" t="str">
            <v>Less: Financial intermediation services indirectly measured (FISIM) (only to be deducted if FISIM is not distributed to uses)</v>
          </cell>
          <cell r="F9363">
            <v>0</v>
          </cell>
          <cell r="G9363">
            <v>1977</v>
          </cell>
          <cell r="H9363">
            <v>20</v>
          </cell>
          <cell r="I9363">
            <v>1561000000</v>
          </cell>
        </row>
        <row r="9364">
          <cell r="A9364" t="str">
            <v>Saudi Arabia</v>
          </cell>
          <cell r="B9364">
            <v>682</v>
          </cell>
          <cell r="C9364">
            <v>201</v>
          </cell>
          <cell r="D9364">
            <v>13</v>
          </cell>
          <cell r="E9364" t="str">
            <v>Less: Financial intermediation services indirectly measured (FISIM) (only to be deducted if FISIM is not distributed to uses)</v>
          </cell>
          <cell r="F9364">
            <v>0</v>
          </cell>
          <cell r="G9364">
            <v>1978</v>
          </cell>
          <cell r="H9364">
            <v>20</v>
          </cell>
          <cell r="I9364">
            <v>2342000000</v>
          </cell>
        </row>
        <row r="9365">
          <cell r="A9365" t="str">
            <v>Saudi Arabia</v>
          </cell>
          <cell r="B9365">
            <v>682</v>
          </cell>
          <cell r="C9365">
            <v>201</v>
          </cell>
          <cell r="D9365">
            <v>13</v>
          </cell>
          <cell r="E9365" t="str">
            <v>Less: Financial intermediation services indirectly measured (FISIM) (only to be deducted if FISIM is not distributed to uses)</v>
          </cell>
          <cell r="F9365">
            <v>0</v>
          </cell>
          <cell r="G9365">
            <v>1979</v>
          </cell>
          <cell r="H9365">
            <v>20</v>
          </cell>
          <cell r="I9365">
            <v>3279000000</v>
          </cell>
        </row>
        <row r="9366">
          <cell r="A9366" t="str">
            <v>Saudi Arabia</v>
          </cell>
          <cell r="B9366">
            <v>682</v>
          </cell>
          <cell r="C9366">
            <v>201</v>
          </cell>
          <cell r="D9366">
            <v>13</v>
          </cell>
          <cell r="E9366" t="str">
            <v>Less: Financial intermediation services indirectly measured (FISIM) (only to be deducted if FISIM is not distributed to uses)</v>
          </cell>
          <cell r="F9366">
            <v>0</v>
          </cell>
          <cell r="G9366">
            <v>1980</v>
          </cell>
          <cell r="H9366">
            <v>20</v>
          </cell>
          <cell r="I9366">
            <v>3597000000</v>
          </cell>
        </row>
        <row r="9367">
          <cell r="A9367" t="str">
            <v>Saudi Arabia</v>
          </cell>
          <cell r="B9367">
            <v>682</v>
          </cell>
          <cell r="C9367">
            <v>201</v>
          </cell>
          <cell r="D9367">
            <v>13</v>
          </cell>
          <cell r="E9367" t="str">
            <v>Less: Financial intermediation services indirectly measured (FISIM) (only to be deducted if FISIM is not distributed to uses)</v>
          </cell>
          <cell r="F9367">
            <v>0</v>
          </cell>
          <cell r="G9367">
            <v>1981</v>
          </cell>
          <cell r="H9367">
            <v>20</v>
          </cell>
          <cell r="I9367">
            <v>3960000000</v>
          </cell>
        </row>
        <row r="9368">
          <cell r="A9368" t="str">
            <v>Saudi Arabia</v>
          </cell>
          <cell r="B9368">
            <v>682</v>
          </cell>
          <cell r="C9368">
            <v>201</v>
          </cell>
          <cell r="D9368">
            <v>13</v>
          </cell>
          <cell r="E9368" t="str">
            <v>Less: Financial intermediation services indirectly measured (FISIM) (only to be deducted if FISIM is not distributed to uses)</v>
          </cell>
          <cell r="F9368">
            <v>0</v>
          </cell>
          <cell r="G9368">
            <v>1982</v>
          </cell>
          <cell r="H9368">
            <v>20</v>
          </cell>
          <cell r="I9368">
            <v>4364000000</v>
          </cell>
        </row>
        <row r="9369">
          <cell r="A9369" t="str">
            <v>Saudi Arabia</v>
          </cell>
          <cell r="B9369">
            <v>682</v>
          </cell>
          <cell r="C9369">
            <v>201</v>
          </cell>
          <cell r="D9369">
            <v>13</v>
          </cell>
          <cell r="E9369" t="str">
            <v>Less: Financial intermediation services indirectly measured (FISIM) (only to be deducted if FISIM is not distributed to uses)</v>
          </cell>
          <cell r="F9369">
            <v>0</v>
          </cell>
          <cell r="G9369">
            <v>1983</v>
          </cell>
          <cell r="H9369">
            <v>20</v>
          </cell>
          <cell r="I9369">
            <v>4526000000</v>
          </cell>
        </row>
        <row r="9370">
          <cell r="A9370" t="str">
            <v>Saudi Arabia</v>
          </cell>
          <cell r="B9370">
            <v>682</v>
          </cell>
          <cell r="C9370">
            <v>201</v>
          </cell>
          <cell r="D9370">
            <v>13</v>
          </cell>
          <cell r="E9370" t="str">
            <v>Less: Financial intermediation services indirectly measured (FISIM) (only to be deducted if FISIM is not distributed to uses)</v>
          </cell>
          <cell r="F9370">
            <v>0</v>
          </cell>
          <cell r="G9370">
            <v>1984</v>
          </cell>
          <cell r="H9370">
            <v>20</v>
          </cell>
          <cell r="I9370">
            <v>4670000000</v>
          </cell>
        </row>
        <row r="9371">
          <cell r="A9371" t="str">
            <v>Saudi Arabia</v>
          </cell>
          <cell r="B9371">
            <v>682</v>
          </cell>
          <cell r="C9371">
            <v>201</v>
          </cell>
          <cell r="D9371">
            <v>13</v>
          </cell>
          <cell r="E9371" t="str">
            <v>Less: Financial intermediation services indirectly measured (FISIM) (only to be deducted if FISIM is not distributed to uses)</v>
          </cell>
          <cell r="F9371">
            <v>0</v>
          </cell>
          <cell r="G9371">
            <v>1985</v>
          </cell>
          <cell r="H9371">
            <v>20</v>
          </cell>
          <cell r="I9371">
            <v>4529000000</v>
          </cell>
        </row>
        <row r="9372">
          <cell r="A9372" t="str">
            <v>Saudi Arabia</v>
          </cell>
          <cell r="B9372">
            <v>682</v>
          </cell>
          <cell r="C9372">
            <v>201</v>
          </cell>
          <cell r="D9372">
            <v>13</v>
          </cell>
          <cell r="E9372" t="str">
            <v>Less: Financial intermediation services indirectly measured (FISIM) (only to be deducted if FISIM is not distributed to uses)</v>
          </cell>
          <cell r="F9372">
            <v>0</v>
          </cell>
          <cell r="G9372">
            <v>1986</v>
          </cell>
          <cell r="H9372">
            <v>20</v>
          </cell>
          <cell r="I9372">
            <v>4304000000</v>
          </cell>
        </row>
        <row r="9373">
          <cell r="A9373" t="str">
            <v>Saudi Arabia</v>
          </cell>
          <cell r="B9373">
            <v>682</v>
          </cell>
          <cell r="C9373">
            <v>201</v>
          </cell>
          <cell r="D9373">
            <v>13</v>
          </cell>
          <cell r="E9373" t="str">
            <v>Less: Financial intermediation services indirectly measured (FISIM) (only to be deducted if FISIM is not distributed to uses)</v>
          </cell>
          <cell r="F9373">
            <v>0</v>
          </cell>
          <cell r="G9373">
            <v>1987</v>
          </cell>
          <cell r="H9373">
            <v>20</v>
          </cell>
          <cell r="I9373">
            <v>4132000000</v>
          </cell>
        </row>
        <row r="9374">
          <cell r="A9374" t="str">
            <v>Saudi Arabia</v>
          </cell>
          <cell r="B9374">
            <v>682</v>
          </cell>
          <cell r="C9374">
            <v>201</v>
          </cell>
          <cell r="D9374">
            <v>13</v>
          </cell>
          <cell r="E9374" t="str">
            <v>Less: Financial intermediation services indirectly measured (FISIM) (only to be deducted if FISIM is not distributed to uses)</v>
          </cell>
          <cell r="F9374">
            <v>0</v>
          </cell>
          <cell r="G9374">
            <v>1988</v>
          </cell>
          <cell r="H9374">
            <v>20</v>
          </cell>
          <cell r="I9374">
            <v>4104000000</v>
          </cell>
        </row>
        <row r="9375">
          <cell r="A9375" t="str">
            <v>Saudi Arabia</v>
          </cell>
          <cell r="B9375">
            <v>682</v>
          </cell>
          <cell r="C9375">
            <v>201</v>
          </cell>
          <cell r="D9375">
            <v>13</v>
          </cell>
          <cell r="E9375" t="str">
            <v>Less: Financial intermediation services indirectly measured (FISIM) (only to be deducted if FISIM is not distributed to uses)</v>
          </cell>
          <cell r="F9375">
            <v>0</v>
          </cell>
          <cell r="G9375">
            <v>1989</v>
          </cell>
          <cell r="H9375">
            <v>20</v>
          </cell>
          <cell r="I9375">
            <v>4200000000</v>
          </cell>
        </row>
        <row r="9376">
          <cell r="A9376" t="str">
            <v>Saudi Arabia</v>
          </cell>
          <cell r="B9376">
            <v>682</v>
          </cell>
          <cell r="C9376">
            <v>201</v>
          </cell>
          <cell r="D9376">
            <v>13</v>
          </cell>
          <cell r="E9376" t="str">
            <v>Less: Financial intermediation services indirectly measured (FISIM) (only to be deducted if FISIM is not distributed to uses)</v>
          </cell>
          <cell r="F9376">
            <v>0</v>
          </cell>
          <cell r="G9376">
            <v>1990</v>
          </cell>
          <cell r="H9376">
            <v>20</v>
          </cell>
          <cell r="I9376">
            <v>4326000000</v>
          </cell>
        </row>
        <row r="9377">
          <cell r="A9377" t="str">
            <v>Saudi Arabia</v>
          </cell>
          <cell r="B9377">
            <v>682</v>
          </cell>
          <cell r="C9377">
            <v>201</v>
          </cell>
          <cell r="D9377">
            <v>13</v>
          </cell>
          <cell r="E9377" t="str">
            <v>Less: Financial intermediation services indirectly measured (FISIM) (only to be deducted if FISIM is not distributed to uses)</v>
          </cell>
          <cell r="F9377">
            <v>0</v>
          </cell>
          <cell r="G9377">
            <v>1991</v>
          </cell>
          <cell r="H9377">
            <v>20</v>
          </cell>
          <cell r="I9377">
            <v>4672000000</v>
          </cell>
        </row>
        <row r="9378">
          <cell r="A9378" t="str">
            <v>Saudi Arabia</v>
          </cell>
          <cell r="B9378">
            <v>682</v>
          </cell>
          <cell r="C9378">
            <v>201</v>
          </cell>
          <cell r="D9378">
            <v>13</v>
          </cell>
          <cell r="E9378" t="str">
            <v>Less: Financial intermediation services indirectly measured (FISIM) (only to be deducted if FISIM is not distributed to uses)</v>
          </cell>
          <cell r="F9378">
            <v>0</v>
          </cell>
          <cell r="G9378">
            <v>1992</v>
          </cell>
          <cell r="H9378">
            <v>20</v>
          </cell>
          <cell r="I9378">
            <v>5046000000</v>
          </cell>
        </row>
        <row r="9379">
          <cell r="A9379" t="str">
            <v>Saudi Arabia</v>
          </cell>
          <cell r="B9379">
            <v>682</v>
          </cell>
          <cell r="C9379">
            <v>201</v>
          </cell>
          <cell r="D9379">
            <v>13</v>
          </cell>
          <cell r="E9379" t="str">
            <v>Less: Financial intermediation services indirectly measured (FISIM) (only to be deducted if FISIM is not distributed to uses)</v>
          </cell>
          <cell r="F9379">
            <v>0</v>
          </cell>
          <cell r="G9379">
            <v>1993</v>
          </cell>
          <cell r="H9379">
            <v>20</v>
          </cell>
          <cell r="I9379">
            <v>5500000000</v>
          </cell>
        </row>
        <row r="9380">
          <cell r="A9380" t="str">
            <v>Saudi Arabia</v>
          </cell>
          <cell r="B9380">
            <v>682</v>
          </cell>
          <cell r="C9380">
            <v>201</v>
          </cell>
          <cell r="D9380">
            <v>13</v>
          </cell>
          <cell r="E9380" t="str">
            <v>Less: Financial intermediation services indirectly measured (FISIM) (only to be deducted if FISIM is not distributed to uses)</v>
          </cell>
          <cell r="F9380">
            <v>0</v>
          </cell>
          <cell r="G9380">
            <v>1994</v>
          </cell>
          <cell r="H9380">
            <v>20</v>
          </cell>
          <cell r="I9380">
            <v>5940000000</v>
          </cell>
        </row>
        <row r="9381">
          <cell r="A9381" t="str">
            <v>Saudi Arabia</v>
          </cell>
          <cell r="B9381">
            <v>682</v>
          </cell>
          <cell r="C9381">
            <v>201</v>
          </cell>
          <cell r="D9381">
            <v>13</v>
          </cell>
          <cell r="E9381" t="str">
            <v>Less: Financial intermediation services indirectly measured (FISIM) (only to be deducted if FISIM is not distributed to uses)</v>
          </cell>
          <cell r="F9381">
            <v>0</v>
          </cell>
          <cell r="G9381">
            <v>1995</v>
          </cell>
          <cell r="H9381">
            <v>20</v>
          </cell>
          <cell r="I9381">
            <v>6059000000</v>
          </cell>
        </row>
        <row r="9382">
          <cell r="A9382" t="str">
            <v>Saudi Arabia</v>
          </cell>
          <cell r="B9382">
            <v>682</v>
          </cell>
          <cell r="C9382">
            <v>201</v>
          </cell>
          <cell r="D9382">
            <v>13</v>
          </cell>
          <cell r="E9382" t="str">
            <v>Less: Financial intermediation services indirectly measured (FISIM) (only to be deducted if FISIM is not distributed to uses)</v>
          </cell>
          <cell r="F9382">
            <v>0</v>
          </cell>
          <cell r="G9382">
            <v>1996</v>
          </cell>
          <cell r="H9382">
            <v>20</v>
          </cell>
          <cell r="I9382">
            <v>5816000000</v>
          </cell>
        </row>
        <row r="9383">
          <cell r="A9383" t="str">
            <v>Saudi Arabia</v>
          </cell>
          <cell r="B9383">
            <v>682</v>
          </cell>
          <cell r="C9383">
            <v>201</v>
          </cell>
          <cell r="D9383">
            <v>13</v>
          </cell>
          <cell r="E9383" t="str">
            <v>Less: Financial intermediation services indirectly measured (FISIM) (only to be deducted if FISIM is not distributed to uses)</v>
          </cell>
          <cell r="F9383">
            <v>0</v>
          </cell>
          <cell r="G9383">
            <v>1997</v>
          </cell>
          <cell r="H9383">
            <v>20</v>
          </cell>
          <cell r="I9383">
            <v>10860000000</v>
          </cell>
        </row>
        <row r="9384">
          <cell r="A9384" t="str">
            <v>Saudi Arabia</v>
          </cell>
          <cell r="B9384">
            <v>682</v>
          </cell>
          <cell r="C9384">
            <v>201</v>
          </cell>
          <cell r="D9384">
            <v>13</v>
          </cell>
          <cell r="E9384" t="str">
            <v>Less: Financial intermediation services indirectly measured (FISIM) (only to be deducted if FISIM is not distributed to uses)</v>
          </cell>
          <cell r="F9384">
            <v>0</v>
          </cell>
          <cell r="G9384">
            <v>1998</v>
          </cell>
          <cell r="H9384">
            <v>20</v>
          </cell>
          <cell r="I9384">
            <v>11523000000</v>
          </cell>
        </row>
        <row r="9385">
          <cell r="A9385" t="str">
            <v>Saudi Arabia</v>
          </cell>
          <cell r="B9385">
            <v>682</v>
          </cell>
          <cell r="C9385">
            <v>201</v>
          </cell>
          <cell r="D9385">
            <v>13</v>
          </cell>
          <cell r="E9385" t="str">
            <v>Less: Financial intermediation services indirectly measured (FISIM) (only to be deducted if FISIM is not distributed to uses)</v>
          </cell>
          <cell r="F9385">
            <v>0</v>
          </cell>
          <cell r="G9385">
            <v>1999</v>
          </cell>
          <cell r="H9385">
            <v>20</v>
          </cell>
          <cell r="I9385">
            <v>12340000000</v>
          </cell>
        </row>
        <row r="9386">
          <cell r="A9386" t="str">
            <v>Saudi Arabia</v>
          </cell>
          <cell r="B9386">
            <v>682</v>
          </cell>
          <cell r="C9386">
            <v>201</v>
          </cell>
          <cell r="D9386">
            <v>13</v>
          </cell>
          <cell r="E9386" t="str">
            <v>Less: Financial intermediation services indirectly measured (FISIM) (only to be deducted if FISIM is not distributed to uses)</v>
          </cell>
          <cell r="F9386">
            <v>0</v>
          </cell>
          <cell r="G9386">
            <v>2000</v>
          </cell>
          <cell r="H9386">
            <v>20</v>
          </cell>
          <cell r="I9386">
            <v>13334000000</v>
          </cell>
        </row>
        <row r="9387">
          <cell r="A9387" t="str">
            <v>Saudi Arabia</v>
          </cell>
          <cell r="B9387">
            <v>682</v>
          </cell>
          <cell r="C9387">
            <v>201</v>
          </cell>
          <cell r="D9387">
            <v>13</v>
          </cell>
          <cell r="E9387" t="str">
            <v>Less: Financial intermediation services indirectly measured (FISIM) (only to be deducted if FISIM is not distributed to uses)</v>
          </cell>
          <cell r="F9387">
            <v>0</v>
          </cell>
          <cell r="G9387">
            <v>2001</v>
          </cell>
          <cell r="H9387">
            <v>20</v>
          </cell>
          <cell r="I9387">
            <v>13991000000</v>
          </cell>
        </row>
        <row r="9388">
          <cell r="A9388" t="str">
            <v>Saudi Arabia</v>
          </cell>
          <cell r="B9388">
            <v>682</v>
          </cell>
          <cell r="C9388">
            <v>201</v>
          </cell>
          <cell r="D9388">
            <v>13</v>
          </cell>
          <cell r="E9388" t="str">
            <v>Less: Financial intermediation services indirectly measured (FISIM) (only to be deducted if FISIM is not distributed to uses)</v>
          </cell>
          <cell r="F9388">
            <v>0</v>
          </cell>
          <cell r="G9388">
            <v>2002</v>
          </cell>
          <cell r="H9388">
            <v>20</v>
          </cell>
          <cell r="I9388">
            <v>14714000000</v>
          </cell>
        </row>
        <row r="9389">
          <cell r="A9389" t="str">
            <v>Saudi Arabia</v>
          </cell>
          <cell r="B9389">
            <v>682</v>
          </cell>
          <cell r="C9389">
            <v>201</v>
          </cell>
          <cell r="D9389">
            <v>13</v>
          </cell>
          <cell r="E9389" t="str">
            <v>Less: Financial intermediation services indirectly measured (FISIM) (only to be deducted if FISIM is not distributed to uses)</v>
          </cell>
          <cell r="F9389">
            <v>0</v>
          </cell>
          <cell r="G9389">
            <v>2003</v>
          </cell>
          <cell r="H9389">
            <v>20</v>
          </cell>
          <cell r="I9389">
            <v>15244000000</v>
          </cell>
        </row>
        <row r="9390">
          <cell r="A9390" t="str">
            <v>Saudi Arabia</v>
          </cell>
          <cell r="B9390">
            <v>682</v>
          </cell>
          <cell r="C9390">
            <v>203</v>
          </cell>
          <cell r="D9390">
            <v>3</v>
          </cell>
          <cell r="E9390" t="str">
            <v>Equals: VALUE ADDED, GROSS, at basic prices</v>
          </cell>
          <cell r="F9390">
            <v>12</v>
          </cell>
          <cell r="G9390">
            <v>1987</v>
          </cell>
          <cell r="H9390">
            <v>20</v>
          </cell>
          <cell r="I9390">
            <v>276132000000</v>
          </cell>
        </row>
        <row r="9391">
          <cell r="A9391" t="str">
            <v>Saudi Arabia</v>
          </cell>
          <cell r="B9391">
            <v>682</v>
          </cell>
          <cell r="C9391">
            <v>203</v>
          </cell>
          <cell r="D9391">
            <v>3</v>
          </cell>
          <cell r="E9391" t="str">
            <v>Equals: VALUE ADDED, GROSS, at basic prices</v>
          </cell>
          <cell r="F9391">
            <v>12</v>
          </cell>
          <cell r="G9391">
            <v>1988</v>
          </cell>
          <cell r="H9391">
            <v>20</v>
          </cell>
          <cell r="I9391">
            <v>281010000000</v>
          </cell>
        </row>
        <row r="9392">
          <cell r="A9392" t="str">
            <v>Saudi Arabia</v>
          </cell>
          <cell r="B9392">
            <v>682</v>
          </cell>
          <cell r="C9392">
            <v>203</v>
          </cell>
          <cell r="D9392">
            <v>3</v>
          </cell>
          <cell r="E9392" t="str">
            <v>Equals: VALUE ADDED, GROSS, at basic prices</v>
          </cell>
          <cell r="F9392">
            <v>12</v>
          </cell>
          <cell r="G9392">
            <v>1989</v>
          </cell>
          <cell r="H9392">
            <v>20</v>
          </cell>
          <cell r="I9392">
            <v>308280000000</v>
          </cell>
        </row>
        <row r="9393">
          <cell r="A9393" t="str">
            <v>Saudi Arabia</v>
          </cell>
          <cell r="B9393">
            <v>682</v>
          </cell>
          <cell r="C9393">
            <v>203</v>
          </cell>
          <cell r="D9393">
            <v>3</v>
          </cell>
          <cell r="E9393" t="str">
            <v>Equals: VALUE ADDED, GROSS, at basic prices</v>
          </cell>
          <cell r="F9393">
            <v>12</v>
          </cell>
          <cell r="G9393">
            <v>1990</v>
          </cell>
          <cell r="H9393">
            <v>20</v>
          </cell>
          <cell r="I9393">
            <v>389319000000</v>
          </cell>
        </row>
        <row r="9394">
          <cell r="A9394" t="str">
            <v>Saudi Arabia</v>
          </cell>
          <cell r="B9394">
            <v>682</v>
          </cell>
          <cell r="C9394">
            <v>203</v>
          </cell>
          <cell r="D9394">
            <v>3</v>
          </cell>
          <cell r="E9394" t="str">
            <v>Equals: VALUE ADDED, GROSS, at basic prices</v>
          </cell>
          <cell r="F9394">
            <v>12</v>
          </cell>
          <cell r="G9394">
            <v>1991</v>
          </cell>
          <cell r="H9394">
            <v>20</v>
          </cell>
          <cell r="I9394">
            <v>439709000000</v>
          </cell>
        </row>
        <row r="9395">
          <cell r="A9395" t="str">
            <v>Saudi Arabia</v>
          </cell>
          <cell r="B9395">
            <v>682</v>
          </cell>
          <cell r="C9395">
            <v>203</v>
          </cell>
          <cell r="D9395">
            <v>3</v>
          </cell>
          <cell r="E9395" t="str">
            <v>Equals: VALUE ADDED, GROSS, at basic prices</v>
          </cell>
          <cell r="F9395">
            <v>12</v>
          </cell>
          <cell r="G9395">
            <v>1992</v>
          </cell>
          <cell r="H9395">
            <v>20</v>
          </cell>
          <cell r="I9395">
            <v>457344000000</v>
          </cell>
        </row>
        <row r="9396">
          <cell r="A9396" t="str">
            <v>Saudi Arabia</v>
          </cell>
          <cell r="B9396">
            <v>682</v>
          </cell>
          <cell r="C9396">
            <v>203</v>
          </cell>
          <cell r="D9396">
            <v>3</v>
          </cell>
          <cell r="E9396" t="str">
            <v>Equals: VALUE ADDED, GROSS, at basic prices</v>
          </cell>
          <cell r="F9396">
            <v>12</v>
          </cell>
          <cell r="G9396">
            <v>1993</v>
          </cell>
          <cell r="H9396">
            <v>20</v>
          </cell>
          <cell r="I9396">
            <v>440065000000</v>
          </cell>
        </row>
        <row r="9397">
          <cell r="A9397" t="str">
            <v>Saudi Arabia</v>
          </cell>
          <cell r="B9397">
            <v>682</v>
          </cell>
          <cell r="C9397">
            <v>203</v>
          </cell>
          <cell r="D9397">
            <v>3</v>
          </cell>
          <cell r="E9397" t="str">
            <v>Equals: VALUE ADDED, GROSS, at basic prices</v>
          </cell>
          <cell r="F9397">
            <v>12</v>
          </cell>
          <cell r="G9397">
            <v>1994</v>
          </cell>
          <cell r="H9397">
            <v>20</v>
          </cell>
          <cell r="I9397">
            <v>447676000000</v>
          </cell>
        </row>
        <row r="9398">
          <cell r="A9398" t="str">
            <v>Saudi Arabia</v>
          </cell>
          <cell r="B9398">
            <v>682</v>
          </cell>
          <cell r="C9398">
            <v>203</v>
          </cell>
          <cell r="D9398">
            <v>3</v>
          </cell>
          <cell r="E9398" t="str">
            <v>Equals: VALUE ADDED, GROSS, at basic prices</v>
          </cell>
          <cell r="F9398">
            <v>12</v>
          </cell>
          <cell r="G9398">
            <v>1995</v>
          </cell>
          <cell r="H9398">
            <v>20</v>
          </cell>
          <cell r="I9398">
            <v>478652000000</v>
          </cell>
        </row>
        <row r="9399">
          <cell r="A9399" t="str">
            <v>Saudi Arabia</v>
          </cell>
          <cell r="B9399">
            <v>682</v>
          </cell>
          <cell r="C9399">
            <v>203</v>
          </cell>
          <cell r="D9399">
            <v>3</v>
          </cell>
          <cell r="E9399" t="str">
            <v>Equals: VALUE ADDED, GROSS, at basic prices</v>
          </cell>
          <cell r="F9399">
            <v>12</v>
          </cell>
          <cell r="G9399">
            <v>1996</v>
          </cell>
          <cell r="H9399">
            <v>20</v>
          </cell>
          <cell r="I9399">
            <v>529250000000</v>
          </cell>
        </row>
        <row r="9400">
          <cell r="A9400" t="str">
            <v>Saudi Arabia</v>
          </cell>
          <cell r="B9400">
            <v>682</v>
          </cell>
          <cell r="C9400">
            <v>203</v>
          </cell>
          <cell r="D9400">
            <v>3</v>
          </cell>
          <cell r="E9400" t="str">
            <v>Equals: VALUE ADDED, GROSS, at basic prices</v>
          </cell>
          <cell r="F9400">
            <v>12</v>
          </cell>
          <cell r="G9400">
            <v>1997</v>
          </cell>
          <cell r="H9400">
            <v>20</v>
          </cell>
          <cell r="I9400">
            <v>548620000000</v>
          </cell>
        </row>
        <row r="9401">
          <cell r="A9401" t="str">
            <v>Saudi Arabia</v>
          </cell>
          <cell r="B9401">
            <v>682</v>
          </cell>
          <cell r="C9401">
            <v>203</v>
          </cell>
          <cell r="D9401">
            <v>3</v>
          </cell>
          <cell r="E9401" t="str">
            <v>Equals: VALUE ADDED, GROSS, at basic prices</v>
          </cell>
          <cell r="F9401">
            <v>12</v>
          </cell>
          <cell r="G9401">
            <v>1998</v>
          </cell>
          <cell r="H9401">
            <v>20</v>
          </cell>
          <cell r="I9401">
            <v>546648000000</v>
          </cell>
        </row>
        <row r="9402">
          <cell r="A9402" t="str">
            <v>Saudi Arabia</v>
          </cell>
          <cell r="B9402">
            <v>682</v>
          </cell>
          <cell r="C9402">
            <v>203</v>
          </cell>
          <cell r="D9402">
            <v>3</v>
          </cell>
          <cell r="E9402" t="str">
            <v>Equals: VALUE ADDED, GROSS, at basic prices</v>
          </cell>
          <cell r="F9402">
            <v>12</v>
          </cell>
          <cell r="G9402">
            <v>1999</v>
          </cell>
          <cell r="H9402">
            <v>20</v>
          </cell>
          <cell r="I9402">
            <v>603589000000</v>
          </cell>
        </row>
        <row r="9403">
          <cell r="A9403" t="str">
            <v>Saudi Arabia</v>
          </cell>
          <cell r="B9403">
            <v>682</v>
          </cell>
          <cell r="C9403">
            <v>203</v>
          </cell>
          <cell r="D9403">
            <v>3</v>
          </cell>
          <cell r="E9403" t="str">
            <v>Equals: VALUE ADDED, GROSS, at basic prices</v>
          </cell>
          <cell r="F9403">
            <v>12</v>
          </cell>
          <cell r="G9403">
            <v>2000</v>
          </cell>
          <cell r="H9403">
            <v>20</v>
          </cell>
          <cell r="I9403">
            <v>706657000000</v>
          </cell>
        </row>
        <row r="9404">
          <cell r="A9404" t="str">
            <v>Saudi Arabia</v>
          </cell>
          <cell r="B9404">
            <v>682</v>
          </cell>
          <cell r="C9404">
            <v>203</v>
          </cell>
          <cell r="D9404">
            <v>3</v>
          </cell>
          <cell r="E9404" t="str">
            <v>Equals: VALUE ADDED, GROSS, at basic prices</v>
          </cell>
          <cell r="F9404">
            <v>12</v>
          </cell>
          <cell r="G9404">
            <v>2001</v>
          </cell>
          <cell r="H9404">
            <v>20</v>
          </cell>
          <cell r="I9404">
            <v>686296000000</v>
          </cell>
        </row>
        <row r="9405">
          <cell r="A9405" t="str">
            <v>Saudi Arabia</v>
          </cell>
          <cell r="B9405">
            <v>682</v>
          </cell>
          <cell r="C9405">
            <v>203</v>
          </cell>
          <cell r="D9405">
            <v>3</v>
          </cell>
          <cell r="E9405" t="str">
            <v>Equals: VALUE ADDED, GROSS, at basic prices</v>
          </cell>
          <cell r="F9405">
            <v>12</v>
          </cell>
          <cell r="G9405">
            <v>2002</v>
          </cell>
          <cell r="H9405">
            <v>20</v>
          </cell>
          <cell r="I9405">
            <v>707067000000</v>
          </cell>
        </row>
        <row r="9406">
          <cell r="A9406" t="str">
            <v>Saudi Arabia</v>
          </cell>
          <cell r="B9406">
            <v>682</v>
          </cell>
          <cell r="C9406">
            <v>203</v>
          </cell>
          <cell r="D9406">
            <v>3</v>
          </cell>
          <cell r="E9406" t="str">
            <v>Equals: VALUE ADDED, GROSS, at basic prices</v>
          </cell>
          <cell r="F9406">
            <v>12</v>
          </cell>
          <cell r="G9406">
            <v>2003</v>
          </cell>
          <cell r="H9406">
            <v>20</v>
          </cell>
          <cell r="I9406">
            <v>797175000000</v>
          </cell>
        </row>
        <row r="9407">
          <cell r="A9407" t="str">
            <v>Saudi Arabia</v>
          </cell>
          <cell r="B9407">
            <v>682</v>
          </cell>
          <cell r="C9407">
            <v>203</v>
          </cell>
          <cell r="D9407">
            <v>3</v>
          </cell>
          <cell r="E9407" t="str">
            <v>Equals: VALUE ADDED, GROSS, at basic prices</v>
          </cell>
          <cell r="F9407">
            <v>12</v>
          </cell>
          <cell r="G9407">
            <v>2004</v>
          </cell>
          <cell r="H9407">
            <v>20</v>
          </cell>
          <cell r="I9407">
            <v>931752000000</v>
          </cell>
        </row>
        <row r="9408">
          <cell r="A9408" t="str">
            <v>Saudi Arabia</v>
          </cell>
          <cell r="B9408">
            <v>682</v>
          </cell>
          <cell r="C9408">
            <v>203</v>
          </cell>
          <cell r="D9408">
            <v>4</v>
          </cell>
          <cell r="E9408" t="str">
            <v>Compensation of employees</v>
          </cell>
          <cell r="F9408">
            <v>12</v>
          </cell>
          <cell r="G9408">
            <v>1970</v>
          </cell>
          <cell r="H9408">
            <v>20</v>
          </cell>
          <cell r="I9408">
            <v>4833000000</v>
          </cell>
        </row>
        <row r="9409">
          <cell r="A9409" t="str">
            <v>Saudi Arabia</v>
          </cell>
          <cell r="B9409">
            <v>682</v>
          </cell>
          <cell r="C9409">
            <v>203</v>
          </cell>
          <cell r="D9409">
            <v>4</v>
          </cell>
          <cell r="E9409" t="str">
            <v>Compensation of employees</v>
          </cell>
          <cell r="F9409">
            <v>12</v>
          </cell>
          <cell r="G9409">
            <v>1971</v>
          </cell>
          <cell r="H9409">
            <v>20</v>
          </cell>
          <cell r="I9409">
            <v>5417000000</v>
          </cell>
        </row>
        <row r="9410">
          <cell r="A9410" t="str">
            <v>Saudi Arabia</v>
          </cell>
          <cell r="B9410">
            <v>682</v>
          </cell>
          <cell r="C9410">
            <v>203</v>
          </cell>
          <cell r="D9410">
            <v>4</v>
          </cell>
          <cell r="E9410" t="str">
            <v>Compensation of employees</v>
          </cell>
          <cell r="F9410">
            <v>12</v>
          </cell>
          <cell r="G9410">
            <v>1972</v>
          </cell>
          <cell r="H9410">
            <v>20</v>
          </cell>
          <cell r="I9410">
            <v>6655000000</v>
          </cell>
        </row>
        <row r="9411">
          <cell r="A9411" t="str">
            <v>Saudi Arabia</v>
          </cell>
          <cell r="B9411">
            <v>682</v>
          </cell>
          <cell r="C9411">
            <v>203</v>
          </cell>
          <cell r="D9411">
            <v>4</v>
          </cell>
          <cell r="E9411" t="str">
            <v>Compensation of employees</v>
          </cell>
          <cell r="F9411">
            <v>12</v>
          </cell>
          <cell r="G9411">
            <v>1973</v>
          </cell>
          <cell r="H9411">
            <v>20</v>
          </cell>
          <cell r="I9411">
            <v>9115000000</v>
          </cell>
        </row>
        <row r="9412">
          <cell r="A9412" t="str">
            <v>Saudi Arabia</v>
          </cell>
          <cell r="B9412">
            <v>682</v>
          </cell>
          <cell r="C9412">
            <v>203</v>
          </cell>
          <cell r="D9412">
            <v>4</v>
          </cell>
          <cell r="E9412" t="str">
            <v>Compensation of employees</v>
          </cell>
          <cell r="F9412">
            <v>12</v>
          </cell>
          <cell r="G9412">
            <v>1974</v>
          </cell>
          <cell r="H9412">
            <v>20</v>
          </cell>
          <cell r="I9412">
            <v>14844000000</v>
          </cell>
        </row>
        <row r="9413">
          <cell r="A9413" t="str">
            <v>Saudi Arabia</v>
          </cell>
          <cell r="B9413">
            <v>682</v>
          </cell>
          <cell r="C9413">
            <v>203</v>
          </cell>
          <cell r="D9413">
            <v>4</v>
          </cell>
          <cell r="E9413" t="str">
            <v>Compensation of employees</v>
          </cell>
          <cell r="F9413">
            <v>12</v>
          </cell>
          <cell r="G9413">
            <v>1975</v>
          </cell>
          <cell r="H9413">
            <v>20</v>
          </cell>
          <cell r="I9413">
            <v>25007000000</v>
          </cell>
        </row>
        <row r="9414">
          <cell r="A9414" t="str">
            <v>Saudi Arabia</v>
          </cell>
          <cell r="B9414">
            <v>682</v>
          </cell>
          <cell r="C9414">
            <v>203</v>
          </cell>
          <cell r="D9414">
            <v>4</v>
          </cell>
          <cell r="E9414" t="str">
            <v>Compensation of employees</v>
          </cell>
          <cell r="F9414">
            <v>12</v>
          </cell>
          <cell r="G9414">
            <v>1976</v>
          </cell>
          <cell r="H9414">
            <v>20</v>
          </cell>
          <cell r="I9414">
            <v>35458000000</v>
          </cell>
        </row>
        <row r="9415">
          <cell r="A9415" t="str">
            <v>Saudi Arabia</v>
          </cell>
          <cell r="B9415">
            <v>682</v>
          </cell>
          <cell r="C9415">
            <v>203</v>
          </cell>
          <cell r="D9415">
            <v>4</v>
          </cell>
          <cell r="E9415" t="str">
            <v>Compensation of employees</v>
          </cell>
          <cell r="F9415">
            <v>12</v>
          </cell>
          <cell r="G9415">
            <v>1977</v>
          </cell>
          <cell r="H9415">
            <v>20</v>
          </cell>
          <cell r="I9415">
            <v>49774000000</v>
          </cell>
        </row>
        <row r="9416">
          <cell r="A9416" t="str">
            <v>Saudi Arabia</v>
          </cell>
          <cell r="B9416">
            <v>682</v>
          </cell>
          <cell r="C9416">
            <v>203</v>
          </cell>
          <cell r="D9416">
            <v>4</v>
          </cell>
          <cell r="E9416" t="str">
            <v>Compensation of employees</v>
          </cell>
          <cell r="F9416">
            <v>12</v>
          </cell>
          <cell r="G9416">
            <v>1995</v>
          </cell>
          <cell r="H9416">
            <v>20</v>
          </cell>
          <cell r="I9416">
            <v>188158000000</v>
          </cell>
        </row>
        <row r="9417">
          <cell r="A9417" t="str">
            <v>Saudi Arabia</v>
          </cell>
          <cell r="B9417">
            <v>682</v>
          </cell>
          <cell r="C9417">
            <v>203</v>
          </cell>
          <cell r="D9417">
            <v>4</v>
          </cell>
          <cell r="E9417" t="str">
            <v>Compensation of employees</v>
          </cell>
          <cell r="F9417">
            <v>12</v>
          </cell>
          <cell r="G9417">
            <v>1996</v>
          </cell>
          <cell r="H9417">
            <v>20</v>
          </cell>
          <cell r="I9417">
            <v>195118000000</v>
          </cell>
        </row>
        <row r="9418">
          <cell r="A9418" t="str">
            <v>Saudi Arabia</v>
          </cell>
          <cell r="B9418">
            <v>682</v>
          </cell>
          <cell r="C9418">
            <v>203</v>
          </cell>
          <cell r="D9418">
            <v>4</v>
          </cell>
          <cell r="E9418" t="str">
            <v>Compensation of employees</v>
          </cell>
          <cell r="F9418">
            <v>12</v>
          </cell>
          <cell r="G9418">
            <v>1997</v>
          </cell>
          <cell r="H9418">
            <v>20</v>
          </cell>
          <cell r="I9418">
            <v>205794000000</v>
          </cell>
        </row>
        <row r="9419">
          <cell r="A9419" t="str">
            <v>Saudi Arabia</v>
          </cell>
          <cell r="B9419">
            <v>682</v>
          </cell>
          <cell r="C9419">
            <v>203</v>
          </cell>
          <cell r="D9419">
            <v>4</v>
          </cell>
          <cell r="E9419" t="str">
            <v>Compensation of employees</v>
          </cell>
          <cell r="F9419">
            <v>12</v>
          </cell>
          <cell r="G9419">
            <v>1998</v>
          </cell>
          <cell r="H9419">
            <v>20</v>
          </cell>
          <cell r="I9419">
            <v>198183000000</v>
          </cell>
        </row>
        <row r="9420">
          <cell r="A9420" t="str">
            <v>Saudi Arabia</v>
          </cell>
          <cell r="B9420">
            <v>682</v>
          </cell>
          <cell r="C9420">
            <v>203</v>
          </cell>
          <cell r="D9420">
            <v>4</v>
          </cell>
          <cell r="E9420" t="str">
            <v>Compensation of employees</v>
          </cell>
          <cell r="F9420">
            <v>12</v>
          </cell>
          <cell r="G9420">
            <v>1999</v>
          </cell>
          <cell r="H9420">
            <v>20</v>
          </cell>
          <cell r="I9420">
            <v>201767000000</v>
          </cell>
        </row>
        <row r="9421">
          <cell r="A9421" t="str">
            <v>Saudi Arabia</v>
          </cell>
          <cell r="B9421">
            <v>682</v>
          </cell>
          <cell r="C9421">
            <v>203</v>
          </cell>
          <cell r="D9421">
            <v>4</v>
          </cell>
          <cell r="E9421" t="str">
            <v>Compensation of employees</v>
          </cell>
          <cell r="F9421">
            <v>12</v>
          </cell>
          <cell r="G9421">
            <v>2000</v>
          </cell>
          <cell r="H9421">
            <v>20</v>
          </cell>
          <cell r="I9421">
            <v>209446000000</v>
          </cell>
        </row>
        <row r="9422">
          <cell r="A9422" t="str">
            <v>Saudi Arabia</v>
          </cell>
          <cell r="B9422">
            <v>682</v>
          </cell>
          <cell r="C9422">
            <v>203</v>
          </cell>
          <cell r="D9422">
            <v>4</v>
          </cell>
          <cell r="E9422" t="str">
            <v>Compensation of employees</v>
          </cell>
          <cell r="F9422">
            <v>12</v>
          </cell>
          <cell r="G9422">
            <v>2001</v>
          </cell>
          <cell r="H9422">
            <v>20</v>
          </cell>
          <cell r="I9422">
            <v>217502000000</v>
          </cell>
        </row>
        <row r="9423">
          <cell r="A9423" t="str">
            <v>Saudi Arabia</v>
          </cell>
          <cell r="B9423">
            <v>682</v>
          </cell>
          <cell r="C9423">
            <v>203</v>
          </cell>
          <cell r="D9423">
            <v>4</v>
          </cell>
          <cell r="E9423" t="str">
            <v>Compensation of employees</v>
          </cell>
          <cell r="F9423">
            <v>12</v>
          </cell>
          <cell r="G9423">
            <v>2002</v>
          </cell>
          <cell r="H9423">
            <v>20</v>
          </cell>
          <cell r="I9423">
            <v>222925000000</v>
          </cell>
        </row>
        <row r="9424">
          <cell r="A9424" t="str">
            <v>Saudi Arabia</v>
          </cell>
          <cell r="B9424">
            <v>682</v>
          </cell>
          <cell r="C9424">
            <v>203</v>
          </cell>
          <cell r="D9424">
            <v>11</v>
          </cell>
          <cell r="E9424" t="str">
            <v>OPERATING SURPLUS, GROSS</v>
          </cell>
          <cell r="F9424">
            <v>12</v>
          </cell>
          <cell r="G9424">
            <v>1995</v>
          </cell>
          <cell r="H9424">
            <v>20</v>
          </cell>
          <cell r="I9424">
            <v>289194000000</v>
          </cell>
        </row>
        <row r="9425">
          <cell r="A9425" t="str">
            <v>Saudi Arabia</v>
          </cell>
          <cell r="B9425">
            <v>682</v>
          </cell>
          <cell r="C9425">
            <v>203</v>
          </cell>
          <cell r="D9425">
            <v>11</v>
          </cell>
          <cell r="E9425" t="str">
            <v>OPERATING SURPLUS, GROSS</v>
          </cell>
          <cell r="F9425">
            <v>12</v>
          </cell>
          <cell r="G9425">
            <v>1996</v>
          </cell>
          <cell r="H9425">
            <v>20</v>
          </cell>
          <cell r="I9425">
            <v>332319000000</v>
          </cell>
        </row>
        <row r="9426">
          <cell r="A9426" t="str">
            <v>Saudi Arabia</v>
          </cell>
          <cell r="B9426">
            <v>682</v>
          </cell>
          <cell r="C9426">
            <v>203</v>
          </cell>
          <cell r="D9426">
            <v>11</v>
          </cell>
          <cell r="E9426" t="str">
            <v>OPERATING SURPLUS, GROSS</v>
          </cell>
          <cell r="F9426">
            <v>12</v>
          </cell>
          <cell r="G9426">
            <v>1997</v>
          </cell>
          <cell r="H9426">
            <v>20</v>
          </cell>
          <cell r="I9426">
            <v>338571000000</v>
          </cell>
        </row>
        <row r="9427">
          <cell r="A9427" t="str">
            <v>Saudi Arabia</v>
          </cell>
          <cell r="B9427">
            <v>682</v>
          </cell>
          <cell r="C9427">
            <v>203</v>
          </cell>
          <cell r="D9427">
            <v>11</v>
          </cell>
          <cell r="E9427" t="str">
            <v>OPERATING SURPLUS, GROSS</v>
          </cell>
          <cell r="F9427">
            <v>12</v>
          </cell>
          <cell r="G9427">
            <v>1998</v>
          </cell>
          <cell r="H9427">
            <v>20</v>
          </cell>
          <cell r="I9427">
            <v>324790000000</v>
          </cell>
        </row>
        <row r="9428">
          <cell r="A9428" t="str">
            <v>Saudi Arabia</v>
          </cell>
          <cell r="B9428">
            <v>682</v>
          </cell>
          <cell r="C9428">
            <v>203</v>
          </cell>
          <cell r="D9428">
            <v>11</v>
          </cell>
          <cell r="E9428" t="str">
            <v>OPERATING SURPLUS, GROSS</v>
          </cell>
          <cell r="F9428">
            <v>12</v>
          </cell>
          <cell r="G9428">
            <v>1999</v>
          </cell>
          <cell r="H9428">
            <v>20</v>
          </cell>
          <cell r="I9428">
            <v>378947000000</v>
          </cell>
        </row>
        <row r="9429">
          <cell r="A9429" t="str">
            <v>Saudi Arabia</v>
          </cell>
          <cell r="B9429">
            <v>682</v>
          </cell>
          <cell r="C9429">
            <v>203</v>
          </cell>
          <cell r="D9429">
            <v>11</v>
          </cell>
          <cell r="E9429" t="str">
            <v>OPERATING SURPLUS, GROSS</v>
          </cell>
          <cell r="F9429">
            <v>12</v>
          </cell>
          <cell r="G9429">
            <v>2000</v>
          </cell>
          <cell r="H9429">
            <v>20</v>
          </cell>
          <cell r="I9429">
            <v>476189000000</v>
          </cell>
        </row>
        <row r="9430">
          <cell r="A9430" t="str">
            <v>Saudi Arabia</v>
          </cell>
          <cell r="B9430">
            <v>682</v>
          </cell>
          <cell r="C9430">
            <v>203</v>
          </cell>
          <cell r="D9430">
            <v>11</v>
          </cell>
          <cell r="E9430" t="str">
            <v>OPERATING SURPLUS, GROSS</v>
          </cell>
          <cell r="F9430">
            <v>12</v>
          </cell>
          <cell r="G9430">
            <v>2001</v>
          </cell>
          <cell r="H9430">
            <v>20</v>
          </cell>
          <cell r="I9430">
            <v>450390000000</v>
          </cell>
        </row>
        <row r="9431">
          <cell r="A9431" t="str">
            <v>Saudi Arabia</v>
          </cell>
          <cell r="B9431">
            <v>682</v>
          </cell>
          <cell r="C9431">
            <v>203</v>
          </cell>
          <cell r="D9431">
            <v>11</v>
          </cell>
          <cell r="E9431" t="str">
            <v>OPERATING SURPLUS, GROSS</v>
          </cell>
          <cell r="F9431">
            <v>12</v>
          </cell>
          <cell r="G9431">
            <v>2002</v>
          </cell>
          <cell r="H9431">
            <v>20</v>
          </cell>
          <cell r="I9431">
            <v>465005000000</v>
          </cell>
        </row>
        <row r="9432">
          <cell r="A9432" t="str">
            <v>Slovenia</v>
          </cell>
          <cell r="B9432">
            <v>705</v>
          </cell>
          <cell r="C9432">
            <v>201</v>
          </cell>
          <cell r="D9432">
            <v>13</v>
          </cell>
          <cell r="E9432" t="str">
            <v>Less: Financial intermediation services indirectly measured (FISIM) (only to be deducted if FISIM is not distributed to uses)</v>
          </cell>
          <cell r="F9432">
            <v>0</v>
          </cell>
          <cell r="G9432">
            <v>1980</v>
          </cell>
          <cell r="H9432">
            <v>10</v>
          </cell>
          <cell r="I9432">
            <v>0</v>
          </cell>
        </row>
        <row r="9433">
          <cell r="A9433" t="str">
            <v>Slovenia</v>
          </cell>
          <cell r="B9433">
            <v>705</v>
          </cell>
          <cell r="C9433">
            <v>201</v>
          </cell>
          <cell r="D9433">
            <v>13</v>
          </cell>
          <cell r="E9433" t="str">
            <v>Less: Financial intermediation services indirectly measured (FISIM) (only to be deducted if FISIM is not distributed to uses)</v>
          </cell>
          <cell r="F9433">
            <v>0</v>
          </cell>
          <cell r="G9433">
            <v>1985</v>
          </cell>
          <cell r="H9433">
            <v>10</v>
          </cell>
          <cell r="I9433">
            <v>4000000</v>
          </cell>
        </row>
        <row r="9434">
          <cell r="A9434" t="str">
            <v>Slovenia</v>
          </cell>
          <cell r="B9434">
            <v>705</v>
          </cell>
          <cell r="C9434">
            <v>201</v>
          </cell>
          <cell r="D9434">
            <v>13</v>
          </cell>
          <cell r="E9434" t="str">
            <v>Less: Financial intermediation services indirectly measured (FISIM) (only to be deducted if FISIM is not distributed to uses)</v>
          </cell>
          <cell r="F9434">
            <v>0</v>
          </cell>
          <cell r="G9434">
            <v>1986</v>
          </cell>
          <cell r="H9434">
            <v>10</v>
          </cell>
          <cell r="I9434">
            <v>8000000</v>
          </cell>
        </row>
        <row r="9435">
          <cell r="A9435" t="str">
            <v>Slovenia</v>
          </cell>
          <cell r="B9435">
            <v>705</v>
          </cell>
          <cell r="C9435">
            <v>201</v>
          </cell>
          <cell r="D9435">
            <v>13</v>
          </cell>
          <cell r="E9435" t="str">
            <v>Less: Financial intermediation services indirectly measured (FISIM) (only to be deducted if FISIM is not distributed to uses)</v>
          </cell>
          <cell r="F9435">
            <v>0</v>
          </cell>
          <cell r="G9435">
            <v>1987</v>
          </cell>
          <cell r="H9435">
            <v>10</v>
          </cell>
          <cell r="I9435">
            <v>18000000</v>
          </cell>
        </row>
        <row r="9436">
          <cell r="A9436" t="str">
            <v>Slovenia</v>
          </cell>
          <cell r="B9436">
            <v>705</v>
          </cell>
          <cell r="C9436">
            <v>201</v>
          </cell>
          <cell r="D9436">
            <v>13</v>
          </cell>
          <cell r="E9436" t="str">
            <v>Less: Financial intermediation services indirectly measured (FISIM) (only to be deducted if FISIM is not distributed to uses)</v>
          </cell>
          <cell r="F9436">
            <v>0</v>
          </cell>
          <cell r="G9436">
            <v>1988</v>
          </cell>
          <cell r="H9436">
            <v>10</v>
          </cell>
          <cell r="I9436">
            <v>62000000</v>
          </cell>
        </row>
        <row r="9437">
          <cell r="A9437" t="str">
            <v>Slovenia</v>
          </cell>
          <cell r="B9437">
            <v>705</v>
          </cell>
          <cell r="C9437">
            <v>201</v>
          </cell>
          <cell r="D9437">
            <v>13</v>
          </cell>
          <cell r="E9437" t="str">
            <v>Less: Financial intermediation services indirectly measured (FISIM) (only to be deducted if FISIM is not distributed to uses)</v>
          </cell>
          <cell r="F9437">
            <v>0</v>
          </cell>
          <cell r="G9437">
            <v>1989</v>
          </cell>
          <cell r="H9437">
            <v>10</v>
          </cell>
          <cell r="I9437">
            <v>751000000</v>
          </cell>
        </row>
        <row r="9438">
          <cell r="A9438" t="str">
            <v>Slovenia</v>
          </cell>
          <cell r="B9438">
            <v>705</v>
          </cell>
          <cell r="C9438">
            <v>201</v>
          </cell>
          <cell r="D9438">
            <v>13</v>
          </cell>
          <cell r="E9438" t="str">
            <v>Less: Financial intermediation services indirectly measured (FISIM) (only to be deducted if FISIM is not distributed to uses)</v>
          </cell>
          <cell r="F9438">
            <v>0</v>
          </cell>
          <cell r="G9438">
            <v>1990</v>
          </cell>
          <cell r="H9438">
            <v>100</v>
          </cell>
          <cell r="I9438">
            <v>3057000000</v>
          </cell>
        </row>
        <row r="9439">
          <cell r="A9439" t="str">
            <v>Slovenia</v>
          </cell>
          <cell r="B9439">
            <v>705</v>
          </cell>
          <cell r="C9439">
            <v>201</v>
          </cell>
          <cell r="D9439">
            <v>13</v>
          </cell>
          <cell r="E9439" t="str">
            <v>Less: Financial intermediation services indirectly measured (FISIM) (only to be deducted if FISIM is not distributed to uses)</v>
          </cell>
          <cell r="F9439">
            <v>0</v>
          </cell>
          <cell r="G9439">
            <v>1991</v>
          </cell>
          <cell r="H9439">
            <v>100</v>
          </cell>
          <cell r="I9439">
            <v>6876000000</v>
          </cell>
        </row>
        <row r="9440">
          <cell r="A9440" t="str">
            <v>Slovenia</v>
          </cell>
          <cell r="B9440">
            <v>705</v>
          </cell>
          <cell r="C9440">
            <v>201</v>
          </cell>
          <cell r="D9440">
            <v>13</v>
          </cell>
          <cell r="E9440" t="str">
            <v>Less: Financial intermediation services indirectly measured (FISIM) (only to be deducted if FISIM is not distributed to uses)</v>
          </cell>
          <cell r="F9440">
            <v>0</v>
          </cell>
          <cell r="G9440">
            <v>1992</v>
          </cell>
          <cell r="H9440">
            <v>100</v>
          </cell>
          <cell r="I9440">
            <v>16586000000</v>
          </cell>
        </row>
        <row r="9441">
          <cell r="A9441" t="str">
            <v>Slovenia</v>
          </cell>
          <cell r="B9441">
            <v>705</v>
          </cell>
          <cell r="C9441">
            <v>201</v>
          </cell>
          <cell r="D9441">
            <v>13</v>
          </cell>
          <cell r="E9441" t="str">
            <v>Less: Financial intermediation services indirectly measured (FISIM) (only to be deducted if FISIM is not distributed to uses)</v>
          </cell>
          <cell r="F9441">
            <v>0</v>
          </cell>
          <cell r="G9441">
            <v>1993</v>
          </cell>
          <cell r="H9441">
            <v>100</v>
          </cell>
          <cell r="I9441">
            <v>25240000000</v>
          </cell>
        </row>
        <row r="9442">
          <cell r="A9442" t="str">
            <v>Slovenia</v>
          </cell>
          <cell r="B9442">
            <v>705</v>
          </cell>
          <cell r="C9442">
            <v>201</v>
          </cell>
          <cell r="D9442">
            <v>13</v>
          </cell>
          <cell r="E9442" t="str">
            <v>Less: Financial intermediation services indirectly measured (FISIM) (only to be deducted if FISIM is not distributed to uses)</v>
          </cell>
          <cell r="F9442">
            <v>0</v>
          </cell>
          <cell r="G9442">
            <v>1994</v>
          </cell>
          <cell r="H9442">
            <v>100</v>
          </cell>
          <cell r="I9442">
            <v>32955000000</v>
          </cell>
        </row>
        <row r="9443">
          <cell r="A9443" t="str">
            <v>Slovenia</v>
          </cell>
          <cell r="B9443">
            <v>705</v>
          </cell>
          <cell r="C9443">
            <v>201</v>
          </cell>
          <cell r="D9443">
            <v>13</v>
          </cell>
          <cell r="E9443" t="str">
            <v>Less: Financial intermediation services indirectly measured (FISIM) (only to be deducted if FISIM is not distributed to uses)</v>
          </cell>
          <cell r="F9443">
            <v>0</v>
          </cell>
          <cell r="G9443">
            <v>1995</v>
          </cell>
          <cell r="H9443">
            <v>100</v>
          </cell>
          <cell r="I9443">
            <v>48212300000</v>
          </cell>
        </row>
        <row r="9444">
          <cell r="A9444" t="str">
            <v>Slovenia</v>
          </cell>
          <cell r="B9444">
            <v>705</v>
          </cell>
          <cell r="C9444">
            <v>201</v>
          </cell>
          <cell r="D9444">
            <v>13</v>
          </cell>
          <cell r="E9444" t="str">
            <v>Less: Financial intermediation services indirectly measured (FISIM) (only to be deducted if FISIM is not distributed to uses)</v>
          </cell>
          <cell r="F9444">
            <v>0</v>
          </cell>
          <cell r="G9444">
            <v>1996</v>
          </cell>
          <cell r="H9444">
            <v>100</v>
          </cell>
          <cell r="I9444">
            <v>68014400000</v>
          </cell>
        </row>
        <row r="9445">
          <cell r="A9445" t="str">
            <v>Slovenia</v>
          </cell>
          <cell r="B9445">
            <v>705</v>
          </cell>
          <cell r="C9445">
            <v>201</v>
          </cell>
          <cell r="D9445">
            <v>13</v>
          </cell>
          <cell r="E9445" t="str">
            <v>Less: Financial intermediation services indirectly measured (FISIM) (only to be deducted if FISIM is not distributed to uses)</v>
          </cell>
          <cell r="F9445">
            <v>0</v>
          </cell>
          <cell r="G9445">
            <v>1997</v>
          </cell>
          <cell r="H9445">
            <v>100</v>
          </cell>
          <cell r="I9445">
            <v>68244700000</v>
          </cell>
        </row>
        <row r="9446">
          <cell r="A9446" t="str">
            <v>Slovenia</v>
          </cell>
          <cell r="B9446">
            <v>705</v>
          </cell>
          <cell r="C9446">
            <v>201</v>
          </cell>
          <cell r="D9446">
            <v>13</v>
          </cell>
          <cell r="E9446" t="str">
            <v>Less: Financial intermediation services indirectly measured (FISIM) (only to be deducted if FISIM is not distributed to uses)</v>
          </cell>
          <cell r="F9446">
            <v>0</v>
          </cell>
          <cell r="G9446">
            <v>1998</v>
          </cell>
          <cell r="H9446">
            <v>100</v>
          </cell>
          <cell r="I9446">
            <v>73527300000</v>
          </cell>
        </row>
        <row r="9447">
          <cell r="A9447" t="str">
            <v>Slovenia</v>
          </cell>
          <cell r="B9447">
            <v>705</v>
          </cell>
          <cell r="C9447">
            <v>201</v>
          </cell>
          <cell r="D9447">
            <v>13</v>
          </cell>
          <cell r="E9447" t="str">
            <v>Less: Financial intermediation services indirectly measured (FISIM) (only to be deducted if FISIM is not distributed to uses)</v>
          </cell>
          <cell r="F9447">
            <v>0</v>
          </cell>
          <cell r="G9447">
            <v>1999</v>
          </cell>
          <cell r="H9447">
            <v>100</v>
          </cell>
          <cell r="I9447">
            <v>85599600000</v>
          </cell>
        </row>
        <row r="9448">
          <cell r="A9448" t="str">
            <v>Slovenia</v>
          </cell>
          <cell r="B9448">
            <v>705</v>
          </cell>
          <cell r="C9448">
            <v>201</v>
          </cell>
          <cell r="D9448">
            <v>13</v>
          </cell>
          <cell r="E9448" t="str">
            <v>Less: Financial intermediation services indirectly measured (FISIM) (only to be deducted if FISIM is not distributed to uses)</v>
          </cell>
          <cell r="F9448">
            <v>0</v>
          </cell>
          <cell r="G9448">
            <v>2000</v>
          </cell>
          <cell r="H9448">
            <v>100</v>
          </cell>
          <cell r="I9448">
            <v>106918800000</v>
          </cell>
        </row>
        <row r="9449">
          <cell r="A9449" t="str">
            <v>Slovenia</v>
          </cell>
          <cell r="B9449">
            <v>705</v>
          </cell>
          <cell r="C9449">
            <v>201</v>
          </cell>
          <cell r="D9449">
            <v>13</v>
          </cell>
          <cell r="E9449" t="str">
            <v>Less: Financial intermediation services indirectly measured (FISIM) (only to be deducted if FISIM is not distributed to uses)</v>
          </cell>
          <cell r="F9449">
            <v>0</v>
          </cell>
          <cell r="G9449">
            <v>2001</v>
          </cell>
          <cell r="H9449">
            <v>100</v>
          </cell>
          <cell r="I9449">
            <v>98988600000</v>
          </cell>
        </row>
        <row r="9450">
          <cell r="A9450" t="str">
            <v>Slovenia</v>
          </cell>
          <cell r="B9450">
            <v>705</v>
          </cell>
          <cell r="C9450">
            <v>201</v>
          </cell>
          <cell r="D9450">
            <v>13</v>
          </cell>
          <cell r="E9450" t="str">
            <v>Less: Financial intermediation services indirectly measured (FISIM) (only to be deducted if FISIM is not distributed to uses)</v>
          </cell>
          <cell r="F9450">
            <v>0</v>
          </cell>
          <cell r="G9450">
            <v>2002</v>
          </cell>
          <cell r="H9450">
            <v>100</v>
          </cell>
          <cell r="I9450">
            <v>128748100000</v>
          </cell>
        </row>
        <row r="9451">
          <cell r="A9451" t="str">
            <v>Slovenia</v>
          </cell>
          <cell r="B9451">
            <v>705</v>
          </cell>
          <cell r="C9451">
            <v>201</v>
          </cell>
          <cell r="D9451">
            <v>13</v>
          </cell>
          <cell r="E9451" t="str">
            <v>Less: Financial intermediation services indirectly measured (FISIM) (only to be deducted if FISIM is not distributed to uses)</v>
          </cell>
          <cell r="F9451">
            <v>0</v>
          </cell>
          <cell r="G9451">
            <v>2003</v>
          </cell>
          <cell r="H9451">
            <v>100</v>
          </cell>
          <cell r="I9451">
            <v>128792300000</v>
          </cell>
        </row>
        <row r="9452">
          <cell r="A9452" t="str">
            <v>Saudi Arabia</v>
          </cell>
          <cell r="B9452">
            <v>682</v>
          </cell>
          <cell r="C9452">
            <v>203</v>
          </cell>
          <cell r="D9452">
            <v>22</v>
          </cell>
          <cell r="E9452" t="str">
            <v>Taxes on production and imports, less Subsidies</v>
          </cell>
          <cell r="F9452">
            <v>12</v>
          </cell>
          <cell r="G9452">
            <v>1995</v>
          </cell>
          <cell r="H9452">
            <v>20</v>
          </cell>
          <cell r="I9452">
            <v>1300000000</v>
          </cell>
        </row>
        <row r="9453">
          <cell r="A9453" t="str">
            <v>Saudi Arabia</v>
          </cell>
          <cell r="B9453">
            <v>682</v>
          </cell>
          <cell r="C9453">
            <v>203</v>
          </cell>
          <cell r="D9453">
            <v>22</v>
          </cell>
          <cell r="E9453" t="str">
            <v>Taxes on production and imports, less Subsidies</v>
          </cell>
          <cell r="F9453">
            <v>12</v>
          </cell>
          <cell r="G9453">
            <v>1996</v>
          </cell>
          <cell r="H9453">
            <v>20</v>
          </cell>
          <cell r="I9453">
            <v>1813000000</v>
          </cell>
        </row>
        <row r="9454">
          <cell r="A9454" t="str">
            <v>Saudi Arabia</v>
          </cell>
          <cell r="B9454">
            <v>682</v>
          </cell>
          <cell r="C9454">
            <v>203</v>
          </cell>
          <cell r="D9454">
            <v>22</v>
          </cell>
          <cell r="E9454" t="str">
            <v>Taxes on production and imports, less Subsidies</v>
          </cell>
          <cell r="F9454">
            <v>12</v>
          </cell>
          <cell r="G9454">
            <v>1997</v>
          </cell>
          <cell r="H9454">
            <v>20</v>
          </cell>
          <cell r="I9454">
            <v>4255000000</v>
          </cell>
        </row>
        <row r="9455">
          <cell r="A9455" t="str">
            <v>Saudi Arabia</v>
          </cell>
          <cell r="B9455">
            <v>682</v>
          </cell>
          <cell r="C9455">
            <v>203</v>
          </cell>
          <cell r="D9455">
            <v>22</v>
          </cell>
          <cell r="E9455" t="str">
            <v>Taxes on production and imports, less Subsidies</v>
          </cell>
          <cell r="F9455">
            <v>12</v>
          </cell>
          <cell r="G9455">
            <v>1998</v>
          </cell>
          <cell r="H9455">
            <v>20</v>
          </cell>
          <cell r="I9455">
            <v>23675000000</v>
          </cell>
        </row>
        <row r="9456">
          <cell r="A9456" t="str">
            <v>Saudi Arabia</v>
          </cell>
          <cell r="B9456">
            <v>682</v>
          </cell>
          <cell r="C9456">
            <v>203</v>
          </cell>
          <cell r="D9456">
            <v>22</v>
          </cell>
          <cell r="E9456" t="str">
            <v>Taxes on production and imports, less Subsidies</v>
          </cell>
          <cell r="F9456">
            <v>12</v>
          </cell>
          <cell r="G9456">
            <v>1999</v>
          </cell>
          <cell r="H9456">
            <v>20</v>
          </cell>
          <cell r="I9456">
            <v>22875000000</v>
          </cell>
        </row>
        <row r="9457">
          <cell r="A9457" t="str">
            <v>Saudi Arabia</v>
          </cell>
          <cell r="B9457">
            <v>682</v>
          </cell>
          <cell r="C9457">
            <v>203</v>
          </cell>
          <cell r="D9457">
            <v>22</v>
          </cell>
          <cell r="E9457" t="str">
            <v>Taxes on production and imports, less Subsidies</v>
          </cell>
          <cell r="F9457">
            <v>12</v>
          </cell>
          <cell r="G9457">
            <v>2000</v>
          </cell>
          <cell r="H9457">
            <v>20</v>
          </cell>
          <cell r="I9457">
            <v>21022000000</v>
          </cell>
        </row>
        <row r="9458">
          <cell r="A9458" t="str">
            <v>Saudi Arabia</v>
          </cell>
          <cell r="B9458">
            <v>682</v>
          </cell>
          <cell r="C9458">
            <v>203</v>
          </cell>
          <cell r="D9458">
            <v>22</v>
          </cell>
          <cell r="E9458" t="str">
            <v>Taxes on production and imports, less Subsidies</v>
          </cell>
          <cell r="F9458">
            <v>12</v>
          </cell>
          <cell r="G9458">
            <v>2001</v>
          </cell>
          <cell r="H9458">
            <v>20</v>
          </cell>
          <cell r="I9458">
            <v>18404000000</v>
          </cell>
        </row>
        <row r="9459">
          <cell r="A9459" t="str">
            <v>Saudi Arabia</v>
          </cell>
          <cell r="B9459">
            <v>682</v>
          </cell>
          <cell r="C9459">
            <v>203</v>
          </cell>
          <cell r="D9459">
            <v>22</v>
          </cell>
          <cell r="E9459" t="str">
            <v>Taxes on production and imports, less Subsidies</v>
          </cell>
          <cell r="F9459">
            <v>12</v>
          </cell>
          <cell r="G9459">
            <v>2002</v>
          </cell>
          <cell r="H9459">
            <v>20</v>
          </cell>
          <cell r="I9459">
            <v>19137000000</v>
          </cell>
        </row>
        <row r="9460">
          <cell r="A9460" t="str">
            <v>Sierra Leone</v>
          </cell>
          <cell r="B9460">
            <v>694</v>
          </cell>
          <cell r="C9460">
            <v>201</v>
          </cell>
          <cell r="D9460">
            <v>13</v>
          </cell>
          <cell r="E9460" t="str">
            <v>Less: Financial intermediation services indirectly measured (FISIM) (only to be deducted if FISIM is not distributed to uses)</v>
          </cell>
          <cell r="F9460">
            <v>0</v>
          </cell>
          <cell r="G9460">
            <v>1970</v>
          </cell>
          <cell r="H9460">
            <v>10</v>
          </cell>
          <cell r="I9460">
            <v>3000000</v>
          </cell>
        </row>
        <row r="9461">
          <cell r="A9461" t="str">
            <v>Sierra Leone</v>
          </cell>
          <cell r="B9461">
            <v>694</v>
          </cell>
          <cell r="C9461">
            <v>201</v>
          </cell>
          <cell r="D9461">
            <v>13</v>
          </cell>
          <cell r="E9461" t="str">
            <v>Less: Financial intermediation services indirectly measured (FISIM) (only to be deducted if FISIM is not distributed to uses)</v>
          </cell>
          <cell r="F9461">
            <v>0</v>
          </cell>
          <cell r="G9461">
            <v>1971</v>
          </cell>
          <cell r="H9461">
            <v>10</v>
          </cell>
          <cell r="I9461">
            <v>5000000</v>
          </cell>
        </row>
        <row r="9462">
          <cell r="A9462" t="str">
            <v>Sierra Leone</v>
          </cell>
          <cell r="B9462">
            <v>694</v>
          </cell>
          <cell r="C9462">
            <v>201</v>
          </cell>
          <cell r="D9462">
            <v>13</v>
          </cell>
          <cell r="E9462" t="str">
            <v>Less: Financial intermediation services indirectly measured (FISIM) (only to be deducted if FISIM is not distributed to uses)</v>
          </cell>
          <cell r="F9462">
            <v>0</v>
          </cell>
          <cell r="G9462">
            <v>1972</v>
          </cell>
          <cell r="H9462">
            <v>10</v>
          </cell>
          <cell r="I9462">
            <v>4000000</v>
          </cell>
        </row>
        <row r="9463">
          <cell r="A9463" t="str">
            <v>Sierra Leone</v>
          </cell>
          <cell r="B9463">
            <v>694</v>
          </cell>
          <cell r="C9463">
            <v>201</v>
          </cell>
          <cell r="D9463">
            <v>13</v>
          </cell>
          <cell r="E9463" t="str">
            <v>Less: Financial intermediation services indirectly measured (FISIM) (only to be deducted if FISIM is not distributed to uses)</v>
          </cell>
          <cell r="F9463">
            <v>0</v>
          </cell>
          <cell r="G9463">
            <v>1973</v>
          </cell>
          <cell r="H9463">
            <v>10</v>
          </cell>
          <cell r="I9463">
            <v>6000000</v>
          </cell>
        </row>
        <row r="9464">
          <cell r="A9464" t="str">
            <v>Sierra Leone</v>
          </cell>
          <cell r="B9464">
            <v>694</v>
          </cell>
          <cell r="C9464">
            <v>201</v>
          </cell>
          <cell r="D9464">
            <v>13</v>
          </cell>
          <cell r="E9464" t="str">
            <v>Less: Financial intermediation services indirectly measured (FISIM) (only to be deducted if FISIM is not distributed to uses)</v>
          </cell>
          <cell r="F9464">
            <v>0</v>
          </cell>
          <cell r="G9464">
            <v>1974</v>
          </cell>
          <cell r="H9464">
            <v>10</v>
          </cell>
          <cell r="I9464">
            <v>8000000</v>
          </cell>
        </row>
        <row r="9465">
          <cell r="A9465" t="str">
            <v>Sierra Leone</v>
          </cell>
          <cell r="B9465">
            <v>694</v>
          </cell>
          <cell r="C9465">
            <v>201</v>
          </cell>
          <cell r="D9465">
            <v>13</v>
          </cell>
          <cell r="E9465" t="str">
            <v>Less: Financial intermediation services indirectly measured (FISIM) (only to be deducted if FISIM is not distributed to uses)</v>
          </cell>
          <cell r="F9465">
            <v>0</v>
          </cell>
          <cell r="G9465">
            <v>1975</v>
          </cell>
          <cell r="H9465">
            <v>10</v>
          </cell>
          <cell r="I9465">
            <v>8000000</v>
          </cell>
        </row>
        <row r="9466">
          <cell r="A9466" t="str">
            <v>Sierra Leone</v>
          </cell>
          <cell r="B9466">
            <v>694</v>
          </cell>
          <cell r="C9466">
            <v>201</v>
          </cell>
          <cell r="D9466">
            <v>13</v>
          </cell>
          <cell r="E9466" t="str">
            <v>Less: Financial intermediation services indirectly measured (FISIM) (only to be deducted if FISIM is not distributed to uses)</v>
          </cell>
          <cell r="F9466">
            <v>0</v>
          </cell>
          <cell r="G9466">
            <v>1976</v>
          </cell>
          <cell r="H9466">
            <v>10</v>
          </cell>
          <cell r="I9466">
            <v>7000000</v>
          </cell>
        </row>
        <row r="9467">
          <cell r="A9467" t="str">
            <v>Sierra Leone</v>
          </cell>
          <cell r="B9467">
            <v>694</v>
          </cell>
          <cell r="C9467">
            <v>201</v>
          </cell>
          <cell r="D9467">
            <v>13</v>
          </cell>
          <cell r="E9467" t="str">
            <v>Less: Financial intermediation services indirectly measured (FISIM) (only to be deducted if FISIM is not distributed to uses)</v>
          </cell>
          <cell r="F9467">
            <v>0</v>
          </cell>
          <cell r="G9467">
            <v>1977</v>
          </cell>
          <cell r="H9467">
            <v>10</v>
          </cell>
          <cell r="I9467">
            <v>7000000</v>
          </cell>
        </row>
        <row r="9468">
          <cell r="A9468" t="str">
            <v>Sierra Leone</v>
          </cell>
          <cell r="B9468">
            <v>694</v>
          </cell>
          <cell r="C9468">
            <v>201</v>
          </cell>
          <cell r="D9468">
            <v>13</v>
          </cell>
          <cell r="E9468" t="str">
            <v>Less: Financial intermediation services indirectly measured (FISIM) (only to be deducted if FISIM is not distributed to uses)</v>
          </cell>
          <cell r="F9468">
            <v>0</v>
          </cell>
          <cell r="G9468">
            <v>1978</v>
          </cell>
          <cell r="H9468">
            <v>10</v>
          </cell>
          <cell r="I9468">
            <v>7000000</v>
          </cell>
        </row>
        <row r="9469">
          <cell r="A9469" t="str">
            <v>Sierra Leone</v>
          </cell>
          <cell r="B9469">
            <v>694</v>
          </cell>
          <cell r="C9469">
            <v>201</v>
          </cell>
          <cell r="D9469">
            <v>13</v>
          </cell>
          <cell r="E9469" t="str">
            <v>Less: Financial intermediation services indirectly measured (FISIM) (only to be deducted if FISIM is not distributed to uses)</v>
          </cell>
          <cell r="F9469">
            <v>0</v>
          </cell>
          <cell r="G9469">
            <v>1979</v>
          </cell>
          <cell r="H9469">
            <v>10</v>
          </cell>
          <cell r="I9469">
            <v>7000000</v>
          </cell>
        </row>
        <row r="9470">
          <cell r="A9470" t="str">
            <v>Sierra Leone</v>
          </cell>
          <cell r="B9470">
            <v>694</v>
          </cell>
          <cell r="C9470">
            <v>201</v>
          </cell>
          <cell r="D9470">
            <v>13</v>
          </cell>
          <cell r="E9470" t="str">
            <v>Less: Financial intermediation services indirectly measured (FISIM) (only to be deducted if FISIM is not distributed to uses)</v>
          </cell>
          <cell r="F9470">
            <v>0</v>
          </cell>
          <cell r="G9470">
            <v>1980</v>
          </cell>
          <cell r="H9470">
            <v>10</v>
          </cell>
          <cell r="I9470">
            <v>6000000</v>
          </cell>
        </row>
        <row r="9471">
          <cell r="A9471" t="str">
            <v>Sierra Leone</v>
          </cell>
          <cell r="B9471">
            <v>694</v>
          </cell>
          <cell r="C9471">
            <v>201</v>
          </cell>
          <cell r="D9471">
            <v>13</v>
          </cell>
          <cell r="E9471" t="str">
            <v>Less: Financial intermediation services indirectly measured (FISIM) (only to be deducted if FISIM is not distributed to uses)</v>
          </cell>
          <cell r="F9471">
            <v>0</v>
          </cell>
          <cell r="G9471">
            <v>1981</v>
          </cell>
          <cell r="H9471">
            <v>10</v>
          </cell>
          <cell r="I9471">
            <v>30000000</v>
          </cell>
        </row>
        <row r="9472">
          <cell r="A9472" t="str">
            <v>Sierra Leone</v>
          </cell>
          <cell r="B9472">
            <v>694</v>
          </cell>
          <cell r="C9472">
            <v>201</v>
          </cell>
          <cell r="D9472">
            <v>13</v>
          </cell>
          <cell r="E9472" t="str">
            <v>Less: Financial intermediation services indirectly measured (FISIM) (only to be deducted if FISIM is not distributed to uses)</v>
          </cell>
          <cell r="F9472">
            <v>0</v>
          </cell>
          <cell r="G9472">
            <v>1982</v>
          </cell>
          <cell r="H9472">
            <v>10</v>
          </cell>
          <cell r="I9472">
            <v>32000000</v>
          </cell>
        </row>
        <row r="9473">
          <cell r="A9473" t="str">
            <v>Sierra Leone</v>
          </cell>
          <cell r="B9473">
            <v>694</v>
          </cell>
          <cell r="C9473">
            <v>201</v>
          </cell>
          <cell r="D9473">
            <v>13</v>
          </cell>
          <cell r="E9473" t="str">
            <v>Less: Financial intermediation services indirectly measured (FISIM) (only to be deducted if FISIM is not distributed to uses)</v>
          </cell>
          <cell r="F9473">
            <v>0</v>
          </cell>
          <cell r="G9473">
            <v>1983</v>
          </cell>
          <cell r="H9473">
            <v>10</v>
          </cell>
          <cell r="I9473">
            <v>39000000</v>
          </cell>
        </row>
        <row r="9474">
          <cell r="A9474" t="str">
            <v>Sierra Leone</v>
          </cell>
          <cell r="B9474">
            <v>694</v>
          </cell>
          <cell r="C9474">
            <v>201</v>
          </cell>
          <cell r="D9474">
            <v>13</v>
          </cell>
          <cell r="E9474" t="str">
            <v>Less: Financial intermediation services indirectly measured (FISIM) (only to be deducted if FISIM is not distributed to uses)</v>
          </cell>
          <cell r="F9474">
            <v>0</v>
          </cell>
          <cell r="G9474">
            <v>1984</v>
          </cell>
          <cell r="H9474">
            <v>10</v>
          </cell>
          <cell r="I9474">
            <v>35000000</v>
          </cell>
        </row>
        <row r="9475">
          <cell r="A9475" t="str">
            <v>Sierra Leone</v>
          </cell>
          <cell r="B9475">
            <v>694</v>
          </cell>
          <cell r="C9475">
            <v>201</v>
          </cell>
          <cell r="D9475">
            <v>13</v>
          </cell>
          <cell r="E9475" t="str">
            <v>Less: Financial intermediation services indirectly measured (FISIM) (only to be deducted if FISIM is not distributed to uses)</v>
          </cell>
          <cell r="F9475">
            <v>0</v>
          </cell>
          <cell r="G9475">
            <v>1985</v>
          </cell>
          <cell r="H9475">
            <v>10</v>
          </cell>
          <cell r="I9475">
            <v>58000000</v>
          </cell>
        </row>
        <row r="9476">
          <cell r="A9476" t="str">
            <v>Sierra Leone</v>
          </cell>
          <cell r="B9476">
            <v>694</v>
          </cell>
          <cell r="C9476">
            <v>201</v>
          </cell>
          <cell r="D9476">
            <v>13</v>
          </cell>
          <cell r="E9476" t="str">
            <v>Less: Financial intermediation services indirectly measured (FISIM) (only to be deducted if FISIM is not distributed to uses)</v>
          </cell>
          <cell r="F9476">
            <v>0</v>
          </cell>
          <cell r="G9476">
            <v>1986</v>
          </cell>
          <cell r="H9476">
            <v>10</v>
          </cell>
          <cell r="I9476">
            <v>140000000</v>
          </cell>
        </row>
        <row r="9477">
          <cell r="A9477" t="str">
            <v>Sierra Leone</v>
          </cell>
          <cell r="B9477">
            <v>694</v>
          </cell>
          <cell r="C9477">
            <v>201</v>
          </cell>
          <cell r="D9477">
            <v>13</v>
          </cell>
          <cell r="E9477" t="str">
            <v>Less: Financial intermediation services indirectly measured (FISIM) (only to be deducted if FISIM is not distributed to uses)</v>
          </cell>
          <cell r="F9477">
            <v>0</v>
          </cell>
          <cell r="G9477">
            <v>1987</v>
          </cell>
          <cell r="H9477">
            <v>10</v>
          </cell>
          <cell r="I9477">
            <v>175000000</v>
          </cell>
        </row>
        <row r="9478">
          <cell r="A9478" t="str">
            <v>Sierra Leone</v>
          </cell>
          <cell r="B9478">
            <v>694</v>
          </cell>
          <cell r="C9478">
            <v>201</v>
          </cell>
          <cell r="D9478">
            <v>13</v>
          </cell>
          <cell r="E9478" t="str">
            <v>Less: Financial intermediation services indirectly measured (FISIM) (only to be deducted if FISIM is not distributed to uses)</v>
          </cell>
          <cell r="F9478">
            <v>0</v>
          </cell>
          <cell r="G9478">
            <v>1988</v>
          </cell>
          <cell r="H9478">
            <v>10</v>
          </cell>
          <cell r="I9478">
            <v>192000000</v>
          </cell>
        </row>
        <row r="9479">
          <cell r="A9479" t="str">
            <v>Sierra Leone</v>
          </cell>
          <cell r="B9479">
            <v>694</v>
          </cell>
          <cell r="C9479">
            <v>201</v>
          </cell>
          <cell r="D9479">
            <v>13</v>
          </cell>
          <cell r="E9479" t="str">
            <v>Less: Financial intermediation services indirectly measured (FISIM) (only to be deducted if FISIM is not distributed to uses)</v>
          </cell>
          <cell r="F9479">
            <v>0</v>
          </cell>
          <cell r="G9479">
            <v>1989</v>
          </cell>
          <cell r="H9479">
            <v>10</v>
          </cell>
          <cell r="I9479">
            <v>1606000000</v>
          </cell>
        </row>
        <row r="9480">
          <cell r="A9480" t="str">
            <v>Sierra Leone</v>
          </cell>
          <cell r="B9480">
            <v>694</v>
          </cell>
          <cell r="C9480">
            <v>201</v>
          </cell>
          <cell r="D9480">
            <v>13</v>
          </cell>
          <cell r="E9480" t="str">
            <v>Less: Financial intermediation services indirectly measured (FISIM) (only to be deducted if FISIM is not distributed to uses)</v>
          </cell>
          <cell r="F9480">
            <v>0</v>
          </cell>
          <cell r="G9480">
            <v>1990</v>
          </cell>
          <cell r="H9480">
            <v>10</v>
          </cell>
          <cell r="I9480">
            <v>3658000000</v>
          </cell>
        </row>
        <row r="9481">
          <cell r="A9481" t="str">
            <v>Sierra Leone</v>
          </cell>
          <cell r="B9481">
            <v>694</v>
          </cell>
          <cell r="C9481">
            <v>203</v>
          </cell>
          <cell r="D9481">
            <v>3</v>
          </cell>
          <cell r="E9481" t="str">
            <v>Equals: VALUE ADDED, GROSS, at basic prices</v>
          </cell>
          <cell r="F9481">
            <v>12</v>
          </cell>
          <cell r="G9481">
            <v>1984</v>
          </cell>
          <cell r="H9481">
            <v>10</v>
          </cell>
          <cell r="I9481">
            <v>4688000000</v>
          </cell>
        </row>
        <row r="9482">
          <cell r="A9482" t="str">
            <v>Sierra Leone</v>
          </cell>
          <cell r="B9482">
            <v>694</v>
          </cell>
          <cell r="C9482">
            <v>203</v>
          </cell>
          <cell r="D9482">
            <v>3</v>
          </cell>
          <cell r="E9482" t="str">
            <v>Equals: VALUE ADDED, GROSS, at basic prices</v>
          </cell>
          <cell r="F9482">
            <v>12</v>
          </cell>
          <cell r="G9482">
            <v>1985</v>
          </cell>
          <cell r="H9482">
            <v>10</v>
          </cell>
          <cell r="I9482">
            <v>7327000000</v>
          </cell>
        </row>
        <row r="9483">
          <cell r="A9483" t="str">
            <v>Sierra Leone</v>
          </cell>
          <cell r="B9483">
            <v>694</v>
          </cell>
          <cell r="C9483">
            <v>203</v>
          </cell>
          <cell r="D9483">
            <v>3</v>
          </cell>
          <cell r="E9483" t="str">
            <v>Equals: VALUE ADDED, GROSS, at basic prices</v>
          </cell>
          <cell r="F9483">
            <v>12</v>
          </cell>
          <cell r="G9483">
            <v>1986</v>
          </cell>
          <cell r="H9483">
            <v>10</v>
          </cell>
          <cell r="I9483">
            <v>18929000000</v>
          </cell>
        </row>
        <row r="9484">
          <cell r="A9484" t="str">
            <v>Sierra Leone</v>
          </cell>
          <cell r="B9484">
            <v>694</v>
          </cell>
          <cell r="C9484">
            <v>203</v>
          </cell>
          <cell r="D9484">
            <v>3</v>
          </cell>
          <cell r="E9484" t="str">
            <v>Equals: VALUE ADDED, GROSS, at basic prices</v>
          </cell>
          <cell r="F9484">
            <v>12</v>
          </cell>
          <cell r="G9484">
            <v>1987</v>
          </cell>
          <cell r="H9484">
            <v>10</v>
          </cell>
          <cell r="I9484">
            <v>28166000000</v>
          </cell>
        </row>
        <row r="9485">
          <cell r="A9485" t="str">
            <v>Sierra Leone</v>
          </cell>
          <cell r="B9485">
            <v>694</v>
          </cell>
          <cell r="C9485">
            <v>203</v>
          </cell>
          <cell r="D9485">
            <v>3</v>
          </cell>
          <cell r="E9485" t="str">
            <v>Equals: VALUE ADDED, GROSS, at basic prices</v>
          </cell>
          <cell r="F9485">
            <v>12</v>
          </cell>
          <cell r="G9485">
            <v>1988</v>
          </cell>
          <cell r="H9485">
            <v>10</v>
          </cell>
          <cell r="I9485">
            <v>41701000000</v>
          </cell>
        </row>
        <row r="9486">
          <cell r="A9486" t="str">
            <v>Sierra Leone</v>
          </cell>
          <cell r="B9486">
            <v>694</v>
          </cell>
          <cell r="C9486">
            <v>203</v>
          </cell>
          <cell r="D9486">
            <v>3</v>
          </cell>
          <cell r="E9486" t="str">
            <v>Equals: VALUE ADDED, GROSS, at basic prices</v>
          </cell>
          <cell r="F9486">
            <v>12</v>
          </cell>
          <cell r="G9486">
            <v>1989</v>
          </cell>
          <cell r="H9486">
            <v>10</v>
          </cell>
          <cell r="I9486">
            <v>81151000000</v>
          </cell>
        </row>
        <row r="9487">
          <cell r="A9487" t="str">
            <v>Sierra Leone</v>
          </cell>
          <cell r="B9487">
            <v>694</v>
          </cell>
          <cell r="C9487">
            <v>203</v>
          </cell>
          <cell r="D9487">
            <v>3</v>
          </cell>
          <cell r="E9487" t="str">
            <v>Equals: VALUE ADDED, GROSS, at basic prices</v>
          </cell>
          <cell r="F9487">
            <v>12</v>
          </cell>
          <cell r="G9487">
            <v>1990</v>
          </cell>
          <cell r="H9487">
            <v>10</v>
          </cell>
          <cell r="I9487">
            <v>142019000000</v>
          </cell>
        </row>
        <row r="9488">
          <cell r="A9488" t="str">
            <v>Sierra Leone</v>
          </cell>
          <cell r="B9488">
            <v>694</v>
          </cell>
          <cell r="C9488">
            <v>203</v>
          </cell>
          <cell r="D9488">
            <v>4</v>
          </cell>
          <cell r="E9488" t="str">
            <v>Compensation of employees</v>
          </cell>
          <cell r="F9488">
            <v>12</v>
          </cell>
          <cell r="G9488">
            <v>1970</v>
          </cell>
          <cell r="H9488">
            <v>10</v>
          </cell>
          <cell r="I9488">
            <v>89000000</v>
          </cell>
        </row>
        <row r="9489">
          <cell r="A9489" t="str">
            <v>Sierra Leone</v>
          </cell>
          <cell r="B9489">
            <v>694</v>
          </cell>
          <cell r="C9489">
            <v>203</v>
          </cell>
          <cell r="D9489">
            <v>4</v>
          </cell>
          <cell r="E9489" t="str">
            <v>Compensation of employees</v>
          </cell>
          <cell r="F9489">
            <v>12</v>
          </cell>
          <cell r="G9489">
            <v>1971</v>
          </cell>
          <cell r="H9489">
            <v>10</v>
          </cell>
          <cell r="I9489">
            <v>91000000</v>
          </cell>
        </row>
        <row r="9490">
          <cell r="A9490" t="str">
            <v>Sierra Leone</v>
          </cell>
          <cell r="B9490">
            <v>694</v>
          </cell>
          <cell r="C9490">
            <v>203</v>
          </cell>
          <cell r="D9490">
            <v>4</v>
          </cell>
          <cell r="E9490" t="str">
            <v>Compensation of employees</v>
          </cell>
          <cell r="F9490">
            <v>12</v>
          </cell>
          <cell r="G9490">
            <v>1972</v>
          </cell>
          <cell r="H9490">
            <v>10</v>
          </cell>
          <cell r="I9490">
            <v>97000000</v>
          </cell>
        </row>
        <row r="9491">
          <cell r="A9491" t="str">
            <v>Sierra Leone</v>
          </cell>
          <cell r="B9491">
            <v>694</v>
          </cell>
          <cell r="C9491">
            <v>203</v>
          </cell>
          <cell r="D9491">
            <v>4</v>
          </cell>
          <cell r="E9491" t="str">
            <v>Compensation of employees</v>
          </cell>
          <cell r="F9491">
            <v>12</v>
          </cell>
          <cell r="G9491">
            <v>1973</v>
          </cell>
          <cell r="H9491">
            <v>10</v>
          </cell>
          <cell r="I9491">
            <v>116000000</v>
          </cell>
        </row>
        <row r="9492">
          <cell r="A9492" t="str">
            <v>Sierra Leone</v>
          </cell>
          <cell r="B9492">
            <v>694</v>
          </cell>
          <cell r="C9492">
            <v>203</v>
          </cell>
          <cell r="D9492">
            <v>4</v>
          </cell>
          <cell r="E9492" t="str">
            <v>Compensation of employees</v>
          </cell>
          <cell r="F9492">
            <v>12</v>
          </cell>
          <cell r="G9492">
            <v>1974</v>
          </cell>
          <cell r="H9492">
            <v>10</v>
          </cell>
          <cell r="I9492">
            <v>142000000</v>
          </cell>
        </row>
        <row r="9493">
          <cell r="A9493" t="str">
            <v>Sierra Leone</v>
          </cell>
          <cell r="B9493">
            <v>694</v>
          </cell>
          <cell r="C9493">
            <v>203</v>
          </cell>
          <cell r="D9493">
            <v>4</v>
          </cell>
          <cell r="E9493" t="str">
            <v>Compensation of employees</v>
          </cell>
          <cell r="F9493">
            <v>12</v>
          </cell>
          <cell r="G9493">
            <v>1975</v>
          </cell>
          <cell r="H9493">
            <v>10</v>
          </cell>
          <cell r="I9493">
            <v>157000000</v>
          </cell>
        </row>
        <row r="9494">
          <cell r="A9494" t="str">
            <v>Sierra Leone</v>
          </cell>
          <cell r="B9494">
            <v>694</v>
          </cell>
          <cell r="C9494">
            <v>203</v>
          </cell>
          <cell r="D9494">
            <v>4</v>
          </cell>
          <cell r="E9494" t="str">
            <v>Compensation of employees</v>
          </cell>
          <cell r="F9494">
            <v>12</v>
          </cell>
          <cell r="G9494">
            <v>1976</v>
          </cell>
          <cell r="H9494">
            <v>10</v>
          </cell>
          <cell r="I9494">
            <v>189000000</v>
          </cell>
        </row>
        <row r="9495">
          <cell r="A9495" t="str">
            <v>Sierra Leone</v>
          </cell>
          <cell r="B9495">
            <v>694</v>
          </cell>
          <cell r="C9495">
            <v>203</v>
          </cell>
          <cell r="D9495">
            <v>4</v>
          </cell>
          <cell r="E9495" t="str">
            <v>Compensation of employees</v>
          </cell>
          <cell r="F9495">
            <v>12</v>
          </cell>
          <cell r="G9495">
            <v>1977</v>
          </cell>
          <cell r="H9495">
            <v>10</v>
          </cell>
          <cell r="I9495">
            <v>215000000</v>
          </cell>
        </row>
        <row r="9496">
          <cell r="A9496" t="str">
            <v>Sierra Leone</v>
          </cell>
          <cell r="B9496">
            <v>694</v>
          </cell>
          <cell r="C9496">
            <v>203</v>
          </cell>
          <cell r="D9496">
            <v>4</v>
          </cell>
          <cell r="E9496" t="str">
            <v>Compensation of employees</v>
          </cell>
          <cell r="F9496">
            <v>12</v>
          </cell>
          <cell r="G9496">
            <v>1978</v>
          </cell>
          <cell r="H9496">
            <v>10</v>
          </cell>
          <cell r="I9496">
            <v>254000000</v>
          </cell>
        </row>
        <row r="9497">
          <cell r="A9497" t="str">
            <v>Sierra Leone</v>
          </cell>
          <cell r="B9497">
            <v>694</v>
          </cell>
          <cell r="C9497">
            <v>203</v>
          </cell>
          <cell r="D9497">
            <v>4</v>
          </cell>
          <cell r="E9497" t="str">
            <v>Compensation of employees</v>
          </cell>
          <cell r="F9497">
            <v>12</v>
          </cell>
          <cell r="G9497">
            <v>1979</v>
          </cell>
          <cell r="H9497">
            <v>10</v>
          </cell>
          <cell r="I9497">
            <v>295000000</v>
          </cell>
        </row>
        <row r="9498">
          <cell r="A9498" t="str">
            <v>Sierra Leone</v>
          </cell>
          <cell r="B9498">
            <v>694</v>
          </cell>
          <cell r="C9498">
            <v>203</v>
          </cell>
          <cell r="D9498">
            <v>4</v>
          </cell>
          <cell r="E9498" t="str">
            <v>Compensation of employees</v>
          </cell>
          <cell r="F9498">
            <v>12</v>
          </cell>
          <cell r="G9498">
            <v>1981</v>
          </cell>
          <cell r="H9498">
            <v>10</v>
          </cell>
          <cell r="I9498">
            <v>410000000</v>
          </cell>
        </row>
        <row r="9499">
          <cell r="A9499" t="str">
            <v>Sierra Leone</v>
          </cell>
          <cell r="B9499">
            <v>694</v>
          </cell>
          <cell r="C9499">
            <v>203</v>
          </cell>
          <cell r="D9499">
            <v>4</v>
          </cell>
          <cell r="E9499" t="str">
            <v>Compensation of employees</v>
          </cell>
          <cell r="F9499">
            <v>12</v>
          </cell>
          <cell r="G9499">
            <v>1982</v>
          </cell>
          <cell r="H9499">
            <v>10</v>
          </cell>
          <cell r="I9499">
            <v>489000000</v>
          </cell>
        </row>
        <row r="9500">
          <cell r="A9500" t="str">
            <v>Sierra Leone</v>
          </cell>
          <cell r="B9500">
            <v>694</v>
          </cell>
          <cell r="C9500">
            <v>203</v>
          </cell>
          <cell r="D9500">
            <v>4</v>
          </cell>
          <cell r="E9500" t="str">
            <v>Compensation of employees</v>
          </cell>
          <cell r="F9500">
            <v>12</v>
          </cell>
          <cell r="G9500">
            <v>1983</v>
          </cell>
          <cell r="H9500">
            <v>10</v>
          </cell>
          <cell r="I9500">
            <v>711000000</v>
          </cell>
        </row>
        <row r="9501">
          <cell r="A9501" t="str">
            <v>Sierra Leone</v>
          </cell>
          <cell r="B9501">
            <v>694</v>
          </cell>
          <cell r="C9501">
            <v>203</v>
          </cell>
          <cell r="D9501">
            <v>4</v>
          </cell>
          <cell r="E9501" t="str">
            <v>Compensation of employees</v>
          </cell>
          <cell r="F9501">
            <v>12</v>
          </cell>
          <cell r="G9501">
            <v>1984</v>
          </cell>
          <cell r="H9501">
            <v>10</v>
          </cell>
          <cell r="I9501">
            <v>884000000</v>
          </cell>
        </row>
        <row r="9502">
          <cell r="A9502" t="str">
            <v>Sierra Leone</v>
          </cell>
          <cell r="B9502">
            <v>694</v>
          </cell>
          <cell r="C9502">
            <v>203</v>
          </cell>
          <cell r="D9502">
            <v>4</v>
          </cell>
          <cell r="E9502" t="str">
            <v>Compensation of employees</v>
          </cell>
          <cell r="F9502">
            <v>12</v>
          </cell>
          <cell r="G9502">
            <v>1985</v>
          </cell>
          <cell r="H9502">
            <v>10</v>
          </cell>
          <cell r="I9502">
            <v>1352000000</v>
          </cell>
        </row>
        <row r="9503">
          <cell r="A9503" t="str">
            <v>Sierra Leone</v>
          </cell>
          <cell r="B9503">
            <v>694</v>
          </cell>
          <cell r="C9503">
            <v>203</v>
          </cell>
          <cell r="D9503">
            <v>4</v>
          </cell>
          <cell r="E9503" t="str">
            <v>Compensation of employees</v>
          </cell>
          <cell r="F9503">
            <v>12</v>
          </cell>
          <cell r="G9503">
            <v>1986</v>
          </cell>
          <cell r="H9503">
            <v>10</v>
          </cell>
          <cell r="I9503">
            <v>3209000000</v>
          </cell>
        </row>
        <row r="9504">
          <cell r="A9504" t="str">
            <v>Sierra Leone</v>
          </cell>
          <cell r="B9504">
            <v>694</v>
          </cell>
          <cell r="C9504">
            <v>203</v>
          </cell>
          <cell r="D9504">
            <v>4</v>
          </cell>
          <cell r="E9504" t="str">
            <v>Compensation of employees</v>
          </cell>
          <cell r="F9504">
            <v>12</v>
          </cell>
          <cell r="G9504">
            <v>1987</v>
          </cell>
          <cell r="H9504">
            <v>10</v>
          </cell>
          <cell r="I9504">
            <v>4669000000</v>
          </cell>
        </row>
        <row r="9505">
          <cell r="A9505" t="str">
            <v>Sierra Leone</v>
          </cell>
          <cell r="B9505">
            <v>694</v>
          </cell>
          <cell r="C9505">
            <v>203</v>
          </cell>
          <cell r="D9505">
            <v>4</v>
          </cell>
          <cell r="E9505" t="str">
            <v>Compensation of employees</v>
          </cell>
          <cell r="F9505">
            <v>12</v>
          </cell>
          <cell r="G9505">
            <v>1988</v>
          </cell>
          <cell r="H9505">
            <v>10</v>
          </cell>
          <cell r="I9505">
            <v>6567000000</v>
          </cell>
        </row>
        <row r="9506">
          <cell r="A9506" t="str">
            <v>Sierra Leone</v>
          </cell>
          <cell r="B9506">
            <v>694</v>
          </cell>
          <cell r="C9506">
            <v>203</v>
          </cell>
          <cell r="D9506">
            <v>4</v>
          </cell>
          <cell r="E9506" t="str">
            <v>Compensation of employees</v>
          </cell>
          <cell r="F9506">
            <v>12</v>
          </cell>
          <cell r="G9506">
            <v>1989</v>
          </cell>
          <cell r="H9506">
            <v>10</v>
          </cell>
          <cell r="I9506">
            <v>10594000000</v>
          </cell>
        </row>
        <row r="9507">
          <cell r="A9507" t="str">
            <v>Sierra Leone</v>
          </cell>
          <cell r="B9507">
            <v>694</v>
          </cell>
          <cell r="C9507">
            <v>203</v>
          </cell>
          <cell r="D9507">
            <v>4</v>
          </cell>
          <cell r="E9507" t="str">
            <v>Compensation of employees</v>
          </cell>
          <cell r="F9507">
            <v>12</v>
          </cell>
          <cell r="G9507">
            <v>1990</v>
          </cell>
          <cell r="H9507">
            <v>10</v>
          </cell>
          <cell r="I9507">
            <v>20858000000</v>
          </cell>
        </row>
        <row r="9508">
          <cell r="A9508" t="str">
            <v>Zimbabwe</v>
          </cell>
          <cell r="B9508">
            <v>716</v>
          </cell>
          <cell r="C9508">
            <v>201</v>
          </cell>
          <cell r="D9508">
            <v>13</v>
          </cell>
          <cell r="E9508" t="str">
            <v>Less: Financial intermediation services indirectly measured (FISIM) (only to be deducted if FISIM is not distributed to uses)</v>
          </cell>
          <cell r="F9508">
            <v>0</v>
          </cell>
          <cell r="G9508">
            <v>1970</v>
          </cell>
          <cell r="H9508">
            <v>20</v>
          </cell>
          <cell r="I9508">
            <v>21000000</v>
          </cell>
        </row>
        <row r="9509">
          <cell r="A9509" t="str">
            <v>Zimbabwe</v>
          </cell>
          <cell r="B9509">
            <v>716</v>
          </cell>
          <cell r="C9509">
            <v>201</v>
          </cell>
          <cell r="D9509">
            <v>13</v>
          </cell>
          <cell r="E9509" t="str">
            <v>Less: Financial intermediation services indirectly measured (FISIM) (only to be deducted if FISIM is not distributed to uses)</v>
          </cell>
          <cell r="F9509">
            <v>0</v>
          </cell>
          <cell r="G9509">
            <v>1971</v>
          </cell>
          <cell r="H9509">
            <v>20</v>
          </cell>
          <cell r="I9509">
            <v>23000000</v>
          </cell>
        </row>
        <row r="9510">
          <cell r="A9510" t="str">
            <v>Zimbabwe</v>
          </cell>
          <cell r="B9510">
            <v>716</v>
          </cell>
          <cell r="C9510">
            <v>201</v>
          </cell>
          <cell r="D9510">
            <v>13</v>
          </cell>
          <cell r="E9510" t="str">
            <v>Less: Financial intermediation services indirectly measured (FISIM) (only to be deducted if FISIM is not distributed to uses)</v>
          </cell>
          <cell r="F9510">
            <v>0</v>
          </cell>
          <cell r="G9510">
            <v>1972</v>
          </cell>
          <cell r="H9510">
            <v>20</v>
          </cell>
          <cell r="I9510">
            <v>30000000</v>
          </cell>
        </row>
        <row r="9511">
          <cell r="A9511" t="str">
            <v>Zimbabwe</v>
          </cell>
          <cell r="B9511">
            <v>716</v>
          </cell>
          <cell r="C9511">
            <v>201</v>
          </cell>
          <cell r="D9511">
            <v>13</v>
          </cell>
          <cell r="E9511" t="str">
            <v>Less: Financial intermediation services indirectly measured (FISIM) (only to be deducted if FISIM is not distributed to uses)</v>
          </cell>
          <cell r="F9511">
            <v>0</v>
          </cell>
          <cell r="G9511">
            <v>1973</v>
          </cell>
          <cell r="H9511">
            <v>20</v>
          </cell>
          <cell r="I9511">
            <v>33000000</v>
          </cell>
        </row>
        <row r="9512">
          <cell r="A9512" t="str">
            <v>Zimbabwe</v>
          </cell>
          <cell r="B9512">
            <v>716</v>
          </cell>
          <cell r="C9512">
            <v>201</v>
          </cell>
          <cell r="D9512">
            <v>13</v>
          </cell>
          <cell r="E9512" t="str">
            <v>Less: Financial intermediation services indirectly measured (FISIM) (only to be deducted if FISIM is not distributed to uses)</v>
          </cell>
          <cell r="F9512">
            <v>0</v>
          </cell>
          <cell r="G9512">
            <v>1974</v>
          </cell>
          <cell r="H9512">
            <v>20</v>
          </cell>
          <cell r="I9512">
            <v>42000000</v>
          </cell>
        </row>
        <row r="9513">
          <cell r="A9513" t="str">
            <v>Zimbabwe</v>
          </cell>
          <cell r="B9513">
            <v>716</v>
          </cell>
          <cell r="C9513">
            <v>201</v>
          </cell>
          <cell r="D9513">
            <v>13</v>
          </cell>
          <cell r="E9513" t="str">
            <v>Less: Financial intermediation services indirectly measured (FISIM) (only to be deducted if FISIM is not distributed to uses)</v>
          </cell>
          <cell r="F9513">
            <v>0</v>
          </cell>
          <cell r="G9513">
            <v>1975</v>
          </cell>
          <cell r="H9513">
            <v>20</v>
          </cell>
          <cell r="I9513">
            <v>52000000</v>
          </cell>
        </row>
        <row r="9514">
          <cell r="A9514" t="str">
            <v>Zimbabwe</v>
          </cell>
          <cell r="B9514">
            <v>716</v>
          </cell>
          <cell r="C9514">
            <v>201</v>
          </cell>
          <cell r="D9514">
            <v>13</v>
          </cell>
          <cell r="E9514" t="str">
            <v>Less: Financial intermediation services indirectly measured (FISIM) (only to be deducted if FISIM is not distributed to uses)</v>
          </cell>
          <cell r="F9514">
            <v>0</v>
          </cell>
          <cell r="G9514">
            <v>1976</v>
          </cell>
          <cell r="H9514">
            <v>20</v>
          </cell>
          <cell r="I9514">
            <v>56000000</v>
          </cell>
        </row>
        <row r="9515">
          <cell r="A9515" t="str">
            <v>Zimbabwe</v>
          </cell>
          <cell r="B9515">
            <v>716</v>
          </cell>
          <cell r="C9515">
            <v>201</v>
          </cell>
          <cell r="D9515">
            <v>13</v>
          </cell>
          <cell r="E9515" t="str">
            <v>Less: Financial intermediation services indirectly measured (FISIM) (only to be deducted if FISIM is not distributed to uses)</v>
          </cell>
          <cell r="F9515">
            <v>0</v>
          </cell>
          <cell r="G9515">
            <v>1977</v>
          </cell>
          <cell r="H9515">
            <v>20</v>
          </cell>
          <cell r="I9515">
            <v>65000000</v>
          </cell>
        </row>
        <row r="9516">
          <cell r="A9516" t="str">
            <v>Zimbabwe</v>
          </cell>
          <cell r="B9516">
            <v>716</v>
          </cell>
          <cell r="C9516">
            <v>201</v>
          </cell>
          <cell r="D9516">
            <v>13</v>
          </cell>
          <cell r="E9516" t="str">
            <v>Less: Financial intermediation services indirectly measured (FISIM) (only to be deducted if FISIM is not distributed to uses)</v>
          </cell>
          <cell r="F9516">
            <v>0</v>
          </cell>
          <cell r="G9516">
            <v>1978</v>
          </cell>
          <cell r="H9516">
            <v>20</v>
          </cell>
          <cell r="I9516">
            <v>69000000</v>
          </cell>
        </row>
        <row r="9517">
          <cell r="A9517" t="str">
            <v>Zimbabwe</v>
          </cell>
          <cell r="B9517">
            <v>716</v>
          </cell>
          <cell r="C9517">
            <v>201</v>
          </cell>
          <cell r="D9517">
            <v>13</v>
          </cell>
          <cell r="E9517" t="str">
            <v>Less: Financial intermediation services indirectly measured (FISIM) (only to be deducted if FISIM is not distributed to uses)</v>
          </cell>
          <cell r="F9517">
            <v>0</v>
          </cell>
          <cell r="G9517">
            <v>1979</v>
          </cell>
          <cell r="H9517">
            <v>20</v>
          </cell>
          <cell r="I9517">
            <v>82000000</v>
          </cell>
        </row>
        <row r="9518">
          <cell r="A9518" t="str">
            <v>Zimbabwe</v>
          </cell>
          <cell r="B9518">
            <v>716</v>
          </cell>
          <cell r="C9518">
            <v>201</v>
          </cell>
          <cell r="D9518">
            <v>13</v>
          </cell>
          <cell r="E9518" t="str">
            <v>Less: Financial intermediation services indirectly measured (FISIM) (only to be deducted if FISIM is not distributed to uses)</v>
          </cell>
          <cell r="F9518">
            <v>0</v>
          </cell>
          <cell r="G9518">
            <v>1980</v>
          </cell>
          <cell r="H9518">
            <v>20</v>
          </cell>
          <cell r="I9518">
            <v>108000000</v>
          </cell>
        </row>
        <row r="9519">
          <cell r="A9519" t="str">
            <v>Zimbabwe</v>
          </cell>
          <cell r="B9519">
            <v>716</v>
          </cell>
          <cell r="C9519">
            <v>201</v>
          </cell>
          <cell r="D9519">
            <v>13</v>
          </cell>
          <cell r="E9519" t="str">
            <v>Less: Financial intermediation services indirectly measured (FISIM) (only to be deducted if FISIM is not distributed to uses)</v>
          </cell>
          <cell r="F9519">
            <v>0</v>
          </cell>
          <cell r="G9519">
            <v>1981</v>
          </cell>
          <cell r="H9519">
            <v>20</v>
          </cell>
          <cell r="I9519">
            <v>121000000</v>
          </cell>
        </row>
        <row r="9520">
          <cell r="A9520" t="str">
            <v>Zimbabwe</v>
          </cell>
          <cell r="B9520">
            <v>716</v>
          </cell>
          <cell r="C9520">
            <v>201</v>
          </cell>
          <cell r="D9520">
            <v>13</v>
          </cell>
          <cell r="E9520" t="str">
            <v>Less: Financial intermediation services indirectly measured (FISIM) (only to be deducted if FISIM is not distributed to uses)</v>
          </cell>
          <cell r="F9520">
            <v>0</v>
          </cell>
          <cell r="G9520">
            <v>1982</v>
          </cell>
          <cell r="H9520">
            <v>20</v>
          </cell>
          <cell r="I9520">
            <v>146000000</v>
          </cell>
        </row>
        <row r="9521">
          <cell r="A9521" t="str">
            <v>Zimbabwe</v>
          </cell>
          <cell r="B9521">
            <v>716</v>
          </cell>
          <cell r="C9521">
            <v>201</v>
          </cell>
          <cell r="D9521">
            <v>13</v>
          </cell>
          <cell r="E9521" t="str">
            <v>Less: Financial intermediation services indirectly measured (FISIM) (only to be deducted if FISIM is not distributed to uses)</v>
          </cell>
          <cell r="F9521">
            <v>0</v>
          </cell>
          <cell r="G9521">
            <v>1983</v>
          </cell>
          <cell r="H9521">
            <v>20</v>
          </cell>
          <cell r="I9521">
            <v>173000000</v>
          </cell>
        </row>
        <row r="9522">
          <cell r="A9522" t="str">
            <v>Zimbabwe</v>
          </cell>
          <cell r="B9522">
            <v>716</v>
          </cell>
          <cell r="C9522">
            <v>201</v>
          </cell>
          <cell r="D9522">
            <v>13</v>
          </cell>
          <cell r="E9522" t="str">
            <v>Less: Financial intermediation services indirectly measured (FISIM) (only to be deducted if FISIM is not distributed to uses)</v>
          </cell>
          <cell r="F9522">
            <v>0</v>
          </cell>
          <cell r="G9522">
            <v>1984</v>
          </cell>
          <cell r="H9522">
            <v>20</v>
          </cell>
          <cell r="I9522">
            <v>168000000</v>
          </cell>
        </row>
        <row r="9523">
          <cell r="A9523" t="str">
            <v>Zimbabwe</v>
          </cell>
          <cell r="B9523">
            <v>716</v>
          </cell>
          <cell r="C9523">
            <v>201</v>
          </cell>
          <cell r="D9523">
            <v>13</v>
          </cell>
          <cell r="E9523" t="str">
            <v>Less: Financial intermediation services indirectly measured (FISIM) (only to be deducted if FISIM is not distributed to uses)</v>
          </cell>
          <cell r="F9523">
            <v>0</v>
          </cell>
          <cell r="G9523">
            <v>1985</v>
          </cell>
          <cell r="H9523">
            <v>20</v>
          </cell>
          <cell r="I9523">
            <v>205000000</v>
          </cell>
        </row>
        <row r="9524">
          <cell r="A9524" t="str">
            <v>Zimbabwe</v>
          </cell>
          <cell r="B9524">
            <v>716</v>
          </cell>
          <cell r="C9524">
            <v>201</v>
          </cell>
          <cell r="D9524">
            <v>13</v>
          </cell>
          <cell r="E9524" t="str">
            <v>Less: Financial intermediation services indirectly measured (FISIM) (only to be deducted if FISIM is not distributed to uses)</v>
          </cell>
          <cell r="F9524">
            <v>0</v>
          </cell>
          <cell r="G9524">
            <v>1986</v>
          </cell>
          <cell r="H9524">
            <v>20</v>
          </cell>
          <cell r="I9524">
            <v>233000000</v>
          </cell>
        </row>
        <row r="9525">
          <cell r="A9525" t="str">
            <v>Zimbabwe</v>
          </cell>
          <cell r="B9525">
            <v>716</v>
          </cell>
          <cell r="C9525">
            <v>201</v>
          </cell>
          <cell r="D9525">
            <v>13</v>
          </cell>
          <cell r="E9525" t="str">
            <v>Less: Financial intermediation services indirectly measured (FISIM) (only to be deducted if FISIM is not distributed to uses)</v>
          </cell>
          <cell r="F9525">
            <v>0</v>
          </cell>
          <cell r="G9525">
            <v>1987</v>
          </cell>
          <cell r="H9525">
            <v>20</v>
          </cell>
          <cell r="I9525">
            <v>284000000</v>
          </cell>
        </row>
        <row r="9526">
          <cell r="A9526" t="str">
            <v>Zimbabwe</v>
          </cell>
          <cell r="B9526">
            <v>716</v>
          </cell>
          <cell r="C9526">
            <v>201</v>
          </cell>
          <cell r="D9526">
            <v>13</v>
          </cell>
          <cell r="E9526" t="str">
            <v>Less: Financial intermediation services indirectly measured (FISIM) (only to be deducted if FISIM is not distributed to uses)</v>
          </cell>
          <cell r="F9526">
            <v>0</v>
          </cell>
          <cell r="G9526">
            <v>1988</v>
          </cell>
          <cell r="H9526">
            <v>20</v>
          </cell>
          <cell r="I9526">
            <v>299000000</v>
          </cell>
        </row>
        <row r="9527">
          <cell r="A9527" t="str">
            <v>Zimbabwe</v>
          </cell>
          <cell r="B9527">
            <v>716</v>
          </cell>
          <cell r="C9527">
            <v>201</v>
          </cell>
          <cell r="D9527">
            <v>13</v>
          </cell>
          <cell r="E9527" t="str">
            <v>Less: Financial intermediation services indirectly measured (FISIM) (only to be deducted if FISIM is not distributed to uses)</v>
          </cell>
          <cell r="F9527">
            <v>0</v>
          </cell>
          <cell r="G9527">
            <v>1989</v>
          </cell>
          <cell r="H9527">
            <v>20</v>
          </cell>
          <cell r="I9527">
            <v>338000000</v>
          </cell>
        </row>
        <row r="9528">
          <cell r="A9528" t="str">
            <v>Zimbabwe</v>
          </cell>
          <cell r="B9528">
            <v>716</v>
          </cell>
          <cell r="C9528">
            <v>201</v>
          </cell>
          <cell r="D9528">
            <v>13</v>
          </cell>
          <cell r="E9528" t="str">
            <v>Less: Financial intermediation services indirectly measured (FISIM) (only to be deducted if FISIM is not distributed to uses)</v>
          </cell>
          <cell r="F9528">
            <v>0</v>
          </cell>
          <cell r="G9528">
            <v>1990</v>
          </cell>
          <cell r="H9528">
            <v>20</v>
          </cell>
          <cell r="I9528">
            <v>425000000</v>
          </cell>
        </row>
        <row r="9529">
          <cell r="A9529" t="str">
            <v>Zimbabwe</v>
          </cell>
          <cell r="B9529">
            <v>716</v>
          </cell>
          <cell r="C9529">
            <v>201</v>
          </cell>
          <cell r="D9529">
            <v>13</v>
          </cell>
          <cell r="E9529" t="str">
            <v>Less: Financial intermediation services indirectly measured (FISIM) (only to be deducted if FISIM is not distributed to uses)</v>
          </cell>
          <cell r="F9529">
            <v>0</v>
          </cell>
          <cell r="G9529">
            <v>1991</v>
          </cell>
          <cell r="H9529">
            <v>20</v>
          </cell>
          <cell r="I9529">
            <v>590000000</v>
          </cell>
        </row>
        <row r="9530">
          <cell r="A9530" t="str">
            <v>Zimbabwe</v>
          </cell>
          <cell r="B9530">
            <v>716</v>
          </cell>
          <cell r="C9530">
            <v>201</v>
          </cell>
          <cell r="D9530">
            <v>13</v>
          </cell>
          <cell r="E9530" t="str">
            <v>Less: Financial intermediation services indirectly measured (FISIM) (only to be deducted if FISIM is not distributed to uses)</v>
          </cell>
          <cell r="F9530">
            <v>0</v>
          </cell>
          <cell r="G9530">
            <v>1992</v>
          </cell>
          <cell r="H9530">
            <v>20</v>
          </cell>
          <cell r="I9530">
            <v>522000000</v>
          </cell>
        </row>
        <row r="9531">
          <cell r="A9531" t="str">
            <v>Zimbabwe</v>
          </cell>
          <cell r="B9531">
            <v>716</v>
          </cell>
          <cell r="C9531">
            <v>201</v>
          </cell>
          <cell r="D9531">
            <v>13</v>
          </cell>
          <cell r="E9531" t="str">
            <v>Less: Financial intermediation services indirectly measured (FISIM) (only to be deducted if FISIM is not distributed to uses)</v>
          </cell>
          <cell r="F9531">
            <v>0</v>
          </cell>
          <cell r="G9531">
            <v>1993</v>
          </cell>
          <cell r="H9531">
            <v>20</v>
          </cell>
          <cell r="I9531">
            <v>833000000</v>
          </cell>
        </row>
        <row r="9532">
          <cell r="A9532" t="str">
            <v>Zimbabwe</v>
          </cell>
          <cell r="B9532">
            <v>716</v>
          </cell>
          <cell r="C9532">
            <v>201</v>
          </cell>
          <cell r="D9532">
            <v>13</v>
          </cell>
          <cell r="E9532" t="str">
            <v>Less: Financial intermediation services indirectly measured (FISIM) (only to be deducted if FISIM is not distributed to uses)</v>
          </cell>
          <cell r="F9532">
            <v>0</v>
          </cell>
          <cell r="G9532">
            <v>1994</v>
          </cell>
          <cell r="H9532">
            <v>20</v>
          </cell>
          <cell r="I9532">
            <v>1289000000</v>
          </cell>
        </row>
        <row r="9533">
          <cell r="A9533" t="str">
            <v>Zimbabwe</v>
          </cell>
          <cell r="B9533">
            <v>716</v>
          </cell>
          <cell r="C9533">
            <v>201</v>
          </cell>
          <cell r="D9533">
            <v>13</v>
          </cell>
          <cell r="E9533" t="str">
            <v>Less: Financial intermediation services indirectly measured (FISIM) (only to be deducted if FISIM is not distributed to uses)</v>
          </cell>
          <cell r="F9533">
            <v>0</v>
          </cell>
          <cell r="G9533">
            <v>1995</v>
          </cell>
          <cell r="H9533">
            <v>20</v>
          </cell>
          <cell r="I9533">
            <v>1093000000</v>
          </cell>
        </row>
        <row r="9534">
          <cell r="A9534" t="str">
            <v>Zimbabwe</v>
          </cell>
          <cell r="B9534">
            <v>716</v>
          </cell>
          <cell r="C9534">
            <v>201</v>
          </cell>
          <cell r="D9534">
            <v>13</v>
          </cell>
          <cell r="E9534" t="str">
            <v>Less: Financial intermediation services indirectly measured (FISIM) (only to be deducted if FISIM is not distributed to uses)</v>
          </cell>
          <cell r="F9534">
            <v>0</v>
          </cell>
          <cell r="G9534">
            <v>1996</v>
          </cell>
          <cell r="H9534">
            <v>20</v>
          </cell>
          <cell r="I9534">
            <v>1574000000</v>
          </cell>
        </row>
        <row r="9535">
          <cell r="A9535" t="str">
            <v>Zimbabwe</v>
          </cell>
          <cell r="B9535">
            <v>716</v>
          </cell>
          <cell r="C9535">
            <v>201</v>
          </cell>
          <cell r="D9535">
            <v>13</v>
          </cell>
          <cell r="E9535" t="str">
            <v>Less: Financial intermediation services indirectly measured (FISIM) (only to be deducted if FISIM is not distributed to uses)</v>
          </cell>
          <cell r="F9535">
            <v>0</v>
          </cell>
          <cell r="G9535">
            <v>1997</v>
          </cell>
          <cell r="H9535">
            <v>20</v>
          </cell>
          <cell r="I9535">
            <v>3051000000</v>
          </cell>
        </row>
        <row r="9536">
          <cell r="A9536" t="str">
            <v>Zimbabwe</v>
          </cell>
          <cell r="B9536">
            <v>716</v>
          </cell>
          <cell r="C9536">
            <v>201</v>
          </cell>
          <cell r="D9536">
            <v>13</v>
          </cell>
          <cell r="E9536" t="str">
            <v>Less: Financial intermediation services indirectly measured (FISIM) (only to be deducted if FISIM is not distributed to uses)</v>
          </cell>
          <cell r="F9536">
            <v>0</v>
          </cell>
          <cell r="G9536">
            <v>1998</v>
          </cell>
          <cell r="H9536">
            <v>20</v>
          </cell>
          <cell r="I9536">
            <v>5730000000</v>
          </cell>
        </row>
        <row r="9537">
          <cell r="A9537" t="str">
            <v>Zimbabwe</v>
          </cell>
          <cell r="B9537">
            <v>716</v>
          </cell>
          <cell r="C9537">
            <v>201</v>
          </cell>
          <cell r="D9537">
            <v>13</v>
          </cell>
          <cell r="E9537" t="str">
            <v>Less: Financial intermediation services indirectly measured (FISIM) (only to be deducted if FISIM is not distributed to uses)</v>
          </cell>
          <cell r="F9537">
            <v>0</v>
          </cell>
          <cell r="G9537">
            <v>1999</v>
          </cell>
          <cell r="H9537">
            <v>20</v>
          </cell>
          <cell r="I9537">
            <v>10424000000</v>
          </cell>
        </row>
        <row r="9538">
          <cell r="A9538" t="str">
            <v>Zimbabwe</v>
          </cell>
          <cell r="B9538">
            <v>716</v>
          </cell>
          <cell r="C9538">
            <v>201</v>
          </cell>
          <cell r="D9538">
            <v>13</v>
          </cell>
          <cell r="E9538" t="str">
            <v>Less: Financial intermediation services indirectly measured (FISIM) (only to be deducted if FISIM is not distributed to uses)</v>
          </cell>
          <cell r="F9538">
            <v>0</v>
          </cell>
          <cell r="G9538">
            <v>2000</v>
          </cell>
          <cell r="H9538">
            <v>20</v>
          </cell>
          <cell r="I9538">
            <v>20468000000</v>
          </cell>
        </row>
        <row r="9539">
          <cell r="A9539" t="str">
            <v>Zimbabwe</v>
          </cell>
          <cell r="B9539">
            <v>716</v>
          </cell>
          <cell r="C9539">
            <v>201</v>
          </cell>
          <cell r="D9539">
            <v>13</v>
          </cell>
          <cell r="E9539" t="str">
            <v>Less: Financial intermediation services indirectly measured (FISIM) (only to be deducted if FISIM is not distributed to uses)</v>
          </cell>
          <cell r="F9539">
            <v>0</v>
          </cell>
          <cell r="G9539">
            <v>2001</v>
          </cell>
          <cell r="H9539">
            <v>20</v>
          </cell>
          <cell r="I9539">
            <v>41892000000</v>
          </cell>
        </row>
        <row r="9540">
          <cell r="A9540" t="str">
            <v>Zimbabwe</v>
          </cell>
          <cell r="B9540">
            <v>716</v>
          </cell>
          <cell r="C9540">
            <v>201</v>
          </cell>
          <cell r="D9540">
            <v>13</v>
          </cell>
          <cell r="E9540" t="str">
            <v>Less: Financial intermediation services indirectly measured (FISIM) (only to be deducted if FISIM is not distributed to uses)</v>
          </cell>
          <cell r="F9540">
            <v>0</v>
          </cell>
          <cell r="G9540">
            <v>2002</v>
          </cell>
          <cell r="H9540">
            <v>20</v>
          </cell>
          <cell r="I9540">
            <v>81771000000</v>
          </cell>
        </row>
        <row r="9541">
          <cell r="A9541" t="str">
            <v>Zimbabwe</v>
          </cell>
          <cell r="B9541">
            <v>716</v>
          </cell>
          <cell r="C9541">
            <v>201</v>
          </cell>
          <cell r="D9541">
            <v>13</v>
          </cell>
          <cell r="E9541" t="str">
            <v>Less: Financial intermediation services indirectly measured (FISIM) (only to be deducted if FISIM is not distributed to uses)</v>
          </cell>
          <cell r="F9541">
            <v>0</v>
          </cell>
          <cell r="G9541">
            <v>2003</v>
          </cell>
          <cell r="H9541">
            <v>20</v>
          </cell>
          <cell r="I9541">
            <v>164248000000</v>
          </cell>
        </row>
        <row r="9542">
          <cell r="A9542" t="str">
            <v>Sierra Leone</v>
          </cell>
          <cell r="B9542">
            <v>694</v>
          </cell>
          <cell r="C9542">
            <v>203</v>
          </cell>
          <cell r="D9542">
            <v>11</v>
          </cell>
          <cell r="E9542" t="str">
            <v>OPERATING SURPLUS, GROSS</v>
          </cell>
          <cell r="F9542">
            <v>12</v>
          </cell>
          <cell r="G9542">
            <v>1970</v>
          </cell>
          <cell r="H9542">
            <v>10</v>
          </cell>
          <cell r="I9542">
            <v>231000000</v>
          </cell>
        </row>
        <row r="9543">
          <cell r="A9543" t="str">
            <v>Sierra Leone</v>
          </cell>
          <cell r="B9543">
            <v>694</v>
          </cell>
          <cell r="C9543">
            <v>203</v>
          </cell>
          <cell r="D9543">
            <v>11</v>
          </cell>
          <cell r="E9543" t="str">
            <v>OPERATING SURPLUS, GROSS</v>
          </cell>
          <cell r="F9543">
            <v>12</v>
          </cell>
          <cell r="G9543">
            <v>1971</v>
          </cell>
          <cell r="H9543">
            <v>10</v>
          </cell>
          <cell r="I9543">
            <v>234000000</v>
          </cell>
        </row>
        <row r="9544">
          <cell r="A9544" t="str">
            <v>Sierra Leone</v>
          </cell>
          <cell r="B9544">
            <v>694</v>
          </cell>
          <cell r="C9544">
            <v>203</v>
          </cell>
          <cell r="D9544">
            <v>11</v>
          </cell>
          <cell r="E9544" t="str">
            <v>OPERATING SURPLUS, GROSS</v>
          </cell>
          <cell r="F9544">
            <v>12</v>
          </cell>
          <cell r="G9544">
            <v>1972</v>
          </cell>
          <cell r="H9544">
            <v>10</v>
          </cell>
          <cell r="I9544">
            <v>260000000</v>
          </cell>
        </row>
        <row r="9545">
          <cell r="A9545" t="str">
            <v>Sierra Leone</v>
          </cell>
          <cell r="B9545">
            <v>694</v>
          </cell>
          <cell r="C9545">
            <v>203</v>
          </cell>
          <cell r="D9545">
            <v>11</v>
          </cell>
          <cell r="E9545" t="str">
            <v>OPERATING SURPLUS, GROSS</v>
          </cell>
          <cell r="F9545">
            <v>12</v>
          </cell>
          <cell r="G9545">
            <v>1973</v>
          </cell>
          <cell r="H9545">
            <v>10</v>
          </cell>
          <cell r="I9545">
            <v>316000000</v>
          </cell>
        </row>
        <row r="9546">
          <cell r="A9546" t="str">
            <v>Sierra Leone</v>
          </cell>
          <cell r="B9546">
            <v>694</v>
          </cell>
          <cell r="C9546">
            <v>203</v>
          </cell>
          <cell r="D9546">
            <v>11</v>
          </cell>
          <cell r="E9546" t="str">
            <v>OPERATING SURPLUS, GROSS</v>
          </cell>
          <cell r="F9546">
            <v>12</v>
          </cell>
          <cell r="G9546">
            <v>1974</v>
          </cell>
          <cell r="H9546">
            <v>10</v>
          </cell>
          <cell r="I9546">
            <v>388000000</v>
          </cell>
        </row>
        <row r="9547">
          <cell r="A9547" t="str">
            <v>Sierra Leone</v>
          </cell>
          <cell r="B9547">
            <v>694</v>
          </cell>
          <cell r="C9547">
            <v>203</v>
          </cell>
          <cell r="D9547">
            <v>11</v>
          </cell>
          <cell r="E9547" t="str">
            <v>OPERATING SURPLUS, GROSS</v>
          </cell>
          <cell r="F9547">
            <v>12</v>
          </cell>
          <cell r="G9547">
            <v>1975</v>
          </cell>
          <cell r="H9547">
            <v>10</v>
          </cell>
          <cell r="I9547">
            <v>410000000</v>
          </cell>
        </row>
        <row r="9548">
          <cell r="A9548" t="str">
            <v>Sierra Leone</v>
          </cell>
          <cell r="B9548">
            <v>694</v>
          </cell>
          <cell r="C9548">
            <v>203</v>
          </cell>
          <cell r="D9548">
            <v>11</v>
          </cell>
          <cell r="E9548" t="str">
            <v>OPERATING SURPLUS, GROSS</v>
          </cell>
          <cell r="F9548">
            <v>12</v>
          </cell>
          <cell r="G9548">
            <v>1976</v>
          </cell>
          <cell r="H9548">
            <v>10</v>
          </cell>
          <cell r="I9548">
            <v>486000000</v>
          </cell>
        </row>
        <row r="9549">
          <cell r="A9549" t="str">
            <v>Sierra Leone</v>
          </cell>
          <cell r="B9549">
            <v>694</v>
          </cell>
          <cell r="C9549">
            <v>203</v>
          </cell>
          <cell r="D9549">
            <v>11</v>
          </cell>
          <cell r="E9549" t="str">
            <v>OPERATING SURPLUS, GROSS</v>
          </cell>
          <cell r="F9549">
            <v>12</v>
          </cell>
          <cell r="G9549">
            <v>1977</v>
          </cell>
          <cell r="H9549">
            <v>10</v>
          </cell>
          <cell r="I9549">
            <v>543000000</v>
          </cell>
        </row>
        <row r="9550">
          <cell r="A9550" t="str">
            <v>Sierra Leone</v>
          </cell>
          <cell r="B9550">
            <v>694</v>
          </cell>
          <cell r="C9550">
            <v>203</v>
          </cell>
          <cell r="D9550">
            <v>11</v>
          </cell>
          <cell r="E9550" t="str">
            <v>OPERATING SURPLUS, GROSS</v>
          </cell>
          <cell r="F9550">
            <v>12</v>
          </cell>
          <cell r="G9550">
            <v>1978</v>
          </cell>
          <cell r="H9550">
            <v>10</v>
          </cell>
          <cell r="I9550">
            <v>685000000</v>
          </cell>
        </row>
        <row r="9551">
          <cell r="A9551" t="str">
            <v>Sierra Leone</v>
          </cell>
          <cell r="B9551">
            <v>694</v>
          </cell>
          <cell r="C9551">
            <v>203</v>
          </cell>
          <cell r="D9551">
            <v>11</v>
          </cell>
          <cell r="E9551" t="str">
            <v>OPERATING SURPLUS, GROSS</v>
          </cell>
          <cell r="F9551">
            <v>12</v>
          </cell>
          <cell r="G9551">
            <v>1979</v>
          </cell>
          <cell r="H9551">
            <v>10</v>
          </cell>
          <cell r="I9551">
            <v>775000000</v>
          </cell>
        </row>
        <row r="9552">
          <cell r="A9552" t="str">
            <v>Sierra Leone</v>
          </cell>
          <cell r="B9552">
            <v>694</v>
          </cell>
          <cell r="C9552">
            <v>203</v>
          </cell>
          <cell r="D9552">
            <v>11</v>
          </cell>
          <cell r="E9552" t="str">
            <v>OPERATING SURPLUS, GROSS</v>
          </cell>
          <cell r="F9552">
            <v>12</v>
          </cell>
          <cell r="G9552">
            <v>1981</v>
          </cell>
          <cell r="H9552">
            <v>10</v>
          </cell>
          <cell r="I9552">
            <v>1125000000</v>
          </cell>
        </row>
        <row r="9553">
          <cell r="A9553" t="str">
            <v>Sierra Leone</v>
          </cell>
          <cell r="B9553">
            <v>694</v>
          </cell>
          <cell r="C9553">
            <v>203</v>
          </cell>
          <cell r="D9553">
            <v>11</v>
          </cell>
          <cell r="E9553" t="str">
            <v>OPERATING SURPLUS, GROSS</v>
          </cell>
          <cell r="F9553">
            <v>12</v>
          </cell>
          <cell r="G9553">
            <v>1982</v>
          </cell>
          <cell r="H9553">
            <v>10</v>
          </cell>
          <cell r="I9553">
            <v>1343000000</v>
          </cell>
        </row>
        <row r="9554">
          <cell r="A9554" t="str">
            <v>Sierra Leone</v>
          </cell>
          <cell r="B9554">
            <v>694</v>
          </cell>
          <cell r="C9554">
            <v>203</v>
          </cell>
          <cell r="D9554">
            <v>11</v>
          </cell>
          <cell r="E9554" t="str">
            <v>OPERATING SURPLUS, GROSS</v>
          </cell>
          <cell r="F9554">
            <v>12</v>
          </cell>
          <cell r="G9554">
            <v>1983</v>
          </cell>
          <cell r="H9554">
            <v>10</v>
          </cell>
          <cell r="I9554">
            <v>1953000000</v>
          </cell>
        </row>
        <row r="9555">
          <cell r="A9555" t="str">
            <v>Sierra Leone</v>
          </cell>
          <cell r="B9555">
            <v>694</v>
          </cell>
          <cell r="C9555">
            <v>203</v>
          </cell>
          <cell r="D9555">
            <v>11</v>
          </cell>
          <cell r="E9555" t="str">
            <v>OPERATING SURPLUS, GROSS</v>
          </cell>
          <cell r="F9555">
            <v>12</v>
          </cell>
          <cell r="G9555">
            <v>1988</v>
          </cell>
          <cell r="H9555">
            <v>10</v>
          </cell>
          <cell r="I9555">
            <v>35133000000</v>
          </cell>
        </row>
        <row r="9556">
          <cell r="A9556" t="str">
            <v>Sierra Leone</v>
          </cell>
          <cell r="B9556">
            <v>694</v>
          </cell>
          <cell r="C9556">
            <v>203</v>
          </cell>
          <cell r="D9556">
            <v>11</v>
          </cell>
          <cell r="E9556" t="str">
            <v>OPERATING SURPLUS, GROSS</v>
          </cell>
          <cell r="F9556">
            <v>12</v>
          </cell>
          <cell r="G9556">
            <v>1989</v>
          </cell>
          <cell r="H9556">
            <v>10</v>
          </cell>
          <cell r="I9556">
            <v>70556000000</v>
          </cell>
        </row>
        <row r="9557">
          <cell r="A9557" t="str">
            <v>Sierra Leone</v>
          </cell>
          <cell r="B9557">
            <v>694</v>
          </cell>
          <cell r="C9557">
            <v>203</v>
          </cell>
          <cell r="D9557">
            <v>11</v>
          </cell>
          <cell r="E9557" t="str">
            <v>OPERATING SURPLUS, GROSS</v>
          </cell>
          <cell r="F9557">
            <v>12</v>
          </cell>
          <cell r="G9557">
            <v>1990</v>
          </cell>
          <cell r="H9557">
            <v>10</v>
          </cell>
          <cell r="I9557">
            <v>121160000000</v>
          </cell>
        </row>
        <row r="9558">
          <cell r="A9558" t="str">
            <v>Sierra Leone</v>
          </cell>
          <cell r="B9558">
            <v>694</v>
          </cell>
          <cell r="C9558">
            <v>203</v>
          </cell>
          <cell r="D9558">
            <v>22</v>
          </cell>
          <cell r="E9558" t="str">
            <v>Taxes on production and imports, less Subsidies</v>
          </cell>
          <cell r="F9558">
            <v>12</v>
          </cell>
          <cell r="G9558">
            <v>1970</v>
          </cell>
          <cell r="H9558">
            <v>10</v>
          </cell>
          <cell r="I9558">
            <v>13000000</v>
          </cell>
        </row>
        <row r="9559">
          <cell r="A9559" t="str">
            <v>Sierra Leone</v>
          </cell>
          <cell r="B9559">
            <v>694</v>
          </cell>
          <cell r="C9559">
            <v>203</v>
          </cell>
          <cell r="D9559">
            <v>22</v>
          </cell>
          <cell r="E9559" t="str">
            <v>Taxes on production and imports, less Subsidies</v>
          </cell>
          <cell r="F9559">
            <v>12</v>
          </cell>
          <cell r="G9559">
            <v>1971</v>
          </cell>
          <cell r="H9559">
            <v>10</v>
          </cell>
          <cell r="I9559">
            <v>14000000</v>
          </cell>
        </row>
        <row r="9560">
          <cell r="A9560" t="str">
            <v>Sierra Leone</v>
          </cell>
          <cell r="B9560">
            <v>694</v>
          </cell>
          <cell r="C9560">
            <v>203</v>
          </cell>
          <cell r="D9560">
            <v>22</v>
          </cell>
          <cell r="E9560" t="str">
            <v>Taxes on production and imports, less Subsidies</v>
          </cell>
          <cell r="F9560">
            <v>12</v>
          </cell>
          <cell r="G9560">
            <v>1972</v>
          </cell>
          <cell r="H9560">
            <v>10</v>
          </cell>
          <cell r="I9560">
            <v>17000000</v>
          </cell>
        </row>
        <row r="9561">
          <cell r="A9561" t="str">
            <v>Sierra Leone</v>
          </cell>
          <cell r="B9561">
            <v>694</v>
          </cell>
          <cell r="C9561">
            <v>203</v>
          </cell>
          <cell r="D9561">
            <v>22</v>
          </cell>
          <cell r="E9561" t="str">
            <v>Taxes on production and imports, less Subsidies</v>
          </cell>
          <cell r="F9561">
            <v>12</v>
          </cell>
          <cell r="G9561">
            <v>1973</v>
          </cell>
          <cell r="H9561">
            <v>10</v>
          </cell>
          <cell r="I9561">
            <v>22000000</v>
          </cell>
        </row>
        <row r="9562">
          <cell r="A9562" t="str">
            <v>Sierra Leone</v>
          </cell>
          <cell r="B9562">
            <v>694</v>
          </cell>
          <cell r="C9562">
            <v>203</v>
          </cell>
          <cell r="D9562">
            <v>22</v>
          </cell>
          <cell r="E9562" t="str">
            <v>Taxes on production and imports, less Subsidies</v>
          </cell>
          <cell r="F9562">
            <v>12</v>
          </cell>
          <cell r="G9562">
            <v>1974</v>
          </cell>
          <cell r="H9562">
            <v>10</v>
          </cell>
          <cell r="I9562">
            <v>22000000</v>
          </cell>
        </row>
        <row r="9563">
          <cell r="A9563" t="str">
            <v>Sierra Leone</v>
          </cell>
          <cell r="B9563">
            <v>694</v>
          </cell>
          <cell r="C9563">
            <v>203</v>
          </cell>
          <cell r="D9563">
            <v>22</v>
          </cell>
          <cell r="E9563" t="str">
            <v>Taxes on production and imports, less Subsidies</v>
          </cell>
          <cell r="F9563">
            <v>12</v>
          </cell>
          <cell r="G9563">
            <v>1975</v>
          </cell>
          <cell r="H9563">
            <v>10</v>
          </cell>
          <cell r="I9563">
            <v>26000000</v>
          </cell>
        </row>
        <row r="9564">
          <cell r="A9564" t="str">
            <v>Sierra Leone</v>
          </cell>
          <cell r="B9564">
            <v>694</v>
          </cell>
          <cell r="C9564">
            <v>203</v>
          </cell>
          <cell r="D9564">
            <v>22</v>
          </cell>
          <cell r="E9564" t="str">
            <v>Taxes on production and imports, less Subsidies</v>
          </cell>
          <cell r="F9564">
            <v>12</v>
          </cell>
          <cell r="G9564">
            <v>1976</v>
          </cell>
          <cell r="H9564">
            <v>10</v>
          </cell>
          <cell r="I9564">
            <v>41000000</v>
          </cell>
        </row>
        <row r="9565">
          <cell r="A9565" t="str">
            <v>Sierra Leone</v>
          </cell>
          <cell r="B9565">
            <v>694</v>
          </cell>
          <cell r="C9565">
            <v>203</v>
          </cell>
          <cell r="D9565">
            <v>22</v>
          </cell>
          <cell r="E9565" t="str">
            <v>Taxes on production and imports, less Subsidies</v>
          </cell>
          <cell r="F9565">
            <v>12</v>
          </cell>
          <cell r="G9565">
            <v>1978</v>
          </cell>
          <cell r="H9565">
            <v>10</v>
          </cell>
          <cell r="I9565">
            <v>47000000</v>
          </cell>
        </row>
        <row r="9566">
          <cell r="A9566" t="str">
            <v>Sierra Leone</v>
          </cell>
          <cell r="B9566">
            <v>694</v>
          </cell>
          <cell r="C9566">
            <v>203</v>
          </cell>
          <cell r="D9566">
            <v>22</v>
          </cell>
          <cell r="E9566" t="str">
            <v>Taxes on production and imports, less Subsidies</v>
          </cell>
          <cell r="F9566">
            <v>12</v>
          </cell>
          <cell r="G9566">
            <v>1979</v>
          </cell>
          <cell r="H9566">
            <v>10</v>
          </cell>
          <cell r="I9566">
            <v>50000000</v>
          </cell>
        </row>
        <row r="9567">
          <cell r="A9567" t="str">
            <v>Sierra Leone</v>
          </cell>
          <cell r="B9567">
            <v>694</v>
          </cell>
          <cell r="C9567">
            <v>203</v>
          </cell>
          <cell r="D9567">
            <v>22</v>
          </cell>
          <cell r="E9567" t="str">
            <v>Taxes on production and imports, less Subsidies</v>
          </cell>
          <cell r="F9567">
            <v>12</v>
          </cell>
          <cell r="G9567">
            <v>1981</v>
          </cell>
          <cell r="H9567">
            <v>10</v>
          </cell>
          <cell r="I9567">
            <v>60000000</v>
          </cell>
        </row>
        <row r="9568">
          <cell r="A9568" t="str">
            <v>Sierra Leone</v>
          </cell>
          <cell r="B9568">
            <v>694</v>
          </cell>
          <cell r="C9568">
            <v>203</v>
          </cell>
          <cell r="D9568">
            <v>22</v>
          </cell>
          <cell r="E9568" t="str">
            <v>Taxes on production and imports, less Subsidies</v>
          </cell>
          <cell r="F9568">
            <v>12</v>
          </cell>
          <cell r="G9568">
            <v>1982</v>
          </cell>
          <cell r="H9568">
            <v>10</v>
          </cell>
          <cell r="I9568">
            <v>45000000</v>
          </cell>
        </row>
        <row r="9569">
          <cell r="A9569" t="str">
            <v>Sierra Leone</v>
          </cell>
          <cell r="B9569">
            <v>694</v>
          </cell>
          <cell r="C9569">
            <v>203</v>
          </cell>
          <cell r="D9569">
            <v>22</v>
          </cell>
          <cell r="E9569" t="str">
            <v>Taxes on production and imports, less Subsidies</v>
          </cell>
          <cell r="F9569">
            <v>12</v>
          </cell>
          <cell r="G9569">
            <v>1983</v>
          </cell>
          <cell r="H9569">
            <v>10</v>
          </cell>
          <cell r="I9569">
            <v>60000000</v>
          </cell>
        </row>
        <row r="9570">
          <cell r="A9570" t="str">
            <v>Sierra Leone</v>
          </cell>
          <cell r="B9570">
            <v>694</v>
          </cell>
          <cell r="C9570">
            <v>203</v>
          </cell>
          <cell r="D9570">
            <v>22</v>
          </cell>
          <cell r="E9570" t="str">
            <v>Taxes on production and imports, less Subsidies</v>
          </cell>
          <cell r="F9570">
            <v>12</v>
          </cell>
          <cell r="G9570">
            <v>1988</v>
          </cell>
          <cell r="H9570">
            <v>10</v>
          </cell>
          <cell r="I9570">
            <v>664000000</v>
          </cell>
        </row>
        <row r="9571">
          <cell r="A9571" t="str">
            <v>Sierra Leone</v>
          </cell>
          <cell r="B9571">
            <v>694</v>
          </cell>
          <cell r="C9571">
            <v>203</v>
          </cell>
          <cell r="D9571">
            <v>22</v>
          </cell>
          <cell r="E9571" t="str">
            <v>Taxes on production and imports, less Subsidies</v>
          </cell>
          <cell r="F9571">
            <v>12</v>
          </cell>
          <cell r="G9571">
            <v>1989</v>
          </cell>
          <cell r="H9571">
            <v>10</v>
          </cell>
          <cell r="I9571">
            <v>770000000</v>
          </cell>
        </row>
        <row r="9572">
          <cell r="A9572" t="str">
            <v>Sierra Leone</v>
          </cell>
          <cell r="B9572">
            <v>694</v>
          </cell>
          <cell r="C9572">
            <v>203</v>
          </cell>
          <cell r="D9572">
            <v>22</v>
          </cell>
          <cell r="E9572" t="str">
            <v>Taxes on production and imports, less Subsidies</v>
          </cell>
          <cell r="F9572">
            <v>12</v>
          </cell>
          <cell r="G9572">
            <v>1990</v>
          </cell>
          <cell r="H9572">
            <v>10</v>
          </cell>
          <cell r="I9572">
            <v>6633000000</v>
          </cell>
        </row>
        <row r="9573">
          <cell r="A9573" t="str">
            <v>Zimbabwe</v>
          </cell>
          <cell r="B9573">
            <v>716</v>
          </cell>
          <cell r="C9573">
            <v>203</v>
          </cell>
          <cell r="D9573">
            <v>3</v>
          </cell>
          <cell r="E9573" t="str">
            <v>Equals: VALUE ADDED, GROSS, at basic prices</v>
          </cell>
          <cell r="F9573">
            <v>12</v>
          </cell>
          <cell r="G9573">
            <v>1970</v>
          </cell>
          <cell r="H9573">
            <v>20</v>
          </cell>
          <cell r="I9573">
            <v>1033000000</v>
          </cell>
        </row>
        <row r="9574">
          <cell r="A9574" t="str">
            <v>Zimbabwe</v>
          </cell>
          <cell r="B9574">
            <v>716</v>
          </cell>
          <cell r="C9574">
            <v>203</v>
          </cell>
          <cell r="D9574">
            <v>3</v>
          </cell>
          <cell r="E9574" t="str">
            <v>Equals: VALUE ADDED, GROSS, at basic prices</v>
          </cell>
          <cell r="F9574">
            <v>12</v>
          </cell>
          <cell r="G9574">
            <v>1971</v>
          </cell>
          <cell r="H9574">
            <v>20</v>
          </cell>
          <cell r="I9574">
            <v>1191000000</v>
          </cell>
        </row>
        <row r="9575">
          <cell r="A9575" t="str">
            <v>Zimbabwe</v>
          </cell>
          <cell r="B9575">
            <v>716</v>
          </cell>
          <cell r="C9575">
            <v>203</v>
          </cell>
          <cell r="D9575">
            <v>3</v>
          </cell>
          <cell r="E9575" t="str">
            <v>Equals: VALUE ADDED, GROSS, at basic prices</v>
          </cell>
          <cell r="F9575">
            <v>12</v>
          </cell>
          <cell r="G9575">
            <v>1972</v>
          </cell>
          <cell r="H9575">
            <v>20</v>
          </cell>
          <cell r="I9575">
            <v>1366000000</v>
          </cell>
        </row>
        <row r="9576">
          <cell r="A9576" t="str">
            <v>Zimbabwe</v>
          </cell>
          <cell r="B9576">
            <v>716</v>
          </cell>
          <cell r="C9576">
            <v>203</v>
          </cell>
          <cell r="D9576">
            <v>3</v>
          </cell>
          <cell r="E9576" t="str">
            <v>Equals: VALUE ADDED, GROSS, at basic prices</v>
          </cell>
          <cell r="F9576">
            <v>12</v>
          </cell>
          <cell r="G9576">
            <v>1973</v>
          </cell>
          <cell r="H9576">
            <v>20</v>
          </cell>
          <cell r="I9576">
            <v>1483000000</v>
          </cell>
        </row>
        <row r="9577">
          <cell r="A9577" t="str">
            <v>Zimbabwe</v>
          </cell>
          <cell r="B9577">
            <v>716</v>
          </cell>
          <cell r="C9577">
            <v>203</v>
          </cell>
          <cell r="D9577">
            <v>3</v>
          </cell>
          <cell r="E9577" t="str">
            <v>Equals: VALUE ADDED, GROSS, at basic prices</v>
          </cell>
          <cell r="F9577">
            <v>12</v>
          </cell>
          <cell r="G9577">
            <v>1974</v>
          </cell>
          <cell r="H9577">
            <v>20</v>
          </cell>
          <cell r="I9577">
            <v>1833000000</v>
          </cell>
        </row>
        <row r="9578">
          <cell r="A9578" t="str">
            <v>Zimbabwe</v>
          </cell>
          <cell r="B9578">
            <v>716</v>
          </cell>
          <cell r="C9578">
            <v>203</v>
          </cell>
          <cell r="D9578">
            <v>3</v>
          </cell>
          <cell r="E9578" t="str">
            <v>Equals: VALUE ADDED, GROSS, at basic prices</v>
          </cell>
          <cell r="F9578">
            <v>12</v>
          </cell>
          <cell r="G9578">
            <v>1975</v>
          </cell>
          <cell r="H9578">
            <v>20</v>
          </cell>
          <cell r="I9578">
            <v>1954000000</v>
          </cell>
        </row>
        <row r="9579">
          <cell r="A9579" t="str">
            <v>Zimbabwe</v>
          </cell>
          <cell r="B9579">
            <v>716</v>
          </cell>
          <cell r="C9579">
            <v>203</v>
          </cell>
          <cell r="D9579">
            <v>3</v>
          </cell>
          <cell r="E9579" t="str">
            <v>Equals: VALUE ADDED, GROSS, at basic prices</v>
          </cell>
          <cell r="F9579">
            <v>12</v>
          </cell>
          <cell r="G9579">
            <v>1976</v>
          </cell>
          <cell r="H9579">
            <v>20</v>
          </cell>
          <cell r="I9579">
            <v>2120000000</v>
          </cell>
        </row>
        <row r="9580">
          <cell r="A9580" t="str">
            <v>Zimbabwe</v>
          </cell>
          <cell r="B9580">
            <v>716</v>
          </cell>
          <cell r="C9580">
            <v>203</v>
          </cell>
          <cell r="D9580">
            <v>3</v>
          </cell>
          <cell r="E9580" t="str">
            <v>Equals: VALUE ADDED, GROSS, at basic prices</v>
          </cell>
          <cell r="F9580">
            <v>12</v>
          </cell>
          <cell r="G9580">
            <v>1977</v>
          </cell>
          <cell r="H9580">
            <v>20</v>
          </cell>
          <cell r="I9580">
            <v>2134000000</v>
          </cell>
        </row>
        <row r="9581">
          <cell r="A9581" t="str">
            <v>Zimbabwe</v>
          </cell>
          <cell r="B9581">
            <v>716</v>
          </cell>
          <cell r="C9581">
            <v>203</v>
          </cell>
          <cell r="D9581">
            <v>3</v>
          </cell>
          <cell r="E9581" t="str">
            <v>Equals: VALUE ADDED, GROSS, at basic prices</v>
          </cell>
          <cell r="F9581">
            <v>12</v>
          </cell>
          <cell r="G9581">
            <v>1978</v>
          </cell>
          <cell r="H9581">
            <v>20</v>
          </cell>
          <cell r="I9581">
            <v>2324000000</v>
          </cell>
        </row>
        <row r="9582">
          <cell r="A9582" t="str">
            <v>Zimbabwe</v>
          </cell>
          <cell r="B9582">
            <v>716</v>
          </cell>
          <cell r="C9582">
            <v>203</v>
          </cell>
          <cell r="D9582">
            <v>3</v>
          </cell>
          <cell r="E9582" t="str">
            <v>Equals: VALUE ADDED, GROSS, at basic prices</v>
          </cell>
          <cell r="F9582">
            <v>12</v>
          </cell>
          <cell r="G9582">
            <v>1979</v>
          </cell>
          <cell r="H9582">
            <v>20</v>
          </cell>
          <cell r="I9582">
            <v>2732000000</v>
          </cell>
        </row>
        <row r="9583">
          <cell r="A9583" t="str">
            <v>Zimbabwe</v>
          </cell>
          <cell r="B9583">
            <v>716</v>
          </cell>
          <cell r="C9583">
            <v>203</v>
          </cell>
          <cell r="D9583">
            <v>3</v>
          </cell>
          <cell r="E9583" t="str">
            <v>Equals: VALUE ADDED, GROSS, at basic prices</v>
          </cell>
          <cell r="F9583">
            <v>12</v>
          </cell>
          <cell r="G9583">
            <v>1980</v>
          </cell>
          <cell r="H9583">
            <v>20</v>
          </cell>
          <cell r="I9583">
            <v>3332000000</v>
          </cell>
        </row>
        <row r="9584">
          <cell r="A9584" t="str">
            <v>Zimbabwe</v>
          </cell>
          <cell r="B9584">
            <v>716</v>
          </cell>
          <cell r="C9584">
            <v>203</v>
          </cell>
          <cell r="D9584">
            <v>3</v>
          </cell>
          <cell r="E9584" t="str">
            <v>Equals: VALUE ADDED, GROSS, at basic prices</v>
          </cell>
          <cell r="F9584">
            <v>12</v>
          </cell>
          <cell r="G9584">
            <v>1981</v>
          </cell>
          <cell r="H9584">
            <v>20</v>
          </cell>
          <cell r="I9584">
            <v>4170000000</v>
          </cell>
        </row>
        <row r="9585">
          <cell r="A9585" t="str">
            <v>Zimbabwe</v>
          </cell>
          <cell r="B9585">
            <v>716</v>
          </cell>
          <cell r="C9585">
            <v>203</v>
          </cell>
          <cell r="D9585">
            <v>3</v>
          </cell>
          <cell r="E9585" t="str">
            <v>Equals: VALUE ADDED, GROSS, at basic prices</v>
          </cell>
          <cell r="F9585">
            <v>12</v>
          </cell>
          <cell r="G9585">
            <v>1982</v>
          </cell>
          <cell r="H9585">
            <v>20</v>
          </cell>
          <cell r="I9585">
            <v>4808000000</v>
          </cell>
        </row>
        <row r="9586">
          <cell r="A9586" t="str">
            <v>Zimbabwe</v>
          </cell>
          <cell r="B9586">
            <v>716</v>
          </cell>
          <cell r="C9586">
            <v>203</v>
          </cell>
          <cell r="D9586">
            <v>3</v>
          </cell>
          <cell r="E9586" t="str">
            <v>Equals: VALUE ADDED, GROSS, at basic prices</v>
          </cell>
          <cell r="F9586">
            <v>12</v>
          </cell>
          <cell r="G9586">
            <v>1983</v>
          </cell>
          <cell r="H9586">
            <v>20</v>
          </cell>
          <cell r="I9586">
            <v>5605000000</v>
          </cell>
        </row>
        <row r="9587">
          <cell r="A9587" t="str">
            <v>Zimbabwe</v>
          </cell>
          <cell r="B9587">
            <v>716</v>
          </cell>
          <cell r="C9587">
            <v>203</v>
          </cell>
          <cell r="D9587">
            <v>3</v>
          </cell>
          <cell r="E9587" t="str">
            <v>Equals: VALUE ADDED, GROSS, at basic prices</v>
          </cell>
          <cell r="F9587">
            <v>12</v>
          </cell>
          <cell r="G9587">
            <v>1984</v>
          </cell>
          <cell r="H9587">
            <v>20</v>
          </cell>
          <cell r="I9587">
            <v>5817000000</v>
          </cell>
        </row>
        <row r="9588">
          <cell r="A9588" t="str">
            <v>Zimbabwe</v>
          </cell>
          <cell r="B9588">
            <v>716</v>
          </cell>
          <cell r="C9588">
            <v>203</v>
          </cell>
          <cell r="D9588">
            <v>3</v>
          </cell>
          <cell r="E9588" t="str">
            <v>Equals: VALUE ADDED, GROSS, at basic prices</v>
          </cell>
          <cell r="F9588">
            <v>12</v>
          </cell>
          <cell r="G9588">
            <v>1985</v>
          </cell>
          <cell r="H9588">
            <v>20</v>
          </cell>
          <cell r="I9588">
            <v>8521000000</v>
          </cell>
        </row>
        <row r="9589">
          <cell r="A9589" t="str">
            <v>Zimbabwe</v>
          </cell>
          <cell r="B9589">
            <v>716</v>
          </cell>
          <cell r="C9589">
            <v>203</v>
          </cell>
          <cell r="D9589">
            <v>3</v>
          </cell>
          <cell r="E9589" t="str">
            <v>Equals: VALUE ADDED, GROSS, at basic prices</v>
          </cell>
          <cell r="F9589">
            <v>12</v>
          </cell>
          <cell r="G9589">
            <v>1986</v>
          </cell>
          <cell r="H9589">
            <v>20</v>
          </cell>
          <cell r="I9589">
            <v>9647000000</v>
          </cell>
        </row>
        <row r="9590">
          <cell r="A9590" t="str">
            <v>Zimbabwe</v>
          </cell>
          <cell r="B9590">
            <v>716</v>
          </cell>
          <cell r="C9590">
            <v>203</v>
          </cell>
          <cell r="D9590">
            <v>3</v>
          </cell>
          <cell r="E9590" t="str">
            <v>Equals: VALUE ADDED, GROSS, at basic prices</v>
          </cell>
          <cell r="F9590">
            <v>12</v>
          </cell>
          <cell r="G9590">
            <v>1987</v>
          </cell>
          <cell r="H9590">
            <v>20</v>
          </cell>
          <cell r="I9590">
            <v>10486000000</v>
          </cell>
        </row>
        <row r="9591">
          <cell r="A9591" t="str">
            <v>Zimbabwe</v>
          </cell>
          <cell r="B9591">
            <v>716</v>
          </cell>
          <cell r="C9591">
            <v>203</v>
          </cell>
          <cell r="D9591">
            <v>3</v>
          </cell>
          <cell r="E9591" t="str">
            <v>Equals: VALUE ADDED, GROSS, at basic prices</v>
          </cell>
          <cell r="F9591">
            <v>12</v>
          </cell>
          <cell r="G9591">
            <v>1988</v>
          </cell>
          <cell r="H9591">
            <v>20</v>
          </cell>
          <cell r="I9591">
            <v>13068000000</v>
          </cell>
        </row>
        <row r="9592">
          <cell r="A9592" t="str">
            <v>Zimbabwe</v>
          </cell>
          <cell r="B9592">
            <v>716</v>
          </cell>
          <cell r="C9592">
            <v>203</v>
          </cell>
          <cell r="D9592">
            <v>3</v>
          </cell>
          <cell r="E9592" t="str">
            <v>Equals: VALUE ADDED, GROSS, at basic prices</v>
          </cell>
          <cell r="F9592">
            <v>12</v>
          </cell>
          <cell r="G9592">
            <v>1989</v>
          </cell>
          <cell r="H9592">
            <v>20</v>
          </cell>
          <cell r="I9592">
            <v>16051000000</v>
          </cell>
        </row>
        <row r="9593">
          <cell r="A9593" t="str">
            <v>Zimbabwe</v>
          </cell>
          <cell r="B9593">
            <v>716</v>
          </cell>
          <cell r="C9593">
            <v>203</v>
          </cell>
          <cell r="D9593">
            <v>3</v>
          </cell>
          <cell r="E9593" t="str">
            <v>Equals: VALUE ADDED, GROSS, at basic prices</v>
          </cell>
          <cell r="F9593">
            <v>12</v>
          </cell>
          <cell r="G9593">
            <v>1990</v>
          </cell>
          <cell r="H9593">
            <v>20</v>
          </cell>
          <cell r="I9593">
            <v>19774000000</v>
          </cell>
        </row>
        <row r="9594">
          <cell r="A9594" t="str">
            <v>Zimbabwe</v>
          </cell>
          <cell r="B9594">
            <v>716</v>
          </cell>
          <cell r="C9594">
            <v>203</v>
          </cell>
          <cell r="D9594">
            <v>3</v>
          </cell>
          <cell r="E9594" t="str">
            <v>Equals: VALUE ADDED, GROSS, at basic prices</v>
          </cell>
          <cell r="F9594">
            <v>12</v>
          </cell>
          <cell r="G9594">
            <v>1991</v>
          </cell>
          <cell r="H9594">
            <v>20</v>
          </cell>
          <cell r="I9594">
            <v>26874000000</v>
          </cell>
        </row>
        <row r="9595">
          <cell r="A9595" t="str">
            <v>Zimbabwe</v>
          </cell>
          <cell r="B9595">
            <v>716</v>
          </cell>
          <cell r="C9595">
            <v>203</v>
          </cell>
          <cell r="D9595">
            <v>3</v>
          </cell>
          <cell r="E9595" t="str">
            <v>Equals: VALUE ADDED, GROSS, at basic prices</v>
          </cell>
          <cell r="F9595">
            <v>12</v>
          </cell>
          <cell r="G9595">
            <v>1992</v>
          </cell>
          <cell r="H9595">
            <v>20</v>
          </cell>
          <cell r="I9595">
            <v>31843000000</v>
          </cell>
        </row>
        <row r="9596">
          <cell r="A9596" t="str">
            <v>Zimbabwe</v>
          </cell>
          <cell r="B9596">
            <v>716</v>
          </cell>
          <cell r="C9596">
            <v>203</v>
          </cell>
          <cell r="D9596">
            <v>3</v>
          </cell>
          <cell r="E9596" t="str">
            <v>Equals: VALUE ADDED, GROSS, at basic prices</v>
          </cell>
          <cell r="F9596">
            <v>12</v>
          </cell>
          <cell r="G9596">
            <v>1993</v>
          </cell>
          <cell r="H9596">
            <v>20</v>
          </cell>
          <cell r="I9596">
            <v>39640000000</v>
          </cell>
        </row>
        <row r="9597">
          <cell r="A9597" t="str">
            <v>Zimbabwe</v>
          </cell>
          <cell r="B9597">
            <v>716</v>
          </cell>
          <cell r="C9597">
            <v>203</v>
          </cell>
          <cell r="D9597">
            <v>3</v>
          </cell>
          <cell r="E9597" t="str">
            <v>Equals: VALUE ADDED, GROSS, at basic prices</v>
          </cell>
          <cell r="F9597">
            <v>12</v>
          </cell>
          <cell r="G9597">
            <v>1994</v>
          </cell>
          <cell r="H9597">
            <v>20</v>
          </cell>
          <cell r="I9597">
            <v>51844000000</v>
          </cell>
        </row>
        <row r="9598">
          <cell r="A9598" t="str">
            <v>Zimbabwe</v>
          </cell>
          <cell r="B9598">
            <v>716</v>
          </cell>
          <cell r="C9598">
            <v>203</v>
          </cell>
          <cell r="D9598">
            <v>3</v>
          </cell>
          <cell r="E9598" t="str">
            <v>Equals: VALUE ADDED, GROSS, at basic prices</v>
          </cell>
          <cell r="F9598">
            <v>12</v>
          </cell>
          <cell r="G9598">
            <v>1995</v>
          </cell>
          <cell r="H9598">
            <v>20</v>
          </cell>
          <cell r="I9598">
            <v>55560000000</v>
          </cell>
        </row>
        <row r="9599">
          <cell r="A9599" t="str">
            <v>Zimbabwe</v>
          </cell>
          <cell r="B9599">
            <v>716</v>
          </cell>
          <cell r="C9599">
            <v>203</v>
          </cell>
          <cell r="D9599">
            <v>3</v>
          </cell>
          <cell r="E9599" t="str">
            <v>Equals: VALUE ADDED, GROSS, at basic prices</v>
          </cell>
          <cell r="F9599">
            <v>12</v>
          </cell>
          <cell r="G9599">
            <v>1996</v>
          </cell>
          <cell r="H9599">
            <v>20</v>
          </cell>
          <cell r="I9599">
            <v>77067000000</v>
          </cell>
        </row>
        <row r="9600">
          <cell r="A9600" t="str">
            <v>Zimbabwe</v>
          </cell>
          <cell r="B9600">
            <v>716</v>
          </cell>
          <cell r="C9600">
            <v>203</v>
          </cell>
          <cell r="D9600">
            <v>3</v>
          </cell>
          <cell r="E9600" t="str">
            <v>Equals: VALUE ADDED, GROSS, at basic prices</v>
          </cell>
          <cell r="F9600">
            <v>12</v>
          </cell>
          <cell r="G9600">
            <v>1997</v>
          </cell>
          <cell r="H9600">
            <v>20</v>
          </cell>
          <cell r="I9600">
            <v>91155000000</v>
          </cell>
        </row>
        <row r="9601">
          <cell r="A9601" t="str">
            <v>Zimbabwe</v>
          </cell>
          <cell r="B9601">
            <v>716</v>
          </cell>
          <cell r="C9601">
            <v>203</v>
          </cell>
          <cell r="D9601">
            <v>3</v>
          </cell>
          <cell r="E9601" t="str">
            <v>Equals: VALUE ADDED, GROSS, at basic prices</v>
          </cell>
          <cell r="F9601">
            <v>12</v>
          </cell>
          <cell r="G9601">
            <v>1998</v>
          </cell>
          <cell r="H9601">
            <v>20</v>
          </cell>
          <cell r="I9601">
            <v>125787000000</v>
          </cell>
        </row>
        <row r="9602">
          <cell r="A9602" t="str">
            <v>Zimbabwe</v>
          </cell>
          <cell r="B9602">
            <v>716</v>
          </cell>
          <cell r="C9602">
            <v>203</v>
          </cell>
          <cell r="D9602">
            <v>3</v>
          </cell>
          <cell r="E9602" t="str">
            <v>Equals: VALUE ADDED, GROSS, at basic prices</v>
          </cell>
          <cell r="F9602">
            <v>12</v>
          </cell>
          <cell r="G9602">
            <v>1999</v>
          </cell>
          <cell r="H9602">
            <v>20</v>
          </cell>
          <cell r="I9602">
            <v>185766000000</v>
          </cell>
        </row>
        <row r="9603">
          <cell r="A9603" t="str">
            <v>Zimbabwe</v>
          </cell>
          <cell r="B9603">
            <v>716</v>
          </cell>
          <cell r="C9603">
            <v>203</v>
          </cell>
          <cell r="D9603">
            <v>4</v>
          </cell>
          <cell r="E9603" t="str">
            <v>Compensation of employees</v>
          </cell>
          <cell r="F9603">
            <v>12</v>
          </cell>
          <cell r="G9603">
            <v>1970</v>
          </cell>
          <cell r="H9603">
            <v>20</v>
          </cell>
          <cell r="I9603">
            <v>557000000</v>
          </cell>
        </row>
        <row r="9604">
          <cell r="A9604" t="str">
            <v>Zimbabwe</v>
          </cell>
          <cell r="B9604">
            <v>716</v>
          </cell>
          <cell r="C9604">
            <v>203</v>
          </cell>
          <cell r="D9604">
            <v>4</v>
          </cell>
          <cell r="E9604" t="str">
            <v>Compensation of employees</v>
          </cell>
          <cell r="F9604">
            <v>12</v>
          </cell>
          <cell r="G9604">
            <v>1971</v>
          </cell>
          <cell r="H9604">
            <v>20</v>
          </cell>
          <cell r="I9604">
            <v>624000000</v>
          </cell>
        </row>
        <row r="9605">
          <cell r="A9605" t="str">
            <v>Zimbabwe</v>
          </cell>
          <cell r="B9605">
            <v>716</v>
          </cell>
          <cell r="C9605">
            <v>203</v>
          </cell>
          <cell r="D9605">
            <v>4</v>
          </cell>
          <cell r="E9605" t="str">
            <v>Compensation of employees</v>
          </cell>
          <cell r="F9605">
            <v>12</v>
          </cell>
          <cell r="G9605">
            <v>1972</v>
          </cell>
          <cell r="H9605">
            <v>20</v>
          </cell>
          <cell r="I9605">
            <v>699000000</v>
          </cell>
        </row>
        <row r="9606">
          <cell r="A9606" t="str">
            <v>Zimbabwe</v>
          </cell>
          <cell r="B9606">
            <v>716</v>
          </cell>
          <cell r="C9606">
            <v>203</v>
          </cell>
          <cell r="D9606">
            <v>4</v>
          </cell>
          <cell r="E9606" t="str">
            <v>Compensation of employees</v>
          </cell>
          <cell r="F9606">
            <v>12</v>
          </cell>
          <cell r="G9606">
            <v>1973</v>
          </cell>
          <cell r="H9606">
            <v>20</v>
          </cell>
          <cell r="I9606">
            <v>782000000</v>
          </cell>
        </row>
        <row r="9607">
          <cell r="A9607" t="str">
            <v>Zimbabwe</v>
          </cell>
          <cell r="B9607">
            <v>716</v>
          </cell>
          <cell r="C9607">
            <v>203</v>
          </cell>
          <cell r="D9607">
            <v>4</v>
          </cell>
          <cell r="E9607" t="str">
            <v>Compensation of employees</v>
          </cell>
          <cell r="F9607">
            <v>12</v>
          </cell>
          <cell r="G9607">
            <v>1974</v>
          </cell>
          <cell r="H9607">
            <v>20</v>
          </cell>
          <cell r="I9607">
            <v>906000000</v>
          </cell>
        </row>
        <row r="9608">
          <cell r="A9608" t="str">
            <v>Zimbabwe</v>
          </cell>
          <cell r="B9608">
            <v>716</v>
          </cell>
          <cell r="C9608">
            <v>203</v>
          </cell>
          <cell r="D9608">
            <v>4</v>
          </cell>
          <cell r="E9608" t="str">
            <v>Compensation of employees</v>
          </cell>
          <cell r="F9608">
            <v>12</v>
          </cell>
          <cell r="G9608">
            <v>1975</v>
          </cell>
          <cell r="H9608">
            <v>20</v>
          </cell>
          <cell r="I9608">
            <v>1045000000</v>
          </cell>
        </row>
        <row r="9609">
          <cell r="A9609" t="str">
            <v>Zimbabwe</v>
          </cell>
          <cell r="B9609">
            <v>716</v>
          </cell>
          <cell r="C9609">
            <v>203</v>
          </cell>
          <cell r="D9609">
            <v>4</v>
          </cell>
          <cell r="E9609" t="str">
            <v>Compensation of employees</v>
          </cell>
          <cell r="F9609">
            <v>12</v>
          </cell>
          <cell r="G9609">
            <v>1976</v>
          </cell>
          <cell r="H9609">
            <v>20</v>
          </cell>
          <cell r="I9609">
            <v>1154000000</v>
          </cell>
        </row>
        <row r="9610">
          <cell r="A9610" t="str">
            <v>Zimbabwe</v>
          </cell>
          <cell r="B9610">
            <v>716</v>
          </cell>
          <cell r="C9610">
            <v>203</v>
          </cell>
          <cell r="D9610">
            <v>4</v>
          </cell>
          <cell r="E9610" t="str">
            <v>Compensation of employees</v>
          </cell>
          <cell r="F9610">
            <v>12</v>
          </cell>
          <cell r="G9610">
            <v>1977</v>
          </cell>
          <cell r="H9610">
            <v>20</v>
          </cell>
          <cell r="I9610">
            <v>1249000000</v>
          </cell>
        </row>
        <row r="9611">
          <cell r="A9611" t="str">
            <v>Zimbabwe</v>
          </cell>
          <cell r="B9611">
            <v>716</v>
          </cell>
          <cell r="C9611">
            <v>203</v>
          </cell>
          <cell r="D9611">
            <v>4</v>
          </cell>
          <cell r="E9611" t="str">
            <v>Compensation of employees</v>
          </cell>
          <cell r="F9611">
            <v>12</v>
          </cell>
          <cell r="G9611">
            <v>1978</v>
          </cell>
          <cell r="H9611">
            <v>20</v>
          </cell>
          <cell r="I9611">
            <v>1378000000</v>
          </cell>
        </row>
        <row r="9612">
          <cell r="A9612" t="str">
            <v>Zimbabwe</v>
          </cell>
          <cell r="B9612">
            <v>716</v>
          </cell>
          <cell r="C9612">
            <v>203</v>
          </cell>
          <cell r="D9612">
            <v>4</v>
          </cell>
          <cell r="E9612" t="str">
            <v>Compensation of employees</v>
          </cell>
          <cell r="F9612">
            <v>12</v>
          </cell>
          <cell r="G9612">
            <v>1979</v>
          </cell>
          <cell r="H9612">
            <v>20</v>
          </cell>
          <cell r="I9612">
            <v>1562000000</v>
          </cell>
        </row>
        <row r="9613">
          <cell r="A9613" t="str">
            <v>Zimbabwe</v>
          </cell>
          <cell r="B9613">
            <v>716</v>
          </cell>
          <cell r="C9613">
            <v>203</v>
          </cell>
          <cell r="D9613">
            <v>4</v>
          </cell>
          <cell r="E9613" t="str">
            <v>Compensation of employees</v>
          </cell>
          <cell r="F9613">
            <v>12</v>
          </cell>
          <cell r="G9613">
            <v>1980</v>
          </cell>
          <cell r="H9613">
            <v>20</v>
          </cell>
          <cell r="I9613">
            <v>1902000000</v>
          </cell>
        </row>
        <row r="9614">
          <cell r="A9614" t="str">
            <v>Zimbabwe</v>
          </cell>
          <cell r="B9614">
            <v>716</v>
          </cell>
          <cell r="C9614">
            <v>203</v>
          </cell>
          <cell r="D9614">
            <v>4</v>
          </cell>
          <cell r="E9614" t="str">
            <v>Compensation of employees</v>
          </cell>
          <cell r="F9614">
            <v>12</v>
          </cell>
          <cell r="G9614">
            <v>1981</v>
          </cell>
          <cell r="H9614">
            <v>20</v>
          </cell>
          <cell r="I9614">
            <v>2324000000</v>
          </cell>
        </row>
        <row r="9615">
          <cell r="A9615" t="str">
            <v>Zimbabwe</v>
          </cell>
          <cell r="B9615">
            <v>716</v>
          </cell>
          <cell r="C9615">
            <v>203</v>
          </cell>
          <cell r="D9615">
            <v>4</v>
          </cell>
          <cell r="E9615" t="str">
            <v>Compensation of employees</v>
          </cell>
          <cell r="F9615">
            <v>12</v>
          </cell>
          <cell r="G9615">
            <v>1982</v>
          </cell>
          <cell r="H9615">
            <v>20</v>
          </cell>
          <cell r="I9615">
            <v>2798000000</v>
          </cell>
        </row>
        <row r="9616">
          <cell r="A9616" t="str">
            <v>Zimbabwe</v>
          </cell>
          <cell r="B9616">
            <v>716</v>
          </cell>
          <cell r="C9616">
            <v>203</v>
          </cell>
          <cell r="D9616">
            <v>4</v>
          </cell>
          <cell r="E9616" t="str">
            <v>Compensation of employees</v>
          </cell>
          <cell r="F9616">
            <v>12</v>
          </cell>
          <cell r="G9616">
            <v>1983</v>
          </cell>
          <cell r="H9616">
            <v>20</v>
          </cell>
          <cell r="I9616">
            <v>3135000000</v>
          </cell>
        </row>
        <row r="9617">
          <cell r="A9617" t="str">
            <v>Zimbabwe</v>
          </cell>
          <cell r="B9617">
            <v>716</v>
          </cell>
          <cell r="C9617">
            <v>203</v>
          </cell>
          <cell r="D9617">
            <v>4</v>
          </cell>
          <cell r="E9617" t="str">
            <v>Compensation of employees</v>
          </cell>
          <cell r="F9617">
            <v>12</v>
          </cell>
          <cell r="G9617">
            <v>1984</v>
          </cell>
          <cell r="H9617">
            <v>20</v>
          </cell>
          <cell r="I9617">
            <v>3418000000</v>
          </cell>
        </row>
        <row r="9618">
          <cell r="A9618" t="str">
            <v>Zimbabwe</v>
          </cell>
          <cell r="B9618">
            <v>716</v>
          </cell>
          <cell r="C9618">
            <v>203</v>
          </cell>
          <cell r="D9618">
            <v>4</v>
          </cell>
          <cell r="E9618" t="str">
            <v>Compensation of employees</v>
          </cell>
          <cell r="F9618">
            <v>12</v>
          </cell>
          <cell r="G9618">
            <v>1985</v>
          </cell>
          <cell r="H9618">
            <v>20</v>
          </cell>
          <cell r="I9618">
            <v>3829000000</v>
          </cell>
        </row>
        <row r="9619">
          <cell r="A9619" t="str">
            <v>Zimbabwe</v>
          </cell>
          <cell r="B9619">
            <v>716</v>
          </cell>
          <cell r="C9619">
            <v>203</v>
          </cell>
          <cell r="D9619">
            <v>4</v>
          </cell>
          <cell r="E9619" t="str">
            <v>Compensation of employees</v>
          </cell>
          <cell r="F9619">
            <v>12</v>
          </cell>
          <cell r="G9619">
            <v>1986</v>
          </cell>
          <cell r="H9619">
            <v>20</v>
          </cell>
          <cell r="I9619">
            <v>4351000000</v>
          </cell>
        </row>
        <row r="9620">
          <cell r="A9620" t="str">
            <v>Zimbabwe</v>
          </cell>
          <cell r="B9620">
            <v>716</v>
          </cell>
          <cell r="C9620">
            <v>203</v>
          </cell>
          <cell r="D9620">
            <v>4</v>
          </cell>
          <cell r="E9620" t="str">
            <v>Compensation of employees</v>
          </cell>
          <cell r="F9620">
            <v>12</v>
          </cell>
          <cell r="G9620">
            <v>1987</v>
          </cell>
          <cell r="H9620">
            <v>20</v>
          </cell>
          <cell r="I9620">
            <v>4859000000</v>
          </cell>
        </row>
        <row r="9621">
          <cell r="A9621" t="str">
            <v>Zimbabwe</v>
          </cell>
          <cell r="B9621">
            <v>716</v>
          </cell>
          <cell r="C9621">
            <v>203</v>
          </cell>
          <cell r="D9621">
            <v>4</v>
          </cell>
          <cell r="E9621" t="str">
            <v>Compensation of employees</v>
          </cell>
          <cell r="F9621">
            <v>12</v>
          </cell>
          <cell r="G9621">
            <v>1988</v>
          </cell>
          <cell r="H9621">
            <v>20</v>
          </cell>
          <cell r="I9621">
            <v>5610000000</v>
          </cell>
        </row>
        <row r="9622">
          <cell r="A9622" t="str">
            <v>Zimbabwe</v>
          </cell>
          <cell r="B9622">
            <v>716</v>
          </cell>
          <cell r="C9622">
            <v>203</v>
          </cell>
          <cell r="D9622">
            <v>4</v>
          </cell>
          <cell r="E9622" t="str">
            <v>Compensation of employees</v>
          </cell>
          <cell r="F9622">
            <v>12</v>
          </cell>
          <cell r="G9622">
            <v>1989</v>
          </cell>
          <cell r="H9622">
            <v>20</v>
          </cell>
          <cell r="I9622">
            <v>6646000000</v>
          </cell>
        </row>
        <row r="9623">
          <cell r="A9623" t="str">
            <v>Zimbabwe</v>
          </cell>
          <cell r="B9623">
            <v>716</v>
          </cell>
          <cell r="C9623">
            <v>203</v>
          </cell>
          <cell r="D9623">
            <v>4</v>
          </cell>
          <cell r="E9623" t="str">
            <v>Compensation of employees</v>
          </cell>
          <cell r="F9623">
            <v>12</v>
          </cell>
          <cell r="G9623">
            <v>1990</v>
          </cell>
          <cell r="H9623">
            <v>20</v>
          </cell>
          <cell r="I9623">
            <v>7999000000</v>
          </cell>
        </row>
        <row r="9624">
          <cell r="A9624" t="str">
            <v>Zimbabwe</v>
          </cell>
          <cell r="B9624">
            <v>716</v>
          </cell>
          <cell r="C9624">
            <v>203</v>
          </cell>
          <cell r="D9624">
            <v>11</v>
          </cell>
          <cell r="E9624" t="str">
            <v>OPERATING SURPLUS, GROSS</v>
          </cell>
          <cell r="F9624">
            <v>12</v>
          </cell>
          <cell r="G9624">
            <v>1970</v>
          </cell>
          <cell r="H9624">
            <v>20</v>
          </cell>
          <cell r="I9624">
            <v>476000000</v>
          </cell>
        </row>
        <row r="9625">
          <cell r="A9625" t="str">
            <v>Zimbabwe</v>
          </cell>
          <cell r="B9625">
            <v>716</v>
          </cell>
          <cell r="C9625">
            <v>203</v>
          </cell>
          <cell r="D9625">
            <v>11</v>
          </cell>
          <cell r="E9625" t="str">
            <v>OPERATING SURPLUS, GROSS</v>
          </cell>
          <cell r="F9625">
            <v>12</v>
          </cell>
          <cell r="G9625">
            <v>1971</v>
          </cell>
          <cell r="H9625">
            <v>20</v>
          </cell>
          <cell r="I9625">
            <v>568000000</v>
          </cell>
        </row>
        <row r="9626">
          <cell r="A9626" t="str">
            <v>Zimbabwe</v>
          </cell>
          <cell r="B9626">
            <v>716</v>
          </cell>
          <cell r="C9626">
            <v>203</v>
          </cell>
          <cell r="D9626">
            <v>11</v>
          </cell>
          <cell r="E9626" t="str">
            <v>OPERATING SURPLUS, GROSS</v>
          </cell>
          <cell r="F9626">
            <v>12</v>
          </cell>
          <cell r="G9626">
            <v>1972</v>
          </cell>
          <cell r="H9626">
            <v>20</v>
          </cell>
          <cell r="I9626">
            <v>666000000</v>
          </cell>
        </row>
        <row r="9627">
          <cell r="A9627" t="str">
            <v>Zimbabwe</v>
          </cell>
          <cell r="B9627">
            <v>716</v>
          </cell>
          <cell r="C9627">
            <v>203</v>
          </cell>
          <cell r="D9627">
            <v>11</v>
          </cell>
          <cell r="E9627" t="str">
            <v>OPERATING SURPLUS, GROSS</v>
          </cell>
          <cell r="F9627">
            <v>12</v>
          </cell>
          <cell r="G9627">
            <v>1973</v>
          </cell>
          <cell r="H9627">
            <v>20</v>
          </cell>
          <cell r="I9627">
            <v>701000000</v>
          </cell>
        </row>
        <row r="9628">
          <cell r="A9628" t="str">
            <v>Zimbabwe</v>
          </cell>
          <cell r="B9628">
            <v>716</v>
          </cell>
          <cell r="C9628">
            <v>203</v>
          </cell>
          <cell r="D9628">
            <v>11</v>
          </cell>
          <cell r="E9628" t="str">
            <v>OPERATING SURPLUS, GROSS</v>
          </cell>
          <cell r="F9628">
            <v>12</v>
          </cell>
          <cell r="G9628">
            <v>1974</v>
          </cell>
          <cell r="H9628">
            <v>20</v>
          </cell>
          <cell r="I9628">
            <v>927000000</v>
          </cell>
        </row>
        <row r="9629">
          <cell r="A9629" t="str">
            <v>Zimbabwe</v>
          </cell>
          <cell r="B9629">
            <v>716</v>
          </cell>
          <cell r="C9629">
            <v>203</v>
          </cell>
          <cell r="D9629">
            <v>11</v>
          </cell>
          <cell r="E9629" t="str">
            <v>OPERATING SURPLUS, GROSS</v>
          </cell>
          <cell r="F9629">
            <v>12</v>
          </cell>
          <cell r="G9629">
            <v>1975</v>
          </cell>
          <cell r="H9629">
            <v>20</v>
          </cell>
          <cell r="I9629">
            <v>909000000</v>
          </cell>
        </row>
        <row r="9630">
          <cell r="A9630" t="str">
            <v>Zimbabwe</v>
          </cell>
          <cell r="B9630">
            <v>716</v>
          </cell>
          <cell r="C9630">
            <v>203</v>
          </cell>
          <cell r="D9630">
            <v>11</v>
          </cell>
          <cell r="E9630" t="str">
            <v>OPERATING SURPLUS, GROSS</v>
          </cell>
          <cell r="F9630">
            <v>12</v>
          </cell>
          <cell r="G9630">
            <v>1976</v>
          </cell>
          <cell r="H9630">
            <v>20</v>
          </cell>
          <cell r="I9630">
            <v>966000000</v>
          </cell>
        </row>
        <row r="9631">
          <cell r="A9631" t="str">
            <v>Zimbabwe</v>
          </cell>
          <cell r="B9631">
            <v>716</v>
          </cell>
          <cell r="C9631">
            <v>203</v>
          </cell>
          <cell r="D9631">
            <v>11</v>
          </cell>
          <cell r="E9631" t="str">
            <v>OPERATING SURPLUS, GROSS</v>
          </cell>
          <cell r="F9631">
            <v>12</v>
          </cell>
          <cell r="G9631">
            <v>1977</v>
          </cell>
          <cell r="H9631">
            <v>20</v>
          </cell>
          <cell r="I9631">
            <v>886000000</v>
          </cell>
        </row>
        <row r="9632">
          <cell r="A9632" t="str">
            <v>Zimbabwe</v>
          </cell>
          <cell r="B9632">
            <v>716</v>
          </cell>
          <cell r="C9632">
            <v>203</v>
          </cell>
          <cell r="D9632">
            <v>11</v>
          </cell>
          <cell r="E9632" t="str">
            <v>OPERATING SURPLUS, GROSS</v>
          </cell>
          <cell r="F9632">
            <v>12</v>
          </cell>
          <cell r="G9632">
            <v>1978</v>
          </cell>
          <cell r="H9632">
            <v>20</v>
          </cell>
          <cell r="I9632">
            <v>948000000</v>
          </cell>
        </row>
        <row r="9633">
          <cell r="A9633" t="str">
            <v>Zimbabwe</v>
          </cell>
          <cell r="B9633">
            <v>716</v>
          </cell>
          <cell r="C9633">
            <v>203</v>
          </cell>
          <cell r="D9633">
            <v>11</v>
          </cell>
          <cell r="E9633" t="str">
            <v>OPERATING SURPLUS, GROSS</v>
          </cell>
          <cell r="F9633">
            <v>12</v>
          </cell>
          <cell r="G9633">
            <v>1979</v>
          </cell>
          <cell r="H9633">
            <v>20</v>
          </cell>
          <cell r="I9633">
            <v>1174000000</v>
          </cell>
        </row>
        <row r="9634">
          <cell r="A9634" t="str">
            <v>Zimbabwe</v>
          </cell>
          <cell r="B9634">
            <v>716</v>
          </cell>
          <cell r="C9634">
            <v>203</v>
          </cell>
          <cell r="D9634">
            <v>11</v>
          </cell>
          <cell r="E9634" t="str">
            <v>OPERATING SURPLUS, GROSS</v>
          </cell>
          <cell r="F9634">
            <v>12</v>
          </cell>
          <cell r="G9634">
            <v>1980</v>
          </cell>
          <cell r="H9634">
            <v>20</v>
          </cell>
          <cell r="I9634">
            <v>1432000000</v>
          </cell>
        </row>
        <row r="9635">
          <cell r="A9635" t="str">
            <v>Zimbabwe</v>
          </cell>
          <cell r="B9635">
            <v>716</v>
          </cell>
          <cell r="C9635">
            <v>203</v>
          </cell>
          <cell r="D9635">
            <v>11</v>
          </cell>
          <cell r="E9635" t="str">
            <v>OPERATING SURPLUS, GROSS</v>
          </cell>
          <cell r="F9635">
            <v>12</v>
          </cell>
          <cell r="G9635">
            <v>1981</v>
          </cell>
          <cell r="H9635">
            <v>20</v>
          </cell>
          <cell r="I9635">
            <v>1846000000</v>
          </cell>
        </row>
        <row r="9636">
          <cell r="A9636" t="str">
            <v>Zimbabwe</v>
          </cell>
          <cell r="B9636">
            <v>716</v>
          </cell>
          <cell r="C9636">
            <v>203</v>
          </cell>
          <cell r="D9636">
            <v>11</v>
          </cell>
          <cell r="E9636" t="str">
            <v>OPERATING SURPLUS, GROSS</v>
          </cell>
          <cell r="F9636">
            <v>12</v>
          </cell>
          <cell r="G9636">
            <v>1982</v>
          </cell>
          <cell r="H9636">
            <v>20</v>
          </cell>
          <cell r="I9636">
            <v>2003000000</v>
          </cell>
        </row>
        <row r="9637">
          <cell r="A9637" t="str">
            <v>Zimbabwe</v>
          </cell>
          <cell r="B9637">
            <v>716</v>
          </cell>
          <cell r="C9637">
            <v>203</v>
          </cell>
          <cell r="D9637">
            <v>11</v>
          </cell>
          <cell r="E9637" t="str">
            <v>OPERATING SURPLUS, GROSS</v>
          </cell>
          <cell r="F9637">
            <v>12</v>
          </cell>
          <cell r="G9637">
            <v>1983</v>
          </cell>
          <cell r="H9637">
            <v>20</v>
          </cell>
          <cell r="I9637">
            <v>2470000000</v>
          </cell>
        </row>
        <row r="9638">
          <cell r="A9638" t="str">
            <v>Zimbabwe</v>
          </cell>
          <cell r="B9638">
            <v>716</v>
          </cell>
          <cell r="C9638">
            <v>203</v>
          </cell>
          <cell r="D9638">
            <v>11</v>
          </cell>
          <cell r="E9638" t="str">
            <v>OPERATING SURPLUS, GROSS</v>
          </cell>
          <cell r="F9638">
            <v>12</v>
          </cell>
          <cell r="G9638">
            <v>1984</v>
          </cell>
          <cell r="H9638">
            <v>20</v>
          </cell>
          <cell r="I9638">
            <v>2398000000</v>
          </cell>
        </row>
        <row r="9639">
          <cell r="A9639" t="str">
            <v>Zimbabwe</v>
          </cell>
          <cell r="B9639">
            <v>716</v>
          </cell>
          <cell r="C9639">
            <v>203</v>
          </cell>
          <cell r="D9639">
            <v>11</v>
          </cell>
          <cell r="E9639" t="str">
            <v>OPERATING SURPLUS, GROSS</v>
          </cell>
          <cell r="F9639">
            <v>12</v>
          </cell>
          <cell r="G9639">
            <v>1985</v>
          </cell>
          <cell r="H9639">
            <v>20</v>
          </cell>
          <cell r="I9639">
            <v>4396000000</v>
          </cell>
        </row>
        <row r="9640">
          <cell r="A9640" t="str">
            <v>Zimbabwe</v>
          </cell>
          <cell r="B9640">
            <v>716</v>
          </cell>
          <cell r="C9640">
            <v>203</v>
          </cell>
          <cell r="D9640">
            <v>11</v>
          </cell>
          <cell r="E9640" t="str">
            <v>OPERATING SURPLUS, GROSS</v>
          </cell>
          <cell r="F9640">
            <v>12</v>
          </cell>
          <cell r="G9640">
            <v>1986</v>
          </cell>
          <cell r="H9640">
            <v>20</v>
          </cell>
          <cell r="I9640">
            <v>4837000000</v>
          </cell>
        </row>
        <row r="9641">
          <cell r="A9641" t="str">
            <v>Zimbabwe</v>
          </cell>
          <cell r="B9641">
            <v>716</v>
          </cell>
          <cell r="C9641">
            <v>203</v>
          </cell>
          <cell r="D9641">
            <v>11</v>
          </cell>
          <cell r="E9641" t="str">
            <v>OPERATING SURPLUS, GROSS</v>
          </cell>
          <cell r="F9641">
            <v>12</v>
          </cell>
          <cell r="G9641">
            <v>1987</v>
          </cell>
          <cell r="H9641">
            <v>20</v>
          </cell>
          <cell r="I9641">
            <v>4765000000</v>
          </cell>
        </row>
        <row r="9642">
          <cell r="A9642" t="str">
            <v>Zimbabwe</v>
          </cell>
          <cell r="B9642">
            <v>716</v>
          </cell>
          <cell r="C9642">
            <v>203</v>
          </cell>
          <cell r="D9642">
            <v>11</v>
          </cell>
          <cell r="E9642" t="str">
            <v>OPERATING SURPLUS, GROSS</v>
          </cell>
          <cell r="F9642">
            <v>12</v>
          </cell>
          <cell r="G9642">
            <v>1988</v>
          </cell>
          <cell r="H9642">
            <v>20</v>
          </cell>
          <cell r="I9642">
            <v>6481000000</v>
          </cell>
        </row>
        <row r="9643">
          <cell r="A9643" t="str">
            <v>Zimbabwe</v>
          </cell>
          <cell r="B9643">
            <v>716</v>
          </cell>
          <cell r="C9643">
            <v>203</v>
          </cell>
          <cell r="D9643">
            <v>11</v>
          </cell>
          <cell r="E9643" t="str">
            <v>OPERATING SURPLUS, GROSS</v>
          </cell>
          <cell r="F9643">
            <v>12</v>
          </cell>
          <cell r="G9643">
            <v>1989</v>
          </cell>
          <cell r="H9643">
            <v>20</v>
          </cell>
          <cell r="I9643">
            <v>8230000000</v>
          </cell>
        </row>
        <row r="9644">
          <cell r="A9644" t="str">
            <v>Zimbabwe</v>
          </cell>
          <cell r="B9644">
            <v>716</v>
          </cell>
          <cell r="C9644">
            <v>203</v>
          </cell>
          <cell r="D9644">
            <v>11</v>
          </cell>
          <cell r="E9644" t="str">
            <v>OPERATING SURPLUS, GROSS</v>
          </cell>
          <cell r="F9644">
            <v>12</v>
          </cell>
          <cell r="G9644">
            <v>1990</v>
          </cell>
          <cell r="H9644">
            <v>20</v>
          </cell>
          <cell r="I9644">
            <v>10236000000</v>
          </cell>
        </row>
        <row r="9645">
          <cell r="A9645" t="str">
            <v>Zimbabwe</v>
          </cell>
          <cell r="B9645">
            <v>716</v>
          </cell>
          <cell r="C9645">
            <v>203</v>
          </cell>
          <cell r="D9645">
            <v>11</v>
          </cell>
          <cell r="E9645" t="str">
            <v>OPERATING SURPLUS, GROSS</v>
          </cell>
          <cell r="F9645">
            <v>12</v>
          </cell>
          <cell r="G9645">
            <v>1991</v>
          </cell>
          <cell r="H9645">
            <v>20</v>
          </cell>
          <cell r="I9645">
            <v>15106000000</v>
          </cell>
        </row>
        <row r="9646">
          <cell r="A9646" t="str">
            <v>Zimbabwe</v>
          </cell>
          <cell r="B9646">
            <v>716</v>
          </cell>
          <cell r="C9646">
            <v>203</v>
          </cell>
          <cell r="D9646">
            <v>11</v>
          </cell>
          <cell r="E9646" t="str">
            <v>OPERATING SURPLUS, GROSS</v>
          </cell>
          <cell r="F9646">
            <v>12</v>
          </cell>
          <cell r="G9646">
            <v>1992</v>
          </cell>
          <cell r="H9646">
            <v>20</v>
          </cell>
          <cell r="I9646">
            <v>17697000000</v>
          </cell>
        </row>
        <row r="9647">
          <cell r="A9647" t="str">
            <v>Zimbabwe</v>
          </cell>
          <cell r="B9647">
            <v>716</v>
          </cell>
          <cell r="C9647">
            <v>203</v>
          </cell>
          <cell r="D9647">
            <v>11</v>
          </cell>
          <cell r="E9647" t="str">
            <v>OPERATING SURPLUS, GROSS</v>
          </cell>
          <cell r="F9647">
            <v>12</v>
          </cell>
          <cell r="G9647">
            <v>1993</v>
          </cell>
          <cell r="H9647">
            <v>20</v>
          </cell>
          <cell r="I9647">
            <v>23227000000</v>
          </cell>
        </row>
        <row r="9648">
          <cell r="A9648" t="str">
            <v>Zimbabwe</v>
          </cell>
          <cell r="B9648">
            <v>716</v>
          </cell>
          <cell r="C9648">
            <v>203</v>
          </cell>
          <cell r="D9648">
            <v>11</v>
          </cell>
          <cell r="E9648" t="str">
            <v>OPERATING SURPLUS, GROSS</v>
          </cell>
          <cell r="F9648">
            <v>12</v>
          </cell>
          <cell r="G9648">
            <v>1994</v>
          </cell>
          <cell r="H9648">
            <v>20</v>
          </cell>
          <cell r="I9648">
            <v>31825000000</v>
          </cell>
        </row>
        <row r="9649">
          <cell r="A9649" t="str">
            <v>Zimbabwe</v>
          </cell>
          <cell r="B9649">
            <v>716</v>
          </cell>
          <cell r="C9649">
            <v>203</v>
          </cell>
          <cell r="D9649">
            <v>11</v>
          </cell>
          <cell r="E9649" t="str">
            <v>OPERATING SURPLUS, GROSS</v>
          </cell>
          <cell r="F9649">
            <v>12</v>
          </cell>
          <cell r="G9649">
            <v>1995</v>
          </cell>
          <cell r="H9649">
            <v>20</v>
          </cell>
          <cell r="I9649">
            <v>31114000000</v>
          </cell>
        </row>
        <row r="9650">
          <cell r="A9650" t="str">
            <v>Zimbabwe</v>
          </cell>
          <cell r="B9650">
            <v>716</v>
          </cell>
          <cell r="C9650">
            <v>203</v>
          </cell>
          <cell r="D9650">
            <v>11</v>
          </cell>
          <cell r="E9650" t="str">
            <v>OPERATING SURPLUS, GROSS</v>
          </cell>
          <cell r="F9650">
            <v>12</v>
          </cell>
          <cell r="G9650">
            <v>1996</v>
          </cell>
          <cell r="H9650">
            <v>20</v>
          </cell>
          <cell r="I9650">
            <v>43821000000</v>
          </cell>
        </row>
        <row r="9651">
          <cell r="A9651" t="str">
            <v>Zimbabwe</v>
          </cell>
          <cell r="B9651">
            <v>716</v>
          </cell>
          <cell r="C9651">
            <v>203</v>
          </cell>
          <cell r="D9651">
            <v>11</v>
          </cell>
          <cell r="E9651" t="str">
            <v>OPERATING SURPLUS, GROSS</v>
          </cell>
          <cell r="F9651">
            <v>12</v>
          </cell>
          <cell r="G9651">
            <v>1997</v>
          </cell>
          <cell r="H9651">
            <v>20</v>
          </cell>
          <cell r="I9651">
            <v>41921000000</v>
          </cell>
        </row>
        <row r="9652">
          <cell r="A9652" t="str">
            <v>Zimbabwe</v>
          </cell>
          <cell r="B9652">
            <v>716</v>
          </cell>
          <cell r="C9652">
            <v>203</v>
          </cell>
          <cell r="D9652">
            <v>11</v>
          </cell>
          <cell r="E9652" t="str">
            <v>OPERATING SURPLUS, GROSS</v>
          </cell>
          <cell r="F9652">
            <v>12</v>
          </cell>
          <cell r="G9652">
            <v>1998</v>
          </cell>
          <cell r="H9652">
            <v>20</v>
          </cell>
          <cell r="I9652">
            <v>62291000000</v>
          </cell>
        </row>
        <row r="9653">
          <cell r="A9653" t="str">
            <v>South Africa</v>
          </cell>
          <cell r="B9653">
            <v>710</v>
          </cell>
          <cell r="C9653">
            <v>201</v>
          </cell>
          <cell r="D9653">
            <v>13</v>
          </cell>
          <cell r="E9653" t="str">
            <v>Less: Financial intermediation services indirectly measured (FISIM) (only to be deducted if FISIM is not distributed to uses)</v>
          </cell>
          <cell r="F9653">
            <v>0</v>
          </cell>
          <cell r="G9653">
            <v>1950</v>
          </cell>
          <cell r="H9653">
            <v>20</v>
          </cell>
          <cell r="I9653">
            <v>33000000</v>
          </cell>
        </row>
        <row r="9654">
          <cell r="A9654" t="str">
            <v>South Africa</v>
          </cell>
          <cell r="B9654">
            <v>710</v>
          </cell>
          <cell r="C9654">
            <v>201</v>
          </cell>
          <cell r="D9654">
            <v>13</v>
          </cell>
          <cell r="E9654" t="str">
            <v>Less: Financial intermediation services indirectly measured (FISIM) (only to be deducted if FISIM is not distributed to uses)</v>
          </cell>
          <cell r="F9654">
            <v>0</v>
          </cell>
          <cell r="G9654">
            <v>1951</v>
          </cell>
          <cell r="H9654">
            <v>20</v>
          </cell>
          <cell r="I9654">
            <v>36000000</v>
          </cell>
        </row>
        <row r="9655">
          <cell r="A9655" t="str">
            <v>South Africa</v>
          </cell>
          <cell r="B9655">
            <v>710</v>
          </cell>
          <cell r="C9655">
            <v>201</v>
          </cell>
          <cell r="D9655">
            <v>13</v>
          </cell>
          <cell r="E9655" t="str">
            <v>Less: Financial intermediation services indirectly measured (FISIM) (only to be deducted if FISIM is not distributed to uses)</v>
          </cell>
          <cell r="F9655">
            <v>0</v>
          </cell>
          <cell r="G9655">
            <v>1952</v>
          </cell>
          <cell r="H9655">
            <v>20</v>
          </cell>
          <cell r="I9655">
            <v>40000000</v>
          </cell>
        </row>
        <row r="9656">
          <cell r="A9656" t="str">
            <v>South Africa</v>
          </cell>
          <cell r="B9656">
            <v>710</v>
          </cell>
          <cell r="C9656">
            <v>201</v>
          </cell>
          <cell r="D9656">
            <v>13</v>
          </cell>
          <cell r="E9656" t="str">
            <v>Less: Financial intermediation services indirectly measured (FISIM) (only to be deducted if FISIM is not distributed to uses)</v>
          </cell>
          <cell r="F9656">
            <v>0</v>
          </cell>
          <cell r="G9656">
            <v>1953</v>
          </cell>
          <cell r="H9656">
            <v>20</v>
          </cell>
          <cell r="I9656">
            <v>44000000</v>
          </cell>
        </row>
        <row r="9657">
          <cell r="A9657" t="str">
            <v>South Africa</v>
          </cell>
          <cell r="B9657">
            <v>710</v>
          </cell>
          <cell r="C9657">
            <v>201</v>
          </cell>
          <cell r="D9657">
            <v>13</v>
          </cell>
          <cell r="E9657" t="str">
            <v>Less: Financial intermediation services indirectly measured (FISIM) (only to be deducted if FISIM is not distributed to uses)</v>
          </cell>
          <cell r="F9657">
            <v>0</v>
          </cell>
          <cell r="G9657">
            <v>1954</v>
          </cell>
          <cell r="H9657">
            <v>20</v>
          </cell>
          <cell r="I9657">
            <v>48000000</v>
          </cell>
        </row>
        <row r="9658">
          <cell r="A9658" t="str">
            <v>South Africa</v>
          </cell>
          <cell r="B9658">
            <v>710</v>
          </cell>
          <cell r="C9658">
            <v>201</v>
          </cell>
          <cell r="D9658">
            <v>13</v>
          </cell>
          <cell r="E9658" t="str">
            <v>Less: Financial intermediation services indirectly measured (FISIM) (only to be deducted if FISIM is not distributed to uses)</v>
          </cell>
          <cell r="F9658">
            <v>0</v>
          </cell>
          <cell r="G9658">
            <v>1955</v>
          </cell>
          <cell r="H9658">
            <v>20</v>
          </cell>
          <cell r="I9658">
            <v>54000000</v>
          </cell>
        </row>
        <row r="9659">
          <cell r="A9659" t="str">
            <v>South Africa</v>
          </cell>
          <cell r="B9659">
            <v>710</v>
          </cell>
          <cell r="C9659">
            <v>201</v>
          </cell>
          <cell r="D9659">
            <v>13</v>
          </cell>
          <cell r="E9659" t="str">
            <v>Less: Financial intermediation services indirectly measured (FISIM) (only to be deducted if FISIM is not distributed to uses)</v>
          </cell>
          <cell r="F9659">
            <v>0</v>
          </cell>
          <cell r="G9659">
            <v>1956</v>
          </cell>
          <cell r="H9659">
            <v>20</v>
          </cell>
          <cell r="I9659">
            <v>59000000</v>
          </cell>
        </row>
        <row r="9660">
          <cell r="A9660" t="str">
            <v>South Africa</v>
          </cell>
          <cell r="B9660">
            <v>710</v>
          </cell>
          <cell r="C9660">
            <v>201</v>
          </cell>
          <cell r="D9660">
            <v>13</v>
          </cell>
          <cell r="E9660" t="str">
            <v>Less: Financial intermediation services indirectly measured (FISIM) (only to be deducted if FISIM is not distributed to uses)</v>
          </cell>
          <cell r="F9660">
            <v>0</v>
          </cell>
          <cell r="G9660">
            <v>1957</v>
          </cell>
          <cell r="H9660">
            <v>20</v>
          </cell>
          <cell r="I9660">
            <v>60000000</v>
          </cell>
        </row>
        <row r="9661">
          <cell r="A9661" t="str">
            <v>South Africa</v>
          </cell>
          <cell r="B9661">
            <v>710</v>
          </cell>
          <cell r="C9661">
            <v>201</v>
          </cell>
          <cell r="D9661">
            <v>13</v>
          </cell>
          <cell r="E9661" t="str">
            <v>Less: Financial intermediation services indirectly measured (FISIM) (only to be deducted if FISIM is not distributed to uses)</v>
          </cell>
          <cell r="F9661">
            <v>0</v>
          </cell>
          <cell r="G9661">
            <v>1958</v>
          </cell>
          <cell r="H9661">
            <v>20</v>
          </cell>
          <cell r="I9661">
            <v>61000000</v>
          </cell>
        </row>
        <row r="9662">
          <cell r="A9662" t="str">
            <v>South Africa</v>
          </cell>
          <cell r="B9662">
            <v>710</v>
          </cell>
          <cell r="C9662">
            <v>201</v>
          </cell>
          <cell r="D9662">
            <v>13</v>
          </cell>
          <cell r="E9662" t="str">
            <v>Less: Financial intermediation services indirectly measured (FISIM) (only to be deducted if FISIM is not distributed to uses)</v>
          </cell>
          <cell r="F9662">
            <v>0</v>
          </cell>
          <cell r="G9662">
            <v>1959</v>
          </cell>
          <cell r="H9662">
            <v>20</v>
          </cell>
          <cell r="I9662">
            <v>54000000</v>
          </cell>
        </row>
        <row r="9663">
          <cell r="A9663" t="str">
            <v>South Africa</v>
          </cell>
          <cell r="B9663">
            <v>710</v>
          </cell>
          <cell r="C9663">
            <v>201</v>
          </cell>
          <cell r="D9663">
            <v>13</v>
          </cell>
          <cell r="E9663" t="str">
            <v>Less: Financial intermediation services indirectly measured (FISIM) (only to be deducted if FISIM is not distributed to uses)</v>
          </cell>
          <cell r="F9663">
            <v>0</v>
          </cell>
          <cell r="G9663">
            <v>1960</v>
          </cell>
          <cell r="H9663">
            <v>20</v>
          </cell>
          <cell r="I9663">
            <v>73000000</v>
          </cell>
        </row>
        <row r="9664">
          <cell r="A9664" t="str">
            <v>South Africa</v>
          </cell>
          <cell r="B9664">
            <v>710</v>
          </cell>
          <cell r="C9664">
            <v>201</v>
          </cell>
          <cell r="D9664">
            <v>13</v>
          </cell>
          <cell r="E9664" t="str">
            <v>Less: Financial intermediation services indirectly measured (FISIM) (only to be deducted if FISIM is not distributed to uses)</v>
          </cell>
          <cell r="F9664">
            <v>0</v>
          </cell>
          <cell r="G9664">
            <v>1961</v>
          </cell>
          <cell r="H9664">
            <v>20</v>
          </cell>
          <cell r="I9664">
            <v>83000000</v>
          </cell>
        </row>
        <row r="9665">
          <cell r="A9665" t="str">
            <v>South Africa</v>
          </cell>
          <cell r="B9665">
            <v>710</v>
          </cell>
          <cell r="C9665">
            <v>201</v>
          </cell>
          <cell r="D9665">
            <v>13</v>
          </cell>
          <cell r="E9665" t="str">
            <v>Less: Financial intermediation services indirectly measured (FISIM) (only to be deducted if FISIM is not distributed to uses)</v>
          </cell>
          <cell r="F9665">
            <v>0</v>
          </cell>
          <cell r="G9665">
            <v>1962</v>
          </cell>
          <cell r="H9665">
            <v>20</v>
          </cell>
          <cell r="I9665">
            <v>78000000</v>
          </cell>
        </row>
        <row r="9666">
          <cell r="A9666" t="str">
            <v>South Africa</v>
          </cell>
          <cell r="B9666">
            <v>710</v>
          </cell>
          <cell r="C9666">
            <v>201</v>
          </cell>
          <cell r="D9666">
            <v>13</v>
          </cell>
          <cell r="E9666" t="str">
            <v>Less: Financial intermediation services indirectly measured (FISIM) (only to be deducted if FISIM is not distributed to uses)</v>
          </cell>
          <cell r="F9666">
            <v>0</v>
          </cell>
          <cell r="G9666">
            <v>1963</v>
          </cell>
          <cell r="H9666">
            <v>20</v>
          </cell>
          <cell r="I9666">
            <v>83000000</v>
          </cell>
        </row>
        <row r="9667">
          <cell r="A9667" t="str">
            <v>South Africa</v>
          </cell>
          <cell r="B9667">
            <v>710</v>
          </cell>
          <cell r="C9667">
            <v>201</v>
          </cell>
          <cell r="D9667">
            <v>13</v>
          </cell>
          <cell r="E9667" t="str">
            <v>Less: Financial intermediation services indirectly measured (FISIM) (only to be deducted if FISIM is not distributed to uses)</v>
          </cell>
          <cell r="F9667">
            <v>0</v>
          </cell>
          <cell r="G9667">
            <v>1964</v>
          </cell>
          <cell r="H9667">
            <v>20</v>
          </cell>
          <cell r="I9667">
            <v>110000000</v>
          </cell>
        </row>
        <row r="9668">
          <cell r="A9668" t="str">
            <v>South Africa</v>
          </cell>
          <cell r="B9668">
            <v>710</v>
          </cell>
          <cell r="C9668">
            <v>201</v>
          </cell>
          <cell r="D9668">
            <v>13</v>
          </cell>
          <cell r="E9668" t="str">
            <v>Less: Financial intermediation services indirectly measured (FISIM) (only to be deducted if FISIM is not distributed to uses)</v>
          </cell>
          <cell r="F9668">
            <v>0</v>
          </cell>
          <cell r="G9668">
            <v>1965</v>
          </cell>
          <cell r="H9668">
            <v>20</v>
          </cell>
          <cell r="I9668">
            <v>119000000</v>
          </cell>
        </row>
        <row r="9669">
          <cell r="A9669" t="str">
            <v>South Africa</v>
          </cell>
          <cell r="B9669">
            <v>710</v>
          </cell>
          <cell r="C9669">
            <v>201</v>
          </cell>
          <cell r="D9669">
            <v>13</v>
          </cell>
          <cell r="E9669" t="str">
            <v>Less: Financial intermediation services indirectly measured (FISIM) (only to be deducted if FISIM is not distributed to uses)</v>
          </cell>
          <cell r="F9669">
            <v>0</v>
          </cell>
          <cell r="G9669">
            <v>1966</v>
          </cell>
          <cell r="H9669">
            <v>20</v>
          </cell>
          <cell r="I9669">
            <v>141000000</v>
          </cell>
        </row>
        <row r="9670">
          <cell r="A9670" t="str">
            <v>South Africa</v>
          </cell>
          <cell r="B9670">
            <v>710</v>
          </cell>
          <cell r="C9670">
            <v>201</v>
          </cell>
          <cell r="D9670">
            <v>13</v>
          </cell>
          <cell r="E9670" t="str">
            <v>Less: Financial intermediation services indirectly measured (FISIM) (only to be deducted if FISIM is not distributed to uses)</v>
          </cell>
          <cell r="F9670">
            <v>0</v>
          </cell>
          <cell r="G9670">
            <v>1967</v>
          </cell>
          <cell r="H9670">
            <v>20</v>
          </cell>
          <cell r="I9670">
            <v>141000000</v>
          </cell>
        </row>
        <row r="9671">
          <cell r="A9671" t="str">
            <v>South Africa</v>
          </cell>
          <cell r="B9671">
            <v>710</v>
          </cell>
          <cell r="C9671">
            <v>201</v>
          </cell>
          <cell r="D9671">
            <v>13</v>
          </cell>
          <cell r="E9671" t="str">
            <v>Less: Financial intermediation services indirectly measured (FISIM) (only to be deducted if FISIM is not distributed to uses)</v>
          </cell>
          <cell r="F9671">
            <v>0</v>
          </cell>
          <cell r="G9671">
            <v>1968</v>
          </cell>
          <cell r="H9671">
            <v>20</v>
          </cell>
          <cell r="I9671">
            <v>149000000</v>
          </cell>
        </row>
        <row r="9672">
          <cell r="A9672" t="str">
            <v>South Africa</v>
          </cell>
          <cell r="B9672">
            <v>710</v>
          </cell>
          <cell r="C9672">
            <v>201</v>
          </cell>
          <cell r="D9672">
            <v>13</v>
          </cell>
          <cell r="E9672" t="str">
            <v>Less: Financial intermediation services indirectly measured (FISIM) (only to be deducted if FISIM is not distributed to uses)</v>
          </cell>
          <cell r="F9672">
            <v>0</v>
          </cell>
          <cell r="G9672">
            <v>1969</v>
          </cell>
          <cell r="H9672">
            <v>20</v>
          </cell>
          <cell r="I9672">
            <v>189000000</v>
          </cell>
        </row>
        <row r="9673">
          <cell r="A9673" t="str">
            <v>South Africa</v>
          </cell>
          <cell r="B9673">
            <v>710</v>
          </cell>
          <cell r="C9673">
            <v>201</v>
          </cell>
          <cell r="D9673">
            <v>13</v>
          </cell>
          <cell r="E9673" t="str">
            <v>Less: Financial intermediation services indirectly measured (FISIM) (only to be deducted if FISIM is not distributed to uses)</v>
          </cell>
          <cell r="F9673">
            <v>0</v>
          </cell>
          <cell r="G9673">
            <v>1970</v>
          </cell>
          <cell r="H9673">
            <v>20</v>
          </cell>
          <cell r="I9673">
            <v>204000000</v>
          </cell>
        </row>
        <row r="9674">
          <cell r="A9674" t="str">
            <v>South Africa</v>
          </cell>
          <cell r="B9674">
            <v>710</v>
          </cell>
          <cell r="C9674">
            <v>201</v>
          </cell>
          <cell r="D9674">
            <v>13</v>
          </cell>
          <cell r="E9674" t="str">
            <v>Less: Financial intermediation services indirectly measured (FISIM) (only to be deducted if FISIM is not distributed to uses)</v>
          </cell>
          <cell r="F9674">
            <v>0</v>
          </cell>
          <cell r="G9674">
            <v>1971</v>
          </cell>
          <cell r="H9674">
            <v>20</v>
          </cell>
          <cell r="I9674">
            <v>236000000</v>
          </cell>
        </row>
        <row r="9675">
          <cell r="A9675" t="str">
            <v>South Africa</v>
          </cell>
          <cell r="B9675">
            <v>710</v>
          </cell>
          <cell r="C9675">
            <v>201</v>
          </cell>
          <cell r="D9675">
            <v>13</v>
          </cell>
          <cell r="E9675" t="str">
            <v>Less: Financial intermediation services indirectly measured (FISIM) (only to be deducted if FISIM is not distributed to uses)</v>
          </cell>
          <cell r="F9675">
            <v>0</v>
          </cell>
          <cell r="G9675">
            <v>1972</v>
          </cell>
          <cell r="H9675">
            <v>20</v>
          </cell>
          <cell r="I9675">
            <v>255000000</v>
          </cell>
        </row>
        <row r="9676">
          <cell r="A9676" t="str">
            <v>South Africa</v>
          </cell>
          <cell r="B9676">
            <v>710</v>
          </cell>
          <cell r="C9676">
            <v>201</v>
          </cell>
          <cell r="D9676">
            <v>13</v>
          </cell>
          <cell r="E9676" t="str">
            <v>Less: Financial intermediation services indirectly measured (FISIM) (only to be deducted if FISIM is not distributed to uses)</v>
          </cell>
          <cell r="F9676">
            <v>0</v>
          </cell>
          <cell r="G9676">
            <v>1973</v>
          </cell>
          <cell r="H9676">
            <v>20</v>
          </cell>
          <cell r="I9676">
            <v>330000000</v>
          </cell>
        </row>
        <row r="9677">
          <cell r="A9677" t="str">
            <v>South Africa</v>
          </cell>
          <cell r="B9677">
            <v>710</v>
          </cell>
          <cell r="C9677">
            <v>201</v>
          </cell>
          <cell r="D9677">
            <v>13</v>
          </cell>
          <cell r="E9677" t="str">
            <v>Less: Financial intermediation services indirectly measured (FISIM) (only to be deducted if FISIM is not distributed to uses)</v>
          </cell>
          <cell r="F9677">
            <v>0</v>
          </cell>
          <cell r="G9677">
            <v>1974</v>
          </cell>
          <cell r="H9677">
            <v>20</v>
          </cell>
          <cell r="I9677">
            <v>359000000</v>
          </cell>
        </row>
        <row r="9678">
          <cell r="A9678" t="str">
            <v>South Africa</v>
          </cell>
          <cell r="B9678">
            <v>710</v>
          </cell>
          <cell r="C9678">
            <v>201</v>
          </cell>
          <cell r="D9678">
            <v>13</v>
          </cell>
          <cell r="E9678" t="str">
            <v>Less: Financial intermediation services indirectly measured (FISIM) (only to be deducted if FISIM is not distributed to uses)</v>
          </cell>
          <cell r="F9678">
            <v>0</v>
          </cell>
          <cell r="G9678">
            <v>1975</v>
          </cell>
          <cell r="H9678">
            <v>20</v>
          </cell>
          <cell r="I9678">
            <v>380000000</v>
          </cell>
        </row>
        <row r="9679">
          <cell r="A9679" t="str">
            <v>South Africa</v>
          </cell>
          <cell r="B9679">
            <v>710</v>
          </cell>
          <cell r="C9679">
            <v>201</v>
          </cell>
          <cell r="D9679">
            <v>13</v>
          </cell>
          <cell r="E9679" t="str">
            <v>Less: Financial intermediation services indirectly measured (FISIM) (only to be deducted if FISIM is not distributed to uses)</v>
          </cell>
          <cell r="F9679">
            <v>0</v>
          </cell>
          <cell r="G9679">
            <v>1976</v>
          </cell>
          <cell r="H9679">
            <v>20</v>
          </cell>
          <cell r="I9679">
            <v>525000000</v>
          </cell>
        </row>
        <row r="9680">
          <cell r="A9680" t="str">
            <v>South Africa</v>
          </cell>
          <cell r="B9680">
            <v>710</v>
          </cell>
          <cell r="C9680">
            <v>201</v>
          </cell>
          <cell r="D9680">
            <v>13</v>
          </cell>
          <cell r="E9680" t="str">
            <v>Less: Financial intermediation services indirectly measured (FISIM) (only to be deducted if FISIM is not distributed to uses)</v>
          </cell>
          <cell r="F9680">
            <v>0</v>
          </cell>
          <cell r="G9680">
            <v>1977</v>
          </cell>
          <cell r="H9680">
            <v>20</v>
          </cell>
          <cell r="I9680">
            <v>626000000</v>
          </cell>
        </row>
        <row r="9681">
          <cell r="A9681" t="str">
            <v>South Africa</v>
          </cell>
          <cell r="B9681">
            <v>710</v>
          </cell>
          <cell r="C9681">
            <v>201</v>
          </cell>
          <cell r="D9681">
            <v>13</v>
          </cell>
          <cell r="E9681" t="str">
            <v>Less: Financial intermediation services indirectly measured (FISIM) (only to be deducted if FISIM is not distributed to uses)</v>
          </cell>
          <cell r="F9681">
            <v>0</v>
          </cell>
          <cell r="G9681">
            <v>1978</v>
          </cell>
          <cell r="H9681">
            <v>20</v>
          </cell>
          <cell r="I9681">
            <v>753000000</v>
          </cell>
        </row>
        <row r="9682">
          <cell r="A9682" t="str">
            <v>South Africa</v>
          </cell>
          <cell r="B9682">
            <v>710</v>
          </cell>
          <cell r="C9682">
            <v>201</v>
          </cell>
          <cell r="D9682">
            <v>13</v>
          </cell>
          <cell r="E9682" t="str">
            <v>Less: Financial intermediation services indirectly measured (FISIM) (only to be deducted if FISIM is not distributed to uses)</v>
          </cell>
          <cell r="F9682">
            <v>0</v>
          </cell>
          <cell r="G9682">
            <v>1979</v>
          </cell>
          <cell r="H9682">
            <v>20</v>
          </cell>
          <cell r="I9682">
            <v>840000000</v>
          </cell>
        </row>
        <row r="9683">
          <cell r="A9683" t="str">
            <v>South Africa</v>
          </cell>
          <cell r="B9683">
            <v>710</v>
          </cell>
          <cell r="C9683">
            <v>201</v>
          </cell>
          <cell r="D9683">
            <v>13</v>
          </cell>
          <cell r="E9683" t="str">
            <v>Less: Financial intermediation services indirectly measured (FISIM) (only to be deducted if FISIM is not distributed to uses)</v>
          </cell>
          <cell r="F9683">
            <v>0</v>
          </cell>
          <cell r="G9683">
            <v>1980</v>
          </cell>
          <cell r="H9683">
            <v>20</v>
          </cell>
          <cell r="I9683">
            <v>891000000</v>
          </cell>
        </row>
        <row r="9684">
          <cell r="A9684" t="str">
            <v>South Africa</v>
          </cell>
          <cell r="B9684">
            <v>710</v>
          </cell>
          <cell r="C9684">
            <v>201</v>
          </cell>
          <cell r="D9684">
            <v>13</v>
          </cell>
          <cell r="E9684" t="str">
            <v>Less: Financial intermediation services indirectly measured (FISIM) (only to be deducted if FISIM is not distributed to uses)</v>
          </cell>
          <cell r="F9684">
            <v>0</v>
          </cell>
          <cell r="G9684">
            <v>1981</v>
          </cell>
          <cell r="H9684">
            <v>20</v>
          </cell>
          <cell r="I9684">
            <v>915000000</v>
          </cell>
        </row>
        <row r="9685">
          <cell r="A9685" t="str">
            <v>South Africa</v>
          </cell>
          <cell r="B9685">
            <v>710</v>
          </cell>
          <cell r="C9685">
            <v>201</v>
          </cell>
          <cell r="D9685">
            <v>13</v>
          </cell>
          <cell r="E9685" t="str">
            <v>Less: Financial intermediation services indirectly measured (FISIM) (only to be deducted if FISIM is not distributed to uses)</v>
          </cell>
          <cell r="F9685">
            <v>0</v>
          </cell>
          <cell r="G9685">
            <v>1982</v>
          </cell>
          <cell r="H9685">
            <v>20</v>
          </cell>
          <cell r="I9685">
            <v>1069000000</v>
          </cell>
        </row>
        <row r="9686">
          <cell r="A9686" t="str">
            <v>South Africa</v>
          </cell>
          <cell r="B9686">
            <v>710</v>
          </cell>
          <cell r="C9686">
            <v>201</v>
          </cell>
          <cell r="D9686">
            <v>13</v>
          </cell>
          <cell r="E9686" t="str">
            <v>Less: Financial intermediation services indirectly measured (FISIM) (only to be deducted if FISIM is not distributed to uses)</v>
          </cell>
          <cell r="F9686">
            <v>0</v>
          </cell>
          <cell r="G9686">
            <v>1983</v>
          </cell>
          <cell r="H9686">
            <v>20</v>
          </cell>
          <cell r="I9686">
            <v>1906000000</v>
          </cell>
        </row>
        <row r="9687">
          <cell r="A9687" t="str">
            <v>South Africa</v>
          </cell>
          <cell r="B9687">
            <v>710</v>
          </cell>
          <cell r="C9687">
            <v>201</v>
          </cell>
          <cell r="D9687">
            <v>13</v>
          </cell>
          <cell r="E9687" t="str">
            <v>Less: Financial intermediation services indirectly measured (FISIM) (only to be deducted if FISIM is not distributed to uses)</v>
          </cell>
          <cell r="F9687">
            <v>0</v>
          </cell>
          <cell r="G9687">
            <v>1984</v>
          </cell>
          <cell r="H9687">
            <v>20</v>
          </cell>
          <cell r="I9687">
            <v>2290000000</v>
          </cell>
        </row>
        <row r="9688">
          <cell r="A9688" t="str">
            <v>South Africa</v>
          </cell>
          <cell r="B9688">
            <v>710</v>
          </cell>
          <cell r="C9688">
            <v>201</v>
          </cell>
          <cell r="D9688">
            <v>13</v>
          </cell>
          <cell r="E9688" t="str">
            <v>Less: Financial intermediation services indirectly measured (FISIM) (only to be deducted if FISIM is not distributed to uses)</v>
          </cell>
          <cell r="F9688">
            <v>0</v>
          </cell>
          <cell r="G9688">
            <v>1985</v>
          </cell>
          <cell r="H9688">
            <v>20</v>
          </cell>
          <cell r="I9688">
            <v>3200000000</v>
          </cell>
        </row>
        <row r="9689">
          <cell r="A9689" t="str">
            <v>South Africa</v>
          </cell>
          <cell r="B9689">
            <v>710</v>
          </cell>
          <cell r="C9689">
            <v>201</v>
          </cell>
          <cell r="D9689">
            <v>13</v>
          </cell>
          <cell r="E9689" t="str">
            <v>Less: Financial intermediation services indirectly measured (FISIM) (only to be deducted if FISIM is not distributed to uses)</v>
          </cell>
          <cell r="F9689">
            <v>0</v>
          </cell>
          <cell r="G9689">
            <v>1986</v>
          </cell>
          <cell r="H9689">
            <v>20</v>
          </cell>
          <cell r="I9689">
            <v>4029000000</v>
          </cell>
        </row>
        <row r="9690">
          <cell r="A9690" t="str">
            <v>South Africa</v>
          </cell>
          <cell r="B9690">
            <v>710</v>
          </cell>
          <cell r="C9690">
            <v>201</v>
          </cell>
          <cell r="D9690">
            <v>13</v>
          </cell>
          <cell r="E9690" t="str">
            <v>Less: Financial intermediation services indirectly measured (FISIM) (only to be deducted if FISIM is not distributed to uses)</v>
          </cell>
          <cell r="F9690">
            <v>0</v>
          </cell>
          <cell r="G9690">
            <v>1987</v>
          </cell>
          <cell r="H9690">
            <v>20</v>
          </cell>
          <cell r="I9690">
            <v>4867000000</v>
          </cell>
        </row>
        <row r="9691">
          <cell r="A9691" t="str">
            <v>South Africa</v>
          </cell>
          <cell r="B9691">
            <v>710</v>
          </cell>
          <cell r="C9691">
            <v>201</v>
          </cell>
          <cell r="D9691">
            <v>13</v>
          </cell>
          <cell r="E9691" t="str">
            <v>Less: Financial intermediation services indirectly measured (FISIM) (only to be deducted if FISIM is not distributed to uses)</v>
          </cell>
          <cell r="F9691">
            <v>0</v>
          </cell>
          <cell r="G9691">
            <v>1988</v>
          </cell>
          <cell r="H9691">
            <v>20</v>
          </cell>
          <cell r="I9691">
            <v>5582000000</v>
          </cell>
        </row>
        <row r="9692">
          <cell r="A9692" t="str">
            <v>South Africa</v>
          </cell>
          <cell r="B9692">
            <v>710</v>
          </cell>
          <cell r="C9692">
            <v>201</v>
          </cell>
          <cell r="D9692">
            <v>13</v>
          </cell>
          <cell r="E9692" t="str">
            <v>Less: Financial intermediation services indirectly measured (FISIM) (only to be deducted if FISIM is not distributed to uses)</v>
          </cell>
          <cell r="F9692">
            <v>0</v>
          </cell>
          <cell r="G9692">
            <v>1989</v>
          </cell>
          <cell r="H9692">
            <v>20</v>
          </cell>
          <cell r="I9692">
            <v>6386000000</v>
          </cell>
        </row>
        <row r="9693">
          <cell r="A9693" t="str">
            <v>Zimbabwe</v>
          </cell>
          <cell r="B9693">
            <v>716</v>
          </cell>
          <cell r="C9693">
            <v>203</v>
          </cell>
          <cell r="D9693">
            <v>22</v>
          </cell>
          <cell r="E9693" t="str">
            <v>Taxes on production and imports, less Subsidies</v>
          </cell>
          <cell r="F9693">
            <v>12</v>
          </cell>
          <cell r="G9693">
            <v>1985</v>
          </cell>
          <cell r="H9693">
            <v>20</v>
          </cell>
          <cell r="I9693">
            <v>781000000</v>
          </cell>
        </row>
        <row r="9694">
          <cell r="A9694" t="str">
            <v>Zimbabwe</v>
          </cell>
          <cell r="B9694">
            <v>716</v>
          </cell>
          <cell r="C9694">
            <v>203</v>
          </cell>
          <cell r="D9694">
            <v>22</v>
          </cell>
          <cell r="E9694" t="str">
            <v>Taxes on production and imports, less Subsidies</v>
          </cell>
          <cell r="F9694">
            <v>12</v>
          </cell>
          <cell r="G9694">
            <v>1986</v>
          </cell>
          <cell r="H9694">
            <v>20</v>
          </cell>
          <cell r="I9694">
            <v>948000000</v>
          </cell>
        </row>
        <row r="9695">
          <cell r="A9695" t="str">
            <v>Zimbabwe</v>
          </cell>
          <cell r="B9695">
            <v>716</v>
          </cell>
          <cell r="C9695">
            <v>203</v>
          </cell>
          <cell r="D9695">
            <v>22</v>
          </cell>
          <cell r="E9695" t="str">
            <v>Taxes on production and imports, less Subsidies</v>
          </cell>
          <cell r="F9695">
            <v>12</v>
          </cell>
          <cell r="G9695">
            <v>1987</v>
          </cell>
          <cell r="H9695">
            <v>20</v>
          </cell>
          <cell r="I9695">
            <v>998000000</v>
          </cell>
        </row>
        <row r="9696">
          <cell r="A9696" t="str">
            <v>Zimbabwe</v>
          </cell>
          <cell r="B9696">
            <v>716</v>
          </cell>
          <cell r="C9696">
            <v>203</v>
          </cell>
          <cell r="D9696">
            <v>22</v>
          </cell>
          <cell r="E9696" t="str">
            <v>Taxes on production and imports, less Subsidies</v>
          </cell>
          <cell r="F9696">
            <v>12</v>
          </cell>
          <cell r="G9696">
            <v>1988</v>
          </cell>
          <cell r="H9696">
            <v>20</v>
          </cell>
          <cell r="I9696">
            <v>1341000000</v>
          </cell>
        </row>
        <row r="9697">
          <cell r="A9697" t="str">
            <v>Sudan</v>
          </cell>
          <cell r="B9697">
            <v>736</v>
          </cell>
          <cell r="C9697">
            <v>201</v>
          </cell>
          <cell r="D9697">
            <v>13</v>
          </cell>
          <cell r="E9697" t="str">
            <v>Less: Financial intermediation services indirectly measured (FISIM) (only to be deducted if FISIM is not distributed to uses)</v>
          </cell>
          <cell r="F9697">
            <v>0</v>
          </cell>
          <cell r="G9697">
            <v>1970</v>
          </cell>
          <cell r="H9697">
            <v>30</v>
          </cell>
          <cell r="I9697">
            <v>10300000</v>
          </cell>
        </row>
        <row r="9698">
          <cell r="A9698" t="str">
            <v>Sudan</v>
          </cell>
          <cell r="B9698">
            <v>736</v>
          </cell>
          <cell r="C9698">
            <v>201</v>
          </cell>
          <cell r="D9698">
            <v>13</v>
          </cell>
          <cell r="E9698" t="str">
            <v>Less: Financial intermediation services indirectly measured (FISIM) (only to be deducted if FISIM is not distributed to uses)</v>
          </cell>
          <cell r="F9698">
            <v>0</v>
          </cell>
          <cell r="G9698">
            <v>1971</v>
          </cell>
          <cell r="H9698">
            <v>30</v>
          </cell>
          <cell r="I9698">
            <v>10700000</v>
          </cell>
        </row>
        <row r="9699">
          <cell r="A9699" t="str">
            <v>Sudan</v>
          </cell>
          <cell r="B9699">
            <v>736</v>
          </cell>
          <cell r="C9699">
            <v>201</v>
          </cell>
          <cell r="D9699">
            <v>13</v>
          </cell>
          <cell r="E9699" t="str">
            <v>Less: Financial intermediation services indirectly measured (FISIM) (only to be deducted if FISIM is not distributed to uses)</v>
          </cell>
          <cell r="F9699">
            <v>0</v>
          </cell>
          <cell r="G9699">
            <v>1972</v>
          </cell>
          <cell r="H9699">
            <v>30</v>
          </cell>
          <cell r="I9699">
            <v>10400000</v>
          </cell>
        </row>
        <row r="9700">
          <cell r="A9700" t="str">
            <v>Sudan</v>
          </cell>
          <cell r="B9700">
            <v>736</v>
          </cell>
          <cell r="C9700">
            <v>201</v>
          </cell>
          <cell r="D9700">
            <v>13</v>
          </cell>
          <cell r="E9700" t="str">
            <v>Less: Financial intermediation services indirectly measured (FISIM) (only to be deducted if FISIM is not distributed to uses)</v>
          </cell>
          <cell r="F9700">
            <v>0</v>
          </cell>
          <cell r="G9700">
            <v>1973</v>
          </cell>
          <cell r="H9700">
            <v>30</v>
          </cell>
          <cell r="I9700">
            <v>15500000</v>
          </cell>
        </row>
        <row r="9701">
          <cell r="A9701" t="str">
            <v>Sudan</v>
          </cell>
          <cell r="B9701">
            <v>736</v>
          </cell>
          <cell r="C9701">
            <v>201</v>
          </cell>
          <cell r="D9701">
            <v>13</v>
          </cell>
          <cell r="E9701" t="str">
            <v>Less: Financial intermediation services indirectly measured (FISIM) (only to be deducted if FISIM is not distributed to uses)</v>
          </cell>
          <cell r="F9701">
            <v>0</v>
          </cell>
          <cell r="G9701">
            <v>1974</v>
          </cell>
          <cell r="H9701">
            <v>30</v>
          </cell>
          <cell r="I9701">
            <v>19000000</v>
          </cell>
        </row>
        <row r="9702">
          <cell r="A9702" t="str">
            <v>Sudan</v>
          </cell>
          <cell r="B9702">
            <v>736</v>
          </cell>
          <cell r="C9702">
            <v>201</v>
          </cell>
          <cell r="D9702">
            <v>13</v>
          </cell>
          <cell r="E9702" t="str">
            <v>Less: Financial intermediation services indirectly measured (FISIM) (only to be deducted if FISIM is not distributed to uses)</v>
          </cell>
          <cell r="F9702">
            <v>0</v>
          </cell>
          <cell r="G9702">
            <v>1975</v>
          </cell>
          <cell r="H9702">
            <v>30</v>
          </cell>
          <cell r="I9702">
            <v>20300000</v>
          </cell>
        </row>
        <row r="9703">
          <cell r="A9703" t="str">
            <v>Sudan</v>
          </cell>
          <cell r="B9703">
            <v>736</v>
          </cell>
          <cell r="C9703">
            <v>201</v>
          </cell>
          <cell r="D9703">
            <v>13</v>
          </cell>
          <cell r="E9703" t="str">
            <v>Less: Financial intermediation services indirectly measured (FISIM) (only to be deducted if FISIM is not distributed to uses)</v>
          </cell>
          <cell r="F9703">
            <v>0</v>
          </cell>
          <cell r="G9703">
            <v>1976</v>
          </cell>
          <cell r="H9703">
            <v>30</v>
          </cell>
          <cell r="I9703">
            <v>33200000</v>
          </cell>
        </row>
        <row r="9704">
          <cell r="A9704" t="str">
            <v>Sudan</v>
          </cell>
          <cell r="B9704">
            <v>736</v>
          </cell>
          <cell r="C9704">
            <v>201</v>
          </cell>
          <cell r="D9704">
            <v>13</v>
          </cell>
          <cell r="E9704" t="str">
            <v>Less: Financial intermediation services indirectly measured (FISIM) (only to be deducted if FISIM is not distributed to uses)</v>
          </cell>
          <cell r="F9704">
            <v>0</v>
          </cell>
          <cell r="G9704">
            <v>1977</v>
          </cell>
          <cell r="H9704">
            <v>30</v>
          </cell>
          <cell r="I9704">
            <v>37200000</v>
          </cell>
        </row>
        <row r="9705">
          <cell r="A9705" t="str">
            <v>Sudan</v>
          </cell>
          <cell r="B9705">
            <v>736</v>
          </cell>
          <cell r="C9705">
            <v>201</v>
          </cell>
          <cell r="D9705">
            <v>13</v>
          </cell>
          <cell r="E9705" t="str">
            <v>Less: Financial intermediation services indirectly measured (FISIM) (only to be deducted if FISIM is not distributed to uses)</v>
          </cell>
          <cell r="F9705">
            <v>0</v>
          </cell>
          <cell r="G9705">
            <v>1978</v>
          </cell>
          <cell r="H9705">
            <v>30</v>
          </cell>
          <cell r="I9705">
            <v>41600000</v>
          </cell>
        </row>
        <row r="9706">
          <cell r="A9706" t="str">
            <v>Sudan</v>
          </cell>
          <cell r="B9706">
            <v>736</v>
          </cell>
          <cell r="C9706">
            <v>201</v>
          </cell>
          <cell r="D9706">
            <v>13</v>
          </cell>
          <cell r="E9706" t="str">
            <v>Less: Financial intermediation services indirectly measured (FISIM) (only to be deducted if FISIM is not distributed to uses)</v>
          </cell>
          <cell r="F9706">
            <v>0</v>
          </cell>
          <cell r="G9706">
            <v>1979</v>
          </cell>
          <cell r="H9706">
            <v>30</v>
          </cell>
          <cell r="I9706">
            <v>51900000</v>
          </cell>
        </row>
        <row r="9707">
          <cell r="A9707" t="str">
            <v>Sudan</v>
          </cell>
          <cell r="B9707">
            <v>736</v>
          </cell>
          <cell r="C9707">
            <v>201</v>
          </cell>
          <cell r="D9707">
            <v>13</v>
          </cell>
          <cell r="E9707" t="str">
            <v>Less: Financial intermediation services indirectly measured (FISIM) (only to be deducted if FISIM is not distributed to uses)</v>
          </cell>
          <cell r="F9707">
            <v>0</v>
          </cell>
          <cell r="G9707">
            <v>1980</v>
          </cell>
          <cell r="H9707">
            <v>30</v>
          </cell>
          <cell r="I9707">
            <v>79600000</v>
          </cell>
        </row>
        <row r="9708">
          <cell r="A9708" t="str">
            <v>Sudan</v>
          </cell>
          <cell r="B9708">
            <v>736</v>
          </cell>
          <cell r="C9708">
            <v>201</v>
          </cell>
          <cell r="D9708">
            <v>13</v>
          </cell>
          <cell r="E9708" t="str">
            <v>Less: Financial intermediation services indirectly measured (FISIM) (only to be deducted if FISIM is not distributed to uses)</v>
          </cell>
          <cell r="F9708">
            <v>0</v>
          </cell>
          <cell r="G9708">
            <v>1981</v>
          </cell>
          <cell r="H9708">
            <v>30</v>
          </cell>
          <cell r="I9708">
            <v>107800000</v>
          </cell>
        </row>
        <row r="9709">
          <cell r="A9709" t="str">
            <v>Sudan</v>
          </cell>
          <cell r="B9709">
            <v>736</v>
          </cell>
          <cell r="C9709">
            <v>201</v>
          </cell>
          <cell r="D9709">
            <v>13</v>
          </cell>
          <cell r="E9709" t="str">
            <v>Less: Financial intermediation services indirectly measured (FISIM) (only to be deducted if FISIM is not distributed to uses)</v>
          </cell>
          <cell r="F9709">
            <v>0</v>
          </cell>
          <cell r="G9709">
            <v>1982</v>
          </cell>
          <cell r="H9709">
            <v>30</v>
          </cell>
          <cell r="I9709">
            <v>132900000</v>
          </cell>
        </row>
        <row r="9710">
          <cell r="A9710" t="str">
            <v>Sudan</v>
          </cell>
          <cell r="B9710">
            <v>736</v>
          </cell>
          <cell r="C9710">
            <v>201</v>
          </cell>
          <cell r="D9710">
            <v>13</v>
          </cell>
          <cell r="E9710" t="str">
            <v>Less: Financial intermediation services indirectly measured (FISIM) (only to be deducted if FISIM is not distributed to uses)</v>
          </cell>
          <cell r="F9710">
            <v>0</v>
          </cell>
          <cell r="G9710">
            <v>1983</v>
          </cell>
          <cell r="H9710">
            <v>30</v>
          </cell>
          <cell r="I9710">
            <v>142400000</v>
          </cell>
        </row>
        <row r="9711">
          <cell r="A9711" t="str">
            <v>South Africa</v>
          </cell>
          <cell r="B9711">
            <v>710</v>
          </cell>
          <cell r="C9711">
            <v>203</v>
          </cell>
          <cell r="D9711">
            <v>3</v>
          </cell>
          <cell r="E9711" t="str">
            <v>Equals: VALUE ADDED, GROSS, at basic prices</v>
          </cell>
          <cell r="F9711">
            <v>12</v>
          </cell>
          <cell r="G9711">
            <v>1989</v>
          </cell>
          <cell r="H9711">
            <v>100</v>
          </cell>
          <cell r="I9711">
            <v>227547000000</v>
          </cell>
        </row>
        <row r="9712">
          <cell r="A9712" t="str">
            <v>South Africa</v>
          </cell>
          <cell r="B9712">
            <v>710</v>
          </cell>
          <cell r="C9712">
            <v>203</v>
          </cell>
          <cell r="D9712">
            <v>3</v>
          </cell>
          <cell r="E9712" t="str">
            <v>Equals: VALUE ADDED, GROSS, at basic prices</v>
          </cell>
          <cell r="F9712">
            <v>12</v>
          </cell>
          <cell r="G9712">
            <v>1990</v>
          </cell>
          <cell r="H9712">
            <v>100</v>
          </cell>
          <cell r="I9712">
            <v>263151000000</v>
          </cell>
        </row>
        <row r="9713">
          <cell r="A9713" t="str">
            <v>South Africa</v>
          </cell>
          <cell r="B9713">
            <v>710</v>
          </cell>
          <cell r="C9713">
            <v>203</v>
          </cell>
          <cell r="D9713">
            <v>3</v>
          </cell>
          <cell r="E9713" t="str">
            <v>Equals: VALUE ADDED, GROSS, at basic prices</v>
          </cell>
          <cell r="F9713">
            <v>12</v>
          </cell>
          <cell r="G9713">
            <v>1991</v>
          </cell>
          <cell r="H9713">
            <v>100</v>
          </cell>
          <cell r="I9713">
            <v>303407000000</v>
          </cell>
        </row>
        <row r="9714">
          <cell r="A9714" t="str">
            <v>South Africa</v>
          </cell>
          <cell r="B9714">
            <v>710</v>
          </cell>
          <cell r="C9714">
            <v>203</v>
          </cell>
          <cell r="D9714">
            <v>3</v>
          </cell>
          <cell r="E9714" t="str">
            <v>Equals: VALUE ADDED, GROSS, at basic prices</v>
          </cell>
          <cell r="F9714">
            <v>12</v>
          </cell>
          <cell r="G9714">
            <v>1992</v>
          </cell>
          <cell r="H9714">
            <v>100</v>
          </cell>
          <cell r="I9714">
            <v>343554000000</v>
          </cell>
        </row>
        <row r="9715">
          <cell r="A9715" t="str">
            <v>South Africa</v>
          </cell>
          <cell r="B9715">
            <v>710</v>
          </cell>
          <cell r="C9715">
            <v>203</v>
          </cell>
          <cell r="D9715">
            <v>3</v>
          </cell>
          <cell r="E9715" t="str">
            <v>Equals: VALUE ADDED, GROSS, at basic prices</v>
          </cell>
          <cell r="F9715">
            <v>12</v>
          </cell>
          <cell r="G9715">
            <v>1993</v>
          </cell>
          <cell r="H9715">
            <v>100</v>
          </cell>
          <cell r="I9715">
            <v>390842000000</v>
          </cell>
        </row>
        <row r="9716">
          <cell r="A9716" t="str">
            <v>South Africa</v>
          </cell>
          <cell r="B9716">
            <v>710</v>
          </cell>
          <cell r="C9716">
            <v>203</v>
          </cell>
          <cell r="D9716">
            <v>3</v>
          </cell>
          <cell r="E9716" t="str">
            <v>Equals: VALUE ADDED, GROSS, at basic prices</v>
          </cell>
          <cell r="F9716">
            <v>12</v>
          </cell>
          <cell r="G9716">
            <v>1994</v>
          </cell>
          <cell r="H9716">
            <v>100</v>
          </cell>
          <cell r="I9716">
            <v>440147000000</v>
          </cell>
        </row>
        <row r="9717">
          <cell r="A9717" t="str">
            <v>South Africa</v>
          </cell>
          <cell r="B9717">
            <v>710</v>
          </cell>
          <cell r="C9717">
            <v>203</v>
          </cell>
          <cell r="D9717">
            <v>3</v>
          </cell>
          <cell r="E9717" t="str">
            <v>Equals: VALUE ADDED, GROSS, at basic prices</v>
          </cell>
          <cell r="F9717">
            <v>12</v>
          </cell>
          <cell r="G9717">
            <v>1995</v>
          </cell>
          <cell r="H9717">
            <v>100</v>
          </cell>
          <cell r="I9717">
            <v>500354000000</v>
          </cell>
        </row>
        <row r="9718">
          <cell r="A9718" t="str">
            <v>South Africa</v>
          </cell>
          <cell r="B9718">
            <v>710</v>
          </cell>
          <cell r="C9718">
            <v>203</v>
          </cell>
          <cell r="D9718">
            <v>3</v>
          </cell>
          <cell r="E9718" t="str">
            <v>Equals: VALUE ADDED, GROSS, at basic prices</v>
          </cell>
          <cell r="F9718">
            <v>12</v>
          </cell>
          <cell r="G9718">
            <v>1996</v>
          </cell>
          <cell r="H9718">
            <v>100</v>
          </cell>
          <cell r="I9718">
            <v>565470000000</v>
          </cell>
        </row>
        <row r="9719">
          <cell r="A9719" t="str">
            <v>South Africa</v>
          </cell>
          <cell r="B9719">
            <v>710</v>
          </cell>
          <cell r="C9719">
            <v>203</v>
          </cell>
          <cell r="D9719">
            <v>3</v>
          </cell>
          <cell r="E9719" t="str">
            <v>Equals: VALUE ADDED, GROSS, at basic prices</v>
          </cell>
          <cell r="F9719">
            <v>12</v>
          </cell>
          <cell r="G9719">
            <v>1997</v>
          </cell>
          <cell r="H9719">
            <v>100</v>
          </cell>
          <cell r="I9719">
            <v>627167000000</v>
          </cell>
        </row>
        <row r="9720">
          <cell r="A9720" t="str">
            <v>South Africa</v>
          </cell>
          <cell r="B9720">
            <v>710</v>
          </cell>
          <cell r="C9720">
            <v>203</v>
          </cell>
          <cell r="D9720">
            <v>3</v>
          </cell>
          <cell r="E9720" t="str">
            <v>Equals: VALUE ADDED, GROSS, at basic prices</v>
          </cell>
          <cell r="F9720">
            <v>12</v>
          </cell>
          <cell r="G9720">
            <v>1998</v>
          </cell>
          <cell r="H9720">
            <v>100</v>
          </cell>
          <cell r="I9720">
            <v>674874000000</v>
          </cell>
        </row>
        <row r="9721">
          <cell r="A9721" t="str">
            <v>South Africa</v>
          </cell>
          <cell r="B9721">
            <v>710</v>
          </cell>
          <cell r="C9721">
            <v>203</v>
          </cell>
          <cell r="D9721">
            <v>3</v>
          </cell>
          <cell r="E9721" t="str">
            <v>Equals: VALUE ADDED, GROSS, at basic prices</v>
          </cell>
          <cell r="F9721">
            <v>12</v>
          </cell>
          <cell r="G9721">
            <v>1999</v>
          </cell>
          <cell r="H9721">
            <v>100</v>
          </cell>
          <cell r="I9721">
            <v>738873000000</v>
          </cell>
        </row>
        <row r="9722">
          <cell r="A9722" t="str">
            <v>South Africa</v>
          </cell>
          <cell r="B9722">
            <v>710</v>
          </cell>
          <cell r="C9722">
            <v>203</v>
          </cell>
          <cell r="D9722">
            <v>3</v>
          </cell>
          <cell r="E9722" t="str">
            <v>Equals: VALUE ADDED, GROSS, at basic prices</v>
          </cell>
          <cell r="F9722">
            <v>12</v>
          </cell>
          <cell r="G9722">
            <v>2000</v>
          </cell>
          <cell r="H9722">
            <v>100</v>
          </cell>
          <cell r="I9722">
            <v>838218000000</v>
          </cell>
        </row>
        <row r="9723">
          <cell r="A9723" t="str">
            <v>South Africa</v>
          </cell>
          <cell r="B9723">
            <v>710</v>
          </cell>
          <cell r="C9723">
            <v>203</v>
          </cell>
          <cell r="D9723">
            <v>3</v>
          </cell>
          <cell r="E9723" t="str">
            <v>Equals: VALUE ADDED, GROSS, at basic prices</v>
          </cell>
          <cell r="F9723">
            <v>12</v>
          </cell>
          <cell r="G9723">
            <v>2001</v>
          </cell>
          <cell r="H9723">
            <v>100</v>
          </cell>
          <cell r="I9723">
            <v>928215000000</v>
          </cell>
        </row>
        <row r="9724">
          <cell r="A9724" t="str">
            <v>South Africa</v>
          </cell>
          <cell r="B9724">
            <v>710</v>
          </cell>
          <cell r="C9724">
            <v>203</v>
          </cell>
          <cell r="D9724">
            <v>3</v>
          </cell>
          <cell r="E9724" t="str">
            <v>Equals: VALUE ADDED, GROSS, at basic prices</v>
          </cell>
          <cell r="F9724">
            <v>12</v>
          </cell>
          <cell r="G9724">
            <v>2002</v>
          </cell>
          <cell r="H9724">
            <v>100</v>
          </cell>
          <cell r="I9724">
            <v>1059789000000</v>
          </cell>
        </row>
        <row r="9725">
          <cell r="A9725" t="str">
            <v>South Africa</v>
          </cell>
          <cell r="B9725">
            <v>710</v>
          </cell>
          <cell r="C9725">
            <v>203</v>
          </cell>
          <cell r="D9725">
            <v>3</v>
          </cell>
          <cell r="E9725" t="str">
            <v>Equals: VALUE ADDED, GROSS, at basic prices</v>
          </cell>
          <cell r="F9725">
            <v>12</v>
          </cell>
          <cell r="G9725">
            <v>2003</v>
          </cell>
          <cell r="H9725">
            <v>100</v>
          </cell>
          <cell r="I9725">
            <v>1134585000000</v>
          </cell>
        </row>
        <row r="9726">
          <cell r="A9726" t="str">
            <v>South Africa</v>
          </cell>
          <cell r="B9726">
            <v>710</v>
          </cell>
          <cell r="C9726">
            <v>203</v>
          </cell>
          <cell r="D9726">
            <v>4</v>
          </cell>
          <cell r="E9726" t="str">
            <v>Compensation of employees</v>
          </cell>
          <cell r="F9726">
            <v>12</v>
          </cell>
          <cell r="G9726">
            <v>1989</v>
          </cell>
          <cell r="H9726">
            <v>100</v>
          </cell>
          <cell r="I9726">
            <v>126610000000</v>
          </cell>
        </row>
        <row r="9727">
          <cell r="A9727" t="str">
            <v>South Africa</v>
          </cell>
          <cell r="B9727">
            <v>710</v>
          </cell>
          <cell r="C9727">
            <v>203</v>
          </cell>
          <cell r="D9727">
            <v>4</v>
          </cell>
          <cell r="E9727" t="str">
            <v>Compensation of employees</v>
          </cell>
          <cell r="F9727">
            <v>12</v>
          </cell>
          <cell r="G9727">
            <v>1990</v>
          </cell>
          <cell r="H9727">
            <v>100</v>
          </cell>
          <cell r="I9727">
            <v>148844000000</v>
          </cell>
        </row>
        <row r="9728">
          <cell r="A9728" t="str">
            <v>South Africa</v>
          </cell>
          <cell r="B9728">
            <v>710</v>
          </cell>
          <cell r="C9728">
            <v>203</v>
          </cell>
          <cell r="D9728">
            <v>4</v>
          </cell>
          <cell r="E9728" t="str">
            <v>Compensation of employees</v>
          </cell>
          <cell r="F9728">
            <v>12</v>
          </cell>
          <cell r="G9728">
            <v>1991</v>
          </cell>
          <cell r="H9728">
            <v>100</v>
          </cell>
          <cell r="I9728">
            <v>171441000000</v>
          </cell>
        </row>
        <row r="9729">
          <cell r="A9729" t="str">
            <v>South Africa</v>
          </cell>
          <cell r="B9729">
            <v>710</v>
          </cell>
          <cell r="C9729">
            <v>203</v>
          </cell>
          <cell r="D9729">
            <v>4</v>
          </cell>
          <cell r="E9729" t="str">
            <v>Compensation of employees</v>
          </cell>
          <cell r="F9729">
            <v>12</v>
          </cell>
          <cell r="G9729">
            <v>1992</v>
          </cell>
          <cell r="H9729">
            <v>100</v>
          </cell>
          <cell r="I9729">
            <v>195095000000</v>
          </cell>
        </row>
        <row r="9730">
          <cell r="A9730" t="str">
            <v>South Africa</v>
          </cell>
          <cell r="B9730">
            <v>710</v>
          </cell>
          <cell r="C9730">
            <v>203</v>
          </cell>
          <cell r="D9730">
            <v>4</v>
          </cell>
          <cell r="E9730" t="str">
            <v>Compensation of employees</v>
          </cell>
          <cell r="F9730">
            <v>12</v>
          </cell>
          <cell r="G9730">
            <v>1993</v>
          </cell>
          <cell r="H9730">
            <v>100</v>
          </cell>
          <cell r="I9730">
            <v>218159000000</v>
          </cell>
        </row>
        <row r="9731">
          <cell r="A9731" t="str">
            <v>South Africa</v>
          </cell>
          <cell r="B9731">
            <v>710</v>
          </cell>
          <cell r="C9731">
            <v>203</v>
          </cell>
          <cell r="D9731">
            <v>4</v>
          </cell>
          <cell r="E9731" t="str">
            <v>Compensation of employees</v>
          </cell>
          <cell r="F9731">
            <v>12</v>
          </cell>
          <cell r="G9731">
            <v>1994</v>
          </cell>
          <cell r="H9731">
            <v>100</v>
          </cell>
          <cell r="I9731">
            <v>242165000000</v>
          </cell>
        </row>
        <row r="9732">
          <cell r="A9732" t="str">
            <v>South Africa</v>
          </cell>
          <cell r="B9732">
            <v>710</v>
          </cell>
          <cell r="C9732">
            <v>203</v>
          </cell>
          <cell r="D9732">
            <v>4</v>
          </cell>
          <cell r="E9732" t="str">
            <v>Compensation of employees</v>
          </cell>
          <cell r="F9732">
            <v>12</v>
          </cell>
          <cell r="G9732">
            <v>1995</v>
          </cell>
          <cell r="H9732">
            <v>100</v>
          </cell>
          <cell r="I9732">
            <v>274673000000</v>
          </cell>
        </row>
        <row r="9733">
          <cell r="A9733" t="str">
            <v>South Africa</v>
          </cell>
          <cell r="B9733">
            <v>710</v>
          </cell>
          <cell r="C9733">
            <v>203</v>
          </cell>
          <cell r="D9733">
            <v>4</v>
          </cell>
          <cell r="E9733" t="str">
            <v>Compensation of employees</v>
          </cell>
          <cell r="F9733">
            <v>12</v>
          </cell>
          <cell r="G9733">
            <v>1996</v>
          </cell>
          <cell r="H9733">
            <v>100</v>
          </cell>
          <cell r="I9733">
            <v>308121000000</v>
          </cell>
        </row>
        <row r="9734">
          <cell r="A9734" t="str">
            <v>South Africa</v>
          </cell>
          <cell r="B9734">
            <v>710</v>
          </cell>
          <cell r="C9734">
            <v>203</v>
          </cell>
          <cell r="D9734">
            <v>4</v>
          </cell>
          <cell r="E9734" t="str">
            <v>Compensation of employees</v>
          </cell>
          <cell r="F9734">
            <v>12</v>
          </cell>
          <cell r="G9734">
            <v>1997</v>
          </cell>
          <cell r="H9734">
            <v>100</v>
          </cell>
          <cell r="I9734">
            <v>340072000000</v>
          </cell>
        </row>
        <row r="9735">
          <cell r="A9735" t="str">
            <v>South Africa</v>
          </cell>
          <cell r="B9735">
            <v>710</v>
          </cell>
          <cell r="C9735">
            <v>203</v>
          </cell>
          <cell r="D9735">
            <v>4</v>
          </cell>
          <cell r="E9735" t="str">
            <v>Compensation of employees</v>
          </cell>
          <cell r="F9735">
            <v>12</v>
          </cell>
          <cell r="G9735">
            <v>1998</v>
          </cell>
          <cell r="H9735">
            <v>100</v>
          </cell>
          <cell r="I9735">
            <v>372541000000</v>
          </cell>
        </row>
        <row r="9736">
          <cell r="A9736" t="str">
            <v>South Africa</v>
          </cell>
          <cell r="B9736">
            <v>710</v>
          </cell>
          <cell r="C9736">
            <v>203</v>
          </cell>
          <cell r="D9736">
            <v>4</v>
          </cell>
          <cell r="E9736" t="str">
            <v>Compensation of employees</v>
          </cell>
          <cell r="F9736">
            <v>12</v>
          </cell>
          <cell r="G9736">
            <v>1999</v>
          </cell>
          <cell r="H9736">
            <v>100</v>
          </cell>
          <cell r="I9736">
            <v>404418000000</v>
          </cell>
        </row>
        <row r="9737">
          <cell r="A9737" t="str">
            <v>South Africa</v>
          </cell>
          <cell r="B9737">
            <v>710</v>
          </cell>
          <cell r="C9737">
            <v>203</v>
          </cell>
          <cell r="D9737">
            <v>4</v>
          </cell>
          <cell r="E9737" t="str">
            <v>Compensation of employees</v>
          </cell>
          <cell r="F9737">
            <v>12</v>
          </cell>
          <cell r="G9737">
            <v>2000</v>
          </cell>
          <cell r="H9737">
            <v>100</v>
          </cell>
          <cell r="I9737">
            <v>442301000000</v>
          </cell>
        </row>
        <row r="9738">
          <cell r="A9738" t="str">
            <v>South Africa</v>
          </cell>
          <cell r="B9738">
            <v>710</v>
          </cell>
          <cell r="C9738">
            <v>203</v>
          </cell>
          <cell r="D9738">
            <v>4</v>
          </cell>
          <cell r="E9738" t="str">
            <v>Compensation of employees</v>
          </cell>
          <cell r="F9738">
            <v>12</v>
          </cell>
          <cell r="G9738">
            <v>2001</v>
          </cell>
          <cell r="H9738">
            <v>100</v>
          </cell>
          <cell r="I9738">
            <v>473851000000</v>
          </cell>
        </row>
        <row r="9739">
          <cell r="A9739" t="str">
            <v>South Africa</v>
          </cell>
          <cell r="B9739">
            <v>710</v>
          </cell>
          <cell r="C9739">
            <v>203</v>
          </cell>
          <cell r="D9739">
            <v>4</v>
          </cell>
          <cell r="E9739" t="str">
            <v>Compensation of employees</v>
          </cell>
          <cell r="F9739">
            <v>12</v>
          </cell>
          <cell r="G9739">
            <v>2002</v>
          </cell>
          <cell r="H9739">
            <v>100</v>
          </cell>
          <cell r="I9739">
            <v>517547000000</v>
          </cell>
        </row>
        <row r="9740">
          <cell r="A9740" t="str">
            <v>South Africa</v>
          </cell>
          <cell r="B9740">
            <v>710</v>
          </cell>
          <cell r="C9740">
            <v>203</v>
          </cell>
          <cell r="D9740">
            <v>4</v>
          </cell>
          <cell r="E9740" t="str">
            <v>Compensation of employees</v>
          </cell>
          <cell r="F9740">
            <v>12</v>
          </cell>
          <cell r="G9740">
            <v>2003</v>
          </cell>
          <cell r="H9740">
            <v>100</v>
          </cell>
          <cell r="I9740">
            <v>569376000000</v>
          </cell>
        </row>
        <row r="9741">
          <cell r="A9741" t="str">
            <v>Sudan</v>
          </cell>
          <cell r="B9741">
            <v>736</v>
          </cell>
          <cell r="C9741">
            <v>203</v>
          </cell>
          <cell r="D9741">
            <v>3</v>
          </cell>
          <cell r="E9741" t="str">
            <v>Equals: VALUE ADDED, GROSS, at basic prices</v>
          </cell>
          <cell r="F9741">
            <v>12</v>
          </cell>
          <cell r="G9741">
            <v>1972</v>
          </cell>
          <cell r="H9741">
            <v>30</v>
          </cell>
          <cell r="I9741">
            <v>861400000</v>
          </cell>
        </row>
        <row r="9742">
          <cell r="A9742" t="str">
            <v>Sudan</v>
          </cell>
          <cell r="B9742">
            <v>736</v>
          </cell>
          <cell r="C9742">
            <v>203</v>
          </cell>
          <cell r="D9742">
            <v>3</v>
          </cell>
          <cell r="E9742" t="str">
            <v>Equals: VALUE ADDED, GROSS, at basic prices</v>
          </cell>
          <cell r="F9742">
            <v>12</v>
          </cell>
          <cell r="G9742">
            <v>1978</v>
          </cell>
          <cell r="H9742">
            <v>30</v>
          </cell>
          <cell r="I9742">
            <v>3145400000</v>
          </cell>
        </row>
        <row r="9743">
          <cell r="A9743" t="str">
            <v>Sudan</v>
          </cell>
          <cell r="B9743">
            <v>736</v>
          </cell>
          <cell r="C9743">
            <v>203</v>
          </cell>
          <cell r="D9743">
            <v>3</v>
          </cell>
          <cell r="E9743" t="str">
            <v>Equals: VALUE ADDED, GROSS, at basic prices</v>
          </cell>
          <cell r="F9743">
            <v>12</v>
          </cell>
          <cell r="G9743">
            <v>1979</v>
          </cell>
          <cell r="H9743">
            <v>30</v>
          </cell>
          <cell r="I9743">
            <v>3761800000</v>
          </cell>
        </row>
        <row r="9744">
          <cell r="A9744" t="str">
            <v>Sudan</v>
          </cell>
          <cell r="B9744">
            <v>736</v>
          </cell>
          <cell r="C9744">
            <v>203</v>
          </cell>
          <cell r="D9744">
            <v>3</v>
          </cell>
          <cell r="E9744" t="str">
            <v>Equals: VALUE ADDED, GROSS, at basic prices</v>
          </cell>
          <cell r="F9744">
            <v>12</v>
          </cell>
          <cell r="G9744">
            <v>1980</v>
          </cell>
          <cell r="H9744">
            <v>30</v>
          </cell>
          <cell r="I9744">
            <v>4885500000</v>
          </cell>
        </row>
        <row r="9745">
          <cell r="A9745" t="str">
            <v>Sudan</v>
          </cell>
          <cell r="B9745">
            <v>736</v>
          </cell>
          <cell r="C9745">
            <v>203</v>
          </cell>
          <cell r="D9745">
            <v>3</v>
          </cell>
          <cell r="E9745" t="str">
            <v>Equals: VALUE ADDED, GROSS, at basic prices</v>
          </cell>
          <cell r="F9745">
            <v>12</v>
          </cell>
          <cell r="G9745">
            <v>1981</v>
          </cell>
          <cell r="H9745">
            <v>30</v>
          </cell>
          <cell r="I9745">
            <v>6491400000</v>
          </cell>
        </row>
        <row r="9746">
          <cell r="A9746" t="str">
            <v>Sudan</v>
          </cell>
          <cell r="B9746">
            <v>736</v>
          </cell>
          <cell r="C9746">
            <v>203</v>
          </cell>
          <cell r="D9746">
            <v>3</v>
          </cell>
          <cell r="E9746" t="str">
            <v>Equals: VALUE ADDED, GROSS, at basic prices</v>
          </cell>
          <cell r="F9746">
            <v>12</v>
          </cell>
          <cell r="G9746">
            <v>1982</v>
          </cell>
          <cell r="H9746">
            <v>30</v>
          </cell>
          <cell r="I9746">
            <v>8665100000</v>
          </cell>
        </row>
        <row r="9747">
          <cell r="A9747" t="str">
            <v>Sudan</v>
          </cell>
          <cell r="B9747">
            <v>736</v>
          </cell>
          <cell r="C9747">
            <v>203</v>
          </cell>
          <cell r="D9747">
            <v>3</v>
          </cell>
          <cell r="E9747" t="str">
            <v>Equals: VALUE ADDED, GROSS, at basic prices</v>
          </cell>
          <cell r="F9747">
            <v>12</v>
          </cell>
          <cell r="G9747">
            <v>1983</v>
          </cell>
          <cell r="H9747">
            <v>30</v>
          </cell>
          <cell r="I9747">
            <v>10803400000</v>
          </cell>
        </row>
        <row r="9748">
          <cell r="A9748" t="str">
            <v>Sudan</v>
          </cell>
          <cell r="B9748">
            <v>736</v>
          </cell>
          <cell r="C9748">
            <v>203</v>
          </cell>
          <cell r="D9748">
            <v>4</v>
          </cell>
          <cell r="E9748" t="str">
            <v>Compensation of employees</v>
          </cell>
          <cell r="F9748">
            <v>12</v>
          </cell>
          <cell r="G9748">
            <v>1970</v>
          </cell>
          <cell r="H9748">
            <v>30</v>
          </cell>
          <cell r="I9748">
            <v>334100000</v>
          </cell>
        </row>
        <row r="9749">
          <cell r="A9749" t="str">
            <v>Sudan</v>
          </cell>
          <cell r="B9749">
            <v>736</v>
          </cell>
          <cell r="C9749">
            <v>203</v>
          </cell>
          <cell r="D9749">
            <v>4</v>
          </cell>
          <cell r="E9749" t="str">
            <v>Compensation of employees</v>
          </cell>
          <cell r="F9749">
            <v>12</v>
          </cell>
          <cell r="G9749">
            <v>1971</v>
          </cell>
          <cell r="H9749">
            <v>30</v>
          </cell>
          <cell r="I9749">
            <v>375800000</v>
          </cell>
        </row>
        <row r="9750">
          <cell r="A9750" t="str">
            <v>Sudan</v>
          </cell>
          <cell r="B9750">
            <v>736</v>
          </cell>
          <cell r="C9750">
            <v>203</v>
          </cell>
          <cell r="D9750">
            <v>4</v>
          </cell>
          <cell r="E9750" t="str">
            <v>Compensation of employees</v>
          </cell>
          <cell r="F9750">
            <v>12</v>
          </cell>
          <cell r="G9750">
            <v>1972</v>
          </cell>
          <cell r="H9750">
            <v>30</v>
          </cell>
          <cell r="I9750">
            <v>433500000</v>
          </cell>
        </row>
        <row r="9751">
          <cell r="A9751" t="str">
            <v>Sudan</v>
          </cell>
          <cell r="B9751">
            <v>736</v>
          </cell>
          <cell r="C9751">
            <v>203</v>
          </cell>
          <cell r="D9751">
            <v>4</v>
          </cell>
          <cell r="E9751" t="str">
            <v>Compensation of employees</v>
          </cell>
          <cell r="F9751">
            <v>12</v>
          </cell>
          <cell r="G9751">
            <v>1973</v>
          </cell>
          <cell r="H9751">
            <v>30</v>
          </cell>
          <cell r="I9751">
            <v>596700000</v>
          </cell>
        </row>
        <row r="9752">
          <cell r="A9752" t="str">
            <v>Sudan</v>
          </cell>
          <cell r="B9752">
            <v>736</v>
          </cell>
          <cell r="C9752">
            <v>203</v>
          </cell>
          <cell r="D9752">
            <v>4</v>
          </cell>
          <cell r="E9752" t="str">
            <v>Compensation of employees</v>
          </cell>
          <cell r="F9752">
            <v>12</v>
          </cell>
          <cell r="G9752">
            <v>1974</v>
          </cell>
          <cell r="H9752">
            <v>30</v>
          </cell>
          <cell r="I9752">
            <v>708000000</v>
          </cell>
        </row>
        <row r="9753">
          <cell r="A9753" t="str">
            <v>Sudan</v>
          </cell>
          <cell r="B9753">
            <v>736</v>
          </cell>
          <cell r="C9753">
            <v>203</v>
          </cell>
          <cell r="D9753">
            <v>4</v>
          </cell>
          <cell r="E9753" t="str">
            <v>Compensation of employees</v>
          </cell>
          <cell r="F9753">
            <v>12</v>
          </cell>
          <cell r="G9753">
            <v>1975</v>
          </cell>
          <cell r="H9753">
            <v>30</v>
          </cell>
          <cell r="I9753">
            <v>832400000</v>
          </cell>
        </row>
        <row r="9754">
          <cell r="A9754" t="str">
            <v>Sudan</v>
          </cell>
          <cell r="B9754">
            <v>736</v>
          </cell>
          <cell r="C9754">
            <v>203</v>
          </cell>
          <cell r="D9754">
            <v>4</v>
          </cell>
          <cell r="E9754" t="str">
            <v>Compensation of employees</v>
          </cell>
          <cell r="F9754">
            <v>12</v>
          </cell>
          <cell r="G9754">
            <v>1976</v>
          </cell>
          <cell r="H9754">
            <v>30</v>
          </cell>
          <cell r="I9754">
            <v>1053100000</v>
          </cell>
        </row>
        <row r="9755">
          <cell r="A9755" t="str">
            <v>Sudan</v>
          </cell>
          <cell r="B9755">
            <v>736</v>
          </cell>
          <cell r="C9755">
            <v>203</v>
          </cell>
          <cell r="D9755">
            <v>4</v>
          </cell>
          <cell r="E9755" t="str">
            <v>Compensation of employees</v>
          </cell>
          <cell r="F9755">
            <v>12</v>
          </cell>
          <cell r="G9755">
            <v>1977</v>
          </cell>
          <cell r="H9755">
            <v>30</v>
          </cell>
          <cell r="I9755">
            <v>1275500000</v>
          </cell>
        </row>
        <row r="9756">
          <cell r="A9756" t="str">
            <v>Sudan</v>
          </cell>
          <cell r="B9756">
            <v>736</v>
          </cell>
          <cell r="C9756">
            <v>203</v>
          </cell>
          <cell r="D9756">
            <v>4</v>
          </cell>
          <cell r="E9756" t="str">
            <v>Compensation of employees</v>
          </cell>
          <cell r="F9756">
            <v>12</v>
          </cell>
          <cell r="G9756">
            <v>1978</v>
          </cell>
          <cell r="H9756">
            <v>30</v>
          </cell>
          <cell r="I9756">
            <v>1276500000</v>
          </cell>
        </row>
        <row r="9757">
          <cell r="A9757" t="str">
            <v>Sudan</v>
          </cell>
          <cell r="B9757">
            <v>736</v>
          </cell>
          <cell r="C9757">
            <v>203</v>
          </cell>
          <cell r="D9757">
            <v>4</v>
          </cell>
          <cell r="E9757" t="str">
            <v>Compensation of employees</v>
          </cell>
          <cell r="F9757">
            <v>12</v>
          </cell>
          <cell r="G9757">
            <v>1979</v>
          </cell>
          <cell r="H9757">
            <v>30</v>
          </cell>
          <cell r="I9757">
            <v>1371200000</v>
          </cell>
        </row>
        <row r="9758">
          <cell r="A9758" t="str">
            <v>Sudan</v>
          </cell>
          <cell r="B9758">
            <v>736</v>
          </cell>
          <cell r="C9758">
            <v>203</v>
          </cell>
          <cell r="D9758">
            <v>4</v>
          </cell>
          <cell r="E9758" t="str">
            <v>Compensation of employees</v>
          </cell>
          <cell r="F9758">
            <v>12</v>
          </cell>
          <cell r="G9758">
            <v>1980</v>
          </cell>
          <cell r="H9758">
            <v>30</v>
          </cell>
          <cell r="I9758">
            <v>1757100000</v>
          </cell>
        </row>
        <row r="9759">
          <cell r="A9759" t="str">
            <v>Sudan</v>
          </cell>
          <cell r="B9759">
            <v>736</v>
          </cell>
          <cell r="C9759">
            <v>203</v>
          </cell>
          <cell r="D9759">
            <v>4</v>
          </cell>
          <cell r="E9759" t="str">
            <v>Compensation of employees</v>
          </cell>
          <cell r="F9759">
            <v>12</v>
          </cell>
          <cell r="G9759">
            <v>1981</v>
          </cell>
          <cell r="H9759">
            <v>30</v>
          </cell>
          <cell r="I9759">
            <v>2347800000</v>
          </cell>
        </row>
        <row r="9760">
          <cell r="A9760" t="str">
            <v>Sudan</v>
          </cell>
          <cell r="B9760">
            <v>736</v>
          </cell>
          <cell r="C9760">
            <v>203</v>
          </cell>
          <cell r="D9760">
            <v>4</v>
          </cell>
          <cell r="E9760" t="str">
            <v>Compensation of employees</v>
          </cell>
          <cell r="F9760">
            <v>12</v>
          </cell>
          <cell r="G9760">
            <v>1982</v>
          </cell>
          <cell r="H9760">
            <v>30</v>
          </cell>
          <cell r="I9760">
            <v>3084000000</v>
          </cell>
        </row>
        <row r="9761">
          <cell r="A9761" t="str">
            <v>Sudan</v>
          </cell>
          <cell r="B9761">
            <v>736</v>
          </cell>
          <cell r="C9761">
            <v>203</v>
          </cell>
          <cell r="D9761">
            <v>4</v>
          </cell>
          <cell r="E9761" t="str">
            <v>Compensation of employees</v>
          </cell>
          <cell r="F9761">
            <v>12</v>
          </cell>
          <cell r="G9761">
            <v>1983</v>
          </cell>
          <cell r="H9761">
            <v>30</v>
          </cell>
          <cell r="I9761">
            <v>3895100000</v>
          </cell>
        </row>
        <row r="9762">
          <cell r="A9762" t="str">
            <v>South Africa</v>
          </cell>
          <cell r="B9762">
            <v>710</v>
          </cell>
          <cell r="C9762">
            <v>203</v>
          </cell>
          <cell r="D9762">
            <v>11</v>
          </cell>
          <cell r="E9762" t="str">
            <v>OPERATING SURPLUS, GROSS</v>
          </cell>
          <cell r="F9762">
            <v>12</v>
          </cell>
          <cell r="G9762">
            <v>1989</v>
          </cell>
          <cell r="H9762">
            <v>100</v>
          </cell>
          <cell r="I9762">
            <v>98234000000</v>
          </cell>
        </row>
        <row r="9763">
          <cell r="A9763" t="str">
            <v>South Africa</v>
          </cell>
          <cell r="B9763">
            <v>710</v>
          </cell>
          <cell r="C9763">
            <v>203</v>
          </cell>
          <cell r="D9763">
            <v>11</v>
          </cell>
          <cell r="E9763" t="str">
            <v>OPERATING SURPLUS, GROSS</v>
          </cell>
          <cell r="F9763">
            <v>12</v>
          </cell>
          <cell r="G9763">
            <v>1990</v>
          </cell>
          <cell r="H9763">
            <v>100</v>
          </cell>
          <cell r="I9763">
            <v>111242000000</v>
          </cell>
        </row>
        <row r="9764">
          <cell r="A9764" t="str">
            <v>South Africa</v>
          </cell>
          <cell r="B9764">
            <v>710</v>
          </cell>
          <cell r="C9764">
            <v>203</v>
          </cell>
          <cell r="D9764">
            <v>11</v>
          </cell>
          <cell r="E9764" t="str">
            <v>OPERATING SURPLUS, GROSS</v>
          </cell>
          <cell r="F9764">
            <v>12</v>
          </cell>
          <cell r="G9764">
            <v>1991</v>
          </cell>
          <cell r="H9764">
            <v>100</v>
          </cell>
          <cell r="I9764">
            <v>128602000000</v>
          </cell>
        </row>
        <row r="9765">
          <cell r="A9765" t="str">
            <v>South Africa</v>
          </cell>
          <cell r="B9765">
            <v>710</v>
          </cell>
          <cell r="C9765">
            <v>203</v>
          </cell>
          <cell r="D9765">
            <v>11</v>
          </cell>
          <cell r="E9765" t="str">
            <v>OPERATING SURPLUS, GROSS</v>
          </cell>
          <cell r="F9765">
            <v>12</v>
          </cell>
          <cell r="G9765">
            <v>1992</v>
          </cell>
          <cell r="H9765">
            <v>100</v>
          </cell>
          <cell r="I9765">
            <v>144307000000</v>
          </cell>
        </row>
        <row r="9766">
          <cell r="A9766" t="str">
            <v>South Africa</v>
          </cell>
          <cell r="B9766">
            <v>710</v>
          </cell>
          <cell r="C9766">
            <v>203</v>
          </cell>
          <cell r="D9766">
            <v>11</v>
          </cell>
          <cell r="E9766" t="str">
            <v>OPERATING SURPLUS, GROSS</v>
          </cell>
          <cell r="F9766">
            <v>12</v>
          </cell>
          <cell r="G9766">
            <v>1993</v>
          </cell>
          <cell r="H9766">
            <v>100</v>
          </cell>
          <cell r="I9766">
            <v>167177000000</v>
          </cell>
        </row>
        <row r="9767">
          <cell r="A9767" t="str">
            <v>South Africa</v>
          </cell>
          <cell r="B9767">
            <v>710</v>
          </cell>
          <cell r="C9767">
            <v>203</v>
          </cell>
          <cell r="D9767">
            <v>11</v>
          </cell>
          <cell r="E9767" t="str">
            <v>OPERATING SURPLUS, GROSS</v>
          </cell>
          <cell r="F9767">
            <v>12</v>
          </cell>
          <cell r="G9767">
            <v>1994</v>
          </cell>
          <cell r="H9767">
            <v>100</v>
          </cell>
          <cell r="I9767">
            <v>190960000000</v>
          </cell>
        </row>
        <row r="9768">
          <cell r="A9768" t="str">
            <v>South Africa</v>
          </cell>
          <cell r="B9768">
            <v>710</v>
          </cell>
          <cell r="C9768">
            <v>203</v>
          </cell>
          <cell r="D9768">
            <v>11</v>
          </cell>
          <cell r="E9768" t="str">
            <v>OPERATING SURPLUS, GROSS</v>
          </cell>
          <cell r="F9768">
            <v>12</v>
          </cell>
          <cell r="G9768">
            <v>1995</v>
          </cell>
          <cell r="H9768">
            <v>100</v>
          </cell>
          <cell r="I9768">
            <v>217516000000</v>
          </cell>
        </row>
        <row r="9769">
          <cell r="A9769" t="str">
            <v>South Africa</v>
          </cell>
          <cell r="B9769">
            <v>710</v>
          </cell>
          <cell r="C9769">
            <v>203</v>
          </cell>
          <cell r="D9769">
            <v>11</v>
          </cell>
          <cell r="E9769" t="str">
            <v>OPERATING SURPLUS, GROSS</v>
          </cell>
          <cell r="F9769">
            <v>12</v>
          </cell>
          <cell r="G9769">
            <v>1996</v>
          </cell>
          <cell r="H9769">
            <v>100</v>
          </cell>
          <cell r="I9769">
            <v>248448000000</v>
          </cell>
        </row>
        <row r="9770">
          <cell r="A9770" t="str">
            <v>South Africa</v>
          </cell>
          <cell r="B9770">
            <v>710</v>
          </cell>
          <cell r="C9770">
            <v>203</v>
          </cell>
          <cell r="D9770">
            <v>11</v>
          </cell>
          <cell r="E9770" t="str">
            <v>OPERATING SURPLUS, GROSS</v>
          </cell>
          <cell r="F9770">
            <v>12</v>
          </cell>
          <cell r="G9770">
            <v>1997</v>
          </cell>
          <cell r="H9770">
            <v>100</v>
          </cell>
          <cell r="I9770">
            <v>275385000000</v>
          </cell>
        </row>
        <row r="9771">
          <cell r="A9771" t="str">
            <v>South Africa</v>
          </cell>
          <cell r="B9771">
            <v>710</v>
          </cell>
          <cell r="C9771">
            <v>203</v>
          </cell>
          <cell r="D9771">
            <v>11</v>
          </cell>
          <cell r="E9771" t="str">
            <v>OPERATING SURPLUS, GROSS</v>
          </cell>
          <cell r="F9771">
            <v>12</v>
          </cell>
          <cell r="G9771">
            <v>1998</v>
          </cell>
          <cell r="H9771">
            <v>100</v>
          </cell>
          <cell r="I9771">
            <v>289546000000</v>
          </cell>
        </row>
        <row r="9772">
          <cell r="A9772" t="str">
            <v>South Africa</v>
          </cell>
          <cell r="B9772">
            <v>710</v>
          </cell>
          <cell r="C9772">
            <v>203</v>
          </cell>
          <cell r="D9772">
            <v>11</v>
          </cell>
          <cell r="E9772" t="str">
            <v>OPERATING SURPLUS, GROSS</v>
          </cell>
          <cell r="F9772">
            <v>12</v>
          </cell>
          <cell r="G9772">
            <v>1999</v>
          </cell>
          <cell r="H9772">
            <v>100</v>
          </cell>
          <cell r="I9772">
            <v>318364000000</v>
          </cell>
        </row>
        <row r="9773">
          <cell r="A9773" t="str">
            <v>South Africa</v>
          </cell>
          <cell r="B9773">
            <v>710</v>
          </cell>
          <cell r="C9773">
            <v>203</v>
          </cell>
          <cell r="D9773">
            <v>11</v>
          </cell>
          <cell r="E9773" t="str">
            <v>OPERATING SURPLUS, GROSS</v>
          </cell>
          <cell r="F9773">
            <v>12</v>
          </cell>
          <cell r="G9773">
            <v>2000</v>
          </cell>
          <cell r="H9773">
            <v>100</v>
          </cell>
          <cell r="I9773">
            <v>377770000000</v>
          </cell>
        </row>
        <row r="9774">
          <cell r="A9774" t="str">
            <v>South Africa</v>
          </cell>
          <cell r="B9774">
            <v>710</v>
          </cell>
          <cell r="C9774">
            <v>203</v>
          </cell>
          <cell r="D9774">
            <v>11</v>
          </cell>
          <cell r="E9774" t="str">
            <v>OPERATING SURPLUS, GROSS</v>
          </cell>
          <cell r="F9774">
            <v>12</v>
          </cell>
          <cell r="G9774">
            <v>2001</v>
          </cell>
          <cell r="H9774">
            <v>100</v>
          </cell>
          <cell r="I9774">
            <v>436515000000</v>
          </cell>
        </row>
        <row r="9775">
          <cell r="A9775" t="str">
            <v>South Africa</v>
          </cell>
          <cell r="B9775">
            <v>710</v>
          </cell>
          <cell r="C9775">
            <v>203</v>
          </cell>
          <cell r="D9775">
            <v>11</v>
          </cell>
          <cell r="E9775" t="str">
            <v>OPERATING SURPLUS, GROSS</v>
          </cell>
          <cell r="F9775">
            <v>12</v>
          </cell>
          <cell r="G9775">
            <v>2002</v>
          </cell>
          <cell r="H9775">
            <v>100</v>
          </cell>
          <cell r="I9775">
            <v>523671000000</v>
          </cell>
        </row>
        <row r="9776">
          <cell r="A9776" t="str">
            <v>South Africa</v>
          </cell>
          <cell r="B9776">
            <v>710</v>
          </cell>
          <cell r="C9776">
            <v>203</v>
          </cell>
          <cell r="D9776">
            <v>11</v>
          </cell>
          <cell r="E9776" t="str">
            <v>OPERATING SURPLUS, GROSS</v>
          </cell>
          <cell r="F9776">
            <v>12</v>
          </cell>
          <cell r="G9776">
            <v>2003</v>
          </cell>
          <cell r="H9776">
            <v>100</v>
          </cell>
          <cell r="I9776">
            <v>541689000000</v>
          </cell>
        </row>
        <row r="9777">
          <cell r="A9777" t="str">
            <v>Sudan</v>
          </cell>
          <cell r="B9777">
            <v>736</v>
          </cell>
          <cell r="C9777">
            <v>203</v>
          </cell>
          <cell r="D9777">
            <v>11</v>
          </cell>
          <cell r="E9777" t="str">
            <v>OPERATING SURPLUS, GROSS</v>
          </cell>
          <cell r="F9777">
            <v>12</v>
          </cell>
          <cell r="G9777">
            <v>1970</v>
          </cell>
          <cell r="H9777">
            <v>30</v>
          </cell>
          <cell r="I9777">
            <v>327200000</v>
          </cell>
        </row>
        <row r="9778">
          <cell r="A9778" t="str">
            <v>Sudan</v>
          </cell>
          <cell r="B9778">
            <v>736</v>
          </cell>
          <cell r="C9778">
            <v>203</v>
          </cell>
          <cell r="D9778">
            <v>11</v>
          </cell>
          <cell r="E9778" t="str">
            <v>OPERATING SURPLUS, GROSS</v>
          </cell>
          <cell r="F9778">
            <v>12</v>
          </cell>
          <cell r="G9778">
            <v>1971</v>
          </cell>
          <cell r="H9778">
            <v>30</v>
          </cell>
          <cell r="I9778">
            <v>347600000</v>
          </cell>
        </row>
        <row r="9779">
          <cell r="A9779" t="str">
            <v>Sudan</v>
          </cell>
          <cell r="B9779">
            <v>736</v>
          </cell>
          <cell r="C9779">
            <v>203</v>
          </cell>
          <cell r="D9779">
            <v>11</v>
          </cell>
          <cell r="E9779" t="str">
            <v>OPERATING SURPLUS, GROSS</v>
          </cell>
          <cell r="F9779">
            <v>12</v>
          </cell>
          <cell r="G9779">
            <v>1972</v>
          </cell>
          <cell r="H9779">
            <v>30</v>
          </cell>
          <cell r="I9779">
            <v>363400000</v>
          </cell>
        </row>
        <row r="9780">
          <cell r="A9780" t="str">
            <v>Sudan</v>
          </cell>
          <cell r="B9780">
            <v>736</v>
          </cell>
          <cell r="C9780">
            <v>203</v>
          </cell>
          <cell r="D9780">
            <v>11</v>
          </cell>
          <cell r="E9780" t="str">
            <v>OPERATING SURPLUS, GROSS</v>
          </cell>
          <cell r="F9780">
            <v>12</v>
          </cell>
          <cell r="G9780">
            <v>1973</v>
          </cell>
          <cell r="H9780">
            <v>30</v>
          </cell>
          <cell r="I9780">
            <v>534500000</v>
          </cell>
        </row>
        <row r="9781">
          <cell r="A9781" t="str">
            <v>Sudan</v>
          </cell>
          <cell r="B9781">
            <v>736</v>
          </cell>
          <cell r="C9781">
            <v>203</v>
          </cell>
          <cell r="D9781">
            <v>11</v>
          </cell>
          <cell r="E9781" t="str">
            <v>OPERATING SURPLUS, GROSS</v>
          </cell>
          <cell r="F9781">
            <v>12</v>
          </cell>
          <cell r="G9781">
            <v>1974</v>
          </cell>
          <cell r="H9781">
            <v>30</v>
          </cell>
          <cell r="I9781">
            <v>653100000</v>
          </cell>
        </row>
        <row r="9782">
          <cell r="A9782" t="str">
            <v>Sudan</v>
          </cell>
          <cell r="B9782">
            <v>736</v>
          </cell>
          <cell r="C9782">
            <v>203</v>
          </cell>
          <cell r="D9782">
            <v>11</v>
          </cell>
          <cell r="E9782" t="str">
            <v>OPERATING SURPLUS, GROSS</v>
          </cell>
          <cell r="F9782">
            <v>12</v>
          </cell>
          <cell r="G9782">
            <v>1975</v>
          </cell>
          <cell r="H9782">
            <v>30</v>
          </cell>
          <cell r="I9782">
            <v>810200000</v>
          </cell>
        </row>
        <row r="9783">
          <cell r="A9783" t="str">
            <v>Sudan</v>
          </cell>
          <cell r="B9783">
            <v>736</v>
          </cell>
          <cell r="C9783">
            <v>203</v>
          </cell>
          <cell r="D9783">
            <v>11</v>
          </cell>
          <cell r="E9783" t="str">
            <v>OPERATING SURPLUS, GROSS</v>
          </cell>
          <cell r="F9783">
            <v>12</v>
          </cell>
          <cell r="G9783">
            <v>1976</v>
          </cell>
          <cell r="H9783">
            <v>30</v>
          </cell>
          <cell r="I9783">
            <v>1064200000</v>
          </cell>
        </row>
        <row r="9784">
          <cell r="A9784" t="str">
            <v>Sudan</v>
          </cell>
          <cell r="B9784">
            <v>736</v>
          </cell>
          <cell r="C9784">
            <v>203</v>
          </cell>
          <cell r="D9784">
            <v>11</v>
          </cell>
          <cell r="E9784" t="str">
            <v>OPERATING SURPLUS, GROSS</v>
          </cell>
          <cell r="F9784">
            <v>12</v>
          </cell>
          <cell r="G9784">
            <v>1977</v>
          </cell>
          <cell r="H9784">
            <v>30</v>
          </cell>
          <cell r="I9784">
            <v>1339000000</v>
          </cell>
        </row>
        <row r="9785">
          <cell r="A9785" t="str">
            <v>Sudan</v>
          </cell>
          <cell r="B9785">
            <v>736</v>
          </cell>
          <cell r="C9785">
            <v>203</v>
          </cell>
          <cell r="D9785">
            <v>11</v>
          </cell>
          <cell r="E9785" t="str">
            <v>OPERATING SURPLUS, GROSS</v>
          </cell>
          <cell r="F9785">
            <v>12</v>
          </cell>
          <cell r="G9785">
            <v>1978</v>
          </cell>
          <cell r="H9785">
            <v>30</v>
          </cell>
          <cell r="I9785">
            <v>1661300000</v>
          </cell>
        </row>
        <row r="9786">
          <cell r="A9786" t="str">
            <v>Sudan</v>
          </cell>
          <cell r="B9786">
            <v>736</v>
          </cell>
          <cell r="C9786">
            <v>203</v>
          </cell>
          <cell r="D9786">
            <v>11</v>
          </cell>
          <cell r="E9786" t="str">
            <v>OPERATING SURPLUS, GROSS</v>
          </cell>
          <cell r="F9786">
            <v>12</v>
          </cell>
          <cell r="G9786">
            <v>1979</v>
          </cell>
          <cell r="H9786">
            <v>30</v>
          </cell>
          <cell r="I9786">
            <v>2234900000</v>
          </cell>
        </row>
        <row r="9787">
          <cell r="A9787" t="str">
            <v>Sudan</v>
          </cell>
          <cell r="B9787">
            <v>736</v>
          </cell>
          <cell r="C9787">
            <v>203</v>
          </cell>
          <cell r="D9787">
            <v>11</v>
          </cell>
          <cell r="E9787" t="str">
            <v>OPERATING SURPLUS, GROSS</v>
          </cell>
          <cell r="F9787">
            <v>12</v>
          </cell>
          <cell r="G9787">
            <v>1980</v>
          </cell>
          <cell r="H9787">
            <v>30</v>
          </cell>
          <cell r="I9787">
            <v>2980600000</v>
          </cell>
        </row>
        <row r="9788">
          <cell r="A9788" t="str">
            <v>Sudan</v>
          </cell>
          <cell r="B9788">
            <v>736</v>
          </cell>
          <cell r="C9788">
            <v>203</v>
          </cell>
          <cell r="D9788">
            <v>11</v>
          </cell>
          <cell r="E9788" t="str">
            <v>OPERATING SURPLUS, GROSS</v>
          </cell>
          <cell r="F9788">
            <v>12</v>
          </cell>
          <cell r="G9788">
            <v>1981</v>
          </cell>
          <cell r="H9788">
            <v>30</v>
          </cell>
          <cell r="I9788">
            <v>3996700000</v>
          </cell>
        </row>
        <row r="9789">
          <cell r="A9789" t="str">
            <v>Sudan</v>
          </cell>
          <cell r="B9789">
            <v>736</v>
          </cell>
          <cell r="C9789">
            <v>203</v>
          </cell>
          <cell r="D9789">
            <v>11</v>
          </cell>
          <cell r="E9789" t="str">
            <v>OPERATING SURPLUS, GROSS</v>
          </cell>
          <cell r="F9789">
            <v>12</v>
          </cell>
          <cell r="G9789">
            <v>1982</v>
          </cell>
          <cell r="H9789">
            <v>30</v>
          </cell>
          <cell r="I9789">
            <v>5387600000</v>
          </cell>
        </row>
        <row r="9790">
          <cell r="A9790" t="str">
            <v>Sudan</v>
          </cell>
          <cell r="B9790">
            <v>736</v>
          </cell>
          <cell r="C9790">
            <v>203</v>
          </cell>
          <cell r="D9790">
            <v>11</v>
          </cell>
          <cell r="E9790" t="str">
            <v>OPERATING SURPLUS, GROSS</v>
          </cell>
          <cell r="F9790">
            <v>12</v>
          </cell>
          <cell r="G9790">
            <v>1983</v>
          </cell>
          <cell r="H9790">
            <v>30</v>
          </cell>
          <cell r="I9790">
            <v>6680800000</v>
          </cell>
        </row>
        <row r="9791">
          <cell r="A9791" t="str">
            <v>South Africa</v>
          </cell>
          <cell r="B9791">
            <v>710</v>
          </cell>
          <cell r="C9791">
            <v>203</v>
          </cell>
          <cell r="D9791">
            <v>22</v>
          </cell>
          <cell r="E9791" t="str">
            <v>Taxes on production and imports, less Subsidies</v>
          </cell>
          <cell r="F9791">
            <v>12</v>
          </cell>
          <cell r="G9791">
            <v>1989</v>
          </cell>
          <cell r="H9791">
            <v>100</v>
          </cell>
          <cell r="I9791">
            <v>2703000000</v>
          </cell>
        </row>
        <row r="9792">
          <cell r="A9792" t="str">
            <v>South Africa</v>
          </cell>
          <cell r="B9792">
            <v>710</v>
          </cell>
          <cell r="C9792">
            <v>203</v>
          </cell>
          <cell r="D9792">
            <v>22</v>
          </cell>
          <cell r="E9792" t="str">
            <v>Taxes on production and imports, less Subsidies</v>
          </cell>
          <cell r="F9792">
            <v>12</v>
          </cell>
          <cell r="G9792">
            <v>1990</v>
          </cell>
          <cell r="H9792">
            <v>100</v>
          </cell>
          <cell r="I9792">
            <v>3064000000</v>
          </cell>
        </row>
        <row r="9793">
          <cell r="A9793" t="str">
            <v>South Africa</v>
          </cell>
          <cell r="B9793">
            <v>710</v>
          </cell>
          <cell r="C9793">
            <v>203</v>
          </cell>
          <cell r="D9793">
            <v>22</v>
          </cell>
          <cell r="E9793" t="str">
            <v>Taxes on production and imports, less Subsidies</v>
          </cell>
          <cell r="F9793">
            <v>12</v>
          </cell>
          <cell r="G9793">
            <v>1991</v>
          </cell>
          <cell r="H9793">
            <v>100</v>
          </cell>
          <cell r="I9793">
            <v>3364000000</v>
          </cell>
        </row>
        <row r="9794">
          <cell r="A9794" t="str">
            <v>South Africa</v>
          </cell>
          <cell r="B9794">
            <v>710</v>
          </cell>
          <cell r="C9794">
            <v>203</v>
          </cell>
          <cell r="D9794">
            <v>22</v>
          </cell>
          <cell r="E9794" t="str">
            <v>Taxes on production and imports, less Subsidies</v>
          </cell>
          <cell r="F9794">
            <v>12</v>
          </cell>
          <cell r="G9794">
            <v>1992</v>
          </cell>
          <cell r="H9794">
            <v>100</v>
          </cell>
          <cell r="I9794">
            <v>4152000000</v>
          </cell>
        </row>
        <row r="9795">
          <cell r="A9795" t="str">
            <v>South Africa</v>
          </cell>
          <cell r="B9795">
            <v>710</v>
          </cell>
          <cell r="C9795">
            <v>203</v>
          </cell>
          <cell r="D9795">
            <v>22</v>
          </cell>
          <cell r="E9795" t="str">
            <v>Taxes on production and imports, less Subsidies</v>
          </cell>
          <cell r="F9795">
            <v>12</v>
          </cell>
          <cell r="G9795">
            <v>1993</v>
          </cell>
          <cell r="H9795">
            <v>100</v>
          </cell>
          <cell r="I9795">
            <v>5506000000</v>
          </cell>
        </row>
        <row r="9796">
          <cell r="A9796" t="str">
            <v>South Africa</v>
          </cell>
          <cell r="B9796">
            <v>710</v>
          </cell>
          <cell r="C9796">
            <v>203</v>
          </cell>
          <cell r="D9796">
            <v>22</v>
          </cell>
          <cell r="E9796" t="str">
            <v>Taxes on production and imports, less Subsidies</v>
          </cell>
          <cell r="F9796">
            <v>12</v>
          </cell>
          <cell r="G9796">
            <v>1994</v>
          </cell>
          <cell r="H9796">
            <v>100</v>
          </cell>
          <cell r="I9796">
            <v>7019000000</v>
          </cell>
        </row>
        <row r="9797">
          <cell r="A9797" t="str">
            <v>South Africa</v>
          </cell>
          <cell r="B9797">
            <v>710</v>
          </cell>
          <cell r="C9797">
            <v>203</v>
          </cell>
          <cell r="D9797">
            <v>22</v>
          </cell>
          <cell r="E9797" t="str">
            <v>Taxes on production and imports, less Subsidies</v>
          </cell>
          <cell r="F9797">
            <v>12</v>
          </cell>
          <cell r="G9797">
            <v>1995</v>
          </cell>
          <cell r="H9797">
            <v>100</v>
          </cell>
          <cell r="I9797">
            <v>8164000000</v>
          </cell>
        </row>
        <row r="9798">
          <cell r="A9798" t="str">
            <v>South Africa</v>
          </cell>
          <cell r="B9798">
            <v>710</v>
          </cell>
          <cell r="C9798">
            <v>203</v>
          </cell>
          <cell r="D9798">
            <v>22</v>
          </cell>
          <cell r="E9798" t="str">
            <v>Taxes on production and imports, less Subsidies</v>
          </cell>
          <cell r="F9798">
            <v>12</v>
          </cell>
          <cell r="G9798">
            <v>1996</v>
          </cell>
          <cell r="H9798">
            <v>100</v>
          </cell>
          <cell r="I9798">
            <v>8901000000</v>
          </cell>
        </row>
        <row r="9799">
          <cell r="A9799" t="str">
            <v>South Africa</v>
          </cell>
          <cell r="B9799">
            <v>710</v>
          </cell>
          <cell r="C9799">
            <v>203</v>
          </cell>
          <cell r="D9799">
            <v>22</v>
          </cell>
          <cell r="E9799" t="str">
            <v>Taxes on production and imports, less Subsidies</v>
          </cell>
          <cell r="F9799">
            <v>12</v>
          </cell>
          <cell r="G9799">
            <v>1997</v>
          </cell>
          <cell r="H9799">
            <v>100</v>
          </cell>
          <cell r="I9799">
            <v>11710000000</v>
          </cell>
        </row>
        <row r="9800">
          <cell r="A9800" t="str">
            <v>South Africa</v>
          </cell>
          <cell r="B9800">
            <v>710</v>
          </cell>
          <cell r="C9800">
            <v>203</v>
          </cell>
          <cell r="D9800">
            <v>22</v>
          </cell>
          <cell r="E9800" t="str">
            <v>Taxes on production and imports, less Subsidies</v>
          </cell>
          <cell r="F9800">
            <v>12</v>
          </cell>
          <cell r="G9800">
            <v>1998</v>
          </cell>
          <cell r="H9800">
            <v>100</v>
          </cell>
          <cell r="I9800">
            <v>12787000000</v>
          </cell>
        </row>
        <row r="9801">
          <cell r="A9801" t="str">
            <v>South Africa</v>
          </cell>
          <cell r="B9801">
            <v>710</v>
          </cell>
          <cell r="C9801">
            <v>203</v>
          </cell>
          <cell r="D9801">
            <v>22</v>
          </cell>
          <cell r="E9801" t="str">
            <v>Taxes on production and imports, less Subsidies</v>
          </cell>
          <cell r="F9801">
            <v>12</v>
          </cell>
          <cell r="G9801">
            <v>1999</v>
          </cell>
          <cell r="H9801">
            <v>100</v>
          </cell>
          <cell r="I9801">
            <v>16091000000</v>
          </cell>
        </row>
        <row r="9802">
          <cell r="A9802" t="str">
            <v>South Africa</v>
          </cell>
          <cell r="B9802">
            <v>710</v>
          </cell>
          <cell r="C9802">
            <v>203</v>
          </cell>
          <cell r="D9802">
            <v>22</v>
          </cell>
          <cell r="E9802" t="str">
            <v>Taxes on production and imports, less Subsidies</v>
          </cell>
          <cell r="F9802">
            <v>12</v>
          </cell>
          <cell r="G9802">
            <v>2000</v>
          </cell>
          <cell r="H9802">
            <v>100</v>
          </cell>
          <cell r="I9802">
            <v>18147000000</v>
          </cell>
        </row>
        <row r="9803">
          <cell r="A9803" t="str">
            <v>South Africa</v>
          </cell>
          <cell r="B9803">
            <v>710</v>
          </cell>
          <cell r="C9803">
            <v>203</v>
          </cell>
          <cell r="D9803">
            <v>22</v>
          </cell>
          <cell r="E9803" t="str">
            <v>Taxes on production and imports, less Subsidies</v>
          </cell>
          <cell r="F9803">
            <v>12</v>
          </cell>
          <cell r="G9803">
            <v>2001</v>
          </cell>
          <cell r="H9803">
            <v>100</v>
          </cell>
          <cell r="I9803">
            <v>17849000000</v>
          </cell>
        </row>
        <row r="9804">
          <cell r="A9804" t="str">
            <v>South Africa</v>
          </cell>
          <cell r="B9804">
            <v>710</v>
          </cell>
          <cell r="C9804">
            <v>203</v>
          </cell>
          <cell r="D9804">
            <v>22</v>
          </cell>
          <cell r="E9804" t="str">
            <v>Taxes on production and imports, less Subsidies</v>
          </cell>
          <cell r="F9804">
            <v>12</v>
          </cell>
          <cell r="G9804">
            <v>2002</v>
          </cell>
          <cell r="H9804">
            <v>100</v>
          </cell>
          <cell r="I9804">
            <v>18571000000</v>
          </cell>
        </row>
        <row r="9805">
          <cell r="A9805" t="str">
            <v>South Africa</v>
          </cell>
          <cell r="B9805">
            <v>710</v>
          </cell>
          <cell r="C9805">
            <v>203</v>
          </cell>
          <cell r="D9805">
            <v>22</v>
          </cell>
          <cell r="E9805" t="str">
            <v>Taxes on production and imports, less Subsidies</v>
          </cell>
          <cell r="F9805">
            <v>12</v>
          </cell>
          <cell r="G9805">
            <v>2003</v>
          </cell>
          <cell r="H9805">
            <v>100</v>
          </cell>
          <cell r="I9805">
            <v>23520000000</v>
          </cell>
        </row>
        <row r="9806">
          <cell r="A9806" t="str">
            <v>Sweden</v>
          </cell>
          <cell r="B9806">
            <v>752</v>
          </cell>
          <cell r="C9806">
            <v>201</v>
          </cell>
          <cell r="D9806">
            <v>13</v>
          </cell>
          <cell r="E9806" t="str">
            <v>Less: Financial intermediation services indirectly measured (FISIM) (only to be deducted if FISIM is not distributed to uses)</v>
          </cell>
          <cell r="F9806">
            <v>0</v>
          </cell>
          <cell r="G9806">
            <v>1970</v>
          </cell>
          <cell r="H9806">
            <v>100</v>
          </cell>
          <cell r="I9806">
            <v>4432118550.5770502</v>
          </cell>
        </row>
        <row r="9807">
          <cell r="A9807" t="str">
            <v>Sweden</v>
          </cell>
          <cell r="B9807">
            <v>752</v>
          </cell>
          <cell r="C9807">
            <v>201</v>
          </cell>
          <cell r="D9807">
            <v>13</v>
          </cell>
          <cell r="E9807" t="str">
            <v>Less: Financial intermediation services indirectly measured (FISIM) (only to be deducted if FISIM is not distributed to uses)</v>
          </cell>
          <cell r="F9807">
            <v>0</v>
          </cell>
          <cell r="G9807">
            <v>1971</v>
          </cell>
          <cell r="H9807">
            <v>100</v>
          </cell>
          <cell r="I9807">
            <v>4836403598.0991201</v>
          </cell>
        </row>
        <row r="9808">
          <cell r="A9808" t="str">
            <v>Sweden</v>
          </cell>
          <cell r="B9808">
            <v>752</v>
          </cell>
          <cell r="C9808">
            <v>201</v>
          </cell>
          <cell r="D9808">
            <v>13</v>
          </cell>
          <cell r="E9808" t="str">
            <v>Less: Financial intermediation services indirectly measured (FISIM) (only to be deducted if FISIM is not distributed to uses)</v>
          </cell>
          <cell r="F9808">
            <v>0</v>
          </cell>
          <cell r="G9808">
            <v>1972</v>
          </cell>
          <cell r="H9808">
            <v>100</v>
          </cell>
          <cell r="I9808">
            <v>5371852511.8805199</v>
          </cell>
        </row>
        <row r="9809">
          <cell r="A9809" t="str">
            <v>Sweden</v>
          </cell>
          <cell r="B9809">
            <v>752</v>
          </cell>
          <cell r="C9809">
            <v>201</v>
          </cell>
          <cell r="D9809">
            <v>13</v>
          </cell>
          <cell r="E9809" t="str">
            <v>Less: Financial intermediation services indirectly measured (FISIM) (only to be deducted if FISIM is not distributed to uses)</v>
          </cell>
          <cell r="F9809">
            <v>0</v>
          </cell>
          <cell r="G9809">
            <v>1973</v>
          </cell>
          <cell r="H9809">
            <v>100</v>
          </cell>
          <cell r="I9809">
            <v>5980978445.3496304</v>
          </cell>
        </row>
        <row r="9810">
          <cell r="A9810" t="str">
            <v>Sweden</v>
          </cell>
          <cell r="B9810">
            <v>752</v>
          </cell>
          <cell r="C9810">
            <v>201</v>
          </cell>
          <cell r="D9810">
            <v>13</v>
          </cell>
          <cell r="E9810" t="str">
            <v>Less: Financial intermediation services indirectly measured (FISIM) (only to be deducted if FISIM is not distributed to uses)</v>
          </cell>
          <cell r="F9810">
            <v>0</v>
          </cell>
          <cell r="G9810">
            <v>1974</v>
          </cell>
          <cell r="H9810">
            <v>100</v>
          </cell>
          <cell r="I9810">
            <v>6614976238.9680901</v>
          </cell>
        </row>
        <row r="9811">
          <cell r="A9811" t="str">
            <v>Sweden</v>
          </cell>
          <cell r="B9811">
            <v>752</v>
          </cell>
          <cell r="C9811">
            <v>201</v>
          </cell>
          <cell r="D9811">
            <v>13</v>
          </cell>
          <cell r="E9811" t="str">
            <v>Less: Financial intermediation services indirectly measured (FISIM) (only to be deducted if FISIM is not distributed to uses)</v>
          </cell>
          <cell r="F9811">
            <v>0</v>
          </cell>
          <cell r="G9811">
            <v>1975</v>
          </cell>
          <cell r="H9811">
            <v>100</v>
          </cell>
          <cell r="I9811">
            <v>7495580872.3693199</v>
          </cell>
        </row>
        <row r="9812">
          <cell r="A9812" t="str">
            <v>Sweden</v>
          </cell>
          <cell r="B9812">
            <v>752</v>
          </cell>
          <cell r="C9812">
            <v>201</v>
          </cell>
          <cell r="D9812">
            <v>13</v>
          </cell>
          <cell r="E9812" t="str">
            <v>Less: Financial intermediation services indirectly measured (FISIM) (only to be deducted if FISIM is not distributed to uses)</v>
          </cell>
          <cell r="F9812">
            <v>0</v>
          </cell>
          <cell r="G9812">
            <v>1976</v>
          </cell>
          <cell r="H9812">
            <v>100</v>
          </cell>
          <cell r="I9812">
            <v>8446342922.6069298</v>
          </cell>
        </row>
        <row r="9813">
          <cell r="A9813" t="str">
            <v>Sweden</v>
          </cell>
          <cell r="B9813">
            <v>752</v>
          </cell>
          <cell r="C9813">
            <v>201</v>
          </cell>
          <cell r="D9813">
            <v>13</v>
          </cell>
          <cell r="E9813" t="str">
            <v>Less: Financial intermediation services indirectly measured (FISIM) (only to be deducted if FISIM is not distributed to uses)</v>
          </cell>
          <cell r="F9813">
            <v>0</v>
          </cell>
          <cell r="G9813">
            <v>1977</v>
          </cell>
          <cell r="H9813">
            <v>100</v>
          </cell>
          <cell r="I9813">
            <v>9331640359.8099098</v>
          </cell>
        </row>
        <row r="9814">
          <cell r="A9814" t="str">
            <v>Sweden</v>
          </cell>
          <cell r="B9814">
            <v>752</v>
          </cell>
          <cell r="C9814">
            <v>201</v>
          </cell>
          <cell r="D9814">
            <v>13</v>
          </cell>
          <cell r="E9814" t="str">
            <v>Less: Financial intermediation services indirectly measured (FISIM) (only to be deducted if FISIM is not distributed to uses)</v>
          </cell>
          <cell r="F9814">
            <v>0</v>
          </cell>
          <cell r="G9814">
            <v>1978</v>
          </cell>
          <cell r="H9814">
            <v>100</v>
          </cell>
          <cell r="I9814">
            <v>10965205363.2043</v>
          </cell>
        </row>
        <row r="9815">
          <cell r="A9815" t="str">
            <v>Sweden</v>
          </cell>
          <cell r="B9815">
            <v>752</v>
          </cell>
          <cell r="C9815">
            <v>201</v>
          </cell>
          <cell r="D9815">
            <v>13</v>
          </cell>
          <cell r="E9815" t="str">
            <v>Less: Financial intermediation services indirectly measured (FISIM) (only to be deducted if FISIM is not distributed to uses)</v>
          </cell>
          <cell r="F9815">
            <v>0</v>
          </cell>
          <cell r="G9815">
            <v>1979</v>
          </cell>
          <cell r="H9815">
            <v>100</v>
          </cell>
          <cell r="I9815">
            <v>12250329684.317699</v>
          </cell>
        </row>
        <row r="9816">
          <cell r="A9816" t="str">
            <v>Sweden</v>
          </cell>
          <cell r="B9816">
            <v>752</v>
          </cell>
          <cell r="C9816">
            <v>201</v>
          </cell>
          <cell r="D9816">
            <v>13</v>
          </cell>
          <cell r="E9816" t="str">
            <v>Less: Financial intermediation services indirectly measured (FISIM) (only to be deducted if FISIM is not distributed to uses)</v>
          </cell>
          <cell r="F9816">
            <v>0</v>
          </cell>
          <cell r="G9816">
            <v>1980</v>
          </cell>
          <cell r="H9816">
            <v>100</v>
          </cell>
          <cell r="I9816">
            <v>13825000000</v>
          </cell>
        </row>
        <row r="9817">
          <cell r="A9817" t="str">
            <v>Sweden</v>
          </cell>
          <cell r="B9817">
            <v>752</v>
          </cell>
          <cell r="C9817">
            <v>201</v>
          </cell>
          <cell r="D9817">
            <v>13</v>
          </cell>
          <cell r="E9817" t="str">
            <v>Less: Financial intermediation services indirectly measured (FISIM) (only to be deducted if FISIM is not distributed to uses)</v>
          </cell>
          <cell r="F9817">
            <v>0</v>
          </cell>
          <cell r="G9817">
            <v>1981</v>
          </cell>
          <cell r="H9817">
            <v>100</v>
          </cell>
          <cell r="I9817">
            <v>17477000000</v>
          </cell>
        </row>
        <row r="9818">
          <cell r="A9818" t="str">
            <v>Sweden</v>
          </cell>
          <cell r="B9818">
            <v>752</v>
          </cell>
          <cell r="C9818">
            <v>201</v>
          </cell>
          <cell r="D9818">
            <v>13</v>
          </cell>
          <cell r="E9818" t="str">
            <v>Less: Financial intermediation services indirectly measured (FISIM) (only to be deducted if FISIM is not distributed to uses)</v>
          </cell>
          <cell r="F9818">
            <v>0</v>
          </cell>
          <cell r="G9818">
            <v>1982</v>
          </cell>
          <cell r="H9818">
            <v>100</v>
          </cell>
          <cell r="I9818">
            <v>19680000000</v>
          </cell>
        </row>
        <row r="9819">
          <cell r="A9819" t="str">
            <v>Sweden</v>
          </cell>
          <cell r="B9819">
            <v>752</v>
          </cell>
          <cell r="C9819">
            <v>201</v>
          </cell>
          <cell r="D9819">
            <v>13</v>
          </cell>
          <cell r="E9819" t="str">
            <v>Less: Financial intermediation services indirectly measured (FISIM) (only to be deducted if FISIM is not distributed to uses)</v>
          </cell>
          <cell r="F9819">
            <v>0</v>
          </cell>
          <cell r="G9819">
            <v>1983</v>
          </cell>
          <cell r="H9819">
            <v>100</v>
          </cell>
          <cell r="I9819">
            <v>23264000000</v>
          </cell>
        </row>
        <row r="9820">
          <cell r="A9820" t="str">
            <v>Sweden</v>
          </cell>
          <cell r="B9820">
            <v>752</v>
          </cell>
          <cell r="C9820">
            <v>201</v>
          </cell>
          <cell r="D9820">
            <v>13</v>
          </cell>
          <cell r="E9820" t="str">
            <v>Less: Financial intermediation services indirectly measured (FISIM) (only to be deducted if FISIM is not distributed to uses)</v>
          </cell>
          <cell r="F9820">
            <v>0</v>
          </cell>
          <cell r="G9820">
            <v>1984</v>
          </cell>
          <cell r="H9820">
            <v>100</v>
          </cell>
          <cell r="I9820">
            <v>26966000000</v>
          </cell>
        </row>
        <row r="9821">
          <cell r="A9821" t="str">
            <v>Sweden</v>
          </cell>
          <cell r="B9821">
            <v>752</v>
          </cell>
          <cell r="C9821">
            <v>201</v>
          </cell>
          <cell r="D9821">
            <v>13</v>
          </cell>
          <cell r="E9821" t="str">
            <v>Less: Financial intermediation services indirectly measured (FISIM) (only to be deducted if FISIM is not distributed to uses)</v>
          </cell>
          <cell r="F9821">
            <v>0</v>
          </cell>
          <cell r="G9821">
            <v>1985</v>
          </cell>
          <cell r="H9821">
            <v>100</v>
          </cell>
          <cell r="I9821">
            <v>31079000000</v>
          </cell>
        </row>
        <row r="9822">
          <cell r="A9822" t="str">
            <v>Sweden</v>
          </cell>
          <cell r="B9822">
            <v>752</v>
          </cell>
          <cell r="C9822">
            <v>201</v>
          </cell>
          <cell r="D9822">
            <v>13</v>
          </cell>
          <cell r="E9822" t="str">
            <v>Less: Financial intermediation services indirectly measured (FISIM) (only to be deducted if FISIM is not distributed to uses)</v>
          </cell>
          <cell r="F9822">
            <v>0</v>
          </cell>
          <cell r="G9822">
            <v>1986</v>
          </cell>
          <cell r="H9822">
            <v>100</v>
          </cell>
          <cell r="I9822">
            <v>39282000000</v>
          </cell>
        </row>
        <row r="9823">
          <cell r="A9823" t="str">
            <v>Sweden</v>
          </cell>
          <cell r="B9823">
            <v>752</v>
          </cell>
          <cell r="C9823">
            <v>201</v>
          </cell>
          <cell r="D9823">
            <v>13</v>
          </cell>
          <cell r="E9823" t="str">
            <v>Less: Financial intermediation services indirectly measured (FISIM) (only to be deducted if FISIM is not distributed to uses)</v>
          </cell>
          <cell r="F9823">
            <v>0</v>
          </cell>
          <cell r="G9823">
            <v>1987</v>
          </cell>
          <cell r="H9823">
            <v>100</v>
          </cell>
          <cell r="I9823">
            <v>43686000000</v>
          </cell>
        </row>
        <row r="9824">
          <cell r="A9824" t="str">
            <v>Sweden</v>
          </cell>
          <cell r="B9824">
            <v>752</v>
          </cell>
          <cell r="C9824">
            <v>201</v>
          </cell>
          <cell r="D9824">
            <v>13</v>
          </cell>
          <cell r="E9824" t="str">
            <v>Less: Financial intermediation services indirectly measured (FISIM) (only to be deducted if FISIM is not distributed to uses)</v>
          </cell>
          <cell r="F9824">
            <v>0</v>
          </cell>
          <cell r="G9824">
            <v>1988</v>
          </cell>
          <cell r="H9824">
            <v>100</v>
          </cell>
          <cell r="I9824">
            <v>48247000000</v>
          </cell>
        </row>
        <row r="9825">
          <cell r="A9825" t="str">
            <v>Sweden</v>
          </cell>
          <cell r="B9825">
            <v>752</v>
          </cell>
          <cell r="C9825">
            <v>201</v>
          </cell>
          <cell r="D9825">
            <v>13</v>
          </cell>
          <cell r="E9825" t="str">
            <v>Less: Financial intermediation services indirectly measured (FISIM) (only to be deducted if FISIM is not distributed to uses)</v>
          </cell>
          <cell r="F9825">
            <v>0</v>
          </cell>
          <cell r="G9825">
            <v>1989</v>
          </cell>
          <cell r="H9825">
            <v>100</v>
          </cell>
          <cell r="I9825">
            <v>52278000000</v>
          </cell>
        </row>
        <row r="9826">
          <cell r="A9826" t="str">
            <v>Sweden</v>
          </cell>
          <cell r="B9826">
            <v>752</v>
          </cell>
          <cell r="C9826">
            <v>201</v>
          </cell>
          <cell r="D9826">
            <v>13</v>
          </cell>
          <cell r="E9826" t="str">
            <v>Less: Financial intermediation services indirectly measured (FISIM) (only to be deducted if FISIM is not distributed to uses)</v>
          </cell>
          <cell r="F9826">
            <v>0</v>
          </cell>
          <cell r="G9826">
            <v>1990</v>
          </cell>
          <cell r="H9826">
            <v>100</v>
          </cell>
          <cell r="I9826">
            <v>63086000000</v>
          </cell>
        </row>
        <row r="9827">
          <cell r="A9827" t="str">
            <v>Sweden</v>
          </cell>
          <cell r="B9827">
            <v>752</v>
          </cell>
          <cell r="C9827">
            <v>201</v>
          </cell>
          <cell r="D9827">
            <v>13</v>
          </cell>
          <cell r="E9827" t="str">
            <v>Less: Financial intermediation services indirectly measured (FISIM) (only to be deducted if FISIM is not distributed to uses)</v>
          </cell>
          <cell r="F9827">
            <v>0</v>
          </cell>
          <cell r="G9827">
            <v>1991</v>
          </cell>
          <cell r="H9827">
            <v>100</v>
          </cell>
          <cell r="I9827">
            <v>61709000000</v>
          </cell>
        </row>
        <row r="9828">
          <cell r="A9828" t="str">
            <v>Sweden</v>
          </cell>
          <cell r="B9828">
            <v>752</v>
          </cell>
          <cell r="C9828">
            <v>201</v>
          </cell>
          <cell r="D9828">
            <v>13</v>
          </cell>
          <cell r="E9828" t="str">
            <v>Less: Financial intermediation services indirectly measured (FISIM) (only to be deducted if FISIM is not distributed to uses)</v>
          </cell>
          <cell r="F9828">
            <v>0</v>
          </cell>
          <cell r="G9828">
            <v>1992</v>
          </cell>
          <cell r="H9828">
            <v>100</v>
          </cell>
          <cell r="I9828">
            <v>43337000000</v>
          </cell>
        </row>
        <row r="9829">
          <cell r="A9829" t="str">
            <v>Sweden</v>
          </cell>
          <cell r="B9829">
            <v>752</v>
          </cell>
          <cell r="C9829">
            <v>201</v>
          </cell>
          <cell r="D9829">
            <v>13</v>
          </cell>
          <cell r="E9829" t="str">
            <v>Less: Financial intermediation services indirectly measured (FISIM) (only to be deducted if FISIM is not distributed to uses)</v>
          </cell>
          <cell r="F9829">
            <v>0</v>
          </cell>
          <cell r="G9829">
            <v>1993</v>
          </cell>
          <cell r="H9829">
            <v>100</v>
          </cell>
          <cell r="I9829">
            <v>61808000000</v>
          </cell>
        </row>
        <row r="9830">
          <cell r="A9830" t="str">
            <v>Sweden</v>
          </cell>
          <cell r="B9830">
            <v>752</v>
          </cell>
          <cell r="C9830">
            <v>201</v>
          </cell>
          <cell r="D9830">
            <v>13</v>
          </cell>
          <cell r="E9830" t="str">
            <v>Less: Financial intermediation services indirectly measured (FISIM) (only to be deducted if FISIM is not distributed to uses)</v>
          </cell>
          <cell r="F9830">
            <v>0</v>
          </cell>
          <cell r="G9830">
            <v>1994</v>
          </cell>
          <cell r="H9830">
            <v>100</v>
          </cell>
          <cell r="I9830">
            <v>51366000000</v>
          </cell>
        </row>
        <row r="9831">
          <cell r="A9831" t="str">
            <v>Sweden</v>
          </cell>
          <cell r="B9831">
            <v>752</v>
          </cell>
          <cell r="C9831">
            <v>201</v>
          </cell>
          <cell r="D9831">
            <v>13</v>
          </cell>
          <cell r="E9831" t="str">
            <v>Less: Financial intermediation services indirectly measured (FISIM) (only to be deducted if FISIM is not distributed to uses)</v>
          </cell>
          <cell r="F9831">
            <v>0</v>
          </cell>
          <cell r="G9831">
            <v>1995</v>
          </cell>
          <cell r="H9831">
            <v>100</v>
          </cell>
          <cell r="I9831">
            <v>59458000000</v>
          </cell>
        </row>
        <row r="9832">
          <cell r="A9832" t="str">
            <v>Sweden</v>
          </cell>
          <cell r="B9832">
            <v>752</v>
          </cell>
          <cell r="C9832">
            <v>201</v>
          </cell>
          <cell r="D9832">
            <v>13</v>
          </cell>
          <cell r="E9832" t="str">
            <v>Less: Financial intermediation services indirectly measured (FISIM) (only to be deducted if FISIM is not distributed to uses)</v>
          </cell>
          <cell r="F9832">
            <v>0</v>
          </cell>
          <cell r="G9832">
            <v>1996</v>
          </cell>
          <cell r="H9832">
            <v>100</v>
          </cell>
          <cell r="I9832">
            <v>53237000000</v>
          </cell>
        </row>
        <row r="9833">
          <cell r="A9833" t="str">
            <v>Sweden</v>
          </cell>
          <cell r="B9833">
            <v>752</v>
          </cell>
          <cell r="C9833">
            <v>201</v>
          </cell>
          <cell r="D9833">
            <v>13</v>
          </cell>
          <cell r="E9833" t="str">
            <v>Less: Financial intermediation services indirectly measured (FISIM) (only to be deducted if FISIM is not distributed to uses)</v>
          </cell>
          <cell r="F9833">
            <v>0</v>
          </cell>
          <cell r="G9833">
            <v>1997</v>
          </cell>
          <cell r="H9833">
            <v>100</v>
          </cell>
          <cell r="I9833">
            <v>51191000000</v>
          </cell>
        </row>
        <row r="9834">
          <cell r="A9834" t="str">
            <v>Sweden</v>
          </cell>
          <cell r="B9834">
            <v>752</v>
          </cell>
          <cell r="C9834">
            <v>201</v>
          </cell>
          <cell r="D9834">
            <v>13</v>
          </cell>
          <cell r="E9834" t="str">
            <v>Less: Financial intermediation services indirectly measured (FISIM) (only to be deducted if FISIM is not distributed to uses)</v>
          </cell>
          <cell r="F9834">
            <v>0</v>
          </cell>
          <cell r="G9834">
            <v>1998</v>
          </cell>
          <cell r="H9834">
            <v>100</v>
          </cell>
          <cell r="I9834">
            <v>41572000000</v>
          </cell>
        </row>
        <row r="9835">
          <cell r="A9835" t="str">
            <v>Sweden</v>
          </cell>
          <cell r="B9835">
            <v>752</v>
          </cell>
          <cell r="C9835">
            <v>201</v>
          </cell>
          <cell r="D9835">
            <v>13</v>
          </cell>
          <cell r="E9835" t="str">
            <v>Less: Financial intermediation services indirectly measured (FISIM) (only to be deducted if FISIM is not distributed to uses)</v>
          </cell>
          <cell r="F9835">
            <v>0</v>
          </cell>
          <cell r="G9835">
            <v>1999</v>
          </cell>
          <cell r="H9835">
            <v>100</v>
          </cell>
          <cell r="I9835">
            <v>42423000000</v>
          </cell>
        </row>
        <row r="9836">
          <cell r="A9836" t="str">
            <v>Sweden</v>
          </cell>
          <cell r="B9836">
            <v>752</v>
          </cell>
          <cell r="C9836">
            <v>201</v>
          </cell>
          <cell r="D9836">
            <v>13</v>
          </cell>
          <cell r="E9836" t="str">
            <v>Less: Financial intermediation services indirectly measured (FISIM) (only to be deducted if FISIM is not distributed to uses)</v>
          </cell>
          <cell r="F9836">
            <v>0</v>
          </cell>
          <cell r="G9836">
            <v>2000</v>
          </cell>
          <cell r="H9836">
            <v>100</v>
          </cell>
          <cell r="I9836">
            <v>44930000000</v>
          </cell>
        </row>
        <row r="9837">
          <cell r="A9837" t="str">
            <v>Sweden</v>
          </cell>
          <cell r="B9837">
            <v>752</v>
          </cell>
          <cell r="C9837">
            <v>201</v>
          </cell>
          <cell r="D9837">
            <v>13</v>
          </cell>
          <cell r="E9837" t="str">
            <v>Less: Financial intermediation services indirectly measured (FISIM) (only to be deducted if FISIM is not distributed to uses)</v>
          </cell>
          <cell r="F9837">
            <v>0</v>
          </cell>
          <cell r="G9837">
            <v>2001</v>
          </cell>
          <cell r="H9837">
            <v>100</v>
          </cell>
          <cell r="I9837">
            <v>44577000000</v>
          </cell>
        </row>
        <row r="9838">
          <cell r="A9838" t="str">
            <v>Sweden</v>
          </cell>
          <cell r="B9838">
            <v>752</v>
          </cell>
          <cell r="C9838">
            <v>201</v>
          </cell>
          <cell r="D9838">
            <v>13</v>
          </cell>
          <cell r="E9838" t="str">
            <v>Less: Financial intermediation services indirectly measured (FISIM) (only to be deducted if FISIM is not distributed to uses)</v>
          </cell>
          <cell r="F9838">
            <v>0</v>
          </cell>
          <cell r="G9838">
            <v>2002</v>
          </cell>
          <cell r="H9838">
            <v>100</v>
          </cell>
          <cell r="I9838">
            <v>47505000000</v>
          </cell>
        </row>
        <row r="9839">
          <cell r="A9839" t="str">
            <v>Sweden</v>
          </cell>
          <cell r="B9839">
            <v>752</v>
          </cell>
          <cell r="C9839">
            <v>201</v>
          </cell>
          <cell r="D9839">
            <v>13</v>
          </cell>
          <cell r="E9839" t="str">
            <v>Less: Financial intermediation services indirectly measured (FISIM) (only to be deducted if FISIM is not distributed to uses)</v>
          </cell>
          <cell r="F9839">
            <v>0</v>
          </cell>
          <cell r="G9839">
            <v>2003</v>
          </cell>
          <cell r="H9839">
            <v>100</v>
          </cell>
          <cell r="I9839">
            <v>47887000000</v>
          </cell>
        </row>
        <row r="9840">
          <cell r="A9840" t="str">
            <v>Spain</v>
          </cell>
          <cell r="B9840">
            <v>724</v>
          </cell>
          <cell r="C9840">
            <v>201</v>
          </cell>
          <cell r="D9840">
            <v>13</v>
          </cell>
          <cell r="E9840" t="str">
            <v>Less: Financial intermediation services indirectly measured (FISIM) (only to be deducted if FISIM is not distributed to uses)</v>
          </cell>
          <cell r="F9840">
            <v>0</v>
          </cell>
          <cell r="G9840">
            <v>1970</v>
          </cell>
          <cell r="H9840">
            <v>200</v>
          </cell>
          <cell r="I9840">
            <v>473858515.78871298</v>
          </cell>
        </row>
        <row r="9841">
          <cell r="A9841" t="str">
            <v>Spain</v>
          </cell>
          <cell r="B9841">
            <v>724</v>
          </cell>
          <cell r="C9841">
            <v>201</v>
          </cell>
          <cell r="D9841">
            <v>13</v>
          </cell>
          <cell r="E9841" t="str">
            <v>Less: Financial intermediation services indirectly measured (FISIM) (only to be deducted if FISIM is not distributed to uses)</v>
          </cell>
          <cell r="F9841">
            <v>0</v>
          </cell>
          <cell r="G9841">
            <v>1971</v>
          </cell>
          <cell r="H9841">
            <v>200</v>
          </cell>
          <cell r="I9841">
            <v>534813209.04689598</v>
          </cell>
        </row>
        <row r="9842">
          <cell r="A9842" t="str">
            <v>Spain</v>
          </cell>
          <cell r="B9842">
            <v>724</v>
          </cell>
          <cell r="C9842">
            <v>201</v>
          </cell>
          <cell r="D9842">
            <v>13</v>
          </cell>
          <cell r="E9842" t="str">
            <v>Less: Financial intermediation services indirectly measured (FISIM) (only to be deducted if FISIM is not distributed to uses)</v>
          </cell>
          <cell r="F9842">
            <v>0</v>
          </cell>
          <cell r="G9842">
            <v>1972</v>
          </cell>
          <cell r="H9842">
            <v>200</v>
          </cell>
          <cell r="I9842">
            <v>611648818.55625403</v>
          </cell>
        </row>
        <row r="9843">
          <cell r="A9843" t="str">
            <v>Spain</v>
          </cell>
          <cell r="B9843">
            <v>724</v>
          </cell>
          <cell r="C9843">
            <v>201</v>
          </cell>
          <cell r="D9843">
            <v>13</v>
          </cell>
          <cell r="E9843" t="str">
            <v>Less: Financial intermediation services indirectly measured (FISIM) (only to be deducted if FISIM is not distributed to uses)</v>
          </cell>
          <cell r="F9843">
            <v>0</v>
          </cell>
          <cell r="G9843">
            <v>1973</v>
          </cell>
          <cell r="H9843">
            <v>200</v>
          </cell>
          <cell r="I9843">
            <v>762517522.94240904</v>
          </cell>
        </row>
        <row r="9844">
          <cell r="A9844" t="str">
            <v>Spain</v>
          </cell>
          <cell r="B9844">
            <v>724</v>
          </cell>
          <cell r="C9844">
            <v>201</v>
          </cell>
          <cell r="D9844">
            <v>13</v>
          </cell>
          <cell r="E9844" t="str">
            <v>Less: Financial intermediation services indirectly measured (FISIM) (only to be deducted if FISIM is not distributed to uses)</v>
          </cell>
          <cell r="F9844">
            <v>0</v>
          </cell>
          <cell r="G9844">
            <v>1974</v>
          </cell>
          <cell r="H9844">
            <v>200</v>
          </cell>
          <cell r="I9844">
            <v>948884746.00766003</v>
          </cell>
        </row>
        <row r="9845">
          <cell r="A9845" t="str">
            <v>Spain</v>
          </cell>
          <cell r="B9845">
            <v>724</v>
          </cell>
          <cell r="C9845">
            <v>201</v>
          </cell>
          <cell r="D9845">
            <v>13</v>
          </cell>
          <cell r="E9845" t="str">
            <v>Less: Financial intermediation services indirectly measured (FISIM) (only to be deducted if FISIM is not distributed to uses)</v>
          </cell>
          <cell r="F9845">
            <v>0</v>
          </cell>
          <cell r="G9845">
            <v>1975</v>
          </cell>
          <cell r="H9845">
            <v>200</v>
          </cell>
          <cell r="I9845">
            <v>1177056145.6752701</v>
          </cell>
        </row>
        <row r="9846">
          <cell r="A9846" t="str">
            <v>Spain</v>
          </cell>
          <cell r="B9846">
            <v>724</v>
          </cell>
          <cell r="C9846">
            <v>201</v>
          </cell>
          <cell r="D9846">
            <v>13</v>
          </cell>
          <cell r="E9846" t="str">
            <v>Less: Financial intermediation services indirectly measured (FISIM) (only to be deducted if FISIM is not distributed to uses)</v>
          </cell>
          <cell r="F9846">
            <v>0</v>
          </cell>
          <cell r="G9846">
            <v>1976</v>
          </cell>
          <cell r="H9846">
            <v>200</v>
          </cell>
          <cell r="I9846">
            <v>1428114748.1754501</v>
          </cell>
        </row>
        <row r="9847">
          <cell r="A9847" t="str">
            <v>Spain</v>
          </cell>
          <cell r="B9847">
            <v>724</v>
          </cell>
          <cell r="C9847">
            <v>201</v>
          </cell>
          <cell r="D9847">
            <v>13</v>
          </cell>
          <cell r="E9847" t="str">
            <v>Less: Financial intermediation services indirectly measured (FISIM) (only to be deducted if FISIM is not distributed to uses)</v>
          </cell>
          <cell r="F9847">
            <v>0</v>
          </cell>
          <cell r="G9847">
            <v>1977</v>
          </cell>
          <cell r="H9847">
            <v>200</v>
          </cell>
          <cell r="I9847">
            <v>1865774116.62692</v>
          </cell>
        </row>
        <row r="9848">
          <cell r="A9848" t="str">
            <v>Spain</v>
          </cell>
          <cell r="B9848">
            <v>724</v>
          </cell>
          <cell r="C9848">
            <v>201</v>
          </cell>
          <cell r="D9848">
            <v>13</v>
          </cell>
          <cell r="E9848" t="str">
            <v>Less: Financial intermediation services indirectly measured (FISIM) (only to be deducted if FISIM is not distributed to uses)</v>
          </cell>
          <cell r="F9848">
            <v>0</v>
          </cell>
          <cell r="G9848">
            <v>1978</v>
          </cell>
          <cell r="H9848">
            <v>200</v>
          </cell>
          <cell r="I9848">
            <v>2218890960.3295002</v>
          </cell>
        </row>
        <row r="9849">
          <cell r="A9849" t="str">
            <v>Spain</v>
          </cell>
          <cell r="B9849">
            <v>724</v>
          </cell>
          <cell r="C9849">
            <v>201</v>
          </cell>
          <cell r="D9849">
            <v>13</v>
          </cell>
          <cell r="E9849" t="str">
            <v>Less: Financial intermediation services indirectly measured (FISIM) (only to be deducted if FISIM is not distributed to uses)</v>
          </cell>
          <cell r="F9849">
            <v>0</v>
          </cell>
          <cell r="G9849">
            <v>1979</v>
          </cell>
          <cell r="H9849">
            <v>200</v>
          </cell>
          <cell r="I9849">
            <v>2655149071.4647002</v>
          </cell>
        </row>
        <row r="9850">
          <cell r="A9850" t="str">
            <v>Spain</v>
          </cell>
          <cell r="B9850">
            <v>724</v>
          </cell>
          <cell r="C9850">
            <v>201</v>
          </cell>
          <cell r="D9850">
            <v>13</v>
          </cell>
          <cell r="E9850" t="str">
            <v>Less: Financial intermediation services indirectly measured (FISIM) (only to be deducted if FISIM is not distributed to uses)</v>
          </cell>
          <cell r="F9850">
            <v>0</v>
          </cell>
          <cell r="G9850">
            <v>1980</v>
          </cell>
          <cell r="H9850">
            <v>200</v>
          </cell>
          <cell r="I9850">
            <v>3232000000</v>
          </cell>
        </row>
        <row r="9851">
          <cell r="A9851" t="str">
            <v>Spain</v>
          </cell>
          <cell r="B9851">
            <v>724</v>
          </cell>
          <cell r="C9851">
            <v>201</v>
          </cell>
          <cell r="D9851">
            <v>13</v>
          </cell>
          <cell r="E9851" t="str">
            <v>Less: Financial intermediation services indirectly measured (FISIM) (only to be deducted if FISIM is not distributed to uses)</v>
          </cell>
          <cell r="F9851">
            <v>0</v>
          </cell>
          <cell r="G9851">
            <v>1981</v>
          </cell>
          <cell r="H9851">
            <v>200</v>
          </cell>
          <cell r="I9851">
            <v>4691000000</v>
          </cell>
        </row>
        <row r="9852">
          <cell r="A9852" t="str">
            <v>Spain</v>
          </cell>
          <cell r="B9852">
            <v>724</v>
          </cell>
          <cell r="C9852">
            <v>201</v>
          </cell>
          <cell r="D9852">
            <v>13</v>
          </cell>
          <cell r="E9852" t="str">
            <v>Less: Financial intermediation services indirectly measured (FISIM) (only to be deducted if FISIM is not distributed to uses)</v>
          </cell>
          <cell r="F9852">
            <v>0</v>
          </cell>
          <cell r="G9852">
            <v>1982</v>
          </cell>
          <cell r="H9852">
            <v>200</v>
          </cell>
          <cell r="I9852">
            <v>5576000000</v>
          </cell>
        </row>
        <row r="9853">
          <cell r="A9853" t="str">
            <v>Spain</v>
          </cell>
          <cell r="B9853">
            <v>724</v>
          </cell>
          <cell r="C9853">
            <v>201</v>
          </cell>
          <cell r="D9853">
            <v>13</v>
          </cell>
          <cell r="E9853" t="str">
            <v>Less: Financial intermediation services indirectly measured (FISIM) (only to be deducted if FISIM is not distributed to uses)</v>
          </cell>
          <cell r="F9853">
            <v>0</v>
          </cell>
          <cell r="G9853">
            <v>1983</v>
          </cell>
          <cell r="H9853">
            <v>200</v>
          </cell>
          <cell r="I9853">
            <v>6618000000</v>
          </cell>
        </row>
        <row r="9854">
          <cell r="A9854" t="str">
            <v>Spain</v>
          </cell>
          <cell r="B9854">
            <v>724</v>
          </cell>
          <cell r="C9854">
            <v>201</v>
          </cell>
          <cell r="D9854">
            <v>13</v>
          </cell>
          <cell r="E9854" t="str">
            <v>Less: Financial intermediation services indirectly measured (FISIM) (only to be deducted if FISIM is not distributed to uses)</v>
          </cell>
          <cell r="F9854">
            <v>0</v>
          </cell>
          <cell r="G9854">
            <v>1984</v>
          </cell>
          <cell r="H9854">
            <v>200</v>
          </cell>
          <cell r="I9854">
            <v>9464000000</v>
          </cell>
        </row>
        <row r="9855">
          <cell r="A9855" t="str">
            <v>Spain</v>
          </cell>
          <cell r="B9855">
            <v>724</v>
          </cell>
          <cell r="C9855">
            <v>201</v>
          </cell>
          <cell r="D9855">
            <v>13</v>
          </cell>
          <cell r="E9855" t="str">
            <v>Less: Financial intermediation services indirectly measured (FISIM) (only to be deducted if FISIM is not distributed to uses)</v>
          </cell>
          <cell r="F9855">
            <v>0</v>
          </cell>
          <cell r="G9855">
            <v>1985</v>
          </cell>
          <cell r="H9855">
            <v>200</v>
          </cell>
          <cell r="I9855">
            <v>10003000000</v>
          </cell>
        </row>
        <row r="9856">
          <cell r="A9856" t="str">
            <v>Spain</v>
          </cell>
          <cell r="B9856">
            <v>724</v>
          </cell>
          <cell r="C9856">
            <v>201</v>
          </cell>
          <cell r="D9856">
            <v>13</v>
          </cell>
          <cell r="E9856" t="str">
            <v>Less: Financial intermediation services indirectly measured (FISIM) (only to be deducted if FISIM is not distributed to uses)</v>
          </cell>
          <cell r="F9856">
            <v>0</v>
          </cell>
          <cell r="G9856">
            <v>1986</v>
          </cell>
          <cell r="H9856">
            <v>200</v>
          </cell>
          <cell r="I9856">
            <v>11837000000</v>
          </cell>
        </row>
        <row r="9857">
          <cell r="A9857" t="str">
            <v>Spain</v>
          </cell>
          <cell r="B9857">
            <v>724</v>
          </cell>
          <cell r="C9857">
            <v>201</v>
          </cell>
          <cell r="D9857">
            <v>13</v>
          </cell>
          <cell r="E9857" t="str">
            <v>Less: Financial intermediation services indirectly measured (FISIM) (only to be deducted if FISIM is not distributed to uses)</v>
          </cell>
          <cell r="F9857">
            <v>0</v>
          </cell>
          <cell r="G9857">
            <v>1987</v>
          </cell>
          <cell r="H9857">
            <v>200</v>
          </cell>
          <cell r="I9857">
            <v>13507000000</v>
          </cell>
        </row>
        <row r="9858">
          <cell r="A9858" t="str">
            <v>Spain</v>
          </cell>
          <cell r="B9858">
            <v>724</v>
          </cell>
          <cell r="C9858">
            <v>201</v>
          </cell>
          <cell r="D9858">
            <v>13</v>
          </cell>
          <cell r="E9858" t="str">
            <v>Less: Financial intermediation services indirectly measured (FISIM) (only to be deducted if FISIM is not distributed to uses)</v>
          </cell>
          <cell r="F9858">
            <v>0</v>
          </cell>
          <cell r="G9858">
            <v>1988</v>
          </cell>
          <cell r="H9858">
            <v>200</v>
          </cell>
          <cell r="I9858">
            <v>15120000000</v>
          </cell>
        </row>
        <row r="9859">
          <cell r="A9859" t="str">
            <v>Spain</v>
          </cell>
          <cell r="B9859">
            <v>724</v>
          </cell>
          <cell r="C9859">
            <v>201</v>
          </cell>
          <cell r="D9859">
            <v>13</v>
          </cell>
          <cell r="E9859" t="str">
            <v>Less: Financial intermediation services indirectly measured (FISIM) (only to be deducted if FISIM is not distributed to uses)</v>
          </cell>
          <cell r="F9859">
            <v>0</v>
          </cell>
          <cell r="G9859">
            <v>1989</v>
          </cell>
          <cell r="H9859">
            <v>200</v>
          </cell>
          <cell r="I9859">
            <v>17375000000</v>
          </cell>
        </row>
        <row r="9860">
          <cell r="A9860" t="str">
            <v>Spain</v>
          </cell>
          <cell r="B9860">
            <v>724</v>
          </cell>
          <cell r="C9860">
            <v>201</v>
          </cell>
          <cell r="D9860">
            <v>13</v>
          </cell>
          <cell r="E9860" t="str">
            <v>Less: Financial intermediation services indirectly measured (FISIM) (only to be deducted if FISIM is not distributed to uses)</v>
          </cell>
          <cell r="F9860">
            <v>0</v>
          </cell>
          <cell r="G9860">
            <v>1990</v>
          </cell>
          <cell r="H9860">
            <v>200</v>
          </cell>
          <cell r="I9860">
            <v>19338000000</v>
          </cell>
        </row>
        <row r="9861">
          <cell r="A9861" t="str">
            <v>Spain</v>
          </cell>
          <cell r="B9861">
            <v>724</v>
          </cell>
          <cell r="C9861">
            <v>201</v>
          </cell>
          <cell r="D9861">
            <v>13</v>
          </cell>
          <cell r="E9861" t="str">
            <v>Less: Financial intermediation services indirectly measured (FISIM) (only to be deducted if FISIM is not distributed to uses)</v>
          </cell>
          <cell r="F9861">
            <v>0</v>
          </cell>
          <cell r="G9861">
            <v>1991</v>
          </cell>
          <cell r="H9861">
            <v>200</v>
          </cell>
          <cell r="I9861">
            <v>20650000000</v>
          </cell>
        </row>
        <row r="9862">
          <cell r="A9862" t="str">
            <v>Spain</v>
          </cell>
          <cell r="B9862">
            <v>724</v>
          </cell>
          <cell r="C9862">
            <v>201</v>
          </cell>
          <cell r="D9862">
            <v>13</v>
          </cell>
          <cell r="E9862" t="str">
            <v>Less: Financial intermediation services indirectly measured (FISIM) (only to be deducted if FISIM is not distributed to uses)</v>
          </cell>
          <cell r="F9862">
            <v>0</v>
          </cell>
          <cell r="G9862">
            <v>1992</v>
          </cell>
          <cell r="H9862">
            <v>200</v>
          </cell>
          <cell r="I9862">
            <v>20529000000</v>
          </cell>
        </row>
        <row r="9863">
          <cell r="A9863" t="str">
            <v>Spain</v>
          </cell>
          <cell r="B9863">
            <v>724</v>
          </cell>
          <cell r="C9863">
            <v>201</v>
          </cell>
          <cell r="D9863">
            <v>13</v>
          </cell>
          <cell r="E9863" t="str">
            <v>Less: Financial intermediation services indirectly measured (FISIM) (only to be deducted if FISIM is not distributed to uses)</v>
          </cell>
          <cell r="F9863">
            <v>0</v>
          </cell>
          <cell r="G9863">
            <v>1993</v>
          </cell>
          <cell r="H9863">
            <v>200</v>
          </cell>
          <cell r="I9863">
            <v>19864000000</v>
          </cell>
        </row>
        <row r="9864">
          <cell r="A9864" t="str">
            <v>Spain</v>
          </cell>
          <cell r="B9864">
            <v>724</v>
          </cell>
          <cell r="C9864">
            <v>201</v>
          </cell>
          <cell r="D9864">
            <v>13</v>
          </cell>
          <cell r="E9864" t="str">
            <v>Less: Financial intermediation services indirectly measured (FISIM) (only to be deducted if FISIM is not distributed to uses)</v>
          </cell>
          <cell r="F9864">
            <v>0</v>
          </cell>
          <cell r="G9864">
            <v>1994</v>
          </cell>
          <cell r="H9864">
            <v>200</v>
          </cell>
          <cell r="I9864">
            <v>18332000000</v>
          </cell>
        </row>
        <row r="9865">
          <cell r="A9865" t="str">
            <v>Spain</v>
          </cell>
          <cell r="B9865">
            <v>724</v>
          </cell>
          <cell r="C9865">
            <v>201</v>
          </cell>
          <cell r="D9865">
            <v>13</v>
          </cell>
          <cell r="E9865" t="str">
            <v>Less: Financial intermediation services indirectly measured (FISIM) (only to be deducted if FISIM is not distributed to uses)</v>
          </cell>
          <cell r="F9865">
            <v>0</v>
          </cell>
          <cell r="G9865">
            <v>1995</v>
          </cell>
          <cell r="H9865">
            <v>200</v>
          </cell>
          <cell r="I9865">
            <v>18835000000</v>
          </cell>
        </row>
        <row r="9866">
          <cell r="A9866" t="str">
            <v>Spain</v>
          </cell>
          <cell r="B9866">
            <v>724</v>
          </cell>
          <cell r="C9866">
            <v>201</v>
          </cell>
          <cell r="D9866">
            <v>13</v>
          </cell>
          <cell r="E9866" t="str">
            <v>Less: Financial intermediation services indirectly measured (FISIM) (only to be deducted if FISIM is not distributed to uses)</v>
          </cell>
          <cell r="F9866">
            <v>0</v>
          </cell>
          <cell r="G9866">
            <v>1996</v>
          </cell>
          <cell r="H9866">
            <v>200</v>
          </cell>
          <cell r="I9866">
            <v>17872000000</v>
          </cell>
        </row>
        <row r="9867">
          <cell r="A9867" t="str">
            <v>Spain</v>
          </cell>
          <cell r="B9867">
            <v>724</v>
          </cell>
          <cell r="C9867">
            <v>201</v>
          </cell>
          <cell r="D9867">
            <v>13</v>
          </cell>
          <cell r="E9867" t="str">
            <v>Less: Financial intermediation services indirectly measured (FISIM) (only to be deducted if FISIM is not distributed to uses)</v>
          </cell>
          <cell r="F9867">
            <v>0</v>
          </cell>
          <cell r="G9867">
            <v>1997</v>
          </cell>
          <cell r="H9867">
            <v>200</v>
          </cell>
          <cell r="I9867">
            <v>18882000000</v>
          </cell>
        </row>
        <row r="9868">
          <cell r="A9868" t="str">
            <v>Spain</v>
          </cell>
          <cell r="B9868">
            <v>724</v>
          </cell>
          <cell r="C9868">
            <v>201</v>
          </cell>
          <cell r="D9868">
            <v>13</v>
          </cell>
          <cell r="E9868" t="str">
            <v>Less: Financial intermediation services indirectly measured (FISIM) (only to be deducted if FISIM is not distributed to uses)</v>
          </cell>
          <cell r="F9868">
            <v>0</v>
          </cell>
          <cell r="G9868">
            <v>1998</v>
          </cell>
          <cell r="H9868">
            <v>200</v>
          </cell>
          <cell r="I9868">
            <v>19369000000</v>
          </cell>
        </row>
        <row r="9869">
          <cell r="A9869" t="str">
            <v>Spain</v>
          </cell>
          <cell r="B9869">
            <v>724</v>
          </cell>
          <cell r="C9869">
            <v>201</v>
          </cell>
          <cell r="D9869">
            <v>13</v>
          </cell>
          <cell r="E9869" t="str">
            <v>Less: Financial intermediation services indirectly measured (FISIM) (only to be deducted if FISIM is not distributed to uses)</v>
          </cell>
          <cell r="F9869">
            <v>0</v>
          </cell>
          <cell r="G9869">
            <v>1999</v>
          </cell>
          <cell r="H9869">
            <v>200</v>
          </cell>
          <cell r="I9869">
            <v>19050000000</v>
          </cell>
        </row>
        <row r="9870">
          <cell r="A9870" t="str">
            <v>Spain</v>
          </cell>
          <cell r="B9870">
            <v>724</v>
          </cell>
          <cell r="C9870">
            <v>201</v>
          </cell>
          <cell r="D9870">
            <v>13</v>
          </cell>
          <cell r="E9870" t="str">
            <v>Less: Financial intermediation services indirectly measured (FISIM) (only to be deducted if FISIM is not distributed to uses)</v>
          </cell>
          <cell r="F9870">
            <v>0</v>
          </cell>
          <cell r="G9870">
            <v>2000</v>
          </cell>
          <cell r="H9870">
            <v>200</v>
          </cell>
          <cell r="I9870">
            <v>21269000000</v>
          </cell>
        </row>
        <row r="9871">
          <cell r="A9871" t="str">
            <v>Spain</v>
          </cell>
          <cell r="B9871">
            <v>724</v>
          </cell>
          <cell r="C9871">
            <v>201</v>
          </cell>
          <cell r="D9871">
            <v>13</v>
          </cell>
          <cell r="E9871" t="str">
            <v>Less: Financial intermediation services indirectly measured (FISIM) (only to be deducted if FISIM is not distributed to uses)</v>
          </cell>
          <cell r="F9871">
            <v>0</v>
          </cell>
          <cell r="G9871">
            <v>2001</v>
          </cell>
          <cell r="H9871">
            <v>200</v>
          </cell>
          <cell r="I9871">
            <v>25994000000</v>
          </cell>
        </row>
        <row r="9872">
          <cell r="A9872" t="str">
            <v>Spain</v>
          </cell>
          <cell r="B9872">
            <v>724</v>
          </cell>
          <cell r="C9872">
            <v>201</v>
          </cell>
          <cell r="D9872">
            <v>13</v>
          </cell>
          <cell r="E9872" t="str">
            <v>Less: Financial intermediation services indirectly measured (FISIM) (only to be deducted if FISIM is not distributed to uses)</v>
          </cell>
          <cell r="F9872">
            <v>0</v>
          </cell>
          <cell r="G9872">
            <v>2002</v>
          </cell>
          <cell r="H9872">
            <v>200</v>
          </cell>
          <cell r="I9872">
            <v>25229000000</v>
          </cell>
        </row>
        <row r="9873">
          <cell r="A9873" t="str">
            <v>Spain</v>
          </cell>
          <cell r="B9873">
            <v>724</v>
          </cell>
          <cell r="C9873">
            <v>201</v>
          </cell>
          <cell r="D9873">
            <v>13</v>
          </cell>
          <cell r="E9873" t="str">
            <v>Less: Financial intermediation services indirectly measured (FISIM) (only to be deducted if FISIM is not distributed to uses)</v>
          </cell>
          <cell r="F9873">
            <v>0</v>
          </cell>
          <cell r="G9873">
            <v>2003</v>
          </cell>
          <cell r="H9873">
            <v>200</v>
          </cell>
          <cell r="I9873">
            <v>26649000000</v>
          </cell>
        </row>
        <row r="9874">
          <cell r="A9874" t="str">
            <v>Spain</v>
          </cell>
          <cell r="B9874">
            <v>724</v>
          </cell>
          <cell r="C9874">
            <v>203</v>
          </cell>
          <cell r="D9874">
            <v>3</v>
          </cell>
          <cell r="E9874" t="str">
            <v>Equals: VALUE ADDED, GROSS, at basic prices</v>
          </cell>
          <cell r="F9874">
            <v>12</v>
          </cell>
          <cell r="G9874">
            <v>1980</v>
          </cell>
          <cell r="H9874">
            <v>200</v>
          </cell>
          <cell r="I9874">
            <v>94293000000</v>
          </cell>
        </row>
        <row r="9875">
          <cell r="A9875" t="str">
            <v>Spain</v>
          </cell>
          <cell r="B9875">
            <v>724</v>
          </cell>
          <cell r="C9875">
            <v>203</v>
          </cell>
          <cell r="D9875">
            <v>3</v>
          </cell>
          <cell r="E9875" t="str">
            <v>Equals: VALUE ADDED, GROSS, at basic prices</v>
          </cell>
          <cell r="F9875">
            <v>12</v>
          </cell>
          <cell r="G9875">
            <v>1981</v>
          </cell>
          <cell r="H9875">
            <v>200</v>
          </cell>
          <cell r="I9875">
            <v>105981000000</v>
          </cell>
        </row>
        <row r="9876">
          <cell r="A9876" t="str">
            <v>Spain</v>
          </cell>
          <cell r="B9876">
            <v>724</v>
          </cell>
          <cell r="C9876">
            <v>203</v>
          </cell>
          <cell r="D9876">
            <v>3</v>
          </cell>
          <cell r="E9876" t="str">
            <v>Equals: VALUE ADDED, GROSS, at basic prices</v>
          </cell>
          <cell r="F9876">
            <v>12</v>
          </cell>
          <cell r="G9876">
            <v>1982</v>
          </cell>
          <cell r="H9876">
            <v>200</v>
          </cell>
          <cell r="I9876">
            <v>122022000000</v>
          </cell>
        </row>
        <row r="9877">
          <cell r="A9877" t="str">
            <v>Spain</v>
          </cell>
          <cell r="B9877">
            <v>724</v>
          </cell>
          <cell r="C9877">
            <v>203</v>
          </cell>
          <cell r="D9877">
            <v>3</v>
          </cell>
          <cell r="E9877" t="str">
            <v>Equals: VALUE ADDED, GROSS, at basic prices</v>
          </cell>
          <cell r="F9877">
            <v>12</v>
          </cell>
          <cell r="G9877">
            <v>1983</v>
          </cell>
          <cell r="H9877">
            <v>200</v>
          </cell>
          <cell r="I9877">
            <v>138192000000</v>
          </cell>
        </row>
        <row r="9878">
          <cell r="A9878" t="str">
            <v>Spain</v>
          </cell>
          <cell r="B9878">
            <v>724</v>
          </cell>
          <cell r="C9878">
            <v>203</v>
          </cell>
          <cell r="D9878">
            <v>3</v>
          </cell>
          <cell r="E9878" t="str">
            <v>Equals: VALUE ADDED, GROSS, at basic prices</v>
          </cell>
          <cell r="F9878">
            <v>12</v>
          </cell>
          <cell r="G9878">
            <v>1984</v>
          </cell>
          <cell r="H9878">
            <v>200</v>
          </cell>
          <cell r="I9878">
            <v>157395000000</v>
          </cell>
        </row>
        <row r="9879">
          <cell r="A9879" t="str">
            <v>Spain</v>
          </cell>
          <cell r="B9879">
            <v>724</v>
          </cell>
          <cell r="C9879">
            <v>203</v>
          </cell>
          <cell r="D9879">
            <v>3</v>
          </cell>
          <cell r="E9879" t="str">
            <v>Equals: VALUE ADDED, GROSS, at basic prices</v>
          </cell>
          <cell r="F9879">
            <v>12</v>
          </cell>
          <cell r="G9879">
            <v>1985</v>
          </cell>
          <cell r="H9879">
            <v>200</v>
          </cell>
          <cell r="I9879">
            <v>172686000000</v>
          </cell>
        </row>
        <row r="9880">
          <cell r="A9880" t="str">
            <v>Spain</v>
          </cell>
          <cell r="B9880">
            <v>724</v>
          </cell>
          <cell r="C9880">
            <v>203</v>
          </cell>
          <cell r="D9880">
            <v>3</v>
          </cell>
          <cell r="E9880" t="str">
            <v>Equals: VALUE ADDED, GROSS, at basic prices</v>
          </cell>
          <cell r="F9880">
            <v>12</v>
          </cell>
          <cell r="G9880">
            <v>1986</v>
          </cell>
          <cell r="H9880">
            <v>200</v>
          </cell>
          <cell r="I9880">
            <v>195147000000</v>
          </cell>
        </row>
        <row r="9881">
          <cell r="A9881" t="str">
            <v>Spain</v>
          </cell>
          <cell r="B9881">
            <v>724</v>
          </cell>
          <cell r="C9881">
            <v>203</v>
          </cell>
          <cell r="D9881">
            <v>3</v>
          </cell>
          <cell r="E9881" t="str">
            <v>Equals: VALUE ADDED, GROSS, at basic prices</v>
          </cell>
          <cell r="F9881">
            <v>12</v>
          </cell>
          <cell r="G9881">
            <v>1987</v>
          </cell>
          <cell r="H9881">
            <v>200</v>
          </cell>
          <cell r="I9881">
            <v>218959000000</v>
          </cell>
        </row>
        <row r="9882">
          <cell r="A9882" t="str">
            <v>Spain</v>
          </cell>
          <cell r="B9882">
            <v>724</v>
          </cell>
          <cell r="C9882">
            <v>203</v>
          </cell>
          <cell r="D9882">
            <v>3</v>
          </cell>
          <cell r="E9882" t="str">
            <v>Equals: VALUE ADDED, GROSS, at basic prices</v>
          </cell>
          <cell r="F9882">
            <v>12</v>
          </cell>
          <cell r="G9882">
            <v>1988</v>
          </cell>
          <cell r="H9882">
            <v>200</v>
          </cell>
          <cell r="I9882">
            <v>244624000000</v>
          </cell>
        </row>
        <row r="9883">
          <cell r="A9883" t="str">
            <v>Spain</v>
          </cell>
          <cell r="B9883">
            <v>724</v>
          </cell>
          <cell r="C9883">
            <v>203</v>
          </cell>
          <cell r="D9883">
            <v>3</v>
          </cell>
          <cell r="E9883" t="str">
            <v>Equals: VALUE ADDED, GROSS, at basic prices</v>
          </cell>
          <cell r="F9883">
            <v>12</v>
          </cell>
          <cell r="G9883">
            <v>1989</v>
          </cell>
          <cell r="H9883">
            <v>200</v>
          </cell>
          <cell r="I9883">
            <v>274028000000</v>
          </cell>
        </row>
        <row r="9884">
          <cell r="A9884" t="str">
            <v>Spain</v>
          </cell>
          <cell r="B9884">
            <v>724</v>
          </cell>
          <cell r="C9884">
            <v>203</v>
          </cell>
          <cell r="D9884">
            <v>3</v>
          </cell>
          <cell r="E9884" t="str">
            <v>Equals: VALUE ADDED, GROSS, at basic prices</v>
          </cell>
          <cell r="F9884">
            <v>12</v>
          </cell>
          <cell r="G9884">
            <v>1990</v>
          </cell>
          <cell r="H9884">
            <v>200</v>
          </cell>
          <cell r="I9884">
            <v>306121000000</v>
          </cell>
        </row>
        <row r="9885">
          <cell r="A9885" t="str">
            <v>Spain</v>
          </cell>
          <cell r="B9885">
            <v>724</v>
          </cell>
          <cell r="C9885">
            <v>203</v>
          </cell>
          <cell r="D9885">
            <v>3</v>
          </cell>
          <cell r="E9885" t="str">
            <v>Equals: VALUE ADDED, GROSS, at basic prices</v>
          </cell>
          <cell r="F9885">
            <v>12</v>
          </cell>
          <cell r="G9885">
            <v>1991</v>
          </cell>
          <cell r="H9885">
            <v>200</v>
          </cell>
          <cell r="I9885">
            <v>335541000000</v>
          </cell>
        </row>
        <row r="9886">
          <cell r="A9886" t="str">
            <v>Spain</v>
          </cell>
          <cell r="B9886">
            <v>724</v>
          </cell>
          <cell r="C9886">
            <v>203</v>
          </cell>
          <cell r="D9886">
            <v>3</v>
          </cell>
          <cell r="E9886" t="str">
            <v>Equals: VALUE ADDED, GROSS, at basic prices</v>
          </cell>
          <cell r="F9886">
            <v>12</v>
          </cell>
          <cell r="G9886">
            <v>1992</v>
          </cell>
          <cell r="H9886">
            <v>200</v>
          </cell>
          <cell r="I9886">
            <v>357868000000</v>
          </cell>
        </row>
        <row r="9887">
          <cell r="A9887" t="str">
            <v>Spain</v>
          </cell>
          <cell r="B9887">
            <v>724</v>
          </cell>
          <cell r="C9887">
            <v>203</v>
          </cell>
          <cell r="D9887">
            <v>3</v>
          </cell>
          <cell r="E9887" t="str">
            <v>Equals: VALUE ADDED, GROSS, at basic prices</v>
          </cell>
          <cell r="F9887">
            <v>12</v>
          </cell>
          <cell r="G9887">
            <v>1993</v>
          </cell>
          <cell r="H9887">
            <v>200</v>
          </cell>
          <cell r="I9887">
            <v>372993000000</v>
          </cell>
        </row>
        <row r="9888">
          <cell r="A9888" t="str">
            <v>Spain</v>
          </cell>
          <cell r="B9888">
            <v>724</v>
          </cell>
          <cell r="C9888">
            <v>203</v>
          </cell>
          <cell r="D9888">
            <v>3</v>
          </cell>
          <cell r="E9888" t="str">
            <v>Equals: VALUE ADDED, GROSS, at basic prices</v>
          </cell>
          <cell r="F9888">
            <v>12</v>
          </cell>
          <cell r="G9888">
            <v>1994</v>
          </cell>
          <cell r="H9888">
            <v>200</v>
          </cell>
          <cell r="I9888">
            <v>392394000000</v>
          </cell>
        </row>
        <row r="9889">
          <cell r="A9889" t="str">
            <v>Spain</v>
          </cell>
          <cell r="B9889">
            <v>724</v>
          </cell>
          <cell r="C9889">
            <v>203</v>
          </cell>
          <cell r="D9889">
            <v>3</v>
          </cell>
          <cell r="E9889" t="str">
            <v>Equals: VALUE ADDED, GROSS, at basic prices</v>
          </cell>
          <cell r="F9889">
            <v>12</v>
          </cell>
          <cell r="G9889">
            <v>1995</v>
          </cell>
          <cell r="H9889">
            <v>200</v>
          </cell>
          <cell r="I9889">
            <v>422351000000</v>
          </cell>
        </row>
        <row r="9890">
          <cell r="A9890" t="str">
            <v>Spain</v>
          </cell>
          <cell r="B9890">
            <v>724</v>
          </cell>
          <cell r="C9890">
            <v>203</v>
          </cell>
          <cell r="D9890">
            <v>3</v>
          </cell>
          <cell r="E9890" t="str">
            <v>Equals: VALUE ADDED, GROSS, at basic prices</v>
          </cell>
          <cell r="F9890">
            <v>12</v>
          </cell>
          <cell r="G9890">
            <v>1996</v>
          </cell>
          <cell r="H9890">
            <v>200</v>
          </cell>
          <cell r="I9890">
            <v>444762000000</v>
          </cell>
        </row>
        <row r="9891">
          <cell r="A9891" t="str">
            <v>Spain</v>
          </cell>
          <cell r="B9891">
            <v>724</v>
          </cell>
          <cell r="C9891">
            <v>203</v>
          </cell>
          <cell r="D9891">
            <v>3</v>
          </cell>
          <cell r="E9891" t="str">
            <v>Equals: VALUE ADDED, GROSS, at basic prices</v>
          </cell>
          <cell r="F9891">
            <v>12</v>
          </cell>
          <cell r="G9891">
            <v>1997</v>
          </cell>
          <cell r="H9891">
            <v>200</v>
          </cell>
          <cell r="I9891">
            <v>471233000000</v>
          </cell>
        </row>
        <row r="9892">
          <cell r="A9892" t="str">
            <v>Spain</v>
          </cell>
          <cell r="B9892">
            <v>724</v>
          </cell>
          <cell r="C9892">
            <v>203</v>
          </cell>
          <cell r="D9892">
            <v>3</v>
          </cell>
          <cell r="E9892" t="str">
            <v>Equals: VALUE ADDED, GROSS, at basic prices</v>
          </cell>
          <cell r="F9892">
            <v>12</v>
          </cell>
          <cell r="G9892">
            <v>1998</v>
          </cell>
          <cell r="H9892">
            <v>200</v>
          </cell>
          <cell r="I9892">
            <v>500018000000</v>
          </cell>
        </row>
        <row r="9893">
          <cell r="A9893" t="str">
            <v>Spain</v>
          </cell>
          <cell r="B9893">
            <v>724</v>
          </cell>
          <cell r="C9893">
            <v>203</v>
          </cell>
          <cell r="D9893">
            <v>3</v>
          </cell>
          <cell r="E9893" t="str">
            <v>Equals: VALUE ADDED, GROSS, at basic prices</v>
          </cell>
          <cell r="F9893">
            <v>12</v>
          </cell>
          <cell r="G9893">
            <v>1999</v>
          </cell>
          <cell r="H9893">
            <v>200</v>
          </cell>
          <cell r="I9893">
            <v>530104000000</v>
          </cell>
        </row>
        <row r="9894">
          <cell r="A9894" t="str">
            <v>Spain</v>
          </cell>
          <cell r="B9894">
            <v>724</v>
          </cell>
          <cell r="C9894">
            <v>203</v>
          </cell>
          <cell r="D9894">
            <v>3</v>
          </cell>
          <cell r="E9894" t="str">
            <v>Equals: VALUE ADDED, GROSS, at basic prices</v>
          </cell>
          <cell r="F9894">
            <v>12</v>
          </cell>
          <cell r="G9894">
            <v>2000</v>
          </cell>
          <cell r="H9894">
            <v>200</v>
          </cell>
          <cell r="I9894">
            <v>571705000000</v>
          </cell>
        </row>
        <row r="9895">
          <cell r="A9895" t="str">
            <v>Spain</v>
          </cell>
          <cell r="B9895">
            <v>724</v>
          </cell>
          <cell r="C9895">
            <v>203</v>
          </cell>
          <cell r="D9895">
            <v>3</v>
          </cell>
          <cell r="E9895" t="str">
            <v>Equals: VALUE ADDED, GROSS, at basic prices</v>
          </cell>
          <cell r="F9895">
            <v>12</v>
          </cell>
          <cell r="G9895">
            <v>2001</v>
          </cell>
          <cell r="H9895">
            <v>200</v>
          </cell>
          <cell r="I9895">
            <v>617517000000</v>
          </cell>
        </row>
        <row r="9896">
          <cell r="A9896" t="str">
            <v>Spain</v>
          </cell>
          <cell r="B9896">
            <v>724</v>
          </cell>
          <cell r="C9896">
            <v>203</v>
          </cell>
          <cell r="D9896">
            <v>3</v>
          </cell>
          <cell r="E9896" t="str">
            <v>Equals: VALUE ADDED, GROSS, at basic prices</v>
          </cell>
          <cell r="F9896">
            <v>12</v>
          </cell>
          <cell r="G9896">
            <v>2002</v>
          </cell>
          <cell r="H9896">
            <v>200</v>
          </cell>
          <cell r="I9896">
            <v>654663000000</v>
          </cell>
        </row>
        <row r="9897">
          <cell r="A9897" t="str">
            <v>Spain</v>
          </cell>
          <cell r="B9897">
            <v>724</v>
          </cell>
          <cell r="C9897">
            <v>203</v>
          </cell>
          <cell r="D9897">
            <v>4</v>
          </cell>
          <cell r="E9897" t="str">
            <v>Compensation of employees</v>
          </cell>
          <cell r="F9897">
            <v>12</v>
          </cell>
          <cell r="G9897">
            <v>1980</v>
          </cell>
          <cell r="H9897">
            <v>200</v>
          </cell>
          <cell r="I9897">
            <v>49957000000</v>
          </cell>
        </row>
        <row r="9898">
          <cell r="A9898" t="str">
            <v>Spain</v>
          </cell>
          <cell r="B9898">
            <v>724</v>
          </cell>
          <cell r="C9898">
            <v>203</v>
          </cell>
          <cell r="D9898">
            <v>4</v>
          </cell>
          <cell r="E9898" t="str">
            <v>Compensation of employees</v>
          </cell>
          <cell r="F9898">
            <v>12</v>
          </cell>
          <cell r="G9898">
            <v>1981</v>
          </cell>
          <cell r="H9898">
            <v>200</v>
          </cell>
          <cell r="I9898">
            <v>56053000000</v>
          </cell>
        </row>
        <row r="9899">
          <cell r="A9899" t="str">
            <v>Spain</v>
          </cell>
          <cell r="B9899">
            <v>724</v>
          </cell>
          <cell r="C9899">
            <v>203</v>
          </cell>
          <cell r="D9899">
            <v>4</v>
          </cell>
          <cell r="E9899" t="str">
            <v>Compensation of employees</v>
          </cell>
          <cell r="F9899">
            <v>12</v>
          </cell>
          <cell r="G9899">
            <v>1982</v>
          </cell>
          <cell r="H9899">
            <v>200</v>
          </cell>
          <cell r="I9899">
            <v>63443000000</v>
          </cell>
        </row>
        <row r="9900">
          <cell r="A9900" t="str">
            <v>Spain</v>
          </cell>
          <cell r="B9900">
            <v>724</v>
          </cell>
          <cell r="C9900">
            <v>203</v>
          </cell>
          <cell r="D9900">
            <v>4</v>
          </cell>
          <cell r="E9900" t="str">
            <v>Compensation of employees</v>
          </cell>
          <cell r="F9900">
            <v>12</v>
          </cell>
          <cell r="G9900">
            <v>1983</v>
          </cell>
          <cell r="H9900">
            <v>200</v>
          </cell>
          <cell r="I9900">
            <v>71755000000</v>
          </cell>
        </row>
        <row r="9901">
          <cell r="A9901" t="str">
            <v>Spain</v>
          </cell>
          <cell r="B9901">
            <v>724</v>
          </cell>
          <cell r="C9901">
            <v>203</v>
          </cell>
          <cell r="D9901">
            <v>4</v>
          </cell>
          <cell r="E9901" t="str">
            <v>Compensation of employees</v>
          </cell>
          <cell r="F9901">
            <v>12</v>
          </cell>
          <cell r="G9901">
            <v>1984</v>
          </cell>
          <cell r="H9901">
            <v>200</v>
          </cell>
          <cell r="I9901">
            <v>76724000000</v>
          </cell>
        </row>
        <row r="9902">
          <cell r="A9902" t="str">
            <v>Spain</v>
          </cell>
          <cell r="B9902">
            <v>724</v>
          </cell>
          <cell r="C9902">
            <v>203</v>
          </cell>
          <cell r="D9902">
            <v>4</v>
          </cell>
          <cell r="E9902" t="str">
            <v>Compensation of employees</v>
          </cell>
          <cell r="F9902">
            <v>12</v>
          </cell>
          <cell r="G9902">
            <v>1985</v>
          </cell>
          <cell r="H9902">
            <v>200</v>
          </cell>
          <cell r="I9902">
            <v>83324000000</v>
          </cell>
        </row>
        <row r="9903">
          <cell r="A9903" t="str">
            <v>Spain</v>
          </cell>
          <cell r="B9903">
            <v>724</v>
          </cell>
          <cell r="C9903">
            <v>203</v>
          </cell>
          <cell r="D9903">
            <v>4</v>
          </cell>
          <cell r="E9903" t="str">
            <v>Compensation of employees</v>
          </cell>
          <cell r="F9903">
            <v>12</v>
          </cell>
          <cell r="G9903">
            <v>1986</v>
          </cell>
          <cell r="H9903">
            <v>200</v>
          </cell>
          <cell r="I9903">
            <v>94371000000</v>
          </cell>
        </row>
        <row r="9904">
          <cell r="A9904" t="str">
            <v>Spain</v>
          </cell>
          <cell r="B9904">
            <v>724</v>
          </cell>
          <cell r="C9904">
            <v>203</v>
          </cell>
          <cell r="D9904">
            <v>4</v>
          </cell>
          <cell r="E9904" t="str">
            <v>Compensation of employees</v>
          </cell>
          <cell r="F9904">
            <v>12</v>
          </cell>
          <cell r="G9904">
            <v>1987</v>
          </cell>
          <cell r="H9904">
            <v>200</v>
          </cell>
          <cell r="I9904">
            <v>106119000000</v>
          </cell>
        </row>
        <row r="9905">
          <cell r="A9905" t="str">
            <v>Spain</v>
          </cell>
          <cell r="B9905">
            <v>724</v>
          </cell>
          <cell r="C9905">
            <v>203</v>
          </cell>
          <cell r="D9905">
            <v>4</v>
          </cell>
          <cell r="E9905" t="str">
            <v>Compensation of employees</v>
          </cell>
          <cell r="F9905">
            <v>12</v>
          </cell>
          <cell r="G9905">
            <v>1988</v>
          </cell>
          <cell r="H9905">
            <v>200</v>
          </cell>
          <cell r="I9905">
            <v>118970000000</v>
          </cell>
        </row>
        <row r="9906">
          <cell r="A9906" t="str">
            <v>Spain</v>
          </cell>
          <cell r="B9906">
            <v>724</v>
          </cell>
          <cell r="C9906">
            <v>203</v>
          </cell>
          <cell r="D9906">
            <v>4</v>
          </cell>
          <cell r="E9906" t="str">
            <v>Compensation of employees</v>
          </cell>
          <cell r="F9906">
            <v>12</v>
          </cell>
          <cell r="G9906">
            <v>1989</v>
          </cell>
          <cell r="H9906">
            <v>200</v>
          </cell>
          <cell r="I9906">
            <v>134912000000</v>
          </cell>
        </row>
        <row r="9907">
          <cell r="A9907" t="str">
            <v>Spain</v>
          </cell>
          <cell r="B9907">
            <v>724</v>
          </cell>
          <cell r="C9907">
            <v>203</v>
          </cell>
          <cell r="D9907">
            <v>4</v>
          </cell>
          <cell r="E9907" t="str">
            <v>Compensation of employees</v>
          </cell>
          <cell r="F9907">
            <v>12</v>
          </cell>
          <cell r="G9907">
            <v>1990</v>
          </cell>
          <cell r="H9907">
            <v>200</v>
          </cell>
          <cell r="I9907">
            <v>155770000000</v>
          </cell>
        </row>
        <row r="9908">
          <cell r="A9908" t="str">
            <v>Spain</v>
          </cell>
          <cell r="B9908">
            <v>724</v>
          </cell>
          <cell r="C9908">
            <v>203</v>
          </cell>
          <cell r="D9908">
            <v>4</v>
          </cell>
          <cell r="E9908" t="str">
            <v>Compensation of employees</v>
          </cell>
          <cell r="F9908">
            <v>12</v>
          </cell>
          <cell r="G9908">
            <v>1991</v>
          </cell>
          <cell r="H9908">
            <v>200</v>
          </cell>
          <cell r="I9908">
            <v>175208000000</v>
          </cell>
        </row>
        <row r="9909">
          <cell r="A9909" t="str">
            <v>Spain</v>
          </cell>
          <cell r="B9909">
            <v>724</v>
          </cell>
          <cell r="C9909">
            <v>203</v>
          </cell>
          <cell r="D9909">
            <v>4</v>
          </cell>
          <cell r="E9909" t="str">
            <v>Compensation of employees</v>
          </cell>
          <cell r="F9909">
            <v>12</v>
          </cell>
          <cell r="G9909">
            <v>1992</v>
          </cell>
          <cell r="H9909">
            <v>200</v>
          </cell>
          <cell r="I9909">
            <v>190760000000</v>
          </cell>
        </row>
        <row r="9910">
          <cell r="A9910" t="str">
            <v>Spain</v>
          </cell>
          <cell r="B9910">
            <v>724</v>
          </cell>
          <cell r="C9910">
            <v>203</v>
          </cell>
          <cell r="D9910">
            <v>4</v>
          </cell>
          <cell r="E9910" t="str">
            <v>Compensation of employees</v>
          </cell>
          <cell r="F9910">
            <v>12</v>
          </cell>
          <cell r="G9910">
            <v>1993</v>
          </cell>
          <cell r="H9910">
            <v>200</v>
          </cell>
          <cell r="I9910">
            <v>199220000000</v>
          </cell>
        </row>
        <row r="9911">
          <cell r="A9911" t="str">
            <v>Spain</v>
          </cell>
          <cell r="B9911">
            <v>724</v>
          </cell>
          <cell r="C9911">
            <v>203</v>
          </cell>
          <cell r="D9911">
            <v>4</v>
          </cell>
          <cell r="E9911" t="str">
            <v>Compensation of employees</v>
          </cell>
          <cell r="F9911">
            <v>12</v>
          </cell>
          <cell r="G9911">
            <v>1994</v>
          </cell>
          <cell r="H9911">
            <v>200</v>
          </cell>
          <cell r="I9911">
            <v>205868000000</v>
          </cell>
        </row>
        <row r="9912">
          <cell r="A9912" t="str">
            <v>Spain</v>
          </cell>
          <cell r="B9912">
            <v>724</v>
          </cell>
          <cell r="C9912">
            <v>203</v>
          </cell>
          <cell r="D9912">
            <v>4</v>
          </cell>
          <cell r="E9912" t="str">
            <v>Compensation of employees</v>
          </cell>
          <cell r="F9912">
            <v>12</v>
          </cell>
          <cell r="G9912">
            <v>1995</v>
          </cell>
          <cell r="H9912">
            <v>200</v>
          </cell>
          <cell r="I9912">
            <v>218493000000</v>
          </cell>
        </row>
        <row r="9913">
          <cell r="A9913" t="str">
            <v>Spain</v>
          </cell>
          <cell r="B9913">
            <v>724</v>
          </cell>
          <cell r="C9913">
            <v>203</v>
          </cell>
          <cell r="D9913">
            <v>4</v>
          </cell>
          <cell r="E9913" t="str">
            <v>Compensation of employees</v>
          </cell>
          <cell r="F9913">
            <v>12</v>
          </cell>
          <cell r="G9913">
            <v>1996</v>
          </cell>
          <cell r="H9913">
            <v>200</v>
          </cell>
          <cell r="I9913">
            <v>231028000000</v>
          </cell>
        </row>
        <row r="9914">
          <cell r="A9914" t="str">
            <v>Spain</v>
          </cell>
          <cell r="B9914">
            <v>724</v>
          </cell>
          <cell r="C9914">
            <v>203</v>
          </cell>
          <cell r="D9914">
            <v>4</v>
          </cell>
          <cell r="E9914" t="str">
            <v>Compensation of employees</v>
          </cell>
          <cell r="F9914">
            <v>12</v>
          </cell>
          <cell r="G9914">
            <v>1997</v>
          </cell>
          <cell r="H9914">
            <v>200</v>
          </cell>
          <cell r="I9914">
            <v>245977000000</v>
          </cell>
        </row>
        <row r="9915">
          <cell r="A9915" t="str">
            <v>Spain</v>
          </cell>
          <cell r="B9915">
            <v>724</v>
          </cell>
          <cell r="C9915">
            <v>203</v>
          </cell>
          <cell r="D9915">
            <v>4</v>
          </cell>
          <cell r="E9915" t="str">
            <v>Compensation of employees</v>
          </cell>
          <cell r="F9915">
            <v>12</v>
          </cell>
          <cell r="G9915">
            <v>1998</v>
          </cell>
          <cell r="H9915">
            <v>200</v>
          </cell>
          <cell r="I9915">
            <v>263640000000</v>
          </cell>
        </row>
        <row r="9916">
          <cell r="A9916" t="str">
            <v>Spain</v>
          </cell>
          <cell r="B9916">
            <v>724</v>
          </cell>
          <cell r="C9916">
            <v>203</v>
          </cell>
          <cell r="D9916">
            <v>4</v>
          </cell>
          <cell r="E9916" t="str">
            <v>Compensation of employees</v>
          </cell>
          <cell r="F9916">
            <v>12</v>
          </cell>
          <cell r="G9916">
            <v>1999</v>
          </cell>
          <cell r="H9916">
            <v>200</v>
          </cell>
          <cell r="I9916">
            <v>282986000000</v>
          </cell>
        </row>
        <row r="9917">
          <cell r="A9917" t="str">
            <v>Spain</v>
          </cell>
          <cell r="B9917">
            <v>724</v>
          </cell>
          <cell r="C9917">
            <v>203</v>
          </cell>
          <cell r="D9917">
            <v>4</v>
          </cell>
          <cell r="E9917" t="str">
            <v>Compensation of employees</v>
          </cell>
          <cell r="F9917">
            <v>12</v>
          </cell>
          <cell r="G9917">
            <v>2000</v>
          </cell>
          <cell r="H9917">
            <v>200</v>
          </cell>
          <cell r="I9917">
            <v>306094000000</v>
          </cell>
        </row>
        <row r="9918">
          <cell r="A9918" t="str">
            <v>Spain</v>
          </cell>
          <cell r="B9918">
            <v>724</v>
          </cell>
          <cell r="C9918">
            <v>203</v>
          </cell>
          <cell r="D9918">
            <v>4</v>
          </cell>
          <cell r="E9918" t="str">
            <v>Compensation of employees</v>
          </cell>
          <cell r="F9918">
            <v>12</v>
          </cell>
          <cell r="G9918">
            <v>2001</v>
          </cell>
          <cell r="H9918">
            <v>200</v>
          </cell>
          <cell r="I9918">
            <v>327045000000</v>
          </cell>
        </row>
        <row r="9919">
          <cell r="A9919" t="str">
            <v>Spain</v>
          </cell>
          <cell r="B9919">
            <v>724</v>
          </cell>
          <cell r="C9919">
            <v>203</v>
          </cell>
          <cell r="D9919">
            <v>4</v>
          </cell>
          <cell r="E9919" t="str">
            <v>Compensation of employees</v>
          </cell>
          <cell r="F9919">
            <v>12</v>
          </cell>
          <cell r="G9919">
            <v>2002</v>
          </cell>
          <cell r="H9919">
            <v>200</v>
          </cell>
          <cell r="I9919">
            <v>346515000000</v>
          </cell>
        </row>
        <row r="9920">
          <cell r="A9920" t="str">
            <v>Sweden</v>
          </cell>
          <cell r="B9920">
            <v>752</v>
          </cell>
          <cell r="C9920">
            <v>203</v>
          </cell>
          <cell r="D9920">
            <v>3</v>
          </cell>
          <cell r="E9920" t="str">
            <v>Equals: VALUE ADDED, GROSS, at basic prices</v>
          </cell>
          <cell r="F9920">
            <v>12</v>
          </cell>
          <cell r="G9920">
            <v>1970</v>
          </cell>
          <cell r="H9920">
            <v>20</v>
          </cell>
          <cell r="I9920">
            <v>151428000000</v>
          </cell>
        </row>
        <row r="9921">
          <cell r="A9921" t="str">
            <v>Sweden</v>
          </cell>
          <cell r="B9921">
            <v>752</v>
          </cell>
          <cell r="C9921">
            <v>203</v>
          </cell>
          <cell r="D9921">
            <v>3</v>
          </cell>
          <cell r="E9921" t="str">
            <v>Equals: VALUE ADDED, GROSS, at basic prices</v>
          </cell>
          <cell r="F9921">
            <v>12</v>
          </cell>
          <cell r="G9921">
            <v>1971</v>
          </cell>
          <cell r="H9921">
            <v>20</v>
          </cell>
          <cell r="I9921">
            <v>165619000000</v>
          </cell>
        </row>
        <row r="9922">
          <cell r="A9922" t="str">
            <v>Sweden</v>
          </cell>
          <cell r="B9922">
            <v>752</v>
          </cell>
          <cell r="C9922">
            <v>203</v>
          </cell>
          <cell r="D9922">
            <v>3</v>
          </cell>
          <cell r="E9922" t="str">
            <v>Equals: VALUE ADDED, GROSS, at basic prices</v>
          </cell>
          <cell r="F9922">
            <v>12</v>
          </cell>
          <cell r="G9922">
            <v>1972</v>
          </cell>
          <cell r="H9922">
            <v>20</v>
          </cell>
          <cell r="I9922">
            <v>178261000000</v>
          </cell>
        </row>
        <row r="9923">
          <cell r="A9923" t="str">
            <v>Sweden</v>
          </cell>
          <cell r="B9923">
            <v>752</v>
          </cell>
          <cell r="C9923">
            <v>203</v>
          </cell>
          <cell r="D9923">
            <v>3</v>
          </cell>
          <cell r="E9923" t="str">
            <v>Equals: VALUE ADDED, GROSS, at basic prices</v>
          </cell>
          <cell r="F9923">
            <v>12</v>
          </cell>
          <cell r="G9923">
            <v>1973</v>
          </cell>
          <cell r="H9923">
            <v>20</v>
          </cell>
          <cell r="I9923">
            <v>199504000000</v>
          </cell>
        </row>
        <row r="9924">
          <cell r="A9924" t="str">
            <v>Sweden</v>
          </cell>
          <cell r="B9924">
            <v>752</v>
          </cell>
          <cell r="C9924">
            <v>203</v>
          </cell>
          <cell r="D9924">
            <v>3</v>
          </cell>
          <cell r="E9924" t="str">
            <v>Equals: VALUE ADDED, GROSS, at basic prices</v>
          </cell>
          <cell r="F9924">
            <v>12</v>
          </cell>
          <cell r="G9924">
            <v>1974</v>
          </cell>
          <cell r="H9924">
            <v>20</v>
          </cell>
          <cell r="I9924">
            <v>235520000000</v>
          </cell>
        </row>
        <row r="9925">
          <cell r="A9925" t="str">
            <v>Sweden</v>
          </cell>
          <cell r="B9925">
            <v>752</v>
          </cell>
          <cell r="C9925">
            <v>203</v>
          </cell>
          <cell r="D9925">
            <v>3</v>
          </cell>
          <cell r="E9925" t="str">
            <v>Equals: VALUE ADDED, GROSS, at basic prices</v>
          </cell>
          <cell r="F9925">
            <v>12</v>
          </cell>
          <cell r="G9925">
            <v>1975</v>
          </cell>
          <cell r="H9925">
            <v>20</v>
          </cell>
          <cell r="I9925">
            <v>273977000000</v>
          </cell>
        </row>
        <row r="9926">
          <cell r="A9926" t="str">
            <v>Sweden</v>
          </cell>
          <cell r="B9926">
            <v>752</v>
          </cell>
          <cell r="C9926">
            <v>203</v>
          </cell>
          <cell r="D9926">
            <v>3</v>
          </cell>
          <cell r="E9926" t="str">
            <v>Equals: VALUE ADDED, GROSS, at basic prices</v>
          </cell>
          <cell r="F9926">
            <v>12</v>
          </cell>
          <cell r="G9926">
            <v>1976</v>
          </cell>
          <cell r="H9926">
            <v>20</v>
          </cell>
          <cell r="I9926">
            <v>309712000000</v>
          </cell>
        </row>
        <row r="9927">
          <cell r="A9927" t="str">
            <v>Sweden</v>
          </cell>
          <cell r="B9927">
            <v>752</v>
          </cell>
          <cell r="C9927">
            <v>203</v>
          </cell>
          <cell r="D9927">
            <v>3</v>
          </cell>
          <cell r="E9927" t="str">
            <v>Equals: VALUE ADDED, GROSS, at basic prices</v>
          </cell>
          <cell r="F9927">
            <v>12</v>
          </cell>
          <cell r="G9927">
            <v>1977</v>
          </cell>
          <cell r="H9927">
            <v>20</v>
          </cell>
          <cell r="I9927">
            <v>334724000000</v>
          </cell>
        </row>
        <row r="9928">
          <cell r="A9928" t="str">
            <v>Sweden</v>
          </cell>
          <cell r="B9928">
            <v>752</v>
          </cell>
          <cell r="C9928">
            <v>203</v>
          </cell>
          <cell r="D9928">
            <v>3</v>
          </cell>
          <cell r="E9928" t="str">
            <v>Equals: VALUE ADDED, GROSS, at basic prices</v>
          </cell>
          <cell r="F9928">
            <v>12</v>
          </cell>
          <cell r="G9928">
            <v>1978</v>
          </cell>
          <cell r="H9928">
            <v>20</v>
          </cell>
          <cell r="I9928">
            <v>368841000000</v>
          </cell>
        </row>
        <row r="9929">
          <cell r="A9929" t="str">
            <v>Sweden</v>
          </cell>
          <cell r="B9929">
            <v>752</v>
          </cell>
          <cell r="C9929">
            <v>203</v>
          </cell>
          <cell r="D9929">
            <v>3</v>
          </cell>
          <cell r="E9929" t="str">
            <v>Equals: VALUE ADDED, GROSS, at basic prices</v>
          </cell>
          <cell r="F9929">
            <v>12</v>
          </cell>
          <cell r="G9929">
            <v>1979</v>
          </cell>
          <cell r="H9929">
            <v>20</v>
          </cell>
          <cell r="I9929">
            <v>414804000000</v>
          </cell>
        </row>
        <row r="9930">
          <cell r="A9930" t="str">
            <v>Sweden</v>
          </cell>
          <cell r="B9930">
            <v>752</v>
          </cell>
          <cell r="C9930">
            <v>203</v>
          </cell>
          <cell r="D9930">
            <v>3</v>
          </cell>
          <cell r="E9930" t="str">
            <v>Equals: VALUE ADDED, GROSS, at basic prices</v>
          </cell>
          <cell r="F9930">
            <v>12</v>
          </cell>
          <cell r="G9930">
            <v>1980</v>
          </cell>
          <cell r="H9930">
            <v>20</v>
          </cell>
          <cell r="I9930">
            <v>468134000000</v>
          </cell>
        </row>
        <row r="9931">
          <cell r="A9931" t="str">
            <v>Sweden</v>
          </cell>
          <cell r="B9931">
            <v>752</v>
          </cell>
          <cell r="C9931">
            <v>203</v>
          </cell>
          <cell r="D9931">
            <v>3</v>
          </cell>
          <cell r="E9931" t="str">
            <v>Equals: VALUE ADDED, GROSS, at basic prices</v>
          </cell>
          <cell r="F9931">
            <v>12</v>
          </cell>
          <cell r="G9931">
            <v>1980</v>
          </cell>
          <cell r="H9931">
            <v>30</v>
          </cell>
          <cell r="I9931">
            <v>484045000000</v>
          </cell>
        </row>
        <row r="9932">
          <cell r="A9932" t="str">
            <v>Sweden</v>
          </cell>
          <cell r="B9932">
            <v>752</v>
          </cell>
          <cell r="C9932">
            <v>203</v>
          </cell>
          <cell r="D9932">
            <v>3</v>
          </cell>
          <cell r="E9932" t="str">
            <v>Equals: VALUE ADDED, GROSS, at basic prices</v>
          </cell>
          <cell r="F9932">
            <v>12</v>
          </cell>
          <cell r="G9932">
            <v>1981</v>
          </cell>
          <cell r="H9932">
            <v>30</v>
          </cell>
          <cell r="I9932">
            <v>529119000000</v>
          </cell>
        </row>
        <row r="9933">
          <cell r="A9933" t="str">
            <v>Sweden</v>
          </cell>
          <cell r="B9933">
            <v>752</v>
          </cell>
          <cell r="C9933">
            <v>203</v>
          </cell>
          <cell r="D9933">
            <v>3</v>
          </cell>
          <cell r="E9933" t="str">
            <v>Equals: VALUE ADDED, GROSS, at basic prices</v>
          </cell>
          <cell r="F9933">
            <v>12</v>
          </cell>
          <cell r="G9933">
            <v>1982</v>
          </cell>
          <cell r="H9933">
            <v>30</v>
          </cell>
          <cell r="I9933">
            <v>583482000000</v>
          </cell>
        </row>
        <row r="9934">
          <cell r="A9934" t="str">
            <v>Sweden</v>
          </cell>
          <cell r="B9934">
            <v>752</v>
          </cell>
          <cell r="C9934">
            <v>203</v>
          </cell>
          <cell r="D9934">
            <v>3</v>
          </cell>
          <cell r="E9934" t="str">
            <v>Equals: VALUE ADDED, GROSS, at basic prices</v>
          </cell>
          <cell r="F9934">
            <v>12</v>
          </cell>
          <cell r="G9934">
            <v>1983</v>
          </cell>
          <cell r="H9934">
            <v>30</v>
          </cell>
          <cell r="I9934">
            <v>653429000000</v>
          </cell>
        </row>
        <row r="9935">
          <cell r="A9935" t="str">
            <v>Sweden</v>
          </cell>
          <cell r="B9935">
            <v>752</v>
          </cell>
          <cell r="C9935">
            <v>203</v>
          </cell>
          <cell r="D9935">
            <v>3</v>
          </cell>
          <cell r="E9935" t="str">
            <v>Equals: VALUE ADDED, GROSS, at basic prices</v>
          </cell>
          <cell r="F9935">
            <v>12</v>
          </cell>
          <cell r="G9935">
            <v>1984</v>
          </cell>
          <cell r="H9935">
            <v>30</v>
          </cell>
          <cell r="I9935">
            <v>730270000000</v>
          </cell>
        </row>
        <row r="9936">
          <cell r="A9936" t="str">
            <v>Sweden</v>
          </cell>
          <cell r="B9936">
            <v>752</v>
          </cell>
          <cell r="C9936">
            <v>203</v>
          </cell>
          <cell r="D9936">
            <v>3</v>
          </cell>
          <cell r="E9936" t="str">
            <v>Equals: VALUE ADDED, GROSS, at basic prices</v>
          </cell>
          <cell r="F9936">
            <v>12</v>
          </cell>
          <cell r="G9936">
            <v>1985</v>
          </cell>
          <cell r="H9936">
            <v>30</v>
          </cell>
          <cell r="I9936">
            <v>789253000000</v>
          </cell>
        </row>
        <row r="9937">
          <cell r="A9937" t="str">
            <v>Sweden</v>
          </cell>
          <cell r="B9937">
            <v>752</v>
          </cell>
          <cell r="C9937">
            <v>203</v>
          </cell>
          <cell r="D9937">
            <v>3</v>
          </cell>
          <cell r="E9937" t="str">
            <v>Equals: VALUE ADDED, GROSS, at basic prices</v>
          </cell>
          <cell r="F9937">
            <v>12</v>
          </cell>
          <cell r="G9937">
            <v>1986</v>
          </cell>
          <cell r="H9937">
            <v>30</v>
          </cell>
          <cell r="I9937">
            <v>874127000000</v>
          </cell>
        </row>
        <row r="9938">
          <cell r="A9938" t="str">
            <v>Sweden</v>
          </cell>
          <cell r="B9938">
            <v>752</v>
          </cell>
          <cell r="C9938">
            <v>203</v>
          </cell>
          <cell r="D9938">
            <v>3</v>
          </cell>
          <cell r="E9938" t="str">
            <v>Equals: VALUE ADDED, GROSS, at basic prices</v>
          </cell>
          <cell r="F9938">
            <v>12</v>
          </cell>
          <cell r="G9938">
            <v>1987</v>
          </cell>
          <cell r="H9938">
            <v>30</v>
          </cell>
          <cell r="I9938">
            <v>943148000000</v>
          </cell>
        </row>
        <row r="9939">
          <cell r="A9939" t="str">
            <v>Sweden</v>
          </cell>
          <cell r="B9939">
            <v>752</v>
          </cell>
          <cell r="C9939">
            <v>203</v>
          </cell>
          <cell r="D9939">
            <v>3</v>
          </cell>
          <cell r="E9939" t="str">
            <v>Equals: VALUE ADDED, GROSS, at basic prices</v>
          </cell>
          <cell r="F9939">
            <v>12</v>
          </cell>
          <cell r="G9939">
            <v>1988</v>
          </cell>
          <cell r="H9939">
            <v>30</v>
          </cell>
          <cell r="I9939">
            <v>1027427000000</v>
          </cell>
        </row>
        <row r="9940">
          <cell r="A9940" t="str">
            <v>Sweden</v>
          </cell>
          <cell r="B9940">
            <v>752</v>
          </cell>
          <cell r="C9940">
            <v>203</v>
          </cell>
          <cell r="D9940">
            <v>3</v>
          </cell>
          <cell r="E9940" t="str">
            <v>Equals: VALUE ADDED, GROSS, at basic prices</v>
          </cell>
          <cell r="F9940">
            <v>12</v>
          </cell>
          <cell r="G9940">
            <v>1989</v>
          </cell>
          <cell r="H9940">
            <v>30</v>
          </cell>
          <cell r="I9940">
            <v>1138985000000</v>
          </cell>
        </row>
        <row r="9941">
          <cell r="A9941" t="str">
            <v>Sweden</v>
          </cell>
          <cell r="B9941">
            <v>752</v>
          </cell>
          <cell r="C9941">
            <v>203</v>
          </cell>
          <cell r="D9941">
            <v>3</v>
          </cell>
          <cell r="E9941" t="str">
            <v>Equals: VALUE ADDED, GROSS, at basic prices</v>
          </cell>
          <cell r="F9941">
            <v>12</v>
          </cell>
          <cell r="G9941">
            <v>1990</v>
          </cell>
          <cell r="H9941">
            <v>30</v>
          </cell>
          <cell r="I9941">
            <v>1250971000000</v>
          </cell>
        </row>
        <row r="9942">
          <cell r="A9942" t="str">
            <v>Sweden</v>
          </cell>
          <cell r="B9942">
            <v>752</v>
          </cell>
          <cell r="C9942">
            <v>203</v>
          </cell>
          <cell r="D9942">
            <v>3</v>
          </cell>
          <cell r="E9942" t="str">
            <v>Equals: VALUE ADDED, GROSS, at basic prices</v>
          </cell>
          <cell r="F9942">
            <v>12</v>
          </cell>
          <cell r="G9942">
            <v>1991</v>
          </cell>
          <cell r="H9942">
            <v>30</v>
          </cell>
          <cell r="I9942">
            <v>1307583000000</v>
          </cell>
        </row>
        <row r="9943">
          <cell r="A9943" t="str">
            <v>Sweden</v>
          </cell>
          <cell r="B9943">
            <v>752</v>
          </cell>
          <cell r="C9943">
            <v>203</v>
          </cell>
          <cell r="D9943">
            <v>3</v>
          </cell>
          <cell r="E9943" t="str">
            <v>Equals: VALUE ADDED, GROSS, at basic prices</v>
          </cell>
          <cell r="F9943">
            <v>12</v>
          </cell>
          <cell r="G9943">
            <v>1992</v>
          </cell>
          <cell r="H9943">
            <v>30</v>
          </cell>
          <cell r="I9943">
            <v>1308666000000</v>
          </cell>
        </row>
        <row r="9944">
          <cell r="A9944" t="str">
            <v>Sweden</v>
          </cell>
          <cell r="B9944">
            <v>752</v>
          </cell>
          <cell r="C9944">
            <v>203</v>
          </cell>
          <cell r="D9944">
            <v>3</v>
          </cell>
          <cell r="E9944" t="str">
            <v>Equals: VALUE ADDED, GROSS, at basic prices</v>
          </cell>
          <cell r="F9944">
            <v>12</v>
          </cell>
          <cell r="G9944">
            <v>1993</v>
          </cell>
          <cell r="H9944">
            <v>30</v>
          </cell>
          <cell r="I9944">
            <v>1328816000000</v>
          </cell>
        </row>
        <row r="9945">
          <cell r="A9945" t="str">
            <v>Sweden</v>
          </cell>
          <cell r="B9945">
            <v>752</v>
          </cell>
          <cell r="C9945">
            <v>203</v>
          </cell>
          <cell r="D9945">
            <v>3</v>
          </cell>
          <cell r="E9945" t="str">
            <v>Equals: VALUE ADDED, GROSS, at basic prices</v>
          </cell>
          <cell r="F9945">
            <v>12</v>
          </cell>
          <cell r="G9945">
            <v>1993</v>
          </cell>
          <cell r="H9945">
            <v>100</v>
          </cell>
          <cell r="I9945">
            <v>1385564000000</v>
          </cell>
        </row>
        <row r="9946">
          <cell r="A9946" t="str">
            <v>Sweden</v>
          </cell>
          <cell r="B9946">
            <v>752</v>
          </cell>
          <cell r="C9946">
            <v>203</v>
          </cell>
          <cell r="D9946">
            <v>3</v>
          </cell>
          <cell r="E9946" t="str">
            <v>Equals: VALUE ADDED, GROSS, at basic prices</v>
          </cell>
          <cell r="F9946">
            <v>12</v>
          </cell>
          <cell r="G9946">
            <v>1994</v>
          </cell>
          <cell r="H9946">
            <v>100</v>
          </cell>
          <cell r="I9946">
            <v>1465023000000</v>
          </cell>
        </row>
        <row r="9947">
          <cell r="A9947" t="str">
            <v>Sweden</v>
          </cell>
          <cell r="B9947">
            <v>752</v>
          </cell>
          <cell r="C9947">
            <v>203</v>
          </cell>
          <cell r="D9947">
            <v>3</v>
          </cell>
          <cell r="E9947" t="str">
            <v>Equals: VALUE ADDED, GROSS, at basic prices</v>
          </cell>
          <cell r="F9947">
            <v>12</v>
          </cell>
          <cell r="G9947">
            <v>1995</v>
          </cell>
          <cell r="H9947">
            <v>100</v>
          </cell>
          <cell r="I9947">
            <v>1594907000000</v>
          </cell>
        </row>
        <row r="9948">
          <cell r="A9948" t="str">
            <v>Sweden</v>
          </cell>
          <cell r="B9948">
            <v>752</v>
          </cell>
          <cell r="C9948">
            <v>203</v>
          </cell>
          <cell r="D9948">
            <v>3</v>
          </cell>
          <cell r="E9948" t="str">
            <v>Equals: VALUE ADDED, GROSS, at basic prices</v>
          </cell>
          <cell r="F9948">
            <v>12</v>
          </cell>
          <cell r="G9948">
            <v>1996</v>
          </cell>
          <cell r="H9948">
            <v>100</v>
          </cell>
          <cell r="I9948">
            <v>1635227000000</v>
          </cell>
        </row>
        <row r="9949">
          <cell r="A9949" t="str">
            <v>Sweden</v>
          </cell>
          <cell r="B9949">
            <v>752</v>
          </cell>
          <cell r="C9949">
            <v>203</v>
          </cell>
          <cell r="D9949">
            <v>3</v>
          </cell>
          <cell r="E9949" t="str">
            <v>Equals: VALUE ADDED, GROSS, at basic prices</v>
          </cell>
          <cell r="F9949">
            <v>12</v>
          </cell>
          <cell r="G9949">
            <v>1997</v>
          </cell>
          <cell r="H9949">
            <v>100</v>
          </cell>
          <cell r="I9949">
            <v>1701889000000</v>
          </cell>
        </row>
        <row r="9950">
          <cell r="A9950" t="str">
            <v>Sweden</v>
          </cell>
          <cell r="B9950">
            <v>752</v>
          </cell>
          <cell r="C9950">
            <v>203</v>
          </cell>
          <cell r="D9950">
            <v>3</v>
          </cell>
          <cell r="E9950" t="str">
            <v>Equals: VALUE ADDED, GROSS, at basic prices</v>
          </cell>
          <cell r="F9950">
            <v>12</v>
          </cell>
          <cell r="G9950">
            <v>1998</v>
          </cell>
          <cell r="H9950">
            <v>100</v>
          </cell>
          <cell r="I9950">
            <v>1762347000000</v>
          </cell>
        </row>
        <row r="9951">
          <cell r="A9951" t="str">
            <v>Sweden</v>
          </cell>
          <cell r="B9951">
            <v>752</v>
          </cell>
          <cell r="C9951">
            <v>203</v>
          </cell>
          <cell r="D9951">
            <v>3</v>
          </cell>
          <cell r="E9951" t="str">
            <v>Equals: VALUE ADDED, GROSS, at basic prices</v>
          </cell>
          <cell r="F9951">
            <v>12</v>
          </cell>
          <cell r="G9951">
            <v>1999</v>
          </cell>
          <cell r="H9951">
            <v>100</v>
          </cell>
          <cell r="I9951">
            <v>1855625000000</v>
          </cell>
        </row>
        <row r="9952">
          <cell r="A9952" t="str">
            <v>Sweden</v>
          </cell>
          <cell r="B9952">
            <v>752</v>
          </cell>
          <cell r="C9952">
            <v>203</v>
          </cell>
          <cell r="D9952">
            <v>3</v>
          </cell>
          <cell r="E9952" t="str">
            <v>Equals: VALUE ADDED, GROSS, at basic prices</v>
          </cell>
          <cell r="F9952">
            <v>12</v>
          </cell>
          <cell r="G9952">
            <v>2000</v>
          </cell>
          <cell r="H9952">
            <v>100</v>
          </cell>
          <cell r="I9952">
            <v>1967235000000</v>
          </cell>
        </row>
        <row r="9953">
          <cell r="A9953" t="str">
            <v>Sweden</v>
          </cell>
          <cell r="B9953">
            <v>752</v>
          </cell>
          <cell r="C9953">
            <v>203</v>
          </cell>
          <cell r="D9953">
            <v>3</v>
          </cell>
          <cell r="E9953" t="str">
            <v>Equals: VALUE ADDED, GROSS, at basic prices</v>
          </cell>
          <cell r="F9953">
            <v>12</v>
          </cell>
          <cell r="G9953">
            <v>2001</v>
          </cell>
          <cell r="H9953">
            <v>100</v>
          </cell>
          <cell r="I9953">
            <v>2025903000000</v>
          </cell>
        </row>
        <row r="9954">
          <cell r="A9954" t="str">
            <v>Spain</v>
          </cell>
          <cell r="B9954">
            <v>724</v>
          </cell>
          <cell r="C9954">
            <v>203</v>
          </cell>
          <cell r="D9954">
            <v>11</v>
          </cell>
          <cell r="E9954" t="str">
            <v>OPERATING SURPLUS, GROSS</v>
          </cell>
          <cell r="F9954">
            <v>12</v>
          </cell>
          <cell r="G9954">
            <v>1995</v>
          </cell>
          <cell r="H9954">
            <v>200</v>
          </cell>
          <cell r="I9954">
            <v>200101000000</v>
          </cell>
        </row>
        <row r="9955">
          <cell r="A9955" t="str">
            <v>Spain</v>
          </cell>
          <cell r="B9955">
            <v>724</v>
          </cell>
          <cell r="C9955">
            <v>203</v>
          </cell>
          <cell r="D9955">
            <v>11</v>
          </cell>
          <cell r="E9955" t="str">
            <v>OPERATING SURPLUS, GROSS</v>
          </cell>
          <cell r="F9955">
            <v>12</v>
          </cell>
          <cell r="G9955">
            <v>1996</v>
          </cell>
          <cell r="H9955">
            <v>200</v>
          </cell>
          <cell r="I9955">
            <v>210102000000</v>
          </cell>
        </row>
        <row r="9956">
          <cell r="A9956" t="str">
            <v>Spain</v>
          </cell>
          <cell r="B9956">
            <v>724</v>
          </cell>
          <cell r="C9956">
            <v>203</v>
          </cell>
          <cell r="D9956">
            <v>11</v>
          </cell>
          <cell r="E9956" t="str">
            <v>OPERATING SURPLUS, GROSS</v>
          </cell>
          <cell r="F9956">
            <v>12</v>
          </cell>
          <cell r="G9956">
            <v>1997</v>
          </cell>
          <cell r="H9956">
            <v>200</v>
          </cell>
          <cell r="I9956">
            <v>221470000000</v>
          </cell>
        </row>
        <row r="9957">
          <cell r="A9957" t="str">
            <v>Spain</v>
          </cell>
          <cell r="B9957">
            <v>724</v>
          </cell>
          <cell r="C9957">
            <v>203</v>
          </cell>
          <cell r="D9957">
            <v>11</v>
          </cell>
          <cell r="E9957" t="str">
            <v>OPERATING SURPLUS, GROSS</v>
          </cell>
          <cell r="F9957">
            <v>12</v>
          </cell>
          <cell r="G9957">
            <v>1998</v>
          </cell>
          <cell r="H9957">
            <v>200</v>
          </cell>
          <cell r="I9957">
            <v>233019000000</v>
          </cell>
        </row>
        <row r="9958">
          <cell r="A9958" t="str">
            <v>Spain</v>
          </cell>
          <cell r="B9958">
            <v>724</v>
          </cell>
          <cell r="C9958">
            <v>203</v>
          </cell>
          <cell r="D9958">
            <v>11</v>
          </cell>
          <cell r="E9958" t="str">
            <v>OPERATING SURPLUS, GROSS</v>
          </cell>
          <cell r="F9958">
            <v>12</v>
          </cell>
          <cell r="G9958">
            <v>1999</v>
          </cell>
          <cell r="H9958">
            <v>200</v>
          </cell>
          <cell r="I9958">
            <v>244117000000</v>
          </cell>
        </row>
        <row r="9959">
          <cell r="A9959" t="str">
            <v>Spain</v>
          </cell>
          <cell r="B9959">
            <v>724</v>
          </cell>
          <cell r="C9959">
            <v>203</v>
          </cell>
          <cell r="D9959">
            <v>11</v>
          </cell>
          <cell r="E9959" t="str">
            <v>OPERATING SURPLUS, GROSS</v>
          </cell>
          <cell r="F9959">
            <v>12</v>
          </cell>
          <cell r="G9959">
            <v>2000</v>
          </cell>
          <cell r="H9959">
            <v>200</v>
          </cell>
          <cell r="I9959">
            <v>262712000000</v>
          </cell>
        </row>
        <row r="9960">
          <cell r="A9960" t="str">
            <v>Spain</v>
          </cell>
          <cell r="B9960">
            <v>724</v>
          </cell>
          <cell r="C9960">
            <v>203</v>
          </cell>
          <cell r="D9960">
            <v>11</v>
          </cell>
          <cell r="E9960" t="str">
            <v>OPERATING SURPLUS, GROSS</v>
          </cell>
          <cell r="F9960">
            <v>12</v>
          </cell>
          <cell r="G9960">
            <v>2001</v>
          </cell>
          <cell r="H9960">
            <v>200</v>
          </cell>
          <cell r="I9960">
            <v>287306000000</v>
          </cell>
        </row>
        <row r="9961">
          <cell r="A9961" t="str">
            <v>Spain</v>
          </cell>
          <cell r="B9961">
            <v>724</v>
          </cell>
          <cell r="C9961">
            <v>203</v>
          </cell>
          <cell r="D9961">
            <v>11</v>
          </cell>
          <cell r="E9961" t="str">
            <v>OPERATING SURPLUS, GROSS</v>
          </cell>
          <cell r="F9961">
            <v>12</v>
          </cell>
          <cell r="G9961">
            <v>2002</v>
          </cell>
          <cell r="H9961">
            <v>200</v>
          </cell>
          <cell r="I9961">
            <v>305048000000</v>
          </cell>
        </row>
        <row r="9962">
          <cell r="A9962" t="str">
            <v>Sweden</v>
          </cell>
          <cell r="B9962">
            <v>752</v>
          </cell>
          <cell r="C9962">
            <v>203</v>
          </cell>
          <cell r="D9962">
            <v>4</v>
          </cell>
          <cell r="E9962" t="str">
            <v>Compensation of employees</v>
          </cell>
          <cell r="F9962">
            <v>12</v>
          </cell>
          <cell r="G9962">
            <v>1970</v>
          </cell>
          <cell r="H9962">
            <v>20</v>
          </cell>
          <cell r="I9962">
            <v>102979000000</v>
          </cell>
        </row>
        <row r="9963">
          <cell r="A9963" t="str">
            <v>Sweden</v>
          </cell>
          <cell r="B9963">
            <v>752</v>
          </cell>
          <cell r="C9963">
            <v>203</v>
          </cell>
          <cell r="D9963">
            <v>4</v>
          </cell>
          <cell r="E9963" t="str">
            <v>Compensation of employees</v>
          </cell>
          <cell r="F9963">
            <v>12</v>
          </cell>
          <cell r="G9963">
            <v>1971</v>
          </cell>
          <cell r="H9963">
            <v>20</v>
          </cell>
          <cell r="I9963">
            <v>112642000000</v>
          </cell>
        </row>
        <row r="9964">
          <cell r="A9964" t="str">
            <v>Sweden</v>
          </cell>
          <cell r="B9964">
            <v>752</v>
          </cell>
          <cell r="C9964">
            <v>203</v>
          </cell>
          <cell r="D9964">
            <v>4</v>
          </cell>
          <cell r="E9964" t="str">
            <v>Compensation of employees</v>
          </cell>
          <cell r="F9964">
            <v>12</v>
          </cell>
          <cell r="G9964">
            <v>1972</v>
          </cell>
          <cell r="H9964">
            <v>20</v>
          </cell>
          <cell r="I9964">
            <v>121489000000</v>
          </cell>
        </row>
        <row r="9965">
          <cell r="A9965" t="str">
            <v>Sweden</v>
          </cell>
          <cell r="B9965">
            <v>752</v>
          </cell>
          <cell r="C9965">
            <v>203</v>
          </cell>
          <cell r="D9965">
            <v>4</v>
          </cell>
          <cell r="E9965" t="str">
            <v>Compensation of employees</v>
          </cell>
          <cell r="F9965">
            <v>12</v>
          </cell>
          <cell r="G9965">
            <v>1973</v>
          </cell>
          <cell r="H9965">
            <v>20</v>
          </cell>
          <cell r="I9965">
            <v>131941000000</v>
          </cell>
        </row>
        <row r="9966">
          <cell r="A9966" t="str">
            <v>Sweden</v>
          </cell>
          <cell r="B9966">
            <v>752</v>
          </cell>
          <cell r="C9966">
            <v>203</v>
          </cell>
          <cell r="D9966">
            <v>4</v>
          </cell>
          <cell r="E9966" t="str">
            <v>Compensation of employees</v>
          </cell>
          <cell r="F9966">
            <v>12</v>
          </cell>
          <cell r="G9966">
            <v>1974</v>
          </cell>
          <cell r="H9966">
            <v>20</v>
          </cell>
          <cell r="I9966">
            <v>154370000000</v>
          </cell>
        </row>
        <row r="9967">
          <cell r="A9967" t="str">
            <v>Sweden</v>
          </cell>
          <cell r="B9967">
            <v>752</v>
          </cell>
          <cell r="C9967">
            <v>203</v>
          </cell>
          <cell r="D9967">
            <v>4</v>
          </cell>
          <cell r="E9967" t="str">
            <v>Compensation of employees</v>
          </cell>
          <cell r="F9967">
            <v>12</v>
          </cell>
          <cell r="G9967">
            <v>1975</v>
          </cell>
          <cell r="H9967">
            <v>20</v>
          </cell>
          <cell r="I9967">
            <v>186389000000</v>
          </cell>
        </row>
        <row r="9968">
          <cell r="A9968" t="str">
            <v>Sweden</v>
          </cell>
          <cell r="B9968">
            <v>752</v>
          </cell>
          <cell r="C9968">
            <v>203</v>
          </cell>
          <cell r="D9968">
            <v>4</v>
          </cell>
          <cell r="E9968" t="str">
            <v>Compensation of employees</v>
          </cell>
          <cell r="F9968">
            <v>12</v>
          </cell>
          <cell r="G9968">
            <v>1976</v>
          </cell>
          <cell r="H9968">
            <v>20</v>
          </cell>
          <cell r="I9968">
            <v>219430000000</v>
          </cell>
        </row>
        <row r="9969">
          <cell r="A9969" t="str">
            <v>Sweden</v>
          </cell>
          <cell r="B9969">
            <v>752</v>
          </cell>
          <cell r="C9969">
            <v>203</v>
          </cell>
          <cell r="D9969">
            <v>4</v>
          </cell>
          <cell r="E9969" t="str">
            <v>Compensation of employees</v>
          </cell>
          <cell r="F9969">
            <v>12</v>
          </cell>
          <cell r="G9969">
            <v>1977</v>
          </cell>
          <cell r="H9969">
            <v>20</v>
          </cell>
          <cell r="I9969">
            <v>244209000000</v>
          </cell>
        </row>
        <row r="9970">
          <cell r="A9970" t="str">
            <v>Sweden</v>
          </cell>
          <cell r="B9970">
            <v>752</v>
          </cell>
          <cell r="C9970">
            <v>203</v>
          </cell>
          <cell r="D9970">
            <v>4</v>
          </cell>
          <cell r="E9970" t="str">
            <v>Compensation of employees</v>
          </cell>
          <cell r="F9970">
            <v>12</v>
          </cell>
          <cell r="G9970">
            <v>1978</v>
          </cell>
          <cell r="H9970">
            <v>20</v>
          </cell>
          <cell r="I9970">
            <v>271336000000</v>
          </cell>
        </row>
        <row r="9971">
          <cell r="A9971" t="str">
            <v>Sweden</v>
          </cell>
          <cell r="B9971">
            <v>752</v>
          </cell>
          <cell r="C9971">
            <v>203</v>
          </cell>
          <cell r="D9971">
            <v>4</v>
          </cell>
          <cell r="E9971" t="str">
            <v>Compensation of employees</v>
          </cell>
          <cell r="F9971">
            <v>12</v>
          </cell>
          <cell r="G9971">
            <v>1979</v>
          </cell>
          <cell r="H9971">
            <v>20</v>
          </cell>
          <cell r="I9971">
            <v>297272000000</v>
          </cell>
        </row>
        <row r="9972">
          <cell r="A9972" t="str">
            <v>Sweden</v>
          </cell>
          <cell r="B9972">
            <v>752</v>
          </cell>
          <cell r="C9972">
            <v>203</v>
          </cell>
          <cell r="D9972">
            <v>4</v>
          </cell>
          <cell r="E9972" t="str">
            <v>Compensation of employees</v>
          </cell>
          <cell r="F9972">
            <v>12</v>
          </cell>
          <cell r="G9972">
            <v>1980</v>
          </cell>
          <cell r="H9972">
            <v>20</v>
          </cell>
          <cell r="I9972">
            <v>333084000000</v>
          </cell>
        </row>
        <row r="9973">
          <cell r="A9973" t="str">
            <v>Sweden</v>
          </cell>
          <cell r="B9973">
            <v>752</v>
          </cell>
          <cell r="C9973">
            <v>203</v>
          </cell>
          <cell r="D9973">
            <v>4</v>
          </cell>
          <cell r="E9973" t="str">
            <v>Compensation of employees</v>
          </cell>
          <cell r="F9973">
            <v>12</v>
          </cell>
          <cell r="G9973">
            <v>1980</v>
          </cell>
          <cell r="H9973">
            <v>30</v>
          </cell>
          <cell r="I9973">
            <v>346636000000</v>
          </cell>
        </row>
        <row r="9974">
          <cell r="A9974" t="str">
            <v>Sweden</v>
          </cell>
          <cell r="B9974">
            <v>752</v>
          </cell>
          <cell r="C9974">
            <v>203</v>
          </cell>
          <cell r="D9974">
            <v>4</v>
          </cell>
          <cell r="E9974" t="str">
            <v>Compensation of employees</v>
          </cell>
          <cell r="F9974">
            <v>12</v>
          </cell>
          <cell r="G9974">
            <v>1981</v>
          </cell>
          <cell r="H9974">
            <v>30</v>
          </cell>
          <cell r="I9974">
            <v>377462000000</v>
          </cell>
        </row>
        <row r="9975">
          <cell r="A9975" t="str">
            <v>Sweden</v>
          </cell>
          <cell r="B9975">
            <v>752</v>
          </cell>
          <cell r="C9975">
            <v>203</v>
          </cell>
          <cell r="D9975">
            <v>4</v>
          </cell>
          <cell r="E9975" t="str">
            <v>Compensation of employees</v>
          </cell>
          <cell r="F9975">
            <v>12</v>
          </cell>
          <cell r="G9975">
            <v>1982</v>
          </cell>
          <cell r="H9975">
            <v>30</v>
          </cell>
          <cell r="I9975">
            <v>399523000000</v>
          </cell>
        </row>
        <row r="9976">
          <cell r="A9976" t="str">
            <v>Sweden</v>
          </cell>
          <cell r="B9976">
            <v>752</v>
          </cell>
          <cell r="C9976">
            <v>203</v>
          </cell>
          <cell r="D9976">
            <v>4</v>
          </cell>
          <cell r="E9976" t="str">
            <v>Compensation of employees</v>
          </cell>
          <cell r="F9976">
            <v>12</v>
          </cell>
          <cell r="G9976">
            <v>1983</v>
          </cell>
          <cell r="H9976">
            <v>30</v>
          </cell>
          <cell r="I9976">
            <v>431717000000</v>
          </cell>
        </row>
        <row r="9977">
          <cell r="A9977" t="str">
            <v>Sweden</v>
          </cell>
          <cell r="B9977">
            <v>752</v>
          </cell>
          <cell r="C9977">
            <v>203</v>
          </cell>
          <cell r="D9977">
            <v>4</v>
          </cell>
          <cell r="E9977" t="str">
            <v>Compensation of employees</v>
          </cell>
          <cell r="F9977">
            <v>12</v>
          </cell>
          <cell r="G9977">
            <v>1984</v>
          </cell>
          <cell r="H9977">
            <v>30</v>
          </cell>
          <cell r="I9977">
            <v>476952000000</v>
          </cell>
        </row>
        <row r="9978">
          <cell r="A9978" t="str">
            <v>Sweden</v>
          </cell>
          <cell r="B9978">
            <v>752</v>
          </cell>
          <cell r="C9978">
            <v>203</v>
          </cell>
          <cell r="D9978">
            <v>4</v>
          </cell>
          <cell r="E9978" t="str">
            <v>Compensation of employees</v>
          </cell>
          <cell r="F9978">
            <v>12</v>
          </cell>
          <cell r="G9978">
            <v>1985</v>
          </cell>
          <cell r="H9978">
            <v>30</v>
          </cell>
          <cell r="I9978">
            <v>521023000000</v>
          </cell>
        </row>
        <row r="9979">
          <cell r="A9979" t="str">
            <v>Sweden</v>
          </cell>
          <cell r="B9979">
            <v>752</v>
          </cell>
          <cell r="C9979">
            <v>203</v>
          </cell>
          <cell r="D9979">
            <v>4</v>
          </cell>
          <cell r="E9979" t="str">
            <v>Compensation of employees</v>
          </cell>
          <cell r="F9979">
            <v>12</v>
          </cell>
          <cell r="G9979">
            <v>1986</v>
          </cell>
          <cell r="H9979">
            <v>30</v>
          </cell>
          <cell r="I9979">
            <v>566670000000</v>
          </cell>
        </row>
        <row r="9980">
          <cell r="A9980" t="str">
            <v>Sweden</v>
          </cell>
          <cell r="B9980">
            <v>752</v>
          </cell>
          <cell r="C9980">
            <v>203</v>
          </cell>
          <cell r="D9980">
            <v>4</v>
          </cell>
          <cell r="E9980" t="str">
            <v>Compensation of employees</v>
          </cell>
          <cell r="F9980">
            <v>12</v>
          </cell>
          <cell r="G9980">
            <v>1987</v>
          </cell>
          <cell r="H9980">
            <v>30</v>
          </cell>
          <cell r="I9980">
            <v>613221000000</v>
          </cell>
        </row>
        <row r="9981">
          <cell r="A9981" t="str">
            <v>Sweden</v>
          </cell>
          <cell r="B9981">
            <v>752</v>
          </cell>
          <cell r="C9981">
            <v>203</v>
          </cell>
          <cell r="D9981">
            <v>4</v>
          </cell>
          <cell r="E9981" t="str">
            <v>Compensation of employees</v>
          </cell>
          <cell r="F9981">
            <v>12</v>
          </cell>
          <cell r="G9981">
            <v>1988</v>
          </cell>
          <cell r="H9981">
            <v>30</v>
          </cell>
          <cell r="I9981">
            <v>670107000000</v>
          </cell>
        </row>
        <row r="9982">
          <cell r="A9982" t="str">
            <v>Sweden</v>
          </cell>
          <cell r="B9982">
            <v>752</v>
          </cell>
          <cell r="C9982">
            <v>203</v>
          </cell>
          <cell r="D9982">
            <v>4</v>
          </cell>
          <cell r="E9982" t="str">
            <v>Compensation of employees</v>
          </cell>
          <cell r="F9982">
            <v>12</v>
          </cell>
          <cell r="G9982">
            <v>1989</v>
          </cell>
          <cell r="H9982">
            <v>30</v>
          </cell>
          <cell r="I9982">
            <v>751237000000</v>
          </cell>
        </row>
        <row r="9983">
          <cell r="A9983" t="str">
            <v>Sweden</v>
          </cell>
          <cell r="B9983">
            <v>752</v>
          </cell>
          <cell r="C9983">
            <v>203</v>
          </cell>
          <cell r="D9983">
            <v>4</v>
          </cell>
          <cell r="E9983" t="str">
            <v>Compensation of employees</v>
          </cell>
          <cell r="F9983">
            <v>12</v>
          </cell>
          <cell r="G9983">
            <v>1990</v>
          </cell>
          <cell r="H9983">
            <v>30</v>
          </cell>
          <cell r="I9983">
            <v>841973000000</v>
          </cell>
        </row>
        <row r="9984">
          <cell r="A9984" t="str">
            <v>Sweden</v>
          </cell>
          <cell r="B9984">
            <v>752</v>
          </cell>
          <cell r="C9984">
            <v>203</v>
          </cell>
          <cell r="D9984">
            <v>4</v>
          </cell>
          <cell r="E9984" t="str">
            <v>Compensation of employees</v>
          </cell>
          <cell r="F9984">
            <v>12</v>
          </cell>
          <cell r="G9984">
            <v>1991</v>
          </cell>
          <cell r="H9984">
            <v>30</v>
          </cell>
          <cell r="I9984">
            <v>887085000000</v>
          </cell>
        </row>
        <row r="9985">
          <cell r="A9985" t="str">
            <v>Sweden</v>
          </cell>
          <cell r="B9985">
            <v>752</v>
          </cell>
          <cell r="C9985">
            <v>203</v>
          </cell>
          <cell r="D9985">
            <v>4</v>
          </cell>
          <cell r="E9985" t="str">
            <v>Compensation of employees</v>
          </cell>
          <cell r="F9985">
            <v>12</v>
          </cell>
          <cell r="G9985">
            <v>1992</v>
          </cell>
          <cell r="H9985">
            <v>30</v>
          </cell>
          <cell r="I9985">
            <v>874221000000</v>
          </cell>
        </row>
        <row r="9986">
          <cell r="A9986" t="str">
            <v>Sweden</v>
          </cell>
          <cell r="B9986">
            <v>752</v>
          </cell>
          <cell r="C9986">
            <v>203</v>
          </cell>
          <cell r="D9986">
            <v>4</v>
          </cell>
          <cell r="E9986" t="str">
            <v>Compensation of employees</v>
          </cell>
          <cell r="F9986">
            <v>12</v>
          </cell>
          <cell r="G9986">
            <v>1993</v>
          </cell>
          <cell r="H9986">
            <v>30</v>
          </cell>
          <cell r="I9986">
            <v>851603000000</v>
          </cell>
        </row>
        <row r="9987">
          <cell r="A9987" t="str">
            <v>Sweden</v>
          </cell>
          <cell r="B9987">
            <v>752</v>
          </cell>
          <cell r="C9987">
            <v>203</v>
          </cell>
          <cell r="D9987">
            <v>4</v>
          </cell>
          <cell r="E9987" t="str">
            <v>Compensation of employees</v>
          </cell>
          <cell r="F9987">
            <v>12</v>
          </cell>
          <cell r="G9987">
            <v>1993</v>
          </cell>
          <cell r="H9987">
            <v>100</v>
          </cell>
          <cell r="I9987">
            <v>846926000000</v>
          </cell>
        </row>
        <row r="9988">
          <cell r="A9988" t="str">
            <v>Sweden</v>
          </cell>
          <cell r="B9988">
            <v>752</v>
          </cell>
          <cell r="C9988">
            <v>203</v>
          </cell>
          <cell r="D9988">
            <v>4</v>
          </cell>
          <cell r="E9988" t="str">
            <v>Compensation of employees</v>
          </cell>
          <cell r="F9988">
            <v>12</v>
          </cell>
          <cell r="G9988">
            <v>1994</v>
          </cell>
          <cell r="H9988">
            <v>100</v>
          </cell>
          <cell r="I9988">
            <v>885907000000</v>
          </cell>
        </row>
        <row r="9989">
          <cell r="A9989" t="str">
            <v>Sweden</v>
          </cell>
          <cell r="B9989">
            <v>752</v>
          </cell>
          <cell r="C9989">
            <v>203</v>
          </cell>
          <cell r="D9989">
            <v>4</v>
          </cell>
          <cell r="E9989" t="str">
            <v>Compensation of employees</v>
          </cell>
          <cell r="F9989">
            <v>12</v>
          </cell>
          <cell r="G9989">
            <v>1995</v>
          </cell>
          <cell r="H9989">
            <v>100</v>
          </cell>
          <cell r="I9989">
            <v>932638000000</v>
          </cell>
        </row>
        <row r="9990">
          <cell r="A9990" t="str">
            <v>Sweden</v>
          </cell>
          <cell r="B9990">
            <v>752</v>
          </cell>
          <cell r="C9990">
            <v>203</v>
          </cell>
          <cell r="D9990">
            <v>4</v>
          </cell>
          <cell r="E9990" t="str">
            <v>Compensation of employees</v>
          </cell>
          <cell r="F9990">
            <v>12</v>
          </cell>
          <cell r="G9990">
            <v>1996</v>
          </cell>
          <cell r="H9990">
            <v>100</v>
          </cell>
          <cell r="I9990">
            <v>990838000000</v>
          </cell>
        </row>
        <row r="9991">
          <cell r="A9991" t="str">
            <v>Sweden</v>
          </cell>
          <cell r="B9991">
            <v>752</v>
          </cell>
          <cell r="C9991">
            <v>203</v>
          </cell>
          <cell r="D9991">
            <v>4</v>
          </cell>
          <cell r="E9991" t="str">
            <v>Compensation of employees</v>
          </cell>
          <cell r="F9991">
            <v>12</v>
          </cell>
          <cell r="G9991">
            <v>1997</v>
          </cell>
          <cell r="H9991">
            <v>100</v>
          </cell>
          <cell r="I9991">
            <v>1020379000000</v>
          </cell>
        </row>
        <row r="9992">
          <cell r="A9992" t="str">
            <v>Sweden</v>
          </cell>
          <cell r="B9992">
            <v>752</v>
          </cell>
          <cell r="C9992">
            <v>203</v>
          </cell>
          <cell r="D9992">
            <v>4</v>
          </cell>
          <cell r="E9992" t="str">
            <v>Compensation of employees</v>
          </cell>
          <cell r="F9992">
            <v>12</v>
          </cell>
          <cell r="G9992">
            <v>1998</v>
          </cell>
          <cell r="H9992">
            <v>100</v>
          </cell>
          <cell r="I9992">
            <v>1062861000000</v>
          </cell>
        </row>
        <row r="9993">
          <cell r="A9993" t="str">
            <v>Sweden</v>
          </cell>
          <cell r="B9993">
            <v>752</v>
          </cell>
          <cell r="C9993">
            <v>203</v>
          </cell>
          <cell r="D9993">
            <v>4</v>
          </cell>
          <cell r="E9993" t="str">
            <v>Compensation of employees</v>
          </cell>
          <cell r="F9993">
            <v>12</v>
          </cell>
          <cell r="G9993">
            <v>1999</v>
          </cell>
          <cell r="H9993">
            <v>100</v>
          </cell>
          <cell r="I9993">
            <v>1103559000000</v>
          </cell>
        </row>
        <row r="9994">
          <cell r="A9994" t="str">
            <v>Sweden</v>
          </cell>
          <cell r="B9994">
            <v>752</v>
          </cell>
          <cell r="C9994">
            <v>203</v>
          </cell>
          <cell r="D9994">
            <v>4</v>
          </cell>
          <cell r="E9994" t="str">
            <v>Compensation of employees</v>
          </cell>
          <cell r="F9994">
            <v>12</v>
          </cell>
          <cell r="G9994">
            <v>2000</v>
          </cell>
          <cell r="H9994">
            <v>100</v>
          </cell>
          <cell r="I9994">
            <v>1223529000000</v>
          </cell>
        </row>
        <row r="9995">
          <cell r="A9995" t="str">
            <v>Sweden</v>
          </cell>
          <cell r="B9995">
            <v>752</v>
          </cell>
          <cell r="C9995">
            <v>203</v>
          </cell>
          <cell r="D9995">
            <v>4</v>
          </cell>
          <cell r="E9995" t="str">
            <v>Compensation of employees</v>
          </cell>
          <cell r="F9995">
            <v>12</v>
          </cell>
          <cell r="G9995">
            <v>2001</v>
          </cell>
          <cell r="H9995">
            <v>100</v>
          </cell>
          <cell r="I9995">
            <v>1307428000000</v>
          </cell>
        </row>
        <row r="9996">
          <cell r="A9996" t="str">
            <v>Spain</v>
          </cell>
          <cell r="B9996">
            <v>724</v>
          </cell>
          <cell r="C9996">
            <v>203</v>
          </cell>
          <cell r="D9996">
            <v>22</v>
          </cell>
          <cell r="E9996" t="str">
            <v>Taxes on production and imports, less Subsidies</v>
          </cell>
          <cell r="F9996">
            <v>12</v>
          </cell>
          <cell r="G9996">
            <v>1995</v>
          </cell>
          <cell r="H9996">
            <v>200</v>
          </cell>
          <cell r="I9996">
            <v>3757000000</v>
          </cell>
        </row>
        <row r="9997">
          <cell r="A9997" t="str">
            <v>Spain</v>
          </cell>
          <cell r="B9997">
            <v>724</v>
          </cell>
          <cell r="C9997">
            <v>203</v>
          </cell>
          <cell r="D9997">
            <v>22</v>
          </cell>
          <cell r="E9997" t="str">
            <v>Taxes on production and imports, less Subsidies</v>
          </cell>
          <cell r="F9997">
            <v>12</v>
          </cell>
          <cell r="G9997">
            <v>1996</v>
          </cell>
          <cell r="H9997">
            <v>200</v>
          </cell>
          <cell r="I9997">
            <v>3632000000</v>
          </cell>
        </row>
        <row r="9998">
          <cell r="A9998" t="str">
            <v>Spain</v>
          </cell>
          <cell r="B9998">
            <v>724</v>
          </cell>
          <cell r="C9998">
            <v>203</v>
          </cell>
          <cell r="D9998">
            <v>22</v>
          </cell>
          <cell r="E9998" t="str">
            <v>Taxes on production and imports, less Subsidies</v>
          </cell>
          <cell r="F9998">
            <v>12</v>
          </cell>
          <cell r="G9998">
            <v>1997</v>
          </cell>
          <cell r="H9998">
            <v>200</v>
          </cell>
          <cell r="I9998">
            <v>3786000000</v>
          </cell>
        </row>
        <row r="9999">
          <cell r="A9999" t="str">
            <v>Spain</v>
          </cell>
          <cell r="B9999">
            <v>724</v>
          </cell>
          <cell r="C9999">
            <v>203</v>
          </cell>
          <cell r="D9999">
            <v>22</v>
          </cell>
          <cell r="E9999" t="str">
            <v>Taxes on production and imports, less Subsidies</v>
          </cell>
          <cell r="F9999">
            <v>12</v>
          </cell>
          <cell r="G9999">
            <v>1998</v>
          </cell>
          <cell r="H9999">
            <v>200</v>
          </cell>
          <cell r="I9999">
            <v>3359000000</v>
          </cell>
        </row>
        <row r="10000">
          <cell r="A10000" t="str">
            <v>Spain</v>
          </cell>
          <cell r="B10000">
            <v>724</v>
          </cell>
          <cell r="C10000">
            <v>203</v>
          </cell>
          <cell r="D10000">
            <v>22</v>
          </cell>
          <cell r="E10000" t="str">
            <v>Taxes on production and imports, less Subsidies</v>
          </cell>
          <cell r="F10000">
            <v>12</v>
          </cell>
          <cell r="G10000">
            <v>1999</v>
          </cell>
          <cell r="H10000">
            <v>200</v>
          </cell>
          <cell r="I10000">
            <v>3001000000</v>
          </cell>
        </row>
        <row r="10001">
          <cell r="A10001" t="str">
            <v>Spain</v>
          </cell>
          <cell r="B10001">
            <v>724</v>
          </cell>
          <cell r="C10001">
            <v>203</v>
          </cell>
          <cell r="D10001">
            <v>22</v>
          </cell>
          <cell r="E10001" t="str">
            <v>Taxes on production and imports, less Subsidies</v>
          </cell>
          <cell r="F10001">
            <v>12</v>
          </cell>
          <cell r="G10001">
            <v>2000</v>
          </cell>
          <cell r="H10001">
            <v>200</v>
          </cell>
          <cell r="I10001">
            <v>2889000000</v>
          </cell>
        </row>
        <row r="10002">
          <cell r="A10002" t="str">
            <v>Spain</v>
          </cell>
          <cell r="B10002">
            <v>724</v>
          </cell>
          <cell r="C10002">
            <v>203</v>
          </cell>
          <cell r="D10002">
            <v>22</v>
          </cell>
          <cell r="E10002" t="str">
            <v>Taxes on production and imports, less Subsidies</v>
          </cell>
          <cell r="F10002">
            <v>12</v>
          </cell>
          <cell r="G10002">
            <v>2001</v>
          </cell>
          <cell r="H10002">
            <v>200</v>
          </cell>
          <cell r="I10002">
            <v>3166000000</v>
          </cell>
        </row>
        <row r="10003">
          <cell r="A10003" t="str">
            <v>Spain</v>
          </cell>
          <cell r="B10003">
            <v>724</v>
          </cell>
          <cell r="C10003">
            <v>203</v>
          </cell>
          <cell r="D10003">
            <v>22</v>
          </cell>
          <cell r="E10003" t="str">
            <v>Taxes on production and imports, less Subsidies</v>
          </cell>
          <cell r="F10003">
            <v>12</v>
          </cell>
          <cell r="G10003">
            <v>2002</v>
          </cell>
          <cell r="H10003">
            <v>200</v>
          </cell>
          <cell r="I10003">
            <v>3100000000</v>
          </cell>
        </row>
        <row r="10004">
          <cell r="A10004" t="str">
            <v>Swaziland</v>
          </cell>
          <cell r="B10004">
            <v>748</v>
          </cell>
          <cell r="C10004">
            <v>201</v>
          </cell>
          <cell r="D10004">
            <v>13</v>
          </cell>
          <cell r="E10004" t="str">
            <v>Less: Financial intermediation services indirectly measured (FISIM) (only to be deducted if FISIM is not distributed to uses)</v>
          </cell>
          <cell r="F10004">
            <v>0</v>
          </cell>
          <cell r="G10004">
            <v>1970</v>
          </cell>
          <cell r="H10004">
            <v>20</v>
          </cell>
          <cell r="I10004">
            <v>800000</v>
          </cell>
        </row>
        <row r="10005">
          <cell r="A10005" t="str">
            <v>Swaziland</v>
          </cell>
          <cell r="B10005">
            <v>748</v>
          </cell>
          <cell r="C10005">
            <v>201</v>
          </cell>
          <cell r="D10005">
            <v>13</v>
          </cell>
          <cell r="E10005" t="str">
            <v>Less: Financial intermediation services indirectly measured (FISIM) (only to be deducted if FISIM is not distributed to uses)</v>
          </cell>
          <cell r="F10005">
            <v>0</v>
          </cell>
          <cell r="G10005">
            <v>1980</v>
          </cell>
          <cell r="H10005">
            <v>20</v>
          </cell>
          <cell r="I10005">
            <v>10900000</v>
          </cell>
        </row>
        <row r="10006">
          <cell r="A10006" t="str">
            <v>Swaziland</v>
          </cell>
          <cell r="B10006">
            <v>748</v>
          </cell>
          <cell r="C10006">
            <v>201</v>
          </cell>
          <cell r="D10006">
            <v>13</v>
          </cell>
          <cell r="E10006" t="str">
            <v>Less: Financial intermediation services indirectly measured (FISIM) (only to be deducted if FISIM is not distributed to uses)</v>
          </cell>
          <cell r="F10006">
            <v>0</v>
          </cell>
          <cell r="G10006">
            <v>1981</v>
          </cell>
          <cell r="H10006">
            <v>20</v>
          </cell>
          <cell r="I10006">
            <v>16500000</v>
          </cell>
        </row>
        <row r="10007">
          <cell r="A10007" t="str">
            <v>Swaziland</v>
          </cell>
          <cell r="B10007">
            <v>748</v>
          </cell>
          <cell r="C10007">
            <v>201</v>
          </cell>
          <cell r="D10007">
            <v>13</v>
          </cell>
          <cell r="E10007" t="str">
            <v>Less: Financial intermediation services indirectly measured (FISIM) (only to be deducted if FISIM is not distributed to uses)</v>
          </cell>
          <cell r="F10007">
            <v>0</v>
          </cell>
          <cell r="G10007">
            <v>1982</v>
          </cell>
          <cell r="H10007">
            <v>20</v>
          </cell>
          <cell r="I10007">
            <v>23600000</v>
          </cell>
        </row>
        <row r="10008">
          <cell r="A10008" t="str">
            <v>Swaziland</v>
          </cell>
          <cell r="B10008">
            <v>748</v>
          </cell>
          <cell r="C10008">
            <v>201</v>
          </cell>
          <cell r="D10008">
            <v>13</v>
          </cell>
          <cell r="E10008" t="str">
            <v>Less: Financial intermediation services indirectly measured (FISIM) (only to be deducted if FISIM is not distributed to uses)</v>
          </cell>
          <cell r="F10008">
            <v>0</v>
          </cell>
          <cell r="G10008">
            <v>1983</v>
          </cell>
          <cell r="H10008">
            <v>20</v>
          </cell>
          <cell r="I10008">
            <v>25500000</v>
          </cell>
        </row>
        <row r="10009">
          <cell r="A10009" t="str">
            <v>Swaziland</v>
          </cell>
          <cell r="B10009">
            <v>748</v>
          </cell>
          <cell r="C10009">
            <v>201</v>
          </cell>
          <cell r="D10009">
            <v>13</v>
          </cell>
          <cell r="E10009" t="str">
            <v>Less: Financial intermediation services indirectly measured (FISIM) (only to be deducted if FISIM is not distributed to uses)</v>
          </cell>
          <cell r="F10009">
            <v>0</v>
          </cell>
          <cell r="G10009">
            <v>1984</v>
          </cell>
          <cell r="H10009">
            <v>20</v>
          </cell>
          <cell r="I10009">
            <v>25000000</v>
          </cell>
        </row>
        <row r="10010">
          <cell r="A10010" t="str">
            <v>Swaziland</v>
          </cell>
          <cell r="B10010">
            <v>748</v>
          </cell>
          <cell r="C10010">
            <v>201</v>
          </cell>
          <cell r="D10010">
            <v>13</v>
          </cell>
          <cell r="E10010" t="str">
            <v>Less: Financial intermediation services indirectly measured (FISIM) (only to be deducted if FISIM is not distributed to uses)</v>
          </cell>
          <cell r="F10010">
            <v>0</v>
          </cell>
          <cell r="G10010">
            <v>1985</v>
          </cell>
          <cell r="H10010">
            <v>20</v>
          </cell>
          <cell r="I10010">
            <v>35700000</v>
          </cell>
        </row>
        <row r="10011">
          <cell r="A10011" t="str">
            <v>Swaziland</v>
          </cell>
          <cell r="B10011">
            <v>748</v>
          </cell>
          <cell r="C10011">
            <v>201</v>
          </cell>
          <cell r="D10011">
            <v>13</v>
          </cell>
          <cell r="E10011" t="str">
            <v>Less: Financial intermediation services indirectly measured (FISIM) (only to be deducted if FISIM is not distributed to uses)</v>
          </cell>
          <cell r="F10011">
            <v>0</v>
          </cell>
          <cell r="G10011">
            <v>1986</v>
          </cell>
          <cell r="H10011">
            <v>20</v>
          </cell>
          <cell r="I10011">
            <v>27700000</v>
          </cell>
        </row>
        <row r="10012">
          <cell r="A10012" t="str">
            <v>Swaziland</v>
          </cell>
          <cell r="B10012">
            <v>748</v>
          </cell>
          <cell r="C10012">
            <v>201</v>
          </cell>
          <cell r="D10012">
            <v>13</v>
          </cell>
          <cell r="E10012" t="str">
            <v>Less: Financial intermediation services indirectly measured (FISIM) (only to be deducted if FISIM is not distributed to uses)</v>
          </cell>
          <cell r="F10012">
            <v>0</v>
          </cell>
          <cell r="G10012">
            <v>1987</v>
          </cell>
          <cell r="H10012">
            <v>20</v>
          </cell>
          <cell r="I10012">
            <v>42500000</v>
          </cell>
        </row>
        <row r="10013">
          <cell r="A10013" t="str">
            <v>Swaziland</v>
          </cell>
          <cell r="B10013">
            <v>748</v>
          </cell>
          <cell r="C10013">
            <v>201</v>
          </cell>
          <cell r="D10013">
            <v>13</v>
          </cell>
          <cell r="E10013" t="str">
            <v>Less: Financial intermediation services indirectly measured (FISIM) (only to be deducted if FISIM is not distributed to uses)</v>
          </cell>
          <cell r="F10013">
            <v>0</v>
          </cell>
          <cell r="G10013">
            <v>1988</v>
          </cell>
          <cell r="H10013">
            <v>20</v>
          </cell>
          <cell r="I10013">
            <v>47300000</v>
          </cell>
        </row>
        <row r="10014">
          <cell r="A10014" t="str">
            <v>Swaziland</v>
          </cell>
          <cell r="B10014">
            <v>748</v>
          </cell>
          <cell r="C10014">
            <v>201</v>
          </cell>
          <cell r="D10014">
            <v>13</v>
          </cell>
          <cell r="E10014" t="str">
            <v>Less: Financial intermediation services indirectly measured (FISIM) (only to be deducted if FISIM is not distributed to uses)</v>
          </cell>
          <cell r="F10014">
            <v>0</v>
          </cell>
          <cell r="G10014">
            <v>1989</v>
          </cell>
          <cell r="H10014">
            <v>20</v>
          </cell>
          <cell r="I10014">
            <v>67500000</v>
          </cell>
        </row>
        <row r="10015">
          <cell r="A10015" t="str">
            <v>Swaziland</v>
          </cell>
          <cell r="B10015">
            <v>748</v>
          </cell>
          <cell r="C10015">
            <v>201</v>
          </cell>
          <cell r="D10015">
            <v>13</v>
          </cell>
          <cell r="E10015" t="str">
            <v>Less: Financial intermediation services indirectly measured (FISIM) (only to be deducted if FISIM is not distributed to uses)</v>
          </cell>
          <cell r="F10015">
            <v>0</v>
          </cell>
          <cell r="G10015">
            <v>1990</v>
          </cell>
          <cell r="H10015">
            <v>20</v>
          </cell>
          <cell r="I10015">
            <v>80500000</v>
          </cell>
        </row>
        <row r="10016">
          <cell r="A10016" t="str">
            <v>Swaziland</v>
          </cell>
          <cell r="B10016">
            <v>748</v>
          </cell>
          <cell r="C10016">
            <v>201</v>
          </cell>
          <cell r="D10016">
            <v>13</v>
          </cell>
          <cell r="E10016" t="str">
            <v>Less: Financial intermediation services indirectly measured (FISIM) (only to be deducted if FISIM is not distributed to uses)</v>
          </cell>
          <cell r="F10016">
            <v>0</v>
          </cell>
          <cell r="G10016">
            <v>1991</v>
          </cell>
          <cell r="H10016">
            <v>20</v>
          </cell>
          <cell r="I10016">
            <v>84100000</v>
          </cell>
        </row>
        <row r="10017">
          <cell r="A10017" t="str">
            <v>Swaziland</v>
          </cell>
          <cell r="B10017">
            <v>748</v>
          </cell>
          <cell r="C10017">
            <v>201</v>
          </cell>
          <cell r="D10017">
            <v>13</v>
          </cell>
          <cell r="E10017" t="str">
            <v>Less: Financial intermediation services indirectly measured (FISIM) (only to be deducted if FISIM is not distributed to uses)</v>
          </cell>
          <cell r="F10017">
            <v>0</v>
          </cell>
          <cell r="G10017">
            <v>1992</v>
          </cell>
          <cell r="H10017">
            <v>20</v>
          </cell>
          <cell r="I10017">
            <v>96500000</v>
          </cell>
        </row>
        <row r="10018">
          <cell r="A10018" t="str">
            <v>Swaziland</v>
          </cell>
          <cell r="B10018">
            <v>748</v>
          </cell>
          <cell r="C10018">
            <v>201</v>
          </cell>
          <cell r="D10018">
            <v>13</v>
          </cell>
          <cell r="E10018" t="str">
            <v>Less: Financial intermediation services indirectly measured (FISIM) (only to be deducted if FISIM is not distributed to uses)</v>
          </cell>
          <cell r="F10018">
            <v>0</v>
          </cell>
          <cell r="G10018">
            <v>1992</v>
          </cell>
          <cell r="H10018">
            <v>100</v>
          </cell>
          <cell r="I10018">
            <v>97000000</v>
          </cell>
        </row>
        <row r="10019">
          <cell r="A10019" t="str">
            <v>Swaziland</v>
          </cell>
          <cell r="B10019">
            <v>748</v>
          </cell>
          <cell r="C10019">
            <v>201</v>
          </cell>
          <cell r="D10019">
            <v>13</v>
          </cell>
          <cell r="E10019" t="str">
            <v>Less: Financial intermediation services indirectly measured (FISIM) (only to be deducted if FISIM is not distributed to uses)</v>
          </cell>
          <cell r="F10019">
            <v>0</v>
          </cell>
          <cell r="G10019">
            <v>1993</v>
          </cell>
          <cell r="H10019">
            <v>100</v>
          </cell>
          <cell r="I10019">
            <v>106000000</v>
          </cell>
        </row>
        <row r="10020">
          <cell r="A10020" t="str">
            <v>Swaziland</v>
          </cell>
          <cell r="B10020">
            <v>748</v>
          </cell>
          <cell r="C10020">
            <v>201</v>
          </cell>
          <cell r="D10020">
            <v>13</v>
          </cell>
          <cell r="E10020" t="str">
            <v>Less: Financial intermediation services indirectly measured (FISIM) (only to be deducted if FISIM is not distributed to uses)</v>
          </cell>
          <cell r="F10020">
            <v>0</v>
          </cell>
          <cell r="G10020">
            <v>1994</v>
          </cell>
          <cell r="H10020">
            <v>100</v>
          </cell>
          <cell r="I10020">
            <v>117000000</v>
          </cell>
        </row>
        <row r="10021">
          <cell r="A10021" t="str">
            <v>Swaziland</v>
          </cell>
          <cell r="B10021">
            <v>748</v>
          </cell>
          <cell r="C10021">
            <v>201</v>
          </cell>
          <cell r="D10021">
            <v>13</v>
          </cell>
          <cell r="E10021" t="str">
            <v>Less: Financial intermediation services indirectly measured (FISIM) (only to be deducted if FISIM is not distributed to uses)</v>
          </cell>
          <cell r="F10021">
            <v>0</v>
          </cell>
          <cell r="G10021">
            <v>1995</v>
          </cell>
          <cell r="H10021">
            <v>100</v>
          </cell>
          <cell r="I10021">
            <v>127000000</v>
          </cell>
        </row>
        <row r="10022">
          <cell r="A10022" t="str">
            <v>Swaziland</v>
          </cell>
          <cell r="B10022">
            <v>748</v>
          </cell>
          <cell r="C10022">
            <v>201</v>
          </cell>
          <cell r="D10022">
            <v>13</v>
          </cell>
          <cell r="E10022" t="str">
            <v>Less: Financial intermediation services indirectly measured (FISIM) (only to be deducted if FISIM is not distributed to uses)</v>
          </cell>
          <cell r="F10022">
            <v>0</v>
          </cell>
          <cell r="G10022">
            <v>1996</v>
          </cell>
          <cell r="H10022">
            <v>100</v>
          </cell>
          <cell r="I10022">
            <v>138000000</v>
          </cell>
        </row>
        <row r="10023">
          <cell r="A10023" t="str">
            <v>Swaziland</v>
          </cell>
          <cell r="B10023">
            <v>748</v>
          </cell>
          <cell r="C10023">
            <v>201</v>
          </cell>
          <cell r="D10023">
            <v>13</v>
          </cell>
          <cell r="E10023" t="str">
            <v>Less: Financial intermediation services indirectly measured (FISIM) (only to be deducted if FISIM is not distributed to uses)</v>
          </cell>
          <cell r="F10023">
            <v>0</v>
          </cell>
          <cell r="G10023">
            <v>1997</v>
          </cell>
          <cell r="H10023">
            <v>100</v>
          </cell>
          <cell r="I10023">
            <v>153000000</v>
          </cell>
        </row>
        <row r="10024">
          <cell r="A10024" t="str">
            <v>Swaziland</v>
          </cell>
          <cell r="B10024">
            <v>748</v>
          </cell>
          <cell r="C10024">
            <v>201</v>
          </cell>
          <cell r="D10024">
            <v>13</v>
          </cell>
          <cell r="E10024" t="str">
            <v>Less: Financial intermediation services indirectly measured (FISIM) (only to be deducted if FISIM is not distributed to uses)</v>
          </cell>
          <cell r="F10024">
            <v>0</v>
          </cell>
          <cell r="G10024">
            <v>1998</v>
          </cell>
          <cell r="H10024">
            <v>100</v>
          </cell>
          <cell r="I10024">
            <v>149300000</v>
          </cell>
        </row>
        <row r="10025">
          <cell r="A10025" t="str">
            <v>Swaziland</v>
          </cell>
          <cell r="B10025">
            <v>748</v>
          </cell>
          <cell r="C10025">
            <v>201</v>
          </cell>
          <cell r="D10025">
            <v>13</v>
          </cell>
          <cell r="E10025" t="str">
            <v>Less: Financial intermediation services indirectly measured (FISIM) (only to be deducted if FISIM is not distributed to uses)</v>
          </cell>
          <cell r="F10025">
            <v>0</v>
          </cell>
          <cell r="G10025">
            <v>1999</v>
          </cell>
          <cell r="H10025">
            <v>100</v>
          </cell>
          <cell r="I10025">
            <v>155900000</v>
          </cell>
        </row>
        <row r="10026">
          <cell r="A10026" t="str">
            <v>Swaziland</v>
          </cell>
          <cell r="B10026">
            <v>748</v>
          </cell>
          <cell r="C10026">
            <v>201</v>
          </cell>
          <cell r="D10026">
            <v>13</v>
          </cell>
          <cell r="E10026" t="str">
            <v>Less: Financial intermediation services indirectly measured (FISIM) (only to be deducted if FISIM is not distributed to uses)</v>
          </cell>
          <cell r="F10026">
            <v>0</v>
          </cell>
          <cell r="G10026">
            <v>2000</v>
          </cell>
          <cell r="H10026">
            <v>100</v>
          </cell>
          <cell r="I10026">
            <v>168000000</v>
          </cell>
        </row>
        <row r="10027">
          <cell r="A10027" t="str">
            <v>Swaziland</v>
          </cell>
          <cell r="B10027">
            <v>748</v>
          </cell>
          <cell r="C10027">
            <v>201</v>
          </cell>
          <cell r="D10027">
            <v>13</v>
          </cell>
          <cell r="E10027" t="str">
            <v>Less: Financial intermediation services indirectly measured (FISIM) (only to be deducted if FISIM is not distributed to uses)</v>
          </cell>
          <cell r="F10027">
            <v>0</v>
          </cell>
          <cell r="G10027">
            <v>2001</v>
          </cell>
          <cell r="H10027">
            <v>100</v>
          </cell>
          <cell r="I10027">
            <v>164000000</v>
          </cell>
        </row>
        <row r="10028">
          <cell r="A10028" t="str">
            <v>Swaziland</v>
          </cell>
          <cell r="B10028">
            <v>748</v>
          </cell>
          <cell r="C10028">
            <v>203</v>
          </cell>
          <cell r="D10028">
            <v>3</v>
          </cell>
          <cell r="E10028" t="str">
            <v>Equals: VALUE ADDED, GROSS, at basic prices</v>
          </cell>
          <cell r="F10028">
            <v>12</v>
          </cell>
          <cell r="G10028">
            <v>1980</v>
          </cell>
          <cell r="H10028">
            <v>20</v>
          </cell>
          <cell r="I10028">
            <v>368100000</v>
          </cell>
        </row>
        <row r="10029">
          <cell r="A10029" t="str">
            <v>Swaziland</v>
          </cell>
          <cell r="B10029">
            <v>748</v>
          </cell>
          <cell r="C10029">
            <v>203</v>
          </cell>
          <cell r="D10029">
            <v>3</v>
          </cell>
          <cell r="E10029" t="str">
            <v>Equals: VALUE ADDED, GROSS, at basic prices</v>
          </cell>
          <cell r="F10029">
            <v>12</v>
          </cell>
          <cell r="G10029">
            <v>1981</v>
          </cell>
          <cell r="H10029">
            <v>20</v>
          </cell>
          <cell r="I10029">
            <v>441800000</v>
          </cell>
        </row>
        <row r="10030">
          <cell r="A10030" t="str">
            <v>Swaziland</v>
          </cell>
          <cell r="B10030">
            <v>748</v>
          </cell>
          <cell r="C10030">
            <v>203</v>
          </cell>
          <cell r="D10030">
            <v>3</v>
          </cell>
          <cell r="E10030" t="str">
            <v>Equals: VALUE ADDED, GROSS, at basic prices</v>
          </cell>
          <cell r="F10030">
            <v>12</v>
          </cell>
          <cell r="G10030">
            <v>1982</v>
          </cell>
          <cell r="H10030">
            <v>20</v>
          </cell>
          <cell r="I10030">
            <v>495000000</v>
          </cell>
        </row>
        <row r="10031">
          <cell r="A10031" t="str">
            <v>Swaziland</v>
          </cell>
          <cell r="B10031">
            <v>748</v>
          </cell>
          <cell r="C10031">
            <v>203</v>
          </cell>
          <cell r="D10031">
            <v>3</v>
          </cell>
          <cell r="E10031" t="str">
            <v>Equals: VALUE ADDED, GROSS, at basic prices</v>
          </cell>
          <cell r="F10031">
            <v>12</v>
          </cell>
          <cell r="G10031">
            <v>1983</v>
          </cell>
          <cell r="H10031">
            <v>20</v>
          </cell>
          <cell r="I10031">
            <v>526700000</v>
          </cell>
        </row>
        <row r="10032">
          <cell r="A10032" t="str">
            <v>Swaziland</v>
          </cell>
          <cell r="B10032">
            <v>748</v>
          </cell>
          <cell r="C10032">
            <v>203</v>
          </cell>
          <cell r="D10032">
            <v>3</v>
          </cell>
          <cell r="E10032" t="str">
            <v>Equals: VALUE ADDED, GROSS, at basic prices</v>
          </cell>
          <cell r="F10032">
            <v>12</v>
          </cell>
          <cell r="G10032">
            <v>1984</v>
          </cell>
          <cell r="H10032">
            <v>20</v>
          </cell>
          <cell r="I10032">
            <v>623800000</v>
          </cell>
        </row>
        <row r="10033">
          <cell r="A10033" t="str">
            <v>Swaziland</v>
          </cell>
          <cell r="B10033">
            <v>748</v>
          </cell>
          <cell r="C10033">
            <v>203</v>
          </cell>
          <cell r="D10033">
            <v>3</v>
          </cell>
          <cell r="E10033" t="str">
            <v>Equals: VALUE ADDED, GROSS, at basic prices</v>
          </cell>
          <cell r="F10033">
            <v>12</v>
          </cell>
          <cell r="G10033">
            <v>1985</v>
          </cell>
          <cell r="H10033">
            <v>20</v>
          </cell>
          <cell r="I10033">
            <v>694200000</v>
          </cell>
        </row>
        <row r="10034">
          <cell r="A10034" t="str">
            <v>Swaziland</v>
          </cell>
          <cell r="B10034">
            <v>748</v>
          </cell>
          <cell r="C10034">
            <v>203</v>
          </cell>
          <cell r="D10034">
            <v>3</v>
          </cell>
          <cell r="E10034" t="str">
            <v>Equals: VALUE ADDED, GROSS, at basic prices</v>
          </cell>
          <cell r="F10034">
            <v>12</v>
          </cell>
          <cell r="G10034">
            <v>1986</v>
          </cell>
          <cell r="H10034">
            <v>20</v>
          </cell>
          <cell r="I10034">
            <v>931100000</v>
          </cell>
        </row>
        <row r="10035">
          <cell r="A10035" t="str">
            <v>Swaziland</v>
          </cell>
          <cell r="B10035">
            <v>748</v>
          </cell>
          <cell r="C10035">
            <v>203</v>
          </cell>
          <cell r="D10035">
            <v>3</v>
          </cell>
          <cell r="E10035" t="str">
            <v>Equals: VALUE ADDED, GROSS, at basic prices</v>
          </cell>
          <cell r="F10035">
            <v>12</v>
          </cell>
          <cell r="G10035">
            <v>1987</v>
          </cell>
          <cell r="H10035">
            <v>20</v>
          </cell>
          <cell r="I10035">
            <v>994000000</v>
          </cell>
        </row>
        <row r="10036">
          <cell r="A10036" t="str">
            <v>Swaziland</v>
          </cell>
          <cell r="B10036">
            <v>748</v>
          </cell>
          <cell r="C10036">
            <v>203</v>
          </cell>
          <cell r="D10036">
            <v>4</v>
          </cell>
          <cell r="E10036" t="str">
            <v>Compensation of employees</v>
          </cell>
          <cell r="F10036">
            <v>12</v>
          </cell>
          <cell r="G10036">
            <v>1980</v>
          </cell>
          <cell r="H10036">
            <v>20</v>
          </cell>
          <cell r="I10036">
            <v>187400000</v>
          </cell>
        </row>
        <row r="10037">
          <cell r="A10037" t="str">
            <v>Swaziland</v>
          </cell>
          <cell r="B10037">
            <v>748</v>
          </cell>
          <cell r="C10037">
            <v>203</v>
          </cell>
          <cell r="D10037">
            <v>4</v>
          </cell>
          <cell r="E10037" t="str">
            <v>Compensation of employees</v>
          </cell>
          <cell r="F10037">
            <v>12</v>
          </cell>
          <cell r="G10037">
            <v>1981</v>
          </cell>
          <cell r="H10037">
            <v>20</v>
          </cell>
          <cell r="I10037">
            <v>232900000</v>
          </cell>
        </row>
        <row r="10038">
          <cell r="A10038" t="str">
            <v>Swaziland</v>
          </cell>
          <cell r="B10038">
            <v>748</v>
          </cell>
          <cell r="C10038">
            <v>203</v>
          </cell>
          <cell r="D10038">
            <v>4</v>
          </cell>
          <cell r="E10038" t="str">
            <v>Compensation of employees</v>
          </cell>
          <cell r="F10038">
            <v>12</v>
          </cell>
          <cell r="G10038">
            <v>1982</v>
          </cell>
          <cell r="H10038">
            <v>20</v>
          </cell>
          <cell r="I10038">
            <v>264700000</v>
          </cell>
        </row>
        <row r="10039">
          <cell r="A10039" t="str">
            <v>Swaziland</v>
          </cell>
          <cell r="B10039">
            <v>748</v>
          </cell>
          <cell r="C10039">
            <v>203</v>
          </cell>
          <cell r="D10039">
            <v>4</v>
          </cell>
          <cell r="E10039" t="str">
            <v>Compensation of employees</v>
          </cell>
          <cell r="F10039">
            <v>12</v>
          </cell>
          <cell r="G10039">
            <v>1983</v>
          </cell>
          <cell r="H10039">
            <v>20</v>
          </cell>
          <cell r="I10039">
            <v>300400000</v>
          </cell>
        </row>
        <row r="10040">
          <cell r="A10040" t="str">
            <v>Swaziland</v>
          </cell>
          <cell r="B10040">
            <v>748</v>
          </cell>
          <cell r="C10040">
            <v>203</v>
          </cell>
          <cell r="D10040">
            <v>4</v>
          </cell>
          <cell r="E10040" t="str">
            <v>Compensation of employees</v>
          </cell>
          <cell r="F10040">
            <v>12</v>
          </cell>
          <cell r="G10040">
            <v>1984</v>
          </cell>
          <cell r="H10040">
            <v>20</v>
          </cell>
          <cell r="I10040">
            <v>323800000</v>
          </cell>
        </row>
        <row r="10041">
          <cell r="A10041" t="str">
            <v>Swaziland</v>
          </cell>
          <cell r="B10041">
            <v>748</v>
          </cell>
          <cell r="C10041">
            <v>203</v>
          </cell>
          <cell r="D10041">
            <v>4</v>
          </cell>
          <cell r="E10041" t="str">
            <v>Compensation of employees</v>
          </cell>
          <cell r="F10041">
            <v>12</v>
          </cell>
          <cell r="G10041">
            <v>1985</v>
          </cell>
          <cell r="H10041">
            <v>20</v>
          </cell>
          <cell r="I10041">
            <v>374000000</v>
          </cell>
        </row>
        <row r="10042">
          <cell r="A10042" t="str">
            <v>Swaziland</v>
          </cell>
          <cell r="B10042">
            <v>748</v>
          </cell>
          <cell r="C10042">
            <v>203</v>
          </cell>
          <cell r="D10042">
            <v>4</v>
          </cell>
          <cell r="E10042" t="str">
            <v>Compensation of employees</v>
          </cell>
          <cell r="F10042">
            <v>12</v>
          </cell>
          <cell r="G10042">
            <v>1986</v>
          </cell>
          <cell r="H10042">
            <v>20</v>
          </cell>
          <cell r="I10042">
            <v>458800000</v>
          </cell>
        </row>
        <row r="10043">
          <cell r="A10043" t="str">
            <v>Swaziland</v>
          </cell>
          <cell r="B10043">
            <v>748</v>
          </cell>
          <cell r="C10043">
            <v>203</v>
          </cell>
          <cell r="D10043">
            <v>4</v>
          </cell>
          <cell r="E10043" t="str">
            <v>Compensation of employees</v>
          </cell>
          <cell r="F10043">
            <v>12</v>
          </cell>
          <cell r="G10043">
            <v>1987</v>
          </cell>
          <cell r="H10043">
            <v>20</v>
          </cell>
          <cell r="I10043">
            <v>499100000</v>
          </cell>
        </row>
        <row r="10044">
          <cell r="A10044" t="str">
            <v>Swaziland</v>
          </cell>
          <cell r="B10044">
            <v>748</v>
          </cell>
          <cell r="C10044">
            <v>203</v>
          </cell>
          <cell r="D10044">
            <v>11</v>
          </cell>
          <cell r="E10044" t="str">
            <v>OPERATING SURPLUS, GROSS</v>
          </cell>
          <cell r="F10044">
            <v>12</v>
          </cell>
          <cell r="G10044">
            <v>1980</v>
          </cell>
          <cell r="H10044">
            <v>20</v>
          </cell>
          <cell r="I10044">
            <v>180800000</v>
          </cell>
        </row>
        <row r="10045">
          <cell r="A10045" t="str">
            <v>Swaziland</v>
          </cell>
          <cell r="B10045">
            <v>748</v>
          </cell>
          <cell r="C10045">
            <v>203</v>
          </cell>
          <cell r="D10045">
            <v>11</v>
          </cell>
          <cell r="E10045" t="str">
            <v>OPERATING SURPLUS, GROSS</v>
          </cell>
          <cell r="F10045">
            <v>12</v>
          </cell>
          <cell r="G10045">
            <v>1981</v>
          </cell>
          <cell r="H10045">
            <v>20</v>
          </cell>
          <cell r="I10045">
            <v>209100000</v>
          </cell>
        </row>
        <row r="10046">
          <cell r="A10046" t="str">
            <v>Swaziland</v>
          </cell>
          <cell r="B10046">
            <v>748</v>
          </cell>
          <cell r="C10046">
            <v>203</v>
          </cell>
          <cell r="D10046">
            <v>11</v>
          </cell>
          <cell r="E10046" t="str">
            <v>OPERATING SURPLUS, GROSS</v>
          </cell>
          <cell r="F10046">
            <v>12</v>
          </cell>
          <cell r="G10046">
            <v>1982</v>
          </cell>
          <cell r="H10046">
            <v>20</v>
          </cell>
          <cell r="I10046">
            <v>229800000</v>
          </cell>
        </row>
        <row r="10047">
          <cell r="A10047" t="str">
            <v>Swaziland</v>
          </cell>
          <cell r="B10047">
            <v>748</v>
          </cell>
          <cell r="C10047">
            <v>203</v>
          </cell>
          <cell r="D10047">
            <v>11</v>
          </cell>
          <cell r="E10047" t="str">
            <v>OPERATING SURPLUS, GROSS</v>
          </cell>
          <cell r="F10047">
            <v>12</v>
          </cell>
          <cell r="G10047">
            <v>1983</v>
          </cell>
          <cell r="H10047">
            <v>20</v>
          </cell>
          <cell r="I10047">
            <v>226100000</v>
          </cell>
        </row>
        <row r="10048">
          <cell r="A10048" t="str">
            <v>Swaziland</v>
          </cell>
          <cell r="B10048">
            <v>748</v>
          </cell>
          <cell r="C10048">
            <v>203</v>
          </cell>
          <cell r="D10048">
            <v>11</v>
          </cell>
          <cell r="E10048" t="str">
            <v>OPERATING SURPLUS, GROSS</v>
          </cell>
          <cell r="F10048">
            <v>12</v>
          </cell>
          <cell r="G10048">
            <v>1984</v>
          </cell>
          <cell r="H10048">
            <v>20</v>
          </cell>
          <cell r="I10048">
            <v>299900000</v>
          </cell>
        </row>
        <row r="10049">
          <cell r="A10049" t="str">
            <v>Swaziland</v>
          </cell>
          <cell r="B10049">
            <v>748</v>
          </cell>
          <cell r="C10049">
            <v>203</v>
          </cell>
          <cell r="D10049">
            <v>11</v>
          </cell>
          <cell r="E10049" t="str">
            <v>OPERATING SURPLUS, GROSS</v>
          </cell>
          <cell r="F10049">
            <v>12</v>
          </cell>
          <cell r="G10049">
            <v>1985</v>
          </cell>
          <cell r="H10049">
            <v>20</v>
          </cell>
          <cell r="I10049">
            <v>320400000</v>
          </cell>
        </row>
        <row r="10050">
          <cell r="A10050" t="str">
            <v>Swaziland</v>
          </cell>
          <cell r="B10050">
            <v>748</v>
          </cell>
          <cell r="C10050">
            <v>203</v>
          </cell>
          <cell r="D10050">
            <v>11</v>
          </cell>
          <cell r="E10050" t="str">
            <v>OPERATING SURPLUS, GROSS</v>
          </cell>
          <cell r="F10050">
            <v>12</v>
          </cell>
          <cell r="G10050">
            <v>1986</v>
          </cell>
          <cell r="H10050">
            <v>20</v>
          </cell>
          <cell r="I10050">
            <v>472100000</v>
          </cell>
        </row>
        <row r="10051">
          <cell r="A10051" t="str">
            <v>Swaziland</v>
          </cell>
          <cell r="B10051">
            <v>748</v>
          </cell>
          <cell r="C10051">
            <v>203</v>
          </cell>
          <cell r="D10051">
            <v>11</v>
          </cell>
          <cell r="E10051" t="str">
            <v>OPERATING SURPLUS, GROSS</v>
          </cell>
          <cell r="F10051">
            <v>12</v>
          </cell>
          <cell r="G10051">
            <v>1987</v>
          </cell>
          <cell r="H10051">
            <v>20</v>
          </cell>
          <cell r="I10051">
            <v>494800000</v>
          </cell>
        </row>
        <row r="10052">
          <cell r="A10052" t="str">
            <v>Sweden</v>
          </cell>
          <cell r="B10052">
            <v>752</v>
          </cell>
          <cell r="C10052">
            <v>203</v>
          </cell>
          <cell r="D10052">
            <v>11</v>
          </cell>
          <cell r="E10052" t="str">
            <v>OPERATING SURPLUS, GROSS</v>
          </cell>
          <cell r="F10052">
            <v>12</v>
          </cell>
          <cell r="G10052">
            <v>1970</v>
          </cell>
          <cell r="H10052">
            <v>20</v>
          </cell>
          <cell r="I10052">
            <v>47133000000</v>
          </cell>
        </row>
        <row r="10053">
          <cell r="A10053" t="str">
            <v>Sweden</v>
          </cell>
          <cell r="B10053">
            <v>752</v>
          </cell>
          <cell r="C10053">
            <v>203</v>
          </cell>
          <cell r="D10053">
            <v>11</v>
          </cell>
          <cell r="E10053" t="str">
            <v>OPERATING SURPLUS, GROSS</v>
          </cell>
          <cell r="F10053">
            <v>12</v>
          </cell>
          <cell r="G10053">
            <v>1971</v>
          </cell>
          <cell r="H10053">
            <v>20</v>
          </cell>
          <cell r="I10053">
            <v>50747000000</v>
          </cell>
        </row>
        <row r="10054">
          <cell r="A10054" t="str">
            <v>Sweden</v>
          </cell>
          <cell r="B10054">
            <v>752</v>
          </cell>
          <cell r="C10054">
            <v>203</v>
          </cell>
          <cell r="D10054">
            <v>11</v>
          </cell>
          <cell r="E10054" t="str">
            <v>OPERATING SURPLUS, GROSS</v>
          </cell>
          <cell r="F10054">
            <v>12</v>
          </cell>
          <cell r="G10054">
            <v>1972</v>
          </cell>
          <cell r="H10054">
            <v>20</v>
          </cell>
          <cell r="I10054">
            <v>54647000000</v>
          </cell>
        </row>
        <row r="10055">
          <cell r="A10055" t="str">
            <v>Sweden</v>
          </cell>
          <cell r="B10055">
            <v>752</v>
          </cell>
          <cell r="C10055">
            <v>203</v>
          </cell>
          <cell r="D10055">
            <v>11</v>
          </cell>
          <cell r="E10055" t="str">
            <v>OPERATING SURPLUS, GROSS</v>
          </cell>
          <cell r="F10055">
            <v>12</v>
          </cell>
          <cell r="G10055">
            <v>1973</v>
          </cell>
          <cell r="H10055">
            <v>20</v>
          </cell>
          <cell r="I10055">
            <v>62871000000</v>
          </cell>
        </row>
        <row r="10056">
          <cell r="A10056" t="str">
            <v>Sweden</v>
          </cell>
          <cell r="B10056">
            <v>752</v>
          </cell>
          <cell r="C10056">
            <v>203</v>
          </cell>
          <cell r="D10056">
            <v>11</v>
          </cell>
          <cell r="E10056" t="str">
            <v>OPERATING SURPLUS, GROSS</v>
          </cell>
          <cell r="F10056">
            <v>12</v>
          </cell>
          <cell r="G10056">
            <v>1974</v>
          </cell>
          <cell r="H10056">
            <v>20</v>
          </cell>
          <cell r="I10056">
            <v>76320000000</v>
          </cell>
        </row>
        <row r="10057">
          <cell r="A10057" t="str">
            <v>Sweden</v>
          </cell>
          <cell r="B10057">
            <v>752</v>
          </cell>
          <cell r="C10057">
            <v>203</v>
          </cell>
          <cell r="D10057">
            <v>11</v>
          </cell>
          <cell r="E10057" t="str">
            <v>OPERATING SURPLUS, GROSS</v>
          </cell>
          <cell r="F10057">
            <v>12</v>
          </cell>
          <cell r="G10057">
            <v>1975</v>
          </cell>
          <cell r="H10057">
            <v>20</v>
          </cell>
          <cell r="I10057">
            <v>83542000000</v>
          </cell>
        </row>
        <row r="10058">
          <cell r="A10058" t="str">
            <v>Sweden</v>
          </cell>
          <cell r="B10058">
            <v>752</v>
          </cell>
          <cell r="C10058">
            <v>203</v>
          </cell>
          <cell r="D10058">
            <v>11</v>
          </cell>
          <cell r="E10058" t="str">
            <v>OPERATING SURPLUS, GROSS</v>
          </cell>
          <cell r="F10058">
            <v>12</v>
          </cell>
          <cell r="G10058">
            <v>1976</v>
          </cell>
          <cell r="H10058">
            <v>20</v>
          </cell>
          <cell r="I10058">
            <v>85959000000</v>
          </cell>
        </row>
        <row r="10059">
          <cell r="A10059" t="str">
            <v>Sweden</v>
          </cell>
          <cell r="B10059">
            <v>752</v>
          </cell>
          <cell r="C10059">
            <v>203</v>
          </cell>
          <cell r="D10059">
            <v>11</v>
          </cell>
          <cell r="E10059" t="str">
            <v>OPERATING SURPLUS, GROSS</v>
          </cell>
          <cell r="F10059">
            <v>12</v>
          </cell>
          <cell r="G10059">
            <v>1977</v>
          </cell>
          <cell r="H10059">
            <v>20</v>
          </cell>
          <cell r="I10059">
            <v>84979000000</v>
          </cell>
        </row>
        <row r="10060">
          <cell r="A10060" t="str">
            <v>Sweden</v>
          </cell>
          <cell r="B10060">
            <v>752</v>
          </cell>
          <cell r="C10060">
            <v>203</v>
          </cell>
          <cell r="D10060">
            <v>11</v>
          </cell>
          <cell r="E10060" t="str">
            <v>OPERATING SURPLUS, GROSS</v>
          </cell>
          <cell r="F10060">
            <v>12</v>
          </cell>
          <cell r="G10060">
            <v>1978</v>
          </cell>
          <cell r="H10060">
            <v>20</v>
          </cell>
          <cell r="I10060">
            <v>97558000000</v>
          </cell>
        </row>
        <row r="10061">
          <cell r="A10061" t="str">
            <v>Sweden</v>
          </cell>
          <cell r="B10061">
            <v>752</v>
          </cell>
          <cell r="C10061">
            <v>203</v>
          </cell>
          <cell r="D10061">
            <v>11</v>
          </cell>
          <cell r="E10061" t="str">
            <v>OPERATING SURPLUS, GROSS</v>
          </cell>
          <cell r="F10061">
            <v>12</v>
          </cell>
          <cell r="G10061">
            <v>1979</v>
          </cell>
          <cell r="H10061">
            <v>20</v>
          </cell>
          <cell r="I10061">
            <v>119595000000</v>
          </cell>
        </row>
        <row r="10062">
          <cell r="A10062" t="str">
            <v>Sweden</v>
          </cell>
          <cell r="B10062">
            <v>752</v>
          </cell>
          <cell r="C10062">
            <v>203</v>
          </cell>
          <cell r="D10062">
            <v>11</v>
          </cell>
          <cell r="E10062" t="str">
            <v>OPERATING SURPLUS, GROSS</v>
          </cell>
          <cell r="F10062">
            <v>12</v>
          </cell>
          <cell r="G10062">
            <v>1980</v>
          </cell>
          <cell r="H10062">
            <v>20</v>
          </cell>
          <cell r="I10062">
            <v>138803000000</v>
          </cell>
        </row>
        <row r="10063">
          <cell r="A10063" t="str">
            <v>Sweden</v>
          </cell>
          <cell r="B10063">
            <v>752</v>
          </cell>
          <cell r="C10063">
            <v>203</v>
          </cell>
          <cell r="D10063">
            <v>11</v>
          </cell>
          <cell r="E10063" t="str">
            <v>OPERATING SURPLUS, GROSS</v>
          </cell>
          <cell r="F10063">
            <v>12</v>
          </cell>
          <cell r="G10063">
            <v>1980</v>
          </cell>
          <cell r="H10063">
            <v>30</v>
          </cell>
          <cell r="I10063">
            <v>140579000000</v>
          </cell>
        </row>
        <row r="10064">
          <cell r="A10064" t="str">
            <v>Sweden</v>
          </cell>
          <cell r="B10064">
            <v>752</v>
          </cell>
          <cell r="C10064">
            <v>203</v>
          </cell>
          <cell r="D10064">
            <v>11</v>
          </cell>
          <cell r="E10064" t="str">
            <v>OPERATING SURPLUS, GROSS</v>
          </cell>
          <cell r="F10064">
            <v>12</v>
          </cell>
          <cell r="G10064">
            <v>1981</v>
          </cell>
          <cell r="H10064">
            <v>30</v>
          </cell>
          <cell r="I10064">
            <v>156265000000</v>
          </cell>
        </row>
        <row r="10065">
          <cell r="A10065" t="str">
            <v>Sweden</v>
          </cell>
          <cell r="B10065">
            <v>752</v>
          </cell>
          <cell r="C10065">
            <v>203</v>
          </cell>
          <cell r="D10065">
            <v>11</v>
          </cell>
          <cell r="E10065" t="str">
            <v>OPERATING SURPLUS, GROSS</v>
          </cell>
          <cell r="F10065">
            <v>12</v>
          </cell>
          <cell r="G10065">
            <v>1982</v>
          </cell>
          <cell r="H10065">
            <v>30</v>
          </cell>
          <cell r="I10065">
            <v>191845000000</v>
          </cell>
        </row>
        <row r="10066">
          <cell r="A10066" t="str">
            <v>Sweden</v>
          </cell>
          <cell r="B10066">
            <v>752</v>
          </cell>
          <cell r="C10066">
            <v>203</v>
          </cell>
          <cell r="D10066">
            <v>11</v>
          </cell>
          <cell r="E10066" t="str">
            <v>OPERATING SURPLUS, GROSS</v>
          </cell>
          <cell r="F10066">
            <v>12</v>
          </cell>
          <cell r="G10066">
            <v>1983</v>
          </cell>
          <cell r="H10066">
            <v>30</v>
          </cell>
          <cell r="I10066">
            <v>223169000000</v>
          </cell>
        </row>
        <row r="10067">
          <cell r="A10067" t="str">
            <v>Sweden</v>
          </cell>
          <cell r="B10067">
            <v>752</v>
          </cell>
          <cell r="C10067">
            <v>203</v>
          </cell>
          <cell r="D10067">
            <v>11</v>
          </cell>
          <cell r="E10067" t="str">
            <v>OPERATING SURPLUS, GROSS</v>
          </cell>
          <cell r="F10067">
            <v>12</v>
          </cell>
          <cell r="G10067">
            <v>1984</v>
          </cell>
          <cell r="H10067">
            <v>30</v>
          </cell>
          <cell r="I10067">
            <v>254980000000</v>
          </cell>
        </row>
        <row r="10068">
          <cell r="A10068" t="str">
            <v>Sweden</v>
          </cell>
          <cell r="B10068">
            <v>752</v>
          </cell>
          <cell r="C10068">
            <v>203</v>
          </cell>
          <cell r="D10068">
            <v>11</v>
          </cell>
          <cell r="E10068" t="str">
            <v>OPERATING SURPLUS, GROSS</v>
          </cell>
          <cell r="F10068">
            <v>12</v>
          </cell>
          <cell r="G10068">
            <v>1985</v>
          </cell>
          <cell r="H10068">
            <v>30</v>
          </cell>
          <cell r="I10068">
            <v>266669000000</v>
          </cell>
        </row>
        <row r="10069">
          <cell r="A10069" t="str">
            <v>Sweden</v>
          </cell>
          <cell r="B10069">
            <v>752</v>
          </cell>
          <cell r="C10069">
            <v>203</v>
          </cell>
          <cell r="D10069">
            <v>11</v>
          </cell>
          <cell r="E10069" t="str">
            <v>OPERATING SURPLUS, GROSS</v>
          </cell>
          <cell r="F10069">
            <v>12</v>
          </cell>
          <cell r="G10069">
            <v>1986</v>
          </cell>
          <cell r="H10069">
            <v>30</v>
          </cell>
          <cell r="I10069">
            <v>300783000000</v>
          </cell>
        </row>
        <row r="10070">
          <cell r="A10070" t="str">
            <v>Sweden</v>
          </cell>
          <cell r="B10070">
            <v>752</v>
          </cell>
          <cell r="C10070">
            <v>203</v>
          </cell>
          <cell r="D10070">
            <v>11</v>
          </cell>
          <cell r="E10070" t="str">
            <v>OPERATING SURPLUS, GROSS</v>
          </cell>
          <cell r="F10070">
            <v>12</v>
          </cell>
          <cell r="G10070">
            <v>1987</v>
          </cell>
          <cell r="H10070">
            <v>30</v>
          </cell>
          <cell r="I10070">
            <v>321073000000</v>
          </cell>
        </row>
        <row r="10071">
          <cell r="A10071" t="str">
            <v>Sweden</v>
          </cell>
          <cell r="B10071">
            <v>752</v>
          </cell>
          <cell r="C10071">
            <v>203</v>
          </cell>
          <cell r="D10071">
            <v>11</v>
          </cell>
          <cell r="E10071" t="str">
            <v>OPERATING SURPLUS, GROSS</v>
          </cell>
          <cell r="F10071">
            <v>12</v>
          </cell>
          <cell r="G10071">
            <v>1988</v>
          </cell>
          <cell r="H10071">
            <v>30</v>
          </cell>
          <cell r="I10071">
            <v>353896000000</v>
          </cell>
        </row>
        <row r="10072">
          <cell r="A10072" t="str">
            <v>Sweden</v>
          </cell>
          <cell r="B10072">
            <v>752</v>
          </cell>
          <cell r="C10072">
            <v>203</v>
          </cell>
          <cell r="D10072">
            <v>11</v>
          </cell>
          <cell r="E10072" t="str">
            <v>OPERATING SURPLUS, GROSS</v>
          </cell>
          <cell r="F10072">
            <v>12</v>
          </cell>
          <cell r="G10072">
            <v>1989</v>
          </cell>
          <cell r="H10072">
            <v>30</v>
          </cell>
          <cell r="I10072">
            <v>386546000000</v>
          </cell>
        </row>
        <row r="10073">
          <cell r="A10073" t="str">
            <v>Sweden</v>
          </cell>
          <cell r="B10073">
            <v>752</v>
          </cell>
          <cell r="C10073">
            <v>203</v>
          </cell>
          <cell r="D10073">
            <v>11</v>
          </cell>
          <cell r="E10073" t="str">
            <v>OPERATING SURPLUS, GROSS</v>
          </cell>
          <cell r="F10073">
            <v>12</v>
          </cell>
          <cell r="G10073">
            <v>1990</v>
          </cell>
          <cell r="H10073">
            <v>30</v>
          </cell>
          <cell r="I10073">
            <v>405711000000</v>
          </cell>
        </row>
        <row r="10074">
          <cell r="A10074" t="str">
            <v>Sweden</v>
          </cell>
          <cell r="B10074">
            <v>752</v>
          </cell>
          <cell r="C10074">
            <v>203</v>
          </cell>
          <cell r="D10074">
            <v>11</v>
          </cell>
          <cell r="E10074" t="str">
            <v>OPERATING SURPLUS, GROSS</v>
          </cell>
          <cell r="F10074">
            <v>12</v>
          </cell>
          <cell r="G10074">
            <v>1991</v>
          </cell>
          <cell r="H10074">
            <v>30</v>
          </cell>
          <cell r="I10074">
            <v>419762000000</v>
          </cell>
        </row>
        <row r="10075">
          <cell r="A10075" t="str">
            <v>Sweden</v>
          </cell>
          <cell r="B10075">
            <v>752</v>
          </cell>
          <cell r="C10075">
            <v>203</v>
          </cell>
          <cell r="D10075">
            <v>11</v>
          </cell>
          <cell r="E10075" t="str">
            <v>OPERATING SURPLUS, GROSS</v>
          </cell>
          <cell r="F10075">
            <v>12</v>
          </cell>
          <cell r="G10075">
            <v>1992</v>
          </cell>
          <cell r="H10075">
            <v>30</v>
          </cell>
          <cell r="I10075">
            <v>444654000000</v>
          </cell>
        </row>
        <row r="10076">
          <cell r="A10076" t="str">
            <v>Sweden</v>
          </cell>
          <cell r="B10076">
            <v>752</v>
          </cell>
          <cell r="C10076">
            <v>203</v>
          </cell>
          <cell r="D10076">
            <v>11</v>
          </cell>
          <cell r="E10076" t="str">
            <v>OPERATING SURPLUS, GROSS</v>
          </cell>
          <cell r="F10076">
            <v>12</v>
          </cell>
          <cell r="G10076">
            <v>1993</v>
          </cell>
          <cell r="H10076">
            <v>30</v>
          </cell>
          <cell r="I10076">
            <v>512838000000</v>
          </cell>
        </row>
        <row r="10077">
          <cell r="A10077" t="str">
            <v>Sweden</v>
          </cell>
          <cell r="B10077">
            <v>752</v>
          </cell>
          <cell r="C10077">
            <v>203</v>
          </cell>
          <cell r="D10077">
            <v>11</v>
          </cell>
          <cell r="E10077" t="str">
            <v>OPERATING SURPLUS, GROSS</v>
          </cell>
          <cell r="F10077">
            <v>12</v>
          </cell>
          <cell r="G10077">
            <v>1993</v>
          </cell>
          <cell r="H10077">
            <v>100</v>
          </cell>
          <cell r="I10077">
            <v>567936000000</v>
          </cell>
        </row>
        <row r="10078">
          <cell r="A10078" t="str">
            <v>Sweden</v>
          </cell>
          <cell r="B10078">
            <v>752</v>
          </cell>
          <cell r="C10078">
            <v>203</v>
          </cell>
          <cell r="D10078">
            <v>11</v>
          </cell>
          <cell r="E10078" t="str">
            <v>OPERATING SURPLUS, GROSS</v>
          </cell>
          <cell r="F10078">
            <v>12</v>
          </cell>
          <cell r="G10078">
            <v>1994</v>
          </cell>
          <cell r="H10078">
            <v>100</v>
          </cell>
          <cell r="I10078">
            <v>609257000000</v>
          </cell>
        </row>
        <row r="10079">
          <cell r="A10079" t="str">
            <v>Sweden</v>
          </cell>
          <cell r="B10079">
            <v>752</v>
          </cell>
          <cell r="C10079">
            <v>203</v>
          </cell>
          <cell r="D10079">
            <v>11</v>
          </cell>
          <cell r="E10079" t="str">
            <v>OPERATING SURPLUS, GROSS</v>
          </cell>
          <cell r="F10079">
            <v>12</v>
          </cell>
          <cell r="G10079">
            <v>1995</v>
          </cell>
          <cell r="H10079">
            <v>100</v>
          </cell>
          <cell r="I10079">
            <v>676347000000</v>
          </cell>
        </row>
        <row r="10080">
          <cell r="A10080" t="str">
            <v>Sweden</v>
          </cell>
          <cell r="B10080">
            <v>752</v>
          </cell>
          <cell r="C10080">
            <v>203</v>
          </cell>
          <cell r="D10080">
            <v>11</v>
          </cell>
          <cell r="E10080" t="str">
            <v>OPERATING SURPLUS, GROSS</v>
          </cell>
          <cell r="F10080">
            <v>12</v>
          </cell>
          <cell r="G10080">
            <v>1996</v>
          </cell>
          <cell r="H10080">
            <v>100</v>
          </cell>
          <cell r="I10080">
            <v>635204000000</v>
          </cell>
        </row>
        <row r="10081">
          <cell r="A10081" t="str">
            <v>Sweden</v>
          </cell>
          <cell r="B10081">
            <v>752</v>
          </cell>
          <cell r="C10081">
            <v>203</v>
          </cell>
          <cell r="D10081">
            <v>11</v>
          </cell>
          <cell r="E10081" t="str">
            <v>OPERATING SURPLUS, GROSS</v>
          </cell>
          <cell r="F10081">
            <v>12</v>
          </cell>
          <cell r="G10081">
            <v>1997</v>
          </cell>
          <cell r="H10081">
            <v>100</v>
          </cell>
          <cell r="I10081">
            <v>655217000000</v>
          </cell>
        </row>
        <row r="10082">
          <cell r="A10082" t="str">
            <v>Sweden</v>
          </cell>
          <cell r="B10082">
            <v>752</v>
          </cell>
          <cell r="C10082">
            <v>203</v>
          </cell>
          <cell r="D10082">
            <v>11</v>
          </cell>
          <cell r="E10082" t="str">
            <v>OPERATING SURPLUS, GROSS</v>
          </cell>
          <cell r="F10082">
            <v>12</v>
          </cell>
          <cell r="G10082">
            <v>1998</v>
          </cell>
          <cell r="H10082">
            <v>100</v>
          </cell>
          <cell r="I10082">
            <v>653281000000</v>
          </cell>
        </row>
        <row r="10083">
          <cell r="A10083" t="str">
            <v>Sweden</v>
          </cell>
          <cell r="B10083">
            <v>752</v>
          </cell>
          <cell r="C10083">
            <v>203</v>
          </cell>
          <cell r="D10083">
            <v>11</v>
          </cell>
          <cell r="E10083" t="str">
            <v>OPERATING SURPLUS, GROSS</v>
          </cell>
          <cell r="F10083">
            <v>12</v>
          </cell>
          <cell r="G10083">
            <v>1999</v>
          </cell>
          <cell r="H10083">
            <v>100</v>
          </cell>
          <cell r="I10083">
            <v>672023000000</v>
          </cell>
        </row>
        <row r="10084">
          <cell r="A10084" t="str">
            <v>Sweden</v>
          </cell>
          <cell r="B10084">
            <v>752</v>
          </cell>
          <cell r="C10084">
            <v>203</v>
          </cell>
          <cell r="D10084">
            <v>11</v>
          </cell>
          <cell r="E10084" t="str">
            <v>OPERATING SURPLUS, GROSS</v>
          </cell>
          <cell r="F10084">
            <v>12</v>
          </cell>
          <cell r="G10084">
            <v>2000</v>
          </cell>
          <cell r="H10084">
            <v>100</v>
          </cell>
          <cell r="I10084">
            <v>684101000000</v>
          </cell>
        </row>
        <row r="10085">
          <cell r="A10085" t="str">
            <v>Sweden</v>
          </cell>
          <cell r="B10085">
            <v>752</v>
          </cell>
          <cell r="C10085">
            <v>203</v>
          </cell>
          <cell r="D10085">
            <v>11</v>
          </cell>
          <cell r="E10085" t="str">
            <v>OPERATING SURPLUS, GROSS</v>
          </cell>
          <cell r="F10085">
            <v>12</v>
          </cell>
          <cell r="G10085">
            <v>2001</v>
          </cell>
          <cell r="H10085">
            <v>100</v>
          </cell>
          <cell r="I10085">
            <v>656380000000</v>
          </cell>
        </row>
        <row r="10086">
          <cell r="A10086" t="str">
            <v>Syrian Arab Republic</v>
          </cell>
          <cell r="B10086">
            <v>760</v>
          </cell>
          <cell r="C10086">
            <v>203</v>
          </cell>
          <cell r="D10086">
            <v>3</v>
          </cell>
          <cell r="E10086" t="str">
            <v>Equals: VALUE ADDED, GROSS, at basic prices</v>
          </cell>
          <cell r="F10086">
            <v>12</v>
          </cell>
          <cell r="G10086">
            <v>1970</v>
          </cell>
          <cell r="H10086">
            <v>10</v>
          </cell>
          <cell r="I10086">
            <v>6848000000</v>
          </cell>
        </row>
        <row r="10087">
          <cell r="A10087" t="str">
            <v>Syrian Arab Republic</v>
          </cell>
          <cell r="B10087">
            <v>760</v>
          </cell>
          <cell r="C10087">
            <v>203</v>
          </cell>
          <cell r="D10087">
            <v>3</v>
          </cell>
          <cell r="E10087" t="str">
            <v>Equals: VALUE ADDED, GROSS, at basic prices</v>
          </cell>
          <cell r="F10087">
            <v>12</v>
          </cell>
          <cell r="G10087">
            <v>1971</v>
          </cell>
          <cell r="H10087">
            <v>10</v>
          </cell>
          <cell r="I10087">
            <v>8044000000</v>
          </cell>
        </row>
        <row r="10088">
          <cell r="A10088" t="str">
            <v>Syrian Arab Republic</v>
          </cell>
          <cell r="B10088">
            <v>760</v>
          </cell>
          <cell r="C10088">
            <v>203</v>
          </cell>
          <cell r="D10088">
            <v>3</v>
          </cell>
          <cell r="E10088" t="str">
            <v>Equals: VALUE ADDED, GROSS, at basic prices</v>
          </cell>
          <cell r="F10088">
            <v>12</v>
          </cell>
          <cell r="G10088">
            <v>1972</v>
          </cell>
          <cell r="H10088">
            <v>10</v>
          </cell>
          <cell r="I10088">
            <v>9286000000</v>
          </cell>
        </row>
        <row r="10089">
          <cell r="A10089" t="str">
            <v>Syrian Arab Republic</v>
          </cell>
          <cell r="B10089">
            <v>760</v>
          </cell>
          <cell r="C10089">
            <v>203</v>
          </cell>
          <cell r="D10089">
            <v>3</v>
          </cell>
          <cell r="E10089" t="str">
            <v>Equals: VALUE ADDED, GROSS, at basic prices</v>
          </cell>
          <cell r="F10089">
            <v>12</v>
          </cell>
          <cell r="G10089">
            <v>1973</v>
          </cell>
          <cell r="H10089">
            <v>10</v>
          </cell>
          <cell r="I10089">
            <v>9945000000</v>
          </cell>
        </row>
        <row r="10090">
          <cell r="A10090" t="str">
            <v>Syrian Arab Republic</v>
          </cell>
          <cell r="B10090">
            <v>760</v>
          </cell>
          <cell r="C10090">
            <v>203</v>
          </cell>
          <cell r="D10090">
            <v>3</v>
          </cell>
          <cell r="E10090" t="str">
            <v>Equals: VALUE ADDED, GROSS, at basic prices</v>
          </cell>
          <cell r="F10090">
            <v>12</v>
          </cell>
          <cell r="G10090">
            <v>1974</v>
          </cell>
          <cell r="H10090">
            <v>10</v>
          </cell>
          <cell r="I10090">
            <v>15951000000</v>
          </cell>
        </row>
        <row r="10091">
          <cell r="A10091" t="str">
            <v>Syrian Arab Republic</v>
          </cell>
          <cell r="B10091">
            <v>760</v>
          </cell>
          <cell r="C10091">
            <v>203</v>
          </cell>
          <cell r="D10091">
            <v>3</v>
          </cell>
          <cell r="E10091" t="str">
            <v>Equals: VALUE ADDED, GROSS, at basic prices</v>
          </cell>
          <cell r="F10091">
            <v>12</v>
          </cell>
          <cell r="G10091">
            <v>1975</v>
          </cell>
          <cell r="H10091">
            <v>10</v>
          </cell>
          <cell r="I10091">
            <v>20711000000</v>
          </cell>
        </row>
        <row r="10092">
          <cell r="A10092" t="str">
            <v>Syrian Arab Republic</v>
          </cell>
          <cell r="B10092">
            <v>760</v>
          </cell>
          <cell r="C10092">
            <v>203</v>
          </cell>
          <cell r="D10092">
            <v>3</v>
          </cell>
          <cell r="E10092" t="str">
            <v>Equals: VALUE ADDED, GROSS, at basic prices</v>
          </cell>
          <cell r="F10092">
            <v>12</v>
          </cell>
          <cell r="G10092">
            <v>1976</v>
          </cell>
          <cell r="H10092">
            <v>10</v>
          </cell>
          <cell r="I10092">
            <v>24915000000</v>
          </cell>
        </row>
        <row r="10093">
          <cell r="A10093" t="str">
            <v>Syrian Arab Republic</v>
          </cell>
          <cell r="B10093">
            <v>760</v>
          </cell>
          <cell r="C10093">
            <v>203</v>
          </cell>
          <cell r="D10093">
            <v>3</v>
          </cell>
          <cell r="E10093" t="str">
            <v>Equals: VALUE ADDED, GROSS, at basic prices</v>
          </cell>
          <cell r="F10093">
            <v>12</v>
          </cell>
          <cell r="G10093">
            <v>1977</v>
          </cell>
          <cell r="H10093">
            <v>10</v>
          </cell>
          <cell r="I10093">
            <v>27265000000</v>
          </cell>
        </row>
        <row r="10094">
          <cell r="A10094" t="str">
            <v>Syrian Arab Republic</v>
          </cell>
          <cell r="B10094">
            <v>760</v>
          </cell>
          <cell r="C10094">
            <v>203</v>
          </cell>
          <cell r="D10094">
            <v>3</v>
          </cell>
          <cell r="E10094" t="str">
            <v>Equals: VALUE ADDED, GROSS, at basic prices</v>
          </cell>
          <cell r="F10094">
            <v>12</v>
          </cell>
          <cell r="G10094">
            <v>1978</v>
          </cell>
          <cell r="H10094">
            <v>10</v>
          </cell>
          <cell r="I10094">
            <v>32696000000</v>
          </cell>
        </row>
        <row r="10095">
          <cell r="A10095" t="str">
            <v>Syrian Arab Republic</v>
          </cell>
          <cell r="B10095">
            <v>760</v>
          </cell>
          <cell r="C10095">
            <v>203</v>
          </cell>
          <cell r="D10095">
            <v>3</v>
          </cell>
          <cell r="E10095" t="str">
            <v>Equals: VALUE ADDED, GROSS, at basic prices</v>
          </cell>
          <cell r="F10095">
            <v>12</v>
          </cell>
          <cell r="G10095">
            <v>1979</v>
          </cell>
          <cell r="H10095">
            <v>10</v>
          </cell>
          <cell r="I10095">
            <v>39302000000</v>
          </cell>
        </row>
        <row r="10096">
          <cell r="A10096" t="str">
            <v>Syrian Arab Republic</v>
          </cell>
          <cell r="B10096">
            <v>760</v>
          </cell>
          <cell r="C10096">
            <v>203</v>
          </cell>
          <cell r="D10096">
            <v>3</v>
          </cell>
          <cell r="E10096" t="str">
            <v>Equals: VALUE ADDED, GROSS, at basic prices</v>
          </cell>
          <cell r="F10096">
            <v>12</v>
          </cell>
          <cell r="G10096">
            <v>1980</v>
          </cell>
          <cell r="H10096">
            <v>10</v>
          </cell>
          <cell r="I10096">
            <v>51270000000</v>
          </cell>
        </row>
        <row r="10097">
          <cell r="A10097" t="str">
            <v>Syrian Arab Republic</v>
          </cell>
          <cell r="B10097">
            <v>760</v>
          </cell>
          <cell r="C10097">
            <v>203</v>
          </cell>
          <cell r="D10097">
            <v>3</v>
          </cell>
          <cell r="E10097" t="str">
            <v>Equals: VALUE ADDED, GROSS, at basic prices</v>
          </cell>
          <cell r="F10097">
            <v>12</v>
          </cell>
          <cell r="G10097">
            <v>1981</v>
          </cell>
          <cell r="H10097">
            <v>10</v>
          </cell>
          <cell r="I10097">
            <v>65777000000</v>
          </cell>
        </row>
        <row r="10098">
          <cell r="A10098" t="str">
            <v>Syrian Arab Republic</v>
          </cell>
          <cell r="B10098">
            <v>760</v>
          </cell>
          <cell r="C10098">
            <v>203</v>
          </cell>
          <cell r="D10098">
            <v>3</v>
          </cell>
          <cell r="E10098" t="str">
            <v>Equals: VALUE ADDED, GROSS, at basic prices</v>
          </cell>
          <cell r="F10098">
            <v>12</v>
          </cell>
          <cell r="G10098">
            <v>1982</v>
          </cell>
          <cell r="H10098">
            <v>10</v>
          </cell>
          <cell r="I10098">
            <v>68788000000</v>
          </cell>
        </row>
        <row r="10099">
          <cell r="A10099" t="str">
            <v>Syrian Arab Republic</v>
          </cell>
          <cell r="B10099">
            <v>760</v>
          </cell>
          <cell r="C10099">
            <v>203</v>
          </cell>
          <cell r="D10099">
            <v>3</v>
          </cell>
          <cell r="E10099" t="str">
            <v>Equals: VALUE ADDED, GROSS, at basic prices</v>
          </cell>
          <cell r="F10099">
            <v>12</v>
          </cell>
          <cell r="G10099">
            <v>1983</v>
          </cell>
          <cell r="H10099">
            <v>10</v>
          </cell>
          <cell r="I10099">
            <v>73291000000</v>
          </cell>
        </row>
        <row r="10100">
          <cell r="A10100" t="str">
            <v>Syrian Arab Republic</v>
          </cell>
          <cell r="B10100">
            <v>760</v>
          </cell>
          <cell r="C10100">
            <v>203</v>
          </cell>
          <cell r="D10100">
            <v>3</v>
          </cell>
          <cell r="E10100" t="str">
            <v>Equals: VALUE ADDED, GROSS, at basic prices</v>
          </cell>
          <cell r="F10100">
            <v>12</v>
          </cell>
          <cell r="G10100">
            <v>1984</v>
          </cell>
          <cell r="H10100">
            <v>10</v>
          </cell>
          <cell r="I10100">
            <v>75342000000</v>
          </cell>
        </row>
        <row r="10101">
          <cell r="A10101" t="str">
            <v>Syrian Arab Republic</v>
          </cell>
          <cell r="B10101">
            <v>760</v>
          </cell>
          <cell r="C10101">
            <v>203</v>
          </cell>
          <cell r="D10101">
            <v>3</v>
          </cell>
          <cell r="E10101" t="str">
            <v>Equals: VALUE ADDED, GROSS, at basic prices</v>
          </cell>
          <cell r="F10101">
            <v>12</v>
          </cell>
          <cell r="G10101">
            <v>1985</v>
          </cell>
          <cell r="H10101">
            <v>10</v>
          </cell>
          <cell r="I10101">
            <v>83225000000</v>
          </cell>
        </row>
        <row r="10102">
          <cell r="A10102" t="str">
            <v>Syrian Arab Republic</v>
          </cell>
          <cell r="B10102">
            <v>760</v>
          </cell>
          <cell r="C10102">
            <v>203</v>
          </cell>
          <cell r="D10102">
            <v>3</v>
          </cell>
          <cell r="E10102" t="str">
            <v>Equals: VALUE ADDED, GROSS, at basic prices</v>
          </cell>
          <cell r="F10102">
            <v>12</v>
          </cell>
          <cell r="G10102">
            <v>1986</v>
          </cell>
          <cell r="H10102">
            <v>10</v>
          </cell>
          <cell r="I10102">
            <v>99933000000</v>
          </cell>
        </row>
        <row r="10103">
          <cell r="A10103" t="str">
            <v>Syrian Arab Republic</v>
          </cell>
          <cell r="B10103">
            <v>760</v>
          </cell>
          <cell r="C10103">
            <v>203</v>
          </cell>
          <cell r="D10103">
            <v>3</v>
          </cell>
          <cell r="E10103" t="str">
            <v>Equals: VALUE ADDED, GROSS, at basic prices</v>
          </cell>
          <cell r="F10103">
            <v>12</v>
          </cell>
          <cell r="G10103">
            <v>1987</v>
          </cell>
          <cell r="H10103">
            <v>10</v>
          </cell>
          <cell r="I10103">
            <v>127712000000</v>
          </cell>
        </row>
        <row r="10104">
          <cell r="A10104" t="str">
            <v>Syrian Arab Republic</v>
          </cell>
          <cell r="B10104">
            <v>760</v>
          </cell>
          <cell r="C10104">
            <v>203</v>
          </cell>
          <cell r="D10104">
            <v>3</v>
          </cell>
          <cell r="E10104" t="str">
            <v>Equals: VALUE ADDED, GROSS, at basic prices</v>
          </cell>
          <cell r="F10104">
            <v>12</v>
          </cell>
          <cell r="G10104">
            <v>1988</v>
          </cell>
          <cell r="H10104">
            <v>10</v>
          </cell>
          <cell r="I10104">
            <v>186047000000</v>
          </cell>
        </row>
        <row r="10105">
          <cell r="A10105" t="str">
            <v>Syrian Arab Republic</v>
          </cell>
          <cell r="B10105">
            <v>760</v>
          </cell>
          <cell r="C10105">
            <v>203</v>
          </cell>
          <cell r="D10105">
            <v>3</v>
          </cell>
          <cell r="E10105" t="str">
            <v>Equals: VALUE ADDED, GROSS, at basic prices</v>
          </cell>
          <cell r="F10105">
            <v>12</v>
          </cell>
          <cell r="G10105">
            <v>1989</v>
          </cell>
          <cell r="H10105">
            <v>10</v>
          </cell>
          <cell r="I10105">
            <v>208892000000</v>
          </cell>
        </row>
        <row r="10106">
          <cell r="A10106" t="str">
            <v>Syrian Arab Republic</v>
          </cell>
          <cell r="B10106">
            <v>760</v>
          </cell>
          <cell r="C10106">
            <v>203</v>
          </cell>
          <cell r="D10106">
            <v>3</v>
          </cell>
          <cell r="E10106" t="str">
            <v>Equals: VALUE ADDED, GROSS, at basic prices</v>
          </cell>
          <cell r="F10106">
            <v>12</v>
          </cell>
          <cell r="G10106">
            <v>1990</v>
          </cell>
          <cell r="H10106">
            <v>10</v>
          </cell>
          <cell r="I10106">
            <v>268328000000</v>
          </cell>
        </row>
        <row r="10107">
          <cell r="A10107" t="str">
            <v>Syrian Arab Republic</v>
          </cell>
          <cell r="B10107">
            <v>760</v>
          </cell>
          <cell r="C10107">
            <v>203</v>
          </cell>
          <cell r="D10107">
            <v>3</v>
          </cell>
          <cell r="E10107" t="str">
            <v>Equals: VALUE ADDED, GROSS, at basic prices</v>
          </cell>
          <cell r="F10107">
            <v>12</v>
          </cell>
          <cell r="G10107">
            <v>1991</v>
          </cell>
          <cell r="H10107">
            <v>10</v>
          </cell>
          <cell r="I10107">
            <v>311564000000</v>
          </cell>
        </row>
        <row r="10108">
          <cell r="A10108" t="str">
            <v>Syrian Arab Republic</v>
          </cell>
          <cell r="B10108">
            <v>760</v>
          </cell>
          <cell r="C10108">
            <v>203</v>
          </cell>
          <cell r="D10108">
            <v>3</v>
          </cell>
          <cell r="E10108" t="str">
            <v>Equals: VALUE ADDED, GROSS, at basic prices</v>
          </cell>
          <cell r="F10108">
            <v>12</v>
          </cell>
          <cell r="G10108">
            <v>1992</v>
          </cell>
          <cell r="H10108">
            <v>10</v>
          </cell>
          <cell r="I10108">
            <v>371630000000</v>
          </cell>
        </row>
        <row r="10109">
          <cell r="A10109" t="str">
            <v>Syrian Arab Republic</v>
          </cell>
          <cell r="B10109">
            <v>760</v>
          </cell>
          <cell r="C10109">
            <v>203</v>
          </cell>
          <cell r="D10109">
            <v>3</v>
          </cell>
          <cell r="E10109" t="str">
            <v>Equals: VALUE ADDED, GROSS, at basic prices</v>
          </cell>
          <cell r="F10109">
            <v>12</v>
          </cell>
          <cell r="G10109">
            <v>1993</v>
          </cell>
          <cell r="H10109">
            <v>10</v>
          </cell>
          <cell r="I10109">
            <v>413755000000</v>
          </cell>
        </row>
        <row r="10110">
          <cell r="A10110" t="str">
            <v>Syrian Arab Republic</v>
          </cell>
          <cell r="B10110">
            <v>760</v>
          </cell>
          <cell r="C10110">
            <v>203</v>
          </cell>
          <cell r="D10110">
            <v>3</v>
          </cell>
          <cell r="E10110" t="str">
            <v>Equals: VALUE ADDED, GROSS, at basic prices</v>
          </cell>
          <cell r="F10110">
            <v>12</v>
          </cell>
          <cell r="G10110">
            <v>1994</v>
          </cell>
          <cell r="H10110">
            <v>10</v>
          </cell>
          <cell r="I10110">
            <v>506101000000</v>
          </cell>
        </row>
        <row r="10111">
          <cell r="A10111" t="str">
            <v>Syrian Arab Republic</v>
          </cell>
          <cell r="B10111">
            <v>760</v>
          </cell>
          <cell r="C10111">
            <v>203</v>
          </cell>
          <cell r="D10111">
            <v>3</v>
          </cell>
          <cell r="E10111" t="str">
            <v>Equals: VALUE ADDED, GROSS, at basic prices</v>
          </cell>
          <cell r="F10111">
            <v>12</v>
          </cell>
          <cell r="G10111">
            <v>1995</v>
          </cell>
          <cell r="H10111">
            <v>10</v>
          </cell>
          <cell r="I10111">
            <v>570975000000</v>
          </cell>
        </row>
        <row r="10112">
          <cell r="A10112" t="str">
            <v>Syrian Arab Republic</v>
          </cell>
          <cell r="B10112">
            <v>760</v>
          </cell>
          <cell r="C10112">
            <v>203</v>
          </cell>
          <cell r="D10112">
            <v>3</v>
          </cell>
          <cell r="E10112" t="str">
            <v>Equals: VALUE ADDED, GROSS, at basic prices</v>
          </cell>
          <cell r="F10112">
            <v>12</v>
          </cell>
          <cell r="G10112">
            <v>1996</v>
          </cell>
          <cell r="H10112">
            <v>10</v>
          </cell>
          <cell r="I10112">
            <v>690857000000</v>
          </cell>
        </row>
        <row r="10113">
          <cell r="A10113" t="str">
            <v>Syrian Arab Republic</v>
          </cell>
          <cell r="B10113">
            <v>760</v>
          </cell>
          <cell r="C10113">
            <v>203</v>
          </cell>
          <cell r="D10113">
            <v>3</v>
          </cell>
          <cell r="E10113" t="str">
            <v>Equals: VALUE ADDED, GROSS, at basic prices</v>
          </cell>
          <cell r="F10113">
            <v>12</v>
          </cell>
          <cell r="G10113">
            <v>1997</v>
          </cell>
          <cell r="H10113">
            <v>10</v>
          </cell>
          <cell r="I10113">
            <v>745569000000</v>
          </cell>
        </row>
        <row r="10114">
          <cell r="A10114" t="str">
            <v>Syrian Arab Republic</v>
          </cell>
          <cell r="B10114">
            <v>760</v>
          </cell>
          <cell r="C10114">
            <v>203</v>
          </cell>
          <cell r="D10114">
            <v>3</v>
          </cell>
          <cell r="E10114" t="str">
            <v>Equals: VALUE ADDED, GROSS, at basic prices</v>
          </cell>
          <cell r="F10114">
            <v>12</v>
          </cell>
          <cell r="G10114">
            <v>1998</v>
          </cell>
          <cell r="H10114">
            <v>10</v>
          </cell>
          <cell r="I10114">
            <v>790444000000</v>
          </cell>
        </row>
        <row r="10115">
          <cell r="A10115" t="str">
            <v>Syrian Arab Republic</v>
          </cell>
          <cell r="B10115">
            <v>760</v>
          </cell>
          <cell r="C10115">
            <v>203</v>
          </cell>
          <cell r="D10115">
            <v>3</v>
          </cell>
          <cell r="E10115" t="str">
            <v>Equals: VALUE ADDED, GROSS, at basic prices</v>
          </cell>
          <cell r="F10115">
            <v>12</v>
          </cell>
          <cell r="G10115">
            <v>1999</v>
          </cell>
          <cell r="H10115">
            <v>10</v>
          </cell>
          <cell r="I10115">
            <v>819092000000</v>
          </cell>
        </row>
        <row r="10116">
          <cell r="A10116" t="str">
            <v>Syrian Arab Republic</v>
          </cell>
          <cell r="B10116">
            <v>760</v>
          </cell>
          <cell r="C10116">
            <v>203</v>
          </cell>
          <cell r="D10116">
            <v>3</v>
          </cell>
          <cell r="E10116" t="str">
            <v>Equals: VALUE ADDED, GROSS, at basic prices</v>
          </cell>
          <cell r="F10116">
            <v>12</v>
          </cell>
          <cell r="G10116">
            <v>2000</v>
          </cell>
          <cell r="H10116">
            <v>10</v>
          </cell>
          <cell r="I10116">
            <v>903944000000</v>
          </cell>
        </row>
        <row r="10117">
          <cell r="A10117" t="str">
            <v>Syrian Arab Republic</v>
          </cell>
          <cell r="B10117">
            <v>760</v>
          </cell>
          <cell r="C10117">
            <v>203</v>
          </cell>
          <cell r="D10117">
            <v>3</v>
          </cell>
          <cell r="E10117" t="str">
            <v>Equals: VALUE ADDED, GROSS, at basic prices</v>
          </cell>
          <cell r="F10117">
            <v>12</v>
          </cell>
          <cell r="G10117">
            <v>2001</v>
          </cell>
          <cell r="H10117">
            <v>10</v>
          </cell>
          <cell r="I10117">
            <v>954137000000</v>
          </cell>
        </row>
        <row r="10118">
          <cell r="A10118" t="str">
            <v>Syrian Arab Republic</v>
          </cell>
          <cell r="B10118">
            <v>760</v>
          </cell>
          <cell r="C10118">
            <v>203</v>
          </cell>
          <cell r="D10118">
            <v>3</v>
          </cell>
          <cell r="E10118" t="str">
            <v>Equals: VALUE ADDED, GROSS, at basic prices</v>
          </cell>
          <cell r="F10118">
            <v>12</v>
          </cell>
          <cell r="G10118">
            <v>2002</v>
          </cell>
          <cell r="H10118">
            <v>10</v>
          </cell>
          <cell r="I10118">
            <v>1014541000000</v>
          </cell>
        </row>
        <row r="10119">
          <cell r="A10119" t="str">
            <v>Syrian Arab Republic</v>
          </cell>
          <cell r="B10119">
            <v>760</v>
          </cell>
          <cell r="C10119">
            <v>203</v>
          </cell>
          <cell r="D10119">
            <v>3</v>
          </cell>
          <cell r="E10119" t="str">
            <v>Equals: VALUE ADDED, GROSS, at basic prices</v>
          </cell>
          <cell r="F10119">
            <v>12</v>
          </cell>
          <cell r="G10119">
            <v>2003</v>
          </cell>
          <cell r="H10119">
            <v>10</v>
          </cell>
          <cell r="I10119">
            <v>1052921000000</v>
          </cell>
        </row>
        <row r="10120">
          <cell r="A10120" t="str">
            <v>Sweden</v>
          </cell>
          <cell r="B10120">
            <v>752</v>
          </cell>
          <cell r="C10120">
            <v>203</v>
          </cell>
          <cell r="D10120">
            <v>22</v>
          </cell>
          <cell r="E10120" t="str">
            <v>Taxes on production and imports, less Subsidies</v>
          </cell>
          <cell r="F10120">
            <v>12</v>
          </cell>
          <cell r="G10120">
            <v>1970</v>
          </cell>
          <cell r="H10120">
            <v>20</v>
          </cell>
          <cell r="I10120">
            <v>1316000000</v>
          </cell>
        </row>
        <row r="10121">
          <cell r="A10121" t="str">
            <v>Sweden</v>
          </cell>
          <cell r="B10121">
            <v>752</v>
          </cell>
          <cell r="C10121">
            <v>203</v>
          </cell>
          <cell r="D10121">
            <v>22</v>
          </cell>
          <cell r="E10121" t="str">
            <v>Taxes on production and imports, less Subsidies</v>
          </cell>
          <cell r="F10121">
            <v>12</v>
          </cell>
          <cell r="G10121">
            <v>1971</v>
          </cell>
          <cell r="H10121">
            <v>20</v>
          </cell>
          <cell r="I10121">
            <v>2230000000</v>
          </cell>
        </row>
        <row r="10122">
          <cell r="A10122" t="str">
            <v>Sweden</v>
          </cell>
          <cell r="B10122">
            <v>752</v>
          </cell>
          <cell r="C10122">
            <v>203</v>
          </cell>
          <cell r="D10122">
            <v>22</v>
          </cell>
          <cell r="E10122" t="str">
            <v>Taxes on production and imports, less Subsidies</v>
          </cell>
          <cell r="F10122">
            <v>12</v>
          </cell>
          <cell r="G10122">
            <v>1972</v>
          </cell>
          <cell r="H10122">
            <v>20</v>
          </cell>
          <cell r="I10122">
            <v>2125000000</v>
          </cell>
        </row>
        <row r="10123">
          <cell r="A10123" t="str">
            <v>Sweden</v>
          </cell>
          <cell r="B10123">
            <v>752</v>
          </cell>
          <cell r="C10123">
            <v>203</v>
          </cell>
          <cell r="D10123">
            <v>22</v>
          </cell>
          <cell r="E10123" t="str">
            <v>Taxes on production and imports, less Subsidies</v>
          </cell>
          <cell r="F10123">
            <v>12</v>
          </cell>
          <cell r="G10123">
            <v>1973</v>
          </cell>
          <cell r="H10123">
            <v>20</v>
          </cell>
          <cell r="I10123">
            <v>4692000000</v>
          </cell>
        </row>
        <row r="10124">
          <cell r="A10124" t="str">
            <v>Sweden</v>
          </cell>
          <cell r="B10124">
            <v>752</v>
          </cell>
          <cell r="C10124">
            <v>203</v>
          </cell>
          <cell r="D10124">
            <v>22</v>
          </cell>
          <cell r="E10124" t="str">
            <v>Taxes on production and imports, less Subsidies</v>
          </cell>
          <cell r="F10124">
            <v>12</v>
          </cell>
          <cell r="G10124">
            <v>1974</v>
          </cell>
          <cell r="H10124">
            <v>20</v>
          </cell>
          <cell r="I10124">
            <v>4830000000</v>
          </cell>
        </row>
        <row r="10125">
          <cell r="A10125" t="str">
            <v>Sweden</v>
          </cell>
          <cell r="B10125">
            <v>752</v>
          </cell>
          <cell r="C10125">
            <v>203</v>
          </cell>
          <cell r="D10125">
            <v>22</v>
          </cell>
          <cell r="E10125" t="str">
            <v>Taxes on production and imports, less Subsidies</v>
          </cell>
          <cell r="F10125">
            <v>12</v>
          </cell>
          <cell r="G10125">
            <v>1975</v>
          </cell>
          <cell r="H10125">
            <v>20</v>
          </cell>
          <cell r="I10125">
            <v>4046000000</v>
          </cell>
        </row>
        <row r="10126">
          <cell r="A10126" t="str">
            <v>Sweden</v>
          </cell>
          <cell r="B10126">
            <v>752</v>
          </cell>
          <cell r="C10126">
            <v>203</v>
          </cell>
          <cell r="D10126">
            <v>22</v>
          </cell>
          <cell r="E10126" t="str">
            <v>Taxes on production and imports, less Subsidies</v>
          </cell>
          <cell r="F10126">
            <v>12</v>
          </cell>
          <cell r="G10126">
            <v>1976</v>
          </cell>
          <cell r="H10126">
            <v>20</v>
          </cell>
          <cell r="I10126">
            <v>4323000000</v>
          </cell>
        </row>
        <row r="10127">
          <cell r="A10127" t="str">
            <v>Sweden</v>
          </cell>
          <cell r="B10127">
            <v>752</v>
          </cell>
          <cell r="C10127">
            <v>203</v>
          </cell>
          <cell r="D10127">
            <v>22</v>
          </cell>
          <cell r="E10127" t="str">
            <v>Taxes on production and imports, less Subsidies</v>
          </cell>
          <cell r="F10127">
            <v>12</v>
          </cell>
          <cell r="G10127">
            <v>1977</v>
          </cell>
          <cell r="H10127">
            <v>20</v>
          </cell>
          <cell r="I10127">
            <v>5536000000</v>
          </cell>
        </row>
        <row r="10128">
          <cell r="A10128" t="str">
            <v>Sweden</v>
          </cell>
          <cell r="B10128">
            <v>752</v>
          </cell>
          <cell r="C10128">
            <v>203</v>
          </cell>
          <cell r="D10128">
            <v>22</v>
          </cell>
          <cell r="E10128" t="str">
            <v>Taxes on production and imports, less Subsidies</v>
          </cell>
          <cell r="F10128">
            <v>12</v>
          </cell>
          <cell r="G10128">
            <v>1978</v>
          </cell>
          <cell r="H10128">
            <v>20</v>
          </cell>
          <cell r="I10128">
            <v>-53000000</v>
          </cell>
        </row>
        <row r="10129">
          <cell r="A10129" t="str">
            <v>Sweden</v>
          </cell>
          <cell r="B10129">
            <v>752</v>
          </cell>
          <cell r="C10129">
            <v>203</v>
          </cell>
          <cell r="D10129">
            <v>22</v>
          </cell>
          <cell r="E10129" t="str">
            <v>Taxes on production and imports, less Subsidies</v>
          </cell>
          <cell r="F10129">
            <v>12</v>
          </cell>
          <cell r="G10129">
            <v>1979</v>
          </cell>
          <cell r="H10129">
            <v>20</v>
          </cell>
          <cell r="I10129">
            <v>-2063000000</v>
          </cell>
        </row>
        <row r="10130">
          <cell r="A10130" t="str">
            <v>Sweden</v>
          </cell>
          <cell r="B10130">
            <v>752</v>
          </cell>
          <cell r="C10130">
            <v>203</v>
          </cell>
          <cell r="D10130">
            <v>22</v>
          </cell>
          <cell r="E10130" t="str">
            <v>Taxes on production and imports, less Subsidies</v>
          </cell>
          <cell r="F10130">
            <v>12</v>
          </cell>
          <cell r="G10130">
            <v>1980</v>
          </cell>
          <cell r="H10130">
            <v>20</v>
          </cell>
          <cell r="I10130">
            <v>-3753000000</v>
          </cell>
        </row>
        <row r="10131">
          <cell r="A10131" t="str">
            <v>Sweden</v>
          </cell>
          <cell r="B10131">
            <v>752</v>
          </cell>
          <cell r="C10131">
            <v>203</v>
          </cell>
          <cell r="D10131">
            <v>22</v>
          </cell>
          <cell r="E10131" t="str">
            <v>Taxes on production and imports, less Subsidies</v>
          </cell>
          <cell r="F10131">
            <v>12</v>
          </cell>
          <cell r="G10131">
            <v>1980</v>
          </cell>
          <cell r="H10131">
            <v>30</v>
          </cell>
          <cell r="I10131">
            <v>-3170000000</v>
          </cell>
        </row>
        <row r="10132">
          <cell r="A10132" t="str">
            <v>Sweden</v>
          </cell>
          <cell r="B10132">
            <v>752</v>
          </cell>
          <cell r="C10132">
            <v>203</v>
          </cell>
          <cell r="D10132">
            <v>22</v>
          </cell>
          <cell r="E10132" t="str">
            <v>Taxes on production and imports, less Subsidies</v>
          </cell>
          <cell r="F10132">
            <v>12</v>
          </cell>
          <cell r="G10132">
            <v>1981</v>
          </cell>
          <cell r="H10132">
            <v>30</v>
          </cell>
          <cell r="I10132">
            <v>-4608000000</v>
          </cell>
        </row>
        <row r="10133">
          <cell r="A10133" t="str">
            <v>Sweden</v>
          </cell>
          <cell r="B10133">
            <v>752</v>
          </cell>
          <cell r="C10133">
            <v>203</v>
          </cell>
          <cell r="D10133">
            <v>22</v>
          </cell>
          <cell r="E10133" t="str">
            <v>Taxes on production and imports, less Subsidies</v>
          </cell>
          <cell r="F10133">
            <v>12</v>
          </cell>
          <cell r="G10133">
            <v>1982</v>
          </cell>
          <cell r="H10133">
            <v>30</v>
          </cell>
          <cell r="I10133">
            <v>-7886000000</v>
          </cell>
        </row>
        <row r="10134">
          <cell r="A10134" t="str">
            <v>Sweden</v>
          </cell>
          <cell r="B10134">
            <v>752</v>
          </cell>
          <cell r="C10134">
            <v>203</v>
          </cell>
          <cell r="D10134">
            <v>22</v>
          </cell>
          <cell r="E10134" t="str">
            <v>Taxes on production and imports, less Subsidies</v>
          </cell>
          <cell r="F10134">
            <v>12</v>
          </cell>
          <cell r="G10134">
            <v>1983</v>
          </cell>
          <cell r="H10134">
            <v>30</v>
          </cell>
          <cell r="I10134">
            <v>-1457000000</v>
          </cell>
        </row>
        <row r="10135">
          <cell r="A10135" t="str">
            <v>Sweden</v>
          </cell>
          <cell r="B10135">
            <v>752</v>
          </cell>
          <cell r="C10135">
            <v>203</v>
          </cell>
          <cell r="D10135">
            <v>22</v>
          </cell>
          <cell r="E10135" t="str">
            <v>Taxes on production and imports, less Subsidies</v>
          </cell>
          <cell r="F10135">
            <v>12</v>
          </cell>
          <cell r="G10135">
            <v>1984</v>
          </cell>
          <cell r="H10135">
            <v>30</v>
          </cell>
          <cell r="I10135">
            <v>-1662000000</v>
          </cell>
        </row>
        <row r="10136">
          <cell r="A10136" t="str">
            <v>Sweden</v>
          </cell>
          <cell r="B10136">
            <v>752</v>
          </cell>
          <cell r="C10136">
            <v>203</v>
          </cell>
          <cell r="D10136">
            <v>22</v>
          </cell>
          <cell r="E10136" t="str">
            <v>Taxes on production and imports, less Subsidies</v>
          </cell>
          <cell r="F10136">
            <v>12</v>
          </cell>
          <cell r="G10136">
            <v>1985</v>
          </cell>
          <cell r="H10136">
            <v>30</v>
          </cell>
          <cell r="I10136">
            <v>1561000000</v>
          </cell>
        </row>
        <row r="10137">
          <cell r="A10137" t="str">
            <v>Sweden</v>
          </cell>
          <cell r="B10137">
            <v>752</v>
          </cell>
          <cell r="C10137">
            <v>203</v>
          </cell>
          <cell r="D10137">
            <v>22</v>
          </cell>
          <cell r="E10137" t="str">
            <v>Taxes on production and imports, less Subsidies</v>
          </cell>
          <cell r="F10137">
            <v>12</v>
          </cell>
          <cell r="G10137">
            <v>1986</v>
          </cell>
          <cell r="H10137">
            <v>30</v>
          </cell>
          <cell r="I10137">
            <v>6674000000</v>
          </cell>
        </row>
        <row r="10138">
          <cell r="A10138" t="str">
            <v>Sweden</v>
          </cell>
          <cell r="B10138">
            <v>752</v>
          </cell>
          <cell r="C10138">
            <v>203</v>
          </cell>
          <cell r="D10138">
            <v>22</v>
          </cell>
          <cell r="E10138" t="str">
            <v>Taxes on production and imports, less Subsidies</v>
          </cell>
          <cell r="F10138">
            <v>12</v>
          </cell>
          <cell r="G10138">
            <v>1987</v>
          </cell>
          <cell r="H10138">
            <v>30</v>
          </cell>
          <cell r="I10138">
            <v>8854000000</v>
          </cell>
        </row>
        <row r="10139">
          <cell r="A10139" t="str">
            <v>Sweden</v>
          </cell>
          <cell r="B10139">
            <v>752</v>
          </cell>
          <cell r="C10139">
            <v>203</v>
          </cell>
          <cell r="D10139">
            <v>22</v>
          </cell>
          <cell r="E10139" t="str">
            <v>Taxes on production and imports, less Subsidies</v>
          </cell>
          <cell r="F10139">
            <v>12</v>
          </cell>
          <cell r="G10139">
            <v>1988</v>
          </cell>
          <cell r="H10139">
            <v>30</v>
          </cell>
          <cell r="I10139">
            <v>3424000000</v>
          </cell>
        </row>
        <row r="10140">
          <cell r="A10140" t="str">
            <v>Sweden</v>
          </cell>
          <cell r="B10140">
            <v>752</v>
          </cell>
          <cell r="C10140">
            <v>203</v>
          </cell>
          <cell r="D10140">
            <v>22</v>
          </cell>
          <cell r="E10140" t="str">
            <v>Taxes on production and imports, less Subsidies</v>
          </cell>
          <cell r="F10140">
            <v>12</v>
          </cell>
          <cell r="G10140">
            <v>1989</v>
          </cell>
          <cell r="H10140">
            <v>30</v>
          </cell>
          <cell r="I10140">
            <v>1202000000</v>
          </cell>
        </row>
        <row r="10141">
          <cell r="A10141" t="str">
            <v>Sweden</v>
          </cell>
          <cell r="B10141">
            <v>752</v>
          </cell>
          <cell r="C10141">
            <v>203</v>
          </cell>
          <cell r="D10141">
            <v>22</v>
          </cell>
          <cell r="E10141" t="str">
            <v>Taxes on production and imports, less Subsidies</v>
          </cell>
          <cell r="F10141">
            <v>12</v>
          </cell>
          <cell r="G10141">
            <v>1990</v>
          </cell>
          <cell r="H10141">
            <v>30</v>
          </cell>
          <cell r="I10141">
            <v>3287000000</v>
          </cell>
        </row>
        <row r="10142">
          <cell r="A10142" t="str">
            <v>Sweden</v>
          </cell>
          <cell r="B10142">
            <v>752</v>
          </cell>
          <cell r="C10142">
            <v>203</v>
          </cell>
          <cell r="D10142">
            <v>22</v>
          </cell>
          <cell r="E10142" t="str">
            <v>Taxes on production and imports, less Subsidies</v>
          </cell>
          <cell r="F10142">
            <v>12</v>
          </cell>
          <cell r="G10142">
            <v>1991</v>
          </cell>
          <cell r="H10142">
            <v>30</v>
          </cell>
          <cell r="I10142">
            <v>736000000</v>
          </cell>
        </row>
        <row r="10143">
          <cell r="A10143" t="str">
            <v>Sweden</v>
          </cell>
          <cell r="B10143">
            <v>752</v>
          </cell>
          <cell r="C10143">
            <v>203</v>
          </cell>
          <cell r="D10143">
            <v>22</v>
          </cell>
          <cell r="E10143" t="str">
            <v>Taxes on production and imports, less Subsidies</v>
          </cell>
          <cell r="F10143">
            <v>12</v>
          </cell>
          <cell r="G10143">
            <v>1992</v>
          </cell>
          <cell r="H10143">
            <v>30</v>
          </cell>
          <cell r="I10143">
            <v>-10209000000</v>
          </cell>
        </row>
        <row r="10144">
          <cell r="A10144" t="str">
            <v>Sweden</v>
          </cell>
          <cell r="B10144">
            <v>752</v>
          </cell>
          <cell r="C10144">
            <v>203</v>
          </cell>
          <cell r="D10144">
            <v>22</v>
          </cell>
          <cell r="E10144" t="str">
            <v>Taxes on production and imports, less Subsidies</v>
          </cell>
          <cell r="F10144">
            <v>12</v>
          </cell>
          <cell r="G10144">
            <v>1993</v>
          </cell>
          <cell r="H10144">
            <v>30</v>
          </cell>
          <cell r="I10144">
            <v>-35625000000</v>
          </cell>
        </row>
        <row r="10145">
          <cell r="A10145" t="str">
            <v>Sweden</v>
          </cell>
          <cell r="B10145">
            <v>752</v>
          </cell>
          <cell r="C10145">
            <v>203</v>
          </cell>
          <cell r="D10145">
            <v>22</v>
          </cell>
          <cell r="E10145" t="str">
            <v>Taxes on production and imports, less Subsidies</v>
          </cell>
          <cell r="F10145">
            <v>12</v>
          </cell>
          <cell r="G10145">
            <v>1993</v>
          </cell>
          <cell r="H10145">
            <v>100</v>
          </cell>
          <cell r="I10145">
            <v>-29298000000</v>
          </cell>
        </row>
        <row r="10146">
          <cell r="A10146" t="str">
            <v>Sweden</v>
          </cell>
          <cell r="B10146">
            <v>752</v>
          </cell>
          <cell r="C10146">
            <v>203</v>
          </cell>
          <cell r="D10146">
            <v>22</v>
          </cell>
          <cell r="E10146" t="str">
            <v>Taxes on production and imports, less Subsidies</v>
          </cell>
          <cell r="F10146">
            <v>12</v>
          </cell>
          <cell r="G10146">
            <v>1994</v>
          </cell>
          <cell r="H10146">
            <v>100</v>
          </cell>
          <cell r="I10146">
            <v>-30141000000</v>
          </cell>
        </row>
        <row r="10147">
          <cell r="A10147" t="str">
            <v>Sweden</v>
          </cell>
          <cell r="B10147">
            <v>752</v>
          </cell>
          <cell r="C10147">
            <v>203</v>
          </cell>
          <cell r="D10147">
            <v>22</v>
          </cell>
          <cell r="E10147" t="str">
            <v>Taxes on production and imports, less Subsidies</v>
          </cell>
          <cell r="F10147">
            <v>12</v>
          </cell>
          <cell r="G10147">
            <v>1995</v>
          </cell>
          <cell r="H10147">
            <v>100</v>
          </cell>
          <cell r="I10147">
            <v>-14078000000</v>
          </cell>
        </row>
        <row r="10148">
          <cell r="A10148" t="str">
            <v>Sweden</v>
          </cell>
          <cell r="B10148">
            <v>752</v>
          </cell>
          <cell r="C10148">
            <v>203</v>
          </cell>
          <cell r="D10148">
            <v>22</v>
          </cell>
          <cell r="E10148" t="str">
            <v>Taxes on production and imports, less Subsidies</v>
          </cell>
          <cell r="F10148">
            <v>12</v>
          </cell>
          <cell r="G10148">
            <v>1996</v>
          </cell>
          <cell r="H10148">
            <v>100</v>
          </cell>
          <cell r="I10148">
            <v>9185000000</v>
          </cell>
        </row>
        <row r="10149">
          <cell r="A10149" t="str">
            <v>Sweden</v>
          </cell>
          <cell r="B10149">
            <v>752</v>
          </cell>
          <cell r="C10149">
            <v>203</v>
          </cell>
          <cell r="D10149">
            <v>22</v>
          </cell>
          <cell r="E10149" t="str">
            <v>Taxes on production and imports, less Subsidies</v>
          </cell>
          <cell r="F10149">
            <v>12</v>
          </cell>
          <cell r="G10149">
            <v>1997</v>
          </cell>
          <cell r="H10149">
            <v>100</v>
          </cell>
          <cell r="I10149">
            <v>26293000000</v>
          </cell>
        </row>
        <row r="10150">
          <cell r="A10150" t="str">
            <v>Sweden</v>
          </cell>
          <cell r="B10150">
            <v>752</v>
          </cell>
          <cell r="C10150">
            <v>203</v>
          </cell>
          <cell r="D10150">
            <v>22</v>
          </cell>
          <cell r="E10150" t="str">
            <v>Taxes on production and imports, less Subsidies</v>
          </cell>
          <cell r="F10150">
            <v>12</v>
          </cell>
          <cell r="G10150">
            <v>1998</v>
          </cell>
          <cell r="H10150">
            <v>100</v>
          </cell>
          <cell r="I10150">
            <v>46205000000</v>
          </cell>
        </row>
        <row r="10151">
          <cell r="A10151" t="str">
            <v>Sweden</v>
          </cell>
          <cell r="B10151">
            <v>752</v>
          </cell>
          <cell r="C10151">
            <v>203</v>
          </cell>
          <cell r="D10151">
            <v>22</v>
          </cell>
          <cell r="E10151" t="str">
            <v>Taxes on production and imports, less Subsidies</v>
          </cell>
          <cell r="F10151">
            <v>12</v>
          </cell>
          <cell r="G10151">
            <v>1999</v>
          </cell>
          <cell r="H10151">
            <v>100</v>
          </cell>
          <cell r="I10151">
            <v>80043000000</v>
          </cell>
        </row>
        <row r="10152">
          <cell r="A10152" t="str">
            <v>Sweden</v>
          </cell>
          <cell r="B10152">
            <v>752</v>
          </cell>
          <cell r="C10152">
            <v>203</v>
          </cell>
          <cell r="D10152">
            <v>22</v>
          </cell>
          <cell r="E10152" t="str">
            <v>Taxes on production and imports, less Subsidies</v>
          </cell>
          <cell r="F10152">
            <v>12</v>
          </cell>
          <cell r="G10152">
            <v>2000</v>
          </cell>
          <cell r="H10152">
            <v>100</v>
          </cell>
          <cell r="I10152">
            <v>59605000000</v>
          </cell>
        </row>
        <row r="10153">
          <cell r="A10153" t="str">
            <v>Sweden</v>
          </cell>
          <cell r="B10153">
            <v>752</v>
          </cell>
          <cell r="C10153">
            <v>203</v>
          </cell>
          <cell r="D10153">
            <v>22</v>
          </cell>
          <cell r="E10153" t="str">
            <v>Taxes on production and imports, less Subsidies</v>
          </cell>
          <cell r="F10153">
            <v>12</v>
          </cell>
          <cell r="G10153">
            <v>2001</v>
          </cell>
          <cell r="H10153">
            <v>100</v>
          </cell>
          <cell r="I10153">
            <v>62095000000</v>
          </cell>
        </row>
        <row r="10154">
          <cell r="A10154" t="str">
            <v>Togo</v>
          </cell>
          <cell r="B10154">
            <v>768</v>
          </cell>
          <cell r="C10154">
            <v>201</v>
          </cell>
          <cell r="D10154">
            <v>13</v>
          </cell>
          <cell r="E10154" t="str">
            <v>Less: Financial intermediation services indirectly measured (FISIM) (only to be deducted if FISIM is not distributed to uses)</v>
          </cell>
          <cell r="F10154">
            <v>0</v>
          </cell>
          <cell r="G10154">
            <v>1970</v>
          </cell>
          <cell r="H10154">
            <v>20</v>
          </cell>
          <cell r="I10154">
            <v>657000000</v>
          </cell>
        </row>
        <row r="10155">
          <cell r="A10155" t="str">
            <v>Togo</v>
          </cell>
          <cell r="B10155">
            <v>768</v>
          </cell>
          <cell r="C10155">
            <v>201</v>
          </cell>
          <cell r="D10155">
            <v>13</v>
          </cell>
          <cell r="E10155" t="str">
            <v>Less: Financial intermediation services indirectly measured (FISIM) (only to be deducted if FISIM is not distributed to uses)</v>
          </cell>
          <cell r="F10155">
            <v>0</v>
          </cell>
          <cell r="G10155">
            <v>1971</v>
          </cell>
          <cell r="H10155">
            <v>20</v>
          </cell>
          <cell r="I10155">
            <v>662000000</v>
          </cell>
        </row>
        <row r="10156">
          <cell r="A10156" t="str">
            <v>Togo</v>
          </cell>
          <cell r="B10156">
            <v>768</v>
          </cell>
          <cell r="C10156">
            <v>201</v>
          </cell>
          <cell r="D10156">
            <v>13</v>
          </cell>
          <cell r="E10156" t="str">
            <v>Less: Financial intermediation services indirectly measured (FISIM) (only to be deducted if FISIM is not distributed to uses)</v>
          </cell>
          <cell r="F10156">
            <v>0</v>
          </cell>
          <cell r="G10156">
            <v>1972</v>
          </cell>
          <cell r="H10156">
            <v>20</v>
          </cell>
          <cell r="I10156">
            <v>894000000</v>
          </cell>
        </row>
        <row r="10157">
          <cell r="A10157" t="str">
            <v>Togo</v>
          </cell>
          <cell r="B10157">
            <v>768</v>
          </cell>
          <cell r="C10157">
            <v>201</v>
          </cell>
          <cell r="D10157">
            <v>13</v>
          </cell>
          <cell r="E10157" t="str">
            <v>Less: Financial intermediation services indirectly measured (FISIM) (only to be deducted if FISIM is not distributed to uses)</v>
          </cell>
          <cell r="F10157">
            <v>0</v>
          </cell>
          <cell r="G10157">
            <v>1973</v>
          </cell>
          <cell r="H10157">
            <v>20</v>
          </cell>
          <cell r="I10157">
            <v>875000000</v>
          </cell>
        </row>
        <row r="10158">
          <cell r="A10158" t="str">
            <v>Togo</v>
          </cell>
          <cell r="B10158">
            <v>768</v>
          </cell>
          <cell r="C10158">
            <v>201</v>
          </cell>
          <cell r="D10158">
            <v>13</v>
          </cell>
          <cell r="E10158" t="str">
            <v>Less: Financial intermediation services indirectly measured (FISIM) (only to be deducted if FISIM is not distributed to uses)</v>
          </cell>
          <cell r="F10158">
            <v>0</v>
          </cell>
          <cell r="G10158">
            <v>1974</v>
          </cell>
          <cell r="H10158">
            <v>20</v>
          </cell>
          <cell r="I10158">
            <v>1130000000</v>
          </cell>
        </row>
        <row r="10159">
          <cell r="A10159" t="str">
            <v>Togo</v>
          </cell>
          <cell r="B10159">
            <v>768</v>
          </cell>
          <cell r="C10159">
            <v>201</v>
          </cell>
          <cell r="D10159">
            <v>13</v>
          </cell>
          <cell r="E10159" t="str">
            <v>Less: Financial intermediation services indirectly measured (FISIM) (only to be deducted if FISIM is not distributed to uses)</v>
          </cell>
          <cell r="F10159">
            <v>0</v>
          </cell>
          <cell r="G10159">
            <v>1975</v>
          </cell>
          <cell r="H10159">
            <v>20</v>
          </cell>
          <cell r="I10159">
            <v>1747000000</v>
          </cell>
        </row>
        <row r="10160">
          <cell r="A10160" t="str">
            <v>Togo</v>
          </cell>
          <cell r="B10160">
            <v>768</v>
          </cell>
          <cell r="C10160">
            <v>201</v>
          </cell>
          <cell r="D10160">
            <v>13</v>
          </cell>
          <cell r="E10160" t="str">
            <v>Less: Financial intermediation services indirectly measured (FISIM) (only to be deducted if FISIM is not distributed to uses)</v>
          </cell>
          <cell r="F10160">
            <v>0</v>
          </cell>
          <cell r="G10160">
            <v>1976</v>
          </cell>
          <cell r="H10160">
            <v>20</v>
          </cell>
          <cell r="I10160">
            <v>1784000000</v>
          </cell>
        </row>
        <row r="10161">
          <cell r="A10161" t="str">
            <v>Togo</v>
          </cell>
          <cell r="B10161">
            <v>768</v>
          </cell>
          <cell r="C10161">
            <v>201</v>
          </cell>
          <cell r="D10161">
            <v>13</v>
          </cell>
          <cell r="E10161" t="str">
            <v>Less: Financial intermediation services indirectly measured (FISIM) (only to be deducted if FISIM is not distributed to uses)</v>
          </cell>
          <cell r="F10161">
            <v>0</v>
          </cell>
          <cell r="G10161">
            <v>1977</v>
          </cell>
          <cell r="H10161">
            <v>20</v>
          </cell>
          <cell r="I10161">
            <v>1855000000</v>
          </cell>
        </row>
        <row r="10162">
          <cell r="A10162" t="str">
            <v>Togo</v>
          </cell>
          <cell r="B10162">
            <v>768</v>
          </cell>
          <cell r="C10162">
            <v>201</v>
          </cell>
          <cell r="D10162">
            <v>13</v>
          </cell>
          <cell r="E10162" t="str">
            <v>Less: Financial intermediation services indirectly measured (FISIM) (only to be deducted if FISIM is not distributed to uses)</v>
          </cell>
          <cell r="F10162">
            <v>0</v>
          </cell>
          <cell r="G10162">
            <v>1978</v>
          </cell>
          <cell r="H10162">
            <v>20</v>
          </cell>
          <cell r="I10162">
            <v>1900000000</v>
          </cell>
        </row>
        <row r="10163">
          <cell r="A10163" t="str">
            <v>Togo</v>
          </cell>
          <cell r="B10163">
            <v>768</v>
          </cell>
          <cell r="C10163">
            <v>201</v>
          </cell>
          <cell r="D10163">
            <v>13</v>
          </cell>
          <cell r="E10163" t="str">
            <v>Less: Financial intermediation services indirectly measured (FISIM) (only to be deducted if FISIM is not distributed to uses)</v>
          </cell>
          <cell r="F10163">
            <v>0</v>
          </cell>
          <cell r="G10163">
            <v>1979</v>
          </cell>
          <cell r="H10163">
            <v>20</v>
          </cell>
          <cell r="I10163">
            <v>2386000000</v>
          </cell>
        </row>
        <row r="10164">
          <cell r="A10164" t="str">
            <v>Togo</v>
          </cell>
          <cell r="B10164">
            <v>768</v>
          </cell>
          <cell r="C10164">
            <v>201</v>
          </cell>
          <cell r="D10164">
            <v>13</v>
          </cell>
          <cell r="E10164" t="str">
            <v>Less: Financial intermediation services indirectly measured (FISIM) (only to be deducted if FISIM is not distributed to uses)</v>
          </cell>
          <cell r="F10164">
            <v>0</v>
          </cell>
          <cell r="G10164">
            <v>1980</v>
          </cell>
          <cell r="H10164">
            <v>20</v>
          </cell>
          <cell r="I10164">
            <v>1756000000</v>
          </cell>
        </row>
        <row r="10165">
          <cell r="A10165" t="str">
            <v>Togo</v>
          </cell>
          <cell r="B10165">
            <v>768</v>
          </cell>
          <cell r="C10165">
            <v>201</v>
          </cell>
          <cell r="D10165">
            <v>13</v>
          </cell>
          <cell r="E10165" t="str">
            <v>Less: Financial intermediation services indirectly measured (FISIM) (only to be deducted if FISIM is not distributed to uses)</v>
          </cell>
          <cell r="F10165">
            <v>0</v>
          </cell>
          <cell r="G10165">
            <v>1981</v>
          </cell>
          <cell r="H10165">
            <v>20</v>
          </cell>
          <cell r="I10165">
            <v>1711000000</v>
          </cell>
        </row>
        <row r="10166">
          <cell r="A10166" t="str">
            <v>Togo</v>
          </cell>
          <cell r="B10166">
            <v>768</v>
          </cell>
          <cell r="C10166">
            <v>203</v>
          </cell>
          <cell r="D10166">
            <v>3</v>
          </cell>
          <cell r="E10166" t="str">
            <v>Equals: VALUE ADDED, GROSS, at basic prices</v>
          </cell>
          <cell r="F10166">
            <v>12</v>
          </cell>
          <cell r="G10166">
            <v>1971</v>
          </cell>
          <cell r="H10166">
            <v>20</v>
          </cell>
          <cell r="I10166">
            <v>82981000000</v>
          </cell>
        </row>
        <row r="10167">
          <cell r="A10167" t="str">
            <v>Togo</v>
          </cell>
          <cell r="B10167">
            <v>768</v>
          </cell>
          <cell r="C10167">
            <v>203</v>
          </cell>
          <cell r="D10167">
            <v>4</v>
          </cell>
          <cell r="E10167" t="str">
            <v>Compensation of employees</v>
          </cell>
          <cell r="F10167">
            <v>12</v>
          </cell>
          <cell r="G10167">
            <v>1971</v>
          </cell>
          <cell r="H10167">
            <v>20</v>
          </cell>
          <cell r="I10167">
            <v>43054000000</v>
          </cell>
        </row>
        <row r="10168">
          <cell r="A10168" t="str">
            <v>United Arab Emirates</v>
          </cell>
          <cell r="B10168">
            <v>784</v>
          </cell>
          <cell r="C10168">
            <v>201</v>
          </cell>
          <cell r="D10168">
            <v>13</v>
          </cell>
          <cell r="E10168" t="str">
            <v>Less: Financial intermediation services indirectly measured (FISIM) (only to be deducted if FISIM is not distributed to uses)</v>
          </cell>
          <cell r="F10168">
            <v>0</v>
          </cell>
          <cell r="G10168">
            <v>1975</v>
          </cell>
          <cell r="H10168">
            <v>10</v>
          </cell>
          <cell r="I10168">
            <v>550000000</v>
          </cell>
        </row>
        <row r="10169">
          <cell r="A10169" t="str">
            <v>United Arab Emirates</v>
          </cell>
          <cell r="B10169">
            <v>784</v>
          </cell>
          <cell r="C10169">
            <v>201</v>
          </cell>
          <cell r="D10169">
            <v>13</v>
          </cell>
          <cell r="E10169" t="str">
            <v>Less: Financial intermediation services indirectly measured (FISIM) (only to be deducted if FISIM is not distributed to uses)</v>
          </cell>
          <cell r="F10169">
            <v>0</v>
          </cell>
          <cell r="G10169">
            <v>1976</v>
          </cell>
          <cell r="H10169">
            <v>10</v>
          </cell>
          <cell r="I10169">
            <v>1096000000</v>
          </cell>
        </row>
        <row r="10170">
          <cell r="A10170" t="str">
            <v>United Arab Emirates</v>
          </cell>
          <cell r="B10170">
            <v>784</v>
          </cell>
          <cell r="C10170">
            <v>201</v>
          </cell>
          <cell r="D10170">
            <v>13</v>
          </cell>
          <cell r="E10170" t="str">
            <v>Less: Financial intermediation services indirectly measured (FISIM) (only to be deducted if FISIM is not distributed to uses)</v>
          </cell>
          <cell r="F10170">
            <v>0</v>
          </cell>
          <cell r="G10170">
            <v>1977</v>
          </cell>
          <cell r="H10170">
            <v>10</v>
          </cell>
          <cell r="I10170">
            <v>1401000000</v>
          </cell>
        </row>
        <row r="10171">
          <cell r="A10171" t="str">
            <v>United Arab Emirates</v>
          </cell>
          <cell r="B10171">
            <v>784</v>
          </cell>
          <cell r="C10171">
            <v>201</v>
          </cell>
          <cell r="D10171">
            <v>13</v>
          </cell>
          <cell r="E10171" t="str">
            <v>Less: Financial intermediation services indirectly measured (FISIM) (only to be deducted if FISIM is not distributed to uses)</v>
          </cell>
          <cell r="F10171">
            <v>0</v>
          </cell>
          <cell r="G10171">
            <v>1978</v>
          </cell>
          <cell r="H10171">
            <v>10</v>
          </cell>
          <cell r="I10171">
            <v>970000000</v>
          </cell>
        </row>
        <row r="10172">
          <cell r="A10172" t="str">
            <v>United Arab Emirates</v>
          </cell>
          <cell r="B10172">
            <v>784</v>
          </cell>
          <cell r="C10172">
            <v>201</v>
          </cell>
          <cell r="D10172">
            <v>13</v>
          </cell>
          <cell r="E10172" t="str">
            <v>Less: Financial intermediation services indirectly measured (FISIM) (only to be deducted if FISIM is not distributed to uses)</v>
          </cell>
          <cell r="F10172">
            <v>0</v>
          </cell>
          <cell r="G10172">
            <v>1979</v>
          </cell>
          <cell r="H10172">
            <v>10</v>
          </cell>
          <cell r="I10172">
            <v>1124000000</v>
          </cell>
        </row>
        <row r="10173">
          <cell r="A10173" t="str">
            <v>United Arab Emirates</v>
          </cell>
          <cell r="B10173">
            <v>784</v>
          </cell>
          <cell r="C10173">
            <v>201</v>
          </cell>
          <cell r="D10173">
            <v>13</v>
          </cell>
          <cell r="E10173" t="str">
            <v>Less: Financial intermediation services indirectly measured (FISIM) (only to be deducted if FISIM is not distributed to uses)</v>
          </cell>
          <cell r="F10173">
            <v>0</v>
          </cell>
          <cell r="G10173">
            <v>1980</v>
          </cell>
          <cell r="H10173">
            <v>10</v>
          </cell>
          <cell r="I10173">
            <v>1403000000</v>
          </cell>
        </row>
        <row r="10174">
          <cell r="A10174" t="str">
            <v>United Arab Emirates</v>
          </cell>
          <cell r="B10174">
            <v>784</v>
          </cell>
          <cell r="C10174">
            <v>201</v>
          </cell>
          <cell r="D10174">
            <v>13</v>
          </cell>
          <cell r="E10174" t="str">
            <v>Less: Financial intermediation services indirectly measured (FISIM) (only to be deducted if FISIM is not distributed to uses)</v>
          </cell>
          <cell r="F10174">
            <v>0</v>
          </cell>
          <cell r="G10174">
            <v>1981</v>
          </cell>
          <cell r="H10174">
            <v>10</v>
          </cell>
          <cell r="I10174">
            <v>2401000000</v>
          </cell>
        </row>
        <row r="10175">
          <cell r="A10175" t="str">
            <v>United Arab Emirates</v>
          </cell>
          <cell r="B10175">
            <v>784</v>
          </cell>
          <cell r="C10175">
            <v>201</v>
          </cell>
          <cell r="D10175">
            <v>13</v>
          </cell>
          <cell r="E10175" t="str">
            <v>Less: Financial intermediation services indirectly measured (FISIM) (only to be deducted if FISIM is not distributed to uses)</v>
          </cell>
          <cell r="F10175">
            <v>0</v>
          </cell>
          <cell r="G10175">
            <v>1982</v>
          </cell>
          <cell r="H10175">
            <v>10</v>
          </cell>
          <cell r="I10175">
            <v>2243000000</v>
          </cell>
        </row>
        <row r="10176">
          <cell r="A10176" t="str">
            <v>United Arab Emirates</v>
          </cell>
          <cell r="B10176">
            <v>784</v>
          </cell>
          <cell r="C10176">
            <v>201</v>
          </cell>
          <cell r="D10176">
            <v>13</v>
          </cell>
          <cell r="E10176" t="str">
            <v>Less: Financial intermediation services indirectly measured (FISIM) (only to be deducted if FISIM is not distributed to uses)</v>
          </cell>
          <cell r="F10176">
            <v>0</v>
          </cell>
          <cell r="G10176">
            <v>1983</v>
          </cell>
          <cell r="H10176">
            <v>10</v>
          </cell>
          <cell r="I10176">
            <v>2287000000</v>
          </cell>
        </row>
        <row r="10177">
          <cell r="A10177" t="str">
            <v>United Arab Emirates</v>
          </cell>
          <cell r="B10177">
            <v>784</v>
          </cell>
          <cell r="C10177">
            <v>201</v>
          </cell>
          <cell r="D10177">
            <v>13</v>
          </cell>
          <cell r="E10177" t="str">
            <v>Less: Financial intermediation services indirectly measured (FISIM) (only to be deducted if FISIM is not distributed to uses)</v>
          </cell>
          <cell r="F10177">
            <v>0</v>
          </cell>
          <cell r="G10177">
            <v>1984</v>
          </cell>
          <cell r="H10177">
            <v>10</v>
          </cell>
          <cell r="I10177">
            <v>1968000000</v>
          </cell>
        </row>
        <row r="10178">
          <cell r="A10178" t="str">
            <v>United Arab Emirates</v>
          </cell>
          <cell r="B10178">
            <v>784</v>
          </cell>
          <cell r="C10178">
            <v>201</v>
          </cell>
          <cell r="D10178">
            <v>13</v>
          </cell>
          <cell r="E10178" t="str">
            <v>Less: Financial intermediation services indirectly measured (FISIM) (only to be deducted if FISIM is not distributed to uses)</v>
          </cell>
          <cell r="F10178">
            <v>0</v>
          </cell>
          <cell r="G10178">
            <v>1985</v>
          </cell>
          <cell r="H10178">
            <v>10</v>
          </cell>
          <cell r="I10178">
            <v>1025000000</v>
          </cell>
        </row>
        <row r="10179">
          <cell r="A10179" t="str">
            <v>United Arab Emirates</v>
          </cell>
          <cell r="B10179">
            <v>784</v>
          </cell>
          <cell r="C10179">
            <v>201</v>
          </cell>
          <cell r="D10179">
            <v>13</v>
          </cell>
          <cell r="E10179" t="str">
            <v>Less: Financial intermediation services indirectly measured (FISIM) (only to be deducted if FISIM is not distributed to uses)</v>
          </cell>
          <cell r="F10179">
            <v>0</v>
          </cell>
          <cell r="G10179">
            <v>1986</v>
          </cell>
          <cell r="H10179">
            <v>10</v>
          </cell>
          <cell r="I10179">
            <v>1029000000</v>
          </cell>
        </row>
        <row r="10180">
          <cell r="A10180" t="str">
            <v>United Arab Emirates</v>
          </cell>
          <cell r="B10180">
            <v>784</v>
          </cell>
          <cell r="C10180">
            <v>201</v>
          </cell>
          <cell r="D10180">
            <v>13</v>
          </cell>
          <cell r="E10180" t="str">
            <v>Less: Financial intermediation services indirectly measured (FISIM) (only to be deducted if FISIM is not distributed to uses)</v>
          </cell>
          <cell r="F10180">
            <v>0</v>
          </cell>
          <cell r="G10180">
            <v>1987</v>
          </cell>
          <cell r="H10180">
            <v>10</v>
          </cell>
          <cell r="I10180">
            <v>1324000000</v>
          </cell>
        </row>
        <row r="10181">
          <cell r="A10181" t="str">
            <v>United Arab Emirates</v>
          </cell>
          <cell r="B10181">
            <v>784</v>
          </cell>
          <cell r="C10181">
            <v>201</v>
          </cell>
          <cell r="D10181">
            <v>13</v>
          </cell>
          <cell r="E10181" t="str">
            <v>Less: Financial intermediation services indirectly measured (FISIM) (only to be deducted if FISIM is not distributed to uses)</v>
          </cell>
          <cell r="F10181">
            <v>0</v>
          </cell>
          <cell r="G10181">
            <v>1988</v>
          </cell>
          <cell r="H10181">
            <v>10</v>
          </cell>
          <cell r="I10181">
            <v>1336000000</v>
          </cell>
        </row>
        <row r="10182">
          <cell r="A10182" t="str">
            <v>United Arab Emirates</v>
          </cell>
          <cell r="B10182">
            <v>784</v>
          </cell>
          <cell r="C10182">
            <v>201</v>
          </cell>
          <cell r="D10182">
            <v>13</v>
          </cell>
          <cell r="E10182" t="str">
            <v>Less: Financial intermediation services indirectly measured (FISIM) (only to be deducted if FISIM is not distributed to uses)</v>
          </cell>
          <cell r="F10182">
            <v>0</v>
          </cell>
          <cell r="G10182">
            <v>1989</v>
          </cell>
          <cell r="H10182">
            <v>10</v>
          </cell>
          <cell r="I10182">
            <v>1986000000</v>
          </cell>
        </row>
        <row r="10183">
          <cell r="A10183" t="str">
            <v>United Arab Emirates</v>
          </cell>
          <cell r="B10183">
            <v>784</v>
          </cell>
          <cell r="C10183">
            <v>201</v>
          </cell>
          <cell r="D10183">
            <v>13</v>
          </cell>
          <cell r="E10183" t="str">
            <v>Less: Financial intermediation services indirectly measured (FISIM) (only to be deducted if FISIM is not distributed to uses)</v>
          </cell>
          <cell r="F10183">
            <v>0</v>
          </cell>
          <cell r="G10183">
            <v>1990</v>
          </cell>
          <cell r="H10183">
            <v>10</v>
          </cell>
          <cell r="I10183">
            <v>2030000000</v>
          </cell>
        </row>
        <row r="10184">
          <cell r="A10184" t="str">
            <v>United Arab Emirates</v>
          </cell>
          <cell r="B10184">
            <v>784</v>
          </cell>
          <cell r="C10184">
            <v>203</v>
          </cell>
          <cell r="D10184">
            <v>3</v>
          </cell>
          <cell r="E10184" t="str">
            <v>Equals: VALUE ADDED, GROSS, at basic prices</v>
          </cell>
          <cell r="F10184">
            <v>12</v>
          </cell>
          <cell r="G10184">
            <v>1983</v>
          </cell>
          <cell r="H10184">
            <v>10</v>
          </cell>
          <cell r="I10184">
            <v>104889000000</v>
          </cell>
        </row>
        <row r="10185">
          <cell r="A10185" t="str">
            <v>United Arab Emirates</v>
          </cell>
          <cell r="B10185">
            <v>784</v>
          </cell>
          <cell r="C10185">
            <v>203</v>
          </cell>
          <cell r="D10185">
            <v>3</v>
          </cell>
          <cell r="E10185" t="str">
            <v>Equals: VALUE ADDED, GROSS, at basic prices</v>
          </cell>
          <cell r="F10185">
            <v>12</v>
          </cell>
          <cell r="G10185">
            <v>1984</v>
          </cell>
          <cell r="H10185">
            <v>10</v>
          </cell>
          <cell r="I10185">
            <v>103611000000</v>
          </cell>
        </row>
        <row r="10186">
          <cell r="A10186" t="str">
            <v>United Arab Emirates</v>
          </cell>
          <cell r="B10186">
            <v>784</v>
          </cell>
          <cell r="C10186">
            <v>203</v>
          </cell>
          <cell r="D10186">
            <v>3</v>
          </cell>
          <cell r="E10186" t="str">
            <v>Equals: VALUE ADDED, GROSS, at basic prices</v>
          </cell>
          <cell r="F10186">
            <v>12</v>
          </cell>
          <cell r="G10186">
            <v>1985</v>
          </cell>
          <cell r="H10186">
            <v>10</v>
          </cell>
          <cell r="I10186">
            <v>100219000000</v>
          </cell>
        </row>
        <row r="10187">
          <cell r="A10187" t="str">
            <v>United Arab Emirates</v>
          </cell>
          <cell r="B10187">
            <v>784</v>
          </cell>
          <cell r="C10187">
            <v>203</v>
          </cell>
          <cell r="D10187">
            <v>3</v>
          </cell>
          <cell r="E10187" t="str">
            <v>Equals: VALUE ADDED, GROSS, at basic prices</v>
          </cell>
          <cell r="F10187">
            <v>12</v>
          </cell>
          <cell r="G10187">
            <v>1986</v>
          </cell>
          <cell r="H10187">
            <v>10</v>
          </cell>
          <cell r="I10187">
            <v>80329000000</v>
          </cell>
        </row>
        <row r="10188">
          <cell r="A10188" t="str">
            <v>United Arab Emirates</v>
          </cell>
          <cell r="B10188">
            <v>784</v>
          </cell>
          <cell r="C10188">
            <v>203</v>
          </cell>
          <cell r="D10188">
            <v>3</v>
          </cell>
          <cell r="E10188" t="str">
            <v>Equals: VALUE ADDED, GROSS, at basic prices</v>
          </cell>
          <cell r="F10188">
            <v>12</v>
          </cell>
          <cell r="G10188">
            <v>1987</v>
          </cell>
          <cell r="H10188">
            <v>10</v>
          </cell>
          <cell r="I10188">
            <v>88388000000</v>
          </cell>
        </row>
        <row r="10189">
          <cell r="A10189" t="str">
            <v>United Arab Emirates</v>
          </cell>
          <cell r="B10189">
            <v>784</v>
          </cell>
          <cell r="C10189">
            <v>203</v>
          </cell>
          <cell r="D10189">
            <v>3</v>
          </cell>
          <cell r="E10189" t="str">
            <v>Equals: VALUE ADDED, GROSS, at basic prices</v>
          </cell>
          <cell r="F10189">
            <v>12</v>
          </cell>
          <cell r="G10189">
            <v>1988</v>
          </cell>
          <cell r="H10189">
            <v>10</v>
          </cell>
          <cell r="I10189">
            <v>88067000000</v>
          </cell>
        </row>
        <row r="10190">
          <cell r="A10190" t="str">
            <v>United Arab Emirates</v>
          </cell>
          <cell r="B10190">
            <v>784</v>
          </cell>
          <cell r="C10190">
            <v>203</v>
          </cell>
          <cell r="D10190">
            <v>3</v>
          </cell>
          <cell r="E10190" t="str">
            <v>Equals: VALUE ADDED, GROSS, at basic prices</v>
          </cell>
          <cell r="F10190">
            <v>12</v>
          </cell>
          <cell r="G10190">
            <v>1989</v>
          </cell>
          <cell r="H10190">
            <v>10</v>
          </cell>
          <cell r="I10190">
            <v>102575000000</v>
          </cell>
        </row>
        <row r="10191">
          <cell r="A10191" t="str">
            <v>United Arab Emirates</v>
          </cell>
          <cell r="B10191">
            <v>784</v>
          </cell>
          <cell r="C10191">
            <v>203</v>
          </cell>
          <cell r="D10191">
            <v>3</v>
          </cell>
          <cell r="E10191" t="str">
            <v>Equals: VALUE ADDED, GROSS, at basic prices</v>
          </cell>
          <cell r="F10191">
            <v>12</v>
          </cell>
          <cell r="G10191">
            <v>1990</v>
          </cell>
          <cell r="H10191">
            <v>10</v>
          </cell>
          <cell r="I10191">
            <v>125616000000</v>
          </cell>
        </row>
        <row r="10192">
          <cell r="A10192" t="str">
            <v>Tajikistan</v>
          </cell>
          <cell r="B10192">
            <v>762</v>
          </cell>
          <cell r="C10192">
            <v>201</v>
          </cell>
          <cell r="D10192">
            <v>13</v>
          </cell>
          <cell r="E10192" t="str">
            <v>Less: Financial intermediation services indirectly measured (FISIM) (only to be deducted if FISIM is not distributed to uses)</v>
          </cell>
          <cell r="F10192">
            <v>0</v>
          </cell>
          <cell r="G10192">
            <v>1990</v>
          </cell>
          <cell r="H10192">
            <v>100</v>
          </cell>
          <cell r="I10192">
            <v>0</v>
          </cell>
        </row>
        <row r="10193">
          <cell r="A10193" t="str">
            <v>Tajikistan</v>
          </cell>
          <cell r="B10193">
            <v>762</v>
          </cell>
          <cell r="C10193">
            <v>201</v>
          </cell>
          <cell r="D10193">
            <v>13</v>
          </cell>
          <cell r="E10193" t="str">
            <v>Less: Financial intermediation services indirectly measured (FISIM) (only to be deducted if FISIM is not distributed to uses)</v>
          </cell>
          <cell r="F10193">
            <v>0</v>
          </cell>
          <cell r="G10193">
            <v>1991</v>
          </cell>
          <cell r="H10193">
            <v>100</v>
          </cell>
          <cell r="I10193">
            <v>0</v>
          </cell>
        </row>
        <row r="10194">
          <cell r="A10194" t="str">
            <v>Tajikistan</v>
          </cell>
          <cell r="B10194">
            <v>762</v>
          </cell>
          <cell r="C10194">
            <v>201</v>
          </cell>
          <cell r="D10194">
            <v>13</v>
          </cell>
          <cell r="E10194" t="str">
            <v>Less: Financial intermediation services indirectly measured (FISIM) (only to be deducted if FISIM is not distributed to uses)</v>
          </cell>
          <cell r="F10194">
            <v>0</v>
          </cell>
          <cell r="G10194">
            <v>1992</v>
          </cell>
          <cell r="H10194">
            <v>100</v>
          </cell>
          <cell r="I10194">
            <v>3200000000</v>
          </cell>
        </row>
        <row r="10195">
          <cell r="A10195" t="str">
            <v>Tajikistan</v>
          </cell>
          <cell r="B10195">
            <v>762</v>
          </cell>
          <cell r="C10195">
            <v>201</v>
          </cell>
          <cell r="D10195">
            <v>13</v>
          </cell>
          <cell r="E10195" t="str">
            <v>Less: Financial intermediation services indirectly measured (FISIM) (only to be deducted if FISIM is not distributed to uses)</v>
          </cell>
          <cell r="F10195">
            <v>0</v>
          </cell>
          <cell r="G10195">
            <v>1993</v>
          </cell>
          <cell r="H10195">
            <v>100</v>
          </cell>
          <cell r="I10195">
            <v>30700000000</v>
          </cell>
        </row>
        <row r="10196">
          <cell r="A10196" t="str">
            <v>Tajikistan</v>
          </cell>
          <cell r="B10196">
            <v>762</v>
          </cell>
          <cell r="C10196">
            <v>201</v>
          </cell>
          <cell r="D10196">
            <v>13</v>
          </cell>
          <cell r="E10196" t="str">
            <v>Less: Financial intermediation services indirectly measured (FISIM) (only to be deducted if FISIM is not distributed to uses)</v>
          </cell>
          <cell r="F10196">
            <v>0</v>
          </cell>
          <cell r="G10196">
            <v>1994</v>
          </cell>
          <cell r="H10196">
            <v>100</v>
          </cell>
          <cell r="I10196">
            <v>163000000000</v>
          </cell>
        </row>
        <row r="10197">
          <cell r="A10197" t="str">
            <v>Tajikistan</v>
          </cell>
          <cell r="B10197">
            <v>762</v>
          </cell>
          <cell r="C10197">
            <v>201</v>
          </cell>
          <cell r="D10197">
            <v>13</v>
          </cell>
          <cell r="E10197" t="str">
            <v>Less: Financial intermediation services indirectly measured (FISIM) (only to be deducted if FISIM is not distributed to uses)</v>
          </cell>
          <cell r="F10197">
            <v>0</v>
          </cell>
          <cell r="G10197">
            <v>1995</v>
          </cell>
          <cell r="H10197">
            <v>300</v>
          </cell>
          <cell r="I10197">
            <v>4700000</v>
          </cell>
        </row>
        <row r="10198">
          <cell r="A10198" t="str">
            <v>Tajikistan</v>
          </cell>
          <cell r="B10198">
            <v>762</v>
          </cell>
          <cell r="C10198">
            <v>201</v>
          </cell>
          <cell r="D10198">
            <v>13</v>
          </cell>
          <cell r="E10198" t="str">
            <v>Less: Financial intermediation services indirectly measured (FISIM) (only to be deducted if FISIM is not distributed to uses)</v>
          </cell>
          <cell r="F10198">
            <v>0</v>
          </cell>
          <cell r="G10198">
            <v>1996</v>
          </cell>
          <cell r="H10198">
            <v>300</v>
          </cell>
          <cell r="I10198">
            <v>1500000</v>
          </cell>
        </row>
        <row r="10199">
          <cell r="A10199" t="str">
            <v>Tajikistan</v>
          </cell>
          <cell r="B10199">
            <v>762</v>
          </cell>
          <cell r="C10199">
            <v>201</v>
          </cell>
          <cell r="D10199">
            <v>13</v>
          </cell>
          <cell r="E10199" t="str">
            <v>Less: Financial intermediation services indirectly measured (FISIM) (only to be deducted if FISIM is not distributed to uses)</v>
          </cell>
          <cell r="F10199">
            <v>0</v>
          </cell>
          <cell r="G10199">
            <v>1997</v>
          </cell>
          <cell r="H10199">
            <v>300</v>
          </cell>
          <cell r="I10199">
            <v>3600000</v>
          </cell>
        </row>
        <row r="10200">
          <cell r="A10200" t="str">
            <v>Tajikistan</v>
          </cell>
          <cell r="B10200">
            <v>762</v>
          </cell>
          <cell r="C10200">
            <v>201</v>
          </cell>
          <cell r="D10200">
            <v>13</v>
          </cell>
          <cell r="E10200" t="str">
            <v>Less: Financial intermediation services indirectly measured (FISIM) (only to be deducted if FISIM is not distributed to uses)</v>
          </cell>
          <cell r="F10200">
            <v>0</v>
          </cell>
          <cell r="G10200">
            <v>1998</v>
          </cell>
          <cell r="H10200">
            <v>300</v>
          </cell>
          <cell r="I10200">
            <v>3300000</v>
          </cell>
        </row>
        <row r="10201">
          <cell r="A10201" t="str">
            <v>Tajikistan</v>
          </cell>
          <cell r="B10201">
            <v>762</v>
          </cell>
          <cell r="C10201">
            <v>201</v>
          </cell>
          <cell r="D10201">
            <v>13</v>
          </cell>
          <cell r="E10201" t="str">
            <v>Less: Financial intermediation services indirectly measured (FISIM) (only to be deducted if FISIM is not distributed to uses)</v>
          </cell>
          <cell r="F10201">
            <v>0</v>
          </cell>
          <cell r="G10201">
            <v>1999</v>
          </cell>
          <cell r="H10201">
            <v>300</v>
          </cell>
          <cell r="I10201">
            <v>4600000</v>
          </cell>
        </row>
        <row r="10202">
          <cell r="A10202" t="str">
            <v>Tajikistan</v>
          </cell>
          <cell r="B10202">
            <v>762</v>
          </cell>
          <cell r="C10202">
            <v>201</v>
          </cell>
          <cell r="D10202">
            <v>13</v>
          </cell>
          <cell r="E10202" t="str">
            <v>Less: Financial intermediation services indirectly measured (FISIM) (only to be deducted if FISIM is not distributed to uses)</v>
          </cell>
          <cell r="F10202">
            <v>0</v>
          </cell>
          <cell r="G10202">
            <v>2000</v>
          </cell>
          <cell r="H10202">
            <v>300</v>
          </cell>
          <cell r="I10202">
            <v>4700000</v>
          </cell>
        </row>
        <row r="10203">
          <cell r="A10203" t="str">
            <v>Tajikistan</v>
          </cell>
          <cell r="B10203">
            <v>762</v>
          </cell>
          <cell r="C10203">
            <v>201</v>
          </cell>
          <cell r="D10203">
            <v>13</v>
          </cell>
          <cell r="E10203" t="str">
            <v>Less: Financial intermediation services indirectly measured (FISIM) (only to be deducted if FISIM is not distributed to uses)</v>
          </cell>
          <cell r="F10203">
            <v>0</v>
          </cell>
          <cell r="G10203">
            <v>2001</v>
          </cell>
          <cell r="H10203">
            <v>300</v>
          </cell>
          <cell r="I10203">
            <v>3700000</v>
          </cell>
        </row>
        <row r="10204">
          <cell r="A10204" t="str">
            <v>Tajikistan</v>
          </cell>
          <cell r="B10204">
            <v>762</v>
          </cell>
          <cell r="C10204">
            <v>201</v>
          </cell>
          <cell r="D10204">
            <v>13</v>
          </cell>
          <cell r="E10204" t="str">
            <v>Less: Financial intermediation services indirectly measured (FISIM) (only to be deducted if FISIM is not distributed to uses)</v>
          </cell>
          <cell r="F10204">
            <v>0</v>
          </cell>
          <cell r="G10204">
            <v>2002</v>
          </cell>
          <cell r="H10204">
            <v>300</v>
          </cell>
          <cell r="I10204">
            <v>12400000</v>
          </cell>
        </row>
        <row r="10205">
          <cell r="A10205" t="str">
            <v>United Arab Emirates</v>
          </cell>
          <cell r="B10205">
            <v>784</v>
          </cell>
          <cell r="C10205">
            <v>203</v>
          </cell>
          <cell r="D10205">
            <v>4</v>
          </cell>
          <cell r="E10205" t="str">
            <v>Compensation of employees</v>
          </cell>
          <cell r="F10205">
            <v>12</v>
          </cell>
          <cell r="G10205">
            <v>1983</v>
          </cell>
          <cell r="H10205">
            <v>10</v>
          </cell>
          <cell r="I10205">
            <v>24297000000</v>
          </cell>
        </row>
        <row r="10206">
          <cell r="A10206" t="str">
            <v>United Arab Emirates</v>
          </cell>
          <cell r="B10206">
            <v>784</v>
          </cell>
          <cell r="C10206">
            <v>203</v>
          </cell>
          <cell r="D10206">
            <v>4</v>
          </cell>
          <cell r="E10206" t="str">
            <v>Compensation of employees</v>
          </cell>
          <cell r="F10206">
            <v>12</v>
          </cell>
          <cell r="G10206">
            <v>1984</v>
          </cell>
          <cell r="H10206">
            <v>10</v>
          </cell>
          <cell r="I10206">
            <v>24573000000</v>
          </cell>
        </row>
        <row r="10207">
          <cell r="A10207" t="str">
            <v>United Arab Emirates</v>
          </cell>
          <cell r="B10207">
            <v>784</v>
          </cell>
          <cell r="C10207">
            <v>203</v>
          </cell>
          <cell r="D10207">
            <v>4</v>
          </cell>
          <cell r="E10207" t="str">
            <v>Compensation of employees</v>
          </cell>
          <cell r="F10207">
            <v>12</v>
          </cell>
          <cell r="G10207">
            <v>1985</v>
          </cell>
          <cell r="H10207">
            <v>10</v>
          </cell>
          <cell r="I10207">
            <v>24997000000</v>
          </cell>
        </row>
        <row r="10208">
          <cell r="A10208" t="str">
            <v>United Arab Emirates</v>
          </cell>
          <cell r="B10208">
            <v>784</v>
          </cell>
          <cell r="C10208">
            <v>203</v>
          </cell>
          <cell r="D10208">
            <v>4</v>
          </cell>
          <cell r="E10208" t="str">
            <v>Compensation of employees</v>
          </cell>
          <cell r="F10208">
            <v>12</v>
          </cell>
          <cell r="G10208">
            <v>1986</v>
          </cell>
          <cell r="H10208">
            <v>10</v>
          </cell>
          <cell r="I10208">
            <v>24007000000</v>
          </cell>
        </row>
        <row r="10209">
          <cell r="A10209" t="str">
            <v>United Arab Emirates</v>
          </cell>
          <cell r="B10209">
            <v>784</v>
          </cell>
          <cell r="C10209">
            <v>203</v>
          </cell>
          <cell r="D10209">
            <v>4</v>
          </cell>
          <cell r="E10209" t="str">
            <v>Compensation of employees</v>
          </cell>
          <cell r="F10209">
            <v>12</v>
          </cell>
          <cell r="G10209">
            <v>1987</v>
          </cell>
          <cell r="H10209">
            <v>10</v>
          </cell>
          <cell r="I10209">
            <v>24426000000</v>
          </cell>
        </row>
        <row r="10210">
          <cell r="A10210" t="str">
            <v>United Arab Emirates</v>
          </cell>
          <cell r="B10210">
            <v>784</v>
          </cell>
          <cell r="C10210">
            <v>203</v>
          </cell>
          <cell r="D10210">
            <v>4</v>
          </cell>
          <cell r="E10210" t="str">
            <v>Compensation of employees</v>
          </cell>
          <cell r="F10210">
            <v>12</v>
          </cell>
          <cell r="G10210">
            <v>1988</v>
          </cell>
          <cell r="H10210">
            <v>10</v>
          </cell>
          <cell r="I10210">
            <v>25226000000</v>
          </cell>
        </row>
        <row r="10211">
          <cell r="A10211" t="str">
            <v>United Arab Emirates</v>
          </cell>
          <cell r="B10211">
            <v>784</v>
          </cell>
          <cell r="C10211">
            <v>203</v>
          </cell>
          <cell r="D10211">
            <v>4</v>
          </cell>
          <cell r="E10211" t="str">
            <v>Compensation of employees</v>
          </cell>
          <cell r="F10211">
            <v>12</v>
          </cell>
          <cell r="G10211">
            <v>1989</v>
          </cell>
          <cell r="H10211">
            <v>10</v>
          </cell>
          <cell r="I10211">
            <v>26769000000</v>
          </cell>
        </row>
        <row r="10212">
          <cell r="A10212" t="str">
            <v>United Arab Emirates</v>
          </cell>
          <cell r="B10212">
            <v>784</v>
          </cell>
          <cell r="C10212">
            <v>203</v>
          </cell>
          <cell r="D10212">
            <v>4</v>
          </cell>
          <cell r="E10212" t="str">
            <v>Compensation of employees</v>
          </cell>
          <cell r="F10212">
            <v>12</v>
          </cell>
          <cell r="G10212">
            <v>1990</v>
          </cell>
          <cell r="H10212">
            <v>10</v>
          </cell>
          <cell r="I10212">
            <v>27996000000</v>
          </cell>
        </row>
        <row r="10213">
          <cell r="A10213" t="str">
            <v>United Arab Emirates</v>
          </cell>
          <cell r="B10213">
            <v>784</v>
          </cell>
          <cell r="C10213">
            <v>203</v>
          </cell>
          <cell r="D10213">
            <v>11</v>
          </cell>
          <cell r="E10213" t="str">
            <v>OPERATING SURPLUS, GROSS</v>
          </cell>
          <cell r="F10213">
            <v>12</v>
          </cell>
          <cell r="G10213">
            <v>1983</v>
          </cell>
          <cell r="H10213">
            <v>10</v>
          </cell>
          <cell r="I10213">
            <v>83494000000</v>
          </cell>
        </row>
        <row r="10214">
          <cell r="A10214" t="str">
            <v>United Arab Emirates</v>
          </cell>
          <cell r="B10214">
            <v>784</v>
          </cell>
          <cell r="C10214">
            <v>203</v>
          </cell>
          <cell r="D10214">
            <v>11</v>
          </cell>
          <cell r="E10214" t="str">
            <v>OPERATING SURPLUS, GROSS</v>
          </cell>
          <cell r="F10214">
            <v>12</v>
          </cell>
          <cell r="G10214">
            <v>1984</v>
          </cell>
          <cell r="H10214">
            <v>10</v>
          </cell>
          <cell r="I10214">
            <v>81938000000</v>
          </cell>
        </row>
        <row r="10215">
          <cell r="A10215" t="str">
            <v>United Arab Emirates</v>
          </cell>
          <cell r="B10215">
            <v>784</v>
          </cell>
          <cell r="C10215">
            <v>203</v>
          </cell>
          <cell r="D10215">
            <v>11</v>
          </cell>
          <cell r="E10215" t="str">
            <v>OPERATING SURPLUS, GROSS</v>
          </cell>
          <cell r="F10215">
            <v>12</v>
          </cell>
          <cell r="G10215">
            <v>1985</v>
          </cell>
          <cell r="H10215">
            <v>10</v>
          </cell>
          <cell r="I10215">
            <v>78018000000</v>
          </cell>
        </row>
        <row r="10216">
          <cell r="A10216" t="str">
            <v>United Arab Emirates</v>
          </cell>
          <cell r="B10216">
            <v>784</v>
          </cell>
          <cell r="C10216">
            <v>203</v>
          </cell>
          <cell r="D10216">
            <v>11</v>
          </cell>
          <cell r="E10216" t="str">
            <v>OPERATING SURPLUS, GROSS</v>
          </cell>
          <cell r="F10216">
            <v>12</v>
          </cell>
          <cell r="G10216">
            <v>1986</v>
          </cell>
          <cell r="H10216">
            <v>10</v>
          </cell>
          <cell r="I10216">
            <v>58854000000</v>
          </cell>
        </row>
        <row r="10217">
          <cell r="A10217" t="str">
            <v>United Arab Emirates</v>
          </cell>
          <cell r="B10217">
            <v>784</v>
          </cell>
          <cell r="C10217">
            <v>203</v>
          </cell>
          <cell r="D10217">
            <v>11</v>
          </cell>
          <cell r="E10217" t="str">
            <v>OPERATING SURPLUS, GROSS</v>
          </cell>
          <cell r="F10217">
            <v>12</v>
          </cell>
          <cell r="G10217">
            <v>1987</v>
          </cell>
          <cell r="H10217">
            <v>10</v>
          </cell>
          <cell r="I10217">
            <v>66116000000</v>
          </cell>
        </row>
        <row r="10218">
          <cell r="A10218" t="str">
            <v>United Arab Emirates</v>
          </cell>
          <cell r="B10218">
            <v>784</v>
          </cell>
          <cell r="C10218">
            <v>203</v>
          </cell>
          <cell r="D10218">
            <v>11</v>
          </cell>
          <cell r="E10218" t="str">
            <v>OPERATING SURPLUS, GROSS</v>
          </cell>
          <cell r="F10218">
            <v>12</v>
          </cell>
          <cell r="G10218">
            <v>1988</v>
          </cell>
          <cell r="H10218">
            <v>10</v>
          </cell>
          <cell r="I10218">
            <v>64911000000</v>
          </cell>
        </row>
        <row r="10219">
          <cell r="A10219" t="str">
            <v>United Arab Emirates</v>
          </cell>
          <cell r="B10219">
            <v>784</v>
          </cell>
          <cell r="C10219">
            <v>203</v>
          </cell>
          <cell r="D10219">
            <v>11</v>
          </cell>
          <cell r="E10219" t="str">
            <v>OPERATING SURPLUS, GROSS</v>
          </cell>
          <cell r="F10219">
            <v>12</v>
          </cell>
          <cell r="G10219">
            <v>1989</v>
          </cell>
          <cell r="H10219">
            <v>10</v>
          </cell>
          <cell r="I10219">
            <v>77961000000</v>
          </cell>
        </row>
        <row r="10220">
          <cell r="A10220" t="str">
            <v>United Arab Emirates</v>
          </cell>
          <cell r="B10220">
            <v>784</v>
          </cell>
          <cell r="C10220">
            <v>203</v>
          </cell>
          <cell r="D10220">
            <v>11</v>
          </cell>
          <cell r="E10220" t="str">
            <v>OPERATING SURPLUS, GROSS</v>
          </cell>
          <cell r="F10220">
            <v>12</v>
          </cell>
          <cell r="G10220">
            <v>1990</v>
          </cell>
          <cell r="H10220">
            <v>10</v>
          </cell>
          <cell r="I10220">
            <v>99741000000</v>
          </cell>
        </row>
        <row r="10221">
          <cell r="A10221" t="str">
            <v>Tonga</v>
          </cell>
          <cell r="B10221">
            <v>776</v>
          </cell>
          <cell r="C10221">
            <v>201</v>
          </cell>
          <cell r="D10221">
            <v>13</v>
          </cell>
          <cell r="E10221" t="str">
            <v>Less: Financial intermediation services indirectly measured (FISIM) (only to be deducted if FISIM is not distributed to uses)</v>
          </cell>
          <cell r="F10221">
            <v>0</v>
          </cell>
          <cell r="G10221">
            <v>1979</v>
          </cell>
          <cell r="H10221">
            <v>20</v>
          </cell>
          <cell r="I10221">
            <v>200000</v>
          </cell>
        </row>
        <row r="10222">
          <cell r="A10222" t="str">
            <v>Tonga</v>
          </cell>
          <cell r="B10222">
            <v>776</v>
          </cell>
          <cell r="C10222">
            <v>201</v>
          </cell>
          <cell r="D10222">
            <v>13</v>
          </cell>
          <cell r="E10222" t="str">
            <v>Less: Financial intermediation services indirectly measured (FISIM) (only to be deducted if FISIM is not distributed to uses)</v>
          </cell>
          <cell r="F10222">
            <v>0</v>
          </cell>
          <cell r="G10222">
            <v>1980</v>
          </cell>
          <cell r="H10222">
            <v>20</v>
          </cell>
          <cell r="I10222">
            <v>300000</v>
          </cell>
        </row>
        <row r="10223">
          <cell r="A10223" t="str">
            <v>Tonga</v>
          </cell>
          <cell r="B10223">
            <v>776</v>
          </cell>
          <cell r="C10223">
            <v>201</v>
          </cell>
          <cell r="D10223">
            <v>13</v>
          </cell>
          <cell r="E10223" t="str">
            <v>Less: Financial intermediation services indirectly measured (FISIM) (only to be deducted if FISIM is not distributed to uses)</v>
          </cell>
          <cell r="F10223">
            <v>0</v>
          </cell>
          <cell r="G10223">
            <v>1981</v>
          </cell>
          <cell r="H10223">
            <v>20</v>
          </cell>
          <cell r="I10223">
            <v>400000</v>
          </cell>
        </row>
        <row r="10224">
          <cell r="A10224" t="str">
            <v>Tonga</v>
          </cell>
          <cell r="B10224">
            <v>776</v>
          </cell>
          <cell r="C10224">
            <v>201</v>
          </cell>
          <cell r="D10224">
            <v>13</v>
          </cell>
          <cell r="E10224" t="str">
            <v>Less: Financial intermediation services indirectly measured (FISIM) (only to be deducted if FISIM is not distributed to uses)</v>
          </cell>
          <cell r="F10224">
            <v>0</v>
          </cell>
          <cell r="G10224">
            <v>1982</v>
          </cell>
          <cell r="H10224">
            <v>20</v>
          </cell>
          <cell r="I10224">
            <v>500000</v>
          </cell>
        </row>
        <row r="10225">
          <cell r="A10225" t="str">
            <v>Tonga</v>
          </cell>
          <cell r="B10225">
            <v>776</v>
          </cell>
          <cell r="C10225">
            <v>201</v>
          </cell>
          <cell r="D10225">
            <v>13</v>
          </cell>
          <cell r="E10225" t="str">
            <v>Less: Financial intermediation services indirectly measured (FISIM) (only to be deducted if FISIM is not distributed to uses)</v>
          </cell>
          <cell r="F10225">
            <v>0</v>
          </cell>
          <cell r="G10225">
            <v>1983</v>
          </cell>
          <cell r="H10225">
            <v>20</v>
          </cell>
          <cell r="I10225">
            <v>700000</v>
          </cell>
        </row>
        <row r="10226">
          <cell r="A10226" t="str">
            <v>Tonga</v>
          </cell>
          <cell r="B10226">
            <v>776</v>
          </cell>
          <cell r="C10226">
            <v>201</v>
          </cell>
          <cell r="D10226">
            <v>13</v>
          </cell>
          <cell r="E10226" t="str">
            <v>Less: Financial intermediation services indirectly measured (FISIM) (only to be deducted if FISIM is not distributed to uses)</v>
          </cell>
          <cell r="F10226">
            <v>0</v>
          </cell>
          <cell r="G10226">
            <v>1994</v>
          </cell>
          <cell r="H10226">
            <v>20</v>
          </cell>
          <cell r="I10226">
            <v>8000000</v>
          </cell>
        </row>
        <row r="10227">
          <cell r="A10227" t="str">
            <v>Tonga</v>
          </cell>
          <cell r="B10227">
            <v>776</v>
          </cell>
          <cell r="C10227">
            <v>201</v>
          </cell>
          <cell r="D10227">
            <v>13</v>
          </cell>
          <cell r="E10227" t="str">
            <v>Less: Financial intermediation services indirectly measured (FISIM) (only to be deducted if FISIM is not distributed to uses)</v>
          </cell>
          <cell r="F10227">
            <v>0</v>
          </cell>
          <cell r="G10227">
            <v>1995</v>
          </cell>
          <cell r="H10227">
            <v>20</v>
          </cell>
          <cell r="I10227">
            <v>9000000</v>
          </cell>
        </row>
        <row r="10228">
          <cell r="A10228" t="str">
            <v>Tonga</v>
          </cell>
          <cell r="B10228">
            <v>776</v>
          </cell>
          <cell r="C10228">
            <v>201</v>
          </cell>
          <cell r="D10228">
            <v>13</v>
          </cell>
          <cell r="E10228" t="str">
            <v>Less: Financial intermediation services indirectly measured (FISIM) (only to be deducted if FISIM is not distributed to uses)</v>
          </cell>
          <cell r="F10228">
            <v>0</v>
          </cell>
          <cell r="G10228">
            <v>1996</v>
          </cell>
          <cell r="H10228">
            <v>20</v>
          </cell>
          <cell r="I10228">
            <v>9000000</v>
          </cell>
        </row>
        <row r="10229">
          <cell r="A10229" t="str">
            <v>Tonga</v>
          </cell>
          <cell r="B10229">
            <v>776</v>
          </cell>
          <cell r="C10229">
            <v>201</v>
          </cell>
          <cell r="D10229">
            <v>13</v>
          </cell>
          <cell r="E10229" t="str">
            <v>Less: Financial intermediation services indirectly measured (FISIM) (only to be deducted if FISIM is not distributed to uses)</v>
          </cell>
          <cell r="F10229">
            <v>0</v>
          </cell>
          <cell r="G10229">
            <v>1997</v>
          </cell>
          <cell r="H10229">
            <v>20</v>
          </cell>
          <cell r="I10229">
            <v>9000000</v>
          </cell>
        </row>
        <row r="10230">
          <cell r="A10230" t="str">
            <v>Tonga</v>
          </cell>
          <cell r="B10230">
            <v>776</v>
          </cell>
          <cell r="C10230">
            <v>201</v>
          </cell>
          <cell r="D10230">
            <v>13</v>
          </cell>
          <cell r="E10230" t="str">
            <v>Less: Financial intermediation services indirectly measured (FISIM) (only to be deducted if FISIM is not distributed to uses)</v>
          </cell>
          <cell r="F10230">
            <v>0</v>
          </cell>
          <cell r="G10230">
            <v>1998</v>
          </cell>
          <cell r="H10230">
            <v>20</v>
          </cell>
          <cell r="I10230">
            <v>11000000</v>
          </cell>
        </row>
        <row r="10231">
          <cell r="A10231" t="str">
            <v>Tonga</v>
          </cell>
          <cell r="B10231">
            <v>776</v>
          </cell>
          <cell r="C10231">
            <v>201</v>
          </cell>
          <cell r="D10231">
            <v>13</v>
          </cell>
          <cell r="E10231" t="str">
            <v>Less: Financial intermediation services indirectly measured (FISIM) (only to be deducted if FISIM is not distributed to uses)</v>
          </cell>
          <cell r="F10231">
            <v>0</v>
          </cell>
          <cell r="G10231">
            <v>1999</v>
          </cell>
          <cell r="H10231">
            <v>20</v>
          </cell>
          <cell r="I10231">
            <v>12000000</v>
          </cell>
        </row>
        <row r="10232">
          <cell r="A10232" t="str">
            <v>Tonga</v>
          </cell>
          <cell r="B10232">
            <v>776</v>
          </cell>
          <cell r="C10232">
            <v>201</v>
          </cell>
          <cell r="D10232">
            <v>13</v>
          </cell>
          <cell r="E10232" t="str">
            <v>Less: Financial intermediation services indirectly measured (FISIM) (only to be deducted if FISIM is not distributed to uses)</v>
          </cell>
          <cell r="F10232">
            <v>0</v>
          </cell>
          <cell r="G10232">
            <v>2000</v>
          </cell>
          <cell r="H10232">
            <v>20</v>
          </cell>
          <cell r="I10232">
            <v>12000000</v>
          </cell>
        </row>
        <row r="10233">
          <cell r="A10233" t="str">
            <v>Tonga</v>
          </cell>
          <cell r="B10233">
            <v>776</v>
          </cell>
          <cell r="C10233">
            <v>201</v>
          </cell>
          <cell r="D10233">
            <v>13</v>
          </cell>
          <cell r="E10233" t="str">
            <v>Less: Financial intermediation services indirectly measured (FISIM) (only to be deducted if FISIM is not distributed to uses)</v>
          </cell>
          <cell r="F10233">
            <v>0</v>
          </cell>
          <cell r="G10233">
            <v>2001</v>
          </cell>
          <cell r="H10233">
            <v>20</v>
          </cell>
          <cell r="I10233">
            <v>13000000</v>
          </cell>
        </row>
        <row r="10234">
          <cell r="A10234" t="str">
            <v>United Arab Emirates</v>
          </cell>
          <cell r="B10234">
            <v>784</v>
          </cell>
          <cell r="C10234">
            <v>203</v>
          </cell>
          <cell r="D10234">
            <v>22</v>
          </cell>
          <cell r="E10234" t="str">
            <v>Taxes on production and imports, less Subsidies</v>
          </cell>
          <cell r="F10234">
            <v>12</v>
          </cell>
          <cell r="G10234">
            <v>1983</v>
          </cell>
          <cell r="H10234">
            <v>10</v>
          </cell>
          <cell r="I10234">
            <v>-2902000000</v>
          </cell>
        </row>
        <row r="10235">
          <cell r="A10235" t="str">
            <v>United Arab Emirates</v>
          </cell>
          <cell r="B10235">
            <v>784</v>
          </cell>
          <cell r="C10235">
            <v>203</v>
          </cell>
          <cell r="D10235">
            <v>22</v>
          </cell>
          <cell r="E10235" t="str">
            <v>Taxes on production and imports, less Subsidies</v>
          </cell>
          <cell r="F10235">
            <v>12</v>
          </cell>
          <cell r="G10235">
            <v>1984</v>
          </cell>
          <cell r="H10235">
            <v>10</v>
          </cell>
          <cell r="I10235">
            <v>-2900000000</v>
          </cell>
        </row>
        <row r="10236">
          <cell r="A10236" t="str">
            <v>United Arab Emirates</v>
          </cell>
          <cell r="B10236">
            <v>784</v>
          </cell>
          <cell r="C10236">
            <v>203</v>
          </cell>
          <cell r="D10236">
            <v>22</v>
          </cell>
          <cell r="E10236" t="str">
            <v>Taxes on production and imports, less Subsidies</v>
          </cell>
          <cell r="F10236">
            <v>12</v>
          </cell>
          <cell r="G10236">
            <v>1985</v>
          </cell>
          <cell r="H10236">
            <v>10</v>
          </cell>
          <cell r="I10236">
            <v>-2796000000</v>
          </cell>
        </row>
        <row r="10237">
          <cell r="A10237" t="str">
            <v>United Arab Emirates</v>
          </cell>
          <cell r="B10237">
            <v>784</v>
          </cell>
          <cell r="C10237">
            <v>203</v>
          </cell>
          <cell r="D10237">
            <v>22</v>
          </cell>
          <cell r="E10237" t="str">
            <v>Taxes on production and imports, less Subsidies</v>
          </cell>
          <cell r="F10237">
            <v>12</v>
          </cell>
          <cell r="G10237">
            <v>1986</v>
          </cell>
          <cell r="H10237">
            <v>10</v>
          </cell>
          <cell r="I10237">
            <v>-2532000000</v>
          </cell>
        </row>
        <row r="10238">
          <cell r="A10238" t="str">
            <v>United Arab Emirates</v>
          </cell>
          <cell r="B10238">
            <v>784</v>
          </cell>
          <cell r="C10238">
            <v>203</v>
          </cell>
          <cell r="D10238">
            <v>22</v>
          </cell>
          <cell r="E10238" t="str">
            <v>Taxes on production and imports, less Subsidies</v>
          </cell>
          <cell r="F10238">
            <v>12</v>
          </cell>
          <cell r="G10238">
            <v>1987</v>
          </cell>
          <cell r="H10238">
            <v>10</v>
          </cell>
          <cell r="I10238">
            <v>-2154000000</v>
          </cell>
        </row>
        <row r="10239">
          <cell r="A10239" t="str">
            <v>United Arab Emirates</v>
          </cell>
          <cell r="B10239">
            <v>784</v>
          </cell>
          <cell r="C10239">
            <v>203</v>
          </cell>
          <cell r="D10239">
            <v>22</v>
          </cell>
          <cell r="E10239" t="str">
            <v>Taxes on production and imports, less Subsidies</v>
          </cell>
          <cell r="F10239">
            <v>12</v>
          </cell>
          <cell r="G10239">
            <v>1988</v>
          </cell>
          <cell r="H10239">
            <v>10</v>
          </cell>
          <cell r="I10239">
            <v>-2070000000</v>
          </cell>
        </row>
        <row r="10240">
          <cell r="A10240" t="str">
            <v>United Arab Emirates</v>
          </cell>
          <cell r="B10240">
            <v>784</v>
          </cell>
          <cell r="C10240">
            <v>203</v>
          </cell>
          <cell r="D10240">
            <v>22</v>
          </cell>
          <cell r="E10240" t="str">
            <v>Taxes on production and imports, less Subsidies</v>
          </cell>
          <cell r="F10240">
            <v>12</v>
          </cell>
          <cell r="G10240">
            <v>1989</v>
          </cell>
          <cell r="H10240">
            <v>10</v>
          </cell>
          <cell r="I10240">
            <v>-2155000000</v>
          </cell>
        </row>
        <row r="10241">
          <cell r="A10241" t="str">
            <v>United Arab Emirates</v>
          </cell>
          <cell r="B10241">
            <v>784</v>
          </cell>
          <cell r="C10241">
            <v>203</v>
          </cell>
          <cell r="D10241">
            <v>22</v>
          </cell>
          <cell r="E10241" t="str">
            <v>Taxes on production and imports, less Subsidies</v>
          </cell>
          <cell r="F10241">
            <v>12</v>
          </cell>
          <cell r="G10241">
            <v>1990</v>
          </cell>
          <cell r="H10241">
            <v>10</v>
          </cell>
          <cell r="I10241">
            <v>-2121000000</v>
          </cell>
        </row>
        <row r="10242">
          <cell r="A10242" t="str">
            <v>Turkmenistan</v>
          </cell>
          <cell r="B10242">
            <v>795</v>
          </cell>
          <cell r="C10242">
            <v>201</v>
          </cell>
          <cell r="D10242">
            <v>13</v>
          </cell>
          <cell r="E10242" t="str">
            <v>Less: Financial intermediation services indirectly measured (FISIM) (only to be deducted if FISIM is not distributed to uses)</v>
          </cell>
          <cell r="F10242">
            <v>0</v>
          </cell>
          <cell r="G10242">
            <v>1992</v>
          </cell>
          <cell r="H10242">
            <v>200</v>
          </cell>
          <cell r="I10242">
            <v>6500000</v>
          </cell>
        </row>
        <row r="10243">
          <cell r="A10243" t="str">
            <v>Turkmenistan</v>
          </cell>
          <cell r="B10243">
            <v>795</v>
          </cell>
          <cell r="C10243">
            <v>201</v>
          </cell>
          <cell r="D10243">
            <v>13</v>
          </cell>
          <cell r="E10243" t="str">
            <v>Less: Financial intermediation services indirectly measured (FISIM) (only to be deducted if FISIM is not distributed to uses)</v>
          </cell>
          <cell r="F10243">
            <v>0</v>
          </cell>
          <cell r="G10243">
            <v>1993</v>
          </cell>
          <cell r="H10243">
            <v>200</v>
          </cell>
          <cell r="I10243">
            <v>121600000</v>
          </cell>
        </row>
        <row r="10244">
          <cell r="A10244" t="str">
            <v>Turkmenistan</v>
          </cell>
          <cell r="B10244">
            <v>795</v>
          </cell>
          <cell r="C10244">
            <v>201</v>
          </cell>
          <cell r="D10244">
            <v>13</v>
          </cell>
          <cell r="E10244" t="str">
            <v>Less: Financial intermediation services indirectly measured (FISIM) (only to be deducted if FISIM is not distributed to uses)</v>
          </cell>
          <cell r="F10244">
            <v>0</v>
          </cell>
          <cell r="G10244">
            <v>1994</v>
          </cell>
          <cell r="H10244">
            <v>200</v>
          </cell>
          <cell r="I10244">
            <v>2234200000</v>
          </cell>
        </row>
        <row r="10245">
          <cell r="A10245" t="str">
            <v>Turkmenistan</v>
          </cell>
          <cell r="B10245">
            <v>795</v>
          </cell>
          <cell r="C10245">
            <v>201</v>
          </cell>
          <cell r="D10245">
            <v>13</v>
          </cell>
          <cell r="E10245" t="str">
            <v>Less: Financial intermediation services indirectly measured (FISIM) (only to be deducted if FISIM is not distributed to uses)</v>
          </cell>
          <cell r="F10245">
            <v>0</v>
          </cell>
          <cell r="G10245">
            <v>1995</v>
          </cell>
          <cell r="H10245">
            <v>200</v>
          </cell>
          <cell r="I10245">
            <v>8567000000</v>
          </cell>
        </row>
        <row r="10246">
          <cell r="A10246" t="str">
            <v>Turkmenistan</v>
          </cell>
          <cell r="B10246">
            <v>795</v>
          </cell>
          <cell r="C10246">
            <v>201</v>
          </cell>
          <cell r="D10246">
            <v>13</v>
          </cell>
          <cell r="E10246" t="str">
            <v>Less: Financial intermediation services indirectly measured (FISIM) (only to be deducted if FISIM is not distributed to uses)</v>
          </cell>
          <cell r="F10246">
            <v>0</v>
          </cell>
          <cell r="G10246">
            <v>1996</v>
          </cell>
          <cell r="H10246">
            <v>200</v>
          </cell>
          <cell r="I10246">
            <v>112021000000</v>
          </cell>
        </row>
        <row r="10247">
          <cell r="A10247" t="str">
            <v>Turkmenistan</v>
          </cell>
          <cell r="B10247">
            <v>795</v>
          </cell>
          <cell r="C10247">
            <v>201</v>
          </cell>
          <cell r="D10247">
            <v>13</v>
          </cell>
          <cell r="E10247" t="str">
            <v>Less: Financial intermediation services indirectly measured (FISIM) (only to be deducted if FISIM is not distributed to uses)</v>
          </cell>
          <cell r="F10247">
            <v>0</v>
          </cell>
          <cell r="G10247">
            <v>1997</v>
          </cell>
          <cell r="H10247">
            <v>200</v>
          </cell>
          <cell r="I10247">
            <v>215841000000</v>
          </cell>
        </row>
        <row r="10248">
          <cell r="A10248" t="str">
            <v>Turkmenistan</v>
          </cell>
          <cell r="B10248">
            <v>795</v>
          </cell>
          <cell r="C10248">
            <v>201</v>
          </cell>
          <cell r="D10248">
            <v>13</v>
          </cell>
          <cell r="E10248" t="str">
            <v>Less: Financial intermediation services indirectly measured (FISIM) (only to be deducted if FISIM is not distributed to uses)</v>
          </cell>
          <cell r="F10248">
            <v>0</v>
          </cell>
          <cell r="G10248">
            <v>1998</v>
          </cell>
          <cell r="H10248">
            <v>200</v>
          </cell>
          <cell r="I10248">
            <v>177262000000</v>
          </cell>
        </row>
        <row r="10249">
          <cell r="A10249" t="str">
            <v>Tunisia</v>
          </cell>
          <cell r="B10249">
            <v>788</v>
          </cell>
          <cell r="C10249">
            <v>201</v>
          </cell>
          <cell r="D10249">
            <v>13</v>
          </cell>
          <cell r="E10249" t="str">
            <v>Less: Financial intermediation services indirectly measured (FISIM) (only to be deducted if FISIM is not distributed to uses)</v>
          </cell>
          <cell r="F10249">
            <v>0</v>
          </cell>
          <cell r="G10249">
            <v>1990</v>
          </cell>
          <cell r="H10249">
            <v>20</v>
          </cell>
          <cell r="I10249">
            <v>342600000</v>
          </cell>
        </row>
        <row r="10250">
          <cell r="A10250" t="str">
            <v>Tunisia</v>
          </cell>
          <cell r="B10250">
            <v>788</v>
          </cell>
          <cell r="C10250">
            <v>201</v>
          </cell>
          <cell r="D10250">
            <v>13</v>
          </cell>
          <cell r="E10250" t="str">
            <v>Less: Financial intermediation services indirectly measured (FISIM) (only to be deducted if FISIM is not distributed to uses)</v>
          </cell>
          <cell r="F10250">
            <v>0</v>
          </cell>
          <cell r="G10250">
            <v>1991</v>
          </cell>
          <cell r="H10250">
            <v>20</v>
          </cell>
          <cell r="I10250">
            <v>404900000</v>
          </cell>
        </row>
        <row r="10251">
          <cell r="A10251" t="str">
            <v>Tunisia</v>
          </cell>
          <cell r="B10251">
            <v>788</v>
          </cell>
          <cell r="C10251">
            <v>201</v>
          </cell>
          <cell r="D10251">
            <v>13</v>
          </cell>
          <cell r="E10251" t="str">
            <v>Less: Financial intermediation services indirectly measured (FISIM) (only to be deducted if FISIM is not distributed to uses)</v>
          </cell>
          <cell r="F10251">
            <v>0</v>
          </cell>
          <cell r="G10251">
            <v>1992</v>
          </cell>
          <cell r="H10251">
            <v>20</v>
          </cell>
          <cell r="I10251">
            <v>434000000</v>
          </cell>
        </row>
        <row r="10252">
          <cell r="A10252" t="str">
            <v>Tunisia</v>
          </cell>
          <cell r="B10252">
            <v>788</v>
          </cell>
          <cell r="C10252">
            <v>201</v>
          </cell>
          <cell r="D10252">
            <v>13</v>
          </cell>
          <cell r="E10252" t="str">
            <v>Less: Financial intermediation services indirectly measured (FISIM) (only to be deducted if FISIM is not distributed to uses)</v>
          </cell>
          <cell r="F10252">
            <v>0</v>
          </cell>
          <cell r="G10252">
            <v>1992</v>
          </cell>
          <cell r="H10252">
            <v>100</v>
          </cell>
          <cell r="I10252">
            <v>434000000</v>
          </cell>
        </row>
        <row r="10253">
          <cell r="A10253" t="str">
            <v>Tunisia</v>
          </cell>
          <cell r="B10253">
            <v>788</v>
          </cell>
          <cell r="C10253">
            <v>201</v>
          </cell>
          <cell r="D10253">
            <v>13</v>
          </cell>
          <cell r="E10253" t="str">
            <v>Less: Financial intermediation services indirectly measured (FISIM) (only to be deducted if FISIM is not distributed to uses)</v>
          </cell>
          <cell r="F10253">
            <v>0</v>
          </cell>
          <cell r="G10253">
            <v>1993</v>
          </cell>
          <cell r="H10253">
            <v>100</v>
          </cell>
          <cell r="I10253">
            <v>491000000</v>
          </cell>
        </row>
        <row r="10254">
          <cell r="A10254" t="str">
            <v>Tunisia</v>
          </cell>
          <cell r="B10254">
            <v>788</v>
          </cell>
          <cell r="C10254">
            <v>201</v>
          </cell>
          <cell r="D10254">
            <v>13</v>
          </cell>
          <cell r="E10254" t="str">
            <v>Less: Financial intermediation services indirectly measured (FISIM) (only to be deducted if FISIM is not distributed to uses)</v>
          </cell>
          <cell r="F10254">
            <v>0</v>
          </cell>
          <cell r="G10254">
            <v>1994</v>
          </cell>
          <cell r="H10254">
            <v>100</v>
          </cell>
          <cell r="I10254">
            <v>506000000</v>
          </cell>
        </row>
        <row r="10255">
          <cell r="A10255" t="str">
            <v>Tunisia</v>
          </cell>
          <cell r="B10255">
            <v>788</v>
          </cell>
          <cell r="C10255">
            <v>201</v>
          </cell>
          <cell r="D10255">
            <v>13</v>
          </cell>
          <cell r="E10255" t="str">
            <v>Less: Financial intermediation services indirectly measured (FISIM) (only to be deducted if FISIM is not distributed to uses)</v>
          </cell>
          <cell r="F10255">
            <v>0</v>
          </cell>
          <cell r="G10255">
            <v>1995</v>
          </cell>
          <cell r="H10255">
            <v>100</v>
          </cell>
          <cell r="I10255">
            <v>545000000</v>
          </cell>
        </row>
        <row r="10256">
          <cell r="A10256" t="str">
            <v>Tunisia</v>
          </cell>
          <cell r="B10256">
            <v>788</v>
          </cell>
          <cell r="C10256">
            <v>201</v>
          </cell>
          <cell r="D10256">
            <v>13</v>
          </cell>
          <cell r="E10256" t="str">
            <v>Less: Financial intermediation services indirectly measured (FISIM) (only to be deducted if FISIM is not distributed to uses)</v>
          </cell>
          <cell r="F10256">
            <v>0</v>
          </cell>
          <cell r="G10256">
            <v>1996</v>
          </cell>
          <cell r="H10256">
            <v>100</v>
          </cell>
          <cell r="I10256">
            <v>619000000</v>
          </cell>
        </row>
        <row r="10257">
          <cell r="A10257" t="str">
            <v>Tunisia</v>
          </cell>
          <cell r="B10257">
            <v>788</v>
          </cell>
          <cell r="C10257">
            <v>201</v>
          </cell>
          <cell r="D10257">
            <v>13</v>
          </cell>
          <cell r="E10257" t="str">
            <v>Less: Financial intermediation services indirectly measured (FISIM) (only to be deducted if FISIM is not distributed to uses)</v>
          </cell>
          <cell r="F10257">
            <v>0</v>
          </cell>
          <cell r="G10257">
            <v>1997</v>
          </cell>
          <cell r="H10257">
            <v>100</v>
          </cell>
          <cell r="I10257">
            <v>579000000</v>
          </cell>
        </row>
        <row r="10258">
          <cell r="A10258" t="str">
            <v>Tunisia</v>
          </cell>
          <cell r="B10258">
            <v>788</v>
          </cell>
          <cell r="C10258">
            <v>201</v>
          </cell>
          <cell r="D10258">
            <v>13</v>
          </cell>
          <cell r="E10258" t="str">
            <v>Less: Financial intermediation services indirectly measured (FISIM) (only to be deducted if FISIM is not distributed to uses)</v>
          </cell>
          <cell r="F10258">
            <v>0</v>
          </cell>
          <cell r="G10258">
            <v>1998</v>
          </cell>
          <cell r="H10258">
            <v>100</v>
          </cell>
          <cell r="I10258">
            <v>622000000</v>
          </cell>
        </row>
        <row r="10259">
          <cell r="A10259" t="str">
            <v>Tunisia</v>
          </cell>
          <cell r="B10259">
            <v>788</v>
          </cell>
          <cell r="C10259">
            <v>201</v>
          </cell>
          <cell r="D10259">
            <v>13</v>
          </cell>
          <cell r="E10259" t="str">
            <v>Less: Financial intermediation services indirectly measured (FISIM) (only to be deducted if FISIM is not distributed to uses)</v>
          </cell>
          <cell r="F10259">
            <v>0</v>
          </cell>
          <cell r="G10259">
            <v>1999</v>
          </cell>
          <cell r="H10259">
            <v>100</v>
          </cell>
          <cell r="I10259">
            <v>722000000</v>
          </cell>
        </row>
        <row r="10260">
          <cell r="A10260" t="str">
            <v>Tunisia</v>
          </cell>
          <cell r="B10260">
            <v>788</v>
          </cell>
          <cell r="C10260">
            <v>201</v>
          </cell>
          <cell r="D10260">
            <v>13</v>
          </cell>
          <cell r="E10260" t="str">
            <v>Less: Financial intermediation services indirectly measured (FISIM) (only to be deducted if FISIM is not distributed to uses)</v>
          </cell>
          <cell r="F10260">
            <v>0</v>
          </cell>
          <cell r="G10260">
            <v>2000</v>
          </cell>
          <cell r="H10260">
            <v>100</v>
          </cell>
          <cell r="I10260">
            <v>794000000</v>
          </cell>
        </row>
        <row r="10261">
          <cell r="A10261" t="str">
            <v>Tunisia</v>
          </cell>
          <cell r="B10261">
            <v>788</v>
          </cell>
          <cell r="C10261">
            <v>201</v>
          </cell>
          <cell r="D10261">
            <v>13</v>
          </cell>
          <cell r="E10261" t="str">
            <v>Less: Financial intermediation services indirectly measured (FISIM) (only to be deducted if FISIM is not distributed to uses)</v>
          </cell>
          <cell r="F10261">
            <v>0</v>
          </cell>
          <cell r="G10261">
            <v>2001</v>
          </cell>
          <cell r="H10261">
            <v>100</v>
          </cell>
          <cell r="I10261">
            <v>863000000</v>
          </cell>
        </row>
        <row r="10262">
          <cell r="A10262" t="str">
            <v>Tunisia</v>
          </cell>
          <cell r="B10262">
            <v>788</v>
          </cell>
          <cell r="C10262">
            <v>201</v>
          </cell>
          <cell r="D10262">
            <v>13</v>
          </cell>
          <cell r="E10262" t="str">
            <v>Less: Financial intermediation services indirectly measured (FISIM) (only to be deducted if FISIM is not distributed to uses)</v>
          </cell>
          <cell r="F10262">
            <v>0</v>
          </cell>
          <cell r="G10262">
            <v>2002</v>
          </cell>
          <cell r="H10262">
            <v>100</v>
          </cell>
          <cell r="I10262">
            <v>827000000</v>
          </cell>
        </row>
        <row r="10263">
          <cell r="A10263" t="str">
            <v>Egypt</v>
          </cell>
          <cell r="B10263">
            <v>818</v>
          </cell>
          <cell r="C10263">
            <v>203</v>
          </cell>
          <cell r="D10263">
            <v>4</v>
          </cell>
          <cell r="E10263" t="str">
            <v>Compensation of employees</v>
          </cell>
          <cell r="F10263">
            <v>12</v>
          </cell>
          <cell r="G10263">
            <v>1970</v>
          </cell>
          <cell r="H10263">
            <v>10</v>
          </cell>
          <cell r="I10263">
            <v>1337600000</v>
          </cell>
        </row>
        <row r="10264">
          <cell r="A10264" t="str">
            <v>Egypt</v>
          </cell>
          <cell r="B10264">
            <v>818</v>
          </cell>
          <cell r="C10264">
            <v>203</v>
          </cell>
          <cell r="D10264">
            <v>4</v>
          </cell>
          <cell r="E10264" t="str">
            <v>Compensation of employees</v>
          </cell>
          <cell r="F10264">
            <v>12</v>
          </cell>
          <cell r="G10264">
            <v>1971</v>
          </cell>
          <cell r="H10264">
            <v>10</v>
          </cell>
          <cell r="I10264">
            <v>1414700000</v>
          </cell>
        </row>
        <row r="10265">
          <cell r="A10265" t="str">
            <v>Egypt</v>
          </cell>
          <cell r="B10265">
            <v>818</v>
          </cell>
          <cell r="C10265">
            <v>203</v>
          </cell>
          <cell r="D10265">
            <v>4</v>
          </cell>
          <cell r="E10265" t="str">
            <v>Compensation of employees</v>
          </cell>
          <cell r="F10265">
            <v>12</v>
          </cell>
          <cell r="G10265">
            <v>1972</v>
          </cell>
          <cell r="H10265">
            <v>20</v>
          </cell>
          <cell r="I10265">
            <v>1459400000</v>
          </cell>
        </row>
        <row r="10266">
          <cell r="A10266" t="str">
            <v>Egypt</v>
          </cell>
          <cell r="B10266">
            <v>818</v>
          </cell>
          <cell r="C10266">
            <v>203</v>
          </cell>
          <cell r="D10266">
            <v>4</v>
          </cell>
          <cell r="E10266" t="str">
            <v>Compensation of employees</v>
          </cell>
          <cell r="F10266">
            <v>12</v>
          </cell>
          <cell r="G10266">
            <v>1973</v>
          </cell>
          <cell r="H10266">
            <v>20</v>
          </cell>
          <cell r="I10266">
            <v>1696900000</v>
          </cell>
        </row>
        <row r="10267">
          <cell r="A10267" t="str">
            <v>Egypt</v>
          </cell>
          <cell r="B10267">
            <v>818</v>
          </cell>
          <cell r="C10267">
            <v>203</v>
          </cell>
          <cell r="D10267">
            <v>4</v>
          </cell>
          <cell r="E10267" t="str">
            <v>Compensation of employees</v>
          </cell>
          <cell r="F10267">
            <v>12</v>
          </cell>
          <cell r="G10267">
            <v>1974</v>
          </cell>
          <cell r="H10267">
            <v>20</v>
          </cell>
          <cell r="I10267">
            <v>1887700000</v>
          </cell>
        </row>
        <row r="10268">
          <cell r="A10268" t="str">
            <v>Egypt</v>
          </cell>
          <cell r="B10268">
            <v>818</v>
          </cell>
          <cell r="C10268">
            <v>203</v>
          </cell>
          <cell r="D10268">
            <v>4</v>
          </cell>
          <cell r="E10268" t="str">
            <v>Compensation of employees</v>
          </cell>
          <cell r="F10268">
            <v>12</v>
          </cell>
          <cell r="G10268">
            <v>1975</v>
          </cell>
          <cell r="H10268">
            <v>20</v>
          </cell>
          <cell r="I10268">
            <v>2401200000</v>
          </cell>
        </row>
        <row r="10269">
          <cell r="A10269" t="str">
            <v>Egypt</v>
          </cell>
          <cell r="B10269">
            <v>818</v>
          </cell>
          <cell r="C10269">
            <v>203</v>
          </cell>
          <cell r="D10269">
            <v>4</v>
          </cell>
          <cell r="E10269" t="str">
            <v>Compensation of employees</v>
          </cell>
          <cell r="F10269">
            <v>12</v>
          </cell>
          <cell r="G10269">
            <v>1976</v>
          </cell>
          <cell r="H10269">
            <v>20</v>
          </cell>
          <cell r="I10269">
            <v>2583300000</v>
          </cell>
        </row>
        <row r="10270">
          <cell r="A10270" t="str">
            <v>Egypt</v>
          </cell>
          <cell r="B10270">
            <v>818</v>
          </cell>
          <cell r="C10270">
            <v>203</v>
          </cell>
          <cell r="D10270">
            <v>4</v>
          </cell>
          <cell r="E10270" t="str">
            <v>Compensation of employees</v>
          </cell>
          <cell r="F10270">
            <v>12</v>
          </cell>
          <cell r="G10270">
            <v>1977</v>
          </cell>
          <cell r="H10270">
            <v>20</v>
          </cell>
          <cell r="I10270">
            <v>3122800000</v>
          </cell>
        </row>
        <row r="10271">
          <cell r="A10271" t="str">
            <v>Egypt</v>
          </cell>
          <cell r="B10271">
            <v>818</v>
          </cell>
          <cell r="C10271">
            <v>203</v>
          </cell>
          <cell r="D10271">
            <v>4</v>
          </cell>
          <cell r="E10271" t="str">
            <v>Compensation of employees</v>
          </cell>
          <cell r="F10271">
            <v>12</v>
          </cell>
          <cell r="G10271">
            <v>1978</v>
          </cell>
          <cell r="H10271">
            <v>20</v>
          </cell>
          <cell r="I10271">
            <v>3587900000</v>
          </cell>
        </row>
        <row r="10272">
          <cell r="A10272" t="str">
            <v>Egypt</v>
          </cell>
          <cell r="B10272">
            <v>818</v>
          </cell>
          <cell r="C10272">
            <v>203</v>
          </cell>
          <cell r="D10272">
            <v>4</v>
          </cell>
          <cell r="E10272" t="str">
            <v>Compensation of employees</v>
          </cell>
          <cell r="F10272">
            <v>12</v>
          </cell>
          <cell r="G10272">
            <v>1979</v>
          </cell>
          <cell r="H10272">
            <v>20</v>
          </cell>
          <cell r="I10272">
            <v>4113900000</v>
          </cell>
        </row>
        <row r="10273">
          <cell r="A10273" t="str">
            <v>Egypt</v>
          </cell>
          <cell r="B10273">
            <v>818</v>
          </cell>
          <cell r="C10273">
            <v>203</v>
          </cell>
          <cell r="D10273">
            <v>4</v>
          </cell>
          <cell r="E10273" t="str">
            <v>Compensation of employees</v>
          </cell>
          <cell r="F10273">
            <v>12</v>
          </cell>
          <cell r="G10273">
            <v>1980</v>
          </cell>
          <cell r="H10273">
            <v>20</v>
          </cell>
          <cell r="I10273">
            <v>6100800000</v>
          </cell>
        </row>
        <row r="10274">
          <cell r="A10274" t="str">
            <v>Egypt</v>
          </cell>
          <cell r="B10274">
            <v>818</v>
          </cell>
          <cell r="C10274">
            <v>203</v>
          </cell>
          <cell r="D10274">
            <v>11</v>
          </cell>
          <cell r="E10274" t="str">
            <v>OPERATING SURPLUS, GROSS</v>
          </cell>
          <cell r="F10274">
            <v>12</v>
          </cell>
          <cell r="G10274">
            <v>1970</v>
          </cell>
          <cell r="H10274">
            <v>10</v>
          </cell>
          <cell r="I10274">
            <v>1639400000</v>
          </cell>
        </row>
        <row r="10275">
          <cell r="A10275" t="str">
            <v>Egypt</v>
          </cell>
          <cell r="B10275">
            <v>818</v>
          </cell>
          <cell r="C10275">
            <v>203</v>
          </cell>
          <cell r="D10275">
            <v>11</v>
          </cell>
          <cell r="E10275" t="str">
            <v>OPERATING SURPLUS, GROSS</v>
          </cell>
          <cell r="F10275">
            <v>12</v>
          </cell>
          <cell r="G10275">
            <v>1971</v>
          </cell>
          <cell r="H10275">
            <v>10</v>
          </cell>
          <cell r="I10275">
            <v>1795200000</v>
          </cell>
        </row>
        <row r="10276">
          <cell r="A10276" t="str">
            <v>Egypt</v>
          </cell>
          <cell r="B10276">
            <v>818</v>
          </cell>
          <cell r="C10276">
            <v>203</v>
          </cell>
          <cell r="D10276">
            <v>11</v>
          </cell>
          <cell r="E10276" t="str">
            <v>OPERATING SURPLUS, GROSS</v>
          </cell>
          <cell r="F10276">
            <v>12</v>
          </cell>
          <cell r="G10276">
            <v>1972</v>
          </cell>
          <cell r="H10276">
            <v>20</v>
          </cell>
          <cell r="I10276">
            <v>1790800000</v>
          </cell>
        </row>
        <row r="10277">
          <cell r="A10277" t="str">
            <v>Egypt</v>
          </cell>
          <cell r="B10277">
            <v>818</v>
          </cell>
          <cell r="C10277">
            <v>203</v>
          </cell>
          <cell r="D10277">
            <v>11</v>
          </cell>
          <cell r="E10277" t="str">
            <v>OPERATING SURPLUS, GROSS</v>
          </cell>
          <cell r="F10277">
            <v>12</v>
          </cell>
          <cell r="G10277">
            <v>1973</v>
          </cell>
          <cell r="H10277">
            <v>20</v>
          </cell>
          <cell r="I10277">
            <v>1829200000</v>
          </cell>
        </row>
        <row r="10278">
          <cell r="A10278" t="str">
            <v>Egypt</v>
          </cell>
          <cell r="B10278">
            <v>818</v>
          </cell>
          <cell r="C10278">
            <v>203</v>
          </cell>
          <cell r="D10278">
            <v>11</v>
          </cell>
          <cell r="E10278" t="str">
            <v>OPERATING SURPLUS, GROSS</v>
          </cell>
          <cell r="F10278">
            <v>12</v>
          </cell>
          <cell r="G10278">
            <v>1974</v>
          </cell>
          <cell r="H10278">
            <v>20</v>
          </cell>
          <cell r="I10278">
            <v>2311900000</v>
          </cell>
        </row>
        <row r="10279">
          <cell r="A10279" t="str">
            <v>Egypt</v>
          </cell>
          <cell r="B10279">
            <v>818</v>
          </cell>
          <cell r="C10279">
            <v>203</v>
          </cell>
          <cell r="D10279">
            <v>11</v>
          </cell>
          <cell r="E10279" t="str">
            <v>OPERATING SURPLUS, GROSS</v>
          </cell>
          <cell r="F10279">
            <v>12</v>
          </cell>
          <cell r="G10279">
            <v>1975</v>
          </cell>
          <cell r="H10279">
            <v>20</v>
          </cell>
          <cell r="I10279">
            <v>2660100000</v>
          </cell>
        </row>
        <row r="10280">
          <cell r="A10280" t="str">
            <v>Egypt</v>
          </cell>
          <cell r="B10280">
            <v>818</v>
          </cell>
          <cell r="C10280">
            <v>203</v>
          </cell>
          <cell r="D10280">
            <v>11</v>
          </cell>
          <cell r="E10280" t="str">
            <v>OPERATING SURPLUS, GROSS</v>
          </cell>
          <cell r="F10280">
            <v>12</v>
          </cell>
          <cell r="G10280">
            <v>1976</v>
          </cell>
          <cell r="H10280">
            <v>20</v>
          </cell>
          <cell r="I10280">
            <v>3580900000</v>
          </cell>
        </row>
        <row r="10281">
          <cell r="A10281" t="str">
            <v>Egypt</v>
          </cell>
          <cell r="B10281">
            <v>818</v>
          </cell>
          <cell r="C10281">
            <v>203</v>
          </cell>
          <cell r="D10281">
            <v>11</v>
          </cell>
          <cell r="E10281" t="str">
            <v>OPERATING SURPLUS, GROSS</v>
          </cell>
          <cell r="F10281">
            <v>12</v>
          </cell>
          <cell r="G10281">
            <v>1977</v>
          </cell>
          <cell r="H10281">
            <v>20</v>
          </cell>
          <cell r="I10281">
            <v>4277100000</v>
          </cell>
        </row>
        <row r="10282">
          <cell r="A10282" t="str">
            <v>Egypt</v>
          </cell>
          <cell r="B10282">
            <v>818</v>
          </cell>
          <cell r="C10282">
            <v>203</v>
          </cell>
          <cell r="D10282">
            <v>11</v>
          </cell>
          <cell r="E10282" t="str">
            <v>OPERATING SURPLUS, GROSS</v>
          </cell>
          <cell r="F10282">
            <v>12</v>
          </cell>
          <cell r="G10282">
            <v>1978</v>
          </cell>
          <cell r="H10282">
            <v>20</v>
          </cell>
          <cell r="I10282">
            <v>5425300000</v>
          </cell>
        </row>
        <row r="10283">
          <cell r="A10283" t="str">
            <v>Egypt</v>
          </cell>
          <cell r="B10283">
            <v>818</v>
          </cell>
          <cell r="C10283">
            <v>203</v>
          </cell>
          <cell r="D10283">
            <v>11</v>
          </cell>
          <cell r="E10283" t="str">
            <v>OPERATING SURPLUS, GROSS</v>
          </cell>
          <cell r="F10283">
            <v>12</v>
          </cell>
          <cell r="G10283">
            <v>1979</v>
          </cell>
          <cell r="H10283">
            <v>20</v>
          </cell>
          <cell r="I10283">
            <v>7954000000</v>
          </cell>
        </row>
        <row r="10284">
          <cell r="A10284" t="str">
            <v>Egypt</v>
          </cell>
          <cell r="B10284">
            <v>818</v>
          </cell>
          <cell r="C10284">
            <v>203</v>
          </cell>
          <cell r="D10284">
            <v>11</v>
          </cell>
          <cell r="E10284" t="str">
            <v>OPERATING SURPLUS, GROSS</v>
          </cell>
          <cell r="F10284">
            <v>12</v>
          </cell>
          <cell r="G10284">
            <v>1980</v>
          </cell>
          <cell r="H10284">
            <v>20</v>
          </cell>
          <cell r="I10284">
            <v>10914300000</v>
          </cell>
        </row>
        <row r="10285">
          <cell r="A10285" t="str">
            <v>Tunisia</v>
          </cell>
          <cell r="B10285">
            <v>788</v>
          </cell>
          <cell r="C10285">
            <v>203</v>
          </cell>
          <cell r="D10285">
            <v>3</v>
          </cell>
          <cell r="E10285" t="str">
            <v>Equals: VALUE ADDED, GROSS, at basic prices</v>
          </cell>
          <cell r="F10285">
            <v>12</v>
          </cell>
          <cell r="G10285">
            <v>1990</v>
          </cell>
          <cell r="H10285">
            <v>20</v>
          </cell>
          <cell r="I10285">
            <v>9929500000</v>
          </cell>
        </row>
        <row r="10286">
          <cell r="A10286" t="str">
            <v>Tunisia</v>
          </cell>
          <cell r="B10286">
            <v>788</v>
          </cell>
          <cell r="C10286">
            <v>203</v>
          </cell>
          <cell r="D10286">
            <v>3</v>
          </cell>
          <cell r="E10286" t="str">
            <v>Equals: VALUE ADDED, GROSS, at basic prices</v>
          </cell>
          <cell r="F10286">
            <v>12</v>
          </cell>
          <cell r="G10286">
            <v>1991</v>
          </cell>
          <cell r="H10286">
            <v>20</v>
          </cell>
          <cell r="I10286">
            <v>10932400000</v>
          </cell>
        </row>
        <row r="10287">
          <cell r="A10287" t="str">
            <v>Tunisia</v>
          </cell>
          <cell r="B10287">
            <v>788</v>
          </cell>
          <cell r="C10287">
            <v>203</v>
          </cell>
          <cell r="D10287">
            <v>3</v>
          </cell>
          <cell r="E10287" t="str">
            <v>Equals: VALUE ADDED, GROSS, at basic prices</v>
          </cell>
          <cell r="F10287">
            <v>12</v>
          </cell>
          <cell r="G10287">
            <v>1992</v>
          </cell>
          <cell r="H10287">
            <v>20</v>
          </cell>
          <cell r="I10287">
            <v>12310900000</v>
          </cell>
        </row>
        <row r="10288">
          <cell r="A10288" t="str">
            <v>Tunisia</v>
          </cell>
          <cell r="B10288">
            <v>788</v>
          </cell>
          <cell r="C10288">
            <v>203</v>
          </cell>
          <cell r="D10288">
            <v>3</v>
          </cell>
          <cell r="E10288" t="str">
            <v>Equals: VALUE ADDED, GROSS, at basic prices</v>
          </cell>
          <cell r="F10288">
            <v>12</v>
          </cell>
          <cell r="G10288">
            <v>1992</v>
          </cell>
          <cell r="H10288">
            <v>100</v>
          </cell>
          <cell r="I10288">
            <v>12311000000</v>
          </cell>
        </row>
        <row r="10289">
          <cell r="A10289" t="str">
            <v>Tunisia</v>
          </cell>
          <cell r="B10289">
            <v>788</v>
          </cell>
          <cell r="C10289">
            <v>203</v>
          </cell>
          <cell r="D10289">
            <v>3</v>
          </cell>
          <cell r="E10289" t="str">
            <v>Equals: VALUE ADDED, GROSS, at basic prices</v>
          </cell>
          <cell r="F10289">
            <v>12</v>
          </cell>
          <cell r="G10289">
            <v>1993</v>
          </cell>
          <cell r="H10289">
            <v>100</v>
          </cell>
          <cell r="I10289">
            <v>13201000000</v>
          </cell>
        </row>
        <row r="10290">
          <cell r="A10290" t="str">
            <v>Tunisia</v>
          </cell>
          <cell r="B10290">
            <v>788</v>
          </cell>
          <cell r="C10290">
            <v>203</v>
          </cell>
          <cell r="D10290">
            <v>3</v>
          </cell>
          <cell r="E10290" t="str">
            <v>Equals: VALUE ADDED, GROSS, at basic prices</v>
          </cell>
          <cell r="F10290">
            <v>12</v>
          </cell>
          <cell r="G10290">
            <v>1994</v>
          </cell>
          <cell r="H10290">
            <v>100</v>
          </cell>
          <cell r="I10290">
            <v>14253000000</v>
          </cell>
        </row>
        <row r="10291">
          <cell r="A10291" t="str">
            <v>Tunisia</v>
          </cell>
          <cell r="B10291">
            <v>788</v>
          </cell>
          <cell r="C10291">
            <v>203</v>
          </cell>
          <cell r="D10291">
            <v>3</v>
          </cell>
          <cell r="E10291" t="str">
            <v>Equals: VALUE ADDED, GROSS, at basic prices</v>
          </cell>
          <cell r="F10291">
            <v>12</v>
          </cell>
          <cell r="G10291">
            <v>1995</v>
          </cell>
          <cell r="H10291">
            <v>100</v>
          </cell>
          <cell r="I10291">
            <v>15410000000</v>
          </cell>
        </row>
        <row r="10292">
          <cell r="A10292" t="str">
            <v>Tunisia</v>
          </cell>
          <cell r="B10292">
            <v>788</v>
          </cell>
          <cell r="C10292">
            <v>203</v>
          </cell>
          <cell r="D10292">
            <v>3</v>
          </cell>
          <cell r="E10292" t="str">
            <v>Equals: VALUE ADDED, GROSS, at basic prices</v>
          </cell>
          <cell r="F10292">
            <v>12</v>
          </cell>
          <cell r="G10292">
            <v>1996</v>
          </cell>
          <cell r="H10292">
            <v>100</v>
          </cell>
          <cell r="I10292">
            <v>17280000000</v>
          </cell>
        </row>
        <row r="10293">
          <cell r="A10293" t="str">
            <v>Tunisia</v>
          </cell>
          <cell r="B10293">
            <v>788</v>
          </cell>
          <cell r="C10293">
            <v>203</v>
          </cell>
          <cell r="D10293">
            <v>3</v>
          </cell>
          <cell r="E10293" t="str">
            <v>Equals: VALUE ADDED, GROSS, at basic prices</v>
          </cell>
          <cell r="F10293">
            <v>12</v>
          </cell>
          <cell r="G10293">
            <v>1997</v>
          </cell>
          <cell r="H10293">
            <v>100</v>
          </cell>
          <cell r="I10293">
            <v>18850000000</v>
          </cell>
        </row>
        <row r="10294">
          <cell r="A10294" t="str">
            <v>Tunisia</v>
          </cell>
          <cell r="B10294">
            <v>788</v>
          </cell>
          <cell r="C10294">
            <v>203</v>
          </cell>
          <cell r="D10294">
            <v>3</v>
          </cell>
          <cell r="E10294" t="str">
            <v>Equals: VALUE ADDED, GROSS, at basic prices</v>
          </cell>
          <cell r="F10294">
            <v>12</v>
          </cell>
          <cell r="G10294">
            <v>1998</v>
          </cell>
          <cell r="H10294">
            <v>100</v>
          </cell>
          <cell r="I10294">
            <v>20213000000</v>
          </cell>
        </row>
        <row r="10295">
          <cell r="A10295" t="str">
            <v>Tunisia</v>
          </cell>
          <cell r="B10295">
            <v>788</v>
          </cell>
          <cell r="C10295">
            <v>203</v>
          </cell>
          <cell r="D10295">
            <v>3</v>
          </cell>
          <cell r="E10295" t="str">
            <v>Equals: VALUE ADDED, GROSS, at basic prices</v>
          </cell>
          <cell r="F10295">
            <v>12</v>
          </cell>
          <cell r="G10295">
            <v>1999</v>
          </cell>
          <cell r="H10295">
            <v>100</v>
          </cell>
          <cell r="I10295">
            <v>22093000000</v>
          </cell>
        </row>
        <row r="10296">
          <cell r="A10296" t="str">
            <v>Tunisia</v>
          </cell>
          <cell r="B10296">
            <v>788</v>
          </cell>
          <cell r="C10296">
            <v>203</v>
          </cell>
          <cell r="D10296">
            <v>3</v>
          </cell>
          <cell r="E10296" t="str">
            <v>Equals: VALUE ADDED, GROSS, at basic prices</v>
          </cell>
          <cell r="F10296">
            <v>12</v>
          </cell>
          <cell r="G10296">
            <v>2000</v>
          </cell>
          <cell r="H10296">
            <v>100</v>
          </cell>
          <cell r="I10296">
            <v>23857000000</v>
          </cell>
        </row>
        <row r="10297">
          <cell r="A10297" t="str">
            <v>Tunisia</v>
          </cell>
          <cell r="B10297">
            <v>788</v>
          </cell>
          <cell r="C10297">
            <v>203</v>
          </cell>
          <cell r="D10297">
            <v>3</v>
          </cell>
          <cell r="E10297" t="str">
            <v>Equals: VALUE ADDED, GROSS, at basic prices</v>
          </cell>
          <cell r="F10297">
            <v>12</v>
          </cell>
          <cell r="G10297">
            <v>2001</v>
          </cell>
          <cell r="H10297">
            <v>100</v>
          </cell>
          <cell r="I10297">
            <v>25671000000</v>
          </cell>
        </row>
        <row r="10298">
          <cell r="A10298" t="str">
            <v>Tunisia</v>
          </cell>
          <cell r="B10298">
            <v>788</v>
          </cell>
          <cell r="C10298">
            <v>203</v>
          </cell>
          <cell r="D10298">
            <v>3</v>
          </cell>
          <cell r="E10298" t="str">
            <v>Equals: VALUE ADDED, GROSS, at basic prices</v>
          </cell>
          <cell r="F10298">
            <v>12</v>
          </cell>
          <cell r="G10298">
            <v>2002</v>
          </cell>
          <cell r="H10298">
            <v>100</v>
          </cell>
          <cell r="I10298">
            <v>26783000000</v>
          </cell>
        </row>
        <row r="10299">
          <cell r="A10299" t="str">
            <v>Tunisia</v>
          </cell>
          <cell r="B10299">
            <v>788</v>
          </cell>
          <cell r="C10299">
            <v>203</v>
          </cell>
          <cell r="D10299">
            <v>4</v>
          </cell>
          <cell r="E10299" t="str">
            <v>Compensation of employees</v>
          </cell>
          <cell r="F10299">
            <v>12</v>
          </cell>
          <cell r="G10299">
            <v>1992</v>
          </cell>
          <cell r="H10299">
            <v>100</v>
          </cell>
          <cell r="I10299">
            <v>4973000000</v>
          </cell>
        </row>
        <row r="10300">
          <cell r="A10300" t="str">
            <v>Tunisia</v>
          </cell>
          <cell r="B10300">
            <v>788</v>
          </cell>
          <cell r="C10300">
            <v>203</v>
          </cell>
          <cell r="D10300">
            <v>4</v>
          </cell>
          <cell r="E10300" t="str">
            <v>Compensation of employees</v>
          </cell>
          <cell r="F10300">
            <v>12</v>
          </cell>
          <cell r="G10300">
            <v>1993</v>
          </cell>
          <cell r="H10300">
            <v>100</v>
          </cell>
          <cell r="I10300">
            <v>5400000000</v>
          </cell>
        </row>
        <row r="10301">
          <cell r="A10301" t="str">
            <v>Tunisia</v>
          </cell>
          <cell r="B10301">
            <v>788</v>
          </cell>
          <cell r="C10301">
            <v>203</v>
          </cell>
          <cell r="D10301">
            <v>4</v>
          </cell>
          <cell r="E10301" t="str">
            <v>Compensation of employees</v>
          </cell>
          <cell r="F10301">
            <v>12</v>
          </cell>
          <cell r="G10301">
            <v>1994</v>
          </cell>
          <cell r="H10301">
            <v>100</v>
          </cell>
          <cell r="I10301">
            <v>5832000000</v>
          </cell>
        </row>
        <row r="10302">
          <cell r="A10302" t="str">
            <v>Tunisia</v>
          </cell>
          <cell r="B10302">
            <v>788</v>
          </cell>
          <cell r="C10302">
            <v>203</v>
          </cell>
          <cell r="D10302">
            <v>4</v>
          </cell>
          <cell r="E10302" t="str">
            <v>Compensation of employees</v>
          </cell>
          <cell r="F10302">
            <v>12</v>
          </cell>
          <cell r="G10302">
            <v>1995</v>
          </cell>
          <cell r="H10302">
            <v>100</v>
          </cell>
          <cell r="I10302">
            <v>6446000000</v>
          </cell>
        </row>
        <row r="10303">
          <cell r="A10303" t="str">
            <v>Tunisia</v>
          </cell>
          <cell r="B10303">
            <v>788</v>
          </cell>
          <cell r="C10303">
            <v>203</v>
          </cell>
          <cell r="D10303">
            <v>4</v>
          </cell>
          <cell r="E10303" t="str">
            <v>Compensation of employees</v>
          </cell>
          <cell r="F10303">
            <v>12</v>
          </cell>
          <cell r="G10303">
            <v>1996</v>
          </cell>
          <cell r="H10303">
            <v>100</v>
          </cell>
          <cell r="I10303">
            <v>6989000000</v>
          </cell>
        </row>
        <row r="10304">
          <cell r="A10304" t="str">
            <v>Tunisia</v>
          </cell>
          <cell r="B10304">
            <v>788</v>
          </cell>
          <cell r="C10304">
            <v>203</v>
          </cell>
          <cell r="D10304">
            <v>4</v>
          </cell>
          <cell r="E10304" t="str">
            <v>Compensation of employees</v>
          </cell>
          <cell r="F10304">
            <v>12</v>
          </cell>
          <cell r="G10304">
            <v>1997</v>
          </cell>
          <cell r="H10304">
            <v>100</v>
          </cell>
          <cell r="I10304">
            <v>7724000000</v>
          </cell>
        </row>
        <row r="10305">
          <cell r="A10305" t="str">
            <v>Tunisia</v>
          </cell>
          <cell r="B10305">
            <v>788</v>
          </cell>
          <cell r="C10305">
            <v>203</v>
          </cell>
          <cell r="D10305">
            <v>4</v>
          </cell>
          <cell r="E10305" t="str">
            <v>Compensation of employees</v>
          </cell>
          <cell r="F10305">
            <v>12</v>
          </cell>
          <cell r="G10305">
            <v>1998</v>
          </cell>
          <cell r="H10305">
            <v>100</v>
          </cell>
          <cell r="I10305">
            <v>8172000000</v>
          </cell>
        </row>
        <row r="10306">
          <cell r="A10306" t="str">
            <v>Tunisia</v>
          </cell>
          <cell r="B10306">
            <v>788</v>
          </cell>
          <cell r="C10306">
            <v>203</v>
          </cell>
          <cell r="D10306">
            <v>4</v>
          </cell>
          <cell r="E10306" t="str">
            <v>Compensation of employees</v>
          </cell>
          <cell r="F10306">
            <v>12</v>
          </cell>
          <cell r="G10306">
            <v>1999</v>
          </cell>
          <cell r="H10306">
            <v>100</v>
          </cell>
          <cell r="I10306">
            <v>8887000000</v>
          </cell>
        </row>
        <row r="10307">
          <cell r="A10307" t="str">
            <v>Tunisia</v>
          </cell>
          <cell r="B10307">
            <v>788</v>
          </cell>
          <cell r="C10307">
            <v>203</v>
          </cell>
          <cell r="D10307">
            <v>4</v>
          </cell>
          <cell r="E10307" t="str">
            <v>Compensation of employees</v>
          </cell>
          <cell r="F10307">
            <v>12</v>
          </cell>
          <cell r="G10307">
            <v>2000</v>
          </cell>
          <cell r="H10307">
            <v>100</v>
          </cell>
          <cell r="I10307">
            <v>9641000000</v>
          </cell>
        </row>
        <row r="10308">
          <cell r="A10308" t="str">
            <v>Tunisia</v>
          </cell>
          <cell r="B10308">
            <v>788</v>
          </cell>
          <cell r="C10308">
            <v>203</v>
          </cell>
          <cell r="D10308">
            <v>4</v>
          </cell>
          <cell r="E10308" t="str">
            <v>Compensation of employees</v>
          </cell>
          <cell r="F10308">
            <v>12</v>
          </cell>
          <cell r="G10308">
            <v>2001</v>
          </cell>
          <cell r="H10308">
            <v>100</v>
          </cell>
          <cell r="I10308">
            <v>10441000000</v>
          </cell>
        </row>
        <row r="10309">
          <cell r="A10309" t="str">
            <v>Tunisia</v>
          </cell>
          <cell r="B10309">
            <v>788</v>
          </cell>
          <cell r="C10309">
            <v>203</v>
          </cell>
          <cell r="D10309">
            <v>4</v>
          </cell>
          <cell r="E10309" t="str">
            <v>Compensation of employees</v>
          </cell>
          <cell r="F10309">
            <v>12</v>
          </cell>
          <cell r="G10309">
            <v>2002</v>
          </cell>
          <cell r="H10309">
            <v>100</v>
          </cell>
          <cell r="I10309">
            <v>11193000000</v>
          </cell>
        </row>
        <row r="10310">
          <cell r="A10310" t="str">
            <v>Tunisia</v>
          </cell>
          <cell r="B10310">
            <v>788</v>
          </cell>
          <cell r="C10310">
            <v>203</v>
          </cell>
          <cell r="D10310">
            <v>11</v>
          </cell>
          <cell r="E10310" t="str">
            <v>OPERATING SURPLUS, GROSS</v>
          </cell>
          <cell r="F10310">
            <v>12</v>
          </cell>
          <cell r="G10310">
            <v>1992</v>
          </cell>
          <cell r="H10310">
            <v>100</v>
          </cell>
          <cell r="I10310">
            <v>7338000000</v>
          </cell>
        </row>
        <row r="10311">
          <cell r="A10311" t="str">
            <v>Tunisia</v>
          </cell>
          <cell r="B10311">
            <v>788</v>
          </cell>
          <cell r="C10311">
            <v>203</v>
          </cell>
          <cell r="D10311">
            <v>11</v>
          </cell>
          <cell r="E10311" t="str">
            <v>OPERATING SURPLUS, GROSS</v>
          </cell>
          <cell r="F10311">
            <v>12</v>
          </cell>
          <cell r="G10311">
            <v>1993</v>
          </cell>
          <cell r="H10311">
            <v>100</v>
          </cell>
          <cell r="I10311">
            <v>7801000000</v>
          </cell>
        </row>
        <row r="10312">
          <cell r="A10312" t="str">
            <v>Tunisia</v>
          </cell>
          <cell r="B10312">
            <v>788</v>
          </cell>
          <cell r="C10312">
            <v>203</v>
          </cell>
          <cell r="D10312">
            <v>11</v>
          </cell>
          <cell r="E10312" t="str">
            <v>OPERATING SURPLUS, GROSS</v>
          </cell>
          <cell r="F10312">
            <v>12</v>
          </cell>
          <cell r="G10312">
            <v>1994</v>
          </cell>
          <cell r="H10312">
            <v>100</v>
          </cell>
          <cell r="I10312">
            <v>8421000000</v>
          </cell>
        </row>
        <row r="10313">
          <cell r="A10313" t="str">
            <v>Tunisia</v>
          </cell>
          <cell r="B10313">
            <v>788</v>
          </cell>
          <cell r="C10313">
            <v>203</v>
          </cell>
          <cell r="D10313">
            <v>11</v>
          </cell>
          <cell r="E10313" t="str">
            <v>OPERATING SURPLUS, GROSS</v>
          </cell>
          <cell r="F10313">
            <v>12</v>
          </cell>
          <cell r="G10313">
            <v>1995</v>
          </cell>
          <cell r="H10313">
            <v>100</v>
          </cell>
          <cell r="I10313">
            <v>8964000000</v>
          </cell>
        </row>
        <row r="10314">
          <cell r="A10314" t="str">
            <v>Tunisia</v>
          </cell>
          <cell r="B10314">
            <v>788</v>
          </cell>
          <cell r="C10314">
            <v>203</v>
          </cell>
          <cell r="D10314">
            <v>11</v>
          </cell>
          <cell r="E10314" t="str">
            <v>OPERATING SURPLUS, GROSS</v>
          </cell>
          <cell r="F10314">
            <v>12</v>
          </cell>
          <cell r="G10314">
            <v>1996</v>
          </cell>
          <cell r="H10314">
            <v>100</v>
          </cell>
          <cell r="I10314">
            <v>10290000000</v>
          </cell>
        </row>
        <row r="10315">
          <cell r="A10315" t="str">
            <v>Tunisia</v>
          </cell>
          <cell r="B10315">
            <v>788</v>
          </cell>
          <cell r="C10315">
            <v>203</v>
          </cell>
          <cell r="D10315">
            <v>11</v>
          </cell>
          <cell r="E10315" t="str">
            <v>OPERATING SURPLUS, GROSS</v>
          </cell>
          <cell r="F10315">
            <v>12</v>
          </cell>
          <cell r="G10315">
            <v>1997</v>
          </cell>
          <cell r="H10315">
            <v>100</v>
          </cell>
          <cell r="I10315">
            <v>11127000000</v>
          </cell>
        </row>
        <row r="10316">
          <cell r="A10316" t="str">
            <v>Tunisia</v>
          </cell>
          <cell r="B10316">
            <v>788</v>
          </cell>
          <cell r="C10316">
            <v>203</v>
          </cell>
          <cell r="D10316">
            <v>11</v>
          </cell>
          <cell r="E10316" t="str">
            <v>OPERATING SURPLUS, GROSS</v>
          </cell>
          <cell r="F10316">
            <v>12</v>
          </cell>
          <cell r="G10316">
            <v>1998</v>
          </cell>
          <cell r="H10316">
            <v>100</v>
          </cell>
          <cell r="I10316">
            <v>12041000000</v>
          </cell>
        </row>
        <row r="10317">
          <cell r="A10317" t="str">
            <v>Tunisia</v>
          </cell>
          <cell r="B10317">
            <v>788</v>
          </cell>
          <cell r="C10317">
            <v>203</v>
          </cell>
          <cell r="D10317">
            <v>11</v>
          </cell>
          <cell r="E10317" t="str">
            <v>OPERATING SURPLUS, GROSS</v>
          </cell>
          <cell r="F10317">
            <v>12</v>
          </cell>
          <cell r="G10317">
            <v>1999</v>
          </cell>
          <cell r="H10317">
            <v>100</v>
          </cell>
          <cell r="I10317">
            <v>13207000000</v>
          </cell>
        </row>
        <row r="10318">
          <cell r="A10318" t="str">
            <v>Tunisia</v>
          </cell>
          <cell r="B10318">
            <v>788</v>
          </cell>
          <cell r="C10318">
            <v>203</v>
          </cell>
          <cell r="D10318">
            <v>11</v>
          </cell>
          <cell r="E10318" t="str">
            <v>OPERATING SURPLUS, GROSS</v>
          </cell>
          <cell r="F10318">
            <v>12</v>
          </cell>
          <cell r="G10318">
            <v>2000</v>
          </cell>
          <cell r="H10318">
            <v>100</v>
          </cell>
          <cell r="I10318">
            <v>14216000000</v>
          </cell>
        </row>
        <row r="10319">
          <cell r="A10319" t="str">
            <v>Tunisia</v>
          </cell>
          <cell r="B10319">
            <v>788</v>
          </cell>
          <cell r="C10319">
            <v>203</v>
          </cell>
          <cell r="D10319">
            <v>11</v>
          </cell>
          <cell r="E10319" t="str">
            <v>OPERATING SURPLUS, GROSS</v>
          </cell>
          <cell r="F10319">
            <v>12</v>
          </cell>
          <cell r="G10319">
            <v>2001</v>
          </cell>
          <cell r="H10319">
            <v>100</v>
          </cell>
          <cell r="I10319">
            <v>15230000000</v>
          </cell>
        </row>
        <row r="10320">
          <cell r="A10320" t="str">
            <v>Tunisia</v>
          </cell>
          <cell r="B10320">
            <v>788</v>
          </cell>
          <cell r="C10320">
            <v>203</v>
          </cell>
          <cell r="D10320">
            <v>11</v>
          </cell>
          <cell r="E10320" t="str">
            <v>OPERATING SURPLUS, GROSS</v>
          </cell>
          <cell r="F10320">
            <v>12</v>
          </cell>
          <cell r="G10320">
            <v>2002</v>
          </cell>
          <cell r="H10320">
            <v>100</v>
          </cell>
          <cell r="I10320">
            <v>15590000000</v>
          </cell>
        </row>
        <row r="10321">
          <cell r="A10321" t="str">
            <v>Uruguay</v>
          </cell>
          <cell r="B10321">
            <v>858</v>
          </cell>
          <cell r="C10321">
            <v>201</v>
          </cell>
          <cell r="D10321">
            <v>13</v>
          </cell>
          <cell r="E10321" t="str">
            <v>Less: Financial intermediation services indirectly measured (FISIM) (only to be deducted if FISIM is not distributed to uses)</v>
          </cell>
          <cell r="F10321">
            <v>0</v>
          </cell>
          <cell r="G10321">
            <v>1983</v>
          </cell>
          <cell r="H10321">
            <v>20</v>
          </cell>
          <cell r="I10321">
            <v>13901000</v>
          </cell>
        </row>
        <row r="10322">
          <cell r="A10322" t="str">
            <v>Uruguay</v>
          </cell>
          <cell r="B10322">
            <v>858</v>
          </cell>
          <cell r="C10322">
            <v>201</v>
          </cell>
          <cell r="D10322">
            <v>13</v>
          </cell>
          <cell r="E10322" t="str">
            <v>Less: Financial intermediation services indirectly measured (FISIM) (only to be deducted if FISIM is not distributed to uses)</v>
          </cell>
          <cell r="F10322">
            <v>0</v>
          </cell>
          <cell r="G10322">
            <v>1984</v>
          </cell>
          <cell r="H10322">
            <v>20</v>
          </cell>
          <cell r="I10322">
            <v>32510999.989999998</v>
          </cell>
        </row>
        <row r="10323">
          <cell r="A10323" t="str">
            <v>Uruguay</v>
          </cell>
          <cell r="B10323">
            <v>858</v>
          </cell>
          <cell r="C10323">
            <v>201</v>
          </cell>
          <cell r="D10323">
            <v>13</v>
          </cell>
          <cell r="E10323" t="str">
            <v>Less: Financial intermediation services indirectly measured (FISIM) (only to be deducted if FISIM is not distributed to uses)</v>
          </cell>
          <cell r="F10323">
            <v>0</v>
          </cell>
          <cell r="G10323">
            <v>1985</v>
          </cell>
          <cell r="H10323">
            <v>20</v>
          </cell>
          <cell r="I10323">
            <v>56123999.990000002</v>
          </cell>
        </row>
        <row r="10324">
          <cell r="A10324" t="str">
            <v>Uruguay</v>
          </cell>
          <cell r="B10324">
            <v>858</v>
          </cell>
          <cell r="C10324">
            <v>201</v>
          </cell>
          <cell r="D10324">
            <v>13</v>
          </cell>
          <cell r="E10324" t="str">
            <v>Less: Financial intermediation services indirectly measured (FISIM) (only to be deducted if FISIM is not distributed to uses)</v>
          </cell>
          <cell r="F10324">
            <v>0</v>
          </cell>
          <cell r="G10324">
            <v>1986</v>
          </cell>
          <cell r="H10324">
            <v>20</v>
          </cell>
          <cell r="I10324">
            <v>85628000</v>
          </cell>
        </row>
        <row r="10325">
          <cell r="A10325" t="str">
            <v>Uruguay</v>
          </cell>
          <cell r="B10325">
            <v>858</v>
          </cell>
          <cell r="C10325">
            <v>201</v>
          </cell>
          <cell r="D10325">
            <v>13</v>
          </cell>
          <cell r="E10325" t="str">
            <v>Less: Financial intermediation services indirectly measured (FISIM) (only to be deducted if FISIM is not distributed to uses)</v>
          </cell>
          <cell r="F10325">
            <v>0</v>
          </cell>
          <cell r="G10325">
            <v>1987</v>
          </cell>
          <cell r="H10325">
            <v>20</v>
          </cell>
          <cell r="I10325">
            <v>107814000</v>
          </cell>
        </row>
        <row r="10326">
          <cell r="A10326" t="str">
            <v>Uruguay</v>
          </cell>
          <cell r="B10326">
            <v>858</v>
          </cell>
          <cell r="C10326">
            <v>201</v>
          </cell>
          <cell r="D10326">
            <v>13</v>
          </cell>
          <cell r="E10326" t="str">
            <v>Less: Financial intermediation services indirectly measured (FISIM) (only to be deducted if FISIM is not distributed to uses)</v>
          </cell>
          <cell r="F10326">
            <v>0</v>
          </cell>
          <cell r="G10326">
            <v>1988</v>
          </cell>
          <cell r="H10326">
            <v>20</v>
          </cell>
          <cell r="I10326">
            <v>212687000</v>
          </cell>
        </row>
        <row r="10327">
          <cell r="A10327" t="str">
            <v>Uruguay</v>
          </cell>
          <cell r="B10327">
            <v>858</v>
          </cell>
          <cell r="C10327">
            <v>201</v>
          </cell>
          <cell r="D10327">
            <v>13</v>
          </cell>
          <cell r="E10327" t="str">
            <v>Less: Financial intermediation services indirectly measured (FISIM) (only to be deducted if FISIM is not distributed to uses)</v>
          </cell>
          <cell r="F10327">
            <v>0</v>
          </cell>
          <cell r="G10327">
            <v>1989</v>
          </cell>
          <cell r="H10327">
            <v>20</v>
          </cell>
          <cell r="I10327">
            <v>466353999.89999998</v>
          </cell>
        </row>
        <row r="10328">
          <cell r="A10328" t="str">
            <v>Uruguay</v>
          </cell>
          <cell r="B10328">
            <v>858</v>
          </cell>
          <cell r="C10328">
            <v>201</v>
          </cell>
          <cell r="D10328">
            <v>13</v>
          </cell>
          <cell r="E10328" t="str">
            <v>Less: Financial intermediation services indirectly measured (FISIM) (only to be deducted if FISIM is not distributed to uses)</v>
          </cell>
          <cell r="F10328">
            <v>0</v>
          </cell>
          <cell r="G10328">
            <v>1990</v>
          </cell>
          <cell r="H10328">
            <v>20</v>
          </cell>
          <cell r="I10328">
            <v>994000000</v>
          </cell>
        </row>
        <row r="10329">
          <cell r="A10329" t="str">
            <v>Uruguay</v>
          </cell>
          <cell r="B10329">
            <v>858</v>
          </cell>
          <cell r="C10329">
            <v>201</v>
          </cell>
          <cell r="D10329">
            <v>13</v>
          </cell>
          <cell r="E10329" t="str">
            <v>Less: Financial intermediation services indirectly measured (FISIM) (only to be deducted if FISIM is not distributed to uses)</v>
          </cell>
          <cell r="F10329">
            <v>0</v>
          </cell>
          <cell r="G10329">
            <v>1991</v>
          </cell>
          <cell r="H10329">
            <v>20</v>
          </cell>
          <cell r="I10329">
            <v>1814518000</v>
          </cell>
        </row>
        <row r="10330">
          <cell r="A10330" t="str">
            <v>Uruguay</v>
          </cell>
          <cell r="B10330">
            <v>858</v>
          </cell>
          <cell r="C10330">
            <v>201</v>
          </cell>
          <cell r="D10330">
            <v>13</v>
          </cell>
          <cell r="E10330" t="str">
            <v>Less: Financial intermediation services indirectly measured (FISIM) (only to be deducted if FISIM is not distributed to uses)</v>
          </cell>
          <cell r="F10330">
            <v>0</v>
          </cell>
          <cell r="G10330">
            <v>1992</v>
          </cell>
          <cell r="H10330">
            <v>20</v>
          </cell>
          <cell r="I10330">
            <v>2632000000</v>
          </cell>
        </row>
        <row r="10331">
          <cell r="A10331" t="str">
            <v>Uruguay</v>
          </cell>
          <cell r="B10331">
            <v>858</v>
          </cell>
          <cell r="C10331">
            <v>201</v>
          </cell>
          <cell r="D10331">
            <v>13</v>
          </cell>
          <cell r="E10331" t="str">
            <v>Less: Financial intermediation services indirectly measured (FISIM) (only to be deducted if FISIM is not distributed to uses)</v>
          </cell>
          <cell r="F10331">
            <v>0</v>
          </cell>
          <cell r="G10331">
            <v>1993</v>
          </cell>
          <cell r="H10331">
            <v>20</v>
          </cell>
          <cell r="I10331">
            <v>5326000000</v>
          </cell>
        </row>
        <row r="10332">
          <cell r="A10332" t="str">
            <v>Uruguay</v>
          </cell>
          <cell r="B10332">
            <v>858</v>
          </cell>
          <cell r="C10332">
            <v>201</v>
          </cell>
          <cell r="D10332">
            <v>13</v>
          </cell>
          <cell r="E10332" t="str">
            <v>Less: Financial intermediation services indirectly measured (FISIM) (only to be deducted if FISIM is not distributed to uses)</v>
          </cell>
          <cell r="F10332">
            <v>0</v>
          </cell>
          <cell r="G10332">
            <v>1994</v>
          </cell>
          <cell r="H10332">
            <v>20</v>
          </cell>
          <cell r="I10332">
            <v>5758000000</v>
          </cell>
        </row>
        <row r="10333">
          <cell r="A10333" t="str">
            <v>Uruguay</v>
          </cell>
          <cell r="B10333">
            <v>858</v>
          </cell>
          <cell r="C10333">
            <v>201</v>
          </cell>
          <cell r="D10333">
            <v>13</v>
          </cell>
          <cell r="E10333" t="str">
            <v>Less: Financial intermediation services indirectly measured (FISIM) (only to be deducted if FISIM is not distributed to uses)</v>
          </cell>
          <cell r="F10333">
            <v>0</v>
          </cell>
          <cell r="G10333">
            <v>1995</v>
          </cell>
          <cell r="H10333">
            <v>20</v>
          </cell>
          <cell r="I10333">
            <v>7844000000</v>
          </cell>
        </row>
        <row r="10334">
          <cell r="A10334" t="str">
            <v>Uruguay</v>
          </cell>
          <cell r="B10334">
            <v>858</v>
          </cell>
          <cell r="C10334">
            <v>201</v>
          </cell>
          <cell r="D10334">
            <v>13</v>
          </cell>
          <cell r="E10334" t="str">
            <v>Less: Financial intermediation services indirectly measured (FISIM) (only to be deducted if FISIM is not distributed to uses)</v>
          </cell>
          <cell r="F10334">
            <v>0</v>
          </cell>
          <cell r="G10334">
            <v>1996</v>
          </cell>
          <cell r="H10334">
            <v>20</v>
          </cell>
          <cell r="I10334">
            <v>10794000000</v>
          </cell>
        </row>
        <row r="10335">
          <cell r="A10335" t="str">
            <v>Uruguay</v>
          </cell>
          <cell r="B10335">
            <v>858</v>
          </cell>
          <cell r="C10335">
            <v>201</v>
          </cell>
          <cell r="D10335">
            <v>13</v>
          </cell>
          <cell r="E10335" t="str">
            <v>Less: Financial intermediation services indirectly measured (FISIM) (only to be deducted if FISIM is not distributed to uses)</v>
          </cell>
          <cell r="F10335">
            <v>0</v>
          </cell>
          <cell r="G10335">
            <v>1997</v>
          </cell>
          <cell r="H10335">
            <v>20</v>
          </cell>
          <cell r="I10335">
            <v>13797000000</v>
          </cell>
        </row>
        <row r="10336">
          <cell r="A10336" t="str">
            <v>Uruguay</v>
          </cell>
          <cell r="B10336">
            <v>858</v>
          </cell>
          <cell r="C10336">
            <v>201</v>
          </cell>
          <cell r="D10336">
            <v>13</v>
          </cell>
          <cell r="E10336" t="str">
            <v>Less: Financial intermediation services indirectly measured (FISIM) (only to be deducted if FISIM is not distributed to uses)</v>
          </cell>
          <cell r="F10336">
            <v>0</v>
          </cell>
          <cell r="G10336">
            <v>1998</v>
          </cell>
          <cell r="H10336">
            <v>20</v>
          </cell>
          <cell r="I10336">
            <v>15966000000</v>
          </cell>
        </row>
        <row r="10337">
          <cell r="A10337" t="str">
            <v>Uruguay</v>
          </cell>
          <cell r="B10337">
            <v>858</v>
          </cell>
          <cell r="C10337">
            <v>201</v>
          </cell>
          <cell r="D10337">
            <v>13</v>
          </cell>
          <cell r="E10337" t="str">
            <v>Less: Financial intermediation services indirectly measured (FISIM) (only to be deducted if FISIM is not distributed to uses)</v>
          </cell>
          <cell r="F10337">
            <v>0</v>
          </cell>
          <cell r="G10337">
            <v>1999</v>
          </cell>
          <cell r="H10337">
            <v>20</v>
          </cell>
          <cell r="I10337">
            <v>19154915000</v>
          </cell>
        </row>
        <row r="10338">
          <cell r="A10338" t="str">
            <v>Uruguay</v>
          </cell>
          <cell r="B10338">
            <v>858</v>
          </cell>
          <cell r="C10338">
            <v>201</v>
          </cell>
          <cell r="D10338">
            <v>13</v>
          </cell>
          <cell r="E10338" t="str">
            <v>Less: Financial intermediation services indirectly measured (FISIM) (only to be deducted if FISIM is not distributed to uses)</v>
          </cell>
          <cell r="F10338">
            <v>0</v>
          </cell>
          <cell r="G10338">
            <v>2000</v>
          </cell>
          <cell r="H10338">
            <v>20</v>
          </cell>
          <cell r="I10338">
            <v>21295248000</v>
          </cell>
        </row>
        <row r="10339">
          <cell r="A10339" t="str">
            <v>Uruguay</v>
          </cell>
          <cell r="B10339">
            <v>858</v>
          </cell>
          <cell r="C10339">
            <v>201</v>
          </cell>
          <cell r="D10339">
            <v>13</v>
          </cell>
          <cell r="E10339" t="str">
            <v>Less: Financial intermediation services indirectly measured (FISIM) (only to be deducted if FISIM is not distributed to uses)</v>
          </cell>
          <cell r="F10339">
            <v>0</v>
          </cell>
          <cell r="G10339">
            <v>2001</v>
          </cell>
          <cell r="H10339">
            <v>20</v>
          </cell>
          <cell r="I10339">
            <v>25326000000</v>
          </cell>
        </row>
        <row r="10340">
          <cell r="A10340" t="str">
            <v>Uruguay</v>
          </cell>
          <cell r="B10340">
            <v>858</v>
          </cell>
          <cell r="C10340">
            <v>201</v>
          </cell>
          <cell r="D10340">
            <v>13</v>
          </cell>
          <cell r="E10340" t="str">
            <v>Less: Financial intermediation services indirectly measured (FISIM) (only to be deducted if FISIM is not distributed to uses)</v>
          </cell>
          <cell r="F10340">
            <v>0</v>
          </cell>
          <cell r="G10340">
            <v>2002</v>
          </cell>
          <cell r="H10340">
            <v>20</v>
          </cell>
          <cell r="I10340">
            <v>25575000000</v>
          </cell>
        </row>
        <row r="10341">
          <cell r="A10341" t="str">
            <v>Uruguay</v>
          </cell>
          <cell r="B10341">
            <v>858</v>
          </cell>
          <cell r="C10341">
            <v>201</v>
          </cell>
          <cell r="D10341">
            <v>13</v>
          </cell>
          <cell r="E10341" t="str">
            <v>Less: Financial intermediation services indirectly measured (FISIM) (only to be deducted if FISIM is not distributed to uses)</v>
          </cell>
          <cell r="F10341">
            <v>0</v>
          </cell>
          <cell r="G10341">
            <v>2003</v>
          </cell>
          <cell r="H10341">
            <v>20</v>
          </cell>
          <cell r="I10341">
            <v>28726000000</v>
          </cell>
        </row>
        <row r="10342">
          <cell r="A10342" t="str">
            <v>Uruguay</v>
          </cell>
          <cell r="B10342">
            <v>858</v>
          </cell>
          <cell r="C10342">
            <v>201</v>
          </cell>
          <cell r="D10342">
            <v>13</v>
          </cell>
          <cell r="E10342" t="str">
            <v>Less: Financial intermediation services indirectly measured (FISIM) (only to be deducted if FISIM is not distributed to uses)</v>
          </cell>
          <cell r="F10342">
            <v>0</v>
          </cell>
          <cell r="G10342">
            <v>2004</v>
          </cell>
          <cell r="H10342">
            <v>20</v>
          </cell>
          <cell r="I10342">
            <v>30123000000</v>
          </cell>
        </row>
        <row r="10343">
          <cell r="A10343" t="str">
            <v>Ukraine</v>
          </cell>
          <cell r="B10343">
            <v>804</v>
          </cell>
          <cell r="C10343">
            <v>201</v>
          </cell>
          <cell r="D10343">
            <v>13</v>
          </cell>
          <cell r="E10343" t="str">
            <v>Less: Financial intermediation services indirectly measured (FISIM) (only to be deducted if FISIM is not distributed to uses)</v>
          </cell>
          <cell r="F10343">
            <v>0</v>
          </cell>
          <cell r="G10343">
            <v>1990</v>
          </cell>
          <cell r="H10343">
            <v>300</v>
          </cell>
          <cell r="I10343">
            <v>0</v>
          </cell>
        </row>
        <row r="10344">
          <cell r="A10344" t="str">
            <v>Ukraine</v>
          </cell>
          <cell r="B10344">
            <v>804</v>
          </cell>
          <cell r="C10344">
            <v>201</v>
          </cell>
          <cell r="D10344">
            <v>13</v>
          </cell>
          <cell r="E10344" t="str">
            <v>Less: Financial intermediation services indirectly measured (FISIM) (only to be deducted if FISIM is not distributed to uses)</v>
          </cell>
          <cell r="F10344">
            <v>0</v>
          </cell>
          <cell r="G10344">
            <v>1991</v>
          </cell>
          <cell r="H10344">
            <v>300</v>
          </cell>
          <cell r="I10344">
            <v>0</v>
          </cell>
        </row>
        <row r="10345">
          <cell r="A10345" t="str">
            <v>Ukraine</v>
          </cell>
          <cell r="B10345">
            <v>804</v>
          </cell>
          <cell r="C10345">
            <v>201</v>
          </cell>
          <cell r="D10345">
            <v>13</v>
          </cell>
          <cell r="E10345" t="str">
            <v>Less: Financial intermediation services indirectly measured (FISIM) (only to be deducted if FISIM is not distributed to uses)</v>
          </cell>
          <cell r="F10345">
            <v>0</v>
          </cell>
          <cell r="G10345">
            <v>1992</v>
          </cell>
          <cell r="H10345">
            <v>300</v>
          </cell>
          <cell r="I10345">
            <v>2000000</v>
          </cell>
        </row>
        <row r="10346">
          <cell r="A10346" t="str">
            <v>Ukraine</v>
          </cell>
          <cell r="B10346">
            <v>804</v>
          </cell>
          <cell r="C10346">
            <v>201</v>
          </cell>
          <cell r="D10346">
            <v>13</v>
          </cell>
          <cell r="E10346" t="str">
            <v>Less: Financial intermediation services indirectly measured (FISIM) (only to be deducted if FISIM is not distributed to uses)</v>
          </cell>
          <cell r="F10346">
            <v>0</v>
          </cell>
          <cell r="G10346">
            <v>1993</v>
          </cell>
          <cell r="H10346">
            <v>300</v>
          </cell>
          <cell r="I10346">
            <v>121000000</v>
          </cell>
        </row>
        <row r="10347">
          <cell r="A10347" t="str">
            <v>Ukraine</v>
          </cell>
          <cell r="B10347">
            <v>804</v>
          </cell>
          <cell r="C10347">
            <v>201</v>
          </cell>
          <cell r="D10347">
            <v>13</v>
          </cell>
          <cell r="E10347" t="str">
            <v>Less: Financial intermediation services indirectly measured (FISIM) (only to be deducted if FISIM is not distributed to uses)</v>
          </cell>
          <cell r="F10347">
            <v>0</v>
          </cell>
          <cell r="G10347">
            <v>1994</v>
          </cell>
          <cell r="H10347">
            <v>300</v>
          </cell>
          <cell r="I10347">
            <v>684000000</v>
          </cell>
        </row>
        <row r="10348">
          <cell r="A10348" t="str">
            <v>Ukraine</v>
          </cell>
          <cell r="B10348">
            <v>804</v>
          </cell>
          <cell r="C10348">
            <v>201</v>
          </cell>
          <cell r="D10348">
            <v>13</v>
          </cell>
          <cell r="E10348" t="str">
            <v>Less: Financial intermediation services indirectly measured (FISIM) (only to be deducted if FISIM is not distributed to uses)</v>
          </cell>
          <cell r="F10348">
            <v>0</v>
          </cell>
          <cell r="G10348">
            <v>1995</v>
          </cell>
          <cell r="H10348">
            <v>300</v>
          </cell>
          <cell r="I10348">
            <v>1243000000</v>
          </cell>
        </row>
        <row r="10349">
          <cell r="A10349" t="str">
            <v>Ukraine</v>
          </cell>
          <cell r="B10349">
            <v>804</v>
          </cell>
          <cell r="C10349">
            <v>201</v>
          </cell>
          <cell r="D10349">
            <v>13</v>
          </cell>
          <cell r="E10349" t="str">
            <v>Less: Financial intermediation services indirectly measured (FISIM) (only to be deducted if FISIM is not distributed to uses)</v>
          </cell>
          <cell r="F10349">
            <v>0</v>
          </cell>
          <cell r="G10349">
            <v>1996</v>
          </cell>
          <cell r="H10349">
            <v>300</v>
          </cell>
          <cell r="I10349">
            <v>1087000000</v>
          </cell>
        </row>
        <row r="10350">
          <cell r="A10350" t="str">
            <v>Ukraine</v>
          </cell>
          <cell r="B10350">
            <v>804</v>
          </cell>
          <cell r="C10350">
            <v>201</v>
          </cell>
          <cell r="D10350">
            <v>13</v>
          </cell>
          <cell r="E10350" t="str">
            <v>Less: Financial intermediation services indirectly measured (FISIM) (only to be deducted if FISIM is not distributed to uses)</v>
          </cell>
          <cell r="F10350">
            <v>0</v>
          </cell>
          <cell r="G10350">
            <v>1997</v>
          </cell>
          <cell r="H10350">
            <v>300</v>
          </cell>
          <cell r="I10350">
            <v>1030000000</v>
          </cell>
        </row>
        <row r="10351">
          <cell r="A10351" t="str">
            <v>Ukraine</v>
          </cell>
          <cell r="B10351">
            <v>804</v>
          </cell>
          <cell r="C10351">
            <v>201</v>
          </cell>
          <cell r="D10351">
            <v>13</v>
          </cell>
          <cell r="E10351" t="str">
            <v>Less: Financial intermediation services indirectly measured (FISIM) (only to be deducted if FISIM is not distributed to uses)</v>
          </cell>
          <cell r="F10351">
            <v>0</v>
          </cell>
          <cell r="G10351">
            <v>1998</v>
          </cell>
          <cell r="H10351">
            <v>300</v>
          </cell>
          <cell r="I10351">
            <v>1014000000</v>
          </cell>
        </row>
        <row r="10352">
          <cell r="A10352" t="str">
            <v>Ukraine</v>
          </cell>
          <cell r="B10352">
            <v>804</v>
          </cell>
          <cell r="C10352">
            <v>201</v>
          </cell>
          <cell r="D10352">
            <v>13</v>
          </cell>
          <cell r="E10352" t="str">
            <v>Less: Financial intermediation services indirectly measured (FISIM) (only to be deducted if FISIM is not distributed to uses)</v>
          </cell>
          <cell r="F10352">
            <v>0</v>
          </cell>
          <cell r="G10352">
            <v>1999</v>
          </cell>
          <cell r="H10352">
            <v>300</v>
          </cell>
          <cell r="I10352">
            <v>1157000000</v>
          </cell>
        </row>
        <row r="10353">
          <cell r="A10353" t="str">
            <v>Ukraine</v>
          </cell>
          <cell r="B10353">
            <v>804</v>
          </cell>
          <cell r="C10353">
            <v>201</v>
          </cell>
          <cell r="D10353">
            <v>13</v>
          </cell>
          <cell r="E10353" t="str">
            <v>Less: Financial intermediation services indirectly measured (FISIM) (only to be deducted if FISIM is not distributed to uses)</v>
          </cell>
          <cell r="F10353">
            <v>0</v>
          </cell>
          <cell r="G10353">
            <v>2000</v>
          </cell>
          <cell r="H10353">
            <v>300</v>
          </cell>
          <cell r="I10353">
            <v>1745000000</v>
          </cell>
        </row>
        <row r="10354">
          <cell r="A10354" t="str">
            <v>Ukraine</v>
          </cell>
          <cell r="B10354">
            <v>804</v>
          </cell>
          <cell r="C10354">
            <v>201</v>
          </cell>
          <cell r="D10354">
            <v>13</v>
          </cell>
          <cell r="E10354" t="str">
            <v>Less: Financial intermediation services indirectly measured (FISIM) (only to be deducted if FISIM is not distributed to uses)</v>
          </cell>
          <cell r="F10354">
            <v>0</v>
          </cell>
          <cell r="G10354">
            <v>2001</v>
          </cell>
          <cell r="H10354">
            <v>300</v>
          </cell>
          <cell r="I10354">
            <v>2806000000</v>
          </cell>
        </row>
        <row r="10355">
          <cell r="A10355" t="str">
            <v>Ukraine</v>
          </cell>
          <cell r="B10355">
            <v>804</v>
          </cell>
          <cell r="C10355">
            <v>201</v>
          </cell>
          <cell r="D10355">
            <v>13</v>
          </cell>
          <cell r="E10355" t="str">
            <v>Less: Financial intermediation services indirectly measured (FISIM) (only to be deducted if FISIM is not distributed to uses)</v>
          </cell>
          <cell r="F10355">
            <v>0</v>
          </cell>
          <cell r="G10355">
            <v>2002</v>
          </cell>
          <cell r="H10355">
            <v>300</v>
          </cell>
          <cell r="I10355">
            <v>3148000000</v>
          </cell>
        </row>
        <row r="10356">
          <cell r="A10356" t="str">
            <v>Ukraine</v>
          </cell>
          <cell r="B10356">
            <v>804</v>
          </cell>
          <cell r="C10356">
            <v>201</v>
          </cell>
          <cell r="D10356">
            <v>13</v>
          </cell>
          <cell r="E10356" t="str">
            <v>Less: Financial intermediation services indirectly measured (FISIM) (only to be deducted if FISIM is not distributed to uses)</v>
          </cell>
          <cell r="F10356">
            <v>0</v>
          </cell>
          <cell r="G10356">
            <v>2003</v>
          </cell>
          <cell r="H10356">
            <v>300</v>
          </cell>
          <cell r="I10356">
            <v>4280000000</v>
          </cell>
        </row>
        <row r="10357">
          <cell r="A10357" t="str">
            <v>Ukraine</v>
          </cell>
          <cell r="B10357">
            <v>804</v>
          </cell>
          <cell r="C10357">
            <v>203</v>
          </cell>
          <cell r="D10357">
            <v>3</v>
          </cell>
          <cell r="E10357" t="str">
            <v>Equals: VALUE ADDED, GROSS, at basic prices</v>
          </cell>
          <cell r="F10357">
            <v>12</v>
          </cell>
          <cell r="G10357">
            <v>1989</v>
          </cell>
          <cell r="H10357">
            <v>100</v>
          </cell>
          <cell r="I10357">
            <v>148944000000</v>
          </cell>
        </row>
        <row r="10358">
          <cell r="A10358" t="str">
            <v>Ukraine</v>
          </cell>
          <cell r="B10358">
            <v>804</v>
          </cell>
          <cell r="C10358">
            <v>203</v>
          </cell>
          <cell r="D10358">
            <v>3</v>
          </cell>
          <cell r="E10358" t="str">
            <v>Equals: VALUE ADDED, GROSS, at basic prices</v>
          </cell>
          <cell r="F10358">
            <v>12</v>
          </cell>
          <cell r="G10358">
            <v>1990</v>
          </cell>
          <cell r="H10358">
            <v>100</v>
          </cell>
          <cell r="I10358">
            <v>159768000000</v>
          </cell>
        </row>
        <row r="10359">
          <cell r="A10359" t="str">
            <v>Ukraine</v>
          </cell>
          <cell r="B10359">
            <v>804</v>
          </cell>
          <cell r="C10359">
            <v>203</v>
          </cell>
          <cell r="D10359">
            <v>3</v>
          </cell>
          <cell r="E10359" t="str">
            <v>Equals: VALUE ADDED, GROSS, at basic prices</v>
          </cell>
          <cell r="F10359">
            <v>12</v>
          </cell>
          <cell r="G10359">
            <v>1991</v>
          </cell>
          <cell r="H10359">
            <v>100</v>
          </cell>
          <cell r="I10359">
            <v>323531000000</v>
          </cell>
        </row>
        <row r="10360">
          <cell r="A10360" t="str">
            <v>Ukraine</v>
          </cell>
          <cell r="B10360">
            <v>804</v>
          </cell>
          <cell r="C10360">
            <v>203</v>
          </cell>
          <cell r="D10360">
            <v>3</v>
          </cell>
          <cell r="E10360" t="str">
            <v>Equals: VALUE ADDED, GROSS, at basic prices</v>
          </cell>
          <cell r="F10360">
            <v>12</v>
          </cell>
          <cell r="G10360">
            <v>1992</v>
          </cell>
          <cell r="H10360">
            <v>100</v>
          </cell>
          <cell r="I10360">
            <v>5155509000000</v>
          </cell>
        </row>
        <row r="10361">
          <cell r="A10361" t="str">
            <v>Ukraine</v>
          </cell>
          <cell r="B10361">
            <v>804</v>
          </cell>
          <cell r="C10361">
            <v>203</v>
          </cell>
          <cell r="D10361">
            <v>3</v>
          </cell>
          <cell r="E10361" t="str">
            <v>Equals: VALUE ADDED, GROSS, at basic prices</v>
          </cell>
          <cell r="F10361">
            <v>12</v>
          </cell>
          <cell r="G10361">
            <v>1993</v>
          </cell>
          <cell r="H10361">
            <v>100</v>
          </cell>
          <cell r="I10361">
            <v>147390000000000</v>
          </cell>
        </row>
        <row r="10362">
          <cell r="A10362" t="str">
            <v>Ukraine</v>
          </cell>
          <cell r="B10362">
            <v>804</v>
          </cell>
          <cell r="C10362">
            <v>203</v>
          </cell>
          <cell r="D10362">
            <v>3</v>
          </cell>
          <cell r="E10362" t="str">
            <v>Equals: VALUE ADDED, GROSS, at basic prices</v>
          </cell>
          <cell r="F10362">
            <v>12</v>
          </cell>
          <cell r="G10362">
            <v>1994</v>
          </cell>
          <cell r="H10362">
            <v>100</v>
          </cell>
          <cell r="I10362">
            <v>1079947000000000</v>
          </cell>
        </row>
        <row r="10363">
          <cell r="A10363" t="str">
            <v>Ukraine</v>
          </cell>
          <cell r="B10363">
            <v>804</v>
          </cell>
          <cell r="C10363">
            <v>203</v>
          </cell>
          <cell r="D10363">
            <v>3</v>
          </cell>
          <cell r="E10363" t="str">
            <v>Equals: VALUE ADDED, GROSS, at basic prices</v>
          </cell>
          <cell r="F10363">
            <v>12</v>
          </cell>
          <cell r="G10363">
            <v>1995</v>
          </cell>
          <cell r="H10363">
            <v>100</v>
          </cell>
          <cell r="I10363">
            <v>4874293000000000</v>
          </cell>
        </row>
        <row r="10364">
          <cell r="A10364" t="str">
            <v>Ukraine</v>
          </cell>
          <cell r="B10364">
            <v>804</v>
          </cell>
          <cell r="C10364">
            <v>203</v>
          </cell>
          <cell r="D10364">
            <v>3</v>
          </cell>
          <cell r="E10364" t="str">
            <v>Equals: VALUE ADDED, GROSS, at basic prices</v>
          </cell>
          <cell r="F10364">
            <v>12</v>
          </cell>
          <cell r="G10364">
            <v>1996</v>
          </cell>
          <cell r="H10364">
            <v>300</v>
          </cell>
          <cell r="I10364">
            <v>72089000000</v>
          </cell>
        </row>
        <row r="10365">
          <cell r="A10365" t="str">
            <v>Ukraine</v>
          </cell>
          <cell r="B10365">
            <v>804</v>
          </cell>
          <cell r="C10365">
            <v>203</v>
          </cell>
          <cell r="D10365">
            <v>3</v>
          </cell>
          <cell r="E10365" t="str">
            <v>Equals: VALUE ADDED, GROSS, at basic prices</v>
          </cell>
          <cell r="F10365">
            <v>12</v>
          </cell>
          <cell r="G10365">
            <v>1997</v>
          </cell>
          <cell r="H10365">
            <v>300</v>
          </cell>
          <cell r="I10365">
            <v>81067000000</v>
          </cell>
        </row>
        <row r="10366">
          <cell r="A10366" t="str">
            <v>Ukraine</v>
          </cell>
          <cell r="B10366">
            <v>804</v>
          </cell>
          <cell r="C10366">
            <v>203</v>
          </cell>
          <cell r="D10366">
            <v>3</v>
          </cell>
          <cell r="E10366" t="str">
            <v>Equals: VALUE ADDED, GROSS, at basic prices</v>
          </cell>
          <cell r="F10366">
            <v>12</v>
          </cell>
          <cell r="G10366">
            <v>1998</v>
          </cell>
          <cell r="H10366">
            <v>300</v>
          </cell>
          <cell r="I10366">
            <v>86968000000</v>
          </cell>
        </row>
        <row r="10367">
          <cell r="A10367" t="str">
            <v>Ukraine</v>
          </cell>
          <cell r="B10367">
            <v>804</v>
          </cell>
          <cell r="C10367">
            <v>203</v>
          </cell>
          <cell r="D10367">
            <v>3</v>
          </cell>
          <cell r="E10367" t="str">
            <v>Equals: VALUE ADDED, GROSS, at basic prices</v>
          </cell>
          <cell r="F10367">
            <v>12</v>
          </cell>
          <cell r="G10367">
            <v>1999</v>
          </cell>
          <cell r="H10367">
            <v>300</v>
          </cell>
          <cell r="I10367">
            <v>108465000000</v>
          </cell>
        </row>
        <row r="10368">
          <cell r="A10368" t="str">
            <v>Ukraine</v>
          </cell>
          <cell r="B10368">
            <v>804</v>
          </cell>
          <cell r="C10368">
            <v>203</v>
          </cell>
          <cell r="D10368">
            <v>3</v>
          </cell>
          <cell r="E10368" t="str">
            <v>Equals: VALUE ADDED, GROSS, at basic prices</v>
          </cell>
          <cell r="F10368">
            <v>12</v>
          </cell>
          <cell r="G10368">
            <v>2000</v>
          </cell>
          <cell r="H10368">
            <v>300</v>
          </cell>
          <cell r="I10368">
            <v>144262000000</v>
          </cell>
        </row>
        <row r="10369">
          <cell r="A10369" t="str">
            <v>Ukraine</v>
          </cell>
          <cell r="B10369">
            <v>804</v>
          </cell>
          <cell r="C10369">
            <v>203</v>
          </cell>
          <cell r="D10369">
            <v>3</v>
          </cell>
          <cell r="E10369" t="str">
            <v>Equals: VALUE ADDED, GROSS, at basic prices</v>
          </cell>
          <cell r="F10369">
            <v>12</v>
          </cell>
          <cell r="G10369">
            <v>2001</v>
          </cell>
          <cell r="H10369">
            <v>300</v>
          </cell>
          <cell r="I10369">
            <v>180490000000</v>
          </cell>
        </row>
        <row r="10370">
          <cell r="A10370" t="str">
            <v>Ukraine</v>
          </cell>
          <cell r="B10370">
            <v>804</v>
          </cell>
          <cell r="C10370">
            <v>203</v>
          </cell>
          <cell r="D10370">
            <v>3</v>
          </cell>
          <cell r="E10370" t="str">
            <v>Equals: VALUE ADDED, GROSS, at basic prices</v>
          </cell>
          <cell r="F10370">
            <v>12</v>
          </cell>
          <cell r="G10370">
            <v>2002</v>
          </cell>
          <cell r="H10370">
            <v>300</v>
          </cell>
          <cell r="I10370">
            <v>201194000000</v>
          </cell>
        </row>
        <row r="10371">
          <cell r="A10371" t="str">
            <v>Ukraine</v>
          </cell>
          <cell r="B10371">
            <v>804</v>
          </cell>
          <cell r="C10371">
            <v>203</v>
          </cell>
          <cell r="D10371">
            <v>3</v>
          </cell>
          <cell r="E10371" t="str">
            <v>Equals: VALUE ADDED, GROSS, at basic prices</v>
          </cell>
          <cell r="F10371">
            <v>12</v>
          </cell>
          <cell r="G10371">
            <v>2003</v>
          </cell>
          <cell r="H10371">
            <v>300</v>
          </cell>
          <cell r="I10371">
            <v>235589000000</v>
          </cell>
        </row>
        <row r="10372">
          <cell r="A10372" t="str">
            <v>Ukraine</v>
          </cell>
          <cell r="B10372">
            <v>804</v>
          </cell>
          <cell r="C10372">
            <v>203</v>
          </cell>
          <cell r="D10372">
            <v>4</v>
          </cell>
          <cell r="E10372" t="str">
            <v>Compensation of employees</v>
          </cell>
          <cell r="F10372">
            <v>12</v>
          </cell>
          <cell r="G10372">
            <v>1989</v>
          </cell>
          <cell r="H10372">
            <v>100</v>
          </cell>
          <cell r="I10372">
            <v>73584000000</v>
          </cell>
        </row>
        <row r="10373">
          <cell r="A10373" t="str">
            <v>Ukraine</v>
          </cell>
          <cell r="B10373">
            <v>804</v>
          </cell>
          <cell r="C10373">
            <v>203</v>
          </cell>
          <cell r="D10373">
            <v>4</v>
          </cell>
          <cell r="E10373" t="str">
            <v>Compensation of employees</v>
          </cell>
          <cell r="F10373">
            <v>12</v>
          </cell>
          <cell r="G10373">
            <v>1990</v>
          </cell>
          <cell r="H10373">
            <v>100</v>
          </cell>
          <cell r="I10373">
            <v>88693000000</v>
          </cell>
        </row>
        <row r="10374">
          <cell r="A10374" t="str">
            <v>Ukraine</v>
          </cell>
          <cell r="B10374">
            <v>804</v>
          </cell>
          <cell r="C10374">
            <v>203</v>
          </cell>
          <cell r="D10374">
            <v>4</v>
          </cell>
          <cell r="E10374" t="str">
            <v>Compensation of employees</v>
          </cell>
          <cell r="F10374">
            <v>12</v>
          </cell>
          <cell r="G10374">
            <v>1991</v>
          </cell>
          <cell r="H10374">
            <v>100</v>
          </cell>
          <cell r="I10374">
            <v>176177000000</v>
          </cell>
        </row>
        <row r="10375">
          <cell r="A10375" t="str">
            <v>Ukraine</v>
          </cell>
          <cell r="B10375">
            <v>804</v>
          </cell>
          <cell r="C10375">
            <v>203</v>
          </cell>
          <cell r="D10375">
            <v>4</v>
          </cell>
          <cell r="E10375" t="str">
            <v>Compensation of employees</v>
          </cell>
          <cell r="F10375">
            <v>12</v>
          </cell>
          <cell r="G10375">
            <v>1992</v>
          </cell>
          <cell r="H10375">
            <v>100</v>
          </cell>
          <cell r="I10375">
            <v>2572206000000</v>
          </cell>
        </row>
        <row r="10376">
          <cell r="A10376" t="str">
            <v>Ukraine</v>
          </cell>
          <cell r="B10376">
            <v>804</v>
          </cell>
          <cell r="C10376">
            <v>203</v>
          </cell>
          <cell r="D10376">
            <v>4</v>
          </cell>
          <cell r="E10376" t="str">
            <v>Compensation of employees</v>
          </cell>
          <cell r="F10376">
            <v>12</v>
          </cell>
          <cell r="G10376">
            <v>1993</v>
          </cell>
          <cell r="H10376">
            <v>100</v>
          </cell>
          <cell r="I10376">
            <v>57048000000000</v>
          </cell>
        </row>
        <row r="10377">
          <cell r="A10377" t="str">
            <v>Ukraine</v>
          </cell>
          <cell r="B10377">
            <v>804</v>
          </cell>
          <cell r="C10377">
            <v>203</v>
          </cell>
          <cell r="D10377">
            <v>4</v>
          </cell>
          <cell r="E10377" t="str">
            <v>Compensation of employees</v>
          </cell>
          <cell r="F10377">
            <v>12</v>
          </cell>
          <cell r="G10377">
            <v>1994</v>
          </cell>
          <cell r="H10377">
            <v>100</v>
          </cell>
          <cell r="I10377">
            <v>477503000000000</v>
          </cell>
        </row>
        <row r="10378">
          <cell r="A10378" t="str">
            <v>Ukraine</v>
          </cell>
          <cell r="B10378">
            <v>804</v>
          </cell>
          <cell r="C10378">
            <v>203</v>
          </cell>
          <cell r="D10378">
            <v>4</v>
          </cell>
          <cell r="E10378" t="str">
            <v>Compensation of employees</v>
          </cell>
          <cell r="F10378">
            <v>12</v>
          </cell>
          <cell r="G10378">
            <v>1995</v>
          </cell>
          <cell r="H10378">
            <v>100</v>
          </cell>
          <cell r="I10378">
            <v>2371770000000000</v>
          </cell>
        </row>
        <row r="10379">
          <cell r="A10379" t="str">
            <v>Ukraine</v>
          </cell>
          <cell r="B10379">
            <v>804</v>
          </cell>
          <cell r="C10379">
            <v>203</v>
          </cell>
          <cell r="D10379">
            <v>4</v>
          </cell>
          <cell r="E10379" t="str">
            <v>Compensation of employees</v>
          </cell>
          <cell r="F10379">
            <v>12</v>
          </cell>
          <cell r="G10379">
            <v>1996</v>
          </cell>
          <cell r="H10379">
            <v>300</v>
          </cell>
          <cell r="I10379">
            <v>38931000000</v>
          </cell>
        </row>
        <row r="10380">
          <cell r="A10380" t="str">
            <v>Ukraine</v>
          </cell>
          <cell r="B10380">
            <v>804</v>
          </cell>
          <cell r="C10380">
            <v>203</v>
          </cell>
          <cell r="D10380">
            <v>4</v>
          </cell>
          <cell r="E10380" t="str">
            <v>Compensation of employees</v>
          </cell>
          <cell r="F10380">
            <v>12</v>
          </cell>
          <cell r="G10380">
            <v>1997</v>
          </cell>
          <cell r="H10380">
            <v>300</v>
          </cell>
          <cell r="I10380">
            <v>45391000000</v>
          </cell>
        </row>
        <row r="10381">
          <cell r="A10381" t="str">
            <v>Ukraine</v>
          </cell>
          <cell r="B10381">
            <v>804</v>
          </cell>
          <cell r="C10381">
            <v>203</v>
          </cell>
          <cell r="D10381">
            <v>4</v>
          </cell>
          <cell r="E10381" t="str">
            <v>Compensation of employees</v>
          </cell>
          <cell r="F10381">
            <v>12</v>
          </cell>
          <cell r="G10381">
            <v>1998</v>
          </cell>
          <cell r="H10381">
            <v>300</v>
          </cell>
          <cell r="I10381">
            <v>49307000000</v>
          </cell>
        </row>
        <row r="10382">
          <cell r="A10382" t="str">
            <v>Ukraine</v>
          </cell>
          <cell r="B10382">
            <v>804</v>
          </cell>
          <cell r="C10382">
            <v>203</v>
          </cell>
          <cell r="D10382">
            <v>4</v>
          </cell>
          <cell r="E10382" t="str">
            <v>Compensation of employees</v>
          </cell>
          <cell r="F10382">
            <v>12</v>
          </cell>
          <cell r="G10382">
            <v>1999</v>
          </cell>
          <cell r="H10382">
            <v>300</v>
          </cell>
          <cell r="I10382">
            <v>57838000000</v>
          </cell>
        </row>
        <row r="10383">
          <cell r="A10383" t="str">
            <v>Ukraine</v>
          </cell>
          <cell r="B10383">
            <v>804</v>
          </cell>
          <cell r="C10383">
            <v>203</v>
          </cell>
          <cell r="D10383">
            <v>4</v>
          </cell>
          <cell r="E10383" t="str">
            <v>Compensation of employees</v>
          </cell>
          <cell r="F10383">
            <v>12</v>
          </cell>
          <cell r="G10383">
            <v>2000</v>
          </cell>
          <cell r="H10383">
            <v>300</v>
          </cell>
          <cell r="I10383">
            <v>71930000000</v>
          </cell>
        </row>
        <row r="10384">
          <cell r="A10384" t="str">
            <v>Ukraine</v>
          </cell>
          <cell r="B10384">
            <v>804</v>
          </cell>
          <cell r="C10384">
            <v>203</v>
          </cell>
          <cell r="D10384">
            <v>4</v>
          </cell>
          <cell r="E10384" t="str">
            <v>Compensation of employees</v>
          </cell>
          <cell r="F10384">
            <v>12</v>
          </cell>
          <cell r="G10384">
            <v>2001</v>
          </cell>
          <cell r="H10384">
            <v>300</v>
          </cell>
          <cell r="I10384">
            <v>86440000000</v>
          </cell>
        </row>
        <row r="10385">
          <cell r="A10385" t="str">
            <v>Ukraine</v>
          </cell>
          <cell r="B10385">
            <v>804</v>
          </cell>
          <cell r="C10385">
            <v>203</v>
          </cell>
          <cell r="D10385">
            <v>4</v>
          </cell>
          <cell r="E10385" t="str">
            <v>Compensation of employees</v>
          </cell>
          <cell r="F10385">
            <v>12</v>
          </cell>
          <cell r="G10385">
            <v>2002</v>
          </cell>
          <cell r="H10385">
            <v>300</v>
          </cell>
          <cell r="I10385">
            <v>103117000000</v>
          </cell>
        </row>
        <row r="10386">
          <cell r="A10386" t="str">
            <v>Ukraine</v>
          </cell>
          <cell r="B10386">
            <v>804</v>
          </cell>
          <cell r="C10386">
            <v>203</v>
          </cell>
          <cell r="D10386">
            <v>4</v>
          </cell>
          <cell r="E10386" t="str">
            <v>Compensation of employees</v>
          </cell>
          <cell r="F10386">
            <v>12</v>
          </cell>
          <cell r="G10386">
            <v>2003</v>
          </cell>
          <cell r="H10386">
            <v>300</v>
          </cell>
          <cell r="I10386">
            <v>119591000000</v>
          </cell>
        </row>
        <row r="10387">
          <cell r="A10387" t="str">
            <v>Ukraine</v>
          </cell>
          <cell r="B10387">
            <v>804</v>
          </cell>
          <cell r="C10387">
            <v>203</v>
          </cell>
          <cell r="D10387">
            <v>11</v>
          </cell>
          <cell r="E10387" t="str">
            <v>OPERATING SURPLUS, GROSS</v>
          </cell>
          <cell r="F10387">
            <v>12</v>
          </cell>
          <cell r="G10387">
            <v>1996</v>
          </cell>
          <cell r="H10387">
            <v>300</v>
          </cell>
          <cell r="I10387">
            <v>24722000000</v>
          </cell>
        </row>
        <row r="10388">
          <cell r="A10388" t="str">
            <v>Ukraine</v>
          </cell>
          <cell r="B10388">
            <v>804</v>
          </cell>
          <cell r="C10388">
            <v>203</v>
          </cell>
          <cell r="D10388">
            <v>11</v>
          </cell>
          <cell r="E10388" t="str">
            <v>OPERATING SURPLUS, GROSS</v>
          </cell>
          <cell r="F10388">
            <v>12</v>
          </cell>
          <cell r="G10388">
            <v>1997</v>
          </cell>
          <cell r="H10388">
            <v>300</v>
          </cell>
          <cell r="I10388">
            <v>29906000000</v>
          </cell>
        </row>
        <row r="10389">
          <cell r="A10389" t="str">
            <v>Ukraine</v>
          </cell>
          <cell r="B10389">
            <v>804</v>
          </cell>
          <cell r="C10389">
            <v>203</v>
          </cell>
          <cell r="D10389">
            <v>11</v>
          </cell>
          <cell r="E10389" t="str">
            <v>OPERATING SURPLUS, GROSS</v>
          </cell>
          <cell r="F10389">
            <v>12</v>
          </cell>
          <cell r="G10389">
            <v>1998</v>
          </cell>
          <cell r="H10389">
            <v>300</v>
          </cell>
          <cell r="I10389">
            <v>33528000000</v>
          </cell>
        </row>
        <row r="10390">
          <cell r="A10390" t="str">
            <v>Ukraine</v>
          </cell>
          <cell r="B10390">
            <v>804</v>
          </cell>
          <cell r="C10390">
            <v>203</v>
          </cell>
          <cell r="D10390">
            <v>11</v>
          </cell>
          <cell r="E10390" t="str">
            <v>OPERATING SURPLUS, GROSS</v>
          </cell>
          <cell r="F10390">
            <v>12</v>
          </cell>
          <cell r="G10390">
            <v>1999</v>
          </cell>
          <cell r="H10390">
            <v>300</v>
          </cell>
          <cell r="I10390">
            <v>49629000000</v>
          </cell>
        </row>
        <row r="10391">
          <cell r="A10391" t="str">
            <v>Ukraine</v>
          </cell>
          <cell r="B10391">
            <v>804</v>
          </cell>
          <cell r="C10391">
            <v>203</v>
          </cell>
          <cell r="D10391">
            <v>11</v>
          </cell>
          <cell r="E10391" t="str">
            <v>OPERATING SURPLUS, GROSS</v>
          </cell>
          <cell r="F10391">
            <v>12</v>
          </cell>
          <cell r="G10391">
            <v>2000</v>
          </cell>
          <cell r="H10391">
            <v>300</v>
          </cell>
          <cell r="I10391">
            <v>69617000000</v>
          </cell>
        </row>
        <row r="10392">
          <cell r="A10392" t="str">
            <v>Ukraine</v>
          </cell>
          <cell r="B10392">
            <v>804</v>
          </cell>
          <cell r="C10392">
            <v>203</v>
          </cell>
          <cell r="D10392">
            <v>11</v>
          </cell>
          <cell r="E10392" t="str">
            <v>OPERATING SURPLUS, GROSS</v>
          </cell>
          <cell r="F10392">
            <v>12</v>
          </cell>
          <cell r="G10392">
            <v>2001</v>
          </cell>
          <cell r="H10392">
            <v>300</v>
          </cell>
          <cell r="I10392">
            <v>90486000000</v>
          </cell>
        </row>
        <row r="10393">
          <cell r="A10393" t="str">
            <v>Ukraine</v>
          </cell>
          <cell r="B10393">
            <v>804</v>
          </cell>
          <cell r="C10393">
            <v>203</v>
          </cell>
          <cell r="D10393">
            <v>11</v>
          </cell>
          <cell r="E10393" t="str">
            <v>OPERATING SURPLUS, GROSS</v>
          </cell>
          <cell r="F10393">
            <v>12</v>
          </cell>
          <cell r="G10393">
            <v>2002</v>
          </cell>
          <cell r="H10393">
            <v>300</v>
          </cell>
          <cell r="I10393">
            <v>95054000000</v>
          </cell>
        </row>
        <row r="10394">
          <cell r="A10394" t="str">
            <v>Ukraine</v>
          </cell>
          <cell r="B10394">
            <v>804</v>
          </cell>
          <cell r="C10394">
            <v>203</v>
          </cell>
          <cell r="D10394">
            <v>11</v>
          </cell>
          <cell r="E10394" t="str">
            <v>OPERATING SURPLUS, GROSS</v>
          </cell>
          <cell r="F10394">
            <v>12</v>
          </cell>
          <cell r="G10394">
            <v>2003</v>
          </cell>
          <cell r="H10394">
            <v>300</v>
          </cell>
          <cell r="I10394">
            <v>112690000000</v>
          </cell>
        </row>
        <row r="10395">
          <cell r="A10395" t="str">
            <v>Ukraine</v>
          </cell>
          <cell r="B10395">
            <v>804</v>
          </cell>
          <cell r="C10395">
            <v>203</v>
          </cell>
          <cell r="D10395">
            <v>12</v>
          </cell>
          <cell r="E10395" t="str">
            <v>MIXED INCOME, GROSS</v>
          </cell>
          <cell r="F10395">
            <v>12</v>
          </cell>
          <cell r="G10395">
            <v>1989</v>
          </cell>
          <cell r="H10395">
            <v>100</v>
          </cell>
          <cell r="I10395">
            <v>66987000000</v>
          </cell>
        </row>
        <row r="10396">
          <cell r="A10396" t="str">
            <v>Ukraine</v>
          </cell>
          <cell r="B10396">
            <v>804</v>
          </cell>
          <cell r="C10396">
            <v>203</v>
          </cell>
          <cell r="D10396">
            <v>12</v>
          </cell>
          <cell r="E10396" t="str">
            <v>MIXED INCOME, GROSS</v>
          </cell>
          <cell r="F10396">
            <v>12</v>
          </cell>
          <cell r="G10396">
            <v>1990</v>
          </cell>
          <cell r="H10396">
            <v>100</v>
          </cell>
          <cell r="I10396">
            <v>64426000000</v>
          </cell>
        </row>
        <row r="10397">
          <cell r="A10397" t="str">
            <v>Ukraine</v>
          </cell>
          <cell r="B10397">
            <v>804</v>
          </cell>
          <cell r="C10397">
            <v>203</v>
          </cell>
          <cell r="D10397">
            <v>12</v>
          </cell>
          <cell r="E10397" t="str">
            <v>MIXED INCOME, GROSS</v>
          </cell>
          <cell r="F10397">
            <v>12</v>
          </cell>
          <cell r="G10397">
            <v>1991</v>
          </cell>
          <cell r="H10397">
            <v>100</v>
          </cell>
          <cell r="I10397">
            <v>133447000000</v>
          </cell>
        </row>
        <row r="10398">
          <cell r="A10398" t="str">
            <v>Ukraine</v>
          </cell>
          <cell r="B10398">
            <v>804</v>
          </cell>
          <cell r="C10398">
            <v>203</v>
          </cell>
          <cell r="D10398">
            <v>12</v>
          </cell>
          <cell r="E10398" t="str">
            <v>MIXED INCOME, GROSS</v>
          </cell>
          <cell r="F10398">
            <v>12</v>
          </cell>
          <cell r="G10398">
            <v>1992</v>
          </cell>
          <cell r="H10398">
            <v>100</v>
          </cell>
          <cell r="I10398">
            <v>2411841000000</v>
          </cell>
        </row>
        <row r="10399">
          <cell r="A10399" t="str">
            <v>Ukraine</v>
          </cell>
          <cell r="B10399">
            <v>804</v>
          </cell>
          <cell r="C10399">
            <v>203</v>
          </cell>
          <cell r="D10399">
            <v>12</v>
          </cell>
          <cell r="E10399" t="str">
            <v>MIXED INCOME, GROSS</v>
          </cell>
          <cell r="F10399">
            <v>12</v>
          </cell>
          <cell r="G10399">
            <v>1993</v>
          </cell>
          <cell r="H10399">
            <v>100</v>
          </cell>
          <cell r="I10399">
            <v>80020000000000</v>
          </cell>
        </row>
        <row r="10400">
          <cell r="A10400" t="str">
            <v>Ukraine</v>
          </cell>
          <cell r="B10400">
            <v>804</v>
          </cell>
          <cell r="C10400">
            <v>203</v>
          </cell>
          <cell r="D10400">
            <v>12</v>
          </cell>
          <cell r="E10400" t="str">
            <v>MIXED INCOME, GROSS</v>
          </cell>
          <cell r="F10400">
            <v>12</v>
          </cell>
          <cell r="G10400">
            <v>1994</v>
          </cell>
          <cell r="H10400">
            <v>100</v>
          </cell>
          <cell r="I10400">
            <v>517216000000000</v>
          </cell>
        </row>
        <row r="10401">
          <cell r="A10401" t="str">
            <v>Ukraine</v>
          </cell>
          <cell r="B10401">
            <v>804</v>
          </cell>
          <cell r="C10401">
            <v>203</v>
          </cell>
          <cell r="D10401">
            <v>12</v>
          </cell>
          <cell r="E10401" t="str">
            <v>MIXED INCOME, GROSS</v>
          </cell>
          <cell r="F10401">
            <v>12</v>
          </cell>
          <cell r="G10401">
            <v>1995</v>
          </cell>
          <cell r="H10401">
            <v>100</v>
          </cell>
          <cell r="I10401">
            <v>2040131000000000</v>
          </cell>
        </row>
        <row r="10402">
          <cell r="A10402" t="str">
            <v>Uruguay</v>
          </cell>
          <cell r="B10402">
            <v>858</v>
          </cell>
          <cell r="C10402">
            <v>203</v>
          </cell>
          <cell r="D10402">
            <v>3</v>
          </cell>
          <cell r="E10402" t="str">
            <v>Equals: VALUE ADDED, GROSS, at basic prices</v>
          </cell>
          <cell r="F10402">
            <v>12</v>
          </cell>
          <cell r="G10402">
            <v>1983</v>
          </cell>
          <cell r="H10402">
            <v>20</v>
          </cell>
          <cell r="I10402">
            <v>184460000</v>
          </cell>
        </row>
        <row r="10403">
          <cell r="A10403" t="str">
            <v>Uruguay</v>
          </cell>
          <cell r="B10403">
            <v>858</v>
          </cell>
          <cell r="C10403">
            <v>203</v>
          </cell>
          <cell r="D10403">
            <v>3</v>
          </cell>
          <cell r="E10403" t="str">
            <v>Equals: VALUE ADDED, GROSS, at basic prices</v>
          </cell>
          <cell r="F10403">
            <v>12</v>
          </cell>
          <cell r="G10403">
            <v>1984</v>
          </cell>
          <cell r="H10403">
            <v>20</v>
          </cell>
          <cell r="I10403">
            <v>294440999.89999998</v>
          </cell>
        </row>
        <row r="10404">
          <cell r="A10404" t="str">
            <v>Uruguay</v>
          </cell>
          <cell r="B10404">
            <v>858</v>
          </cell>
          <cell r="C10404">
            <v>203</v>
          </cell>
          <cell r="D10404">
            <v>3</v>
          </cell>
          <cell r="E10404" t="str">
            <v>Equals: VALUE ADDED, GROSS, at basic prices</v>
          </cell>
          <cell r="F10404">
            <v>12</v>
          </cell>
          <cell r="G10404">
            <v>1985</v>
          </cell>
          <cell r="H10404">
            <v>20</v>
          </cell>
          <cell r="I10404">
            <v>518747999.89999998</v>
          </cell>
        </row>
        <row r="10405">
          <cell r="A10405" t="str">
            <v>Uruguay</v>
          </cell>
          <cell r="B10405">
            <v>858</v>
          </cell>
          <cell r="C10405">
            <v>203</v>
          </cell>
          <cell r="D10405">
            <v>3</v>
          </cell>
          <cell r="E10405" t="str">
            <v>Equals: VALUE ADDED, GROSS, at basic prices</v>
          </cell>
          <cell r="F10405">
            <v>12</v>
          </cell>
          <cell r="G10405">
            <v>1986</v>
          </cell>
          <cell r="H10405">
            <v>20</v>
          </cell>
          <cell r="I10405">
            <v>940988999.89999998</v>
          </cell>
        </row>
        <row r="10406">
          <cell r="A10406" t="str">
            <v>Uruguay</v>
          </cell>
          <cell r="B10406">
            <v>858</v>
          </cell>
          <cell r="C10406">
            <v>203</v>
          </cell>
          <cell r="D10406">
            <v>3</v>
          </cell>
          <cell r="E10406" t="str">
            <v>Equals: VALUE ADDED, GROSS, at basic prices</v>
          </cell>
          <cell r="F10406">
            <v>12</v>
          </cell>
          <cell r="G10406">
            <v>1987</v>
          </cell>
          <cell r="H10406">
            <v>20</v>
          </cell>
          <cell r="I10406">
            <v>1705211000</v>
          </cell>
        </row>
        <row r="10407">
          <cell r="A10407" t="str">
            <v>Uruguay</v>
          </cell>
          <cell r="B10407">
            <v>858</v>
          </cell>
          <cell r="C10407">
            <v>203</v>
          </cell>
          <cell r="D10407">
            <v>3</v>
          </cell>
          <cell r="E10407" t="str">
            <v>Equals: VALUE ADDED, GROSS, at basic prices</v>
          </cell>
          <cell r="F10407">
            <v>12</v>
          </cell>
          <cell r="G10407">
            <v>1988</v>
          </cell>
          <cell r="H10407">
            <v>20</v>
          </cell>
          <cell r="I10407">
            <v>2829754000</v>
          </cell>
        </row>
        <row r="10408">
          <cell r="A10408" t="str">
            <v>Uruguay</v>
          </cell>
          <cell r="B10408">
            <v>858</v>
          </cell>
          <cell r="C10408">
            <v>203</v>
          </cell>
          <cell r="D10408">
            <v>3</v>
          </cell>
          <cell r="E10408" t="str">
            <v>Equals: VALUE ADDED, GROSS, at basic prices</v>
          </cell>
          <cell r="F10408">
            <v>12</v>
          </cell>
          <cell r="G10408">
            <v>1989</v>
          </cell>
          <cell r="H10408">
            <v>20</v>
          </cell>
          <cell r="I10408">
            <v>5126185999</v>
          </cell>
        </row>
        <row r="10409">
          <cell r="A10409" t="str">
            <v>Uruguay</v>
          </cell>
          <cell r="B10409">
            <v>858</v>
          </cell>
          <cell r="C10409">
            <v>203</v>
          </cell>
          <cell r="D10409">
            <v>3</v>
          </cell>
          <cell r="E10409" t="str">
            <v>Equals: VALUE ADDED, GROSS, at basic prices</v>
          </cell>
          <cell r="F10409">
            <v>12</v>
          </cell>
          <cell r="G10409">
            <v>1990</v>
          </cell>
          <cell r="H10409">
            <v>20</v>
          </cell>
          <cell r="I10409">
            <v>10369000000</v>
          </cell>
        </row>
        <row r="10410">
          <cell r="A10410" t="str">
            <v>Uruguay</v>
          </cell>
          <cell r="B10410">
            <v>858</v>
          </cell>
          <cell r="C10410">
            <v>203</v>
          </cell>
          <cell r="D10410">
            <v>3</v>
          </cell>
          <cell r="E10410" t="str">
            <v>Equals: VALUE ADDED, GROSS, at basic prices</v>
          </cell>
          <cell r="F10410">
            <v>12</v>
          </cell>
          <cell r="G10410">
            <v>1991</v>
          </cell>
          <cell r="H10410">
            <v>20</v>
          </cell>
          <cell r="I10410">
            <v>21253000000</v>
          </cell>
        </row>
        <row r="10411">
          <cell r="A10411" t="str">
            <v>Uruguay</v>
          </cell>
          <cell r="B10411">
            <v>858</v>
          </cell>
          <cell r="C10411">
            <v>203</v>
          </cell>
          <cell r="D10411">
            <v>3</v>
          </cell>
          <cell r="E10411" t="str">
            <v>Equals: VALUE ADDED, GROSS, at basic prices</v>
          </cell>
          <cell r="F10411">
            <v>12</v>
          </cell>
          <cell r="G10411">
            <v>1992</v>
          </cell>
          <cell r="H10411">
            <v>20</v>
          </cell>
          <cell r="I10411">
            <v>40107000000</v>
          </cell>
        </row>
        <row r="10412">
          <cell r="A10412" t="str">
            <v>Uruguay</v>
          </cell>
          <cell r="B10412">
            <v>858</v>
          </cell>
          <cell r="C10412">
            <v>203</v>
          </cell>
          <cell r="D10412">
            <v>3</v>
          </cell>
          <cell r="E10412" t="str">
            <v>Equals: VALUE ADDED, GROSS, at basic prices</v>
          </cell>
          <cell r="F10412">
            <v>12</v>
          </cell>
          <cell r="G10412">
            <v>1993</v>
          </cell>
          <cell r="H10412">
            <v>20</v>
          </cell>
          <cell r="I10412">
            <v>62374000000</v>
          </cell>
        </row>
        <row r="10413">
          <cell r="A10413" t="str">
            <v>Uruguay</v>
          </cell>
          <cell r="B10413">
            <v>858</v>
          </cell>
          <cell r="C10413">
            <v>203</v>
          </cell>
          <cell r="D10413">
            <v>3</v>
          </cell>
          <cell r="E10413" t="str">
            <v>Equals: VALUE ADDED, GROSS, at basic prices</v>
          </cell>
          <cell r="F10413">
            <v>12</v>
          </cell>
          <cell r="G10413">
            <v>1994</v>
          </cell>
          <cell r="H10413">
            <v>20</v>
          </cell>
          <cell r="I10413">
            <v>90772000000</v>
          </cell>
        </row>
        <row r="10414">
          <cell r="A10414" t="str">
            <v>Uruguay</v>
          </cell>
          <cell r="B10414">
            <v>858</v>
          </cell>
          <cell r="C10414">
            <v>203</v>
          </cell>
          <cell r="D10414">
            <v>3</v>
          </cell>
          <cell r="E10414" t="str">
            <v>Equals: VALUE ADDED, GROSS, at basic prices</v>
          </cell>
          <cell r="F10414">
            <v>12</v>
          </cell>
          <cell r="G10414">
            <v>1995</v>
          </cell>
          <cell r="H10414">
            <v>20</v>
          </cell>
          <cell r="I10414">
            <v>126274000000</v>
          </cell>
        </row>
        <row r="10415">
          <cell r="A10415" t="str">
            <v>Uruguay</v>
          </cell>
          <cell r="B10415">
            <v>858</v>
          </cell>
          <cell r="C10415">
            <v>203</v>
          </cell>
          <cell r="D10415">
            <v>3</v>
          </cell>
          <cell r="E10415" t="str">
            <v>Equals: VALUE ADDED, GROSS, at basic prices</v>
          </cell>
          <cell r="F10415">
            <v>12</v>
          </cell>
          <cell r="G10415">
            <v>1996</v>
          </cell>
          <cell r="H10415">
            <v>20</v>
          </cell>
          <cell r="I10415">
            <v>168251000000</v>
          </cell>
        </row>
        <row r="10416">
          <cell r="A10416" t="str">
            <v>Uruguay</v>
          </cell>
          <cell r="B10416">
            <v>858</v>
          </cell>
          <cell r="C10416">
            <v>203</v>
          </cell>
          <cell r="D10416">
            <v>3</v>
          </cell>
          <cell r="E10416" t="str">
            <v>Equals: VALUE ADDED, GROSS, at basic prices</v>
          </cell>
          <cell r="F10416">
            <v>12</v>
          </cell>
          <cell r="G10416">
            <v>1997</v>
          </cell>
          <cell r="H10416">
            <v>20</v>
          </cell>
          <cell r="I10416">
            <v>209702000000</v>
          </cell>
        </row>
        <row r="10417">
          <cell r="A10417" t="str">
            <v>Uruguay</v>
          </cell>
          <cell r="B10417">
            <v>858</v>
          </cell>
          <cell r="C10417">
            <v>203</v>
          </cell>
          <cell r="D10417">
            <v>3</v>
          </cell>
          <cell r="E10417" t="str">
            <v>Equals: VALUE ADDED, GROSS, at basic prices</v>
          </cell>
          <cell r="F10417">
            <v>12</v>
          </cell>
          <cell r="G10417">
            <v>1998</v>
          </cell>
          <cell r="H10417">
            <v>20</v>
          </cell>
          <cell r="I10417">
            <v>239783000000</v>
          </cell>
        </row>
        <row r="10418">
          <cell r="A10418" t="str">
            <v>Uruguay</v>
          </cell>
          <cell r="B10418">
            <v>858</v>
          </cell>
          <cell r="C10418">
            <v>203</v>
          </cell>
          <cell r="D10418">
            <v>3</v>
          </cell>
          <cell r="E10418" t="str">
            <v>Equals: VALUE ADDED, GROSS, at basic prices</v>
          </cell>
          <cell r="F10418">
            <v>12</v>
          </cell>
          <cell r="G10418">
            <v>1999</v>
          </cell>
          <cell r="H10418">
            <v>20</v>
          </cell>
          <cell r="I10418">
            <v>246753000000</v>
          </cell>
        </row>
        <row r="10419">
          <cell r="A10419" t="str">
            <v>Uruguay</v>
          </cell>
          <cell r="B10419">
            <v>858</v>
          </cell>
          <cell r="C10419">
            <v>203</v>
          </cell>
          <cell r="D10419">
            <v>3</v>
          </cell>
          <cell r="E10419" t="str">
            <v>Equals: VALUE ADDED, GROSS, at basic prices</v>
          </cell>
          <cell r="F10419">
            <v>12</v>
          </cell>
          <cell r="G10419">
            <v>2000</v>
          </cell>
          <cell r="H10419">
            <v>20</v>
          </cell>
          <cell r="I10419">
            <v>254778000000</v>
          </cell>
        </row>
        <row r="10420">
          <cell r="A10420" t="str">
            <v>Uruguay</v>
          </cell>
          <cell r="B10420">
            <v>858</v>
          </cell>
          <cell r="C10420">
            <v>203</v>
          </cell>
          <cell r="D10420">
            <v>3</v>
          </cell>
          <cell r="E10420" t="str">
            <v>Equals: VALUE ADDED, GROSS, at basic prices</v>
          </cell>
          <cell r="F10420">
            <v>12</v>
          </cell>
          <cell r="G10420">
            <v>2001</v>
          </cell>
          <cell r="H10420">
            <v>20</v>
          </cell>
          <cell r="I10420">
            <v>261593000000</v>
          </cell>
        </row>
        <row r="10421">
          <cell r="A10421" t="str">
            <v>Uruguay</v>
          </cell>
          <cell r="B10421">
            <v>858</v>
          </cell>
          <cell r="C10421">
            <v>203</v>
          </cell>
          <cell r="D10421">
            <v>3</v>
          </cell>
          <cell r="E10421" t="str">
            <v>Equals: VALUE ADDED, GROSS, at basic prices</v>
          </cell>
          <cell r="F10421">
            <v>12</v>
          </cell>
          <cell r="G10421">
            <v>2002</v>
          </cell>
          <cell r="H10421">
            <v>20</v>
          </cell>
          <cell r="I10421">
            <v>277182000000</v>
          </cell>
        </row>
        <row r="10422">
          <cell r="A10422" t="str">
            <v>Uruguay</v>
          </cell>
          <cell r="B10422">
            <v>858</v>
          </cell>
          <cell r="C10422">
            <v>203</v>
          </cell>
          <cell r="D10422">
            <v>3</v>
          </cell>
          <cell r="E10422" t="str">
            <v>Equals: VALUE ADDED, GROSS, at basic prices</v>
          </cell>
          <cell r="F10422">
            <v>12</v>
          </cell>
          <cell r="G10422">
            <v>2003</v>
          </cell>
          <cell r="H10422">
            <v>20</v>
          </cell>
          <cell r="I10422">
            <v>330580000000</v>
          </cell>
        </row>
        <row r="10423">
          <cell r="A10423" t="str">
            <v>Uruguay</v>
          </cell>
          <cell r="B10423">
            <v>858</v>
          </cell>
          <cell r="C10423">
            <v>203</v>
          </cell>
          <cell r="D10423">
            <v>3</v>
          </cell>
          <cell r="E10423" t="str">
            <v>Equals: VALUE ADDED, GROSS, at basic prices</v>
          </cell>
          <cell r="F10423">
            <v>12</v>
          </cell>
          <cell r="G10423">
            <v>2004</v>
          </cell>
          <cell r="H10423">
            <v>20</v>
          </cell>
          <cell r="I10423">
            <v>389059000000</v>
          </cell>
        </row>
        <row r="10424">
          <cell r="A10424" t="str">
            <v>Ukraine</v>
          </cell>
          <cell r="B10424">
            <v>804</v>
          </cell>
          <cell r="C10424">
            <v>203</v>
          </cell>
          <cell r="D10424">
            <v>22</v>
          </cell>
          <cell r="E10424" t="str">
            <v>Taxes on production and imports, less Subsidies</v>
          </cell>
          <cell r="F10424">
            <v>12</v>
          </cell>
          <cell r="G10424">
            <v>1989</v>
          </cell>
          <cell r="H10424">
            <v>100</v>
          </cell>
          <cell r="I10424">
            <v>8373000000</v>
          </cell>
        </row>
        <row r="10425">
          <cell r="A10425" t="str">
            <v>Ukraine</v>
          </cell>
          <cell r="B10425">
            <v>804</v>
          </cell>
          <cell r="C10425">
            <v>203</v>
          </cell>
          <cell r="D10425">
            <v>22</v>
          </cell>
          <cell r="E10425" t="str">
            <v>Taxes on production and imports, less Subsidies</v>
          </cell>
          <cell r="F10425">
            <v>12</v>
          </cell>
          <cell r="G10425">
            <v>1990</v>
          </cell>
          <cell r="H10425">
            <v>100</v>
          </cell>
          <cell r="I10425">
            <v>6649000000</v>
          </cell>
        </row>
        <row r="10426">
          <cell r="A10426" t="str">
            <v>Ukraine</v>
          </cell>
          <cell r="B10426">
            <v>804</v>
          </cell>
          <cell r="C10426">
            <v>203</v>
          </cell>
          <cell r="D10426">
            <v>22</v>
          </cell>
          <cell r="E10426" t="str">
            <v>Taxes on production and imports, less Subsidies</v>
          </cell>
          <cell r="F10426">
            <v>12</v>
          </cell>
          <cell r="G10426">
            <v>1991</v>
          </cell>
          <cell r="H10426">
            <v>100</v>
          </cell>
          <cell r="I10426">
            <v>13907000000</v>
          </cell>
        </row>
        <row r="10427">
          <cell r="A10427" t="str">
            <v>Ukraine</v>
          </cell>
          <cell r="B10427">
            <v>804</v>
          </cell>
          <cell r="C10427">
            <v>203</v>
          </cell>
          <cell r="D10427">
            <v>22</v>
          </cell>
          <cell r="E10427" t="str">
            <v>Taxes on production and imports, less Subsidies</v>
          </cell>
          <cell r="F10427">
            <v>12</v>
          </cell>
          <cell r="G10427">
            <v>1992</v>
          </cell>
          <cell r="H10427">
            <v>100</v>
          </cell>
          <cell r="I10427">
            <v>171462000000</v>
          </cell>
        </row>
        <row r="10428">
          <cell r="A10428" t="str">
            <v>Ukraine</v>
          </cell>
          <cell r="B10428">
            <v>804</v>
          </cell>
          <cell r="C10428">
            <v>203</v>
          </cell>
          <cell r="D10428">
            <v>22</v>
          </cell>
          <cell r="E10428" t="str">
            <v>Taxes on production and imports, less Subsidies</v>
          </cell>
          <cell r="F10428">
            <v>12</v>
          </cell>
          <cell r="G10428">
            <v>1993</v>
          </cell>
          <cell r="H10428">
            <v>100</v>
          </cell>
          <cell r="I10428">
            <v>10322000000000</v>
          </cell>
        </row>
        <row r="10429">
          <cell r="A10429" t="str">
            <v>Ukraine</v>
          </cell>
          <cell r="B10429">
            <v>804</v>
          </cell>
          <cell r="C10429">
            <v>203</v>
          </cell>
          <cell r="D10429">
            <v>22</v>
          </cell>
          <cell r="E10429" t="str">
            <v>Taxes on production and imports, less Subsidies</v>
          </cell>
          <cell r="F10429">
            <v>12</v>
          </cell>
          <cell r="G10429">
            <v>1994</v>
          </cell>
          <cell r="H10429">
            <v>100</v>
          </cell>
          <cell r="I10429">
            <v>85228000000000</v>
          </cell>
        </row>
        <row r="10430">
          <cell r="A10430" t="str">
            <v>Ukraine</v>
          </cell>
          <cell r="B10430">
            <v>804</v>
          </cell>
          <cell r="C10430">
            <v>203</v>
          </cell>
          <cell r="D10430">
            <v>22</v>
          </cell>
          <cell r="E10430" t="str">
            <v>Taxes on production and imports, less Subsidies</v>
          </cell>
          <cell r="F10430">
            <v>12</v>
          </cell>
          <cell r="G10430">
            <v>1995</v>
          </cell>
          <cell r="H10430">
            <v>100</v>
          </cell>
          <cell r="I10430">
            <v>462392000000000</v>
          </cell>
        </row>
        <row r="10431">
          <cell r="A10431" t="str">
            <v>Ukraine</v>
          </cell>
          <cell r="B10431">
            <v>804</v>
          </cell>
          <cell r="C10431">
            <v>203</v>
          </cell>
          <cell r="D10431">
            <v>22</v>
          </cell>
          <cell r="E10431" t="str">
            <v>Taxes on production and imports, less Subsidies</v>
          </cell>
          <cell r="F10431">
            <v>12</v>
          </cell>
          <cell r="G10431">
            <v>1996</v>
          </cell>
          <cell r="H10431">
            <v>300</v>
          </cell>
          <cell r="I10431">
            <v>8436000000</v>
          </cell>
        </row>
        <row r="10432">
          <cell r="A10432" t="str">
            <v>Ukraine</v>
          </cell>
          <cell r="B10432">
            <v>804</v>
          </cell>
          <cell r="C10432">
            <v>203</v>
          </cell>
          <cell r="D10432">
            <v>22</v>
          </cell>
          <cell r="E10432" t="str">
            <v>Taxes on production and imports, less Subsidies</v>
          </cell>
          <cell r="F10432">
            <v>12</v>
          </cell>
          <cell r="G10432">
            <v>1997</v>
          </cell>
          <cell r="H10432">
            <v>300</v>
          </cell>
          <cell r="I10432">
            <v>5770000000</v>
          </cell>
        </row>
        <row r="10433">
          <cell r="A10433" t="str">
            <v>Ukraine</v>
          </cell>
          <cell r="B10433">
            <v>804</v>
          </cell>
          <cell r="C10433">
            <v>203</v>
          </cell>
          <cell r="D10433">
            <v>22</v>
          </cell>
          <cell r="E10433" t="str">
            <v>Taxes on production and imports, less Subsidies</v>
          </cell>
          <cell r="F10433">
            <v>12</v>
          </cell>
          <cell r="G10433">
            <v>1998</v>
          </cell>
          <cell r="H10433">
            <v>300</v>
          </cell>
          <cell r="I10433">
            <v>4133000000</v>
          </cell>
        </row>
        <row r="10434">
          <cell r="A10434" t="str">
            <v>Ukraine</v>
          </cell>
          <cell r="B10434">
            <v>804</v>
          </cell>
          <cell r="C10434">
            <v>203</v>
          </cell>
          <cell r="D10434">
            <v>22</v>
          </cell>
          <cell r="E10434" t="str">
            <v>Taxes on production and imports, less Subsidies</v>
          </cell>
          <cell r="F10434">
            <v>12</v>
          </cell>
          <cell r="G10434">
            <v>1999</v>
          </cell>
          <cell r="H10434">
            <v>300</v>
          </cell>
          <cell r="I10434">
            <v>998000000</v>
          </cell>
        </row>
        <row r="10435">
          <cell r="A10435" t="str">
            <v>Ukraine</v>
          </cell>
          <cell r="B10435">
            <v>804</v>
          </cell>
          <cell r="C10435">
            <v>203</v>
          </cell>
          <cell r="D10435">
            <v>22</v>
          </cell>
          <cell r="E10435" t="str">
            <v>Taxes on production and imports, less Subsidies</v>
          </cell>
          <cell r="F10435">
            <v>12</v>
          </cell>
          <cell r="G10435">
            <v>2000</v>
          </cell>
          <cell r="H10435">
            <v>300</v>
          </cell>
          <cell r="I10435">
            <v>2715000000</v>
          </cell>
        </row>
        <row r="10436">
          <cell r="A10436" t="str">
            <v>Ukraine</v>
          </cell>
          <cell r="B10436">
            <v>804</v>
          </cell>
          <cell r="C10436">
            <v>203</v>
          </cell>
          <cell r="D10436">
            <v>22</v>
          </cell>
          <cell r="E10436" t="str">
            <v>Taxes on production and imports, less Subsidies</v>
          </cell>
          <cell r="F10436">
            <v>12</v>
          </cell>
          <cell r="G10436">
            <v>2001</v>
          </cell>
          <cell r="H10436">
            <v>300</v>
          </cell>
          <cell r="I10436">
            <v>3564000000</v>
          </cell>
        </row>
        <row r="10437">
          <cell r="A10437" t="str">
            <v>Ukraine</v>
          </cell>
          <cell r="B10437">
            <v>804</v>
          </cell>
          <cell r="C10437">
            <v>203</v>
          </cell>
          <cell r="D10437">
            <v>22</v>
          </cell>
          <cell r="E10437" t="str">
            <v>Taxes on production and imports, less Subsidies</v>
          </cell>
          <cell r="F10437">
            <v>12</v>
          </cell>
          <cell r="G10437">
            <v>2002</v>
          </cell>
          <cell r="H10437">
            <v>300</v>
          </cell>
          <cell r="I10437">
            <v>3023000000</v>
          </cell>
        </row>
        <row r="10438">
          <cell r="A10438" t="str">
            <v>Ukraine</v>
          </cell>
          <cell r="B10438">
            <v>804</v>
          </cell>
          <cell r="C10438">
            <v>203</v>
          </cell>
          <cell r="D10438">
            <v>22</v>
          </cell>
          <cell r="E10438" t="str">
            <v>Taxes on production and imports, less Subsidies</v>
          </cell>
          <cell r="F10438">
            <v>12</v>
          </cell>
          <cell r="G10438">
            <v>2003</v>
          </cell>
          <cell r="H10438">
            <v>300</v>
          </cell>
          <cell r="I10438">
            <v>3308000000</v>
          </cell>
        </row>
        <row r="10439">
          <cell r="A10439" t="str">
            <v>Samoa</v>
          </cell>
          <cell r="B10439">
            <v>882</v>
          </cell>
          <cell r="C10439">
            <v>201</v>
          </cell>
          <cell r="D10439">
            <v>13</v>
          </cell>
          <cell r="E10439" t="str">
            <v>Less: Financial intermediation services indirectly measured (FISIM) (only to be deducted if FISIM is not distributed to uses)</v>
          </cell>
          <cell r="F10439">
            <v>0</v>
          </cell>
          <cell r="G10439">
            <v>1972</v>
          </cell>
          <cell r="H10439">
            <v>10</v>
          </cell>
          <cell r="I10439">
            <v>0</v>
          </cell>
        </row>
        <row r="10440">
          <cell r="A10440" t="str">
            <v>Samoa</v>
          </cell>
          <cell r="B10440">
            <v>882</v>
          </cell>
          <cell r="C10440">
            <v>201</v>
          </cell>
          <cell r="D10440">
            <v>13</v>
          </cell>
          <cell r="E10440" t="str">
            <v>Less: Financial intermediation services indirectly measured (FISIM) (only to be deducted if FISIM is not distributed to uses)</v>
          </cell>
          <cell r="F10440">
            <v>0</v>
          </cell>
          <cell r="G10440">
            <v>1998</v>
          </cell>
          <cell r="H10440">
            <v>10</v>
          </cell>
          <cell r="I10440">
            <v>7898000</v>
          </cell>
        </row>
        <row r="10441">
          <cell r="A10441" t="str">
            <v>Samoa</v>
          </cell>
          <cell r="B10441">
            <v>882</v>
          </cell>
          <cell r="C10441">
            <v>201</v>
          </cell>
          <cell r="D10441">
            <v>13</v>
          </cell>
          <cell r="E10441" t="str">
            <v>Less: Financial intermediation services indirectly measured (FISIM) (only to be deducted if FISIM is not distributed to uses)</v>
          </cell>
          <cell r="F10441">
            <v>0</v>
          </cell>
          <cell r="G10441">
            <v>1999</v>
          </cell>
          <cell r="H10441">
            <v>10</v>
          </cell>
          <cell r="I10441">
            <v>8931000</v>
          </cell>
        </row>
        <row r="10442">
          <cell r="A10442" t="str">
            <v>Samoa</v>
          </cell>
          <cell r="B10442">
            <v>882</v>
          </cell>
          <cell r="C10442">
            <v>201</v>
          </cell>
          <cell r="D10442">
            <v>13</v>
          </cell>
          <cell r="E10442" t="str">
            <v>Less: Financial intermediation services indirectly measured (FISIM) (only to be deducted if FISIM is not distributed to uses)</v>
          </cell>
          <cell r="F10442">
            <v>0</v>
          </cell>
          <cell r="G10442">
            <v>2000</v>
          </cell>
          <cell r="H10442">
            <v>10</v>
          </cell>
          <cell r="I10442">
            <v>9686000</v>
          </cell>
        </row>
        <row r="10443">
          <cell r="A10443" t="str">
            <v>Samoa</v>
          </cell>
          <cell r="B10443">
            <v>882</v>
          </cell>
          <cell r="C10443">
            <v>201</v>
          </cell>
          <cell r="D10443">
            <v>13</v>
          </cell>
          <cell r="E10443" t="str">
            <v>Less: Financial intermediation services indirectly measured (FISIM) (only to be deducted if FISIM is not distributed to uses)</v>
          </cell>
          <cell r="F10443">
            <v>0</v>
          </cell>
          <cell r="G10443">
            <v>2001</v>
          </cell>
          <cell r="H10443">
            <v>10</v>
          </cell>
          <cell r="I10443">
            <v>11063000</v>
          </cell>
        </row>
        <row r="10444">
          <cell r="A10444" t="str">
            <v>Samoa</v>
          </cell>
          <cell r="B10444">
            <v>882</v>
          </cell>
          <cell r="C10444">
            <v>201</v>
          </cell>
          <cell r="D10444">
            <v>13</v>
          </cell>
          <cell r="E10444" t="str">
            <v>Less: Financial intermediation services indirectly measured (FISIM) (only to be deducted if FISIM is not distributed to uses)</v>
          </cell>
          <cell r="F10444">
            <v>0</v>
          </cell>
          <cell r="G10444">
            <v>2002</v>
          </cell>
          <cell r="H10444">
            <v>10</v>
          </cell>
          <cell r="I10444">
            <v>12298000</v>
          </cell>
        </row>
        <row r="10445">
          <cell r="A10445" t="str">
            <v>Samoa</v>
          </cell>
          <cell r="B10445">
            <v>882</v>
          </cell>
          <cell r="C10445">
            <v>201</v>
          </cell>
          <cell r="D10445">
            <v>13</v>
          </cell>
          <cell r="E10445" t="str">
            <v>Less: Financial intermediation services indirectly measured (FISIM) (only to be deducted if FISIM is not distributed to uses)</v>
          </cell>
          <cell r="F10445">
            <v>0</v>
          </cell>
          <cell r="G10445">
            <v>2003</v>
          </cell>
          <cell r="H10445">
            <v>10</v>
          </cell>
          <cell r="I10445">
            <v>14047000</v>
          </cell>
        </row>
        <row r="10446">
          <cell r="A10446" t="str">
            <v>United Kingdom</v>
          </cell>
          <cell r="B10446">
            <v>826</v>
          </cell>
          <cell r="C10446">
            <v>201</v>
          </cell>
          <cell r="D10446">
            <v>13</v>
          </cell>
          <cell r="E10446" t="str">
            <v>Less: Financial intermediation services indirectly measured (FISIM) (only to be deducted if FISIM is not distributed to uses)</v>
          </cell>
          <cell r="F10446">
            <v>0</v>
          </cell>
          <cell r="G10446">
            <v>1970</v>
          </cell>
          <cell r="H10446">
            <v>100</v>
          </cell>
          <cell r="I10446">
            <v>1299000000</v>
          </cell>
        </row>
        <row r="10447">
          <cell r="A10447" t="str">
            <v>United Kingdom</v>
          </cell>
          <cell r="B10447">
            <v>826</v>
          </cell>
          <cell r="C10447">
            <v>201</v>
          </cell>
          <cell r="D10447">
            <v>13</v>
          </cell>
          <cell r="E10447" t="str">
            <v>Less: Financial intermediation services indirectly measured (FISIM) (only to be deducted if FISIM is not distributed to uses)</v>
          </cell>
          <cell r="F10447">
            <v>0</v>
          </cell>
          <cell r="G10447">
            <v>1971</v>
          </cell>
          <cell r="H10447">
            <v>100</v>
          </cell>
          <cell r="I10447">
            <v>1507000000</v>
          </cell>
        </row>
        <row r="10448">
          <cell r="A10448" t="str">
            <v>United Kingdom</v>
          </cell>
          <cell r="B10448">
            <v>826</v>
          </cell>
          <cell r="C10448">
            <v>201</v>
          </cell>
          <cell r="D10448">
            <v>13</v>
          </cell>
          <cell r="E10448" t="str">
            <v>Less: Financial intermediation services indirectly measured (FISIM) (only to be deducted if FISIM is not distributed to uses)</v>
          </cell>
          <cell r="F10448">
            <v>0</v>
          </cell>
          <cell r="G10448">
            <v>1972</v>
          </cell>
          <cell r="H10448">
            <v>100</v>
          </cell>
          <cell r="I10448">
            <v>1918000000</v>
          </cell>
        </row>
        <row r="10449">
          <cell r="A10449" t="str">
            <v>United Kingdom</v>
          </cell>
          <cell r="B10449">
            <v>826</v>
          </cell>
          <cell r="C10449">
            <v>201</v>
          </cell>
          <cell r="D10449">
            <v>13</v>
          </cell>
          <cell r="E10449" t="str">
            <v>Less: Financial intermediation services indirectly measured (FISIM) (only to be deducted if FISIM is not distributed to uses)</v>
          </cell>
          <cell r="F10449">
            <v>0</v>
          </cell>
          <cell r="G10449">
            <v>1973</v>
          </cell>
          <cell r="H10449">
            <v>100</v>
          </cell>
          <cell r="I10449">
            <v>2740000000</v>
          </cell>
        </row>
        <row r="10450">
          <cell r="A10450" t="str">
            <v>United Kingdom</v>
          </cell>
          <cell r="B10450">
            <v>826</v>
          </cell>
          <cell r="C10450">
            <v>201</v>
          </cell>
          <cell r="D10450">
            <v>13</v>
          </cell>
          <cell r="E10450" t="str">
            <v>Less: Financial intermediation services indirectly measured (FISIM) (only to be deducted if FISIM is not distributed to uses)</v>
          </cell>
          <cell r="F10450">
            <v>0</v>
          </cell>
          <cell r="G10450">
            <v>1974</v>
          </cell>
          <cell r="H10450">
            <v>100</v>
          </cell>
          <cell r="I10450">
            <v>3519000000</v>
          </cell>
        </row>
        <row r="10451">
          <cell r="A10451" t="str">
            <v>United Kingdom</v>
          </cell>
          <cell r="B10451">
            <v>826</v>
          </cell>
          <cell r="C10451">
            <v>201</v>
          </cell>
          <cell r="D10451">
            <v>13</v>
          </cell>
          <cell r="E10451" t="str">
            <v>Less: Financial intermediation services indirectly measured (FISIM) (only to be deducted if FISIM is not distributed to uses)</v>
          </cell>
          <cell r="F10451">
            <v>0</v>
          </cell>
          <cell r="G10451">
            <v>1975</v>
          </cell>
          <cell r="H10451">
            <v>100</v>
          </cell>
          <cell r="I10451">
            <v>3451000000</v>
          </cell>
        </row>
        <row r="10452">
          <cell r="A10452" t="str">
            <v>United Kingdom</v>
          </cell>
          <cell r="B10452">
            <v>826</v>
          </cell>
          <cell r="C10452">
            <v>201</v>
          </cell>
          <cell r="D10452">
            <v>13</v>
          </cell>
          <cell r="E10452" t="str">
            <v>Less: Financial intermediation services indirectly measured (FISIM) (only to be deducted if FISIM is not distributed to uses)</v>
          </cell>
          <cell r="F10452">
            <v>0</v>
          </cell>
          <cell r="G10452">
            <v>1976</v>
          </cell>
          <cell r="H10452">
            <v>100</v>
          </cell>
          <cell r="I10452">
            <v>4742000000</v>
          </cell>
        </row>
        <row r="10453">
          <cell r="A10453" t="str">
            <v>United Kingdom</v>
          </cell>
          <cell r="B10453">
            <v>826</v>
          </cell>
          <cell r="C10453">
            <v>201</v>
          </cell>
          <cell r="D10453">
            <v>13</v>
          </cell>
          <cell r="E10453" t="str">
            <v>Less: Financial intermediation services indirectly measured (FISIM) (only to be deducted if FISIM is not distributed to uses)</v>
          </cell>
          <cell r="F10453">
            <v>0</v>
          </cell>
          <cell r="G10453">
            <v>1977</v>
          </cell>
          <cell r="H10453">
            <v>100</v>
          </cell>
          <cell r="I10453">
            <v>5172000000</v>
          </cell>
        </row>
        <row r="10454">
          <cell r="A10454" t="str">
            <v>United Kingdom</v>
          </cell>
          <cell r="B10454">
            <v>826</v>
          </cell>
          <cell r="C10454">
            <v>201</v>
          </cell>
          <cell r="D10454">
            <v>13</v>
          </cell>
          <cell r="E10454" t="str">
            <v>Less: Financial intermediation services indirectly measured (FISIM) (only to be deducted if FISIM is not distributed to uses)</v>
          </cell>
          <cell r="F10454">
            <v>0</v>
          </cell>
          <cell r="G10454">
            <v>1978</v>
          </cell>
          <cell r="H10454">
            <v>100</v>
          </cell>
          <cell r="I10454">
            <v>5232000000</v>
          </cell>
        </row>
        <row r="10455">
          <cell r="A10455" t="str">
            <v>United Kingdom</v>
          </cell>
          <cell r="B10455">
            <v>826</v>
          </cell>
          <cell r="C10455">
            <v>201</v>
          </cell>
          <cell r="D10455">
            <v>13</v>
          </cell>
          <cell r="E10455" t="str">
            <v>Less: Financial intermediation services indirectly measured (FISIM) (only to be deducted if FISIM is not distributed to uses)</v>
          </cell>
          <cell r="F10455">
            <v>0</v>
          </cell>
          <cell r="G10455">
            <v>1979</v>
          </cell>
          <cell r="H10455">
            <v>100</v>
          </cell>
          <cell r="I10455">
            <v>6436000000</v>
          </cell>
        </row>
        <row r="10456">
          <cell r="A10456" t="str">
            <v>United Kingdom</v>
          </cell>
          <cell r="B10456">
            <v>826</v>
          </cell>
          <cell r="C10456">
            <v>201</v>
          </cell>
          <cell r="D10456">
            <v>13</v>
          </cell>
          <cell r="E10456" t="str">
            <v>Less: Financial intermediation services indirectly measured (FISIM) (only to be deducted if FISIM is not distributed to uses)</v>
          </cell>
          <cell r="F10456">
            <v>0</v>
          </cell>
          <cell r="G10456">
            <v>1980</v>
          </cell>
          <cell r="H10456">
            <v>100</v>
          </cell>
          <cell r="I10456">
            <v>8464000000</v>
          </cell>
        </row>
        <row r="10457">
          <cell r="A10457" t="str">
            <v>United Kingdom</v>
          </cell>
          <cell r="B10457">
            <v>826</v>
          </cell>
          <cell r="C10457">
            <v>201</v>
          </cell>
          <cell r="D10457">
            <v>13</v>
          </cell>
          <cell r="E10457" t="str">
            <v>Less: Financial intermediation services indirectly measured (FISIM) (only to be deducted if FISIM is not distributed to uses)</v>
          </cell>
          <cell r="F10457">
            <v>0</v>
          </cell>
          <cell r="G10457">
            <v>1981</v>
          </cell>
          <cell r="H10457">
            <v>100</v>
          </cell>
          <cell r="I10457">
            <v>9705000000</v>
          </cell>
        </row>
        <row r="10458">
          <cell r="A10458" t="str">
            <v>United Kingdom</v>
          </cell>
          <cell r="B10458">
            <v>826</v>
          </cell>
          <cell r="C10458">
            <v>201</v>
          </cell>
          <cell r="D10458">
            <v>13</v>
          </cell>
          <cell r="E10458" t="str">
            <v>Less: Financial intermediation services indirectly measured (FISIM) (only to be deducted if FISIM is not distributed to uses)</v>
          </cell>
          <cell r="F10458">
            <v>0</v>
          </cell>
          <cell r="G10458">
            <v>1982</v>
          </cell>
          <cell r="H10458">
            <v>100</v>
          </cell>
          <cell r="I10458">
            <v>11147000000</v>
          </cell>
        </row>
        <row r="10459">
          <cell r="A10459" t="str">
            <v>United Kingdom</v>
          </cell>
          <cell r="B10459">
            <v>826</v>
          </cell>
          <cell r="C10459">
            <v>201</v>
          </cell>
          <cell r="D10459">
            <v>13</v>
          </cell>
          <cell r="E10459" t="str">
            <v>Less: Financial intermediation services indirectly measured (FISIM) (only to be deducted if FISIM is not distributed to uses)</v>
          </cell>
          <cell r="F10459">
            <v>0</v>
          </cell>
          <cell r="G10459">
            <v>1983</v>
          </cell>
          <cell r="H10459">
            <v>100</v>
          </cell>
          <cell r="I10459">
            <v>11893000000</v>
          </cell>
        </row>
        <row r="10460">
          <cell r="A10460" t="str">
            <v>United Kingdom</v>
          </cell>
          <cell r="B10460">
            <v>826</v>
          </cell>
          <cell r="C10460">
            <v>201</v>
          </cell>
          <cell r="D10460">
            <v>13</v>
          </cell>
          <cell r="E10460" t="str">
            <v>Less: Financial intermediation services indirectly measured (FISIM) (only to be deducted if FISIM is not distributed to uses)</v>
          </cell>
          <cell r="F10460">
            <v>0</v>
          </cell>
          <cell r="G10460">
            <v>1984</v>
          </cell>
          <cell r="H10460">
            <v>100</v>
          </cell>
          <cell r="I10460">
            <v>12487000000</v>
          </cell>
        </row>
        <row r="10461">
          <cell r="A10461" t="str">
            <v>United Kingdom</v>
          </cell>
          <cell r="B10461">
            <v>826</v>
          </cell>
          <cell r="C10461">
            <v>201</v>
          </cell>
          <cell r="D10461">
            <v>13</v>
          </cell>
          <cell r="E10461" t="str">
            <v>Less: Financial intermediation services indirectly measured (FISIM) (only to be deducted if FISIM is not distributed to uses)</v>
          </cell>
          <cell r="F10461">
            <v>0</v>
          </cell>
          <cell r="G10461">
            <v>1985</v>
          </cell>
          <cell r="H10461">
            <v>100</v>
          </cell>
          <cell r="I10461">
            <v>12474000000</v>
          </cell>
        </row>
        <row r="10462">
          <cell r="A10462" t="str">
            <v>United Kingdom</v>
          </cell>
          <cell r="B10462">
            <v>826</v>
          </cell>
          <cell r="C10462">
            <v>201</v>
          </cell>
          <cell r="D10462">
            <v>13</v>
          </cell>
          <cell r="E10462" t="str">
            <v>Less: Financial intermediation services indirectly measured (FISIM) (only to be deducted if FISIM is not distributed to uses)</v>
          </cell>
          <cell r="F10462">
            <v>0</v>
          </cell>
          <cell r="G10462">
            <v>1986</v>
          </cell>
          <cell r="H10462">
            <v>100</v>
          </cell>
          <cell r="I10462">
            <v>14429000000</v>
          </cell>
        </row>
        <row r="10463">
          <cell r="A10463" t="str">
            <v>United Kingdom</v>
          </cell>
          <cell r="B10463">
            <v>826</v>
          </cell>
          <cell r="C10463">
            <v>201</v>
          </cell>
          <cell r="D10463">
            <v>13</v>
          </cell>
          <cell r="E10463" t="str">
            <v>Less: Financial intermediation services indirectly measured (FISIM) (only to be deducted if FISIM is not distributed to uses)</v>
          </cell>
          <cell r="F10463">
            <v>0</v>
          </cell>
          <cell r="G10463">
            <v>1987</v>
          </cell>
          <cell r="H10463">
            <v>100</v>
          </cell>
          <cell r="I10463">
            <v>12351000000</v>
          </cell>
        </row>
        <row r="10464">
          <cell r="A10464" t="str">
            <v>United Kingdom</v>
          </cell>
          <cell r="B10464">
            <v>826</v>
          </cell>
          <cell r="C10464">
            <v>201</v>
          </cell>
          <cell r="D10464">
            <v>13</v>
          </cell>
          <cell r="E10464" t="str">
            <v>Less: Financial intermediation services indirectly measured (FISIM) (only to be deducted if FISIM is not distributed to uses)</v>
          </cell>
          <cell r="F10464">
            <v>0</v>
          </cell>
          <cell r="G10464">
            <v>1988</v>
          </cell>
          <cell r="H10464">
            <v>100</v>
          </cell>
          <cell r="I10464">
            <v>13117000000</v>
          </cell>
        </row>
        <row r="10465">
          <cell r="A10465" t="str">
            <v>United Kingdom</v>
          </cell>
          <cell r="B10465">
            <v>826</v>
          </cell>
          <cell r="C10465">
            <v>201</v>
          </cell>
          <cell r="D10465">
            <v>13</v>
          </cell>
          <cell r="E10465" t="str">
            <v>Less: Financial intermediation services indirectly measured (FISIM) (only to be deducted if FISIM is not distributed to uses)</v>
          </cell>
          <cell r="F10465">
            <v>0</v>
          </cell>
          <cell r="G10465">
            <v>1989</v>
          </cell>
          <cell r="H10465">
            <v>100</v>
          </cell>
          <cell r="I10465">
            <v>16816000000</v>
          </cell>
        </row>
        <row r="10466">
          <cell r="A10466" t="str">
            <v>United Kingdom</v>
          </cell>
          <cell r="B10466">
            <v>826</v>
          </cell>
          <cell r="C10466">
            <v>201</v>
          </cell>
          <cell r="D10466">
            <v>13</v>
          </cell>
          <cell r="E10466" t="str">
            <v>Less: Financial intermediation services indirectly measured (FISIM) (only to be deducted if FISIM is not distributed to uses)</v>
          </cell>
          <cell r="F10466">
            <v>0</v>
          </cell>
          <cell r="G10466">
            <v>1990</v>
          </cell>
          <cell r="H10466">
            <v>100</v>
          </cell>
          <cell r="I10466">
            <v>17651000000</v>
          </cell>
        </row>
        <row r="10467">
          <cell r="A10467" t="str">
            <v>United Kingdom</v>
          </cell>
          <cell r="B10467">
            <v>826</v>
          </cell>
          <cell r="C10467">
            <v>201</v>
          </cell>
          <cell r="D10467">
            <v>13</v>
          </cell>
          <cell r="E10467" t="str">
            <v>Less: Financial intermediation services indirectly measured (FISIM) (only to be deducted if FISIM is not distributed to uses)</v>
          </cell>
          <cell r="F10467">
            <v>0</v>
          </cell>
          <cell r="G10467">
            <v>1991</v>
          </cell>
          <cell r="H10467">
            <v>100</v>
          </cell>
          <cell r="I10467">
            <v>15301000000</v>
          </cell>
        </row>
        <row r="10468">
          <cell r="A10468" t="str">
            <v>United Kingdom</v>
          </cell>
          <cell r="B10468">
            <v>826</v>
          </cell>
          <cell r="C10468">
            <v>201</v>
          </cell>
          <cell r="D10468">
            <v>13</v>
          </cell>
          <cell r="E10468" t="str">
            <v>Less: Financial intermediation services indirectly measured (FISIM) (only to be deducted if FISIM is not distributed to uses)</v>
          </cell>
          <cell r="F10468">
            <v>0</v>
          </cell>
          <cell r="G10468">
            <v>1992</v>
          </cell>
          <cell r="H10468">
            <v>100</v>
          </cell>
          <cell r="I10468">
            <v>19086000000</v>
          </cell>
        </row>
        <row r="10469">
          <cell r="A10469" t="str">
            <v>United Kingdom</v>
          </cell>
          <cell r="B10469">
            <v>826</v>
          </cell>
          <cell r="C10469">
            <v>201</v>
          </cell>
          <cell r="D10469">
            <v>13</v>
          </cell>
          <cell r="E10469" t="str">
            <v>Less: Financial intermediation services indirectly measured (FISIM) (only to be deducted if FISIM is not distributed to uses)</v>
          </cell>
          <cell r="F10469">
            <v>0</v>
          </cell>
          <cell r="G10469">
            <v>1993</v>
          </cell>
          <cell r="H10469">
            <v>100</v>
          </cell>
          <cell r="I10469">
            <v>19569000000</v>
          </cell>
        </row>
        <row r="10470">
          <cell r="A10470" t="str">
            <v>United Kingdom</v>
          </cell>
          <cell r="B10470">
            <v>826</v>
          </cell>
          <cell r="C10470">
            <v>201</v>
          </cell>
          <cell r="D10470">
            <v>13</v>
          </cell>
          <cell r="E10470" t="str">
            <v>Less: Financial intermediation services indirectly measured (FISIM) (only to be deducted if FISIM is not distributed to uses)</v>
          </cell>
          <cell r="F10470">
            <v>0</v>
          </cell>
          <cell r="G10470">
            <v>1994</v>
          </cell>
          <cell r="H10470">
            <v>100</v>
          </cell>
          <cell r="I10470">
            <v>23119000000</v>
          </cell>
        </row>
        <row r="10471">
          <cell r="A10471" t="str">
            <v>United Kingdom</v>
          </cell>
          <cell r="B10471">
            <v>826</v>
          </cell>
          <cell r="C10471">
            <v>201</v>
          </cell>
          <cell r="D10471">
            <v>13</v>
          </cell>
          <cell r="E10471" t="str">
            <v>Less: Financial intermediation services indirectly measured (FISIM) (only to be deducted if FISIM is not distributed to uses)</v>
          </cell>
          <cell r="F10471">
            <v>0</v>
          </cell>
          <cell r="G10471">
            <v>1995</v>
          </cell>
          <cell r="H10471">
            <v>100</v>
          </cell>
          <cell r="I10471">
            <v>23215000000</v>
          </cell>
        </row>
        <row r="10472">
          <cell r="A10472" t="str">
            <v>United Kingdom</v>
          </cell>
          <cell r="B10472">
            <v>826</v>
          </cell>
          <cell r="C10472">
            <v>201</v>
          </cell>
          <cell r="D10472">
            <v>13</v>
          </cell>
          <cell r="E10472" t="str">
            <v>Less: Financial intermediation services indirectly measured (FISIM) (only to be deducted if FISIM is not distributed to uses)</v>
          </cell>
          <cell r="F10472">
            <v>0</v>
          </cell>
          <cell r="G10472">
            <v>1996</v>
          </cell>
          <cell r="H10472">
            <v>100</v>
          </cell>
          <cell r="I10472">
            <v>22580000000</v>
          </cell>
        </row>
        <row r="10473">
          <cell r="A10473" t="str">
            <v>United Kingdom</v>
          </cell>
          <cell r="B10473">
            <v>826</v>
          </cell>
          <cell r="C10473">
            <v>201</v>
          </cell>
          <cell r="D10473">
            <v>13</v>
          </cell>
          <cell r="E10473" t="str">
            <v>Less: Financial intermediation services indirectly measured (FISIM) (only to be deducted if FISIM is not distributed to uses)</v>
          </cell>
          <cell r="F10473">
            <v>0</v>
          </cell>
          <cell r="G10473">
            <v>1997</v>
          </cell>
          <cell r="H10473">
            <v>100</v>
          </cell>
          <cell r="I10473">
            <v>22396000000</v>
          </cell>
        </row>
        <row r="10474">
          <cell r="A10474" t="str">
            <v>United Kingdom</v>
          </cell>
          <cell r="B10474">
            <v>826</v>
          </cell>
          <cell r="C10474">
            <v>201</v>
          </cell>
          <cell r="D10474">
            <v>13</v>
          </cell>
          <cell r="E10474" t="str">
            <v>Less: Financial intermediation services indirectly measured (FISIM) (only to be deducted if FISIM is not distributed to uses)</v>
          </cell>
          <cell r="F10474">
            <v>0</v>
          </cell>
          <cell r="G10474">
            <v>1998</v>
          </cell>
          <cell r="H10474">
            <v>100</v>
          </cell>
          <cell r="I10474">
            <v>27998000000</v>
          </cell>
        </row>
        <row r="10475">
          <cell r="A10475" t="str">
            <v>United Kingdom</v>
          </cell>
          <cell r="B10475">
            <v>826</v>
          </cell>
          <cell r="C10475">
            <v>201</v>
          </cell>
          <cell r="D10475">
            <v>13</v>
          </cell>
          <cell r="E10475" t="str">
            <v>Less: Financial intermediation services indirectly measured (FISIM) (only to be deducted if FISIM is not distributed to uses)</v>
          </cell>
          <cell r="F10475">
            <v>0</v>
          </cell>
          <cell r="G10475">
            <v>1999</v>
          </cell>
          <cell r="H10475">
            <v>100</v>
          </cell>
          <cell r="I10475">
            <v>30121000000</v>
          </cell>
        </row>
        <row r="10476">
          <cell r="A10476" t="str">
            <v>United Kingdom</v>
          </cell>
          <cell r="B10476">
            <v>826</v>
          </cell>
          <cell r="C10476">
            <v>201</v>
          </cell>
          <cell r="D10476">
            <v>13</v>
          </cell>
          <cell r="E10476" t="str">
            <v>Less: Financial intermediation services indirectly measured (FISIM) (only to be deducted if FISIM is not distributed to uses)</v>
          </cell>
          <cell r="F10476">
            <v>0</v>
          </cell>
          <cell r="G10476">
            <v>2000</v>
          </cell>
          <cell r="H10476">
            <v>100</v>
          </cell>
          <cell r="I10476">
            <v>37949000000</v>
          </cell>
        </row>
        <row r="10477">
          <cell r="A10477" t="str">
            <v>United Kingdom</v>
          </cell>
          <cell r="B10477">
            <v>826</v>
          </cell>
          <cell r="C10477">
            <v>201</v>
          </cell>
          <cell r="D10477">
            <v>13</v>
          </cell>
          <cell r="E10477" t="str">
            <v>Less: Financial intermediation services indirectly measured (FISIM) (only to be deducted if FISIM is not distributed to uses)</v>
          </cell>
          <cell r="F10477">
            <v>0</v>
          </cell>
          <cell r="G10477">
            <v>2001</v>
          </cell>
          <cell r="H10477">
            <v>100</v>
          </cell>
          <cell r="I10477">
            <v>40242000000</v>
          </cell>
        </row>
        <row r="10478">
          <cell r="A10478" t="str">
            <v>United Kingdom</v>
          </cell>
          <cell r="B10478">
            <v>826</v>
          </cell>
          <cell r="C10478">
            <v>201</v>
          </cell>
          <cell r="D10478">
            <v>13</v>
          </cell>
          <cell r="E10478" t="str">
            <v>Less: Financial intermediation services indirectly measured (FISIM) (only to be deducted if FISIM is not distributed to uses)</v>
          </cell>
          <cell r="F10478">
            <v>0</v>
          </cell>
          <cell r="G10478">
            <v>2002</v>
          </cell>
          <cell r="H10478">
            <v>100</v>
          </cell>
          <cell r="I10478">
            <v>40631000000</v>
          </cell>
        </row>
        <row r="10479">
          <cell r="A10479" t="str">
            <v>United Kingdom</v>
          </cell>
          <cell r="B10479">
            <v>826</v>
          </cell>
          <cell r="C10479">
            <v>201</v>
          </cell>
          <cell r="D10479">
            <v>13</v>
          </cell>
          <cell r="E10479" t="str">
            <v>Less: Financial intermediation services indirectly measured (FISIM) (only to be deducted if FISIM is not distributed to uses)</v>
          </cell>
          <cell r="F10479">
            <v>0</v>
          </cell>
          <cell r="G10479">
            <v>2003</v>
          </cell>
          <cell r="H10479">
            <v>100</v>
          </cell>
          <cell r="I10479">
            <v>44429000000</v>
          </cell>
        </row>
        <row r="10480">
          <cell r="A10480" t="str">
            <v>United Kingdom</v>
          </cell>
          <cell r="B10480">
            <v>826</v>
          </cell>
          <cell r="C10480">
            <v>203</v>
          </cell>
          <cell r="D10480">
            <v>3</v>
          </cell>
          <cell r="E10480" t="str">
            <v>Equals: VALUE ADDED, GROSS, at basic prices</v>
          </cell>
          <cell r="F10480">
            <v>12</v>
          </cell>
          <cell r="G10480">
            <v>1970</v>
          </cell>
          <cell r="H10480">
            <v>100</v>
          </cell>
          <cell r="I10480">
            <v>48179000000</v>
          </cell>
        </row>
        <row r="10481">
          <cell r="A10481" t="str">
            <v>United Kingdom</v>
          </cell>
          <cell r="B10481">
            <v>826</v>
          </cell>
          <cell r="C10481">
            <v>203</v>
          </cell>
          <cell r="D10481">
            <v>3</v>
          </cell>
          <cell r="E10481" t="str">
            <v>Equals: VALUE ADDED, GROSS, at basic prices</v>
          </cell>
          <cell r="F10481">
            <v>12</v>
          </cell>
          <cell r="G10481">
            <v>1971</v>
          </cell>
          <cell r="H10481">
            <v>100</v>
          </cell>
          <cell r="I10481">
            <v>54171000000</v>
          </cell>
        </row>
        <row r="10482">
          <cell r="A10482" t="str">
            <v>United Kingdom</v>
          </cell>
          <cell r="B10482">
            <v>826</v>
          </cell>
          <cell r="C10482">
            <v>203</v>
          </cell>
          <cell r="D10482">
            <v>3</v>
          </cell>
          <cell r="E10482" t="str">
            <v>Equals: VALUE ADDED, GROSS, at basic prices</v>
          </cell>
          <cell r="F10482">
            <v>12</v>
          </cell>
          <cell r="G10482">
            <v>1972</v>
          </cell>
          <cell r="H10482">
            <v>100</v>
          </cell>
          <cell r="I10482">
            <v>61290000000</v>
          </cell>
        </row>
        <row r="10483">
          <cell r="A10483" t="str">
            <v>United Kingdom</v>
          </cell>
          <cell r="B10483">
            <v>826</v>
          </cell>
          <cell r="C10483">
            <v>203</v>
          </cell>
          <cell r="D10483">
            <v>3</v>
          </cell>
          <cell r="E10483" t="str">
            <v>Equals: VALUE ADDED, GROSS, at basic prices</v>
          </cell>
          <cell r="F10483">
            <v>12</v>
          </cell>
          <cell r="G10483">
            <v>1973</v>
          </cell>
          <cell r="H10483">
            <v>100</v>
          </cell>
          <cell r="I10483">
            <v>71433000000</v>
          </cell>
        </row>
        <row r="10484">
          <cell r="A10484" t="str">
            <v>United Kingdom</v>
          </cell>
          <cell r="B10484">
            <v>826</v>
          </cell>
          <cell r="C10484">
            <v>203</v>
          </cell>
          <cell r="D10484">
            <v>3</v>
          </cell>
          <cell r="E10484" t="str">
            <v>Equals: VALUE ADDED, GROSS, at basic prices</v>
          </cell>
          <cell r="F10484">
            <v>12</v>
          </cell>
          <cell r="G10484">
            <v>1974</v>
          </cell>
          <cell r="H10484">
            <v>100</v>
          </cell>
          <cell r="I10484">
            <v>82024000000</v>
          </cell>
        </row>
        <row r="10485">
          <cell r="A10485" t="str">
            <v>United Kingdom</v>
          </cell>
          <cell r="B10485">
            <v>826</v>
          </cell>
          <cell r="C10485">
            <v>203</v>
          </cell>
          <cell r="D10485">
            <v>3</v>
          </cell>
          <cell r="E10485" t="str">
            <v>Equals: VALUE ADDED, GROSS, at basic prices</v>
          </cell>
          <cell r="F10485">
            <v>12</v>
          </cell>
          <cell r="G10485">
            <v>1975</v>
          </cell>
          <cell r="H10485">
            <v>100</v>
          </cell>
          <cell r="I10485">
            <v>102717000000</v>
          </cell>
        </row>
        <row r="10486">
          <cell r="A10486" t="str">
            <v>United Kingdom</v>
          </cell>
          <cell r="B10486">
            <v>826</v>
          </cell>
          <cell r="C10486">
            <v>203</v>
          </cell>
          <cell r="D10486">
            <v>3</v>
          </cell>
          <cell r="E10486" t="str">
            <v>Equals: VALUE ADDED, GROSS, at basic prices</v>
          </cell>
          <cell r="F10486">
            <v>12</v>
          </cell>
          <cell r="G10486">
            <v>1976</v>
          </cell>
          <cell r="H10486">
            <v>100</v>
          </cell>
          <cell r="I10486">
            <v>121342000000</v>
          </cell>
        </row>
        <row r="10487">
          <cell r="A10487" t="str">
            <v>United Kingdom</v>
          </cell>
          <cell r="B10487">
            <v>826</v>
          </cell>
          <cell r="C10487">
            <v>203</v>
          </cell>
          <cell r="D10487">
            <v>3</v>
          </cell>
          <cell r="E10487" t="str">
            <v>Equals: VALUE ADDED, GROSS, at basic prices</v>
          </cell>
          <cell r="F10487">
            <v>12</v>
          </cell>
          <cell r="G10487">
            <v>1977</v>
          </cell>
          <cell r="H10487">
            <v>100</v>
          </cell>
          <cell r="I10487">
            <v>140210000000</v>
          </cell>
        </row>
        <row r="10488">
          <cell r="A10488" t="str">
            <v>United Kingdom</v>
          </cell>
          <cell r="B10488">
            <v>826</v>
          </cell>
          <cell r="C10488">
            <v>203</v>
          </cell>
          <cell r="D10488">
            <v>3</v>
          </cell>
          <cell r="E10488" t="str">
            <v>Equals: VALUE ADDED, GROSS, at basic prices</v>
          </cell>
          <cell r="F10488">
            <v>12</v>
          </cell>
          <cell r="G10488">
            <v>1978</v>
          </cell>
          <cell r="H10488">
            <v>100</v>
          </cell>
          <cell r="I10488">
            <v>161439000000</v>
          </cell>
        </row>
        <row r="10489">
          <cell r="A10489" t="str">
            <v>United Kingdom</v>
          </cell>
          <cell r="B10489">
            <v>826</v>
          </cell>
          <cell r="C10489">
            <v>203</v>
          </cell>
          <cell r="D10489">
            <v>3</v>
          </cell>
          <cell r="E10489" t="str">
            <v>Equals: VALUE ADDED, GROSS, at basic prices</v>
          </cell>
          <cell r="F10489">
            <v>12</v>
          </cell>
          <cell r="G10489">
            <v>1979</v>
          </cell>
          <cell r="H10489">
            <v>100</v>
          </cell>
          <cell r="I10489">
            <v>188368000000</v>
          </cell>
        </row>
        <row r="10490">
          <cell r="A10490" t="str">
            <v>United Kingdom</v>
          </cell>
          <cell r="B10490">
            <v>826</v>
          </cell>
          <cell r="C10490">
            <v>203</v>
          </cell>
          <cell r="D10490">
            <v>3</v>
          </cell>
          <cell r="E10490" t="str">
            <v>Equals: VALUE ADDED, GROSS, at basic prices</v>
          </cell>
          <cell r="F10490">
            <v>12</v>
          </cell>
          <cell r="G10490">
            <v>1980</v>
          </cell>
          <cell r="H10490">
            <v>100</v>
          </cell>
          <cell r="I10490">
            <v>219153000000</v>
          </cell>
        </row>
        <row r="10491">
          <cell r="A10491" t="str">
            <v>United Kingdom</v>
          </cell>
          <cell r="B10491">
            <v>826</v>
          </cell>
          <cell r="C10491">
            <v>203</v>
          </cell>
          <cell r="D10491">
            <v>3</v>
          </cell>
          <cell r="E10491" t="str">
            <v>Equals: VALUE ADDED, GROSS, at basic prices</v>
          </cell>
          <cell r="F10491">
            <v>12</v>
          </cell>
          <cell r="G10491">
            <v>1981</v>
          </cell>
          <cell r="H10491">
            <v>100</v>
          </cell>
          <cell r="I10491">
            <v>241198000000</v>
          </cell>
        </row>
        <row r="10492">
          <cell r="A10492" t="str">
            <v>United Kingdom</v>
          </cell>
          <cell r="B10492">
            <v>826</v>
          </cell>
          <cell r="C10492">
            <v>203</v>
          </cell>
          <cell r="D10492">
            <v>3</v>
          </cell>
          <cell r="E10492" t="str">
            <v>Equals: VALUE ADDED, GROSS, at basic prices</v>
          </cell>
          <cell r="F10492">
            <v>12</v>
          </cell>
          <cell r="G10492">
            <v>1982</v>
          </cell>
          <cell r="H10492">
            <v>100</v>
          </cell>
          <cell r="I10492">
            <v>262235000000</v>
          </cell>
        </row>
        <row r="10493">
          <cell r="A10493" t="str">
            <v>United Kingdom</v>
          </cell>
          <cell r="B10493">
            <v>826</v>
          </cell>
          <cell r="C10493">
            <v>203</v>
          </cell>
          <cell r="D10493">
            <v>3</v>
          </cell>
          <cell r="E10493" t="str">
            <v>Equals: VALUE ADDED, GROSS, at basic prices</v>
          </cell>
          <cell r="F10493">
            <v>12</v>
          </cell>
          <cell r="G10493">
            <v>1983</v>
          </cell>
          <cell r="H10493">
            <v>100</v>
          </cell>
          <cell r="I10493">
            <v>286346000000</v>
          </cell>
        </row>
        <row r="10494">
          <cell r="A10494" t="str">
            <v>United Kingdom</v>
          </cell>
          <cell r="B10494">
            <v>826</v>
          </cell>
          <cell r="C10494">
            <v>203</v>
          </cell>
          <cell r="D10494">
            <v>3</v>
          </cell>
          <cell r="E10494" t="str">
            <v>Equals: VALUE ADDED, GROSS, at basic prices</v>
          </cell>
          <cell r="F10494">
            <v>12</v>
          </cell>
          <cell r="G10494">
            <v>1984</v>
          </cell>
          <cell r="H10494">
            <v>100</v>
          </cell>
          <cell r="I10494">
            <v>305384000000</v>
          </cell>
        </row>
        <row r="10495">
          <cell r="A10495" t="str">
            <v>United Kingdom</v>
          </cell>
          <cell r="B10495">
            <v>826</v>
          </cell>
          <cell r="C10495">
            <v>203</v>
          </cell>
          <cell r="D10495">
            <v>3</v>
          </cell>
          <cell r="E10495" t="str">
            <v>Equals: VALUE ADDED, GROSS, at basic prices</v>
          </cell>
          <cell r="F10495">
            <v>12</v>
          </cell>
          <cell r="G10495">
            <v>1985</v>
          </cell>
          <cell r="H10495">
            <v>100</v>
          </cell>
          <cell r="I10495">
            <v>332938000000</v>
          </cell>
        </row>
        <row r="10496">
          <cell r="A10496" t="str">
            <v>United Kingdom</v>
          </cell>
          <cell r="B10496">
            <v>826</v>
          </cell>
          <cell r="C10496">
            <v>203</v>
          </cell>
          <cell r="D10496">
            <v>3</v>
          </cell>
          <cell r="E10496" t="str">
            <v>Equals: VALUE ADDED, GROSS, at basic prices</v>
          </cell>
          <cell r="F10496">
            <v>12</v>
          </cell>
          <cell r="G10496">
            <v>1986</v>
          </cell>
          <cell r="H10496">
            <v>100</v>
          </cell>
          <cell r="I10496">
            <v>356344000000</v>
          </cell>
        </row>
        <row r="10497">
          <cell r="A10497" t="str">
            <v>United Kingdom</v>
          </cell>
          <cell r="B10497">
            <v>826</v>
          </cell>
          <cell r="C10497">
            <v>203</v>
          </cell>
          <cell r="D10497">
            <v>3</v>
          </cell>
          <cell r="E10497" t="str">
            <v>Equals: VALUE ADDED, GROSS, at basic prices</v>
          </cell>
          <cell r="F10497">
            <v>12</v>
          </cell>
          <cell r="G10497">
            <v>1987</v>
          </cell>
          <cell r="H10497">
            <v>100</v>
          </cell>
          <cell r="I10497">
            <v>388064000000</v>
          </cell>
        </row>
        <row r="10498">
          <cell r="A10498" t="str">
            <v>United Kingdom</v>
          </cell>
          <cell r="B10498">
            <v>826</v>
          </cell>
          <cell r="C10498">
            <v>203</v>
          </cell>
          <cell r="D10498">
            <v>3</v>
          </cell>
          <cell r="E10498" t="str">
            <v>Equals: VALUE ADDED, GROSS, at basic prices</v>
          </cell>
          <cell r="F10498">
            <v>12</v>
          </cell>
          <cell r="G10498">
            <v>1988</v>
          </cell>
          <cell r="H10498">
            <v>100</v>
          </cell>
          <cell r="I10498">
            <v>432299000000</v>
          </cell>
        </row>
        <row r="10499">
          <cell r="A10499" t="str">
            <v>United Kingdom</v>
          </cell>
          <cell r="B10499">
            <v>826</v>
          </cell>
          <cell r="C10499">
            <v>203</v>
          </cell>
          <cell r="D10499">
            <v>3</v>
          </cell>
          <cell r="E10499" t="str">
            <v>Equals: VALUE ADDED, GROSS, at basic prices</v>
          </cell>
          <cell r="F10499">
            <v>12</v>
          </cell>
          <cell r="G10499">
            <v>1989</v>
          </cell>
          <cell r="H10499">
            <v>100</v>
          </cell>
          <cell r="I10499">
            <v>478341000000</v>
          </cell>
        </row>
        <row r="10500">
          <cell r="A10500" t="str">
            <v>United Kingdom</v>
          </cell>
          <cell r="B10500">
            <v>826</v>
          </cell>
          <cell r="C10500">
            <v>203</v>
          </cell>
          <cell r="D10500">
            <v>3</v>
          </cell>
          <cell r="E10500" t="str">
            <v>Equals: VALUE ADDED, GROSS, at basic prices</v>
          </cell>
          <cell r="F10500">
            <v>12</v>
          </cell>
          <cell r="G10500">
            <v>1990</v>
          </cell>
          <cell r="H10500">
            <v>100</v>
          </cell>
          <cell r="I10500">
            <v>519081000000</v>
          </cell>
        </row>
        <row r="10501">
          <cell r="A10501" t="str">
            <v>United Kingdom</v>
          </cell>
          <cell r="B10501">
            <v>826</v>
          </cell>
          <cell r="C10501">
            <v>203</v>
          </cell>
          <cell r="D10501">
            <v>3</v>
          </cell>
          <cell r="E10501" t="str">
            <v>Equals: VALUE ADDED, GROSS, at basic prices</v>
          </cell>
          <cell r="F10501">
            <v>12</v>
          </cell>
          <cell r="G10501">
            <v>1991</v>
          </cell>
          <cell r="H10501">
            <v>100</v>
          </cell>
          <cell r="I10501">
            <v>539235000000</v>
          </cell>
        </row>
        <row r="10502">
          <cell r="A10502" t="str">
            <v>United Kingdom</v>
          </cell>
          <cell r="B10502">
            <v>826</v>
          </cell>
          <cell r="C10502">
            <v>203</v>
          </cell>
          <cell r="D10502">
            <v>3</v>
          </cell>
          <cell r="E10502" t="str">
            <v>Equals: VALUE ADDED, GROSS, at basic prices</v>
          </cell>
          <cell r="F10502">
            <v>12</v>
          </cell>
          <cell r="G10502">
            <v>1992</v>
          </cell>
          <cell r="H10502">
            <v>100</v>
          </cell>
          <cell r="I10502">
            <v>565521000000</v>
          </cell>
        </row>
        <row r="10503">
          <cell r="A10503" t="str">
            <v>United Kingdom</v>
          </cell>
          <cell r="B10503">
            <v>826</v>
          </cell>
          <cell r="C10503">
            <v>203</v>
          </cell>
          <cell r="D10503">
            <v>3</v>
          </cell>
          <cell r="E10503" t="str">
            <v>Equals: VALUE ADDED, GROSS, at basic prices</v>
          </cell>
          <cell r="F10503">
            <v>12</v>
          </cell>
          <cell r="G10503">
            <v>1993</v>
          </cell>
          <cell r="H10503">
            <v>100</v>
          </cell>
          <cell r="I10503">
            <v>595030000000</v>
          </cell>
        </row>
        <row r="10504">
          <cell r="A10504" t="str">
            <v>United Kingdom</v>
          </cell>
          <cell r="B10504">
            <v>826</v>
          </cell>
          <cell r="C10504">
            <v>203</v>
          </cell>
          <cell r="D10504">
            <v>3</v>
          </cell>
          <cell r="E10504" t="str">
            <v>Equals: VALUE ADDED, GROSS, at basic prices</v>
          </cell>
          <cell r="F10504">
            <v>12</v>
          </cell>
          <cell r="G10504">
            <v>1994</v>
          </cell>
          <cell r="H10504">
            <v>100</v>
          </cell>
          <cell r="I10504">
            <v>631860000000</v>
          </cell>
        </row>
        <row r="10505">
          <cell r="A10505" t="str">
            <v>United Kingdom</v>
          </cell>
          <cell r="B10505">
            <v>826</v>
          </cell>
          <cell r="C10505">
            <v>203</v>
          </cell>
          <cell r="D10505">
            <v>3</v>
          </cell>
          <cell r="E10505" t="str">
            <v>Equals: VALUE ADDED, GROSS, at basic prices</v>
          </cell>
          <cell r="F10505">
            <v>12</v>
          </cell>
          <cell r="G10505">
            <v>1995</v>
          </cell>
          <cell r="H10505">
            <v>100</v>
          </cell>
          <cell r="I10505">
            <v>663125000000</v>
          </cell>
        </row>
        <row r="10506">
          <cell r="A10506" t="str">
            <v>United Kingdom</v>
          </cell>
          <cell r="B10506">
            <v>826</v>
          </cell>
          <cell r="C10506">
            <v>203</v>
          </cell>
          <cell r="D10506">
            <v>3</v>
          </cell>
          <cell r="E10506" t="str">
            <v>Equals: VALUE ADDED, GROSS, at basic prices</v>
          </cell>
          <cell r="F10506">
            <v>12</v>
          </cell>
          <cell r="G10506">
            <v>1996</v>
          </cell>
          <cell r="H10506">
            <v>100</v>
          </cell>
          <cell r="I10506">
            <v>702786000000</v>
          </cell>
        </row>
        <row r="10507">
          <cell r="A10507" t="str">
            <v>United Kingdom</v>
          </cell>
          <cell r="B10507">
            <v>826</v>
          </cell>
          <cell r="C10507">
            <v>203</v>
          </cell>
          <cell r="D10507">
            <v>3</v>
          </cell>
          <cell r="E10507" t="str">
            <v>Equals: VALUE ADDED, GROSS, at basic prices</v>
          </cell>
          <cell r="F10507">
            <v>12</v>
          </cell>
          <cell r="G10507">
            <v>1997</v>
          </cell>
          <cell r="H10507">
            <v>100</v>
          </cell>
          <cell r="I10507">
            <v>742767000000</v>
          </cell>
        </row>
        <row r="10508">
          <cell r="A10508" t="str">
            <v>United Kingdom</v>
          </cell>
          <cell r="B10508">
            <v>826</v>
          </cell>
          <cell r="C10508">
            <v>203</v>
          </cell>
          <cell r="D10508">
            <v>3</v>
          </cell>
          <cell r="E10508" t="str">
            <v>Equals: VALUE ADDED, GROSS, at basic prices</v>
          </cell>
          <cell r="F10508">
            <v>12</v>
          </cell>
          <cell r="G10508">
            <v>1998</v>
          </cell>
          <cell r="H10508">
            <v>100</v>
          </cell>
          <cell r="I10508">
            <v>790358000000</v>
          </cell>
        </row>
        <row r="10509">
          <cell r="A10509" t="str">
            <v>United Kingdom</v>
          </cell>
          <cell r="B10509">
            <v>826</v>
          </cell>
          <cell r="C10509">
            <v>203</v>
          </cell>
          <cell r="D10509">
            <v>3</v>
          </cell>
          <cell r="E10509" t="str">
            <v>Equals: VALUE ADDED, GROSS, at basic prices</v>
          </cell>
          <cell r="F10509">
            <v>12</v>
          </cell>
          <cell r="G10509">
            <v>1999</v>
          </cell>
          <cell r="H10509">
            <v>100</v>
          </cell>
          <cell r="I10509">
            <v>827935000000</v>
          </cell>
        </row>
        <row r="10510">
          <cell r="A10510" t="str">
            <v>United Kingdom</v>
          </cell>
          <cell r="B10510">
            <v>826</v>
          </cell>
          <cell r="C10510">
            <v>203</v>
          </cell>
          <cell r="D10510">
            <v>3</v>
          </cell>
          <cell r="E10510" t="str">
            <v>Equals: VALUE ADDED, GROSS, at basic prices</v>
          </cell>
          <cell r="F10510">
            <v>12</v>
          </cell>
          <cell r="G10510">
            <v>2000</v>
          </cell>
          <cell r="H10510">
            <v>100</v>
          </cell>
          <cell r="I10510">
            <v>877142000000</v>
          </cell>
        </row>
        <row r="10511">
          <cell r="A10511" t="str">
            <v>United Kingdom</v>
          </cell>
          <cell r="B10511">
            <v>826</v>
          </cell>
          <cell r="C10511">
            <v>203</v>
          </cell>
          <cell r="D10511">
            <v>3</v>
          </cell>
          <cell r="E10511" t="str">
            <v>Equals: VALUE ADDED, GROSS, at basic prices</v>
          </cell>
          <cell r="F10511">
            <v>12</v>
          </cell>
          <cell r="G10511">
            <v>2001</v>
          </cell>
          <cell r="H10511">
            <v>100</v>
          </cell>
          <cell r="I10511">
            <v>921147000000</v>
          </cell>
        </row>
        <row r="10512">
          <cell r="A10512" t="str">
            <v>United Kingdom</v>
          </cell>
          <cell r="B10512">
            <v>826</v>
          </cell>
          <cell r="C10512">
            <v>203</v>
          </cell>
          <cell r="D10512">
            <v>4</v>
          </cell>
          <cell r="E10512" t="str">
            <v>Compensation of employees</v>
          </cell>
          <cell r="F10512">
            <v>12</v>
          </cell>
          <cell r="G10512">
            <v>1970</v>
          </cell>
          <cell r="H10512">
            <v>100</v>
          </cell>
          <cell r="I10512">
            <v>30656000000</v>
          </cell>
        </row>
        <row r="10513">
          <cell r="A10513" t="str">
            <v>United Kingdom</v>
          </cell>
          <cell r="B10513">
            <v>826</v>
          </cell>
          <cell r="C10513">
            <v>203</v>
          </cell>
          <cell r="D10513">
            <v>4</v>
          </cell>
          <cell r="E10513" t="str">
            <v>Compensation of employees</v>
          </cell>
          <cell r="F10513">
            <v>12</v>
          </cell>
          <cell r="G10513">
            <v>1971</v>
          </cell>
          <cell r="H10513">
            <v>100</v>
          </cell>
          <cell r="I10513">
            <v>33625000000</v>
          </cell>
        </row>
        <row r="10514">
          <cell r="A10514" t="str">
            <v>United Kingdom</v>
          </cell>
          <cell r="B10514">
            <v>826</v>
          </cell>
          <cell r="C10514">
            <v>203</v>
          </cell>
          <cell r="D10514">
            <v>4</v>
          </cell>
          <cell r="E10514" t="str">
            <v>Compensation of employees</v>
          </cell>
          <cell r="F10514">
            <v>12</v>
          </cell>
          <cell r="G10514">
            <v>1972</v>
          </cell>
          <cell r="H10514">
            <v>100</v>
          </cell>
          <cell r="I10514">
            <v>37981000000</v>
          </cell>
        </row>
        <row r="10515">
          <cell r="A10515" t="str">
            <v>United Kingdom</v>
          </cell>
          <cell r="B10515">
            <v>826</v>
          </cell>
          <cell r="C10515">
            <v>203</v>
          </cell>
          <cell r="D10515">
            <v>4</v>
          </cell>
          <cell r="E10515" t="str">
            <v>Compensation of employees</v>
          </cell>
          <cell r="F10515">
            <v>12</v>
          </cell>
          <cell r="G10515">
            <v>1973</v>
          </cell>
          <cell r="H10515">
            <v>100</v>
          </cell>
          <cell r="I10515">
            <v>44022000000</v>
          </cell>
        </row>
        <row r="10516">
          <cell r="A10516" t="str">
            <v>United Kingdom</v>
          </cell>
          <cell r="B10516">
            <v>826</v>
          </cell>
          <cell r="C10516">
            <v>203</v>
          </cell>
          <cell r="D10516">
            <v>4</v>
          </cell>
          <cell r="E10516" t="str">
            <v>Compensation of employees</v>
          </cell>
          <cell r="F10516">
            <v>12</v>
          </cell>
          <cell r="G10516">
            <v>1974</v>
          </cell>
          <cell r="H10516">
            <v>100</v>
          </cell>
          <cell r="I10516">
            <v>52613000000</v>
          </cell>
        </row>
        <row r="10517">
          <cell r="A10517" t="str">
            <v>United Kingdom</v>
          </cell>
          <cell r="B10517">
            <v>826</v>
          </cell>
          <cell r="C10517">
            <v>203</v>
          </cell>
          <cell r="D10517">
            <v>4</v>
          </cell>
          <cell r="E10517" t="str">
            <v>Compensation of employees</v>
          </cell>
          <cell r="F10517">
            <v>12</v>
          </cell>
          <cell r="G10517">
            <v>1975</v>
          </cell>
          <cell r="H10517">
            <v>100</v>
          </cell>
          <cell r="I10517">
            <v>68812000000</v>
          </cell>
        </row>
        <row r="10518">
          <cell r="A10518" t="str">
            <v>United Kingdom</v>
          </cell>
          <cell r="B10518">
            <v>826</v>
          </cell>
          <cell r="C10518">
            <v>203</v>
          </cell>
          <cell r="D10518">
            <v>4</v>
          </cell>
          <cell r="E10518" t="str">
            <v>Compensation of employees</v>
          </cell>
          <cell r="F10518">
            <v>12</v>
          </cell>
          <cell r="G10518">
            <v>1976</v>
          </cell>
          <cell r="H10518">
            <v>100</v>
          </cell>
          <cell r="I10518">
            <v>78298000000</v>
          </cell>
        </row>
        <row r="10519">
          <cell r="A10519" t="str">
            <v>United Kingdom</v>
          </cell>
          <cell r="B10519">
            <v>826</v>
          </cell>
          <cell r="C10519">
            <v>203</v>
          </cell>
          <cell r="D10519">
            <v>4</v>
          </cell>
          <cell r="E10519" t="str">
            <v>Compensation of employees</v>
          </cell>
          <cell r="F10519">
            <v>12</v>
          </cell>
          <cell r="G10519">
            <v>1977</v>
          </cell>
          <cell r="H10519">
            <v>100</v>
          </cell>
          <cell r="I10519">
            <v>86795000000</v>
          </cell>
        </row>
        <row r="10520">
          <cell r="A10520" t="str">
            <v>United Kingdom</v>
          </cell>
          <cell r="B10520">
            <v>826</v>
          </cell>
          <cell r="C10520">
            <v>203</v>
          </cell>
          <cell r="D10520">
            <v>4</v>
          </cell>
          <cell r="E10520" t="str">
            <v>Compensation of employees</v>
          </cell>
          <cell r="F10520">
            <v>12</v>
          </cell>
          <cell r="G10520">
            <v>1978</v>
          </cell>
          <cell r="H10520">
            <v>100</v>
          </cell>
          <cell r="I10520">
            <v>99031000000</v>
          </cell>
        </row>
        <row r="10521">
          <cell r="A10521" t="str">
            <v>United Kingdom</v>
          </cell>
          <cell r="B10521">
            <v>826</v>
          </cell>
          <cell r="C10521">
            <v>203</v>
          </cell>
          <cell r="D10521">
            <v>4</v>
          </cell>
          <cell r="E10521" t="str">
            <v>Compensation of employees</v>
          </cell>
          <cell r="F10521">
            <v>12</v>
          </cell>
          <cell r="G10521">
            <v>1979</v>
          </cell>
          <cell r="H10521">
            <v>100</v>
          </cell>
          <cell r="I10521">
            <v>116088000000</v>
          </cell>
        </row>
        <row r="10522">
          <cell r="A10522" t="str">
            <v>United Kingdom</v>
          </cell>
          <cell r="B10522">
            <v>826</v>
          </cell>
          <cell r="C10522">
            <v>203</v>
          </cell>
          <cell r="D10522">
            <v>4</v>
          </cell>
          <cell r="E10522" t="str">
            <v>Compensation of employees</v>
          </cell>
          <cell r="F10522">
            <v>12</v>
          </cell>
          <cell r="G10522">
            <v>1980</v>
          </cell>
          <cell r="H10522">
            <v>100</v>
          </cell>
          <cell r="I10522">
            <v>138023000000</v>
          </cell>
        </row>
        <row r="10523">
          <cell r="A10523" t="str">
            <v>United Kingdom</v>
          </cell>
          <cell r="B10523">
            <v>826</v>
          </cell>
          <cell r="C10523">
            <v>203</v>
          </cell>
          <cell r="D10523">
            <v>4</v>
          </cell>
          <cell r="E10523" t="str">
            <v>Compensation of employees</v>
          </cell>
          <cell r="F10523">
            <v>12</v>
          </cell>
          <cell r="G10523">
            <v>1981</v>
          </cell>
          <cell r="H10523">
            <v>100</v>
          </cell>
          <cell r="I10523">
            <v>149837000000</v>
          </cell>
        </row>
        <row r="10524">
          <cell r="A10524" t="str">
            <v>United Kingdom</v>
          </cell>
          <cell r="B10524">
            <v>826</v>
          </cell>
          <cell r="C10524">
            <v>203</v>
          </cell>
          <cell r="D10524">
            <v>4</v>
          </cell>
          <cell r="E10524" t="str">
            <v>Compensation of employees</v>
          </cell>
          <cell r="F10524">
            <v>12</v>
          </cell>
          <cell r="G10524">
            <v>1982</v>
          </cell>
          <cell r="H10524">
            <v>100</v>
          </cell>
          <cell r="I10524">
            <v>158943000000</v>
          </cell>
        </row>
        <row r="10525">
          <cell r="A10525" t="str">
            <v>United Kingdom</v>
          </cell>
          <cell r="B10525">
            <v>826</v>
          </cell>
          <cell r="C10525">
            <v>203</v>
          </cell>
          <cell r="D10525">
            <v>4</v>
          </cell>
          <cell r="E10525" t="str">
            <v>Compensation of employees</v>
          </cell>
          <cell r="F10525">
            <v>12</v>
          </cell>
          <cell r="G10525">
            <v>1983</v>
          </cell>
          <cell r="H10525">
            <v>100</v>
          </cell>
          <cell r="I10525">
            <v>170213000000</v>
          </cell>
        </row>
        <row r="10526">
          <cell r="A10526" t="str">
            <v>United Kingdom</v>
          </cell>
          <cell r="B10526">
            <v>826</v>
          </cell>
          <cell r="C10526">
            <v>203</v>
          </cell>
          <cell r="D10526">
            <v>4</v>
          </cell>
          <cell r="E10526" t="str">
            <v>Compensation of employees</v>
          </cell>
          <cell r="F10526">
            <v>12</v>
          </cell>
          <cell r="G10526">
            <v>1984</v>
          </cell>
          <cell r="H10526">
            <v>100</v>
          </cell>
          <cell r="I10526">
            <v>181904000000</v>
          </cell>
        </row>
        <row r="10527">
          <cell r="A10527" t="str">
            <v>United Kingdom</v>
          </cell>
          <cell r="B10527">
            <v>826</v>
          </cell>
          <cell r="C10527">
            <v>203</v>
          </cell>
          <cell r="D10527">
            <v>4</v>
          </cell>
          <cell r="E10527" t="str">
            <v>Compensation of employees</v>
          </cell>
          <cell r="F10527">
            <v>12</v>
          </cell>
          <cell r="G10527">
            <v>1985</v>
          </cell>
          <cell r="H10527">
            <v>100</v>
          </cell>
          <cell r="I10527">
            <v>197361000000</v>
          </cell>
        </row>
        <row r="10528">
          <cell r="A10528" t="str">
            <v>United Kingdom</v>
          </cell>
          <cell r="B10528">
            <v>826</v>
          </cell>
          <cell r="C10528">
            <v>203</v>
          </cell>
          <cell r="D10528">
            <v>4</v>
          </cell>
          <cell r="E10528" t="str">
            <v>Compensation of employees</v>
          </cell>
          <cell r="F10528">
            <v>12</v>
          </cell>
          <cell r="G10528">
            <v>1986</v>
          </cell>
          <cell r="H10528">
            <v>100</v>
          </cell>
          <cell r="I10528">
            <v>212885000000</v>
          </cell>
        </row>
        <row r="10529">
          <cell r="A10529" t="str">
            <v>United Kingdom</v>
          </cell>
          <cell r="B10529">
            <v>826</v>
          </cell>
          <cell r="C10529">
            <v>203</v>
          </cell>
          <cell r="D10529">
            <v>4</v>
          </cell>
          <cell r="E10529" t="str">
            <v>Compensation of employees</v>
          </cell>
          <cell r="F10529">
            <v>12</v>
          </cell>
          <cell r="G10529">
            <v>1987</v>
          </cell>
          <cell r="H10529">
            <v>100</v>
          </cell>
          <cell r="I10529">
            <v>230374000000</v>
          </cell>
        </row>
        <row r="10530">
          <cell r="A10530" t="str">
            <v>United Kingdom</v>
          </cell>
          <cell r="B10530">
            <v>826</v>
          </cell>
          <cell r="C10530">
            <v>203</v>
          </cell>
          <cell r="D10530">
            <v>4</v>
          </cell>
          <cell r="E10530" t="str">
            <v>Compensation of employees</v>
          </cell>
          <cell r="F10530">
            <v>12</v>
          </cell>
          <cell r="G10530">
            <v>1988</v>
          </cell>
          <cell r="H10530">
            <v>100</v>
          </cell>
          <cell r="I10530">
            <v>257256000000</v>
          </cell>
        </row>
        <row r="10531">
          <cell r="A10531" t="str">
            <v>United Kingdom</v>
          </cell>
          <cell r="B10531">
            <v>826</v>
          </cell>
          <cell r="C10531">
            <v>203</v>
          </cell>
          <cell r="D10531">
            <v>4</v>
          </cell>
          <cell r="E10531" t="str">
            <v>Compensation of employees</v>
          </cell>
          <cell r="F10531">
            <v>12</v>
          </cell>
          <cell r="G10531">
            <v>1989</v>
          </cell>
          <cell r="H10531">
            <v>100</v>
          </cell>
          <cell r="I10531">
            <v>286271000000</v>
          </cell>
        </row>
        <row r="10532">
          <cell r="A10532" t="str">
            <v>United Kingdom</v>
          </cell>
          <cell r="B10532">
            <v>826</v>
          </cell>
          <cell r="C10532">
            <v>203</v>
          </cell>
          <cell r="D10532">
            <v>4</v>
          </cell>
          <cell r="E10532" t="str">
            <v>Compensation of employees</v>
          </cell>
          <cell r="F10532">
            <v>12</v>
          </cell>
          <cell r="G10532">
            <v>1990</v>
          </cell>
          <cell r="H10532">
            <v>100</v>
          </cell>
          <cell r="I10532">
            <v>316102000000</v>
          </cell>
        </row>
        <row r="10533">
          <cell r="A10533" t="str">
            <v>United Kingdom</v>
          </cell>
          <cell r="B10533">
            <v>826</v>
          </cell>
          <cell r="C10533">
            <v>203</v>
          </cell>
          <cell r="D10533">
            <v>4</v>
          </cell>
          <cell r="E10533" t="str">
            <v>Compensation of employees</v>
          </cell>
          <cell r="F10533">
            <v>12</v>
          </cell>
          <cell r="G10533">
            <v>1991</v>
          </cell>
          <cell r="H10533">
            <v>100</v>
          </cell>
          <cell r="I10533">
            <v>335704000000</v>
          </cell>
        </row>
        <row r="10534">
          <cell r="A10534" t="str">
            <v>United Kingdom</v>
          </cell>
          <cell r="B10534">
            <v>826</v>
          </cell>
          <cell r="C10534">
            <v>203</v>
          </cell>
          <cell r="D10534">
            <v>4</v>
          </cell>
          <cell r="E10534" t="str">
            <v>Compensation of employees</v>
          </cell>
          <cell r="F10534">
            <v>12</v>
          </cell>
          <cell r="G10534">
            <v>1992</v>
          </cell>
          <cell r="H10534">
            <v>100</v>
          </cell>
          <cell r="I10534">
            <v>347713000000</v>
          </cell>
        </row>
        <row r="10535">
          <cell r="A10535" t="str">
            <v>United Kingdom</v>
          </cell>
          <cell r="B10535">
            <v>826</v>
          </cell>
          <cell r="C10535">
            <v>203</v>
          </cell>
          <cell r="D10535">
            <v>4</v>
          </cell>
          <cell r="E10535" t="str">
            <v>Compensation of employees</v>
          </cell>
          <cell r="F10535">
            <v>12</v>
          </cell>
          <cell r="G10535">
            <v>1993</v>
          </cell>
          <cell r="H10535">
            <v>100</v>
          </cell>
          <cell r="I10535">
            <v>357662000000</v>
          </cell>
        </row>
        <row r="10536">
          <cell r="A10536" t="str">
            <v>United Kingdom</v>
          </cell>
          <cell r="B10536">
            <v>826</v>
          </cell>
          <cell r="C10536">
            <v>203</v>
          </cell>
          <cell r="D10536">
            <v>4</v>
          </cell>
          <cell r="E10536" t="str">
            <v>Compensation of employees</v>
          </cell>
          <cell r="F10536">
            <v>12</v>
          </cell>
          <cell r="G10536">
            <v>1994</v>
          </cell>
          <cell r="H10536">
            <v>100</v>
          </cell>
          <cell r="I10536">
            <v>369645000000</v>
          </cell>
        </row>
        <row r="10537">
          <cell r="A10537" t="str">
            <v>United Kingdom</v>
          </cell>
          <cell r="B10537">
            <v>826</v>
          </cell>
          <cell r="C10537">
            <v>203</v>
          </cell>
          <cell r="D10537">
            <v>4</v>
          </cell>
          <cell r="E10537" t="str">
            <v>Compensation of employees</v>
          </cell>
          <cell r="F10537">
            <v>12</v>
          </cell>
          <cell r="G10537">
            <v>1995</v>
          </cell>
          <cell r="H10537">
            <v>100</v>
          </cell>
          <cell r="I10537">
            <v>386718000000</v>
          </cell>
        </row>
        <row r="10538">
          <cell r="A10538" t="str">
            <v>United Kingdom</v>
          </cell>
          <cell r="B10538">
            <v>826</v>
          </cell>
          <cell r="C10538">
            <v>203</v>
          </cell>
          <cell r="D10538">
            <v>4</v>
          </cell>
          <cell r="E10538" t="str">
            <v>Compensation of employees</v>
          </cell>
          <cell r="F10538">
            <v>12</v>
          </cell>
          <cell r="G10538">
            <v>1996</v>
          </cell>
          <cell r="H10538">
            <v>100</v>
          </cell>
          <cell r="I10538">
            <v>405469000000</v>
          </cell>
        </row>
        <row r="10539">
          <cell r="A10539" t="str">
            <v>United Kingdom</v>
          </cell>
          <cell r="B10539">
            <v>826</v>
          </cell>
          <cell r="C10539">
            <v>203</v>
          </cell>
          <cell r="D10539">
            <v>4</v>
          </cell>
          <cell r="E10539" t="str">
            <v>Compensation of employees</v>
          </cell>
          <cell r="F10539">
            <v>12</v>
          </cell>
          <cell r="G10539">
            <v>1997</v>
          </cell>
          <cell r="H10539">
            <v>100</v>
          </cell>
          <cell r="I10539">
            <v>432960000000</v>
          </cell>
        </row>
        <row r="10540">
          <cell r="A10540" t="str">
            <v>United Kingdom</v>
          </cell>
          <cell r="B10540">
            <v>826</v>
          </cell>
          <cell r="C10540">
            <v>203</v>
          </cell>
          <cell r="D10540">
            <v>4</v>
          </cell>
          <cell r="E10540" t="str">
            <v>Compensation of employees</v>
          </cell>
          <cell r="F10540">
            <v>12</v>
          </cell>
          <cell r="G10540">
            <v>1998</v>
          </cell>
          <cell r="H10540">
            <v>100</v>
          </cell>
          <cell r="I10540">
            <v>465058000000</v>
          </cell>
        </row>
        <row r="10541">
          <cell r="A10541" t="str">
            <v>United Kingdom</v>
          </cell>
          <cell r="B10541">
            <v>826</v>
          </cell>
          <cell r="C10541">
            <v>203</v>
          </cell>
          <cell r="D10541">
            <v>4</v>
          </cell>
          <cell r="E10541" t="str">
            <v>Compensation of employees</v>
          </cell>
          <cell r="F10541">
            <v>12</v>
          </cell>
          <cell r="G10541">
            <v>1999</v>
          </cell>
          <cell r="H10541">
            <v>100</v>
          </cell>
          <cell r="I10541">
            <v>492724000000</v>
          </cell>
        </row>
        <row r="10542">
          <cell r="A10542" t="str">
            <v>United Kingdom</v>
          </cell>
          <cell r="B10542">
            <v>826</v>
          </cell>
          <cell r="C10542">
            <v>203</v>
          </cell>
          <cell r="D10542">
            <v>4</v>
          </cell>
          <cell r="E10542" t="str">
            <v>Compensation of employees</v>
          </cell>
          <cell r="F10542">
            <v>12</v>
          </cell>
          <cell r="G10542">
            <v>2000</v>
          </cell>
          <cell r="H10542">
            <v>100</v>
          </cell>
          <cell r="I10542">
            <v>524890000000</v>
          </cell>
        </row>
        <row r="10543">
          <cell r="A10543" t="str">
            <v>United Kingdom</v>
          </cell>
          <cell r="B10543">
            <v>826</v>
          </cell>
          <cell r="C10543">
            <v>203</v>
          </cell>
          <cell r="D10543">
            <v>4</v>
          </cell>
          <cell r="E10543" t="str">
            <v>Compensation of employees</v>
          </cell>
          <cell r="F10543">
            <v>12</v>
          </cell>
          <cell r="G10543">
            <v>2001</v>
          </cell>
          <cell r="H10543">
            <v>100</v>
          </cell>
          <cell r="I10543">
            <v>556371000000</v>
          </cell>
        </row>
        <row r="10544">
          <cell r="A10544" t="str">
            <v>Algeria</v>
          </cell>
          <cell r="B10544">
            <v>12</v>
          </cell>
          <cell r="C10544">
            <v>203</v>
          </cell>
          <cell r="D10544">
            <v>3</v>
          </cell>
          <cell r="E10544" t="str">
            <v>Equals: VALUE ADDED, GROSS, at basic prices</v>
          </cell>
          <cell r="F10544">
            <v>12</v>
          </cell>
          <cell r="G10544">
            <v>1970</v>
          </cell>
          <cell r="H10544">
            <v>10</v>
          </cell>
          <cell r="I10544">
            <v>22674000000</v>
          </cell>
        </row>
        <row r="10545">
          <cell r="A10545" t="str">
            <v>Algeria</v>
          </cell>
          <cell r="B10545">
            <v>12</v>
          </cell>
          <cell r="C10545">
            <v>203</v>
          </cell>
          <cell r="D10545">
            <v>3</v>
          </cell>
          <cell r="E10545" t="str">
            <v>Equals: VALUE ADDED, GROSS, at basic prices</v>
          </cell>
          <cell r="F10545">
            <v>12</v>
          </cell>
          <cell r="G10545">
            <v>1971</v>
          </cell>
          <cell r="H10545">
            <v>10</v>
          </cell>
          <cell r="I10545">
            <v>23897000000</v>
          </cell>
        </row>
        <row r="10546">
          <cell r="A10546" t="str">
            <v>Algeria</v>
          </cell>
          <cell r="B10546">
            <v>12</v>
          </cell>
          <cell r="C10546">
            <v>203</v>
          </cell>
          <cell r="D10546">
            <v>3</v>
          </cell>
          <cell r="E10546" t="str">
            <v>Equals: VALUE ADDED, GROSS, at basic prices</v>
          </cell>
          <cell r="F10546">
            <v>12</v>
          </cell>
          <cell r="G10546">
            <v>1972</v>
          </cell>
          <cell r="H10546">
            <v>10</v>
          </cell>
          <cell r="I10546">
            <v>28908000000</v>
          </cell>
        </row>
        <row r="10547">
          <cell r="A10547" t="str">
            <v>Algeria</v>
          </cell>
          <cell r="B10547">
            <v>12</v>
          </cell>
          <cell r="C10547">
            <v>203</v>
          </cell>
          <cell r="D10547">
            <v>3</v>
          </cell>
          <cell r="E10547" t="str">
            <v>Equals: VALUE ADDED, GROSS, at basic prices</v>
          </cell>
          <cell r="F10547">
            <v>12</v>
          </cell>
          <cell r="G10547">
            <v>1973</v>
          </cell>
          <cell r="H10547">
            <v>10</v>
          </cell>
          <cell r="I10547">
            <v>32848000000</v>
          </cell>
        </row>
        <row r="10548">
          <cell r="A10548" t="str">
            <v>Algeria</v>
          </cell>
          <cell r="B10548">
            <v>12</v>
          </cell>
          <cell r="C10548">
            <v>203</v>
          </cell>
          <cell r="D10548">
            <v>3</v>
          </cell>
          <cell r="E10548" t="str">
            <v>Equals: VALUE ADDED, GROSS, at basic prices</v>
          </cell>
          <cell r="F10548">
            <v>12</v>
          </cell>
          <cell r="G10548">
            <v>1974</v>
          </cell>
          <cell r="H10548">
            <v>10</v>
          </cell>
          <cell r="I10548">
            <v>49524000000</v>
          </cell>
        </row>
        <row r="10549">
          <cell r="A10549" t="str">
            <v>Algeria</v>
          </cell>
          <cell r="B10549">
            <v>12</v>
          </cell>
          <cell r="C10549">
            <v>203</v>
          </cell>
          <cell r="D10549">
            <v>3</v>
          </cell>
          <cell r="E10549" t="str">
            <v>Equals: VALUE ADDED, GROSS, at basic prices</v>
          </cell>
          <cell r="F10549">
            <v>12</v>
          </cell>
          <cell r="G10549">
            <v>1975</v>
          </cell>
          <cell r="H10549">
            <v>10</v>
          </cell>
          <cell r="I10549">
            <v>53417000000</v>
          </cell>
        </row>
        <row r="10550">
          <cell r="A10550" t="str">
            <v>Algeria</v>
          </cell>
          <cell r="B10550">
            <v>12</v>
          </cell>
          <cell r="C10550">
            <v>203</v>
          </cell>
          <cell r="D10550">
            <v>3</v>
          </cell>
          <cell r="E10550" t="str">
            <v>Equals: VALUE ADDED, GROSS, at basic prices</v>
          </cell>
          <cell r="F10550">
            <v>12</v>
          </cell>
          <cell r="G10550">
            <v>1976</v>
          </cell>
          <cell r="H10550">
            <v>10</v>
          </cell>
          <cell r="I10550">
            <v>64730000000</v>
          </cell>
        </row>
        <row r="10551">
          <cell r="A10551" t="str">
            <v>Algeria</v>
          </cell>
          <cell r="B10551">
            <v>12</v>
          </cell>
          <cell r="C10551">
            <v>203</v>
          </cell>
          <cell r="D10551">
            <v>3</v>
          </cell>
          <cell r="E10551" t="str">
            <v>Equals: VALUE ADDED, GROSS, at basic prices</v>
          </cell>
          <cell r="F10551">
            <v>12</v>
          </cell>
          <cell r="G10551">
            <v>1977</v>
          </cell>
          <cell r="H10551">
            <v>10</v>
          </cell>
          <cell r="I10551">
            <v>76564000000</v>
          </cell>
        </row>
        <row r="10552">
          <cell r="A10552" t="str">
            <v>Algeria</v>
          </cell>
          <cell r="B10552">
            <v>12</v>
          </cell>
          <cell r="C10552">
            <v>203</v>
          </cell>
          <cell r="D10552">
            <v>3</v>
          </cell>
          <cell r="E10552" t="str">
            <v>Equals: VALUE ADDED, GROSS, at basic prices</v>
          </cell>
          <cell r="F10552">
            <v>12</v>
          </cell>
          <cell r="G10552">
            <v>1978</v>
          </cell>
          <cell r="H10552">
            <v>10</v>
          </cell>
          <cell r="I10552">
            <v>94063000000</v>
          </cell>
        </row>
        <row r="10553">
          <cell r="A10553" t="str">
            <v>Algeria</v>
          </cell>
          <cell r="B10553">
            <v>12</v>
          </cell>
          <cell r="C10553">
            <v>203</v>
          </cell>
          <cell r="D10553">
            <v>3</v>
          </cell>
          <cell r="E10553" t="str">
            <v>Equals: VALUE ADDED, GROSS, at basic prices</v>
          </cell>
          <cell r="F10553">
            <v>12</v>
          </cell>
          <cell r="G10553">
            <v>1989</v>
          </cell>
          <cell r="H10553">
            <v>20</v>
          </cell>
          <cell r="I10553">
            <v>400750800000</v>
          </cell>
        </row>
        <row r="10554">
          <cell r="A10554" t="str">
            <v>Algeria</v>
          </cell>
          <cell r="B10554">
            <v>12</v>
          </cell>
          <cell r="C10554">
            <v>203</v>
          </cell>
          <cell r="D10554">
            <v>3</v>
          </cell>
          <cell r="E10554" t="str">
            <v>Equals: VALUE ADDED, GROSS, at basic prices</v>
          </cell>
          <cell r="F10554">
            <v>12</v>
          </cell>
          <cell r="G10554">
            <v>1990</v>
          </cell>
          <cell r="H10554">
            <v>20</v>
          </cell>
          <cell r="I10554">
            <v>526186400000</v>
          </cell>
        </row>
        <row r="10555">
          <cell r="A10555" t="str">
            <v>Algeria</v>
          </cell>
          <cell r="B10555">
            <v>12</v>
          </cell>
          <cell r="C10555">
            <v>203</v>
          </cell>
          <cell r="D10555">
            <v>3</v>
          </cell>
          <cell r="E10555" t="str">
            <v>Equals: VALUE ADDED, GROSS, at basic prices</v>
          </cell>
          <cell r="F10555">
            <v>12</v>
          </cell>
          <cell r="G10555">
            <v>1991</v>
          </cell>
          <cell r="H10555">
            <v>20</v>
          </cell>
          <cell r="I10555">
            <v>803439500000</v>
          </cell>
        </row>
        <row r="10556">
          <cell r="A10556" t="str">
            <v>Algeria</v>
          </cell>
          <cell r="B10556">
            <v>12</v>
          </cell>
          <cell r="C10556">
            <v>203</v>
          </cell>
          <cell r="D10556">
            <v>3</v>
          </cell>
          <cell r="E10556" t="str">
            <v>Equals: VALUE ADDED, GROSS, at basic prices</v>
          </cell>
          <cell r="F10556">
            <v>12</v>
          </cell>
          <cell r="G10556">
            <v>1992</v>
          </cell>
          <cell r="H10556">
            <v>20</v>
          </cell>
          <cell r="I10556">
            <v>1037562000000</v>
          </cell>
        </row>
        <row r="10557">
          <cell r="A10557" t="str">
            <v>Algeria</v>
          </cell>
          <cell r="B10557">
            <v>12</v>
          </cell>
          <cell r="C10557">
            <v>203</v>
          </cell>
          <cell r="D10557">
            <v>3</v>
          </cell>
          <cell r="E10557" t="str">
            <v>Equals: VALUE ADDED, GROSS, at basic prices</v>
          </cell>
          <cell r="F10557">
            <v>12</v>
          </cell>
          <cell r="G10557">
            <v>1993</v>
          </cell>
          <cell r="H10557">
            <v>20</v>
          </cell>
          <cell r="I10557">
            <v>1146135000000</v>
          </cell>
        </row>
        <row r="10558">
          <cell r="A10558" t="str">
            <v>Algeria</v>
          </cell>
          <cell r="B10558">
            <v>12</v>
          </cell>
          <cell r="C10558">
            <v>203</v>
          </cell>
          <cell r="D10558">
            <v>3</v>
          </cell>
          <cell r="E10558" t="str">
            <v>Equals: VALUE ADDED, GROSS, at basic prices</v>
          </cell>
          <cell r="F10558">
            <v>12</v>
          </cell>
          <cell r="G10558">
            <v>1994</v>
          </cell>
          <cell r="H10558">
            <v>20</v>
          </cell>
          <cell r="I10558">
            <v>1420664000000</v>
          </cell>
        </row>
        <row r="10559">
          <cell r="A10559" t="str">
            <v>Algeria</v>
          </cell>
          <cell r="B10559">
            <v>12</v>
          </cell>
          <cell r="C10559">
            <v>203</v>
          </cell>
          <cell r="D10559">
            <v>3</v>
          </cell>
          <cell r="E10559" t="str">
            <v>Equals: VALUE ADDED, GROSS, at basic prices</v>
          </cell>
          <cell r="F10559">
            <v>12</v>
          </cell>
          <cell r="G10559">
            <v>1995</v>
          </cell>
          <cell r="H10559">
            <v>20</v>
          </cell>
          <cell r="I10559">
            <v>1905004000000</v>
          </cell>
        </row>
        <row r="10560">
          <cell r="A10560" t="str">
            <v>Algeria</v>
          </cell>
          <cell r="B10560">
            <v>12</v>
          </cell>
          <cell r="C10560">
            <v>203</v>
          </cell>
          <cell r="D10560">
            <v>3</v>
          </cell>
          <cell r="E10560" t="str">
            <v>Equals: VALUE ADDED, GROSS, at basic prices</v>
          </cell>
          <cell r="F10560">
            <v>12</v>
          </cell>
          <cell r="G10560">
            <v>1996</v>
          </cell>
          <cell r="H10560">
            <v>20</v>
          </cell>
          <cell r="I10560">
            <v>2465477000000</v>
          </cell>
        </row>
        <row r="10561">
          <cell r="A10561" t="str">
            <v>Algeria</v>
          </cell>
          <cell r="B10561">
            <v>12</v>
          </cell>
          <cell r="C10561">
            <v>203</v>
          </cell>
          <cell r="D10561">
            <v>3</v>
          </cell>
          <cell r="E10561" t="str">
            <v>Equals: VALUE ADDED, GROSS, at basic prices</v>
          </cell>
          <cell r="F10561">
            <v>12</v>
          </cell>
          <cell r="G10561">
            <v>1997</v>
          </cell>
          <cell r="H10561">
            <v>20</v>
          </cell>
          <cell r="I10561">
            <v>2626562000000</v>
          </cell>
        </row>
        <row r="10562">
          <cell r="A10562" t="str">
            <v>Algeria</v>
          </cell>
          <cell r="B10562">
            <v>12</v>
          </cell>
          <cell r="C10562">
            <v>203</v>
          </cell>
          <cell r="D10562">
            <v>3</v>
          </cell>
          <cell r="E10562" t="str">
            <v>Equals: VALUE ADDED, GROSS, at basic prices</v>
          </cell>
          <cell r="F10562">
            <v>12</v>
          </cell>
          <cell r="G10562">
            <v>1998</v>
          </cell>
          <cell r="H10562">
            <v>20</v>
          </cell>
          <cell r="I10562">
            <v>2675990000000</v>
          </cell>
        </row>
        <row r="10563">
          <cell r="A10563" t="str">
            <v>Algeria</v>
          </cell>
          <cell r="B10563">
            <v>12</v>
          </cell>
          <cell r="C10563">
            <v>203</v>
          </cell>
          <cell r="D10563">
            <v>3</v>
          </cell>
          <cell r="E10563" t="str">
            <v>Equals: VALUE ADDED, GROSS, at basic prices</v>
          </cell>
          <cell r="F10563">
            <v>12</v>
          </cell>
          <cell r="G10563">
            <v>1999</v>
          </cell>
          <cell r="H10563">
            <v>20</v>
          </cell>
          <cell r="I10563">
            <v>3090918000000</v>
          </cell>
        </row>
        <row r="10564">
          <cell r="A10564" t="str">
            <v>Algeria</v>
          </cell>
          <cell r="B10564">
            <v>12</v>
          </cell>
          <cell r="C10564">
            <v>203</v>
          </cell>
          <cell r="D10564">
            <v>3</v>
          </cell>
          <cell r="E10564" t="str">
            <v>Equals: VALUE ADDED, GROSS, at basic prices</v>
          </cell>
          <cell r="F10564">
            <v>12</v>
          </cell>
          <cell r="G10564">
            <v>2000</v>
          </cell>
          <cell r="H10564">
            <v>20</v>
          </cell>
          <cell r="I10564">
            <v>3934941000000</v>
          </cell>
        </row>
        <row r="10565">
          <cell r="A10565" t="str">
            <v>Algeria</v>
          </cell>
          <cell r="B10565">
            <v>12</v>
          </cell>
          <cell r="C10565">
            <v>203</v>
          </cell>
          <cell r="D10565">
            <v>3</v>
          </cell>
          <cell r="E10565" t="str">
            <v>Equals: VALUE ADDED, GROSS, at basic prices</v>
          </cell>
          <cell r="F10565">
            <v>12</v>
          </cell>
          <cell r="G10565">
            <v>2001</v>
          </cell>
          <cell r="H10565">
            <v>20</v>
          </cell>
          <cell r="I10565">
            <v>4054351000000</v>
          </cell>
        </row>
        <row r="10566">
          <cell r="A10566" t="str">
            <v>Algeria</v>
          </cell>
          <cell r="B10566">
            <v>12</v>
          </cell>
          <cell r="C10566">
            <v>203</v>
          </cell>
          <cell r="D10566">
            <v>3</v>
          </cell>
          <cell r="E10566" t="str">
            <v>Equals: VALUE ADDED, GROSS, at basic prices</v>
          </cell>
          <cell r="F10566">
            <v>12</v>
          </cell>
          <cell r="G10566">
            <v>2002</v>
          </cell>
          <cell r="H10566">
            <v>20</v>
          </cell>
          <cell r="I10566">
            <v>4228151000000</v>
          </cell>
        </row>
        <row r="10567">
          <cell r="A10567" t="str">
            <v>Algeria</v>
          </cell>
          <cell r="B10567">
            <v>12</v>
          </cell>
          <cell r="C10567">
            <v>203</v>
          </cell>
          <cell r="D10567">
            <v>4</v>
          </cell>
          <cell r="E10567" t="str">
            <v>Compensation of employees</v>
          </cell>
          <cell r="F10567">
            <v>12</v>
          </cell>
          <cell r="G10567">
            <v>1970</v>
          </cell>
          <cell r="H10567">
            <v>10</v>
          </cell>
          <cell r="I10567">
            <v>8447000000</v>
          </cell>
        </row>
        <row r="10568">
          <cell r="A10568" t="str">
            <v>United States</v>
          </cell>
          <cell r="B10568">
            <v>840</v>
          </cell>
          <cell r="C10568">
            <v>201</v>
          </cell>
          <cell r="D10568">
            <v>13</v>
          </cell>
          <cell r="E10568" t="str">
            <v>Less: Financial intermediation services indirectly measured (FISIM) (only to be deducted if FISIM is not distributed to uses)</v>
          </cell>
          <cell r="F10568">
            <v>0</v>
          </cell>
          <cell r="G10568">
            <v>1960</v>
          </cell>
          <cell r="H10568">
            <v>10</v>
          </cell>
          <cell r="I10568">
            <v>8900000000</v>
          </cell>
        </row>
        <row r="10569">
          <cell r="A10569" t="str">
            <v>United States</v>
          </cell>
          <cell r="B10569">
            <v>840</v>
          </cell>
          <cell r="C10569">
            <v>201</v>
          </cell>
          <cell r="D10569">
            <v>13</v>
          </cell>
          <cell r="E10569" t="str">
            <v>Less: Financial intermediation services indirectly measured (FISIM) (only to be deducted if FISIM is not distributed to uses)</v>
          </cell>
          <cell r="F10569">
            <v>0</v>
          </cell>
          <cell r="G10569">
            <v>1961</v>
          </cell>
          <cell r="H10569">
            <v>10</v>
          </cell>
          <cell r="I10569">
            <v>9400000000</v>
          </cell>
        </row>
        <row r="10570">
          <cell r="A10570" t="str">
            <v>United States</v>
          </cell>
          <cell r="B10570">
            <v>840</v>
          </cell>
          <cell r="C10570">
            <v>201</v>
          </cell>
          <cell r="D10570">
            <v>13</v>
          </cell>
          <cell r="E10570" t="str">
            <v>Less: Financial intermediation services indirectly measured (FISIM) (only to be deducted if FISIM is not distributed to uses)</v>
          </cell>
          <cell r="F10570">
            <v>0</v>
          </cell>
          <cell r="G10570">
            <v>1962</v>
          </cell>
          <cell r="H10570">
            <v>10</v>
          </cell>
          <cell r="I10570">
            <v>9600000000</v>
          </cell>
        </row>
        <row r="10571">
          <cell r="A10571" t="str">
            <v>United States</v>
          </cell>
          <cell r="B10571">
            <v>840</v>
          </cell>
          <cell r="C10571">
            <v>201</v>
          </cell>
          <cell r="D10571">
            <v>13</v>
          </cell>
          <cell r="E10571" t="str">
            <v>Less: Financial intermediation services indirectly measured (FISIM) (only to be deducted if FISIM is not distributed to uses)</v>
          </cell>
          <cell r="F10571">
            <v>0</v>
          </cell>
          <cell r="G10571">
            <v>1963</v>
          </cell>
          <cell r="H10571">
            <v>10</v>
          </cell>
          <cell r="I10571">
            <v>10100000000</v>
          </cell>
        </row>
        <row r="10572">
          <cell r="A10572" t="str">
            <v>United States</v>
          </cell>
          <cell r="B10572">
            <v>840</v>
          </cell>
          <cell r="C10572">
            <v>201</v>
          </cell>
          <cell r="D10572">
            <v>13</v>
          </cell>
          <cell r="E10572" t="str">
            <v>Less: Financial intermediation services indirectly measured (FISIM) (only to be deducted if FISIM is not distributed to uses)</v>
          </cell>
          <cell r="F10572">
            <v>0</v>
          </cell>
          <cell r="G10572">
            <v>1964</v>
          </cell>
          <cell r="H10572">
            <v>10</v>
          </cell>
          <cell r="I10572">
            <v>11000000000</v>
          </cell>
        </row>
        <row r="10573">
          <cell r="A10573" t="str">
            <v>United States</v>
          </cell>
          <cell r="B10573">
            <v>840</v>
          </cell>
          <cell r="C10573">
            <v>201</v>
          </cell>
          <cell r="D10573">
            <v>13</v>
          </cell>
          <cell r="E10573" t="str">
            <v>Less: Financial intermediation services indirectly measured (FISIM) (only to be deducted if FISIM is not distributed to uses)</v>
          </cell>
          <cell r="F10573">
            <v>0</v>
          </cell>
          <cell r="G10573">
            <v>1965</v>
          </cell>
          <cell r="H10573">
            <v>10</v>
          </cell>
          <cell r="I10573">
            <v>12100000000</v>
          </cell>
        </row>
        <row r="10574">
          <cell r="A10574" t="str">
            <v>United States</v>
          </cell>
          <cell r="B10574">
            <v>840</v>
          </cell>
          <cell r="C10574">
            <v>201</v>
          </cell>
          <cell r="D10574">
            <v>13</v>
          </cell>
          <cell r="E10574" t="str">
            <v>Less: Financial intermediation services indirectly measured (FISIM) (only to be deducted if FISIM is not distributed to uses)</v>
          </cell>
          <cell r="F10574">
            <v>0</v>
          </cell>
          <cell r="G10574">
            <v>1966</v>
          </cell>
          <cell r="H10574">
            <v>10</v>
          </cell>
          <cell r="I10574">
            <v>13600000000</v>
          </cell>
        </row>
        <row r="10575">
          <cell r="A10575" t="str">
            <v>United States</v>
          </cell>
          <cell r="B10575">
            <v>840</v>
          </cell>
          <cell r="C10575">
            <v>201</v>
          </cell>
          <cell r="D10575">
            <v>13</v>
          </cell>
          <cell r="E10575" t="str">
            <v>Less: Financial intermediation services indirectly measured (FISIM) (only to be deducted if FISIM is not distributed to uses)</v>
          </cell>
          <cell r="F10575">
            <v>0</v>
          </cell>
          <cell r="G10575">
            <v>1967</v>
          </cell>
          <cell r="H10575">
            <v>10</v>
          </cell>
          <cell r="I10575">
            <v>15500000000</v>
          </cell>
        </row>
        <row r="10576">
          <cell r="A10576" t="str">
            <v>United States</v>
          </cell>
          <cell r="B10576">
            <v>840</v>
          </cell>
          <cell r="C10576">
            <v>201</v>
          </cell>
          <cell r="D10576">
            <v>13</v>
          </cell>
          <cell r="E10576" t="str">
            <v>Less: Financial intermediation services indirectly measured (FISIM) (only to be deducted if FISIM is not distributed to uses)</v>
          </cell>
          <cell r="F10576">
            <v>0</v>
          </cell>
          <cell r="G10576">
            <v>1968</v>
          </cell>
          <cell r="H10576">
            <v>10</v>
          </cell>
          <cell r="I10576">
            <v>17400000000</v>
          </cell>
        </row>
        <row r="10577">
          <cell r="A10577" t="str">
            <v>United States</v>
          </cell>
          <cell r="B10577">
            <v>840</v>
          </cell>
          <cell r="C10577">
            <v>201</v>
          </cell>
          <cell r="D10577">
            <v>13</v>
          </cell>
          <cell r="E10577" t="str">
            <v>Less: Financial intermediation services indirectly measured (FISIM) (only to be deducted if FISIM is not distributed to uses)</v>
          </cell>
          <cell r="F10577">
            <v>0</v>
          </cell>
          <cell r="G10577">
            <v>1969</v>
          </cell>
          <cell r="H10577">
            <v>10</v>
          </cell>
          <cell r="I10577">
            <v>19100000000</v>
          </cell>
        </row>
        <row r="10578">
          <cell r="A10578" t="str">
            <v>United States</v>
          </cell>
          <cell r="B10578">
            <v>840</v>
          </cell>
          <cell r="C10578">
            <v>201</v>
          </cell>
          <cell r="D10578">
            <v>13</v>
          </cell>
          <cell r="E10578" t="str">
            <v>Less: Financial intermediation services indirectly measured (FISIM) (only to be deducted if FISIM is not distributed to uses)</v>
          </cell>
          <cell r="F10578">
            <v>0</v>
          </cell>
          <cell r="G10578">
            <v>1970</v>
          </cell>
          <cell r="H10578">
            <v>10</v>
          </cell>
          <cell r="I10578">
            <v>21900000000</v>
          </cell>
        </row>
        <row r="10579">
          <cell r="A10579" t="str">
            <v>United States</v>
          </cell>
          <cell r="B10579">
            <v>840</v>
          </cell>
          <cell r="C10579">
            <v>203</v>
          </cell>
          <cell r="D10579">
            <v>3</v>
          </cell>
          <cell r="E10579" t="str">
            <v>Equals: VALUE ADDED, GROSS, at basic prices</v>
          </cell>
          <cell r="F10579">
            <v>12</v>
          </cell>
          <cell r="G10579">
            <v>1960</v>
          </cell>
          <cell r="H10579">
            <v>10</v>
          </cell>
          <cell r="I10579">
            <v>522800000000</v>
          </cell>
        </row>
        <row r="10580">
          <cell r="A10580" t="str">
            <v>United States</v>
          </cell>
          <cell r="B10580">
            <v>840</v>
          </cell>
          <cell r="C10580">
            <v>203</v>
          </cell>
          <cell r="D10580">
            <v>3</v>
          </cell>
          <cell r="E10580" t="str">
            <v>Equals: VALUE ADDED, GROSS, at basic prices</v>
          </cell>
          <cell r="F10580">
            <v>12</v>
          </cell>
          <cell r="G10580">
            <v>1961</v>
          </cell>
          <cell r="H10580">
            <v>10</v>
          </cell>
          <cell r="I10580">
            <v>540600000000</v>
          </cell>
        </row>
        <row r="10581">
          <cell r="A10581" t="str">
            <v>United States</v>
          </cell>
          <cell r="B10581">
            <v>840</v>
          </cell>
          <cell r="C10581">
            <v>203</v>
          </cell>
          <cell r="D10581">
            <v>3</v>
          </cell>
          <cell r="E10581" t="str">
            <v>Equals: VALUE ADDED, GROSS, at basic prices</v>
          </cell>
          <cell r="F10581">
            <v>12</v>
          </cell>
          <cell r="G10581">
            <v>1962</v>
          </cell>
          <cell r="H10581">
            <v>10</v>
          </cell>
          <cell r="I10581">
            <v>579700000000</v>
          </cell>
        </row>
        <row r="10582">
          <cell r="A10582" t="str">
            <v>United States</v>
          </cell>
          <cell r="B10582">
            <v>840</v>
          </cell>
          <cell r="C10582">
            <v>203</v>
          </cell>
          <cell r="D10582">
            <v>3</v>
          </cell>
          <cell r="E10582" t="str">
            <v>Equals: VALUE ADDED, GROSS, at basic prices</v>
          </cell>
          <cell r="F10582">
            <v>12</v>
          </cell>
          <cell r="G10582">
            <v>1963</v>
          </cell>
          <cell r="H10582">
            <v>10</v>
          </cell>
          <cell r="I10582">
            <v>612700000000</v>
          </cell>
        </row>
        <row r="10583">
          <cell r="A10583" t="str">
            <v>United States</v>
          </cell>
          <cell r="B10583">
            <v>840</v>
          </cell>
          <cell r="C10583">
            <v>203</v>
          </cell>
          <cell r="D10583">
            <v>3</v>
          </cell>
          <cell r="E10583" t="str">
            <v>Equals: VALUE ADDED, GROSS, at basic prices</v>
          </cell>
          <cell r="F10583">
            <v>12</v>
          </cell>
          <cell r="G10583">
            <v>1964</v>
          </cell>
          <cell r="H10583">
            <v>10</v>
          </cell>
          <cell r="I10583">
            <v>656900000000</v>
          </cell>
        </row>
        <row r="10584">
          <cell r="A10584" t="str">
            <v>United States</v>
          </cell>
          <cell r="B10584">
            <v>840</v>
          </cell>
          <cell r="C10584">
            <v>203</v>
          </cell>
          <cell r="D10584">
            <v>3</v>
          </cell>
          <cell r="E10584" t="str">
            <v>Equals: VALUE ADDED, GROSS, at basic prices</v>
          </cell>
          <cell r="F10584">
            <v>12</v>
          </cell>
          <cell r="G10584">
            <v>1965</v>
          </cell>
          <cell r="H10584">
            <v>10</v>
          </cell>
          <cell r="I10584">
            <v>712200000000</v>
          </cell>
        </row>
        <row r="10585">
          <cell r="A10585" t="str">
            <v>United States</v>
          </cell>
          <cell r="B10585">
            <v>840</v>
          </cell>
          <cell r="C10585">
            <v>203</v>
          </cell>
          <cell r="D10585">
            <v>3</v>
          </cell>
          <cell r="E10585" t="str">
            <v>Equals: VALUE ADDED, GROSS, at basic prices</v>
          </cell>
          <cell r="F10585">
            <v>12</v>
          </cell>
          <cell r="G10585">
            <v>1966</v>
          </cell>
          <cell r="H10585">
            <v>10</v>
          </cell>
          <cell r="I10585">
            <v>776900000000</v>
          </cell>
        </row>
        <row r="10586">
          <cell r="A10586" t="str">
            <v>United States</v>
          </cell>
          <cell r="B10586">
            <v>840</v>
          </cell>
          <cell r="C10586">
            <v>203</v>
          </cell>
          <cell r="D10586">
            <v>3</v>
          </cell>
          <cell r="E10586" t="str">
            <v>Equals: VALUE ADDED, GROSS, at basic prices</v>
          </cell>
          <cell r="F10586">
            <v>12</v>
          </cell>
          <cell r="G10586">
            <v>1967</v>
          </cell>
          <cell r="H10586">
            <v>10</v>
          </cell>
          <cell r="I10586">
            <v>824500000000</v>
          </cell>
        </row>
        <row r="10587">
          <cell r="A10587" t="str">
            <v>United States</v>
          </cell>
          <cell r="B10587">
            <v>840</v>
          </cell>
          <cell r="C10587">
            <v>203</v>
          </cell>
          <cell r="D10587">
            <v>3</v>
          </cell>
          <cell r="E10587" t="str">
            <v>Equals: VALUE ADDED, GROSS, at basic prices</v>
          </cell>
          <cell r="F10587">
            <v>12</v>
          </cell>
          <cell r="G10587">
            <v>1968</v>
          </cell>
          <cell r="H10587">
            <v>10</v>
          </cell>
          <cell r="I10587">
            <v>901500000000</v>
          </cell>
        </row>
        <row r="10588">
          <cell r="A10588" t="str">
            <v>United States</v>
          </cell>
          <cell r="B10588">
            <v>840</v>
          </cell>
          <cell r="C10588">
            <v>203</v>
          </cell>
          <cell r="D10588">
            <v>3</v>
          </cell>
          <cell r="E10588" t="str">
            <v>Equals: VALUE ADDED, GROSS, at basic prices</v>
          </cell>
          <cell r="F10588">
            <v>12</v>
          </cell>
          <cell r="G10588">
            <v>1969</v>
          </cell>
          <cell r="H10588">
            <v>10</v>
          </cell>
          <cell r="I10588">
            <v>976300000000</v>
          </cell>
        </row>
        <row r="10589">
          <cell r="A10589" t="str">
            <v>United States</v>
          </cell>
          <cell r="B10589">
            <v>840</v>
          </cell>
          <cell r="C10589">
            <v>203</v>
          </cell>
          <cell r="D10589">
            <v>3</v>
          </cell>
          <cell r="E10589" t="str">
            <v>Equals: VALUE ADDED, GROSS, at basic prices</v>
          </cell>
          <cell r="F10589">
            <v>12</v>
          </cell>
          <cell r="G10589">
            <v>1970</v>
          </cell>
          <cell r="H10589">
            <v>10</v>
          </cell>
          <cell r="I10589">
            <v>1026400000000</v>
          </cell>
        </row>
        <row r="10590">
          <cell r="A10590" t="str">
            <v>United States</v>
          </cell>
          <cell r="B10590">
            <v>840</v>
          </cell>
          <cell r="C10590">
            <v>203</v>
          </cell>
          <cell r="D10590">
            <v>3</v>
          </cell>
          <cell r="E10590" t="str">
            <v>Equals: VALUE ADDED, GROSS, at basic prices</v>
          </cell>
          <cell r="F10590">
            <v>12</v>
          </cell>
          <cell r="G10590">
            <v>1987</v>
          </cell>
          <cell r="H10590">
            <v>100</v>
          </cell>
          <cell r="I10590">
            <v>4698900000000</v>
          </cell>
        </row>
        <row r="10591">
          <cell r="A10591" t="str">
            <v>United States</v>
          </cell>
          <cell r="B10591">
            <v>840</v>
          </cell>
          <cell r="C10591">
            <v>203</v>
          </cell>
          <cell r="D10591">
            <v>3</v>
          </cell>
          <cell r="E10591" t="str">
            <v>Equals: VALUE ADDED, GROSS, at basic prices</v>
          </cell>
          <cell r="F10591">
            <v>12</v>
          </cell>
          <cell r="G10591">
            <v>1988</v>
          </cell>
          <cell r="H10591">
            <v>100</v>
          </cell>
          <cell r="I10591">
            <v>5061900000000</v>
          </cell>
        </row>
        <row r="10592">
          <cell r="A10592" t="str">
            <v>United States</v>
          </cell>
          <cell r="B10592">
            <v>840</v>
          </cell>
          <cell r="C10592">
            <v>203</v>
          </cell>
          <cell r="D10592">
            <v>3</v>
          </cell>
          <cell r="E10592" t="str">
            <v>Equals: VALUE ADDED, GROSS, at basic prices</v>
          </cell>
          <cell r="F10592">
            <v>12</v>
          </cell>
          <cell r="G10592">
            <v>1989</v>
          </cell>
          <cell r="H10592">
            <v>100</v>
          </cell>
          <cell r="I10592">
            <v>5439700000000</v>
          </cell>
        </row>
        <row r="10593">
          <cell r="A10593" t="str">
            <v>United States</v>
          </cell>
          <cell r="B10593">
            <v>840</v>
          </cell>
          <cell r="C10593">
            <v>203</v>
          </cell>
          <cell r="D10593">
            <v>3</v>
          </cell>
          <cell r="E10593" t="str">
            <v>Equals: VALUE ADDED, GROSS, at basic prices</v>
          </cell>
          <cell r="F10593">
            <v>12</v>
          </cell>
          <cell r="G10593">
            <v>1990</v>
          </cell>
          <cell r="H10593">
            <v>100</v>
          </cell>
          <cell r="I10593">
            <v>5750800000000</v>
          </cell>
        </row>
        <row r="10594">
          <cell r="A10594" t="str">
            <v>United States</v>
          </cell>
          <cell r="B10594">
            <v>840</v>
          </cell>
          <cell r="C10594">
            <v>203</v>
          </cell>
          <cell r="D10594">
            <v>3</v>
          </cell>
          <cell r="E10594" t="str">
            <v>Equals: VALUE ADDED, GROSS, at basic prices</v>
          </cell>
          <cell r="F10594">
            <v>12</v>
          </cell>
          <cell r="G10594">
            <v>1991</v>
          </cell>
          <cell r="H10594">
            <v>100</v>
          </cell>
          <cell r="I10594">
            <v>5930700000000</v>
          </cell>
        </row>
        <row r="10595">
          <cell r="A10595" t="str">
            <v>United States</v>
          </cell>
          <cell r="B10595">
            <v>840</v>
          </cell>
          <cell r="C10595">
            <v>203</v>
          </cell>
          <cell r="D10595">
            <v>3</v>
          </cell>
          <cell r="E10595" t="str">
            <v>Equals: VALUE ADDED, GROSS, at basic prices</v>
          </cell>
          <cell r="F10595">
            <v>12</v>
          </cell>
          <cell r="G10595">
            <v>1992</v>
          </cell>
          <cell r="H10595">
            <v>100</v>
          </cell>
          <cell r="I10595">
            <v>6261800000000</v>
          </cell>
        </row>
        <row r="10596">
          <cell r="A10596" t="str">
            <v>United States</v>
          </cell>
          <cell r="B10596">
            <v>840</v>
          </cell>
          <cell r="C10596">
            <v>203</v>
          </cell>
          <cell r="D10596">
            <v>3</v>
          </cell>
          <cell r="E10596" t="str">
            <v>Equals: VALUE ADDED, GROSS, at basic prices</v>
          </cell>
          <cell r="F10596">
            <v>12</v>
          </cell>
          <cell r="G10596">
            <v>1993</v>
          </cell>
          <cell r="H10596">
            <v>100</v>
          </cell>
          <cell r="I10596">
            <v>6582900000000</v>
          </cell>
        </row>
        <row r="10597">
          <cell r="A10597" t="str">
            <v>United States</v>
          </cell>
          <cell r="B10597">
            <v>840</v>
          </cell>
          <cell r="C10597">
            <v>203</v>
          </cell>
          <cell r="D10597">
            <v>3</v>
          </cell>
          <cell r="E10597" t="str">
            <v>Equals: VALUE ADDED, GROSS, at basic prices</v>
          </cell>
          <cell r="F10597">
            <v>12</v>
          </cell>
          <cell r="G10597">
            <v>1994</v>
          </cell>
          <cell r="H10597">
            <v>100</v>
          </cell>
          <cell r="I10597">
            <v>6993300000000</v>
          </cell>
        </row>
        <row r="10598">
          <cell r="A10598" t="str">
            <v>United States</v>
          </cell>
          <cell r="B10598">
            <v>840</v>
          </cell>
          <cell r="C10598">
            <v>203</v>
          </cell>
          <cell r="D10598">
            <v>3</v>
          </cell>
          <cell r="E10598" t="str">
            <v>Equals: VALUE ADDED, GROSS, at basic prices</v>
          </cell>
          <cell r="F10598">
            <v>12</v>
          </cell>
          <cell r="G10598">
            <v>1995</v>
          </cell>
          <cell r="H10598">
            <v>100</v>
          </cell>
          <cell r="I10598">
            <v>7338400000000</v>
          </cell>
        </row>
        <row r="10599">
          <cell r="A10599" t="str">
            <v>United States</v>
          </cell>
          <cell r="B10599">
            <v>840</v>
          </cell>
          <cell r="C10599">
            <v>203</v>
          </cell>
          <cell r="D10599">
            <v>3</v>
          </cell>
          <cell r="E10599" t="str">
            <v>Equals: VALUE ADDED, GROSS, at basic prices</v>
          </cell>
          <cell r="F10599">
            <v>12</v>
          </cell>
          <cell r="G10599">
            <v>1996</v>
          </cell>
          <cell r="H10599">
            <v>100</v>
          </cell>
          <cell r="I10599">
            <v>7751100000000</v>
          </cell>
        </row>
        <row r="10600">
          <cell r="A10600" t="str">
            <v>United States</v>
          </cell>
          <cell r="B10600">
            <v>840</v>
          </cell>
          <cell r="C10600">
            <v>203</v>
          </cell>
          <cell r="D10600">
            <v>3</v>
          </cell>
          <cell r="E10600" t="str">
            <v>Equals: VALUE ADDED, GROSS, at basic prices</v>
          </cell>
          <cell r="F10600">
            <v>12</v>
          </cell>
          <cell r="G10600">
            <v>1997</v>
          </cell>
          <cell r="H10600">
            <v>100</v>
          </cell>
          <cell r="I10600">
            <v>8256500000000</v>
          </cell>
        </row>
        <row r="10601">
          <cell r="A10601" t="str">
            <v>United States</v>
          </cell>
          <cell r="B10601">
            <v>840</v>
          </cell>
          <cell r="C10601">
            <v>203</v>
          </cell>
          <cell r="D10601">
            <v>3</v>
          </cell>
          <cell r="E10601" t="str">
            <v>Equals: VALUE ADDED, GROSS, at basic prices</v>
          </cell>
          <cell r="F10601">
            <v>12</v>
          </cell>
          <cell r="G10601">
            <v>1998</v>
          </cell>
          <cell r="H10601">
            <v>100</v>
          </cell>
          <cell r="I10601">
            <v>8720200000000.001</v>
          </cell>
        </row>
        <row r="10602">
          <cell r="A10602" t="str">
            <v>United States</v>
          </cell>
          <cell r="B10602">
            <v>840</v>
          </cell>
          <cell r="C10602">
            <v>203</v>
          </cell>
          <cell r="D10602">
            <v>3</v>
          </cell>
          <cell r="E10602" t="str">
            <v>Equals: VALUE ADDED, GROSS, at basic prices</v>
          </cell>
          <cell r="F10602">
            <v>12</v>
          </cell>
          <cell r="G10602">
            <v>1999</v>
          </cell>
          <cell r="H10602">
            <v>100</v>
          </cell>
          <cell r="I10602">
            <v>9212800000000</v>
          </cell>
        </row>
        <row r="10603">
          <cell r="A10603" t="str">
            <v>United States</v>
          </cell>
          <cell r="B10603">
            <v>840</v>
          </cell>
          <cell r="C10603">
            <v>203</v>
          </cell>
          <cell r="D10603">
            <v>3</v>
          </cell>
          <cell r="E10603" t="str">
            <v>Equals: VALUE ADDED, GROSS, at basic prices</v>
          </cell>
          <cell r="F10603">
            <v>12</v>
          </cell>
          <cell r="G10603">
            <v>2000</v>
          </cell>
          <cell r="H10603">
            <v>100</v>
          </cell>
          <cell r="I10603">
            <v>9762100000000</v>
          </cell>
        </row>
        <row r="10604">
          <cell r="A10604" t="str">
            <v>United States</v>
          </cell>
          <cell r="B10604">
            <v>840</v>
          </cell>
          <cell r="C10604">
            <v>203</v>
          </cell>
          <cell r="D10604">
            <v>3</v>
          </cell>
          <cell r="E10604" t="str">
            <v>Equals: VALUE ADDED, GROSS, at basic prices</v>
          </cell>
          <cell r="F10604">
            <v>12</v>
          </cell>
          <cell r="G10604">
            <v>2001</v>
          </cell>
          <cell r="H10604">
            <v>100</v>
          </cell>
          <cell r="I10604">
            <v>10019700000000</v>
          </cell>
        </row>
        <row r="10605">
          <cell r="A10605" t="str">
            <v>United States</v>
          </cell>
          <cell r="B10605">
            <v>840</v>
          </cell>
          <cell r="C10605">
            <v>203</v>
          </cell>
          <cell r="D10605">
            <v>4</v>
          </cell>
          <cell r="E10605" t="str">
            <v>Compensation of employees</v>
          </cell>
          <cell r="F10605">
            <v>12</v>
          </cell>
          <cell r="G10605">
            <v>1960</v>
          </cell>
          <cell r="H10605">
            <v>10</v>
          </cell>
          <cell r="I10605">
            <v>296900000000</v>
          </cell>
        </row>
        <row r="10606">
          <cell r="A10606" t="str">
            <v>United States</v>
          </cell>
          <cell r="B10606">
            <v>840</v>
          </cell>
          <cell r="C10606">
            <v>203</v>
          </cell>
          <cell r="D10606">
            <v>4</v>
          </cell>
          <cell r="E10606" t="str">
            <v>Compensation of employees</v>
          </cell>
          <cell r="F10606">
            <v>12</v>
          </cell>
          <cell r="G10606">
            <v>1961</v>
          </cell>
          <cell r="H10606">
            <v>10</v>
          </cell>
          <cell r="I10606">
            <v>305800000000</v>
          </cell>
        </row>
        <row r="10607">
          <cell r="A10607" t="str">
            <v>United States</v>
          </cell>
          <cell r="B10607">
            <v>840</v>
          </cell>
          <cell r="C10607">
            <v>203</v>
          </cell>
          <cell r="D10607">
            <v>4</v>
          </cell>
          <cell r="E10607" t="str">
            <v>Compensation of employees</v>
          </cell>
          <cell r="F10607">
            <v>12</v>
          </cell>
          <cell r="G10607">
            <v>1962</v>
          </cell>
          <cell r="H10607">
            <v>10</v>
          </cell>
          <cell r="I10607">
            <v>327700000000</v>
          </cell>
        </row>
        <row r="10608">
          <cell r="A10608" t="str">
            <v>United States</v>
          </cell>
          <cell r="B10608">
            <v>840</v>
          </cell>
          <cell r="C10608">
            <v>203</v>
          </cell>
          <cell r="D10608">
            <v>4</v>
          </cell>
          <cell r="E10608" t="str">
            <v>Compensation of employees</v>
          </cell>
          <cell r="F10608">
            <v>12</v>
          </cell>
          <cell r="G10608">
            <v>1963</v>
          </cell>
          <cell r="H10608">
            <v>10</v>
          </cell>
          <cell r="I10608">
            <v>345800000000</v>
          </cell>
        </row>
        <row r="10609">
          <cell r="A10609" t="str">
            <v>United States</v>
          </cell>
          <cell r="B10609">
            <v>840</v>
          </cell>
          <cell r="C10609">
            <v>203</v>
          </cell>
          <cell r="D10609">
            <v>4</v>
          </cell>
          <cell r="E10609" t="str">
            <v>Compensation of employees</v>
          </cell>
          <cell r="F10609">
            <v>12</v>
          </cell>
          <cell r="G10609">
            <v>1964</v>
          </cell>
          <cell r="H10609">
            <v>10</v>
          </cell>
          <cell r="I10609">
            <v>371300000000</v>
          </cell>
        </row>
        <row r="10610">
          <cell r="A10610" t="str">
            <v>United States</v>
          </cell>
          <cell r="B10610">
            <v>840</v>
          </cell>
          <cell r="C10610">
            <v>203</v>
          </cell>
          <cell r="D10610">
            <v>4</v>
          </cell>
          <cell r="E10610" t="str">
            <v>Compensation of employees</v>
          </cell>
          <cell r="F10610">
            <v>12</v>
          </cell>
          <cell r="G10610">
            <v>1965</v>
          </cell>
          <cell r="H10610">
            <v>10</v>
          </cell>
          <cell r="I10610">
            <v>400200000000</v>
          </cell>
        </row>
        <row r="10611">
          <cell r="A10611" t="str">
            <v>United States</v>
          </cell>
          <cell r="B10611">
            <v>840</v>
          </cell>
          <cell r="C10611">
            <v>203</v>
          </cell>
          <cell r="D10611">
            <v>4</v>
          </cell>
          <cell r="E10611" t="str">
            <v>Compensation of employees</v>
          </cell>
          <cell r="F10611">
            <v>12</v>
          </cell>
          <cell r="G10611">
            <v>1966</v>
          </cell>
          <cell r="H10611">
            <v>10</v>
          </cell>
          <cell r="I10611">
            <v>443600000000</v>
          </cell>
        </row>
        <row r="10612">
          <cell r="A10612" t="str">
            <v>United States</v>
          </cell>
          <cell r="B10612">
            <v>840</v>
          </cell>
          <cell r="C10612">
            <v>203</v>
          </cell>
          <cell r="D10612">
            <v>4</v>
          </cell>
          <cell r="E10612" t="str">
            <v>Compensation of employees</v>
          </cell>
          <cell r="F10612">
            <v>12</v>
          </cell>
          <cell r="G10612">
            <v>1967</v>
          </cell>
          <cell r="H10612">
            <v>10</v>
          </cell>
          <cell r="I10612">
            <v>476200000000</v>
          </cell>
        </row>
        <row r="10613">
          <cell r="A10613" t="str">
            <v>United States</v>
          </cell>
          <cell r="B10613">
            <v>840</v>
          </cell>
          <cell r="C10613">
            <v>203</v>
          </cell>
          <cell r="D10613">
            <v>4</v>
          </cell>
          <cell r="E10613" t="str">
            <v>Compensation of employees</v>
          </cell>
          <cell r="F10613">
            <v>12</v>
          </cell>
          <cell r="G10613">
            <v>1968</v>
          </cell>
          <cell r="H10613">
            <v>10</v>
          </cell>
          <cell r="I10613">
            <v>525500000000</v>
          </cell>
        </row>
        <row r="10614">
          <cell r="A10614" t="str">
            <v>United States</v>
          </cell>
          <cell r="B10614">
            <v>840</v>
          </cell>
          <cell r="C10614">
            <v>203</v>
          </cell>
          <cell r="D10614">
            <v>4</v>
          </cell>
          <cell r="E10614" t="str">
            <v>Compensation of employees</v>
          </cell>
          <cell r="F10614">
            <v>12</v>
          </cell>
          <cell r="G10614">
            <v>1969</v>
          </cell>
          <cell r="H10614">
            <v>10</v>
          </cell>
          <cell r="I10614">
            <v>579200000000</v>
          </cell>
        </row>
        <row r="10615">
          <cell r="A10615" t="str">
            <v>United States</v>
          </cell>
          <cell r="B10615">
            <v>840</v>
          </cell>
          <cell r="C10615">
            <v>203</v>
          </cell>
          <cell r="D10615">
            <v>4</v>
          </cell>
          <cell r="E10615" t="str">
            <v>Compensation of employees</v>
          </cell>
          <cell r="F10615">
            <v>12</v>
          </cell>
          <cell r="G10615">
            <v>1970</v>
          </cell>
          <cell r="H10615">
            <v>10</v>
          </cell>
          <cell r="I10615">
            <v>619100000000</v>
          </cell>
        </row>
        <row r="10616">
          <cell r="A10616" t="str">
            <v>United States</v>
          </cell>
          <cell r="B10616">
            <v>840</v>
          </cell>
          <cell r="C10616">
            <v>203</v>
          </cell>
          <cell r="D10616">
            <v>4</v>
          </cell>
          <cell r="E10616" t="str">
            <v>Compensation of employees</v>
          </cell>
          <cell r="F10616">
            <v>12</v>
          </cell>
          <cell r="G10616">
            <v>1970</v>
          </cell>
          <cell r="H10616">
            <v>100</v>
          </cell>
          <cell r="I10616">
            <v>617169000000</v>
          </cell>
        </row>
        <row r="10617">
          <cell r="A10617" t="str">
            <v>United States</v>
          </cell>
          <cell r="B10617">
            <v>840</v>
          </cell>
          <cell r="C10617">
            <v>203</v>
          </cell>
          <cell r="D10617">
            <v>4</v>
          </cell>
          <cell r="E10617" t="str">
            <v>Compensation of employees</v>
          </cell>
          <cell r="F10617">
            <v>12</v>
          </cell>
          <cell r="G10617">
            <v>1971</v>
          </cell>
          <cell r="H10617">
            <v>100</v>
          </cell>
          <cell r="I10617">
            <v>658827000000</v>
          </cell>
        </row>
        <row r="10618">
          <cell r="A10618" t="str">
            <v>United States</v>
          </cell>
          <cell r="B10618">
            <v>840</v>
          </cell>
          <cell r="C10618">
            <v>203</v>
          </cell>
          <cell r="D10618">
            <v>4</v>
          </cell>
          <cell r="E10618" t="str">
            <v>Compensation of employees</v>
          </cell>
          <cell r="F10618">
            <v>12</v>
          </cell>
          <cell r="G10618">
            <v>1972</v>
          </cell>
          <cell r="H10618">
            <v>100</v>
          </cell>
          <cell r="I10618">
            <v>725123000000</v>
          </cell>
        </row>
        <row r="10619">
          <cell r="A10619" t="str">
            <v>United States</v>
          </cell>
          <cell r="B10619">
            <v>840</v>
          </cell>
          <cell r="C10619">
            <v>203</v>
          </cell>
          <cell r="D10619">
            <v>4</v>
          </cell>
          <cell r="E10619" t="str">
            <v>Compensation of employees</v>
          </cell>
          <cell r="F10619">
            <v>12</v>
          </cell>
          <cell r="G10619">
            <v>1973</v>
          </cell>
          <cell r="H10619">
            <v>100</v>
          </cell>
          <cell r="I10619">
            <v>811234000000</v>
          </cell>
        </row>
        <row r="10620">
          <cell r="A10620" t="str">
            <v>United States</v>
          </cell>
          <cell r="B10620">
            <v>840</v>
          </cell>
          <cell r="C10620">
            <v>203</v>
          </cell>
          <cell r="D10620">
            <v>4</v>
          </cell>
          <cell r="E10620" t="str">
            <v>Compensation of employees</v>
          </cell>
          <cell r="F10620">
            <v>12</v>
          </cell>
          <cell r="G10620">
            <v>1974</v>
          </cell>
          <cell r="H10620">
            <v>100</v>
          </cell>
          <cell r="I10620">
            <v>890208000000</v>
          </cell>
        </row>
        <row r="10621">
          <cell r="A10621" t="str">
            <v>United States</v>
          </cell>
          <cell r="B10621">
            <v>840</v>
          </cell>
          <cell r="C10621">
            <v>203</v>
          </cell>
          <cell r="D10621">
            <v>4</v>
          </cell>
          <cell r="E10621" t="str">
            <v>Compensation of employees</v>
          </cell>
          <cell r="F10621">
            <v>12</v>
          </cell>
          <cell r="G10621">
            <v>1975</v>
          </cell>
          <cell r="H10621">
            <v>100</v>
          </cell>
          <cell r="I10621">
            <v>949089000000</v>
          </cell>
        </row>
        <row r="10622">
          <cell r="A10622" t="str">
            <v>United States</v>
          </cell>
          <cell r="B10622">
            <v>840</v>
          </cell>
          <cell r="C10622">
            <v>203</v>
          </cell>
          <cell r="D10622">
            <v>4</v>
          </cell>
          <cell r="E10622" t="str">
            <v>Compensation of employees</v>
          </cell>
          <cell r="F10622">
            <v>12</v>
          </cell>
          <cell r="G10622">
            <v>1976</v>
          </cell>
          <cell r="H10622">
            <v>100</v>
          </cell>
          <cell r="I10622">
            <v>1059291000000</v>
          </cell>
        </row>
        <row r="10623">
          <cell r="A10623" t="str">
            <v>United States</v>
          </cell>
          <cell r="B10623">
            <v>840</v>
          </cell>
          <cell r="C10623">
            <v>203</v>
          </cell>
          <cell r="D10623">
            <v>4</v>
          </cell>
          <cell r="E10623" t="str">
            <v>Compensation of employees</v>
          </cell>
          <cell r="F10623">
            <v>12</v>
          </cell>
          <cell r="G10623">
            <v>1977</v>
          </cell>
          <cell r="H10623">
            <v>100</v>
          </cell>
          <cell r="I10623">
            <v>1180486000000</v>
          </cell>
        </row>
        <row r="10624">
          <cell r="A10624" t="str">
            <v>United States</v>
          </cell>
          <cell r="B10624">
            <v>840</v>
          </cell>
          <cell r="C10624">
            <v>203</v>
          </cell>
          <cell r="D10624">
            <v>4</v>
          </cell>
          <cell r="E10624" t="str">
            <v>Compensation of employees</v>
          </cell>
          <cell r="F10624">
            <v>12</v>
          </cell>
          <cell r="G10624">
            <v>1978</v>
          </cell>
          <cell r="H10624">
            <v>100</v>
          </cell>
          <cell r="I10624">
            <v>1336088000000</v>
          </cell>
        </row>
        <row r="10625">
          <cell r="A10625" t="str">
            <v>United States</v>
          </cell>
          <cell r="B10625">
            <v>840</v>
          </cell>
          <cell r="C10625">
            <v>203</v>
          </cell>
          <cell r="D10625">
            <v>4</v>
          </cell>
          <cell r="E10625" t="str">
            <v>Compensation of employees</v>
          </cell>
          <cell r="F10625">
            <v>12</v>
          </cell>
          <cell r="G10625">
            <v>1979</v>
          </cell>
          <cell r="H10625">
            <v>100</v>
          </cell>
          <cell r="I10625">
            <v>1500832000000</v>
          </cell>
        </row>
        <row r="10626">
          <cell r="A10626" t="str">
            <v>United States</v>
          </cell>
          <cell r="B10626">
            <v>840</v>
          </cell>
          <cell r="C10626">
            <v>203</v>
          </cell>
          <cell r="D10626">
            <v>4</v>
          </cell>
          <cell r="E10626" t="str">
            <v>Compensation of employees</v>
          </cell>
          <cell r="F10626">
            <v>12</v>
          </cell>
          <cell r="G10626">
            <v>1980</v>
          </cell>
          <cell r="H10626">
            <v>100</v>
          </cell>
          <cell r="I10626">
            <v>1651844000000</v>
          </cell>
        </row>
        <row r="10627">
          <cell r="A10627" t="str">
            <v>United States</v>
          </cell>
          <cell r="B10627">
            <v>840</v>
          </cell>
          <cell r="C10627">
            <v>203</v>
          </cell>
          <cell r="D10627">
            <v>4</v>
          </cell>
          <cell r="E10627" t="str">
            <v>Compensation of employees</v>
          </cell>
          <cell r="F10627">
            <v>12</v>
          </cell>
          <cell r="G10627">
            <v>1981</v>
          </cell>
          <cell r="H10627">
            <v>100</v>
          </cell>
          <cell r="I10627">
            <v>1825879000000</v>
          </cell>
        </row>
        <row r="10628">
          <cell r="A10628" t="str">
            <v>United States</v>
          </cell>
          <cell r="B10628">
            <v>840</v>
          </cell>
          <cell r="C10628">
            <v>203</v>
          </cell>
          <cell r="D10628">
            <v>4</v>
          </cell>
          <cell r="E10628" t="str">
            <v>Compensation of employees</v>
          </cell>
          <cell r="F10628">
            <v>12</v>
          </cell>
          <cell r="G10628">
            <v>1982</v>
          </cell>
          <cell r="H10628">
            <v>100</v>
          </cell>
          <cell r="I10628">
            <v>1926179000000</v>
          </cell>
        </row>
        <row r="10629">
          <cell r="A10629" t="str">
            <v>United States</v>
          </cell>
          <cell r="B10629">
            <v>840</v>
          </cell>
          <cell r="C10629">
            <v>203</v>
          </cell>
          <cell r="D10629">
            <v>4</v>
          </cell>
          <cell r="E10629" t="str">
            <v>Compensation of employees</v>
          </cell>
          <cell r="F10629">
            <v>12</v>
          </cell>
          <cell r="G10629">
            <v>1983</v>
          </cell>
          <cell r="H10629">
            <v>100</v>
          </cell>
          <cell r="I10629">
            <v>2042908000000</v>
          </cell>
        </row>
        <row r="10630">
          <cell r="A10630" t="str">
            <v>United States</v>
          </cell>
          <cell r="B10630">
            <v>840</v>
          </cell>
          <cell r="C10630">
            <v>203</v>
          </cell>
          <cell r="D10630">
            <v>4</v>
          </cell>
          <cell r="E10630" t="str">
            <v>Compensation of employees</v>
          </cell>
          <cell r="F10630">
            <v>12</v>
          </cell>
          <cell r="G10630">
            <v>1984</v>
          </cell>
          <cell r="H10630">
            <v>100</v>
          </cell>
          <cell r="I10630">
            <v>2256135000000</v>
          </cell>
        </row>
        <row r="10631">
          <cell r="A10631" t="str">
            <v>United States</v>
          </cell>
          <cell r="B10631">
            <v>840</v>
          </cell>
          <cell r="C10631">
            <v>203</v>
          </cell>
          <cell r="D10631">
            <v>4</v>
          </cell>
          <cell r="E10631" t="str">
            <v>Compensation of employees</v>
          </cell>
          <cell r="F10631">
            <v>12</v>
          </cell>
          <cell r="G10631">
            <v>1985</v>
          </cell>
          <cell r="H10631">
            <v>100</v>
          </cell>
          <cell r="I10631">
            <v>2425423000000</v>
          </cell>
        </row>
        <row r="10632">
          <cell r="A10632" t="str">
            <v>United States</v>
          </cell>
          <cell r="B10632">
            <v>840</v>
          </cell>
          <cell r="C10632">
            <v>203</v>
          </cell>
          <cell r="D10632">
            <v>4</v>
          </cell>
          <cell r="E10632" t="str">
            <v>Compensation of employees</v>
          </cell>
          <cell r="F10632">
            <v>12</v>
          </cell>
          <cell r="G10632">
            <v>1986</v>
          </cell>
          <cell r="H10632">
            <v>100</v>
          </cell>
          <cell r="I10632">
            <v>2572473000000</v>
          </cell>
        </row>
        <row r="10633">
          <cell r="A10633" t="str">
            <v>United States</v>
          </cell>
          <cell r="B10633">
            <v>840</v>
          </cell>
          <cell r="C10633">
            <v>203</v>
          </cell>
          <cell r="D10633">
            <v>4</v>
          </cell>
          <cell r="E10633" t="str">
            <v>Compensation of employees</v>
          </cell>
          <cell r="F10633">
            <v>12</v>
          </cell>
          <cell r="G10633">
            <v>1987</v>
          </cell>
          <cell r="H10633">
            <v>100</v>
          </cell>
          <cell r="I10633">
            <v>2756900000000</v>
          </cell>
        </row>
        <row r="10634">
          <cell r="A10634" t="str">
            <v>United States</v>
          </cell>
          <cell r="B10634">
            <v>840</v>
          </cell>
          <cell r="C10634">
            <v>203</v>
          </cell>
          <cell r="D10634">
            <v>4</v>
          </cell>
          <cell r="E10634" t="str">
            <v>Compensation of employees</v>
          </cell>
          <cell r="F10634">
            <v>12</v>
          </cell>
          <cell r="G10634">
            <v>1988</v>
          </cell>
          <cell r="H10634">
            <v>100</v>
          </cell>
          <cell r="I10634">
            <v>2974700000000</v>
          </cell>
        </row>
        <row r="10635">
          <cell r="A10635" t="str">
            <v>United States</v>
          </cell>
          <cell r="B10635">
            <v>840</v>
          </cell>
          <cell r="C10635">
            <v>203</v>
          </cell>
          <cell r="D10635">
            <v>4</v>
          </cell>
          <cell r="E10635" t="str">
            <v>Compensation of employees</v>
          </cell>
          <cell r="F10635">
            <v>12</v>
          </cell>
          <cell r="G10635">
            <v>1989</v>
          </cell>
          <cell r="H10635">
            <v>100</v>
          </cell>
          <cell r="I10635">
            <v>3152300000000</v>
          </cell>
        </row>
        <row r="10636">
          <cell r="A10636" t="str">
            <v>United States</v>
          </cell>
          <cell r="B10636">
            <v>840</v>
          </cell>
          <cell r="C10636">
            <v>203</v>
          </cell>
          <cell r="D10636">
            <v>4</v>
          </cell>
          <cell r="E10636" t="str">
            <v>Compensation of employees</v>
          </cell>
          <cell r="F10636">
            <v>12</v>
          </cell>
          <cell r="G10636">
            <v>1990</v>
          </cell>
          <cell r="H10636">
            <v>100</v>
          </cell>
          <cell r="I10636">
            <v>3353300000000</v>
          </cell>
        </row>
        <row r="10637">
          <cell r="A10637" t="str">
            <v>United States</v>
          </cell>
          <cell r="B10637">
            <v>840</v>
          </cell>
          <cell r="C10637">
            <v>203</v>
          </cell>
          <cell r="D10637">
            <v>4</v>
          </cell>
          <cell r="E10637" t="str">
            <v>Compensation of employees</v>
          </cell>
          <cell r="F10637">
            <v>12</v>
          </cell>
          <cell r="G10637">
            <v>1991</v>
          </cell>
          <cell r="H10637">
            <v>100</v>
          </cell>
          <cell r="I10637">
            <v>3457700000000</v>
          </cell>
        </row>
        <row r="10638">
          <cell r="A10638" t="str">
            <v>United States</v>
          </cell>
          <cell r="B10638">
            <v>840</v>
          </cell>
          <cell r="C10638">
            <v>203</v>
          </cell>
          <cell r="D10638">
            <v>4</v>
          </cell>
          <cell r="E10638" t="str">
            <v>Compensation of employees</v>
          </cell>
          <cell r="F10638">
            <v>12</v>
          </cell>
          <cell r="G10638">
            <v>1992</v>
          </cell>
          <cell r="H10638">
            <v>100</v>
          </cell>
          <cell r="I10638">
            <v>3648100000000</v>
          </cell>
        </row>
        <row r="10639">
          <cell r="A10639" t="str">
            <v>United States</v>
          </cell>
          <cell r="B10639">
            <v>840</v>
          </cell>
          <cell r="C10639">
            <v>203</v>
          </cell>
          <cell r="D10639">
            <v>4</v>
          </cell>
          <cell r="E10639" t="str">
            <v>Compensation of employees</v>
          </cell>
          <cell r="F10639">
            <v>12</v>
          </cell>
          <cell r="G10639">
            <v>1993</v>
          </cell>
          <cell r="H10639">
            <v>100</v>
          </cell>
          <cell r="I10639">
            <v>3818100000000</v>
          </cell>
        </row>
        <row r="10640">
          <cell r="A10640" t="str">
            <v>United States</v>
          </cell>
          <cell r="B10640">
            <v>840</v>
          </cell>
          <cell r="C10640">
            <v>203</v>
          </cell>
          <cell r="D10640">
            <v>4</v>
          </cell>
          <cell r="E10640" t="str">
            <v>Compensation of employees</v>
          </cell>
          <cell r="F10640">
            <v>12</v>
          </cell>
          <cell r="G10640">
            <v>1994</v>
          </cell>
          <cell r="H10640">
            <v>100</v>
          </cell>
          <cell r="I10640">
            <v>4020600000000</v>
          </cell>
        </row>
        <row r="10641">
          <cell r="A10641" t="str">
            <v>United States</v>
          </cell>
          <cell r="B10641">
            <v>840</v>
          </cell>
          <cell r="C10641">
            <v>203</v>
          </cell>
          <cell r="D10641">
            <v>4</v>
          </cell>
          <cell r="E10641" t="str">
            <v>Compensation of employees</v>
          </cell>
          <cell r="F10641">
            <v>12</v>
          </cell>
          <cell r="G10641">
            <v>1995</v>
          </cell>
          <cell r="H10641">
            <v>100</v>
          </cell>
          <cell r="I10641">
            <v>4207000000000</v>
          </cell>
        </row>
        <row r="10642">
          <cell r="A10642" t="str">
            <v>United States</v>
          </cell>
          <cell r="B10642">
            <v>840</v>
          </cell>
          <cell r="C10642">
            <v>203</v>
          </cell>
          <cell r="D10642">
            <v>4</v>
          </cell>
          <cell r="E10642" t="str">
            <v>Compensation of employees</v>
          </cell>
          <cell r="F10642">
            <v>12</v>
          </cell>
          <cell r="G10642">
            <v>1996</v>
          </cell>
          <cell r="H10642">
            <v>100</v>
          </cell>
          <cell r="I10642">
            <v>4400100000000</v>
          </cell>
        </row>
        <row r="10643">
          <cell r="A10643" t="str">
            <v>United States</v>
          </cell>
          <cell r="B10643">
            <v>840</v>
          </cell>
          <cell r="C10643">
            <v>203</v>
          </cell>
          <cell r="D10643">
            <v>4</v>
          </cell>
          <cell r="E10643" t="str">
            <v>Compensation of employees</v>
          </cell>
          <cell r="F10643">
            <v>12</v>
          </cell>
          <cell r="G10643">
            <v>1997</v>
          </cell>
          <cell r="H10643">
            <v>100</v>
          </cell>
          <cell r="I10643">
            <v>4656200000000</v>
          </cell>
        </row>
        <row r="10644">
          <cell r="A10644" t="str">
            <v>United States</v>
          </cell>
          <cell r="B10644">
            <v>840</v>
          </cell>
          <cell r="C10644">
            <v>203</v>
          </cell>
          <cell r="D10644">
            <v>4</v>
          </cell>
          <cell r="E10644" t="str">
            <v>Compensation of employees</v>
          </cell>
          <cell r="F10644">
            <v>12</v>
          </cell>
          <cell r="G10644">
            <v>1998</v>
          </cell>
          <cell r="H10644">
            <v>100</v>
          </cell>
          <cell r="I10644">
            <v>5023946000000</v>
          </cell>
        </row>
        <row r="10645">
          <cell r="A10645" t="str">
            <v>United States</v>
          </cell>
          <cell r="B10645">
            <v>840</v>
          </cell>
          <cell r="C10645">
            <v>203</v>
          </cell>
          <cell r="D10645">
            <v>4</v>
          </cell>
          <cell r="E10645" t="str">
            <v>Compensation of employees</v>
          </cell>
          <cell r="F10645">
            <v>12</v>
          </cell>
          <cell r="G10645">
            <v>1999</v>
          </cell>
          <cell r="H10645">
            <v>100</v>
          </cell>
          <cell r="I10645">
            <v>5362316000000</v>
          </cell>
        </row>
        <row r="10646">
          <cell r="A10646" t="str">
            <v>United States</v>
          </cell>
          <cell r="B10646">
            <v>840</v>
          </cell>
          <cell r="C10646">
            <v>203</v>
          </cell>
          <cell r="D10646">
            <v>4</v>
          </cell>
          <cell r="E10646" t="str">
            <v>Compensation of employees</v>
          </cell>
          <cell r="F10646">
            <v>12</v>
          </cell>
          <cell r="G10646">
            <v>2000</v>
          </cell>
          <cell r="H10646">
            <v>100</v>
          </cell>
          <cell r="I10646">
            <v>5787257000000</v>
          </cell>
        </row>
        <row r="10647">
          <cell r="A10647" t="str">
            <v>United States</v>
          </cell>
          <cell r="B10647">
            <v>840</v>
          </cell>
          <cell r="C10647">
            <v>203</v>
          </cell>
          <cell r="D10647">
            <v>4</v>
          </cell>
          <cell r="E10647" t="str">
            <v>Compensation of employees</v>
          </cell>
          <cell r="F10647">
            <v>12</v>
          </cell>
          <cell r="G10647">
            <v>2001</v>
          </cell>
          <cell r="H10647">
            <v>100</v>
          </cell>
          <cell r="I10647">
            <v>5945442000000</v>
          </cell>
        </row>
        <row r="10648">
          <cell r="A10648" t="str">
            <v>United States</v>
          </cell>
          <cell r="B10648">
            <v>840</v>
          </cell>
          <cell r="C10648">
            <v>203</v>
          </cell>
          <cell r="D10648">
            <v>4</v>
          </cell>
          <cell r="E10648" t="str">
            <v>Compensation of employees</v>
          </cell>
          <cell r="F10648">
            <v>12</v>
          </cell>
          <cell r="G10648">
            <v>2002</v>
          </cell>
          <cell r="H10648">
            <v>100</v>
          </cell>
          <cell r="I10648">
            <v>6024334000000</v>
          </cell>
        </row>
        <row r="10649">
          <cell r="A10649" t="str">
            <v>United States</v>
          </cell>
          <cell r="B10649">
            <v>840</v>
          </cell>
          <cell r="C10649">
            <v>203</v>
          </cell>
          <cell r="D10649">
            <v>11</v>
          </cell>
          <cell r="E10649" t="str">
            <v>OPERATING SURPLUS, GROSS</v>
          </cell>
          <cell r="F10649">
            <v>12</v>
          </cell>
          <cell r="G10649">
            <v>1960</v>
          </cell>
          <cell r="H10649">
            <v>10</v>
          </cell>
          <cell r="I10649">
            <v>182600000000</v>
          </cell>
        </row>
        <row r="10650">
          <cell r="A10650" t="str">
            <v>United States</v>
          </cell>
          <cell r="B10650">
            <v>840</v>
          </cell>
          <cell r="C10650">
            <v>203</v>
          </cell>
          <cell r="D10650">
            <v>11</v>
          </cell>
          <cell r="E10650" t="str">
            <v>OPERATING SURPLUS, GROSS</v>
          </cell>
          <cell r="F10650">
            <v>12</v>
          </cell>
          <cell r="G10650">
            <v>1961</v>
          </cell>
          <cell r="H10650">
            <v>10</v>
          </cell>
          <cell r="I10650">
            <v>189800000000</v>
          </cell>
        </row>
        <row r="10651">
          <cell r="A10651" t="str">
            <v>United States</v>
          </cell>
          <cell r="B10651">
            <v>840</v>
          </cell>
          <cell r="C10651">
            <v>203</v>
          </cell>
          <cell r="D10651">
            <v>11</v>
          </cell>
          <cell r="E10651" t="str">
            <v>OPERATING SURPLUS, GROSS</v>
          </cell>
          <cell r="F10651">
            <v>12</v>
          </cell>
          <cell r="G10651">
            <v>1962</v>
          </cell>
          <cell r="H10651">
            <v>10</v>
          </cell>
          <cell r="I10651">
            <v>203900000000</v>
          </cell>
        </row>
        <row r="10652">
          <cell r="A10652" t="str">
            <v>United States</v>
          </cell>
          <cell r="B10652">
            <v>840</v>
          </cell>
          <cell r="C10652">
            <v>203</v>
          </cell>
          <cell r="D10652">
            <v>11</v>
          </cell>
          <cell r="E10652" t="str">
            <v>OPERATING SURPLUS, GROSS</v>
          </cell>
          <cell r="F10652">
            <v>12</v>
          </cell>
          <cell r="G10652">
            <v>1963</v>
          </cell>
          <cell r="H10652">
            <v>10</v>
          </cell>
          <cell r="I10652">
            <v>215700000000</v>
          </cell>
        </row>
        <row r="10653">
          <cell r="A10653" t="str">
            <v>United States</v>
          </cell>
          <cell r="B10653">
            <v>840</v>
          </cell>
          <cell r="C10653">
            <v>203</v>
          </cell>
          <cell r="D10653">
            <v>11</v>
          </cell>
          <cell r="E10653" t="str">
            <v>OPERATING SURPLUS, GROSS</v>
          </cell>
          <cell r="F10653">
            <v>12</v>
          </cell>
          <cell r="G10653">
            <v>1964</v>
          </cell>
          <cell r="H10653">
            <v>10</v>
          </cell>
          <cell r="I10653">
            <v>230900000000</v>
          </cell>
        </row>
        <row r="10654">
          <cell r="A10654" t="str">
            <v>United States</v>
          </cell>
          <cell r="B10654">
            <v>840</v>
          </cell>
          <cell r="C10654">
            <v>203</v>
          </cell>
          <cell r="D10654">
            <v>11</v>
          </cell>
          <cell r="E10654" t="str">
            <v>OPERATING SURPLUS, GROSS</v>
          </cell>
          <cell r="F10654">
            <v>12</v>
          </cell>
          <cell r="G10654">
            <v>1965</v>
          </cell>
          <cell r="H10654">
            <v>10</v>
          </cell>
          <cell r="I10654">
            <v>254100000000</v>
          </cell>
        </row>
        <row r="10655">
          <cell r="A10655" t="str">
            <v>United States</v>
          </cell>
          <cell r="B10655">
            <v>840</v>
          </cell>
          <cell r="C10655">
            <v>203</v>
          </cell>
          <cell r="D10655">
            <v>11</v>
          </cell>
          <cell r="E10655" t="str">
            <v>OPERATING SURPLUS, GROSS</v>
          </cell>
          <cell r="F10655">
            <v>12</v>
          </cell>
          <cell r="G10655">
            <v>1966</v>
          </cell>
          <cell r="H10655">
            <v>10</v>
          </cell>
          <cell r="I10655">
            <v>273800000000</v>
          </cell>
        </row>
        <row r="10656">
          <cell r="A10656" t="str">
            <v>United States</v>
          </cell>
          <cell r="B10656">
            <v>840</v>
          </cell>
          <cell r="C10656">
            <v>203</v>
          </cell>
          <cell r="D10656">
            <v>11</v>
          </cell>
          <cell r="E10656" t="str">
            <v>OPERATING SURPLUS, GROSS</v>
          </cell>
          <cell r="F10656">
            <v>12</v>
          </cell>
          <cell r="G10656">
            <v>1967</v>
          </cell>
          <cell r="H10656">
            <v>10</v>
          </cell>
          <cell r="I10656">
            <v>283600000000</v>
          </cell>
        </row>
        <row r="10657">
          <cell r="A10657" t="str">
            <v>United States</v>
          </cell>
          <cell r="B10657">
            <v>840</v>
          </cell>
          <cell r="C10657">
            <v>203</v>
          </cell>
          <cell r="D10657">
            <v>11</v>
          </cell>
          <cell r="E10657" t="str">
            <v>OPERATING SURPLUS, GROSS</v>
          </cell>
          <cell r="F10657">
            <v>12</v>
          </cell>
          <cell r="G10657">
            <v>1968</v>
          </cell>
          <cell r="H10657">
            <v>10</v>
          </cell>
          <cell r="I10657">
            <v>303600000000</v>
          </cell>
        </row>
        <row r="10658">
          <cell r="A10658" t="str">
            <v>United States</v>
          </cell>
          <cell r="B10658">
            <v>840</v>
          </cell>
          <cell r="C10658">
            <v>203</v>
          </cell>
          <cell r="D10658">
            <v>11</v>
          </cell>
          <cell r="E10658" t="str">
            <v>OPERATING SURPLUS, GROSS</v>
          </cell>
          <cell r="F10658">
            <v>12</v>
          </cell>
          <cell r="G10658">
            <v>1969</v>
          </cell>
          <cell r="H10658">
            <v>10</v>
          </cell>
          <cell r="I10658">
            <v>317600000000</v>
          </cell>
        </row>
        <row r="10659">
          <cell r="A10659" t="str">
            <v>United States</v>
          </cell>
          <cell r="B10659">
            <v>840</v>
          </cell>
          <cell r="C10659">
            <v>203</v>
          </cell>
          <cell r="D10659">
            <v>11</v>
          </cell>
          <cell r="E10659" t="str">
            <v>OPERATING SURPLUS, GROSS</v>
          </cell>
          <cell r="F10659">
            <v>12</v>
          </cell>
          <cell r="G10659">
            <v>1970</v>
          </cell>
          <cell r="H10659">
            <v>10</v>
          </cell>
          <cell r="I10659">
            <v>320600000000</v>
          </cell>
        </row>
        <row r="10660">
          <cell r="A10660" t="str">
            <v>United States</v>
          </cell>
          <cell r="B10660">
            <v>840</v>
          </cell>
          <cell r="C10660">
            <v>203</v>
          </cell>
          <cell r="D10660">
            <v>11</v>
          </cell>
          <cell r="E10660" t="str">
            <v>OPERATING SURPLUS, GROSS</v>
          </cell>
          <cell r="F10660">
            <v>12</v>
          </cell>
          <cell r="G10660">
            <v>1987</v>
          </cell>
          <cell r="H10660">
            <v>100</v>
          </cell>
          <cell r="I10660">
            <v>1622400000000</v>
          </cell>
        </row>
        <row r="10661">
          <cell r="A10661" t="str">
            <v>United States</v>
          </cell>
          <cell r="B10661">
            <v>840</v>
          </cell>
          <cell r="C10661">
            <v>203</v>
          </cell>
          <cell r="D10661">
            <v>11</v>
          </cell>
          <cell r="E10661" t="str">
            <v>OPERATING SURPLUS, GROSS</v>
          </cell>
          <cell r="F10661">
            <v>12</v>
          </cell>
          <cell r="G10661">
            <v>1988</v>
          </cell>
          <cell r="H10661">
            <v>100</v>
          </cell>
          <cell r="I10661">
            <v>1787100000000</v>
          </cell>
        </row>
        <row r="10662">
          <cell r="A10662" t="str">
            <v>United States</v>
          </cell>
          <cell r="B10662">
            <v>840</v>
          </cell>
          <cell r="C10662">
            <v>203</v>
          </cell>
          <cell r="D10662">
            <v>11</v>
          </cell>
          <cell r="E10662" t="str">
            <v>OPERATING SURPLUS, GROSS</v>
          </cell>
          <cell r="F10662">
            <v>12</v>
          </cell>
          <cell r="G10662">
            <v>1989</v>
          </cell>
          <cell r="H10662">
            <v>100</v>
          </cell>
          <cell r="I10662">
            <v>1899700000000</v>
          </cell>
        </row>
        <row r="10663">
          <cell r="A10663" t="str">
            <v>United States</v>
          </cell>
          <cell r="B10663">
            <v>840</v>
          </cell>
          <cell r="C10663">
            <v>203</v>
          </cell>
          <cell r="D10663">
            <v>11</v>
          </cell>
          <cell r="E10663" t="str">
            <v>OPERATING SURPLUS, GROSS</v>
          </cell>
          <cell r="F10663">
            <v>12</v>
          </cell>
          <cell r="G10663">
            <v>1990</v>
          </cell>
          <cell r="H10663">
            <v>100</v>
          </cell>
          <cell r="I10663">
            <v>1970500000000</v>
          </cell>
        </row>
        <row r="10664">
          <cell r="A10664" t="str">
            <v>United States</v>
          </cell>
          <cell r="B10664">
            <v>840</v>
          </cell>
          <cell r="C10664">
            <v>203</v>
          </cell>
          <cell r="D10664">
            <v>11</v>
          </cell>
          <cell r="E10664" t="str">
            <v>OPERATING SURPLUS, GROSS</v>
          </cell>
          <cell r="F10664">
            <v>12</v>
          </cell>
          <cell r="G10664">
            <v>1991</v>
          </cell>
          <cell r="H10664">
            <v>100</v>
          </cell>
          <cell r="I10664">
            <v>2027900000000</v>
          </cell>
        </row>
        <row r="10665">
          <cell r="A10665" t="str">
            <v>United States</v>
          </cell>
          <cell r="B10665">
            <v>840</v>
          </cell>
          <cell r="C10665">
            <v>203</v>
          </cell>
          <cell r="D10665">
            <v>11</v>
          </cell>
          <cell r="E10665" t="str">
            <v>OPERATING SURPLUS, GROSS</v>
          </cell>
          <cell r="F10665">
            <v>12</v>
          </cell>
          <cell r="G10665">
            <v>1992</v>
          </cell>
          <cell r="H10665">
            <v>100</v>
          </cell>
          <cell r="I10665">
            <v>2121000000000</v>
          </cell>
        </row>
        <row r="10666">
          <cell r="A10666" t="str">
            <v>United States</v>
          </cell>
          <cell r="B10666">
            <v>840</v>
          </cell>
          <cell r="C10666">
            <v>203</v>
          </cell>
          <cell r="D10666">
            <v>11</v>
          </cell>
          <cell r="E10666" t="str">
            <v>OPERATING SURPLUS, GROSS</v>
          </cell>
          <cell r="F10666">
            <v>12</v>
          </cell>
          <cell r="G10666">
            <v>1993</v>
          </cell>
          <cell r="H10666">
            <v>100</v>
          </cell>
          <cell r="I10666">
            <v>2231900000000</v>
          </cell>
        </row>
        <row r="10667">
          <cell r="A10667" t="str">
            <v>United States</v>
          </cell>
          <cell r="B10667">
            <v>840</v>
          </cell>
          <cell r="C10667">
            <v>203</v>
          </cell>
          <cell r="D10667">
            <v>11</v>
          </cell>
          <cell r="E10667" t="str">
            <v>OPERATING SURPLUS, GROSS</v>
          </cell>
          <cell r="F10667">
            <v>12</v>
          </cell>
          <cell r="G10667">
            <v>1994</v>
          </cell>
          <cell r="H10667">
            <v>100</v>
          </cell>
          <cell r="I10667">
            <v>2406700000000</v>
          </cell>
        </row>
        <row r="10668">
          <cell r="A10668" t="str">
            <v>United States</v>
          </cell>
          <cell r="B10668">
            <v>840</v>
          </cell>
          <cell r="C10668">
            <v>203</v>
          </cell>
          <cell r="D10668">
            <v>11</v>
          </cell>
          <cell r="E10668" t="str">
            <v>OPERATING SURPLUS, GROSS</v>
          </cell>
          <cell r="F10668">
            <v>12</v>
          </cell>
          <cell r="G10668">
            <v>1995</v>
          </cell>
          <cell r="H10668">
            <v>100</v>
          </cell>
          <cell r="I10668">
            <v>2577000000000</v>
          </cell>
        </row>
        <row r="10669">
          <cell r="A10669" t="str">
            <v>United States</v>
          </cell>
          <cell r="B10669">
            <v>840</v>
          </cell>
          <cell r="C10669">
            <v>203</v>
          </cell>
          <cell r="D10669">
            <v>11</v>
          </cell>
          <cell r="E10669" t="str">
            <v>OPERATING SURPLUS, GROSS</v>
          </cell>
          <cell r="F10669">
            <v>12</v>
          </cell>
          <cell r="G10669">
            <v>1996</v>
          </cell>
          <cell r="H10669">
            <v>100</v>
          </cell>
          <cell r="I10669">
            <v>2771900000000</v>
          </cell>
        </row>
        <row r="10670">
          <cell r="A10670" t="str">
            <v>United States</v>
          </cell>
          <cell r="B10670">
            <v>840</v>
          </cell>
          <cell r="C10670">
            <v>203</v>
          </cell>
          <cell r="D10670">
            <v>11</v>
          </cell>
          <cell r="E10670" t="str">
            <v>OPERATING SURPLUS, GROSS</v>
          </cell>
          <cell r="F10670">
            <v>12</v>
          </cell>
          <cell r="G10670">
            <v>1997</v>
          </cell>
          <cell r="H10670">
            <v>100</v>
          </cell>
          <cell r="I10670">
            <v>2996100000000</v>
          </cell>
        </row>
        <row r="10671">
          <cell r="A10671" t="str">
            <v>United States</v>
          </cell>
          <cell r="B10671">
            <v>840</v>
          </cell>
          <cell r="C10671">
            <v>203</v>
          </cell>
          <cell r="D10671">
            <v>11</v>
          </cell>
          <cell r="E10671" t="str">
            <v>OPERATING SURPLUS, GROSS</v>
          </cell>
          <cell r="F10671">
            <v>12</v>
          </cell>
          <cell r="G10671">
            <v>1998</v>
          </cell>
          <cell r="H10671">
            <v>100</v>
          </cell>
          <cell r="I10671">
            <v>3154300000000</v>
          </cell>
        </row>
        <row r="10672">
          <cell r="A10672" t="str">
            <v>United States</v>
          </cell>
          <cell r="B10672">
            <v>840</v>
          </cell>
          <cell r="C10672">
            <v>203</v>
          </cell>
          <cell r="D10672">
            <v>11</v>
          </cell>
          <cell r="E10672" t="str">
            <v>OPERATING SURPLUS, GROSS</v>
          </cell>
          <cell r="F10672">
            <v>12</v>
          </cell>
          <cell r="G10672">
            <v>1999</v>
          </cell>
          <cell r="H10672">
            <v>100</v>
          </cell>
          <cell r="I10672">
            <v>3313300000000</v>
          </cell>
        </row>
        <row r="10673">
          <cell r="A10673" t="str">
            <v>United States</v>
          </cell>
          <cell r="B10673">
            <v>840</v>
          </cell>
          <cell r="C10673">
            <v>203</v>
          </cell>
          <cell r="D10673">
            <v>11</v>
          </cell>
          <cell r="E10673" t="str">
            <v>OPERATING SURPLUS, GROSS</v>
          </cell>
          <cell r="F10673">
            <v>12</v>
          </cell>
          <cell r="G10673">
            <v>2000</v>
          </cell>
          <cell r="H10673">
            <v>100</v>
          </cell>
          <cell r="I10673">
            <v>3506900000000</v>
          </cell>
        </row>
        <row r="10674">
          <cell r="A10674" t="str">
            <v>United States</v>
          </cell>
          <cell r="B10674">
            <v>840</v>
          </cell>
          <cell r="C10674">
            <v>203</v>
          </cell>
          <cell r="D10674">
            <v>11</v>
          </cell>
          <cell r="E10674" t="str">
            <v>OPERATING SURPLUS, GROSS</v>
          </cell>
          <cell r="F10674">
            <v>12</v>
          </cell>
          <cell r="G10674">
            <v>2001</v>
          </cell>
          <cell r="H10674">
            <v>100</v>
          </cell>
          <cell r="I10674">
            <v>3596200000000</v>
          </cell>
        </row>
        <row r="10675">
          <cell r="A10675" t="str">
            <v>Algeria</v>
          </cell>
          <cell r="B10675">
            <v>12</v>
          </cell>
          <cell r="C10675">
            <v>203</v>
          </cell>
          <cell r="D10675">
            <v>4</v>
          </cell>
          <cell r="E10675" t="str">
            <v>Compensation of employees</v>
          </cell>
          <cell r="F10675">
            <v>12</v>
          </cell>
          <cell r="G10675">
            <v>1971</v>
          </cell>
          <cell r="H10675">
            <v>10</v>
          </cell>
          <cell r="I10675">
            <v>9381000000</v>
          </cell>
        </row>
        <row r="10676">
          <cell r="A10676" t="str">
            <v>Algeria</v>
          </cell>
          <cell r="B10676">
            <v>12</v>
          </cell>
          <cell r="C10676">
            <v>203</v>
          </cell>
          <cell r="D10676">
            <v>4</v>
          </cell>
          <cell r="E10676" t="str">
            <v>Compensation of employees</v>
          </cell>
          <cell r="F10676">
            <v>12</v>
          </cell>
          <cell r="G10676">
            <v>1972</v>
          </cell>
          <cell r="H10676">
            <v>10</v>
          </cell>
          <cell r="I10676">
            <v>11197000000</v>
          </cell>
        </row>
        <row r="10677">
          <cell r="A10677" t="str">
            <v>Algeria</v>
          </cell>
          <cell r="B10677">
            <v>12</v>
          </cell>
          <cell r="C10677">
            <v>203</v>
          </cell>
          <cell r="D10677">
            <v>4</v>
          </cell>
          <cell r="E10677" t="str">
            <v>Compensation of employees</v>
          </cell>
          <cell r="F10677">
            <v>12</v>
          </cell>
          <cell r="G10677">
            <v>1973</v>
          </cell>
          <cell r="H10677">
            <v>10</v>
          </cell>
          <cell r="I10677">
            <v>12101000000</v>
          </cell>
        </row>
        <row r="10678">
          <cell r="A10678" t="str">
            <v>Algeria</v>
          </cell>
          <cell r="B10678">
            <v>12</v>
          </cell>
          <cell r="C10678">
            <v>203</v>
          </cell>
          <cell r="D10678">
            <v>4</v>
          </cell>
          <cell r="E10678" t="str">
            <v>Compensation of employees</v>
          </cell>
          <cell r="F10678">
            <v>12</v>
          </cell>
          <cell r="G10678">
            <v>1974</v>
          </cell>
          <cell r="H10678">
            <v>10</v>
          </cell>
          <cell r="I10678">
            <v>14978000000</v>
          </cell>
        </row>
        <row r="10679">
          <cell r="A10679" t="str">
            <v>Algeria</v>
          </cell>
          <cell r="B10679">
            <v>12</v>
          </cell>
          <cell r="C10679">
            <v>203</v>
          </cell>
          <cell r="D10679">
            <v>4</v>
          </cell>
          <cell r="E10679" t="str">
            <v>Compensation of employees</v>
          </cell>
          <cell r="F10679">
            <v>12</v>
          </cell>
          <cell r="G10679">
            <v>1975</v>
          </cell>
          <cell r="H10679">
            <v>10</v>
          </cell>
          <cell r="I10679">
            <v>18661000000</v>
          </cell>
        </row>
        <row r="10680">
          <cell r="A10680" t="str">
            <v>Algeria</v>
          </cell>
          <cell r="B10680">
            <v>12</v>
          </cell>
          <cell r="C10680">
            <v>203</v>
          </cell>
          <cell r="D10680">
            <v>4</v>
          </cell>
          <cell r="E10680" t="str">
            <v>Compensation of employees</v>
          </cell>
          <cell r="F10680">
            <v>12</v>
          </cell>
          <cell r="G10680">
            <v>1976</v>
          </cell>
          <cell r="H10680">
            <v>10</v>
          </cell>
          <cell r="I10680">
            <v>21821000000</v>
          </cell>
        </row>
        <row r="10681">
          <cell r="A10681" t="str">
            <v>Algeria</v>
          </cell>
          <cell r="B10681">
            <v>12</v>
          </cell>
          <cell r="C10681">
            <v>203</v>
          </cell>
          <cell r="D10681">
            <v>4</v>
          </cell>
          <cell r="E10681" t="str">
            <v>Compensation of employees</v>
          </cell>
          <cell r="F10681">
            <v>12</v>
          </cell>
          <cell r="G10681">
            <v>1977</v>
          </cell>
          <cell r="H10681">
            <v>10</v>
          </cell>
          <cell r="I10681">
            <v>26158000000</v>
          </cell>
        </row>
        <row r="10682">
          <cell r="A10682" t="str">
            <v>Algeria</v>
          </cell>
          <cell r="B10682">
            <v>12</v>
          </cell>
          <cell r="C10682">
            <v>203</v>
          </cell>
          <cell r="D10682">
            <v>4</v>
          </cell>
          <cell r="E10682" t="str">
            <v>Compensation of employees</v>
          </cell>
          <cell r="F10682">
            <v>12</v>
          </cell>
          <cell r="G10682">
            <v>1978</v>
          </cell>
          <cell r="H10682">
            <v>10</v>
          </cell>
          <cell r="I10682">
            <v>36256000000</v>
          </cell>
        </row>
        <row r="10683">
          <cell r="A10683" t="str">
            <v>Algeria</v>
          </cell>
          <cell r="B10683">
            <v>12</v>
          </cell>
          <cell r="C10683">
            <v>203</v>
          </cell>
          <cell r="D10683">
            <v>4</v>
          </cell>
          <cell r="E10683" t="str">
            <v>Compensation of employees</v>
          </cell>
          <cell r="F10683">
            <v>12</v>
          </cell>
          <cell r="G10683">
            <v>1989</v>
          </cell>
          <cell r="H10683">
            <v>20</v>
          </cell>
          <cell r="I10683">
            <v>152237000000</v>
          </cell>
        </row>
        <row r="10684">
          <cell r="A10684" t="str">
            <v>Algeria</v>
          </cell>
          <cell r="B10684">
            <v>12</v>
          </cell>
          <cell r="C10684">
            <v>203</v>
          </cell>
          <cell r="D10684">
            <v>4</v>
          </cell>
          <cell r="E10684" t="str">
            <v>Compensation of employees</v>
          </cell>
          <cell r="F10684">
            <v>12</v>
          </cell>
          <cell r="G10684">
            <v>1990</v>
          </cell>
          <cell r="H10684">
            <v>20</v>
          </cell>
          <cell r="I10684">
            <v>180042300000</v>
          </cell>
        </row>
        <row r="10685">
          <cell r="A10685" t="str">
            <v>Algeria</v>
          </cell>
          <cell r="B10685">
            <v>12</v>
          </cell>
          <cell r="C10685">
            <v>203</v>
          </cell>
          <cell r="D10685">
            <v>4</v>
          </cell>
          <cell r="E10685" t="str">
            <v>Compensation of employees</v>
          </cell>
          <cell r="F10685">
            <v>12</v>
          </cell>
          <cell r="G10685">
            <v>1991</v>
          </cell>
          <cell r="H10685">
            <v>20</v>
          </cell>
          <cell r="I10685">
            <v>255475400000</v>
          </cell>
        </row>
        <row r="10686">
          <cell r="A10686" t="str">
            <v>Algeria</v>
          </cell>
          <cell r="B10686">
            <v>12</v>
          </cell>
          <cell r="C10686">
            <v>203</v>
          </cell>
          <cell r="D10686">
            <v>4</v>
          </cell>
          <cell r="E10686" t="str">
            <v>Compensation of employees</v>
          </cell>
          <cell r="F10686">
            <v>12</v>
          </cell>
          <cell r="G10686">
            <v>1992</v>
          </cell>
          <cell r="H10686">
            <v>20</v>
          </cell>
          <cell r="I10686">
            <v>341258000000</v>
          </cell>
        </row>
        <row r="10687">
          <cell r="A10687" t="str">
            <v>Algeria</v>
          </cell>
          <cell r="B10687">
            <v>12</v>
          </cell>
          <cell r="C10687">
            <v>203</v>
          </cell>
          <cell r="D10687">
            <v>4</v>
          </cell>
          <cell r="E10687" t="str">
            <v>Compensation of employees</v>
          </cell>
          <cell r="F10687">
            <v>12</v>
          </cell>
          <cell r="G10687">
            <v>1993</v>
          </cell>
          <cell r="H10687">
            <v>20</v>
          </cell>
          <cell r="I10687">
            <v>412518000000</v>
          </cell>
        </row>
        <row r="10688">
          <cell r="A10688" t="str">
            <v>Algeria</v>
          </cell>
          <cell r="B10688">
            <v>12</v>
          </cell>
          <cell r="C10688">
            <v>203</v>
          </cell>
          <cell r="D10688">
            <v>4</v>
          </cell>
          <cell r="E10688" t="str">
            <v>Compensation of employees</v>
          </cell>
          <cell r="F10688">
            <v>12</v>
          </cell>
          <cell r="G10688">
            <v>1994</v>
          </cell>
          <cell r="H10688">
            <v>20</v>
          </cell>
          <cell r="I10688">
            <v>469902000000</v>
          </cell>
        </row>
        <row r="10689">
          <cell r="A10689" t="str">
            <v>Algeria</v>
          </cell>
          <cell r="B10689">
            <v>12</v>
          </cell>
          <cell r="C10689">
            <v>203</v>
          </cell>
          <cell r="D10689">
            <v>4</v>
          </cell>
          <cell r="E10689" t="str">
            <v>Compensation of employees</v>
          </cell>
          <cell r="F10689">
            <v>12</v>
          </cell>
          <cell r="G10689">
            <v>1995</v>
          </cell>
          <cell r="H10689">
            <v>20</v>
          </cell>
          <cell r="I10689">
            <v>568758000000</v>
          </cell>
        </row>
        <row r="10690">
          <cell r="A10690" t="str">
            <v>Algeria</v>
          </cell>
          <cell r="B10690">
            <v>12</v>
          </cell>
          <cell r="C10690">
            <v>203</v>
          </cell>
          <cell r="D10690">
            <v>4</v>
          </cell>
          <cell r="E10690" t="str">
            <v>Compensation of employees</v>
          </cell>
          <cell r="F10690">
            <v>12</v>
          </cell>
          <cell r="G10690">
            <v>1996</v>
          </cell>
          <cell r="H10690">
            <v>20</v>
          </cell>
          <cell r="I10690">
            <v>667240000000</v>
          </cell>
        </row>
        <row r="10691">
          <cell r="A10691" t="str">
            <v>Algeria</v>
          </cell>
          <cell r="B10691">
            <v>12</v>
          </cell>
          <cell r="C10691">
            <v>203</v>
          </cell>
          <cell r="D10691">
            <v>4</v>
          </cell>
          <cell r="E10691" t="str">
            <v>Compensation of employees</v>
          </cell>
          <cell r="F10691">
            <v>12</v>
          </cell>
          <cell r="G10691">
            <v>1997</v>
          </cell>
          <cell r="H10691">
            <v>20</v>
          </cell>
          <cell r="I10691">
            <v>722065000000</v>
          </cell>
        </row>
        <row r="10692">
          <cell r="A10692" t="str">
            <v>Algeria</v>
          </cell>
          <cell r="B10692">
            <v>12</v>
          </cell>
          <cell r="C10692">
            <v>203</v>
          </cell>
          <cell r="D10692">
            <v>4</v>
          </cell>
          <cell r="E10692" t="str">
            <v>Compensation of employees</v>
          </cell>
          <cell r="F10692">
            <v>12</v>
          </cell>
          <cell r="G10692">
            <v>1998</v>
          </cell>
          <cell r="H10692">
            <v>20</v>
          </cell>
          <cell r="I10692">
            <v>794559000000</v>
          </cell>
        </row>
        <row r="10693">
          <cell r="A10693" t="str">
            <v>Algeria</v>
          </cell>
          <cell r="B10693">
            <v>12</v>
          </cell>
          <cell r="C10693">
            <v>203</v>
          </cell>
          <cell r="D10693">
            <v>4</v>
          </cell>
          <cell r="E10693" t="str">
            <v>Compensation of employees</v>
          </cell>
          <cell r="F10693">
            <v>12</v>
          </cell>
          <cell r="G10693">
            <v>1999</v>
          </cell>
          <cell r="H10693">
            <v>20</v>
          </cell>
          <cell r="I10693">
            <v>847549000000</v>
          </cell>
        </row>
        <row r="10694">
          <cell r="A10694" t="str">
            <v>Algeria</v>
          </cell>
          <cell r="B10694">
            <v>12</v>
          </cell>
          <cell r="C10694">
            <v>203</v>
          </cell>
          <cell r="D10694">
            <v>4</v>
          </cell>
          <cell r="E10694" t="str">
            <v>Compensation of employees</v>
          </cell>
          <cell r="F10694">
            <v>12</v>
          </cell>
          <cell r="G10694">
            <v>2000</v>
          </cell>
          <cell r="H10694">
            <v>20</v>
          </cell>
          <cell r="I10694">
            <v>885272000000</v>
          </cell>
        </row>
        <row r="10695">
          <cell r="A10695" t="str">
            <v>Algeria</v>
          </cell>
          <cell r="B10695">
            <v>12</v>
          </cell>
          <cell r="C10695">
            <v>203</v>
          </cell>
          <cell r="D10695">
            <v>4</v>
          </cell>
          <cell r="E10695" t="str">
            <v>Compensation of employees</v>
          </cell>
          <cell r="F10695">
            <v>12</v>
          </cell>
          <cell r="G10695">
            <v>2001</v>
          </cell>
          <cell r="H10695">
            <v>20</v>
          </cell>
          <cell r="I10695">
            <v>966564000000</v>
          </cell>
        </row>
        <row r="10696">
          <cell r="A10696" t="str">
            <v>Algeria</v>
          </cell>
          <cell r="B10696">
            <v>12</v>
          </cell>
          <cell r="C10696">
            <v>203</v>
          </cell>
          <cell r="D10696">
            <v>4</v>
          </cell>
          <cell r="E10696" t="str">
            <v>Compensation of employees</v>
          </cell>
          <cell r="F10696">
            <v>12</v>
          </cell>
          <cell r="G10696">
            <v>2002</v>
          </cell>
          <cell r="H10696">
            <v>20</v>
          </cell>
          <cell r="I10696">
            <v>1030588000000</v>
          </cell>
        </row>
        <row r="10697">
          <cell r="A10697" t="str">
            <v>Algeria</v>
          </cell>
          <cell r="B10697">
            <v>12</v>
          </cell>
          <cell r="C10697">
            <v>203</v>
          </cell>
          <cell r="D10697">
            <v>11</v>
          </cell>
          <cell r="E10697" t="str">
            <v>OPERATING SURPLUS, GROSS</v>
          </cell>
          <cell r="F10697">
            <v>12</v>
          </cell>
          <cell r="G10697">
            <v>1970</v>
          </cell>
          <cell r="H10697">
            <v>10</v>
          </cell>
          <cell r="I10697">
            <v>10422000000</v>
          </cell>
        </row>
        <row r="10698">
          <cell r="A10698" t="str">
            <v>Algeria</v>
          </cell>
          <cell r="B10698">
            <v>12</v>
          </cell>
          <cell r="C10698">
            <v>203</v>
          </cell>
          <cell r="D10698">
            <v>11</v>
          </cell>
          <cell r="E10698" t="str">
            <v>OPERATING SURPLUS, GROSS</v>
          </cell>
          <cell r="F10698">
            <v>12</v>
          </cell>
          <cell r="G10698">
            <v>1971</v>
          </cell>
          <cell r="H10698">
            <v>10</v>
          </cell>
          <cell r="I10698">
            <v>10398000000</v>
          </cell>
        </row>
        <row r="10699">
          <cell r="A10699" t="str">
            <v>Algeria</v>
          </cell>
          <cell r="B10699">
            <v>12</v>
          </cell>
          <cell r="C10699">
            <v>203</v>
          </cell>
          <cell r="D10699">
            <v>11</v>
          </cell>
          <cell r="E10699" t="str">
            <v>OPERATING SURPLUS, GROSS</v>
          </cell>
          <cell r="F10699">
            <v>12</v>
          </cell>
          <cell r="G10699">
            <v>1972</v>
          </cell>
          <cell r="H10699">
            <v>10</v>
          </cell>
          <cell r="I10699">
            <v>12881000000</v>
          </cell>
        </row>
        <row r="10700">
          <cell r="A10700" t="str">
            <v>Algeria</v>
          </cell>
          <cell r="B10700">
            <v>12</v>
          </cell>
          <cell r="C10700">
            <v>203</v>
          </cell>
          <cell r="D10700">
            <v>11</v>
          </cell>
          <cell r="E10700" t="str">
            <v>OPERATING SURPLUS, GROSS</v>
          </cell>
          <cell r="F10700">
            <v>12</v>
          </cell>
          <cell r="G10700">
            <v>1973</v>
          </cell>
          <cell r="H10700">
            <v>10</v>
          </cell>
          <cell r="I10700">
            <v>15391000000</v>
          </cell>
        </row>
        <row r="10701">
          <cell r="A10701" t="str">
            <v>Algeria</v>
          </cell>
          <cell r="B10701">
            <v>12</v>
          </cell>
          <cell r="C10701">
            <v>203</v>
          </cell>
          <cell r="D10701">
            <v>11</v>
          </cell>
          <cell r="E10701" t="str">
            <v>OPERATING SURPLUS, GROSS</v>
          </cell>
          <cell r="F10701">
            <v>12</v>
          </cell>
          <cell r="G10701">
            <v>1974</v>
          </cell>
          <cell r="H10701">
            <v>10</v>
          </cell>
          <cell r="I10701">
            <v>27280000000</v>
          </cell>
        </row>
        <row r="10702">
          <cell r="A10702" t="str">
            <v>Algeria</v>
          </cell>
          <cell r="B10702">
            <v>12</v>
          </cell>
          <cell r="C10702">
            <v>203</v>
          </cell>
          <cell r="D10702">
            <v>11</v>
          </cell>
          <cell r="E10702" t="str">
            <v>OPERATING SURPLUS, GROSS</v>
          </cell>
          <cell r="F10702">
            <v>12</v>
          </cell>
          <cell r="G10702">
            <v>1975</v>
          </cell>
          <cell r="H10702">
            <v>10</v>
          </cell>
          <cell r="I10702">
            <v>26811000000</v>
          </cell>
        </row>
        <row r="10703">
          <cell r="A10703" t="str">
            <v>Algeria</v>
          </cell>
          <cell r="B10703">
            <v>12</v>
          </cell>
          <cell r="C10703">
            <v>203</v>
          </cell>
          <cell r="D10703">
            <v>11</v>
          </cell>
          <cell r="E10703" t="str">
            <v>OPERATING SURPLUS, GROSS</v>
          </cell>
          <cell r="F10703">
            <v>12</v>
          </cell>
          <cell r="G10703">
            <v>1976</v>
          </cell>
          <cell r="H10703">
            <v>10</v>
          </cell>
          <cell r="I10703">
            <v>32325000000</v>
          </cell>
        </row>
        <row r="10704">
          <cell r="A10704" t="str">
            <v>Algeria</v>
          </cell>
          <cell r="B10704">
            <v>12</v>
          </cell>
          <cell r="C10704">
            <v>203</v>
          </cell>
          <cell r="D10704">
            <v>11</v>
          </cell>
          <cell r="E10704" t="str">
            <v>OPERATING SURPLUS, GROSS</v>
          </cell>
          <cell r="F10704">
            <v>12</v>
          </cell>
          <cell r="G10704">
            <v>1977</v>
          </cell>
          <cell r="H10704">
            <v>10</v>
          </cell>
          <cell r="I10704">
            <v>37363000000</v>
          </cell>
        </row>
        <row r="10705">
          <cell r="A10705" t="str">
            <v>Algeria</v>
          </cell>
          <cell r="B10705">
            <v>12</v>
          </cell>
          <cell r="C10705">
            <v>203</v>
          </cell>
          <cell r="D10705">
            <v>11</v>
          </cell>
          <cell r="E10705" t="str">
            <v>OPERATING SURPLUS, GROSS</v>
          </cell>
          <cell r="F10705">
            <v>12</v>
          </cell>
          <cell r="G10705">
            <v>1978</v>
          </cell>
          <cell r="H10705">
            <v>10</v>
          </cell>
          <cell r="I10705">
            <v>43600000000</v>
          </cell>
        </row>
        <row r="10706">
          <cell r="A10706" t="str">
            <v>Algeria</v>
          </cell>
          <cell r="B10706">
            <v>12</v>
          </cell>
          <cell r="C10706">
            <v>203</v>
          </cell>
          <cell r="D10706">
            <v>11</v>
          </cell>
          <cell r="E10706" t="str">
            <v>OPERATING SURPLUS, GROSS</v>
          </cell>
          <cell r="F10706">
            <v>12</v>
          </cell>
          <cell r="G10706">
            <v>1989</v>
          </cell>
          <cell r="H10706">
            <v>20</v>
          </cell>
          <cell r="I10706">
            <v>202720400000</v>
          </cell>
        </row>
        <row r="10707">
          <cell r="A10707" t="str">
            <v>Algeria</v>
          </cell>
          <cell r="B10707">
            <v>12</v>
          </cell>
          <cell r="C10707">
            <v>203</v>
          </cell>
          <cell r="D10707">
            <v>11</v>
          </cell>
          <cell r="E10707" t="str">
            <v>OPERATING SURPLUS, GROSS</v>
          </cell>
          <cell r="F10707">
            <v>12</v>
          </cell>
          <cell r="G10707">
            <v>1990</v>
          </cell>
          <cell r="H10707">
            <v>20</v>
          </cell>
          <cell r="I10707">
            <v>284356100000</v>
          </cell>
        </row>
        <row r="10708">
          <cell r="A10708" t="str">
            <v>Algeria</v>
          </cell>
          <cell r="B10708">
            <v>12</v>
          </cell>
          <cell r="C10708">
            <v>203</v>
          </cell>
          <cell r="D10708">
            <v>11</v>
          </cell>
          <cell r="E10708" t="str">
            <v>OPERATING SURPLUS, GROSS</v>
          </cell>
          <cell r="F10708">
            <v>12</v>
          </cell>
          <cell r="G10708">
            <v>1991</v>
          </cell>
          <cell r="H10708">
            <v>20</v>
          </cell>
          <cell r="I10708">
            <v>462215800000</v>
          </cell>
        </row>
        <row r="10709">
          <cell r="A10709" t="str">
            <v>Algeria</v>
          </cell>
          <cell r="B10709">
            <v>12</v>
          </cell>
          <cell r="C10709">
            <v>203</v>
          </cell>
          <cell r="D10709">
            <v>11</v>
          </cell>
          <cell r="E10709" t="str">
            <v>OPERATING SURPLUS, GROSS</v>
          </cell>
          <cell r="F10709">
            <v>12</v>
          </cell>
          <cell r="G10709">
            <v>1992</v>
          </cell>
          <cell r="H10709">
            <v>20</v>
          </cell>
          <cell r="I10709">
            <v>505961000000</v>
          </cell>
        </row>
        <row r="10710">
          <cell r="A10710" t="str">
            <v>Algeria</v>
          </cell>
          <cell r="B10710">
            <v>12</v>
          </cell>
          <cell r="C10710">
            <v>203</v>
          </cell>
          <cell r="D10710">
            <v>11</v>
          </cell>
          <cell r="E10710" t="str">
            <v>OPERATING SURPLUS, GROSS</v>
          </cell>
          <cell r="F10710">
            <v>12</v>
          </cell>
          <cell r="G10710">
            <v>1993</v>
          </cell>
          <cell r="H10710">
            <v>20</v>
          </cell>
          <cell r="I10710">
            <v>532862000000</v>
          </cell>
        </row>
        <row r="10711">
          <cell r="A10711" t="str">
            <v>Algeria</v>
          </cell>
          <cell r="B10711">
            <v>12</v>
          </cell>
          <cell r="C10711">
            <v>203</v>
          </cell>
          <cell r="D10711">
            <v>11</v>
          </cell>
          <cell r="E10711" t="str">
            <v>OPERATING SURPLUS, GROSS</v>
          </cell>
          <cell r="F10711">
            <v>12</v>
          </cell>
          <cell r="G10711">
            <v>1994</v>
          </cell>
          <cell r="H10711">
            <v>20</v>
          </cell>
          <cell r="I10711">
            <v>676264000000</v>
          </cell>
        </row>
        <row r="10712">
          <cell r="A10712" t="str">
            <v>Algeria</v>
          </cell>
          <cell r="B10712">
            <v>12</v>
          </cell>
          <cell r="C10712">
            <v>203</v>
          </cell>
          <cell r="D10712">
            <v>11</v>
          </cell>
          <cell r="E10712" t="str">
            <v>OPERATING SURPLUS, GROSS</v>
          </cell>
          <cell r="F10712">
            <v>12</v>
          </cell>
          <cell r="G10712">
            <v>1995</v>
          </cell>
          <cell r="H10712">
            <v>20</v>
          </cell>
          <cell r="I10712">
            <v>948541000000</v>
          </cell>
        </row>
        <row r="10713">
          <cell r="A10713" t="str">
            <v>Algeria</v>
          </cell>
          <cell r="B10713">
            <v>12</v>
          </cell>
          <cell r="C10713">
            <v>203</v>
          </cell>
          <cell r="D10713">
            <v>11</v>
          </cell>
          <cell r="E10713" t="str">
            <v>OPERATING SURPLUS, GROSS</v>
          </cell>
          <cell r="F10713">
            <v>12</v>
          </cell>
          <cell r="G10713">
            <v>1996</v>
          </cell>
          <cell r="H10713">
            <v>20</v>
          </cell>
          <cell r="I10713">
            <v>1298114000000</v>
          </cell>
        </row>
        <row r="10714">
          <cell r="A10714" t="str">
            <v>Algeria</v>
          </cell>
          <cell r="B10714">
            <v>12</v>
          </cell>
          <cell r="C10714">
            <v>203</v>
          </cell>
          <cell r="D10714">
            <v>11</v>
          </cell>
          <cell r="E10714" t="str">
            <v>OPERATING SURPLUS, GROSS</v>
          </cell>
          <cell r="F10714">
            <v>12</v>
          </cell>
          <cell r="G10714">
            <v>1997</v>
          </cell>
          <cell r="H10714">
            <v>20</v>
          </cell>
          <cell r="I10714">
            <v>1376580000000</v>
          </cell>
        </row>
        <row r="10715">
          <cell r="A10715" t="str">
            <v>Algeria</v>
          </cell>
          <cell r="B10715">
            <v>12</v>
          </cell>
          <cell r="C10715">
            <v>203</v>
          </cell>
          <cell r="D10715">
            <v>11</v>
          </cell>
          <cell r="E10715" t="str">
            <v>OPERATING SURPLUS, GROSS</v>
          </cell>
          <cell r="F10715">
            <v>12</v>
          </cell>
          <cell r="G10715">
            <v>1998</v>
          </cell>
          <cell r="H10715">
            <v>20</v>
          </cell>
          <cell r="I10715">
            <v>1372522000000</v>
          </cell>
        </row>
        <row r="10716">
          <cell r="A10716" t="str">
            <v>Algeria</v>
          </cell>
          <cell r="B10716">
            <v>12</v>
          </cell>
          <cell r="C10716">
            <v>203</v>
          </cell>
          <cell r="D10716">
            <v>11</v>
          </cell>
          <cell r="E10716" t="str">
            <v>OPERATING SURPLUS, GROSS</v>
          </cell>
          <cell r="F10716">
            <v>12</v>
          </cell>
          <cell r="G10716">
            <v>1999</v>
          </cell>
          <cell r="H10716">
            <v>20</v>
          </cell>
          <cell r="I10716">
            <v>1685913000000</v>
          </cell>
        </row>
        <row r="10717">
          <cell r="A10717" t="str">
            <v>Algeria</v>
          </cell>
          <cell r="B10717">
            <v>12</v>
          </cell>
          <cell r="C10717">
            <v>203</v>
          </cell>
          <cell r="D10717">
            <v>11</v>
          </cell>
          <cell r="E10717" t="str">
            <v>OPERATING SURPLUS, GROSS</v>
          </cell>
          <cell r="F10717">
            <v>12</v>
          </cell>
          <cell r="G10717">
            <v>2000</v>
          </cell>
          <cell r="H10717">
            <v>20</v>
          </cell>
          <cell r="I10717">
            <v>2310223000000</v>
          </cell>
        </row>
        <row r="10718">
          <cell r="A10718" t="str">
            <v>Algeria</v>
          </cell>
          <cell r="B10718">
            <v>12</v>
          </cell>
          <cell r="C10718">
            <v>203</v>
          </cell>
          <cell r="D10718">
            <v>11</v>
          </cell>
          <cell r="E10718" t="str">
            <v>OPERATING SURPLUS, GROSS</v>
          </cell>
          <cell r="F10718">
            <v>12</v>
          </cell>
          <cell r="G10718">
            <v>2001</v>
          </cell>
          <cell r="H10718">
            <v>20</v>
          </cell>
          <cell r="I10718">
            <v>2343128000000</v>
          </cell>
        </row>
        <row r="10719">
          <cell r="A10719" t="str">
            <v>Algeria</v>
          </cell>
          <cell r="B10719">
            <v>12</v>
          </cell>
          <cell r="C10719">
            <v>203</v>
          </cell>
          <cell r="D10719">
            <v>11</v>
          </cell>
          <cell r="E10719" t="str">
            <v>OPERATING SURPLUS, GROSS</v>
          </cell>
          <cell r="F10719">
            <v>12</v>
          </cell>
          <cell r="G10719">
            <v>2002</v>
          </cell>
          <cell r="H10719">
            <v>20</v>
          </cell>
          <cell r="I10719">
            <v>2364901000000</v>
          </cell>
        </row>
        <row r="10720">
          <cell r="A10720" t="str">
            <v>United States</v>
          </cell>
          <cell r="B10720">
            <v>840</v>
          </cell>
          <cell r="C10720">
            <v>203</v>
          </cell>
          <cell r="D10720">
            <v>22</v>
          </cell>
          <cell r="E10720" t="str">
            <v>Taxes on production and imports, less Subsidies</v>
          </cell>
          <cell r="F10720">
            <v>12</v>
          </cell>
          <cell r="G10720">
            <v>1960</v>
          </cell>
          <cell r="H10720">
            <v>10</v>
          </cell>
          <cell r="I10720">
            <v>43200000000</v>
          </cell>
        </row>
        <row r="10721">
          <cell r="A10721" t="str">
            <v>United States</v>
          </cell>
          <cell r="B10721">
            <v>840</v>
          </cell>
          <cell r="C10721">
            <v>203</v>
          </cell>
          <cell r="D10721">
            <v>22</v>
          </cell>
          <cell r="E10721" t="str">
            <v>Taxes on production and imports, less Subsidies</v>
          </cell>
          <cell r="F10721">
            <v>12</v>
          </cell>
          <cell r="G10721">
            <v>1961</v>
          </cell>
          <cell r="H10721">
            <v>10</v>
          </cell>
          <cell r="I10721">
            <v>45000000000</v>
          </cell>
        </row>
        <row r="10722">
          <cell r="A10722" t="str">
            <v>United States</v>
          </cell>
          <cell r="B10722">
            <v>840</v>
          </cell>
          <cell r="C10722">
            <v>203</v>
          </cell>
          <cell r="D10722">
            <v>22</v>
          </cell>
          <cell r="E10722" t="str">
            <v>Taxes on production and imports, less Subsidies</v>
          </cell>
          <cell r="F10722">
            <v>12</v>
          </cell>
          <cell r="G10722">
            <v>1962</v>
          </cell>
          <cell r="H10722">
            <v>10</v>
          </cell>
          <cell r="I10722">
            <v>48100000000</v>
          </cell>
        </row>
        <row r="10723">
          <cell r="A10723" t="str">
            <v>United States</v>
          </cell>
          <cell r="B10723">
            <v>840</v>
          </cell>
          <cell r="C10723">
            <v>203</v>
          </cell>
          <cell r="D10723">
            <v>22</v>
          </cell>
          <cell r="E10723" t="str">
            <v>Taxes on production and imports, less Subsidies</v>
          </cell>
          <cell r="F10723">
            <v>12</v>
          </cell>
          <cell r="G10723">
            <v>1963</v>
          </cell>
          <cell r="H10723">
            <v>10</v>
          </cell>
          <cell r="I10723">
            <v>51200000000</v>
          </cell>
        </row>
        <row r="10724">
          <cell r="A10724" t="str">
            <v>United States</v>
          </cell>
          <cell r="B10724">
            <v>840</v>
          </cell>
          <cell r="C10724">
            <v>203</v>
          </cell>
          <cell r="D10724">
            <v>22</v>
          </cell>
          <cell r="E10724" t="str">
            <v>Taxes on production and imports, less Subsidies</v>
          </cell>
          <cell r="F10724">
            <v>12</v>
          </cell>
          <cell r="G10724">
            <v>1964</v>
          </cell>
          <cell r="H10724">
            <v>10</v>
          </cell>
          <cell r="I10724">
            <v>54700000000</v>
          </cell>
        </row>
        <row r="10725">
          <cell r="A10725" t="str">
            <v>United States</v>
          </cell>
          <cell r="B10725">
            <v>840</v>
          </cell>
          <cell r="C10725">
            <v>203</v>
          </cell>
          <cell r="D10725">
            <v>22</v>
          </cell>
          <cell r="E10725" t="str">
            <v>Taxes on production and imports, less Subsidies</v>
          </cell>
          <cell r="F10725">
            <v>12</v>
          </cell>
          <cell r="G10725">
            <v>1965</v>
          </cell>
          <cell r="H10725">
            <v>10</v>
          </cell>
          <cell r="I10725">
            <v>58000000000</v>
          </cell>
        </row>
        <row r="10726">
          <cell r="A10726" t="str">
            <v>United States</v>
          </cell>
          <cell r="B10726">
            <v>840</v>
          </cell>
          <cell r="C10726">
            <v>203</v>
          </cell>
          <cell r="D10726">
            <v>22</v>
          </cell>
          <cell r="E10726" t="str">
            <v>Taxes on production and imports, less Subsidies</v>
          </cell>
          <cell r="F10726">
            <v>12</v>
          </cell>
          <cell r="G10726">
            <v>1966</v>
          </cell>
          <cell r="H10726">
            <v>10</v>
          </cell>
          <cell r="I10726">
            <v>59600000000</v>
          </cell>
        </row>
        <row r="10727">
          <cell r="A10727" t="str">
            <v>United States</v>
          </cell>
          <cell r="B10727">
            <v>840</v>
          </cell>
          <cell r="C10727">
            <v>203</v>
          </cell>
          <cell r="D10727">
            <v>22</v>
          </cell>
          <cell r="E10727" t="str">
            <v>Taxes on production and imports, less Subsidies</v>
          </cell>
          <cell r="F10727">
            <v>12</v>
          </cell>
          <cell r="G10727">
            <v>1967</v>
          </cell>
          <cell r="H10727">
            <v>10</v>
          </cell>
          <cell r="I10727">
            <v>64600000000</v>
          </cell>
        </row>
        <row r="10728">
          <cell r="A10728" t="str">
            <v>United States</v>
          </cell>
          <cell r="B10728">
            <v>840</v>
          </cell>
          <cell r="C10728">
            <v>203</v>
          </cell>
          <cell r="D10728">
            <v>22</v>
          </cell>
          <cell r="E10728" t="str">
            <v>Taxes on production and imports, less Subsidies</v>
          </cell>
          <cell r="F10728">
            <v>12</v>
          </cell>
          <cell r="G10728">
            <v>1968</v>
          </cell>
          <cell r="H10728">
            <v>10</v>
          </cell>
          <cell r="I10728">
            <v>72500000000</v>
          </cell>
        </row>
        <row r="10729">
          <cell r="A10729" t="str">
            <v>United States</v>
          </cell>
          <cell r="B10729">
            <v>840</v>
          </cell>
          <cell r="C10729">
            <v>203</v>
          </cell>
          <cell r="D10729">
            <v>22</v>
          </cell>
          <cell r="E10729" t="str">
            <v>Taxes on production and imports, less Subsidies</v>
          </cell>
          <cell r="F10729">
            <v>12</v>
          </cell>
          <cell r="G10729">
            <v>1969</v>
          </cell>
          <cell r="H10729">
            <v>10</v>
          </cell>
          <cell r="I10729">
            <v>79500000000</v>
          </cell>
        </row>
        <row r="10730">
          <cell r="A10730" t="str">
            <v>United States</v>
          </cell>
          <cell r="B10730">
            <v>840</v>
          </cell>
          <cell r="C10730">
            <v>203</v>
          </cell>
          <cell r="D10730">
            <v>22</v>
          </cell>
          <cell r="E10730" t="str">
            <v>Taxes on production and imports, less Subsidies</v>
          </cell>
          <cell r="F10730">
            <v>12</v>
          </cell>
          <cell r="G10730">
            <v>1970</v>
          </cell>
          <cell r="H10730">
            <v>10</v>
          </cell>
          <cell r="I10730">
            <v>86800000000</v>
          </cell>
        </row>
        <row r="10731">
          <cell r="A10731" t="str">
            <v>United States</v>
          </cell>
          <cell r="B10731">
            <v>840</v>
          </cell>
          <cell r="C10731">
            <v>203</v>
          </cell>
          <cell r="D10731">
            <v>22</v>
          </cell>
          <cell r="E10731" t="str">
            <v>Taxes on production and imports, less Subsidies</v>
          </cell>
          <cell r="F10731">
            <v>12</v>
          </cell>
          <cell r="G10731">
            <v>1987</v>
          </cell>
          <cell r="H10731">
            <v>100</v>
          </cell>
          <cell r="I10731">
            <v>316100000000</v>
          </cell>
        </row>
        <row r="10732">
          <cell r="A10732" t="str">
            <v>United States</v>
          </cell>
          <cell r="B10732">
            <v>840</v>
          </cell>
          <cell r="C10732">
            <v>203</v>
          </cell>
          <cell r="D10732">
            <v>22</v>
          </cell>
          <cell r="E10732" t="str">
            <v>Taxes on production and imports, less Subsidies</v>
          </cell>
          <cell r="F10732">
            <v>12</v>
          </cell>
          <cell r="G10732">
            <v>1988</v>
          </cell>
          <cell r="H10732">
            <v>100</v>
          </cell>
          <cell r="I10732">
            <v>342300000000</v>
          </cell>
        </row>
        <row r="10733">
          <cell r="A10733" t="str">
            <v>United States</v>
          </cell>
          <cell r="B10733">
            <v>840</v>
          </cell>
          <cell r="C10733">
            <v>203</v>
          </cell>
          <cell r="D10733">
            <v>22</v>
          </cell>
          <cell r="E10733" t="str">
            <v>Taxes on production and imports, less Subsidies</v>
          </cell>
          <cell r="F10733">
            <v>12</v>
          </cell>
          <cell r="G10733">
            <v>1989</v>
          </cell>
          <cell r="H10733">
            <v>100</v>
          </cell>
          <cell r="I10733">
            <v>371300000000</v>
          </cell>
        </row>
        <row r="10734">
          <cell r="A10734" t="str">
            <v>United States</v>
          </cell>
          <cell r="B10734">
            <v>840</v>
          </cell>
          <cell r="C10734">
            <v>203</v>
          </cell>
          <cell r="D10734">
            <v>22</v>
          </cell>
          <cell r="E10734" t="str">
            <v>Taxes on production and imports, less Subsidies</v>
          </cell>
          <cell r="F10734">
            <v>12</v>
          </cell>
          <cell r="G10734">
            <v>1990</v>
          </cell>
          <cell r="H10734">
            <v>100</v>
          </cell>
          <cell r="I10734">
            <v>396400000000</v>
          </cell>
        </row>
        <row r="10735">
          <cell r="A10735" t="str">
            <v>United States</v>
          </cell>
          <cell r="B10735">
            <v>840</v>
          </cell>
          <cell r="C10735">
            <v>203</v>
          </cell>
          <cell r="D10735">
            <v>22</v>
          </cell>
          <cell r="E10735" t="str">
            <v>Taxes on production and imports, less Subsidies</v>
          </cell>
          <cell r="F10735">
            <v>12</v>
          </cell>
          <cell r="G10735">
            <v>1991</v>
          </cell>
          <cell r="H10735">
            <v>100</v>
          </cell>
          <cell r="I10735">
            <v>425500000000</v>
          </cell>
        </row>
        <row r="10736">
          <cell r="A10736" t="str">
            <v>United States</v>
          </cell>
          <cell r="B10736">
            <v>840</v>
          </cell>
          <cell r="C10736">
            <v>203</v>
          </cell>
          <cell r="D10736">
            <v>22</v>
          </cell>
          <cell r="E10736" t="str">
            <v>Taxes on production and imports, less Subsidies</v>
          </cell>
          <cell r="F10736">
            <v>12</v>
          </cell>
          <cell r="G10736">
            <v>1992</v>
          </cell>
          <cell r="H10736">
            <v>100</v>
          </cell>
          <cell r="I10736">
            <v>448900000000</v>
          </cell>
        </row>
        <row r="10737">
          <cell r="A10737" t="str">
            <v>United States</v>
          </cell>
          <cell r="B10737">
            <v>840</v>
          </cell>
          <cell r="C10737">
            <v>203</v>
          </cell>
          <cell r="D10737">
            <v>22</v>
          </cell>
          <cell r="E10737" t="str">
            <v>Taxes on production and imports, less Subsidies</v>
          </cell>
          <cell r="F10737">
            <v>12</v>
          </cell>
          <cell r="G10737">
            <v>1993</v>
          </cell>
          <cell r="H10737">
            <v>100</v>
          </cell>
          <cell r="I10737">
            <v>469200000000</v>
          </cell>
        </row>
        <row r="10738">
          <cell r="A10738" t="str">
            <v>United States</v>
          </cell>
          <cell r="B10738">
            <v>840</v>
          </cell>
          <cell r="C10738">
            <v>203</v>
          </cell>
          <cell r="D10738">
            <v>22</v>
          </cell>
          <cell r="E10738" t="str">
            <v>Taxes on production and imports, less Subsidies</v>
          </cell>
          <cell r="F10738">
            <v>12</v>
          </cell>
          <cell r="G10738">
            <v>1994</v>
          </cell>
          <cell r="H10738">
            <v>100</v>
          </cell>
          <cell r="I10738">
            <v>507500000000</v>
          </cell>
        </row>
        <row r="10739">
          <cell r="A10739" t="str">
            <v>United States</v>
          </cell>
          <cell r="B10739">
            <v>840</v>
          </cell>
          <cell r="C10739">
            <v>203</v>
          </cell>
          <cell r="D10739">
            <v>22</v>
          </cell>
          <cell r="E10739" t="str">
            <v>Taxes on production and imports, less Subsidies</v>
          </cell>
          <cell r="F10739">
            <v>12</v>
          </cell>
          <cell r="G10739">
            <v>1995</v>
          </cell>
          <cell r="H10739">
            <v>100</v>
          </cell>
          <cell r="I10739">
            <v>527900000000</v>
          </cell>
        </row>
        <row r="10740">
          <cell r="A10740" t="str">
            <v>United States</v>
          </cell>
          <cell r="B10740">
            <v>840</v>
          </cell>
          <cell r="C10740">
            <v>203</v>
          </cell>
          <cell r="D10740">
            <v>22</v>
          </cell>
          <cell r="E10740" t="str">
            <v>Taxes on production and imports, less Subsidies</v>
          </cell>
          <cell r="F10740">
            <v>12</v>
          </cell>
          <cell r="G10740">
            <v>1996</v>
          </cell>
          <cell r="H10740">
            <v>100</v>
          </cell>
          <cell r="I10740">
            <v>546200000000</v>
          </cell>
        </row>
        <row r="10741">
          <cell r="A10741" t="str">
            <v>United States</v>
          </cell>
          <cell r="B10741">
            <v>840</v>
          </cell>
          <cell r="C10741">
            <v>203</v>
          </cell>
          <cell r="D10741">
            <v>22</v>
          </cell>
          <cell r="E10741" t="str">
            <v>Taxes on production and imports, less Subsidies</v>
          </cell>
          <cell r="F10741">
            <v>12</v>
          </cell>
          <cell r="G10741">
            <v>1997</v>
          </cell>
          <cell r="H10741">
            <v>100</v>
          </cell>
          <cell r="I10741">
            <v>574500000000</v>
          </cell>
        </row>
        <row r="10742">
          <cell r="A10742" t="str">
            <v>United States</v>
          </cell>
          <cell r="B10742">
            <v>840</v>
          </cell>
          <cell r="C10742">
            <v>203</v>
          </cell>
          <cell r="D10742">
            <v>22</v>
          </cell>
          <cell r="E10742" t="str">
            <v>Taxes on production and imports, less Subsidies</v>
          </cell>
          <cell r="F10742">
            <v>12</v>
          </cell>
          <cell r="G10742">
            <v>1998</v>
          </cell>
          <cell r="H10742">
            <v>100</v>
          </cell>
          <cell r="I10742">
            <v>602300000000</v>
          </cell>
        </row>
        <row r="10743">
          <cell r="A10743" t="str">
            <v>United States</v>
          </cell>
          <cell r="B10743">
            <v>840</v>
          </cell>
          <cell r="C10743">
            <v>203</v>
          </cell>
          <cell r="D10743">
            <v>22</v>
          </cell>
          <cell r="E10743" t="str">
            <v>Taxes on production and imports, less Subsidies</v>
          </cell>
          <cell r="F10743">
            <v>12</v>
          </cell>
          <cell r="G10743">
            <v>1999</v>
          </cell>
          <cell r="H10743">
            <v>100</v>
          </cell>
          <cell r="I10743">
            <v>623700000000</v>
          </cell>
        </row>
        <row r="10744">
          <cell r="A10744" t="str">
            <v>United States</v>
          </cell>
          <cell r="B10744">
            <v>840</v>
          </cell>
          <cell r="C10744">
            <v>203</v>
          </cell>
          <cell r="D10744">
            <v>22</v>
          </cell>
          <cell r="E10744" t="str">
            <v>Taxes on production and imports, less Subsidies</v>
          </cell>
          <cell r="F10744">
            <v>12</v>
          </cell>
          <cell r="G10744">
            <v>2000</v>
          </cell>
          <cell r="H10744">
            <v>100</v>
          </cell>
          <cell r="I10744">
            <v>654400000000</v>
          </cell>
        </row>
        <row r="10745">
          <cell r="A10745" t="str">
            <v>United States</v>
          </cell>
          <cell r="B10745">
            <v>840</v>
          </cell>
          <cell r="C10745">
            <v>203</v>
          </cell>
          <cell r="D10745">
            <v>22</v>
          </cell>
          <cell r="E10745" t="str">
            <v>Taxes on production and imports, less Subsidies</v>
          </cell>
          <cell r="F10745">
            <v>12</v>
          </cell>
          <cell r="G10745">
            <v>2001</v>
          </cell>
          <cell r="H10745">
            <v>100</v>
          </cell>
          <cell r="I10745">
            <v>659700000000</v>
          </cell>
        </row>
        <row r="10746">
          <cell r="A10746" t="str">
            <v>Uzbekistan</v>
          </cell>
          <cell r="B10746">
            <v>860</v>
          </cell>
          <cell r="C10746">
            <v>201</v>
          </cell>
          <cell r="D10746">
            <v>13</v>
          </cell>
          <cell r="E10746" t="str">
            <v>Less: Financial intermediation services indirectly measured (FISIM) (only to be deducted if FISIM is not distributed to uses)</v>
          </cell>
          <cell r="F10746">
            <v>0</v>
          </cell>
          <cell r="G10746">
            <v>1990</v>
          </cell>
          <cell r="H10746">
            <v>100</v>
          </cell>
          <cell r="I10746">
            <v>0</v>
          </cell>
        </row>
        <row r="10747">
          <cell r="A10747" t="str">
            <v>Uzbekistan</v>
          </cell>
          <cell r="B10747">
            <v>860</v>
          </cell>
          <cell r="C10747">
            <v>201</v>
          </cell>
          <cell r="D10747">
            <v>13</v>
          </cell>
          <cell r="E10747" t="str">
            <v>Less: Financial intermediation services indirectly measured (FISIM) (only to be deducted if FISIM is not distributed to uses)</v>
          </cell>
          <cell r="F10747">
            <v>0</v>
          </cell>
          <cell r="G10747">
            <v>1991</v>
          </cell>
          <cell r="H10747">
            <v>100</v>
          </cell>
          <cell r="I10747">
            <v>4500000000</v>
          </cell>
        </row>
        <row r="10748">
          <cell r="A10748" t="str">
            <v>Uzbekistan</v>
          </cell>
          <cell r="B10748">
            <v>860</v>
          </cell>
          <cell r="C10748">
            <v>201</v>
          </cell>
          <cell r="D10748">
            <v>13</v>
          </cell>
          <cell r="E10748" t="str">
            <v>Less: Financial intermediation services indirectly measured (FISIM) (only to be deducted if FISIM is not distributed to uses)</v>
          </cell>
          <cell r="F10748">
            <v>0</v>
          </cell>
          <cell r="G10748">
            <v>1992</v>
          </cell>
          <cell r="H10748">
            <v>100</v>
          </cell>
          <cell r="I10748">
            <v>4200000000</v>
          </cell>
        </row>
        <row r="10749">
          <cell r="A10749" t="str">
            <v>Uzbekistan</v>
          </cell>
          <cell r="B10749">
            <v>860</v>
          </cell>
          <cell r="C10749">
            <v>201</v>
          </cell>
          <cell r="D10749">
            <v>13</v>
          </cell>
          <cell r="E10749" t="str">
            <v>Less: Financial intermediation services indirectly measured (FISIM) (only to be deducted if FISIM is not distributed to uses)</v>
          </cell>
          <cell r="F10749">
            <v>0</v>
          </cell>
          <cell r="G10749">
            <v>1993</v>
          </cell>
          <cell r="H10749">
            <v>100</v>
          </cell>
          <cell r="I10749">
            <v>126000000000</v>
          </cell>
        </row>
        <row r="10750">
          <cell r="A10750" t="str">
            <v>Uzbekistan</v>
          </cell>
          <cell r="B10750">
            <v>860</v>
          </cell>
          <cell r="C10750">
            <v>201</v>
          </cell>
          <cell r="D10750">
            <v>13</v>
          </cell>
          <cell r="E10750" t="str">
            <v>Less: Financial intermediation services indirectly measured (FISIM) (only to be deducted if FISIM is not distributed to uses)</v>
          </cell>
          <cell r="F10750">
            <v>0</v>
          </cell>
          <cell r="G10750">
            <v>1994</v>
          </cell>
          <cell r="H10750">
            <v>200</v>
          </cell>
          <cell r="I10750">
            <v>2178200000</v>
          </cell>
        </row>
        <row r="10751">
          <cell r="A10751" t="str">
            <v>Uzbekistan</v>
          </cell>
          <cell r="B10751">
            <v>860</v>
          </cell>
          <cell r="C10751">
            <v>201</v>
          </cell>
          <cell r="D10751">
            <v>13</v>
          </cell>
          <cell r="E10751" t="str">
            <v>Less: Financial intermediation services indirectly measured (FISIM) (only to be deducted if FISIM is not distributed to uses)</v>
          </cell>
          <cell r="F10751">
            <v>0</v>
          </cell>
          <cell r="G10751">
            <v>1995</v>
          </cell>
          <cell r="H10751">
            <v>200</v>
          </cell>
          <cell r="I10751">
            <v>8009300000</v>
          </cell>
        </row>
        <row r="10752">
          <cell r="A10752" t="str">
            <v>Uzbekistan</v>
          </cell>
          <cell r="B10752">
            <v>860</v>
          </cell>
          <cell r="C10752">
            <v>201</v>
          </cell>
          <cell r="D10752">
            <v>13</v>
          </cell>
          <cell r="E10752" t="str">
            <v>Less: Financial intermediation services indirectly measured (FISIM) (only to be deducted if FISIM is not distributed to uses)</v>
          </cell>
          <cell r="F10752">
            <v>0</v>
          </cell>
          <cell r="G10752">
            <v>1996</v>
          </cell>
          <cell r="H10752">
            <v>200</v>
          </cell>
          <cell r="I10752">
            <v>11800000000</v>
          </cell>
        </row>
        <row r="10753">
          <cell r="A10753" t="str">
            <v>Uzbekistan</v>
          </cell>
          <cell r="B10753">
            <v>860</v>
          </cell>
          <cell r="C10753">
            <v>201</v>
          </cell>
          <cell r="D10753">
            <v>13</v>
          </cell>
          <cell r="E10753" t="str">
            <v>Less: Financial intermediation services indirectly measured (FISIM) (only to be deducted if FISIM is not distributed to uses)</v>
          </cell>
          <cell r="F10753">
            <v>0</v>
          </cell>
          <cell r="G10753">
            <v>1997</v>
          </cell>
          <cell r="H10753">
            <v>200</v>
          </cell>
          <cell r="I10753">
            <v>13800000000</v>
          </cell>
        </row>
        <row r="10754">
          <cell r="A10754" t="str">
            <v>Uzbekistan</v>
          </cell>
          <cell r="B10754">
            <v>860</v>
          </cell>
          <cell r="C10754">
            <v>201</v>
          </cell>
          <cell r="D10754">
            <v>13</v>
          </cell>
          <cell r="E10754" t="str">
            <v>Less: Financial intermediation services indirectly measured (FISIM) (only to be deducted if FISIM is not distributed to uses)</v>
          </cell>
          <cell r="F10754">
            <v>0</v>
          </cell>
          <cell r="G10754">
            <v>1998</v>
          </cell>
          <cell r="H10754">
            <v>200</v>
          </cell>
          <cell r="I10754">
            <v>0</v>
          </cell>
        </row>
        <row r="10755">
          <cell r="A10755" t="str">
            <v>Uzbekistan</v>
          </cell>
          <cell r="B10755">
            <v>860</v>
          </cell>
          <cell r="C10755">
            <v>201</v>
          </cell>
          <cell r="D10755">
            <v>13</v>
          </cell>
          <cell r="E10755" t="str">
            <v>Less: Financial intermediation services indirectly measured (FISIM) (only to be deducted if FISIM is not distributed to uses)</v>
          </cell>
          <cell r="F10755">
            <v>0</v>
          </cell>
          <cell r="G10755">
            <v>1999</v>
          </cell>
          <cell r="H10755">
            <v>200</v>
          </cell>
          <cell r="I10755">
            <v>0</v>
          </cell>
        </row>
        <row r="10756">
          <cell r="A10756" t="str">
            <v>Uzbekistan</v>
          </cell>
          <cell r="B10756">
            <v>860</v>
          </cell>
          <cell r="C10756">
            <v>201</v>
          </cell>
          <cell r="D10756">
            <v>13</v>
          </cell>
          <cell r="E10756" t="str">
            <v>Less: Financial intermediation services indirectly measured (FISIM) (only to be deducted if FISIM is not distributed to uses)</v>
          </cell>
          <cell r="F10756">
            <v>0</v>
          </cell>
          <cell r="G10756">
            <v>2000</v>
          </cell>
          <cell r="H10756">
            <v>200</v>
          </cell>
          <cell r="I10756">
            <v>0</v>
          </cell>
        </row>
        <row r="10757">
          <cell r="A10757" t="str">
            <v>Yemen Arab Republic [former]</v>
          </cell>
          <cell r="B10757">
            <v>886</v>
          </cell>
          <cell r="C10757">
            <v>201</v>
          </cell>
          <cell r="D10757">
            <v>13</v>
          </cell>
          <cell r="E10757" t="str">
            <v>Less: Financial intermediation services indirectly measured (FISIM) (only to be deducted if FISIM is not distributed to uses)</v>
          </cell>
          <cell r="F10757">
            <v>0</v>
          </cell>
          <cell r="G10757">
            <v>1970</v>
          </cell>
          <cell r="H10757">
            <v>20</v>
          </cell>
          <cell r="I10757">
            <v>20000000</v>
          </cell>
        </row>
        <row r="10758">
          <cell r="A10758" t="str">
            <v>Yemen Arab Republic [former]</v>
          </cell>
          <cell r="B10758">
            <v>886</v>
          </cell>
          <cell r="C10758">
            <v>201</v>
          </cell>
          <cell r="D10758">
            <v>13</v>
          </cell>
          <cell r="E10758" t="str">
            <v>Less: Financial intermediation services indirectly measured (FISIM) (only to be deducted if FISIM is not distributed to uses)</v>
          </cell>
          <cell r="F10758">
            <v>0</v>
          </cell>
          <cell r="G10758">
            <v>1971</v>
          </cell>
          <cell r="H10758">
            <v>20</v>
          </cell>
          <cell r="I10758">
            <v>27000000</v>
          </cell>
        </row>
        <row r="10759">
          <cell r="A10759" t="str">
            <v>Yemen Arab Republic [former]</v>
          </cell>
          <cell r="B10759">
            <v>886</v>
          </cell>
          <cell r="C10759">
            <v>201</v>
          </cell>
          <cell r="D10759">
            <v>13</v>
          </cell>
          <cell r="E10759" t="str">
            <v>Less: Financial intermediation services indirectly measured (FISIM) (only to be deducted if FISIM is not distributed to uses)</v>
          </cell>
          <cell r="F10759">
            <v>0</v>
          </cell>
          <cell r="G10759">
            <v>1972</v>
          </cell>
          <cell r="H10759">
            <v>20</v>
          </cell>
          <cell r="I10759">
            <v>39000000</v>
          </cell>
        </row>
        <row r="10760">
          <cell r="A10760" t="str">
            <v>Yemen Arab Republic [former]</v>
          </cell>
          <cell r="B10760">
            <v>886</v>
          </cell>
          <cell r="C10760">
            <v>201</v>
          </cell>
          <cell r="D10760">
            <v>13</v>
          </cell>
          <cell r="E10760" t="str">
            <v>Less: Financial intermediation services indirectly measured (FISIM) (only to be deducted if FISIM is not distributed to uses)</v>
          </cell>
          <cell r="F10760">
            <v>0</v>
          </cell>
          <cell r="G10760">
            <v>1973</v>
          </cell>
          <cell r="H10760">
            <v>20</v>
          </cell>
          <cell r="I10760">
            <v>53000000</v>
          </cell>
        </row>
        <row r="10761">
          <cell r="A10761" t="str">
            <v>Yemen Arab Republic [former]</v>
          </cell>
          <cell r="B10761">
            <v>886</v>
          </cell>
          <cell r="C10761">
            <v>201</v>
          </cell>
          <cell r="D10761">
            <v>13</v>
          </cell>
          <cell r="E10761" t="str">
            <v>Less: Financial intermediation services indirectly measured (FISIM) (only to be deducted if FISIM is not distributed to uses)</v>
          </cell>
          <cell r="F10761">
            <v>0</v>
          </cell>
          <cell r="G10761">
            <v>1974</v>
          </cell>
          <cell r="H10761">
            <v>20</v>
          </cell>
          <cell r="I10761">
            <v>29000000</v>
          </cell>
        </row>
        <row r="10762">
          <cell r="A10762" t="str">
            <v>Yemen Arab Republic [former]</v>
          </cell>
          <cell r="B10762">
            <v>886</v>
          </cell>
          <cell r="C10762">
            <v>201</v>
          </cell>
          <cell r="D10762">
            <v>13</v>
          </cell>
          <cell r="E10762" t="str">
            <v>Less: Financial intermediation services indirectly measured (FISIM) (only to be deducted if FISIM is not distributed to uses)</v>
          </cell>
          <cell r="F10762">
            <v>0</v>
          </cell>
          <cell r="G10762">
            <v>1975</v>
          </cell>
          <cell r="H10762">
            <v>20</v>
          </cell>
          <cell r="I10762">
            <v>44000000</v>
          </cell>
        </row>
        <row r="10763">
          <cell r="A10763" t="str">
            <v>Yemen Arab Republic [former]</v>
          </cell>
          <cell r="B10763">
            <v>886</v>
          </cell>
          <cell r="C10763">
            <v>201</v>
          </cell>
          <cell r="D10763">
            <v>13</v>
          </cell>
          <cell r="E10763" t="str">
            <v>Less: Financial intermediation services indirectly measured (FISIM) (only to be deducted if FISIM is not distributed to uses)</v>
          </cell>
          <cell r="F10763">
            <v>0</v>
          </cell>
          <cell r="G10763">
            <v>1976</v>
          </cell>
          <cell r="H10763">
            <v>20</v>
          </cell>
          <cell r="I10763">
            <v>73000000</v>
          </cell>
        </row>
        <row r="10764">
          <cell r="A10764" t="str">
            <v>Yemen Arab Republic [former]</v>
          </cell>
          <cell r="B10764">
            <v>886</v>
          </cell>
          <cell r="C10764">
            <v>201</v>
          </cell>
          <cell r="D10764">
            <v>13</v>
          </cell>
          <cell r="E10764" t="str">
            <v>Less: Financial intermediation services indirectly measured (FISIM) (only to be deducted if FISIM is not distributed to uses)</v>
          </cell>
          <cell r="F10764">
            <v>0</v>
          </cell>
          <cell r="G10764">
            <v>1977</v>
          </cell>
          <cell r="H10764">
            <v>20</v>
          </cell>
          <cell r="I10764">
            <v>95000000</v>
          </cell>
        </row>
        <row r="10765">
          <cell r="A10765" t="str">
            <v>Yemen Arab Republic [former]</v>
          </cell>
          <cell r="B10765">
            <v>886</v>
          </cell>
          <cell r="C10765">
            <v>201</v>
          </cell>
          <cell r="D10765">
            <v>13</v>
          </cell>
          <cell r="E10765" t="str">
            <v>Less: Financial intermediation services indirectly measured (FISIM) (only to be deducted if FISIM is not distributed to uses)</v>
          </cell>
          <cell r="F10765">
            <v>0</v>
          </cell>
          <cell r="G10765">
            <v>1978</v>
          </cell>
          <cell r="H10765">
            <v>20</v>
          </cell>
          <cell r="I10765">
            <v>108000000</v>
          </cell>
        </row>
        <row r="10766">
          <cell r="A10766" t="str">
            <v>Yemen Arab Republic [former]</v>
          </cell>
          <cell r="B10766">
            <v>886</v>
          </cell>
          <cell r="C10766">
            <v>201</v>
          </cell>
          <cell r="D10766">
            <v>13</v>
          </cell>
          <cell r="E10766" t="str">
            <v>Less: Financial intermediation services indirectly measured (FISIM) (only to be deducted if FISIM is not distributed to uses)</v>
          </cell>
          <cell r="F10766">
            <v>0</v>
          </cell>
          <cell r="G10766">
            <v>1979</v>
          </cell>
          <cell r="H10766">
            <v>20</v>
          </cell>
          <cell r="I10766">
            <v>138000000</v>
          </cell>
        </row>
        <row r="10767">
          <cell r="A10767" t="str">
            <v>Yemen Arab Republic [former]</v>
          </cell>
          <cell r="B10767">
            <v>886</v>
          </cell>
          <cell r="C10767">
            <v>201</v>
          </cell>
          <cell r="D10767">
            <v>13</v>
          </cell>
          <cell r="E10767" t="str">
            <v>Less: Financial intermediation services indirectly measured (FISIM) (only to be deducted if FISIM is not distributed to uses)</v>
          </cell>
          <cell r="F10767">
            <v>0</v>
          </cell>
          <cell r="G10767">
            <v>1980</v>
          </cell>
          <cell r="H10767">
            <v>20</v>
          </cell>
          <cell r="I10767">
            <v>274000000</v>
          </cell>
        </row>
        <row r="10768">
          <cell r="A10768" t="str">
            <v>Yemen Arab Republic [former]</v>
          </cell>
          <cell r="B10768">
            <v>886</v>
          </cell>
          <cell r="C10768">
            <v>201</v>
          </cell>
          <cell r="D10768">
            <v>13</v>
          </cell>
          <cell r="E10768" t="str">
            <v>Less: Financial intermediation services indirectly measured (FISIM) (only to be deducted if FISIM is not distributed to uses)</v>
          </cell>
          <cell r="F10768">
            <v>0</v>
          </cell>
          <cell r="G10768">
            <v>1981</v>
          </cell>
          <cell r="H10768">
            <v>20</v>
          </cell>
          <cell r="I10768">
            <v>211000000</v>
          </cell>
        </row>
        <row r="10769">
          <cell r="A10769" t="str">
            <v>Yemen Arab Republic [former]</v>
          </cell>
          <cell r="B10769">
            <v>886</v>
          </cell>
          <cell r="C10769">
            <v>201</v>
          </cell>
          <cell r="D10769">
            <v>13</v>
          </cell>
          <cell r="E10769" t="str">
            <v>Less: Financial intermediation services indirectly measured (FISIM) (only to be deducted if FISIM is not distributed to uses)</v>
          </cell>
          <cell r="F10769">
            <v>0</v>
          </cell>
          <cell r="G10769">
            <v>1982</v>
          </cell>
          <cell r="H10769">
            <v>20</v>
          </cell>
          <cell r="I10769">
            <v>246000000</v>
          </cell>
        </row>
        <row r="10770">
          <cell r="A10770" t="str">
            <v>Yemen Arab Republic [former]</v>
          </cell>
          <cell r="B10770">
            <v>886</v>
          </cell>
          <cell r="C10770">
            <v>201</v>
          </cell>
          <cell r="D10770">
            <v>13</v>
          </cell>
          <cell r="E10770" t="str">
            <v>Less: Financial intermediation services indirectly measured (FISIM) (only to be deducted if FISIM is not distributed to uses)</v>
          </cell>
          <cell r="F10770">
            <v>0</v>
          </cell>
          <cell r="G10770">
            <v>1983</v>
          </cell>
          <cell r="H10770">
            <v>20</v>
          </cell>
          <cell r="I10770">
            <v>260000000</v>
          </cell>
        </row>
        <row r="10771">
          <cell r="A10771" t="str">
            <v>Yemen Arab Republic [former]</v>
          </cell>
          <cell r="B10771">
            <v>886</v>
          </cell>
          <cell r="C10771">
            <v>201</v>
          </cell>
          <cell r="D10771">
            <v>13</v>
          </cell>
          <cell r="E10771" t="str">
            <v>Less: Financial intermediation services indirectly measured (FISIM) (only to be deducted if FISIM is not distributed to uses)</v>
          </cell>
          <cell r="F10771">
            <v>0</v>
          </cell>
          <cell r="G10771">
            <v>1984</v>
          </cell>
          <cell r="H10771">
            <v>20</v>
          </cell>
          <cell r="I10771">
            <v>288000000</v>
          </cell>
        </row>
        <row r="10772">
          <cell r="A10772" t="str">
            <v>Yemen Arab Republic [former]</v>
          </cell>
          <cell r="B10772">
            <v>886</v>
          </cell>
          <cell r="C10772">
            <v>201</v>
          </cell>
          <cell r="D10772">
            <v>13</v>
          </cell>
          <cell r="E10772" t="str">
            <v>Less: Financial intermediation services indirectly measured (FISIM) (only to be deducted if FISIM is not distributed to uses)</v>
          </cell>
          <cell r="F10772">
            <v>0</v>
          </cell>
          <cell r="G10772">
            <v>1985</v>
          </cell>
          <cell r="H10772">
            <v>30</v>
          </cell>
          <cell r="I10772">
            <v>651000000</v>
          </cell>
        </row>
        <row r="10773">
          <cell r="A10773" t="str">
            <v>Yemen Arab Republic [former]</v>
          </cell>
          <cell r="B10773">
            <v>886</v>
          </cell>
          <cell r="C10773">
            <v>201</v>
          </cell>
          <cell r="D10773">
            <v>13</v>
          </cell>
          <cell r="E10773" t="str">
            <v>Less: Financial intermediation services indirectly measured (FISIM) (only to be deducted if FISIM is not distributed to uses)</v>
          </cell>
          <cell r="F10773">
            <v>0</v>
          </cell>
          <cell r="G10773">
            <v>1986</v>
          </cell>
          <cell r="H10773">
            <v>30</v>
          </cell>
          <cell r="I10773">
            <v>716000000</v>
          </cell>
        </row>
        <row r="10774">
          <cell r="A10774" t="str">
            <v>Yemen Arab Republic [former]</v>
          </cell>
          <cell r="B10774">
            <v>886</v>
          </cell>
          <cell r="C10774">
            <v>203</v>
          </cell>
          <cell r="D10774">
            <v>3</v>
          </cell>
          <cell r="E10774" t="str">
            <v>Equals: VALUE ADDED, GROSS, at basic prices</v>
          </cell>
          <cell r="F10774">
            <v>12</v>
          </cell>
          <cell r="G10774">
            <v>1972</v>
          </cell>
          <cell r="H10774">
            <v>20</v>
          </cell>
          <cell r="I10774">
            <v>2190000000</v>
          </cell>
        </row>
        <row r="10775">
          <cell r="A10775" t="str">
            <v>Yemen Arab Republic [former]</v>
          </cell>
          <cell r="B10775">
            <v>886</v>
          </cell>
          <cell r="C10775">
            <v>203</v>
          </cell>
          <cell r="D10775">
            <v>3</v>
          </cell>
          <cell r="E10775" t="str">
            <v>Equals: VALUE ADDED, GROSS, at basic prices</v>
          </cell>
          <cell r="F10775">
            <v>12</v>
          </cell>
          <cell r="G10775">
            <v>1973</v>
          </cell>
          <cell r="H10775">
            <v>20</v>
          </cell>
          <cell r="I10775">
            <v>2745000000</v>
          </cell>
        </row>
        <row r="10776">
          <cell r="A10776" t="str">
            <v>Yemen Arab Republic [former]</v>
          </cell>
          <cell r="B10776">
            <v>886</v>
          </cell>
          <cell r="C10776">
            <v>203</v>
          </cell>
          <cell r="D10776">
            <v>3</v>
          </cell>
          <cell r="E10776" t="str">
            <v>Equals: VALUE ADDED, GROSS, at basic prices</v>
          </cell>
          <cell r="F10776">
            <v>12</v>
          </cell>
          <cell r="G10776">
            <v>1974</v>
          </cell>
          <cell r="H10776">
            <v>20</v>
          </cell>
          <cell r="I10776">
            <v>3552000000</v>
          </cell>
        </row>
        <row r="10777">
          <cell r="A10777" t="str">
            <v>Yemen Arab Republic [former]</v>
          </cell>
          <cell r="B10777">
            <v>886</v>
          </cell>
          <cell r="C10777">
            <v>203</v>
          </cell>
          <cell r="D10777">
            <v>3</v>
          </cell>
          <cell r="E10777" t="str">
            <v>Equals: VALUE ADDED, GROSS, at basic prices</v>
          </cell>
          <cell r="F10777">
            <v>12</v>
          </cell>
          <cell r="G10777">
            <v>1975</v>
          </cell>
          <cell r="H10777">
            <v>20</v>
          </cell>
          <cell r="I10777">
            <v>4538000000</v>
          </cell>
        </row>
        <row r="10778">
          <cell r="A10778" t="str">
            <v>Yemen Arab Republic [former]</v>
          </cell>
          <cell r="B10778">
            <v>886</v>
          </cell>
          <cell r="C10778">
            <v>203</v>
          </cell>
          <cell r="D10778">
            <v>3</v>
          </cell>
          <cell r="E10778" t="str">
            <v>Equals: VALUE ADDED, GROSS, at basic prices</v>
          </cell>
          <cell r="F10778">
            <v>12</v>
          </cell>
          <cell r="G10778">
            <v>1976</v>
          </cell>
          <cell r="H10778">
            <v>20</v>
          </cell>
          <cell r="I10778">
            <v>5580000000</v>
          </cell>
        </row>
        <row r="10779">
          <cell r="A10779" t="str">
            <v>Yemen Arab Republic [former]</v>
          </cell>
          <cell r="B10779">
            <v>886</v>
          </cell>
          <cell r="C10779">
            <v>203</v>
          </cell>
          <cell r="D10779">
            <v>3</v>
          </cell>
          <cell r="E10779" t="str">
            <v>Equals: VALUE ADDED, GROSS, at basic prices</v>
          </cell>
          <cell r="F10779">
            <v>12</v>
          </cell>
          <cell r="G10779">
            <v>1977</v>
          </cell>
          <cell r="H10779">
            <v>20</v>
          </cell>
          <cell r="I10779">
            <v>7010000000</v>
          </cell>
        </row>
        <row r="10780">
          <cell r="A10780" t="str">
            <v>Yemen Arab Republic [former]</v>
          </cell>
          <cell r="B10780">
            <v>886</v>
          </cell>
          <cell r="C10780">
            <v>203</v>
          </cell>
          <cell r="D10780">
            <v>3</v>
          </cell>
          <cell r="E10780" t="str">
            <v>Equals: VALUE ADDED, GROSS, at basic prices</v>
          </cell>
          <cell r="F10780">
            <v>12</v>
          </cell>
          <cell r="G10780">
            <v>1978</v>
          </cell>
          <cell r="H10780">
            <v>20</v>
          </cell>
          <cell r="I10780">
            <v>8903000000</v>
          </cell>
        </row>
        <row r="10781">
          <cell r="A10781" t="str">
            <v>Yemen Arab Republic [former]</v>
          </cell>
          <cell r="B10781">
            <v>886</v>
          </cell>
          <cell r="C10781">
            <v>203</v>
          </cell>
          <cell r="D10781">
            <v>3</v>
          </cell>
          <cell r="E10781" t="str">
            <v>Equals: VALUE ADDED, GROSS, at basic prices</v>
          </cell>
          <cell r="F10781">
            <v>12</v>
          </cell>
          <cell r="G10781">
            <v>1979</v>
          </cell>
          <cell r="H10781">
            <v>20</v>
          </cell>
          <cell r="I10781">
            <v>10164000000</v>
          </cell>
        </row>
        <row r="10782">
          <cell r="A10782" t="str">
            <v>Yemen Arab Republic [former]</v>
          </cell>
          <cell r="B10782">
            <v>886</v>
          </cell>
          <cell r="C10782">
            <v>203</v>
          </cell>
          <cell r="D10782">
            <v>3</v>
          </cell>
          <cell r="E10782" t="str">
            <v>Equals: VALUE ADDED, GROSS, at basic prices</v>
          </cell>
          <cell r="F10782">
            <v>12</v>
          </cell>
          <cell r="G10782">
            <v>1980</v>
          </cell>
          <cell r="H10782">
            <v>20</v>
          </cell>
          <cell r="I10782">
            <v>11246000000</v>
          </cell>
        </row>
        <row r="10783">
          <cell r="A10783" t="str">
            <v>Yemen Arab Republic [former]</v>
          </cell>
          <cell r="B10783">
            <v>886</v>
          </cell>
          <cell r="C10783">
            <v>203</v>
          </cell>
          <cell r="D10783">
            <v>3</v>
          </cell>
          <cell r="E10783" t="str">
            <v>Equals: VALUE ADDED, GROSS, at basic prices</v>
          </cell>
          <cell r="F10783">
            <v>12</v>
          </cell>
          <cell r="G10783">
            <v>1981</v>
          </cell>
          <cell r="H10783">
            <v>20</v>
          </cell>
          <cell r="I10783">
            <v>11959000000</v>
          </cell>
        </row>
        <row r="10784">
          <cell r="A10784" t="str">
            <v>Yemen Arab Republic [former]</v>
          </cell>
          <cell r="B10784">
            <v>886</v>
          </cell>
          <cell r="C10784">
            <v>203</v>
          </cell>
          <cell r="D10784">
            <v>3</v>
          </cell>
          <cell r="E10784" t="str">
            <v>Equals: VALUE ADDED, GROSS, at basic prices</v>
          </cell>
          <cell r="F10784">
            <v>12</v>
          </cell>
          <cell r="G10784">
            <v>1982</v>
          </cell>
          <cell r="H10784">
            <v>20</v>
          </cell>
          <cell r="I10784">
            <v>14275000000</v>
          </cell>
        </row>
        <row r="10785">
          <cell r="A10785" t="str">
            <v>Yemen Arab Republic [former]</v>
          </cell>
          <cell r="B10785">
            <v>886</v>
          </cell>
          <cell r="C10785">
            <v>203</v>
          </cell>
          <cell r="D10785">
            <v>3</v>
          </cell>
          <cell r="E10785" t="str">
            <v>Equals: VALUE ADDED, GROSS, at basic prices</v>
          </cell>
          <cell r="F10785">
            <v>12</v>
          </cell>
          <cell r="G10785">
            <v>1983</v>
          </cell>
          <cell r="H10785">
            <v>20</v>
          </cell>
          <cell r="I10785">
            <v>15217000000</v>
          </cell>
        </row>
        <row r="10786">
          <cell r="A10786" t="str">
            <v>Yemen Arab Republic [former]</v>
          </cell>
          <cell r="B10786">
            <v>886</v>
          </cell>
          <cell r="C10786">
            <v>203</v>
          </cell>
          <cell r="D10786">
            <v>3</v>
          </cell>
          <cell r="E10786" t="str">
            <v>Equals: VALUE ADDED, GROSS, at basic prices</v>
          </cell>
          <cell r="F10786">
            <v>12</v>
          </cell>
          <cell r="G10786">
            <v>1984</v>
          </cell>
          <cell r="H10786">
            <v>20</v>
          </cell>
          <cell r="I10786">
            <v>15998000000</v>
          </cell>
        </row>
        <row r="10787">
          <cell r="A10787" t="str">
            <v>Yemen Arab Republic [former]</v>
          </cell>
          <cell r="B10787">
            <v>886</v>
          </cell>
          <cell r="C10787">
            <v>203</v>
          </cell>
          <cell r="D10787">
            <v>3</v>
          </cell>
          <cell r="E10787" t="str">
            <v>Equals: VALUE ADDED, GROSS, at basic prices</v>
          </cell>
          <cell r="F10787">
            <v>12</v>
          </cell>
          <cell r="G10787">
            <v>1985</v>
          </cell>
          <cell r="H10787">
            <v>30</v>
          </cell>
          <cell r="I10787">
            <v>28616000000</v>
          </cell>
        </row>
        <row r="10788">
          <cell r="A10788" t="str">
            <v>Yemen Arab Republic [former]</v>
          </cell>
          <cell r="B10788">
            <v>886</v>
          </cell>
          <cell r="C10788">
            <v>203</v>
          </cell>
          <cell r="D10788">
            <v>3</v>
          </cell>
          <cell r="E10788" t="str">
            <v>Equals: VALUE ADDED, GROSS, at basic prices</v>
          </cell>
          <cell r="F10788">
            <v>12</v>
          </cell>
          <cell r="G10788">
            <v>1986</v>
          </cell>
          <cell r="H10788">
            <v>30</v>
          </cell>
          <cell r="I10788">
            <v>35325000000</v>
          </cell>
        </row>
        <row r="10789">
          <cell r="A10789" t="str">
            <v>Yemen Arab Republic [former]</v>
          </cell>
          <cell r="B10789">
            <v>886</v>
          </cell>
          <cell r="C10789">
            <v>203</v>
          </cell>
          <cell r="D10789">
            <v>4</v>
          </cell>
          <cell r="E10789" t="str">
            <v>Compensation of employees</v>
          </cell>
          <cell r="F10789">
            <v>12</v>
          </cell>
          <cell r="G10789">
            <v>1972</v>
          </cell>
          <cell r="H10789">
            <v>20</v>
          </cell>
          <cell r="I10789">
            <v>495000000</v>
          </cell>
        </row>
        <row r="10790">
          <cell r="A10790" t="str">
            <v>Yemen Arab Republic [former]</v>
          </cell>
          <cell r="B10790">
            <v>886</v>
          </cell>
          <cell r="C10790">
            <v>203</v>
          </cell>
          <cell r="D10790">
            <v>4</v>
          </cell>
          <cell r="E10790" t="str">
            <v>Compensation of employees</v>
          </cell>
          <cell r="F10790">
            <v>12</v>
          </cell>
          <cell r="G10790">
            <v>1973</v>
          </cell>
          <cell r="H10790">
            <v>20</v>
          </cell>
          <cell r="I10790">
            <v>600000000</v>
          </cell>
        </row>
        <row r="10791">
          <cell r="A10791" t="str">
            <v>Yemen Arab Republic [former]</v>
          </cell>
          <cell r="B10791">
            <v>886</v>
          </cell>
          <cell r="C10791">
            <v>203</v>
          </cell>
          <cell r="D10791">
            <v>4</v>
          </cell>
          <cell r="E10791" t="str">
            <v>Compensation of employees</v>
          </cell>
          <cell r="F10791">
            <v>12</v>
          </cell>
          <cell r="G10791">
            <v>1974</v>
          </cell>
          <cell r="H10791">
            <v>20</v>
          </cell>
          <cell r="I10791">
            <v>792000000</v>
          </cell>
        </row>
        <row r="10792">
          <cell r="A10792" t="str">
            <v>Yemen Arab Republic [former]</v>
          </cell>
          <cell r="B10792">
            <v>886</v>
          </cell>
          <cell r="C10792">
            <v>203</v>
          </cell>
          <cell r="D10792">
            <v>4</v>
          </cell>
          <cell r="E10792" t="str">
            <v>Compensation of employees</v>
          </cell>
          <cell r="F10792">
            <v>12</v>
          </cell>
          <cell r="G10792">
            <v>1975</v>
          </cell>
          <cell r="H10792">
            <v>20</v>
          </cell>
          <cell r="I10792">
            <v>1029000000</v>
          </cell>
        </row>
        <row r="10793">
          <cell r="A10793" t="str">
            <v>Yemen Arab Republic [former]</v>
          </cell>
          <cell r="B10793">
            <v>886</v>
          </cell>
          <cell r="C10793">
            <v>203</v>
          </cell>
          <cell r="D10793">
            <v>4</v>
          </cell>
          <cell r="E10793" t="str">
            <v>Compensation of employees</v>
          </cell>
          <cell r="F10793">
            <v>12</v>
          </cell>
          <cell r="G10793">
            <v>1976</v>
          </cell>
          <cell r="H10793">
            <v>20</v>
          </cell>
          <cell r="I10793">
            <v>1284000000</v>
          </cell>
        </row>
        <row r="10794">
          <cell r="A10794" t="str">
            <v>Yemen Arab Republic [former]</v>
          </cell>
          <cell r="B10794">
            <v>886</v>
          </cell>
          <cell r="C10794">
            <v>203</v>
          </cell>
          <cell r="D10794">
            <v>4</v>
          </cell>
          <cell r="E10794" t="str">
            <v>Compensation of employees</v>
          </cell>
          <cell r="F10794">
            <v>12</v>
          </cell>
          <cell r="G10794">
            <v>1977</v>
          </cell>
          <cell r="H10794">
            <v>20</v>
          </cell>
          <cell r="I10794">
            <v>1938000000</v>
          </cell>
        </row>
        <row r="10795">
          <cell r="A10795" t="str">
            <v>Yemen Arab Republic [former]</v>
          </cell>
          <cell r="B10795">
            <v>886</v>
          </cell>
          <cell r="C10795">
            <v>203</v>
          </cell>
          <cell r="D10795">
            <v>4</v>
          </cell>
          <cell r="E10795" t="str">
            <v>Compensation of employees</v>
          </cell>
          <cell r="F10795">
            <v>12</v>
          </cell>
          <cell r="G10795">
            <v>1978</v>
          </cell>
          <cell r="H10795">
            <v>20</v>
          </cell>
          <cell r="I10795">
            <v>2620000000</v>
          </cell>
        </row>
        <row r="10796">
          <cell r="A10796" t="str">
            <v>Yemen Arab Republic [former]</v>
          </cell>
          <cell r="B10796">
            <v>886</v>
          </cell>
          <cell r="C10796">
            <v>203</v>
          </cell>
          <cell r="D10796">
            <v>4</v>
          </cell>
          <cell r="E10796" t="str">
            <v>Compensation of employees</v>
          </cell>
          <cell r="F10796">
            <v>12</v>
          </cell>
          <cell r="G10796">
            <v>1979</v>
          </cell>
          <cell r="H10796">
            <v>20</v>
          </cell>
          <cell r="I10796">
            <v>3094000000</v>
          </cell>
        </row>
        <row r="10797">
          <cell r="A10797" t="str">
            <v>Yemen Arab Republic [former]</v>
          </cell>
          <cell r="B10797">
            <v>886</v>
          </cell>
          <cell r="C10797">
            <v>203</v>
          </cell>
          <cell r="D10797">
            <v>4</v>
          </cell>
          <cell r="E10797" t="str">
            <v>Compensation of employees</v>
          </cell>
          <cell r="F10797">
            <v>12</v>
          </cell>
          <cell r="G10797">
            <v>1980</v>
          </cell>
          <cell r="H10797">
            <v>20</v>
          </cell>
          <cell r="I10797">
            <v>3435000000</v>
          </cell>
        </row>
        <row r="10798">
          <cell r="A10798" t="str">
            <v>Yemen Arab Republic [former]</v>
          </cell>
          <cell r="B10798">
            <v>886</v>
          </cell>
          <cell r="C10798">
            <v>203</v>
          </cell>
          <cell r="D10798">
            <v>4</v>
          </cell>
          <cell r="E10798" t="str">
            <v>Compensation of employees</v>
          </cell>
          <cell r="F10798">
            <v>12</v>
          </cell>
          <cell r="G10798">
            <v>1981</v>
          </cell>
          <cell r="H10798">
            <v>20</v>
          </cell>
          <cell r="I10798">
            <v>3810000000</v>
          </cell>
        </row>
        <row r="10799">
          <cell r="A10799" t="str">
            <v>Yemen Arab Republic [former]</v>
          </cell>
          <cell r="B10799">
            <v>886</v>
          </cell>
          <cell r="C10799">
            <v>203</v>
          </cell>
          <cell r="D10799">
            <v>4</v>
          </cell>
          <cell r="E10799" t="str">
            <v>Compensation of employees</v>
          </cell>
          <cell r="F10799">
            <v>12</v>
          </cell>
          <cell r="G10799">
            <v>1982</v>
          </cell>
          <cell r="H10799">
            <v>20</v>
          </cell>
          <cell r="I10799">
            <v>4465000000</v>
          </cell>
        </row>
        <row r="10800">
          <cell r="A10800" t="str">
            <v>Algeria</v>
          </cell>
          <cell r="B10800">
            <v>12</v>
          </cell>
          <cell r="C10800">
            <v>203</v>
          </cell>
          <cell r="D10800">
            <v>22</v>
          </cell>
          <cell r="E10800" t="str">
            <v>Taxes on production and imports, less Subsidies</v>
          </cell>
          <cell r="F10800">
            <v>12</v>
          </cell>
          <cell r="G10800">
            <v>1989</v>
          </cell>
          <cell r="H10800">
            <v>20</v>
          </cell>
          <cell r="I10800">
            <v>45793400000</v>
          </cell>
        </row>
        <row r="10801">
          <cell r="A10801" t="str">
            <v>Algeria</v>
          </cell>
          <cell r="B10801">
            <v>12</v>
          </cell>
          <cell r="C10801">
            <v>203</v>
          </cell>
          <cell r="D10801">
            <v>22</v>
          </cell>
          <cell r="E10801" t="str">
            <v>Taxes on production and imports, less Subsidies</v>
          </cell>
          <cell r="F10801">
            <v>12</v>
          </cell>
          <cell r="G10801">
            <v>1990</v>
          </cell>
          <cell r="H10801">
            <v>20</v>
          </cell>
          <cell r="I10801">
            <v>61788000000</v>
          </cell>
        </row>
        <row r="10802">
          <cell r="A10802" t="str">
            <v>Algeria</v>
          </cell>
          <cell r="B10802">
            <v>12</v>
          </cell>
          <cell r="C10802">
            <v>203</v>
          </cell>
          <cell r="D10802">
            <v>22</v>
          </cell>
          <cell r="E10802" t="str">
            <v>Taxes on production and imports, less Subsidies</v>
          </cell>
          <cell r="F10802">
            <v>12</v>
          </cell>
          <cell r="G10802">
            <v>1991</v>
          </cell>
          <cell r="H10802">
            <v>20</v>
          </cell>
          <cell r="I10802">
            <v>85748200000</v>
          </cell>
        </row>
        <row r="10803">
          <cell r="A10803" t="str">
            <v>Algeria</v>
          </cell>
          <cell r="B10803">
            <v>12</v>
          </cell>
          <cell r="C10803">
            <v>203</v>
          </cell>
          <cell r="D10803">
            <v>22</v>
          </cell>
          <cell r="E10803" t="str">
            <v>Taxes on production and imports, less Subsidies</v>
          </cell>
          <cell r="F10803">
            <v>12</v>
          </cell>
          <cell r="G10803">
            <v>1992</v>
          </cell>
          <cell r="H10803">
            <v>20</v>
          </cell>
          <cell r="I10803">
            <v>190343000000</v>
          </cell>
        </row>
        <row r="10804">
          <cell r="A10804" t="str">
            <v>Algeria</v>
          </cell>
          <cell r="B10804">
            <v>12</v>
          </cell>
          <cell r="C10804">
            <v>203</v>
          </cell>
          <cell r="D10804">
            <v>22</v>
          </cell>
          <cell r="E10804" t="str">
            <v>Taxes on production and imports, less Subsidies</v>
          </cell>
          <cell r="F10804">
            <v>12</v>
          </cell>
          <cell r="G10804">
            <v>1993</v>
          </cell>
          <cell r="H10804">
            <v>20</v>
          </cell>
          <cell r="I10804">
            <v>200755000000</v>
          </cell>
        </row>
        <row r="10805">
          <cell r="A10805" t="str">
            <v>Algeria</v>
          </cell>
          <cell r="B10805">
            <v>12</v>
          </cell>
          <cell r="C10805">
            <v>203</v>
          </cell>
          <cell r="D10805">
            <v>22</v>
          </cell>
          <cell r="E10805" t="str">
            <v>Taxes on production and imports, less Subsidies</v>
          </cell>
          <cell r="F10805">
            <v>12</v>
          </cell>
          <cell r="G10805">
            <v>1994</v>
          </cell>
          <cell r="H10805">
            <v>20</v>
          </cell>
          <cell r="I10805">
            <v>274498000000</v>
          </cell>
        </row>
        <row r="10806">
          <cell r="A10806" t="str">
            <v>Algeria</v>
          </cell>
          <cell r="B10806">
            <v>12</v>
          </cell>
          <cell r="C10806">
            <v>203</v>
          </cell>
          <cell r="D10806">
            <v>22</v>
          </cell>
          <cell r="E10806" t="str">
            <v>Taxes on production and imports, less Subsidies</v>
          </cell>
          <cell r="F10806">
            <v>12</v>
          </cell>
          <cell r="G10806">
            <v>1995</v>
          </cell>
          <cell r="H10806">
            <v>20</v>
          </cell>
          <cell r="I10806">
            <v>387705000000</v>
          </cell>
        </row>
        <row r="10807">
          <cell r="A10807" t="str">
            <v>Algeria</v>
          </cell>
          <cell r="B10807">
            <v>12</v>
          </cell>
          <cell r="C10807">
            <v>203</v>
          </cell>
          <cell r="D10807">
            <v>22</v>
          </cell>
          <cell r="E10807" t="str">
            <v>Taxes on production and imports, less Subsidies</v>
          </cell>
          <cell r="F10807">
            <v>12</v>
          </cell>
          <cell r="G10807">
            <v>1996</v>
          </cell>
          <cell r="H10807">
            <v>20</v>
          </cell>
          <cell r="I10807">
            <v>500123000000</v>
          </cell>
        </row>
        <row r="10808">
          <cell r="A10808" t="str">
            <v>Algeria</v>
          </cell>
          <cell r="B10808">
            <v>12</v>
          </cell>
          <cell r="C10808">
            <v>203</v>
          </cell>
          <cell r="D10808">
            <v>22</v>
          </cell>
          <cell r="E10808" t="str">
            <v>Taxes on production and imports, less Subsidies</v>
          </cell>
          <cell r="F10808">
            <v>12</v>
          </cell>
          <cell r="G10808">
            <v>1997</v>
          </cell>
          <cell r="H10808">
            <v>20</v>
          </cell>
          <cell r="I10808">
            <v>527917000000</v>
          </cell>
        </row>
        <row r="10809">
          <cell r="A10809" t="str">
            <v>Algeria</v>
          </cell>
          <cell r="B10809">
            <v>12</v>
          </cell>
          <cell r="C10809">
            <v>203</v>
          </cell>
          <cell r="D10809">
            <v>22</v>
          </cell>
          <cell r="E10809" t="str">
            <v>Taxes on production and imports, less Subsidies</v>
          </cell>
          <cell r="F10809">
            <v>12</v>
          </cell>
          <cell r="G10809">
            <v>1998</v>
          </cell>
          <cell r="H10809">
            <v>20</v>
          </cell>
          <cell r="I10809">
            <v>508907000000</v>
          </cell>
        </row>
        <row r="10810">
          <cell r="A10810" t="str">
            <v>Algeria</v>
          </cell>
          <cell r="B10810">
            <v>12</v>
          </cell>
          <cell r="C10810">
            <v>203</v>
          </cell>
          <cell r="D10810">
            <v>22</v>
          </cell>
          <cell r="E10810" t="str">
            <v>Taxes on production and imports, less Subsidies</v>
          </cell>
          <cell r="F10810">
            <v>12</v>
          </cell>
          <cell r="G10810">
            <v>1999</v>
          </cell>
          <cell r="H10810">
            <v>20</v>
          </cell>
          <cell r="I10810">
            <v>557456000000</v>
          </cell>
        </row>
        <row r="10811">
          <cell r="A10811" t="str">
            <v>Algeria</v>
          </cell>
          <cell r="B10811">
            <v>12</v>
          </cell>
          <cell r="C10811">
            <v>203</v>
          </cell>
          <cell r="D10811">
            <v>22</v>
          </cell>
          <cell r="E10811" t="str">
            <v>Taxes on production and imports, less Subsidies</v>
          </cell>
          <cell r="F10811">
            <v>12</v>
          </cell>
          <cell r="G10811">
            <v>2000</v>
          </cell>
          <cell r="H10811">
            <v>20</v>
          </cell>
          <cell r="I10811">
            <v>739447000000</v>
          </cell>
        </row>
        <row r="10812">
          <cell r="A10812" t="str">
            <v>Algeria</v>
          </cell>
          <cell r="B10812">
            <v>12</v>
          </cell>
          <cell r="C10812">
            <v>203</v>
          </cell>
          <cell r="D10812">
            <v>22</v>
          </cell>
          <cell r="E10812" t="str">
            <v>Taxes on production and imports, less Subsidies</v>
          </cell>
          <cell r="F10812">
            <v>12</v>
          </cell>
          <cell r="G10812">
            <v>2001</v>
          </cell>
          <cell r="H10812">
            <v>20</v>
          </cell>
          <cell r="I10812">
            <v>744659000000</v>
          </cell>
        </row>
        <row r="10813">
          <cell r="A10813" t="str">
            <v>Algeria</v>
          </cell>
          <cell r="B10813">
            <v>12</v>
          </cell>
          <cell r="C10813">
            <v>203</v>
          </cell>
          <cell r="D10813">
            <v>22</v>
          </cell>
          <cell r="E10813" t="str">
            <v>Taxes on production and imports, less Subsidies</v>
          </cell>
          <cell r="F10813">
            <v>12</v>
          </cell>
          <cell r="G10813">
            <v>2002</v>
          </cell>
          <cell r="H10813">
            <v>20</v>
          </cell>
          <cell r="I10813">
            <v>832663000000</v>
          </cell>
        </row>
        <row r="10814">
          <cell r="A10814" t="str">
            <v>Antigua and Barbuda</v>
          </cell>
          <cell r="B10814">
            <v>28</v>
          </cell>
          <cell r="C10814">
            <v>201</v>
          </cell>
          <cell r="D10814">
            <v>13</v>
          </cell>
          <cell r="E10814" t="str">
            <v>Less: Financial intermediation services indirectly measured (FISIM) (only to be deducted if FISIM is not distributed to uses)</v>
          </cell>
          <cell r="F10814">
            <v>0</v>
          </cell>
          <cell r="G10814">
            <v>1973</v>
          </cell>
          <cell r="H10814">
            <v>10</v>
          </cell>
          <cell r="I10814">
            <v>4100000</v>
          </cell>
        </row>
        <row r="10815">
          <cell r="A10815" t="str">
            <v>Antigua and Barbuda</v>
          </cell>
          <cell r="B10815">
            <v>28</v>
          </cell>
          <cell r="C10815">
            <v>201</v>
          </cell>
          <cell r="D10815">
            <v>13</v>
          </cell>
          <cell r="E10815" t="str">
            <v>Less: Financial intermediation services indirectly measured (FISIM) (only to be deducted if FISIM is not distributed to uses)</v>
          </cell>
          <cell r="F10815">
            <v>0</v>
          </cell>
          <cell r="G10815">
            <v>1974</v>
          </cell>
          <cell r="H10815">
            <v>10</v>
          </cell>
          <cell r="I10815">
            <v>3800000</v>
          </cell>
        </row>
        <row r="10816">
          <cell r="A10816" t="str">
            <v>Antigua and Barbuda</v>
          </cell>
          <cell r="B10816">
            <v>28</v>
          </cell>
          <cell r="C10816">
            <v>201</v>
          </cell>
          <cell r="D10816">
            <v>13</v>
          </cell>
          <cell r="E10816" t="str">
            <v>Less: Financial intermediation services indirectly measured (FISIM) (only to be deducted if FISIM is not distributed to uses)</v>
          </cell>
          <cell r="F10816">
            <v>0</v>
          </cell>
          <cell r="G10816">
            <v>1975</v>
          </cell>
          <cell r="H10816">
            <v>10</v>
          </cell>
          <cell r="I10816">
            <v>3700000</v>
          </cell>
        </row>
        <row r="10817">
          <cell r="A10817" t="str">
            <v>Antigua and Barbuda</v>
          </cell>
          <cell r="B10817">
            <v>28</v>
          </cell>
          <cell r="C10817">
            <v>201</v>
          </cell>
          <cell r="D10817">
            <v>13</v>
          </cell>
          <cell r="E10817" t="str">
            <v>Less: Financial intermediation services indirectly measured (FISIM) (only to be deducted if FISIM is not distributed to uses)</v>
          </cell>
          <cell r="F10817">
            <v>0</v>
          </cell>
          <cell r="G10817">
            <v>1976</v>
          </cell>
          <cell r="H10817">
            <v>10</v>
          </cell>
          <cell r="I10817">
            <v>5000000</v>
          </cell>
        </row>
        <row r="10818">
          <cell r="A10818" t="str">
            <v>Antigua and Barbuda</v>
          </cell>
          <cell r="B10818">
            <v>28</v>
          </cell>
          <cell r="C10818">
            <v>201</v>
          </cell>
          <cell r="D10818">
            <v>13</v>
          </cell>
          <cell r="E10818" t="str">
            <v>Less: Financial intermediation services indirectly measured (FISIM) (only to be deducted if FISIM is not distributed to uses)</v>
          </cell>
          <cell r="F10818">
            <v>0</v>
          </cell>
          <cell r="G10818">
            <v>1977</v>
          </cell>
          <cell r="H10818">
            <v>10</v>
          </cell>
          <cell r="I10818">
            <v>6600000</v>
          </cell>
        </row>
        <row r="10819">
          <cell r="A10819" t="str">
            <v>Antigua and Barbuda</v>
          </cell>
          <cell r="B10819">
            <v>28</v>
          </cell>
          <cell r="C10819">
            <v>201</v>
          </cell>
          <cell r="D10819">
            <v>13</v>
          </cell>
          <cell r="E10819" t="str">
            <v>Less: Financial intermediation services indirectly measured (FISIM) (only to be deducted if FISIM is not distributed to uses)</v>
          </cell>
          <cell r="F10819">
            <v>0</v>
          </cell>
          <cell r="G10819">
            <v>1977</v>
          </cell>
          <cell r="H10819">
            <v>20</v>
          </cell>
          <cell r="I10819">
            <v>6600000</v>
          </cell>
        </row>
        <row r="10820">
          <cell r="A10820" t="str">
            <v>Antigua and Barbuda</v>
          </cell>
          <cell r="B10820">
            <v>28</v>
          </cell>
          <cell r="C10820">
            <v>201</v>
          </cell>
          <cell r="D10820">
            <v>13</v>
          </cell>
          <cell r="E10820" t="str">
            <v>Less: Financial intermediation services indirectly measured (FISIM) (only to be deducted if FISIM is not distributed to uses)</v>
          </cell>
          <cell r="F10820">
            <v>0</v>
          </cell>
          <cell r="G10820">
            <v>1978</v>
          </cell>
          <cell r="H10820">
            <v>20</v>
          </cell>
          <cell r="I10820">
            <v>7100000</v>
          </cell>
        </row>
        <row r="10821">
          <cell r="A10821" t="str">
            <v>Antigua and Barbuda</v>
          </cell>
          <cell r="B10821">
            <v>28</v>
          </cell>
          <cell r="C10821">
            <v>201</v>
          </cell>
          <cell r="D10821">
            <v>13</v>
          </cell>
          <cell r="E10821" t="str">
            <v>Less: Financial intermediation services indirectly measured (FISIM) (only to be deducted if FISIM is not distributed to uses)</v>
          </cell>
          <cell r="F10821">
            <v>0</v>
          </cell>
          <cell r="G10821">
            <v>1979</v>
          </cell>
          <cell r="H10821">
            <v>20</v>
          </cell>
          <cell r="I10821">
            <v>8800000</v>
          </cell>
        </row>
        <row r="10822">
          <cell r="A10822" t="str">
            <v>Antigua and Barbuda</v>
          </cell>
          <cell r="B10822">
            <v>28</v>
          </cell>
          <cell r="C10822">
            <v>201</v>
          </cell>
          <cell r="D10822">
            <v>13</v>
          </cell>
          <cell r="E10822" t="str">
            <v>Less: Financial intermediation services indirectly measured (FISIM) (only to be deducted if FISIM is not distributed to uses)</v>
          </cell>
          <cell r="F10822">
            <v>0</v>
          </cell>
          <cell r="G10822">
            <v>1980</v>
          </cell>
          <cell r="H10822">
            <v>20</v>
          </cell>
          <cell r="I10822">
            <v>10300000</v>
          </cell>
        </row>
        <row r="10823">
          <cell r="A10823" t="str">
            <v>Antigua and Barbuda</v>
          </cell>
          <cell r="B10823">
            <v>28</v>
          </cell>
          <cell r="C10823">
            <v>201</v>
          </cell>
          <cell r="D10823">
            <v>13</v>
          </cell>
          <cell r="E10823" t="str">
            <v>Less: Financial intermediation services indirectly measured (FISIM) (only to be deducted if FISIM is not distributed to uses)</v>
          </cell>
          <cell r="F10823">
            <v>0</v>
          </cell>
          <cell r="G10823">
            <v>1981</v>
          </cell>
          <cell r="H10823">
            <v>20</v>
          </cell>
          <cell r="I10823">
            <v>13100000</v>
          </cell>
        </row>
        <row r="10824">
          <cell r="A10824" t="str">
            <v>Antigua and Barbuda</v>
          </cell>
          <cell r="B10824">
            <v>28</v>
          </cell>
          <cell r="C10824">
            <v>201</v>
          </cell>
          <cell r="D10824">
            <v>13</v>
          </cell>
          <cell r="E10824" t="str">
            <v>Less: Financial intermediation services indirectly measured (FISIM) (only to be deducted if FISIM is not distributed to uses)</v>
          </cell>
          <cell r="F10824">
            <v>0</v>
          </cell>
          <cell r="G10824">
            <v>1982</v>
          </cell>
          <cell r="H10824">
            <v>20</v>
          </cell>
          <cell r="I10824">
            <v>16900000</v>
          </cell>
        </row>
        <row r="10825">
          <cell r="A10825" t="str">
            <v>Antigua and Barbuda</v>
          </cell>
          <cell r="B10825">
            <v>28</v>
          </cell>
          <cell r="C10825">
            <v>201</v>
          </cell>
          <cell r="D10825">
            <v>13</v>
          </cell>
          <cell r="E10825" t="str">
            <v>Less: Financial intermediation services indirectly measured (FISIM) (only to be deducted if FISIM is not distributed to uses)</v>
          </cell>
          <cell r="F10825">
            <v>0</v>
          </cell>
          <cell r="G10825">
            <v>1983</v>
          </cell>
          <cell r="H10825">
            <v>20</v>
          </cell>
          <cell r="I10825">
            <v>17000000</v>
          </cell>
        </row>
        <row r="10826">
          <cell r="A10826" t="str">
            <v>Antigua and Barbuda</v>
          </cell>
          <cell r="B10826">
            <v>28</v>
          </cell>
          <cell r="C10826">
            <v>201</v>
          </cell>
          <cell r="D10826">
            <v>13</v>
          </cell>
          <cell r="E10826" t="str">
            <v>Less: Financial intermediation services indirectly measured (FISIM) (only to be deducted if FISIM is not distributed to uses)</v>
          </cell>
          <cell r="F10826">
            <v>0</v>
          </cell>
          <cell r="G10826">
            <v>1984</v>
          </cell>
          <cell r="H10826">
            <v>20</v>
          </cell>
          <cell r="I10826">
            <v>21900000</v>
          </cell>
        </row>
        <row r="10827">
          <cell r="A10827" t="str">
            <v>Antigua and Barbuda</v>
          </cell>
          <cell r="B10827">
            <v>28</v>
          </cell>
          <cell r="C10827">
            <v>201</v>
          </cell>
          <cell r="D10827">
            <v>13</v>
          </cell>
          <cell r="E10827" t="str">
            <v>Less: Financial intermediation services indirectly measured (FISIM) (only to be deducted if FISIM is not distributed to uses)</v>
          </cell>
          <cell r="F10827">
            <v>0</v>
          </cell>
          <cell r="G10827">
            <v>1985</v>
          </cell>
          <cell r="H10827">
            <v>20</v>
          </cell>
          <cell r="I10827">
            <v>26100000</v>
          </cell>
        </row>
        <row r="10828">
          <cell r="A10828" t="str">
            <v>Antigua and Barbuda</v>
          </cell>
          <cell r="B10828">
            <v>28</v>
          </cell>
          <cell r="C10828">
            <v>201</v>
          </cell>
          <cell r="D10828">
            <v>13</v>
          </cell>
          <cell r="E10828" t="str">
            <v>Less: Financial intermediation services indirectly measured (FISIM) (only to be deducted if FISIM is not distributed to uses)</v>
          </cell>
          <cell r="F10828">
            <v>0</v>
          </cell>
          <cell r="G10828">
            <v>1986</v>
          </cell>
          <cell r="H10828">
            <v>20</v>
          </cell>
          <cell r="I10828">
            <v>30000000</v>
          </cell>
        </row>
        <row r="10829">
          <cell r="A10829" t="str">
            <v>Antigua and Barbuda</v>
          </cell>
          <cell r="B10829">
            <v>28</v>
          </cell>
          <cell r="C10829">
            <v>201</v>
          </cell>
          <cell r="D10829">
            <v>13</v>
          </cell>
          <cell r="E10829" t="str">
            <v>Less: Financial intermediation services indirectly measured (FISIM) (only to be deducted if FISIM is not distributed to uses)</v>
          </cell>
          <cell r="F10829">
            <v>0</v>
          </cell>
          <cell r="G10829">
            <v>1987</v>
          </cell>
          <cell r="H10829">
            <v>20</v>
          </cell>
          <cell r="I10829">
            <v>32700000</v>
          </cell>
        </row>
        <row r="10830">
          <cell r="A10830" t="str">
            <v>Antigua and Barbuda</v>
          </cell>
          <cell r="B10830">
            <v>28</v>
          </cell>
          <cell r="C10830">
            <v>201</v>
          </cell>
          <cell r="D10830">
            <v>13</v>
          </cell>
          <cell r="E10830" t="str">
            <v>Less: Financial intermediation services indirectly measured (FISIM) (only to be deducted if FISIM is not distributed to uses)</v>
          </cell>
          <cell r="F10830">
            <v>0</v>
          </cell>
          <cell r="G10830">
            <v>1988</v>
          </cell>
          <cell r="H10830">
            <v>20</v>
          </cell>
          <cell r="I10830">
            <v>35800000</v>
          </cell>
        </row>
        <row r="10831">
          <cell r="A10831" t="str">
            <v>Australia</v>
          </cell>
          <cell r="B10831">
            <v>36</v>
          </cell>
          <cell r="C10831">
            <v>201</v>
          </cell>
          <cell r="D10831">
            <v>13</v>
          </cell>
          <cell r="E10831" t="str">
            <v>Less: Financial intermediation services indirectly measured (FISIM) (only to be deducted if FISIM is not distributed to uses)</v>
          </cell>
          <cell r="F10831">
            <v>0</v>
          </cell>
          <cell r="G10831">
            <v>1959</v>
          </cell>
          <cell r="H10831">
            <v>10</v>
          </cell>
          <cell r="I10831">
            <v>283000000</v>
          </cell>
        </row>
        <row r="10832">
          <cell r="A10832" t="str">
            <v>Australia</v>
          </cell>
          <cell r="B10832">
            <v>36</v>
          </cell>
          <cell r="C10832">
            <v>201</v>
          </cell>
          <cell r="D10832">
            <v>13</v>
          </cell>
          <cell r="E10832" t="str">
            <v>Less: Financial intermediation services indirectly measured (FISIM) (only to be deducted if FISIM is not distributed to uses)</v>
          </cell>
          <cell r="F10832">
            <v>0</v>
          </cell>
          <cell r="G10832">
            <v>1960</v>
          </cell>
          <cell r="H10832">
            <v>10</v>
          </cell>
          <cell r="I10832">
            <v>317000000</v>
          </cell>
        </row>
        <row r="10833">
          <cell r="A10833" t="str">
            <v>Australia</v>
          </cell>
          <cell r="B10833">
            <v>36</v>
          </cell>
          <cell r="C10833">
            <v>201</v>
          </cell>
          <cell r="D10833">
            <v>13</v>
          </cell>
          <cell r="E10833" t="str">
            <v>Less: Financial intermediation services indirectly measured (FISIM) (only to be deducted if FISIM is not distributed to uses)</v>
          </cell>
          <cell r="F10833">
            <v>0</v>
          </cell>
          <cell r="G10833">
            <v>1961</v>
          </cell>
          <cell r="H10833">
            <v>10</v>
          </cell>
          <cell r="I10833">
            <v>332000000</v>
          </cell>
        </row>
        <row r="10834">
          <cell r="A10834" t="str">
            <v>Australia</v>
          </cell>
          <cell r="B10834">
            <v>36</v>
          </cell>
          <cell r="C10834">
            <v>201</v>
          </cell>
          <cell r="D10834">
            <v>13</v>
          </cell>
          <cell r="E10834" t="str">
            <v>Less: Financial intermediation services indirectly measured (FISIM) (only to be deducted if FISIM is not distributed to uses)</v>
          </cell>
          <cell r="F10834">
            <v>0</v>
          </cell>
          <cell r="G10834">
            <v>1962</v>
          </cell>
          <cell r="H10834">
            <v>10</v>
          </cell>
          <cell r="I10834">
            <v>344000000</v>
          </cell>
        </row>
        <row r="10835">
          <cell r="A10835" t="str">
            <v>Australia</v>
          </cell>
          <cell r="B10835">
            <v>36</v>
          </cell>
          <cell r="C10835">
            <v>201</v>
          </cell>
          <cell r="D10835">
            <v>13</v>
          </cell>
          <cell r="E10835" t="str">
            <v>Less: Financial intermediation services indirectly measured (FISIM) (only to be deducted if FISIM is not distributed to uses)</v>
          </cell>
          <cell r="F10835">
            <v>0</v>
          </cell>
          <cell r="G10835">
            <v>1963</v>
          </cell>
          <cell r="H10835">
            <v>10</v>
          </cell>
          <cell r="I10835">
            <v>387000000</v>
          </cell>
        </row>
        <row r="10836">
          <cell r="A10836" t="str">
            <v>Australia</v>
          </cell>
          <cell r="B10836">
            <v>36</v>
          </cell>
          <cell r="C10836">
            <v>201</v>
          </cell>
          <cell r="D10836">
            <v>13</v>
          </cell>
          <cell r="E10836" t="str">
            <v>Less: Financial intermediation services indirectly measured (FISIM) (only to be deducted if FISIM is not distributed to uses)</v>
          </cell>
          <cell r="F10836">
            <v>0</v>
          </cell>
          <cell r="G10836">
            <v>1964</v>
          </cell>
          <cell r="H10836">
            <v>10</v>
          </cell>
          <cell r="I10836">
            <v>433000000</v>
          </cell>
        </row>
        <row r="10837">
          <cell r="A10837" t="str">
            <v>Australia</v>
          </cell>
          <cell r="B10837">
            <v>36</v>
          </cell>
          <cell r="C10837">
            <v>201</v>
          </cell>
          <cell r="D10837">
            <v>13</v>
          </cell>
          <cell r="E10837" t="str">
            <v>Less: Financial intermediation services indirectly measured (FISIM) (only to be deducted if FISIM is not distributed to uses)</v>
          </cell>
          <cell r="F10837">
            <v>0</v>
          </cell>
          <cell r="G10837">
            <v>1965</v>
          </cell>
          <cell r="H10837">
            <v>10</v>
          </cell>
          <cell r="I10837">
            <v>458000000</v>
          </cell>
        </row>
        <row r="10838">
          <cell r="A10838" t="str">
            <v>Australia</v>
          </cell>
          <cell r="B10838">
            <v>36</v>
          </cell>
          <cell r="C10838">
            <v>201</v>
          </cell>
          <cell r="D10838">
            <v>13</v>
          </cell>
          <cell r="E10838" t="str">
            <v>Less: Financial intermediation services indirectly measured (FISIM) (only to be deducted if FISIM is not distributed to uses)</v>
          </cell>
          <cell r="F10838">
            <v>0</v>
          </cell>
          <cell r="G10838">
            <v>1966</v>
          </cell>
          <cell r="H10838">
            <v>10</v>
          </cell>
          <cell r="I10838">
            <v>508000000</v>
          </cell>
        </row>
        <row r="10839">
          <cell r="A10839" t="str">
            <v>Australia</v>
          </cell>
          <cell r="B10839">
            <v>36</v>
          </cell>
          <cell r="C10839">
            <v>201</v>
          </cell>
          <cell r="D10839">
            <v>13</v>
          </cell>
          <cell r="E10839" t="str">
            <v>Less: Financial intermediation services indirectly measured (FISIM) (only to be deducted if FISIM is not distributed to uses)</v>
          </cell>
          <cell r="F10839">
            <v>0</v>
          </cell>
          <cell r="G10839">
            <v>1967</v>
          </cell>
          <cell r="H10839">
            <v>10</v>
          </cell>
          <cell r="I10839">
            <v>557000000</v>
          </cell>
        </row>
        <row r="10840">
          <cell r="A10840" t="str">
            <v>Australia</v>
          </cell>
          <cell r="B10840">
            <v>36</v>
          </cell>
          <cell r="C10840">
            <v>201</v>
          </cell>
          <cell r="D10840">
            <v>13</v>
          </cell>
          <cell r="E10840" t="str">
            <v>Less: Financial intermediation services indirectly measured (FISIM) (only to be deducted if FISIM is not distributed to uses)</v>
          </cell>
          <cell r="F10840">
            <v>0</v>
          </cell>
          <cell r="G10840">
            <v>1968</v>
          </cell>
          <cell r="H10840">
            <v>10</v>
          </cell>
          <cell r="I10840">
            <v>628000000</v>
          </cell>
        </row>
        <row r="10841">
          <cell r="A10841" t="str">
            <v>Australia</v>
          </cell>
          <cell r="B10841">
            <v>36</v>
          </cell>
          <cell r="C10841">
            <v>201</v>
          </cell>
          <cell r="D10841">
            <v>13</v>
          </cell>
          <cell r="E10841" t="str">
            <v>Less: Financial intermediation services indirectly measured (FISIM) (only to be deducted if FISIM is not distributed to uses)</v>
          </cell>
          <cell r="F10841">
            <v>0</v>
          </cell>
          <cell r="G10841">
            <v>1969</v>
          </cell>
          <cell r="H10841">
            <v>10</v>
          </cell>
          <cell r="I10841">
            <v>735000000</v>
          </cell>
        </row>
        <row r="10842">
          <cell r="A10842" t="str">
            <v>Australia</v>
          </cell>
          <cell r="B10842">
            <v>36</v>
          </cell>
          <cell r="C10842">
            <v>201</v>
          </cell>
          <cell r="D10842">
            <v>13</v>
          </cell>
          <cell r="E10842" t="str">
            <v>Less: Financial intermediation services indirectly measured (FISIM) (only to be deducted if FISIM is not distributed to uses)</v>
          </cell>
          <cell r="F10842">
            <v>0</v>
          </cell>
          <cell r="G10842">
            <v>1970</v>
          </cell>
          <cell r="H10842">
            <v>10</v>
          </cell>
          <cell r="I10842">
            <v>833000000</v>
          </cell>
        </row>
        <row r="10843">
          <cell r="A10843" t="str">
            <v>Australia</v>
          </cell>
          <cell r="B10843">
            <v>36</v>
          </cell>
          <cell r="C10843">
            <v>203</v>
          </cell>
          <cell r="D10843">
            <v>3</v>
          </cell>
          <cell r="E10843" t="str">
            <v>Equals: VALUE ADDED, GROSS, at basic prices</v>
          </cell>
          <cell r="F10843">
            <v>12</v>
          </cell>
          <cell r="G10843">
            <v>1970</v>
          </cell>
          <cell r="H10843">
            <v>100</v>
          </cell>
          <cell r="I10843">
            <v>33413900000</v>
          </cell>
        </row>
        <row r="10844">
          <cell r="A10844" t="str">
            <v>Australia</v>
          </cell>
          <cell r="B10844">
            <v>36</v>
          </cell>
          <cell r="C10844">
            <v>203</v>
          </cell>
          <cell r="D10844">
            <v>3</v>
          </cell>
          <cell r="E10844" t="str">
            <v>Equals: VALUE ADDED, GROSS, at basic prices</v>
          </cell>
          <cell r="F10844">
            <v>12</v>
          </cell>
          <cell r="G10844">
            <v>1971</v>
          </cell>
          <cell r="H10844">
            <v>100</v>
          </cell>
          <cell r="I10844">
            <v>37438300000</v>
          </cell>
        </row>
        <row r="10845">
          <cell r="A10845" t="str">
            <v>Australia</v>
          </cell>
          <cell r="B10845">
            <v>36</v>
          </cell>
          <cell r="C10845">
            <v>203</v>
          </cell>
          <cell r="D10845">
            <v>3</v>
          </cell>
          <cell r="E10845" t="str">
            <v>Equals: VALUE ADDED, GROSS, at basic prices</v>
          </cell>
          <cell r="F10845">
            <v>12</v>
          </cell>
          <cell r="G10845">
            <v>1972</v>
          </cell>
          <cell r="H10845">
            <v>100</v>
          </cell>
          <cell r="I10845">
            <v>42704800000</v>
          </cell>
        </row>
        <row r="10846">
          <cell r="A10846" t="str">
            <v>Australia</v>
          </cell>
          <cell r="B10846">
            <v>36</v>
          </cell>
          <cell r="C10846">
            <v>203</v>
          </cell>
          <cell r="D10846">
            <v>3</v>
          </cell>
          <cell r="E10846" t="str">
            <v>Equals: VALUE ADDED, GROSS, at basic prices</v>
          </cell>
          <cell r="F10846">
            <v>12</v>
          </cell>
          <cell r="G10846">
            <v>1973</v>
          </cell>
          <cell r="H10846">
            <v>100</v>
          </cell>
          <cell r="I10846">
            <v>51122900000</v>
          </cell>
        </row>
        <row r="10847">
          <cell r="A10847" t="str">
            <v>Australia</v>
          </cell>
          <cell r="B10847">
            <v>36</v>
          </cell>
          <cell r="C10847">
            <v>203</v>
          </cell>
          <cell r="D10847">
            <v>3</v>
          </cell>
          <cell r="E10847" t="str">
            <v>Equals: VALUE ADDED, GROSS, at basic prices</v>
          </cell>
          <cell r="F10847">
            <v>12</v>
          </cell>
          <cell r="G10847">
            <v>1974</v>
          </cell>
          <cell r="H10847">
            <v>100</v>
          </cell>
          <cell r="I10847">
            <v>61644300000</v>
          </cell>
        </row>
        <row r="10848">
          <cell r="A10848" t="str">
            <v>Australia</v>
          </cell>
          <cell r="B10848">
            <v>36</v>
          </cell>
          <cell r="C10848">
            <v>203</v>
          </cell>
          <cell r="D10848">
            <v>3</v>
          </cell>
          <cell r="E10848" t="str">
            <v>Equals: VALUE ADDED, GROSS, at basic prices</v>
          </cell>
          <cell r="F10848">
            <v>12</v>
          </cell>
          <cell r="G10848">
            <v>1975</v>
          </cell>
          <cell r="H10848">
            <v>100</v>
          </cell>
          <cell r="I10848">
            <v>72973900000</v>
          </cell>
        </row>
        <row r="10849">
          <cell r="A10849" t="str">
            <v>Australia</v>
          </cell>
          <cell r="B10849">
            <v>36</v>
          </cell>
          <cell r="C10849">
            <v>203</v>
          </cell>
          <cell r="D10849">
            <v>3</v>
          </cell>
          <cell r="E10849" t="str">
            <v>Equals: VALUE ADDED, GROSS, at basic prices</v>
          </cell>
          <cell r="F10849">
            <v>12</v>
          </cell>
          <cell r="G10849">
            <v>1976</v>
          </cell>
          <cell r="H10849">
            <v>100</v>
          </cell>
          <cell r="I10849">
            <v>83363200000</v>
          </cell>
        </row>
        <row r="10850">
          <cell r="A10850" t="str">
            <v>Australia</v>
          </cell>
          <cell r="B10850">
            <v>36</v>
          </cell>
          <cell r="C10850">
            <v>203</v>
          </cell>
          <cell r="D10850">
            <v>3</v>
          </cell>
          <cell r="E10850" t="str">
            <v>Equals: VALUE ADDED, GROSS, at basic prices</v>
          </cell>
          <cell r="F10850">
            <v>12</v>
          </cell>
          <cell r="G10850">
            <v>1977</v>
          </cell>
          <cell r="H10850">
            <v>100</v>
          </cell>
          <cell r="I10850">
            <v>90821700000</v>
          </cell>
        </row>
        <row r="10851">
          <cell r="A10851" t="str">
            <v>Australia</v>
          </cell>
          <cell r="B10851">
            <v>36</v>
          </cell>
          <cell r="C10851">
            <v>203</v>
          </cell>
          <cell r="D10851">
            <v>3</v>
          </cell>
          <cell r="E10851" t="str">
            <v>Equals: VALUE ADDED, GROSS, at basic prices</v>
          </cell>
          <cell r="F10851">
            <v>12</v>
          </cell>
          <cell r="G10851">
            <v>1978</v>
          </cell>
          <cell r="H10851">
            <v>100</v>
          </cell>
          <cell r="I10851">
            <v>103281500000</v>
          </cell>
        </row>
        <row r="10852">
          <cell r="A10852" t="str">
            <v>Australia</v>
          </cell>
          <cell r="B10852">
            <v>36</v>
          </cell>
          <cell r="C10852">
            <v>203</v>
          </cell>
          <cell r="D10852">
            <v>3</v>
          </cell>
          <cell r="E10852" t="str">
            <v>Equals: VALUE ADDED, GROSS, at basic prices</v>
          </cell>
          <cell r="F10852">
            <v>12</v>
          </cell>
          <cell r="G10852">
            <v>1979</v>
          </cell>
          <cell r="H10852">
            <v>100</v>
          </cell>
          <cell r="I10852">
            <v>117409700000</v>
          </cell>
        </row>
        <row r="10853">
          <cell r="A10853" t="str">
            <v>Australia</v>
          </cell>
          <cell r="B10853">
            <v>36</v>
          </cell>
          <cell r="C10853">
            <v>203</v>
          </cell>
          <cell r="D10853">
            <v>3</v>
          </cell>
          <cell r="E10853" t="str">
            <v>Equals: VALUE ADDED, GROSS, at basic prices</v>
          </cell>
          <cell r="F10853">
            <v>12</v>
          </cell>
          <cell r="G10853">
            <v>1980</v>
          </cell>
          <cell r="H10853">
            <v>100</v>
          </cell>
          <cell r="I10853">
            <v>133871000000</v>
          </cell>
        </row>
        <row r="10854">
          <cell r="A10854" t="str">
            <v>Australia</v>
          </cell>
          <cell r="B10854">
            <v>36</v>
          </cell>
          <cell r="C10854">
            <v>203</v>
          </cell>
          <cell r="D10854">
            <v>3</v>
          </cell>
          <cell r="E10854" t="str">
            <v>Equals: VALUE ADDED, GROSS, at basic prices</v>
          </cell>
          <cell r="F10854">
            <v>12</v>
          </cell>
          <cell r="G10854">
            <v>1981</v>
          </cell>
          <cell r="H10854">
            <v>100</v>
          </cell>
          <cell r="I10854">
            <v>151082000000</v>
          </cell>
        </row>
        <row r="10855">
          <cell r="A10855" t="str">
            <v>Australia</v>
          </cell>
          <cell r="B10855">
            <v>36</v>
          </cell>
          <cell r="C10855">
            <v>203</v>
          </cell>
          <cell r="D10855">
            <v>3</v>
          </cell>
          <cell r="E10855" t="str">
            <v>Equals: VALUE ADDED, GROSS, at basic prices</v>
          </cell>
          <cell r="F10855">
            <v>12</v>
          </cell>
          <cell r="G10855">
            <v>1982</v>
          </cell>
          <cell r="H10855">
            <v>100</v>
          </cell>
          <cell r="I10855">
            <v>164369000000</v>
          </cell>
        </row>
        <row r="10856">
          <cell r="A10856" t="str">
            <v>Australia</v>
          </cell>
          <cell r="B10856">
            <v>36</v>
          </cell>
          <cell r="C10856">
            <v>203</v>
          </cell>
          <cell r="D10856">
            <v>3</v>
          </cell>
          <cell r="E10856" t="str">
            <v>Equals: VALUE ADDED, GROSS, at basic prices</v>
          </cell>
          <cell r="F10856">
            <v>12</v>
          </cell>
          <cell r="G10856">
            <v>1983</v>
          </cell>
          <cell r="H10856">
            <v>100</v>
          </cell>
          <cell r="I10856">
            <v>186609000000</v>
          </cell>
        </row>
        <row r="10857">
          <cell r="A10857" t="str">
            <v>Australia</v>
          </cell>
          <cell r="B10857">
            <v>36</v>
          </cell>
          <cell r="C10857">
            <v>203</v>
          </cell>
          <cell r="D10857">
            <v>3</v>
          </cell>
          <cell r="E10857" t="str">
            <v>Equals: VALUE ADDED, GROSS, at basic prices</v>
          </cell>
          <cell r="F10857">
            <v>12</v>
          </cell>
          <cell r="G10857">
            <v>1984</v>
          </cell>
          <cell r="H10857">
            <v>100</v>
          </cell>
          <cell r="I10857">
            <v>206573000000</v>
          </cell>
        </row>
        <row r="10858">
          <cell r="A10858" t="str">
            <v>Australia</v>
          </cell>
          <cell r="B10858">
            <v>36</v>
          </cell>
          <cell r="C10858">
            <v>203</v>
          </cell>
          <cell r="D10858">
            <v>3</v>
          </cell>
          <cell r="E10858" t="str">
            <v>Equals: VALUE ADDED, GROSS, at basic prices</v>
          </cell>
          <cell r="F10858">
            <v>12</v>
          </cell>
          <cell r="G10858">
            <v>1985</v>
          </cell>
          <cell r="H10858">
            <v>100</v>
          </cell>
          <cell r="I10858">
            <v>228739000000</v>
          </cell>
        </row>
        <row r="10859">
          <cell r="A10859" t="str">
            <v>Australia</v>
          </cell>
          <cell r="B10859">
            <v>36</v>
          </cell>
          <cell r="C10859">
            <v>203</v>
          </cell>
          <cell r="D10859">
            <v>3</v>
          </cell>
          <cell r="E10859" t="str">
            <v>Equals: VALUE ADDED, GROSS, at basic prices</v>
          </cell>
          <cell r="F10859">
            <v>12</v>
          </cell>
          <cell r="G10859">
            <v>1986</v>
          </cell>
          <cell r="H10859">
            <v>100</v>
          </cell>
          <cell r="I10859">
            <v>252028000000</v>
          </cell>
        </row>
        <row r="10860">
          <cell r="A10860" t="str">
            <v>Australia</v>
          </cell>
          <cell r="B10860">
            <v>36</v>
          </cell>
          <cell r="C10860">
            <v>203</v>
          </cell>
          <cell r="D10860">
            <v>3</v>
          </cell>
          <cell r="E10860" t="str">
            <v>Equals: VALUE ADDED, GROSS, at basic prices</v>
          </cell>
          <cell r="F10860">
            <v>12</v>
          </cell>
          <cell r="G10860">
            <v>1987</v>
          </cell>
          <cell r="H10860">
            <v>100</v>
          </cell>
          <cell r="I10860">
            <v>285466000000</v>
          </cell>
        </row>
        <row r="10861">
          <cell r="A10861" t="str">
            <v>Australia</v>
          </cell>
          <cell r="B10861">
            <v>36</v>
          </cell>
          <cell r="C10861">
            <v>203</v>
          </cell>
          <cell r="D10861">
            <v>3</v>
          </cell>
          <cell r="E10861" t="str">
            <v>Equals: VALUE ADDED, GROSS, at basic prices</v>
          </cell>
          <cell r="F10861">
            <v>12</v>
          </cell>
          <cell r="G10861">
            <v>1988</v>
          </cell>
          <cell r="H10861">
            <v>100</v>
          </cell>
          <cell r="I10861">
            <v>324155000000</v>
          </cell>
        </row>
        <row r="10862">
          <cell r="A10862" t="str">
            <v>Australia</v>
          </cell>
          <cell r="B10862">
            <v>36</v>
          </cell>
          <cell r="C10862">
            <v>203</v>
          </cell>
          <cell r="D10862">
            <v>3</v>
          </cell>
          <cell r="E10862" t="str">
            <v>Equals: VALUE ADDED, GROSS, at basic prices</v>
          </cell>
          <cell r="F10862">
            <v>12</v>
          </cell>
          <cell r="G10862">
            <v>1989</v>
          </cell>
          <cell r="H10862">
            <v>100</v>
          </cell>
          <cell r="I10862">
            <v>354429000000</v>
          </cell>
        </row>
        <row r="10863">
          <cell r="A10863" t="str">
            <v>Australia</v>
          </cell>
          <cell r="B10863">
            <v>36</v>
          </cell>
          <cell r="C10863">
            <v>203</v>
          </cell>
          <cell r="D10863">
            <v>3</v>
          </cell>
          <cell r="E10863" t="str">
            <v>Equals: VALUE ADDED, GROSS, at basic prices</v>
          </cell>
          <cell r="F10863">
            <v>12</v>
          </cell>
          <cell r="G10863">
            <v>1990</v>
          </cell>
          <cell r="H10863">
            <v>100</v>
          </cell>
          <cell r="I10863">
            <v>365499000000</v>
          </cell>
        </row>
        <row r="10864">
          <cell r="A10864" t="str">
            <v>Australia</v>
          </cell>
          <cell r="B10864">
            <v>36</v>
          </cell>
          <cell r="C10864">
            <v>203</v>
          </cell>
          <cell r="D10864">
            <v>3</v>
          </cell>
          <cell r="E10864" t="str">
            <v>Equals: VALUE ADDED, GROSS, at basic prices</v>
          </cell>
          <cell r="F10864">
            <v>12</v>
          </cell>
          <cell r="G10864">
            <v>1991</v>
          </cell>
          <cell r="H10864">
            <v>100</v>
          </cell>
          <cell r="I10864">
            <v>373487000000</v>
          </cell>
        </row>
        <row r="10865">
          <cell r="A10865" t="str">
            <v>Australia</v>
          </cell>
          <cell r="B10865">
            <v>36</v>
          </cell>
          <cell r="C10865">
            <v>203</v>
          </cell>
          <cell r="D10865">
            <v>3</v>
          </cell>
          <cell r="E10865" t="str">
            <v>Equals: VALUE ADDED, GROSS, at basic prices</v>
          </cell>
          <cell r="F10865">
            <v>12</v>
          </cell>
          <cell r="G10865">
            <v>1992</v>
          </cell>
          <cell r="H10865">
            <v>100</v>
          </cell>
          <cell r="I10865">
            <v>392339000000</v>
          </cell>
        </row>
        <row r="10866">
          <cell r="A10866" t="str">
            <v>Australia</v>
          </cell>
          <cell r="B10866">
            <v>36</v>
          </cell>
          <cell r="C10866">
            <v>203</v>
          </cell>
          <cell r="D10866">
            <v>3</v>
          </cell>
          <cell r="E10866" t="str">
            <v>Equals: VALUE ADDED, GROSS, at basic prices</v>
          </cell>
          <cell r="F10866">
            <v>12</v>
          </cell>
          <cell r="G10866">
            <v>1993</v>
          </cell>
          <cell r="H10866">
            <v>100</v>
          </cell>
          <cell r="I10866">
            <v>410740000000</v>
          </cell>
        </row>
        <row r="10867">
          <cell r="A10867" t="str">
            <v>Australia</v>
          </cell>
          <cell r="B10867">
            <v>36</v>
          </cell>
          <cell r="C10867">
            <v>203</v>
          </cell>
          <cell r="D10867">
            <v>3</v>
          </cell>
          <cell r="E10867" t="str">
            <v>Equals: VALUE ADDED, GROSS, at basic prices</v>
          </cell>
          <cell r="F10867">
            <v>12</v>
          </cell>
          <cell r="G10867">
            <v>1994</v>
          </cell>
          <cell r="H10867">
            <v>100</v>
          </cell>
          <cell r="I10867">
            <v>431405000000</v>
          </cell>
        </row>
        <row r="10868">
          <cell r="A10868" t="str">
            <v>Australia</v>
          </cell>
          <cell r="B10868">
            <v>36</v>
          </cell>
          <cell r="C10868">
            <v>203</v>
          </cell>
          <cell r="D10868">
            <v>3</v>
          </cell>
          <cell r="E10868" t="str">
            <v>Equals: VALUE ADDED, GROSS, at basic prices</v>
          </cell>
          <cell r="F10868">
            <v>12</v>
          </cell>
          <cell r="G10868">
            <v>1995</v>
          </cell>
          <cell r="H10868">
            <v>100</v>
          </cell>
          <cell r="I10868">
            <v>459870000000</v>
          </cell>
        </row>
        <row r="10869">
          <cell r="A10869" t="str">
            <v>Australia</v>
          </cell>
          <cell r="B10869">
            <v>36</v>
          </cell>
          <cell r="C10869">
            <v>203</v>
          </cell>
          <cell r="D10869">
            <v>3</v>
          </cell>
          <cell r="E10869" t="str">
            <v>Equals: VALUE ADDED, GROSS, at basic prices</v>
          </cell>
          <cell r="F10869">
            <v>12</v>
          </cell>
          <cell r="G10869">
            <v>1996</v>
          </cell>
          <cell r="H10869">
            <v>100</v>
          </cell>
          <cell r="I10869">
            <v>485951000000</v>
          </cell>
        </row>
        <row r="10870">
          <cell r="A10870" t="str">
            <v>Australia</v>
          </cell>
          <cell r="B10870">
            <v>36</v>
          </cell>
          <cell r="C10870">
            <v>203</v>
          </cell>
          <cell r="D10870">
            <v>3</v>
          </cell>
          <cell r="E10870" t="str">
            <v>Equals: VALUE ADDED, GROSS, at basic prices</v>
          </cell>
          <cell r="F10870">
            <v>12</v>
          </cell>
          <cell r="G10870">
            <v>1997</v>
          </cell>
          <cell r="H10870">
            <v>100</v>
          </cell>
          <cell r="I10870">
            <v>514834000000</v>
          </cell>
        </row>
        <row r="10871">
          <cell r="A10871" t="str">
            <v>Australia</v>
          </cell>
          <cell r="B10871">
            <v>36</v>
          </cell>
          <cell r="C10871">
            <v>203</v>
          </cell>
          <cell r="D10871">
            <v>3</v>
          </cell>
          <cell r="E10871" t="str">
            <v>Equals: VALUE ADDED, GROSS, at basic prices</v>
          </cell>
          <cell r="F10871">
            <v>12</v>
          </cell>
          <cell r="G10871">
            <v>1998</v>
          </cell>
          <cell r="H10871">
            <v>100</v>
          </cell>
          <cell r="I10871">
            <v>542831000000</v>
          </cell>
        </row>
        <row r="10872">
          <cell r="A10872" t="str">
            <v>Australia</v>
          </cell>
          <cell r="B10872">
            <v>36</v>
          </cell>
          <cell r="C10872">
            <v>203</v>
          </cell>
          <cell r="D10872">
            <v>3</v>
          </cell>
          <cell r="E10872" t="str">
            <v>Equals: VALUE ADDED, GROSS, at basic prices</v>
          </cell>
          <cell r="F10872">
            <v>12</v>
          </cell>
          <cell r="G10872">
            <v>1999</v>
          </cell>
          <cell r="H10872">
            <v>100</v>
          </cell>
          <cell r="I10872">
            <v>575238000000</v>
          </cell>
        </row>
        <row r="10873">
          <cell r="A10873" t="str">
            <v>Australia</v>
          </cell>
          <cell r="B10873">
            <v>36</v>
          </cell>
          <cell r="C10873">
            <v>203</v>
          </cell>
          <cell r="D10873">
            <v>3</v>
          </cell>
          <cell r="E10873" t="str">
            <v>Equals: VALUE ADDED, GROSS, at basic prices</v>
          </cell>
          <cell r="F10873">
            <v>12</v>
          </cell>
          <cell r="G10873">
            <v>2000</v>
          </cell>
          <cell r="H10873">
            <v>100</v>
          </cell>
          <cell r="I10873">
            <v>612246000000</v>
          </cell>
        </row>
        <row r="10874">
          <cell r="A10874" t="str">
            <v>Australia</v>
          </cell>
          <cell r="B10874">
            <v>36</v>
          </cell>
          <cell r="C10874">
            <v>203</v>
          </cell>
          <cell r="D10874">
            <v>3</v>
          </cell>
          <cell r="E10874" t="str">
            <v>Equals: VALUE ADDED, GROSS, at basic prices</v>
          </cell>
          <cell r="F10874">
            <v>12</v>
          </cell>
          <cell r="G10874">
            <v>2001</v>
          </cell>
          <cell r="H10874">
            <v>100</v>
          </cell>
          <cell r="I10874">
            <v>652637000000</v>
          </cell>
        </row>
        <row r="10875">
          <cell r="A10875" t="str">
            <v>Australia</v>
          </cell>
          <cell r="B10875">
            <v>36</v>
          </cell>
          <cell r="C10875">
            <v>203</v>
          </cell>
          <cell r="D10875">
            <v>3</v>
          </cell>
          <cell r="E10875" t="str">
            <v>Equals: VALUE ADDED, GROSS, at basic prices</v>
          </cell>
          <cell r="F10875">
            <v>12</v>
          </cell>
          <cell r="G10875">
            <v>2002</v>
          </cell>
          <cell r="H10875">
            <v>100</v>
          </cell>
          <cell r="I10875">
            <v>687810000000</v>
          </cell>
        </row>
        <row r="10876">
          <cell r="A10876" t="str">
            <v>Australia</v>
          </cell>
          <cell r="B10876">
            <v>36</v>
          </cell>
          <cell r="C10876">
            <v>203</v>
          </cell>
          <cell r="D10876">
            <v>4</v>
          </cell>
          <cell r="E10876" t="str">
            <v>Compensation of employees</v>
          </cell>
          <cell r="F10876">
            <v>12</v>
          </cell>
          <cell r="G10876">
            <v>1959</v>
          </cell>
          <cell r="H10876">
            <v>100</v>
          </cell>
          <cell r="I10876">
            <v>7229000000</v>
          </cell>
        </row>
        <row r="10877">
          <cell r="A10877" t="str">
            <v>Australia</v>
          </cell>
          <cell r="B10877">
            <v>36</v>
          </cell>
          <cell r="C10877">
            <v>203</v>
          </cell>
          <cell r="D10877">
            <v>4</v>
          </cell>
          <cell r="E10877" t="str">
            <v>Compensation of employees</v>
          </cell>
          <cell r="F10877">
            <v>12</v>
          </cell>
          <cell r="G10877">
            <v>1960</v>
          </cell>
          <cell r="H10877">
            <v>100</v>
          </cell>
          <cell r="I10877">
            <v>7784000000</v>
          </cell>
        </row>
        <row r="10878">
          <cell r="A10878" t="str">
            <v>Australia</v>
          </cell>
          <cell r="B10878">
            <v>36</v>
          </cell>
          <cell r="C10878">
            <v>203</v>
          </cell>
          <cell r="D10878">
            <v>4</v>
          </cell>
          <cell r="E10878" t="str">
            <v>Compensation of employees</v>
          </cell>
          <cell r="F10878">
            <v>12</v>
          </cell>
          <cell r="G10878">
            <v>1961</v>
          </cell>
          <cell r="H10878">
            <v>100</v>
          </cell>
          <cell r="I10878">
            <v>8035000000</v>
          </cell>
        </row>
        <row r="10879">
          <cell r="A10879" t="str">
            <v>Australia</v>
          </cell>
          <cell r="B10879">
            <v>36</v>
          </cell>
          <cell r="C10879">
            <v>203</v>
          </cell>
          <cell r="D10879">
            <v>4</v>
          </cell>
          <cell r="E10879" t="str">
            <v>Compensation of employees</v>
          </cell>
          <cell r="F10879">
            <v>12</v>
          </cell>
          <cell r="G10879">
            <v>1962</v>
          </cell>
          <cell r="H10879">
            <v>100</v>
          </cell>
          <cell r="I10879">
            <v>8515000000</v>
          </cell>
        </row>
        <row r="10880">
          <cell r="A10880" t="str">
            <v>Australia</v>
          </cell>
          <cell r="B10880">
            <v>36</v>
          </cell>
          <cell r="C10880">
            <v>203</v>
          </cell>
          <cell r="D10880">
            <v>4</v>
          </cell>
          <cell r="E10880" t="str">
            <v>Compensation of employees</v>
          </cell>
          <cell r="F10880">
            <v>12</v>
          </cell>
          <cell r="G10880">
            <v>1963</v>
          </cell>
          <cell r="H10880">
            <v>100</v>
          </cell>
          <cell r="I10880">
            <v>9312000000</v>
          </cell>
        </row>
        <row r="10881">
          <cell r="A10881" t="str">
            <v>Australia</v>
          </cell>
          <cell r="B10881">
            <v>36</v>
          </cell>
          <cell r="C10881">
            <v>203</v>
          </cell>
          <cell r="D10881">
            <v>4</v>
          </cell>
          <cell r="E10881" t="str">
            <v>Compensation of employees</v>
          </cell>
          <cell r="F10881">
            <v>12</v>
          </cell>
          <cell r="G10881">
            <v>1964</v>
          </cell>
          <cell r="H10881">
            <v>100</v>
          </cell>
          <cell r="I10881">
            <v>10456000000</v>
          </cell>
        </row>
        <row r="10882">
          <cell r="A10882" t="str">
            <v>Australia</v>
          </cell>
          <cell r="B10882">
            <v>36</v>
          </cell>
          <cell r="C10882">
            <v>203</v>
          </cell>
          <cell r="D10882">
            <v>4</v>
          </cell>
          <cell r="E10882" t="str">
            <v>Compensation of employees</v>
          </cell>
          <cell r="F10882">
            <v>12</v>
          </cell>
          <cell r="G10882">
            <v>1965</v>
          </cell>
          <cell r="H10882">
            <v>100</v>
          </cell>
          <cell r="I10882">
            <v>11329000000</v>
          </cell>
        </row>
        <row r="10883">
          <cell r="A10883" t="str">
            <v>Australia</v>
          </cell>
          <cell r="B10883">
            <v>36</v>
          </cell>
          <cell r="C10883">
            <v>203</v>
          </cell>
          <cell r="D10883">
            <v>4</v>
          </cell>
          <cell r="E10883" t="str">
            <v>Compensation of employees</v>
          </cell>
          <cell r="F10883">
            <v>12</v>
          </cell>
          <cell r="G10883">
            <v>1966</v>
          </cell>
          <cell r="H10883">
            <v>100</v>
          </cell>
          <cell r="I10883">
            <v>12400000000</v>
          </cell>
        </row>
        <row r="10884">
          <cell r="A10884" t="str">
            <v>Australia</v>
          </cell>
          <cell r="B10884">
            <v>36</v>
          </cell>
          <cell r="C10884">
            <v>203</v>
          </cell>
          <cell r="D10884">
            <v>4</v>
          </cell>
          <cell r="E10884" t="str">
            <v>Compensation of employees</v>
          </cell>
          <cell r="F10884">
            <v>12</v>
          </cell>
          <cell r="G10884">
            <v>1967</v>
          </cell>
          <cell r="H10884">
            <v>100</v>
          </cell>
          <cell r="I10884">
            <v>13512000000</v>
          </cell>
        </row>
        <row r="10885">
          <cell r="A10885" t="str">
            <v>Australia</v>
          </cell>
          <cell r="B10885">
            <v>36</v>
          </cell>
          <cell r="C10885">
            <v>203</v>
          </cell>
          <cell r="D10885">
            <v>4</v>
          </cell>
          <cell r="E10885" t="str">
            <v>Compensation of employees</v>
          </cell>
          <cell r="F10885">
            <v>12</v>
          </cell>
          <cell r="G10885">
            <v>1968</v>
          </cell>
          <cell r="H10885">
            <v>100</v>
          </cell>
          <cell r="I10885">
            <v>14950000000</v>
          </cell>
        </row>
        <row r="10886">
          <cell r="A10886" t="str">
            <v>Australia</v>
          </cell>
          <cell r="B10886">
            <v>36</v>
          </cell>
          <cell r="C10886">
            <v>203</v>
          </cell>
          <cell r="D10886">
            <v>4</v>
          </cell>
          <cell r="E10886" t="str">
            <v>Compensation of employees</v>
          </cell>
          <cell r="F10886">
            <v>12</v>
          </cell>
          <cell r="G10886">
            <v>1969</v>
          </cell>
          <cell r="H10886">
            <v>100</v>
          </cell>
          <cell r="I10886">
            <v>16822000000</v>
          </cell>
        </row>
        <row r="10887">
          <cell r="A10887" t="str">
            <v>Australia</v>
          </cell>
          <cell r="B10887">
            <v>36</v>
          </cell>
          <cell r="C10887">
            <v>203</v>
          </cell>
          <cell r="D10887">
            <v>4</v>
          </cell>
          <cell r="E10887" t="str">
            <v>Compensation of employees</v>
          </cell>
          <cell r="F10887">
            <v>12</v>
          </cell>
          <cell r="G10887">
            <v>1970</v>
          </cell>
          <cell r="H10887">
            <v>100</v>
          </cell>
          <cell r="I10887">
            <v>19320000000</v>
          </cell>
        </row>
        <row r="10888">
          <cell r="A10888" t="str">
            <v>Australia</v>
          </cell>
          <cell r="B10888">
            <v>36</v>
          </cell>
          <cell r="C10888">
            <v>203</v>
          </cell>
          <cell r="D10888">
            <v>4</v>
          </cell>
          <cell r="E10888" t="str">
            <v>Compensation of employees</v>
          </cell>
          <cell r="F10888">
            <v>12</v>
          </cell>
          <cell r="G10888">
            <v>1971</v>
          </cell>
          <cell r="H10888">
            <v>100</v>
          </cell>
          <cell r="I10888">
            <v>21586000000</v>
          </cell>
        </row>
        <row r="10889">
          <cell r="A10889" t="str">
            <v>Australia</v>
          </cell>
          <cell r="B10889">
            <v>36</v>
          </cell>
          <cell r="C10889">
            <v>203</v>
          </cell>
          <cell r="D10889">
            <v>4</v>
          </cell>
          <cell r="E10889" t="str">
            <v>Compensation of employees</v>
          </cell>
          <cell r="F10889">
            <v>12</v>
          </cell>
          <cell r="G10889">
            <v>1972</v>
          </cell>
          <cell r="H10889">
            <v>100</v>
          </cell>
          <cell r="I10889">
            <v>24083000000</v>
          </cell>
        </row>
        <row r="10890">
          <cell r="A10890" t="str">
            <v>Australia</v>
          </cell>
          <cell r="B10890">
            <v>36</v>
          </cell>
          <cell r="C10890">
            <v>203</v>
          </cell>
          <cell r="D10890">
            <v>4</v>
          </cell>
          <cell r="E10890" t="str">
            <v>Compensation of employees</v>
          </cell>
          <cell r="F10890">
            <v>12</v>
          </cell>
          <cell r="G10890">
            <v>1973</v>
          </cell>
          <cell r="H10890">
            <v>100</v>
          </cell>
          <cell r="I10890">
            <v>29467000000</v>
          </cell>
        </row>
        <row r="10891">
          <cell r="A10891" t="str">
            <v>Australia</v>
          </cell>
          <cell r="B10891">
            <v>36</v>
          </cell>
          <cell r="C10891">
            <v>203</v>
          </cell>
          <cell r="D10891">
            <v>4</v>
          </cell>
          <cell r="E10891" t="str">
            <v>Compensation of employees</v>
          </cell>
          <cell r="F10891">
            <v>12</v>
          </cell>
          <cell r="G10891">
            <v>1974</v>
          </cell>
          <cell r="H10891">
            <v>100</v>
          </cell>
          <cell r="I10891">
            <v>38017000000</v>
          </cell>
        </row>
        <row r="10892">
          <cell r="A10892" t="str">
            <v>Australia</v>
          </cell>
          <cell r="B10892">
            <v>36</v>
          </cell>
          <cell r="C10892">
            <v>203</v>
          </cell>
          <cell r="D10892">
            <v>4</v>
          </cell>
          <cell r="E10892" t="str">
            <v>Compensation of employees</v>
          </cell>
          <cell r="F10892">
            <v>12</v>
          </cell>
          <cell r="G10892">
            <v>1975</v>
          </cell>
          <cell r="H10892">
            <v>100</v>
          </cell>
          <cell r="I10892">
            <v>43919000000</v>
          </cell>
        </row>
        <row r="10893">
          <cell r="A10893" t="str">
            <v>Australia</v>
          </cell>
          <cell r="B10893">
            <v>36</v>
          </cell>
          <cell r="C10893">
            <v>203</v>
          </cell>
          <cell r="D10893">
            <v>4</v>
          </cell>
          <cell r="E10893" t="str">
            <v>Compensation of employees</v>
          </cell>
          <cell r="F10893">
            <v>12</v>
          </cell>
          <cell r="G10893">
            <v>1976</v>
          </cell>
          <cell r="H10893">
            <v>100</v>
          </cell>
          <cell r="I10893">
            <v>49533000000</v>
          </cell>
        </row>
        <row r="10894">
          <cell r="A10894" t="str">
            <v>Australia</v>
          </cell>
          <cell r="B10894">
            <v>36</v>
          </cell>
          <cell r="C10894">
            <v>203</v>
          </cell>
          <cell r="D10894">
            <v>4</v>
          </cell>
          <cell r="E10894" t="str">
            <v>Compensation of employees</v>
          </cell>
          <cell r="F10894">
            <v>12</v>
          </cell>
          <cell r="G10894">
            <v>1977</v>
          </cell>
          <cell r="H10894">
            <v>100</v>
          </cell>
          <cell r="I10894">
            <v>54282000000</v>
          </cell>
        </row>
        <row r="10895">
          <cell r="A10895" t="str">
            <v>Australia</v>
          </cell>
          <cell r="B10895">
            <v>36</v>
          </cell>
          <cell r="C10895">
            <v>203</v>
          </cell>
          <cell r="D10895">
            <v>4</v>
          </cell>
          <cell r="E10895" t="str">
            <v>Compensation of employees</v>
          </cell>
          <cell r="F10895">
            <v>12</v>
          </cell>
          <cell r="G10895">
            <v>1978</v>
          </cell>
          <cell r="H10895">
            <v>100</v>
          </cell>
          <cell r="I10895">
            <v>58318000000</v>
          </cell>
        </row>
        <row r="10896">
          <cell r="A10896" t="str">
            <v>Australia</v>
          </cell>
          <cell r="B10896">
            <v>36</v>
          </cell>
          <cell r="C10896">
            <v>203</v>
          </cell>
          <cell r="D10896">
            <v>4</v>
          </cell>
          <cell r="E10896" t="str">
            <v>Compensation of employees</v>
          </cell>
          <cell r="F10896">
            <v>12</v>
          </cell>
          <cell r="G10896">
            <v>1979</v>
          </cell>
          <cell r="H10896">
            <v>100</v>
          </cell>
          <cell r="I10896">
            <v>64926000000</v>
          </cell>
        </row>
        <row r="10897">
          <cell r="A10897" t="str">
            <v>Australia</v>
          </cell>
          <cell r="B10897">
            <v>36</v>
          </cell>
          <cell r="C10897">
            <v>203</v>
          </cell>
          <cell r="D10897">
            <v>4</v>
          </cell>
          <cell r="E10897" t="str">
            <v>Compensation of employees</v>
          </cell>
          <cell r="F10897">
            <v>12</v>
          </cell>
          <cell r="G10897">
            <v>1980</v>
          </cell>
          <cell r="H10897">
            <v>100</v>
          </cell>
          <cell r="I10897">
            <v>75044000000</v>
          </cell>
        </row>
        <row r="10898">
          <cell r="A10898" t="str">
            <v>Australia</v>
          </cell>
          <cell r="B10898">
            <v>36</v>
          </cell>
          <cell r="C10898">
            <v>203</v>
          </cell>
          <cell r="D10898">
            <v>4</v>
          </cell>
          <cell r="E10898" t="str">
            <v>Compensation of employees</v>
          </cell>
          <cell r="F10898">
            <v>12</v>
          </cell>
          <cell r="G10898">
            <v>1981</v>
          </cell>
          <cell r="H10898">
            <v>100</v>
          </cell>
          <cell r="I10898">
            <v>87003000000</v>
          </cell>
        </row>
        <row r="10899">
          <cell r="A10899" t="str">
            <v>Australia</v>
          </cell>
          <cell r="B10899">
            <v>36</v>
          </cell>
          <cell r="C10899">
            <v>203</v>
          </cell>
          <cell r="D10899">
            <v>4</v>
          </cell>
          <cell r="E10899" t="str">
            <v>Compensation of employees</v>
          </cell>
          <cell r="F10899">
            <v>12</v>
          </cell>
          <cell r="G10899">
            <v>1982</v>
          </cell>
          <cell r="H10899">
            <v>100</v>
          </cell>
          <cell r="I10899">
            <v>96392000000</v>
          </cell>
        </row>
        <row r="10900">
          <cell r="A10900" t="str">
            <v>Australia</v>
          </cell>
          <cell r="B10900">
            <v>36</v>
          </cell>
          <cell r="C10900">
            <v>203</v>
          </cell>
          <cell r="D10900">
            <v>4</v>
          </cell>
          <cell r="E10900" t="str">
            <v>Compensation of employees</v>
          </cell>
          <cell r="F10900">
            <v>12</v>
          </cell>
          <cell r="G10900">
            <v>1983</v>
          </cell>
          <cell r="H10900">
            <v>100</v>
          </cell>
          <cell r="I10900">
            <v>102045000000</v>
          </cell>
        </row>
        <row r="10901">
          <cell r="A10901" t="str">
            <v>Australia</v>
          </cell>
          <cell r="B10901">
            <v>36</v>
          </cell>
          <cell r="C10901">
            <v>203</v>
          </cell>
          <cell r="D10901">
            <v>4</v>
          </cell>
          <cell r="E10901" t="str">
            <v>Compensation of employees</v>
          </cell>
          <cell r="F10901">
            <v>12</v>
          </cell>
          <cell r="G10901">
            <v>1984</v>
          </cell>
          <cell r="H10901">
            <v>100</v>
          </cell>
          <cell r="I10901">
            <v>112222000000</v>
          </cell>
        </row>
        <row r="10902">
          <cell r="A10902" t="str">
            <v>Australia</v>
          </cell>
          <cell r="B10902">
            <v>36</v>
          </cell>
          <cell r="C10902">
            <v>203</v>
          </cell>
          <cell r="D10902">
            <v>4</v>
          </cell>
          <cell r="E10902" t="str">
            <v>Compensation of employees</v>
          </cell>
          <cell r="F10902">
            <v>12</v>
          </cell>
          <cell r="G10902">
            <v>1985</v>
          </cell>
          <cell r="H10902">
            <v>100</v>
          </cell>
          <cell r="I10902">
            <v>123434000000</v>
          </cell>
        </row>
        <row r="10903">
          <cell r="A10903" t="str">
            <v>Australia</v>
          </cell>
          <cell r="B10903">
            <v>36</v>
          </cell>
          <cell r="C10903">
            <v>203</v>
          </cell>
          <cell r="D10903">
            <v>4</v>
          </cell>
          <cell r="E10903" t="str">
            <v>Compensation of employees</v>
          </cell>
          <cell r="F10903">
            <v>12</v>
          </cell>
          <cell r="G10903">
            <v>1986</v>
          </cell>
          <cell r="H10903">
            <v>100</v>
          </cell>
          <cell r="I10903">
            <v>134117000000</v>
          </cell>
        </row>
        <row r="10904">
          <cell r="A10904" t="str">
            <v>Australia</v>
          </cell>
          <cell r="B10904">
            <v>36</v>
          </cell>
          <cell r="C10904">
            <v>203</v>
          </cell>
          <cell r="D10904">
            <v>4</v>
          </cell>
          <cell r="E10904" t="str">
            <v>Compensation of employees</v>
          </cell>
          <cell r="F10904">
            <v>12</v>
          </cell>
          <cell r="G10904">
            <v>1987</v>
          </cell>
          <cell r="H10904">
            <v>100</v>
          </cell>
          <cell r="I10904">
            <v>147468000000</v>
          </cell>
        </row>
        <row r="10905">
          <cell r="A10905" t="str">
            <v>Australia</v>
          </cell>
          <cell r="B10905">
            <v>36</v>
          </cell>
          <cell r="C10905">
            <v>203</v>
          </cell>
          <cell r="D10905">
            <v>4</v>
          </cell>
          <cell r="E10905" t="str">
            <v>Compensation of employees</v>
          </cell>
          <cell r="F10905">
            <v>12</v>
          </cell>
          <cell r="G10905">
            <v>1988</v>
          </cell>
          <cell r="H10905">
            <v>100</v>
          </cell>
          <cell r="I10905">
            <v>164897000000</v>
          </cell>
        </row>
        <row r="10906">
          <cell r="A10906" t="str">
            <v>Australia</v>
          </cell>
          <cell r="B10906">
            <v>36</v>
          </cell>
          <cell r="C10906">
            <v>203</v>
          </cell>
          <cell r="D10906">
            <v>4</v>
          </cell>
          <cell r="E10906" t="str">
            <v>Compensation of employees</v>
          </cell>
          <cell r="F10906">
            <v>12</v>
          </cell>
          <cell r="G10906">
            <v>1989</v>
          </cell>
          <cell r="H10906">
            <v>100</v>
          </cell>
          <cell r="I10906">
            <v>185171000000</v>
          </cell>
        </row>
        <row r="10907">
          <cell r="A10907" t="str">
            <v>Australia</v>
          </cell>
          <cell r="B10907">
            <v>36</v>
          </cell>
          <cell r="C10907">
            <v>203</v>
          </cell>
          <cell r="D10907">
            <v>4</v>
          </cell>
          <cell r="E10907" t="str">
            <v>Compensation of employees</v>
          </cell>
          <cell r="F10907">
            <v>12</v>
          </cell>
          <cell r="G10907">
            <v>1990</v>
          </cell>
          <cell r="H10907">
            <v>100</v>
          </cell>
          <cell r="I10907">
            <v>192723000000</v>
          </cell>
        </row>
        <row r="10908">
          <cell r="A10908" t="str">
            <v>Australia</v>
          </cell>
          <cell r="B10908">
            <v>36</v>
          </cell>
          <cell r="C10908">
            <v>203</v>
          </cell>
          <cell r="D10908">
            <v>4</v>
          </cell>
          <cell r="E10908" t="str">
            <v>Compensation of employees</v>
          </cell>
          <cell r="F10908">
            <v>12</v>
          </cell>
          <cell r="G10908">
            <v>1991</v>
          </cell>
          <cell r="H10908">
            <v>100</v>
          </cell>
          <cell r="I10908">
            <v>195556000000</v>
          </cell>
        </row>
        <row r="10909">
          <cell r="A10909" t="str">
            <v>Australia</v>
          </cell>
          <cell r="B10909">
            <v>36</v>
          </cell>
          <cell r="C10909">
            <v>203</v>
          </cell>
          <cell r="D10909">
            <v>4</v>
          </cell>
          <cell r="E10909" t="str">
            <v>Compensation of employees</v>
          </cell>
          <cell r="F10909">
            <v>12</v>
          </cell>
          <cell r="G10909">
            <v>1992</v>
          </cell>
          <cell r="H10909">
            <v>100</v>
          </cell>
          <cell r="I10909">
            <v>203276000000</v>
          </cell>
        </row>
        <row r="10910">
          <cell r="A10910" t="str">
            <v>Australia</v>
          </cell>
          <cell r="B10910">
            <v>36</v>
          </cell>
          <cell r="C10910">
            <v>203</v>
          </cell>
          <cell r="D10910">
            <v>4</v>
          </cell>
          <cell r="E10910" t="str">
            <v>Compensation of employees</v>
          </cell>
          <cell r="F10910">
            <v>12</v>
          </cell>
          <cell r="G10910">
            <v>1993</v>
          </cell>
          <cell r="H10910">
            <v>100</v>
          </cell>
          <cell r="I10910">
            <v>211802000000</v>
          </cell>
        </row>
        <row r="10911">
          <cell r="A10911" t="str">
            <v>Australia</v>
          </cell>
          <cell r="B10911">
            <v>36</v>
          </cell>
          <cell r="C10911">
            <v>203</v>
          </cell>
          <cell r="D10911">
            <v>4</v>
          </cell>
          <cell r="E10911" t="str">
            <v>Compensation of employees</v>
          </cell>
          <cell r="F10911">
            <v>12</v>
          </cell>
          <cell r="G10911">
            <v>1994</v>
          </cell>
          <cell r="H10911">
            <v>100</v>
          </cell>
          <cell r="I10911">
            <v>224450000000</v>
          </cell>
        </row>
        <row r="10912">
          <cell r="A10912" t="str">
            <v>Australia</v>
          </cell>
          <cell r="B10912">
            <v>36</v>
          </cell>
          <cell r="C10912">
            <v>203</v>
          </cell>
          <cell r="D10912">
            <v>4</v>
          </cell>
          <cell r="E10912" t="str">
            <v>Compensation of employees</v>
          </cell>
          <cell r="F10912">
            <v>12</v>
          </cell>
          <cell r="G10912">
            <v>1995</v>
          </cell>
          <cell r="H10912">
            <v>100</v>
          </cell>
          <cell r="I10912">
            <v>241100000000</v>
          </cell>
        </row>
        <row r="10913">
          <cell r="A10913" t="str">
            <v>Australia</v>
          </cell>
          <cell r="B10913">
            <v>36</v>
          </cell>
          <cell r="C10913">
            <v>203</v>
          </cell>
          <cell r="D10913">
            <v>4</v>
          </cell>
          <cell r="E10913" t="str">
            <v>Compensation of employees</v>
          </cell>
          <cell r="F10913">
            <v>12</v>
          </cell>
          <cell r="G10913">
            <v>1996</v>
          </cell>
          <cell r="H10913">
            <v>100</v>
          </cell>
          <cell r="I10913">
            <v>257968000000</v>
          </cell>
        </row>
        <row r="10914">
          <cell r="A10914" t="str">
            <v>Australia</v>
          </cell>
          <cell r="B10914">
            <v>36</v>
          </cell>
          <cell r="C10914">
            <v>203</v>
          </cell>
          <cell r="D10914">
            <v>4</v>
          </cell>
          <cell r="E10914" t="str">
            <v>Compensation of employees</v>
          </cell>
          <cell r="F10914">
            <v>12</v>
          </cell>
          <cell r="G10914">
            <v>1997</v>
          </cell>
          <cell r="H10914">
            <v>100</v>
          </cell>
          <cell r="I10914">
            <v>268912000000</v>
          </cell>
        </row>
        <row r="10915">
          <cell r="A10915" t="str">
            <v>Australia</v>
          </cell>
          <cell r="B10915">
            <v>36</v>
          </cell>
          <cell r="C10915">
            <v>203</v>
          </cell>
          <cell r="D10915">
            <v>4</v>
          </cell>
          <cell r="E10915" t="str">
            <v>Compensation of employees</v>
          </cell>
          <cell r="F10915">
            <v>12</v>
          </cell>
          <cell r="G10915">
            <v>1998</v>
          </cell>
          <cell r="H10915">
            <v>100</v>
          </cell>
          <cell r="I10915">
            <v>286610000000</v>
          </cell>
        </row>
        <row r="10916">
          <cell r="A10916" t="str">
            <v>Australia</v>
          </cell>
          <cell r="B10916">
            <v>36</v>
          </cell>
          <cell r="C10916">
            <v>203</v>
          </cell>
          <cell r="D10916">
            <v>4</v>
          </cell>
          <cell r="E10916" t="str">
            <v>Compensation of employees</v>
          </cell>
          <cell r="F10916">
            <v>12</v>
          </cell>
          <cell r="G10916">
            <v>1999</v>
          </cell>
          <cell r="H10916">
            <v>100</v>
          </cell>
          <cell r="I10916">
            <v>302116000000</v>
          </cell>
        </row>
        <row r="10917">
          <cell r="A10917" t="str">
            <v>Australia</v>
          </cell>
          <cell r="B10917">
            <v>36</v>
          </cell>
          <cell r="C10917">
            <v>203</v>
          </cell>
          <cell r="D10917">
            <v>4</v>
          </cell>
          <cell r="E10917" t="str">
            <v>Compensation of employees</v>
          </cell>
          <cell r="F10917">
            <v>12</v>
          </cell>
          <cell r="G10917">
            <v>2000</v>
          </cell>
          <cell r="H10917">
            <v>100</v>
          </cell>
          <cell r="I10917">
            <v>321024000000</v>
          </cell>
        </row>
        <row r="10918">
          <cell r="A10918" t="str">
            <v>Australia</v>
          </cell>
          <cell r="B10918">
            <v>36</v>
          </cell>
          <cell r="C10918">
            <v>203</v>
          </cell>
          <cell r="D10918">
            <v>4</v>
          </cell>
          <cell r="E10918" t="str">
            <v>Compensation of employees</v>
          </cell>
          <cell r="F10918">
            <v>12</v>
          </cell>
          <cell r="G10918">
            <v>2001</v>
          </cell>
          <cell r="H10918">
            <v>100</v>
          </cell>
          <cell r="I10918">
            <v>337657000000</v>
          </cell>
        </row>
        <row r="10919">
          <cell r="A10919" t="str">
            <v>Australia</v>
          </cell>
          <cell r="B10919">
            <v>36</v>
          </cell>
          <cell r="C10919">
            <v>203</v>
          </cell>
          <cell r="D10919">
            <v>4</v>
          </cell>
          <cell r="E10919" t="str">
            <v>Compensation of employees</v>
          </cell>
          <cell r="F10919">
            <v>12</v>
          </cell>
          <cell r="G10919">
            <v>2002</v>
          </cell>
          <cell r="H10919">
            <v>100</v>
          </cell>
          <cell r="I10919">
            <v>360012000000</v>
          </cell>
        </row>
        <row r="10920">
          <cell r="A10920" t="str">
            <v>Australia</v>
          </cell>
          <cell r="B10920">
            <v>36</v>
          </cell>
          <cell r="C10920">
            <v>203</v>
          </cell>
          <cell r="D10920">
            <v>11</v>
          </cell>
          <cell r="E10920" t="str">
            <v>OPERATING SURPLUS, GROSS</v>
          </cell>
          <cell r="F10920">
            <v>12</v>
          </cell>
          <cell r="G10920">
            <v>1959</v>
          </cell>
          <cell r="H10920">
            <v>100</v>
          </cell>
          <cell r="I10920">
            <v>7117000000</v>
          </cell>
        </row>
        <row r="10921">
          <cell r="A10921" t="str">
            <v>Australia</v>
          </cell>
          <cell r="B10921">
            <v>36</v>
          </cell>
          <cell r="C10921">
            <v>203</v>
          </cell>
          <cell r="D10921">
            <v>11</v>
          </cell>
          <cell r="E10921" t="str">
            <v>OPERATING SURPLUS, GROSS</v>
          </cell>
          <cell r="F10921">
            <v>12</v>
          </cell>
          <cell r="G10921">
            <v>1960</v>
          </cell>
          <cell r="H10921">
            <v>100</v>
          </cell>
          <cell r="I10921">
            <v>7369000000</v>
          </cell>
        </row>
        <row r="10922">
          <cell r="A10922" t="str">
            <v>Australia</v>
          </cell>
          <cell r="B10922">
            <v>36</v>
          </cell>
          <cell r="C10922">
            <v>203</v>
          </cell>
          <cell r="D10922">
            <v>11</v>
          </cell>
          <cell r="E10922" t="str">
            <v>OPERATING SURPLUS, GROSS</v>
          </cell>
          <cell r="F10922">
            <v>12</v>
          </cell>
          <cell r="G10922">
            <v>1961</v>
          </cell>
          <cell r="H10922">
            <v>100</v>
          </cell>
          <cell r="I10922">
            <v>7415000000</v>
          </cell>
        </row>
        <row r="10923">
          <cell r="A10923" t="str">
            <v>Australia</v>
          </cell>
          <cell r="B10923">
            <v>36</v>
          </cell>
          <cell r="C10923">
            <v>203</v>
          </cell>
          <cell r="D10923">
            <v>11</v>
          </cell>
          <cell r="E10923" t="str">
            <v>OPERATING SURPLUS, GROSS</v>
          </cell>
          <cell r="F10923">
            <v>12</v>
          </cell>
          <cell r="G10923">
            <v>1962</v>
          </cell>
          <cell r="H10923">
            <v>100</v>
          </cell>
          <cell r="I10923">
            <v>8077000000</v>
          </cell>
        </row>
        <row r="10924">
          <cell r="A10924" t="str">
            <v>Australia</v>
          </cell>
          <cell r="B10924">
            <v>36</v>
          </cell>
          <cell r="C10924">
            <v>203</v>
          </cell>
          <cell r="D10924">
            <v>11</v>
          </cell>
          <cell r="E10924" t="str">
            <v>OPERATING SURPLUS, GROSS</v>
          </cell>
          <cell r="F10924">
            <v>12</v>
          </cell>
          <cell r="G10924">
            <v>1963</v>
          </cell>
          <cell r="H10924">
            <v>100</v>
          </cell>
          <cell r="I10924">
            <v>9186000000</v>
          </cell>
        </row>
        <row r="10925">
          <cell r="A10925" t="str">
            <v>Australia</v>
          </cell>
          <cell r="B10925">
            <v>36</v>
          </cell>
          <cell r="C10925">
            <v>203</v>
          </cell>
          <cell r="D10925">
            <v>11</v>
          </cell>
          <cell r="E10925" t="str">
            <v>OPERATING SURPLUS, GROSS</v>
          </cell>
          <cell r="F10925">
            <v>12</v>
          </cell>
          <cell r="G10925">
            <v>1964</v>
          </cell>
          <cell r="H10925">
            <v>100</v>
          </cell>
          <cell r="I10925">
            <v>9735000000</v>
          </cell>
        </row>
        <row r="10926">
          <cell r="A10926" t="str">
            <v>Australia</v>
          </cell>
          <cell r="B10926">
            <v>36</v>
          </cell>
          <cell r="C10926">
            <v>203</v>
          </cell>
          <cell r="D10926">
            <v>11</v>
          </cell>
          <cell r="E10926" t="str">
            <v>OPERATING SURPLUS, GROSS</v>
          </cell>
          <cell r="F10926">
            <v>12</v>
          </cell>
          <cell r="G10926">
            <v>1965</v>
          </cell>
          <cell r="H10926">
            <v>100</v>
          </cell>
          <cell r="I10926">
            <v>9734000000</v>
          </cell>
        </row>
        <row r="10927">
          <cell r="A10927" t="str">
            <v>Australia</v>
          </cell>
          <cell r="B10927">
            <v>36</v>
          </cell>
          <cell r="C10927">
            <v>203</v>
          </cell>
          <cell r="D10927">
            <v>11</v>
          </cell>
          <cell r="E10927" t="str">
            <v>OPERATING SURPLUS, GROSS</v>
          </cell>
          <cell r="F10927">
            <v>12</v>
          </cell>
          <cell r="G10927">
            <v>1966</v>
          </cell>
          <cell r="H10927">
            <v>100</v>
          </cell>
          <cell r="I10927">
            <v>11108000000</v>
          </cell>
        </row>
        <row r="10928">
          <cell r="A10928" t="str">
            <v>Australia</v>
          </cell>
          <cell r="B10928">
            <v>36</v>
          </cell>
          <cell r="C10928">
            <v>203</v>
          </cell>
          <cell r="D10928">
            <v>11</v>
          </cell>
          <cell r="E10928" t="str">
            <v>OPERATING SURPLUS, GROSS</v>
          </cell>
          <cell r="F10928">
            <v>12</v>
          </cell>
          <cell r="G10928">
            <v>1967</v>
          </cell>
          <cell r="H10928">
            <v>100</v>
          </cell>
          <cell r="I10928">
            <v>11716000000</v>
          </cell>
        </row>
        <row r="10929">
          <cell r="A10929" t="str">
            <v>Australia</v>
          </cell>
          <cell r="B10929">
            <v>36</v>
          </cell>
          <cell r="C10929">
            <v>203</v>
          </cell>
          <cell r="D10929">
            <v>11</v>
          </cell>
          <cell r="E10929" t="str">
            <v>OPERATING SURPLUS, GROSS</v>
          </cell>
          <cell r="F10929">
            <v>12</v>
          </cell>
          <cell r="G10929">
            <v>1968</v>
          </cell>
          <cell r="H10929">
            <v>100</v>
          </cell>
          <cell r="I10929">
            <v>13220000000</v>
          </cell>
        </row>
        <row r="10930">
          <cell r="A10930" t="str">
            <v>Australia</v>
          </cell>
          <cell r="B10930">
            <v>36</v>
          </cell>
          <cell r="C10930">
            <v>203</v>
          </cell>
          <cell r="D10930">
            <v>11</v>
          </cell>
          <cell r="E10930" t="str">
            <v>OPERATING SURPLUS, GROSS</v>
          </cell>
          <cell r="F10930">
            <v>12</v>
          </cell>
          <cell r="G10930">
            <v>1969</v>
          </cell>
          <cell r="H10930">
            <v>100</v>
          </cell>
          <cell r="I10930">
            <v>15046000000</v>
          </cell>
        </row>
        <row r="10931">
          <cell r="A10931" t="str">
            <v>Australia</v>
          </cell>
          <cell r="B10931">
            <v>36</v>
          </cell>
          <cell r="C10931">
            <v>203</v>
          </cell>
          <cell r="D10931">
            <v>11</v>
          </cell>
          <cell r="E10931" t="str">
            <v>OPERATING SURPLUS, GROSS</v>
          </cell>
          <cell r="F10931">
            <v>12</v>
          </cell>
          <cell r="G10931">
            <v>1970</v>
          </cell>
          <cell r="H10931">
            <v>100</v>
          </cell>
          <cell r="I10931">
            <v>15518000000</v>
          </cell>
        </row>
        <row r="10932">
          <cell r="A10932" t="str">
            <v>Australia</v>
          </cell>
          <cell r="B10932">
            <v>36</v>
          </cell>
          <cell r="C10932">
            <v>203</v>
          </cell>
          <cell r="D10932">
            <v>11</v>
          </cell>
          <cell r="E10932" t="str">
            <v>OPERATING SURPLUS, GROSS</v>
          </cell>
          <cell r="F10932">
            <v>12</v>
          </cell>
          <cell r="G10932">
            <v>1971</v>
          </cell>
          <cell r="H10932">
            <v>100</v>
          </cell>
          <cell r="I10932">
            <v>16984000000</v>
          </cell>
        </row>
        <row r="10933">
          <cell r="A10933" t="str">
            <v>Australia</v>
          </cell>
          <cell r="B10933">
            <v>36</v>
          </cell>
          <cell r="C10933">
            <v>203</v>
          </cell>
          <cell r="D10933">
            <v>11</v>
          </cell>
          <cell r="E10933" t="str">
            <v>OPERATING SURPLUS, GROSS</v>
          </cell>
          <cell r="F10933">
            <v>12</v>
          </cell>
          <cell r="G10933">
            <v>1972</v>
          </cell>
          <cell r="H10933">
            <v>100</v>
          </cell>
          <cell r="I10933">
            <v>19457000000</v>
          </cell>
        </row>
        <row r="10934">
          <cell r="A10934" t="str">
            <v>Australia</v>
          </cell>
          <cell r="B10934">
            <v>36</v>
          </cell>
          <cell r="C10934">
            <v>203</v>
          </cell>
          <cell r="D10934">
            <v>11</v>
          </cell>
          <cell r="E10934" t="str">
            <v>OPERATING SURPLUS, GROSS</v>
          </cell>
          <cell r="F10934">
            <v>12</v>
          </cell>
          <cell r="G10934">
            <v>1973</v>
          </cell>
          <cell r="H10934">
            <v>100</v>
          </cell>
          <cell r="I10934">
            <v>23008000000</v>
          </cell>
        </row>
        <row r="10935">
          <cell r="A10935" t="str">
            <v>Australia</v>
          </cell>
          <cell r="B10935">
            <v>36</v>
          </cell>
          <cell r="C10935">
            <v>203</v>
          </cell>
          <cell r="D10935">
            <v>11</v>
          </cell>
          <cell r="E10935" t="str">
            <v>OPERATING SURPLUS, GROSS</v>
          </cell>
          <cell r="F10935">
            <v>12</v>
          </cell>
          <cell r="G10935">
            <v>1974</v>
          </cell>
          <cell r="H10935">
            <v>100</v>
          </cell>
          <cell r="I10935">
            <v>23815000000</v>
          </cell>
        </row>
        <row r="10936">
          <cell r="A10936" t="str">
            <v>Australia</v>
          </cell>
          <cell r="B10936">
            <v>36</v>
          </cell>
          <cell r="C10936">
            <v>203</v>
          </cell>
          <cell r="D10936">
            <v>11</v>
          </cell>
          <cell r="E10936" t="str">
            <v>OPERATING SURPLUS, GROSS</v>
          </cell>
          <cell r="F10936">
            <v>12</v>
          </cell>
          <cell r="G10936">
            <v>1975</v>
          </cell>
          <cell r="H10936">
            <v>100</v>
          </cell>
          <cell r="I10936">
            <v>28003000000</v>
          </cell>
        </row>
        <row r="10937">
          <cell r="A10937" t="str">
            <v>Australia</v>
          </cell>
          <cell r="B10937">
            <v>36</v>
          </cell>
          <cell r="C10937">
            <v>203</v>
          </cell>
          <cell r="D10937">
            <v>11</v>
          </cell>
          <cell r="E10937" t="str">
            <v>OPERATING SURPLUS, GROSS</v>
          </cell>
          <cell r="F10937">
            <v>12</v>
          </cell>
          <cell r="G10937">
            <v>1976</v>
          </cell>
          <cell r="H10937">
            <v>100</v>
          </cell>
          <cell r="I10937">
            <v>33039000000</v>
          </cell>
        </row>
        <row r="10938">
          <cell r="A10938" t="str">
            <v>Australia</v>
          </cell>
          <cell r="B10938">
            <v>36</v>
          </cell>
          <cell r="C10938">
            <v>203</v>
          </cell>
          <cell r="D10938">
            <v>11</v>
          </cell>
          <cell r="E10938" t="str">
            <v>OPERATING SURPLUS, GROSS</v>
          </cell>
          <cell r="F10938">
            <v>12</v>
          </cell>
          <cell r="G10938">
            <v>1977</v>
          </cell>
          <cell r="H10938">
            <v>100</v>
          </cell>
          <cell r="I10938">
            <v>35990000000</v>
          </cell>
        </row>
        <row r="10939">
          <cell r="A10939" t="str">
            <v>Australia</v>
          </cell>
          <cell r="B10939">
            <v>36</v>
          </cell>
          <cell r="C10939">
            <v>203</v>
          </cell>
          <cell r="D10939">
            <v>11</v>
          </cell>
          <cell r="E10939" t="str">
            <v>OPERATING SURPLUS, GROSS</v>
          </cell>
          <cell r="F10939">
            <v>12</v>
          </cell>
          <cell r="G10939">
            <v>1978</v>
          </cell>
          <cell r="H10939">
            <v>100</v>
          </cell>
          <cell r="I10939">
            <v>43504000000</v>
          </cell>
        </row>
        <row r="10940">
          <cell r="A10940" t="str">
            <v>Australia</v>
          </cell>
          <cell r="B10940">
            <v>36</v>
          </cell>
          <cell r="C10940">
            <v>203</v>
          </cell>
          <cell r="D10940">
            <v>11</v>
          </cell>
          <cell r="E10940" t="str">
            <v>OPERATING SURPLUS, GROSS</v>
          </cell>
          <cell r="F10940">
            <v>12</v>
          </cell>
          <cell r="G10940">
            <v>1979</v>
          </cell>
          <cell r="H10940">
            <v>100</v>
          </cell>
          <cell r="I10940">
            <v>50571000000</v>
          </cell>
        </row>
        <row r="10941">
          <cell r="A10941" t="str">
            <v>Australia</v>
          </cell>
          <cell r="B10941">
            <v>36</v>
          </cell>
          <cell r="C10941">
            <v>203</v>
          </cell>
          <cell r="D10941">
            <v>11</v>
          </cell>
          <cell r="E10941" t="str">
            <v>OPERATING SURPLUS, GROSS</v>
          </cell>
          <cell r="F10941">
            <v>12</v>
          </cell>
          <cell r="G10941">
            <v>1980</v>
          </cell>
          <cell r="H10941">
            <v>100</v>
          </cell>
          <cell r="I10941">
            <v>56073000000</v>
          </cell>
        </row>
        <row r="10942">
          <cell r="A10942" t="str">
            <v>Australia</v>
          </cell>
          <cell r="B10942">
            <v>36</v>
          </cell>
          <cell r="C10942">
            <v>203</v>
          </cell>
          <cell r="D10942">
            <v>11</v>
          </cell>
          <cell r="E10942" t="str">
            <v>OPERATING SURPLUS, GROSS</v>
          </cell>
          <cell r="F10942">
            <v>12</v>
          </cell>
          <cell r="G10942">
            <v>1981</v>
          </cell>
          <cell r="H10942">
            <v>100</v>
          </cell>
          <cell r="I10942">
            <v>61845000000</v>
          </cell>
        </row>
        <row r="10943">
          <cell r="A10943" t="str">
            <v>Australia</v>
          </cell>
          <cell r="B10943">
            <v>36</v>
          </cell>
          <cell r="C10943">
            <v>203</v>
          </cell>
          <cell r="D10943">
            <v>11</v>
          </cell>
          <cell r="E10943" t="str">
            <v>OPERATING SURPLUS, GROSS</v>
          </cell>
          <cell r="F10943">
            <v>12</v>
          </cell>
          <cell r="G10943">
            <v>1982</v>
          </cell>
          <cell r="H10943">
            <v>100</v>
          </cell>
          <cell r="I10943">
            <v>64511000000</v>
          </cell>
        </row>
        <row r="10944">
          <cell r="A10944" t="str">
            <v>Australia</v>
          </cell>
          <cell r="B10944">
            <v>36</v>
          </cell>
          <cell r="C10944">
            <v>203</v>
          </cell>
          <cell r="D10944">
            <v>11</v>
          </cell>
          <cell r="E10944" t="str">
            <v>OPERATING SURPLUS, GROSS</v>
          </cell>
          <cell r="F10944">
            <v>12</v>
          </cell>
          <cell r="G10944">
            <v>1983</v>
          </cell>
          <cell r="H10944">
            <v>100</v>
          </cell>
          <cell r="I10944">
            <v>79593000000</v>
          </cell>
        </row>
        <row r="10945">
          <cell r="A10945" t="str">
            <v>Australia</v>
          </cell>
          <cell r="B10945">
            <v>36</v>
          </cell>
          <cell r="C10945">
            <v>203</v>
          </cell>
          <cell r="D10945">
            <v>11</v>
          </cell>
          <cell r="E10945" t="str">
            <v>OPERATING SURPLUS, GROSS</v>
          </cell>
          <cell r="F10945">
            <v>12</v>
          </cell>
          <cell r="G10945">
            <v>1984</v>
          </cell>
          <cell r="H10945">
            <v>100</v>
          </cell>
          <cell r="I10945">
            <v>87333000000</v>
          </cell>
        </row>
        <row r="10946">
          <cell r="A10946" t="str">
            <v>Australia</v>
          </cell>
          <cell r="B10946">
            <v>36</v>
          </cell>
          <cell r="C10946">
            <v>203</v>
          </cell>
          <cell r="D10946">
            <v>11</v>
          </cell>
          <cell r="E10946" t="str">
            <v>OPERATING SURPLUS, GROSS</v>
          </cell>
          <cell r="F10946">
            <v>12</v>
          </cell>
          <cell r="G10946">
            <v>1985</v>
          </cell>
          <cell r="H10946">
            <v>100</v>
          </cell>
          <cell r="I10946">
            <v>97075000000</v>
          </cell>
        </row>
        <row r="10947">
          <cell r="A10947" t="str">
            <v>Australia</v>
          </cell>
          <cell r="B10947">
            <v>36</v>
          </cell>
          <cell r="C10947">
            <v>203</v>
          </cell>
          <cell r="D10947">
            <v>11</v>
          </cell>
          <cell r="E10947" t="str">
            <v>OPERATING SURPLUS, GROSS</v>
          </cell>
          <cell r="F10947">
            <v>12</v>
          </cell>
          <cell r="G10947">
            <v>1986</v>
          </cell>
          <cell r="H10947">
            <v>100</v>
          </cell>
          <cell r="I10947">
            <v>108271000000</v>
          </cell>
        </row>
        <row r="10948">
          <cell r="A10948" t="str">
            <v>Australia</v>
          </cell>
          <cell r="B10948">
            <v>36</v>
          </cell>
          <cell r="C10948">
            <v>203</v>
          </cell>
          <cell r="D10948">
            <v>11</v>
          </cell>
          <cell r="E10948" t="str">
            <v>OPERATING SURPLUS, GROSS</v>
          </cell>
          <cell r="F10948">
            <v>12</v>
          </cell>
          <cell r="G10948">
            <v>1987</v>
          </cell>
          <cell r="H10948">
            <v>100</v>
          </cell>
          <cell r="I10948">
            <v>127714000000</v>
          </cell>
        </row>
        <row r="10949">
          <cell r="A10949" t="str">
            <v>Australia</v>
          </cell>
          <cell r="B10949">
            <v>36</v>
          </cell>
          <cell r="C10949">
            <v>203</v>
          </cell>
          <cell r="D10949">
            <v>11</v>
          </cell>
          <cell r="E10949" t="str">
            <v>OPERATING SURPLUS, GROSS</v>
          </cell>
          <cell r="F10949">
            <v>12</v>
          </cell>
          <cell r="G10949">
            <v>1988</v>
          </cell>
          <cell r="H10949">
            <v>100</v>
          </cell>
          <cell r="I10949">
            <v>147423000000</v>
          </cell>
        </row>
        <row r="10950">
          <cell r="A10950" t="str">
            <v>Australia</v>
          </cell>
          <cell r="B10950">
            <v>36</v>
          </cell>
          <cell r="C10950">
            <v>203</v>
          </cell>
          <cell r="D10950">
            <v>11</v>
          </cell>
          <cell r="E10950" t="str">
            <v>OPERATING SURPLUS, GROSS</v>
          </cell>
          <cell r="F10950">
            <v>12</v>
          </cell>
          <cell r="G10950">
            <v>1989</v>
          </cell>
          <cell r="H10950">
            <v>100</v>
          </cell>
          <cell r="I10950">
            <v>157570000000</v>
          </cell>
        </row>
        <row r="10951">
          <cell r="A10951" t="str">
            <v>Australia</v>
          </cell>
          <cell r="B10951">
            <v>36</v>
          </cell>
          <cell r="C10951">
            <v>203</v>
          </cell>
          <cell r="D10951">
            <v>11</v>
          </cell>
          <cell r="E10951" t="str">
            <v>OPERATING SURPLUS, GROSS</v>
          </cell>
          <cell r="F10951">
            <v>12</v>
          </cell>
          <cell r="G10951">
            <v>1990</v>
          </cell>
          <cell r="H10951">
            <v>100</v>
          </cell>
          <cell r="I10951">
            <v>161235000000</v>
          </cell>
        </row>
        <row r="10952">
          <cell r="A10952" t="str">
            <v>Australia</v>
          </cell>
          <cell r="B10952">
            <v>36</v>
          </cell>
          <cell r="C10952">
            <v>203</v>
          </cell>
          <cell r="D10952">
            <v>11</v>
          </cell>
          <cell r="E10952" t="str">
            <v>OPERATING SURPLUS, GROSS</v>
          </cell>
          <cell r="F10952">
            <v>12</v>
          </cell>
          <cell r="G10952">
            <v>1991</v>
          </cell>
          <cell r="H10952">
            <v>100</v>
          </cell>
          <cell r="I10952">
            <v>166653000000</v>
          </cell>
        </row>
        <row r="10953">
          <cell r="A10953" t="str">
            <v>Australia</v>
          </cell>
          <cell r="B10953">
            <v>36</v>
          </cell>
          <cell r="C10953">
            <v>203</v>
          </cell>
          <cell r="D10953">
            <v>11</v>
          </cell>
          <cell r="E10953" t="str">
            <v>OPERATING SURPLUS, GROSS</v>
          </cell>
          <cell r="F10953">
            <v>12</v>
          </cell>
          <cell r="G10953">
            <v>1992</v>
          </cell>
          <cell r="H10953">
            <v>100</v>
          </cell>
          <cell r="I10953">
            <v>177512000000</v>
          </cell>
        </row>
        <row r="10954">
          <cell r="A10954" t="str">
            <v>Australia</v>
          </cell>
          <cell r="B10954">
            <v>36</v>
          </cell>
          <cell r="C10954">
            <v>203</v>
          </cell>
          <cell r="D10954">
            <v>11</v>
          </cell>
          <cell r="E10954" t="str">
            <v>OPERATING SURPLUS, GROSS</v>
          </cell>
          <cell r="F10954">
            <v>12</v>
          </cell>
          <cell r="G10954">
            <v>1993</v>
          </cell>
          <cell r="H10954">
            <v>100</v>
          </cell>
          <cell r="I10954">
            <v>185849000000</v>
          </cell>
        </row>
        <row r="10955">
          <cell r="A10955" t="str">
            <v>Australia</v>
          </cell>
          <cell r="B10955">
            <v>36</v>
          </cell>
          <cell r="C10955">
            <v>203</v>
          </cell>
          <cell r="D10955">
            <v>11</v>
          </cell>
          <cell r="E10955" t="str">
            <v>OPERATING SURPLUS, GROSS</v>
          </cell>
          <cell r="F10955">
            <v>12</v>
          </cell>
          <cell r="G10955">
            <v>1994</v>
          </cell>
          <cell r="H10955">
            <v>100</v>
          </cell>
          <cell r="I10955">
            <v>192149000000</v>
          </cell>
        </row>
        <row r="10956">
          <cell r="A10956" t="str">
            <v>Australia</v>
          </cell>
          <cell r="B10956">
            <v>36</v>
          </cell>
          <cell r="C10956">
            <v>203</v>
          </cell>
          <cell r="D10956">
            <v>11</v>
          </cell>
          <cell r="E10956" t="str">
            <v>OPERATING SURPLUS, GROSS</v>
          </cell>
          <cell r="F10956">
            <v>12</v>
          </cell>
          <cell r="G10956">
            <v>1995</v>
          </cell>
          <cell r="H10956">
            <v>100</v>
          </cell>
          <cell r="I10956">
            <v>202687000000</v>
          </cell>
        </row>
        <row r="10957">
          <cell r="A10957" t="str">
            <v>Australia</v>
          </cell>
          <cell r="B10957">
            <v>36</v>
          </cell>
          <cell r="C10957">
            <v>203</v>
          </cell>
          <cell r="D10957">
            <v>11</v>
          </cell>
          <cell r="E10957" t="str">
            <v>OPERATING SURPLUS, GROSS</v>
          </cell>
          <cell r="F10957">
            <v>12</v>
          </cell>
          <cell r="G10957">
            <v>1996</v>
          </cell>
          <cell r="H10957">
            <v>100</v>
          </cell>
          <cell r="I10957">
            <v>210158000000</v>
          </cell>
        </row>
        <row r="10958">
          <cell r="A10958" t="str">
            <v>Australia</v>
          </cell>
          <cell r="B10958">
            <v>36</v>
          </cell>
          <cell r="C10958">
            <v>203</v>
          </cell>
          <cell r="D10958">
            <v>11</v>
          </cell>
          <cell r="E10958" t="str">
            <v>OPERATING SURPLUS, GROSS</v>
          </cell>
          <cell r="F10958">
            <v>12</v>
          </cell>
          <cell r="G10958">
            <v>1997</v>
          </cell>
          <cell r="H10958">
            <v>100</v>
          </cell>
          <cell r="I10958">
            <v>227762000000</v>
          </cell>
        </row>
        <row r="10959">
          <cell r="A10959" t="str">
            <v>Australia</v>
          </cell>
          <cell r="B10959">
            <v>36</v>
          </cell>
          <cell r="C10959">
            <v>203</v>
          </cell>
          <cell r="D10959">
            <v>11</v>
          </cell>
          <cell r="E10959" t="str">
            <v>OPERATING SURPLUS, GROSS</v>
          </cell>
          <cell r="F10959">
            <v>12</v>
          </cell>
          <cell r="G10959">
            <v>1998</v>
          </cell>
          <cell r="H10959">
            <v>100</v>
          </cell>
          <cell r="I10959">
            <v>235465000000</v>
          </cell>
        </row>
        <row r="10960">
          <cell r="A10960" t="str">
            <v>Australia</v>
          </cell>
          <cell r="B10960">
            <v>36</v>
          </cell>
          <cell r="C10960">
            <v>203</v>
          </cell>
          <cell r="D10960">
            <v>11</v>
          </cell>
          <cell r="E10960" t="str">
            <v>OPERATING SURPLUS, GROSS</v>
          </cell>
          <cell r="F10960">
            <v>12</v>
          </cell>
          <cell r="G10960">
            <v>1999</v>
          </cell>
          <cell r="H10960">
            <v>100</v>
          </cell>
          <cell r="I10960">
            <v>250694000000</v>
          </cell>
        </row>
        <row r="10961">
          <cell r="A10961" t="str">
            <v>Australia</v>
          </cell>
          <cell r="B10961">
            <v>36</v>
          </cell>
          <cell r="C10961">
            <v>203</v>
          </cell>
          <cell r="D10961">
            <v>11</v>
          </cell>
          <cell r="E10961" t="str">
            <v>OPERATING SURPLUS, GROSS</v>
          </cell>
          <cell r="F10961">
            <v>12</v>
          </cell>
          <cell r="G10961">
            <v>2000</v>
          </cell>
          <cell r="H10961">
            <v>100</v>
          </cell>
          <cell r="I10961">
            <v>267801000000</v>
          </cell>
        </row>
        <row r="10962">
          <cell r="A10962" t="str">
            <v>Australia</v>
          </cell>
          <cell r="B10962">
            <v>36</v>
          </cell>
          <cell r="C10962">
            <v>203</v>
          </cell>
          <cell r="D10962">
            <v>11</v>
          </cell>
          <cell r="E10962" t="str">
            <v>OPERATING SURPLUS, GROSS</v>
          </cell>
          <cell r="F10962">
            <v>12</v>
          </cell>
          <cell r="G10962">
            <v>2001</v>
          </cell>
          <cell r="H10962">
            <v>100</v>
          </cell>
          <cell r="I10962">
            <v>291131000000</v>
          </cell>
        </row>
        <row r="10963">
          <cell r="A10963" t="str">
            <v>Australia</v>
          </cell>
          <cell r="B10963">
            <v>36</v>
          </cell>
          <cell r="C10963">
            <v>203</v>
          </cell>
          <cell r="D10963">
            <v>11</v>
          </cell>
          <cell r="E10963" t="str">
            <v>OPERATING SURPLUS, GROSS</v>
          </cell>
          <cell r="F10963">
            <v>12</v>
          </cell>
          <cell r="G10963">
            <v>2002</v>
          </cell>
          <cell r="H10963">
            <v>100</v>
          </cell>
          <cell r="I10963">
            <v>302017000000</v>
          </cell>
        </row>
        <row r="10964">
          <cell r="A10964" t="str">
            <v>Bahrain</v>
          </cell>
          <cell r="B10964">
            <v>48</v>
          </cell>
          <cell r="C10964">
            <v>201</v>
          </cell>
          <cell r="D10964">
            <v>13</v>
          </cell>
          <cell r="E10964" t="str">
            <v>Less: Financial intermediation services indirectly measured (FISIM) (only to be deducted if FISIM is not distributed to uses)</v>
          </cell>
          <cell r="F10964">
            <v>0</v>
          </cell>
          <cell r="G10964">
            <v>1975</v>
          </cell>
          <cell r="H10964">
            <v>10</v>
          </cell>
          <cell r="I10964">
            <v>8400000</v>
          </cell>
        </row>
        <row r="10965">
          <cell r="A10965" t="str">
            <v>Bahrain</v>
          </cell>
          <cell r="B10965">
            <v>48</v>
          </cell>
          <cell r="C10965">
            <v>201</v>
          </cell>
          <cell r="D10965">
            <v>13</v>
          </cell>
          <cell r="E10965" t="str">
            <v>Less: Financial intermediation services indirectly measured (FISIM) (only to be deducted if FISIM is not distributed to uses)</v>
          </cell>
          <cell r="F10965">
            <v>0</v>
          </cell>
          <cell r="G10965">
            <v>1976</v>
          </cell>
          <cell r="H10965">
            <v>10</v>
          </cell>
          <cell r="I10965">
            <v>30200000</v>
          </cell>
        </row>
        <row r="10966">
          <cell r="A10966" t="str">
            <v>Bahrain</v>
          </cell>
          <cell r="B10966">
            <v>48</v>
          </cell>
          <cell r="C10966">
            <v>201</v>
          </cell>
          <cell r="D10966">
            <v>13</v>
          </cell>
          <cell r="E10966" t="str">
            <v>Less: Financial intermediation services indirectly measured (FISIM) (only to be deducted if FISIM is not distributed to uses)</v>
          </cell>
          <cell r="F10966">
            <v>0</v>
          </cell>
          <cell r="G10966">
            <v>1977</v>
          </cell>
          <cell r="H10966">
            <v>10</v>
          </cell>
          <cell r="I10966">
            <v>47800000</v>
          </cell>
        </row>
        <row r="10967">
          <cell r="A10967" t="str">
            <v>Bahrain</v>
          </cell>
          <cell r="B10967">
            <v>48</v>
          </cell>
          <cell r="C10967">
            <v>201</v>
          </cell>
          <cell r="D10967">
            <v>13</v>
          </cell>
          <cell r="E10967" t="str">
            <v>Less: Financial intermediation services indirectly measured (FISIM) (only to be deducted if FISIM is not distributed to uses)</v>
          </cell>
          <cell r="F10967">
            <v>0</v>
          </cell>
          <cell r="G10967">
            <v>1978</v>
          </cell>
          <cell r="H10967">
            <v>10</v>
          </cell>
          <cell r="I10967">
            <v>67400000</v>
          </cell>
        </row>
        <row r="10968">
          <cell r="A10968" t="str">
            <v>Bahrain</v>
          </cell>
          <cell r="B10968">
            <v>48</v>
          </cell>
          <cell r="C10968">
            <v>201</v>
          </cell>
          <cell r="D10968">
            <v>13</v>
          </cell>
          <cell r="E10968" t="str">
            <v>Less: Financial intermediation services indirectly measured (FISIM) (only to be deducted if FISIM is not distributed to uses)</v>
          </cell>
          <cell r="F10968">
            <v>0</v>
          </cell>
          <cell r="G10968">
            <v>1979</v>
          </cell>
          <cell r="H10968">
            <v>10</v>
          </cell>
          <cell r="I10968">
            <v>75500000</v>
          </cell>
        </row>
        <row r="10969">
          <cell r="A10969" t="str">
            <v>Bahrain</v>
          </cell>
          <cell r="B10969">
            <v>48</v>
          </cell>
          <cell r="C10969">
            <v>201</v>
          </cell>
          <cell r="D10969">
            <v>13</v>
          </cell>
          <cell r="E10969" t="str">
            <v>Less: Financial intermediation services indirectly measured (FISIM) (only to be deducted if FISIM is not distributed to uses)</v>
          </cell>
          <cell r="F10969">
            <v>0</v>
          </cell>
          <cell r="G10969">
            <v>1980</v>
          </cell>
          <cell r="H10969">
            <v>10</v>
          </cell>
          <cell r="I10969">
            <v>113300000</v>
          </cell>
        </row>
        <row r="10970">
          <cell r="A10970" t="str">
            <v>Bahrain</v>
          </cell>
          <cell r="B10970">
            <v>48</v>
          </cell>
          <cell r="C10970">
            <v>201</v>
          </cell>
          <cell r="D10970">
            <v>13</v>
          </cell>
          <cell r="E10970" t="str">
            <v>Less: Financial intermediation services indirectly measured (FISIM) (only to be deducted if FISIM is not distributed to uses)</v>
          </cell>
          <cell r="F10970">
            <v>0</v>
          </cell>
          <cell r="G10970">
            <v>1981</v>
          </cell>
          <cell r="H10970">
            <v>10</v>
          </cell>
          <cell r="I10970">
            <v>182500000</v>
          </cell>
        </row>
        <row r="10971">
          <cell r="A10971" t="str">
            <v>Bahrain</v>
          </cell>
          <cell r="B10971">
            <v>48</v>
          </cell>
          <cell r="C10971">
            <v>201</v>
          </cell>
          <cell r="D10971">
            <v>13</v>
          </cell>
          <cell r="E10971" t="str">
            <v>Less: Financial intermediation services indirectly measured (FISIM) (only to be deducted if FISIM is not distributed to uses)</v>
          </cell>
          <cell r="F10971">
            <v>0</v>
          </cell>
          <cell r="G10971">
            <v>1982</v>
          </cell>
          <cell r="H10971">
            <v>10</v>
          </cell>
          <cell r="I10971">
            <v>267400000</v>
          </cell>
        </row>
        <row r="10972">
          <cell r="A10972" t="str">
            <v>Bahrain</v>
          </cell>
          <cell r="B10972">
            <v>48</v>
          </cell>
          <cell r="C10972">
            <v>201</v>
          </cell>
          <cell r="D10972">
            <v>13</v>
          </cell>
          <cell r="E10972" t="str">
            <v>Less: Financial intermediation services indirectly measured (FISIM) (only to be deducted if FISIM is not distributed to uses)</v>
          </cell>
          <cell r="F10972">
            <v>0</v>
          </cell>
          <cell r="G10972">
            <v>1983</v>
          </cell>
          <cell r="H10972">
            <v>10</v>
          </cell>
          <cell r="I10972">
            <v>263600000</v>
          </cell>
        </row>
        <row r="10973">
          <cell r="A10973" t="str">
            <v>Bahrain</v>
          </cell>
          <cell r="B10973">
            <v>48</v>
          </cell>
          <cell r="C10973">
            <v>201</v>
          </cell>
          <cell r="D10973">
            <v>13</v>
          </cell>
          <cell r="E10973" t="str">
            <v>Less: Financial intermediation services indirectly measured (FISIM) (only to be deducted if FISIM is not distributed to uses)</v>
          </cell>
          <cell r="F10973">
            <v>0</v>
          </cell>
          <cell r="G10973">
            <v>1984</v>
          </cell>
          <cell r="H10973">
            <v>10</v>
          </cell>
          <cell r="I10973">
            <v>267600000</v>
          </cell>
        </row>
        <row r="10974">
          <cell r="A10974" t="str">
            <v>Bahrain</v>
          </cell>
          <cell r="B10974">
            <v>48</v>
          </cell>
          <cell r="C10974">
            <v>201</v>
          </cell>
          <cell r="D10974">
            <v>13</v>
          </cell>
          <cell r="E10974" t="str">
            <v>Less: Financial intermediation services indirectly measured (FISIM) (only to be deducted if FISIM is not distributed to uses)</v>
          </cell>
          <cell r="F10974">
            <v>0</v>
          </cell>
          <cell r="G10974">
            <v>1985</v>
          </cell>
          <cell r="H10974">
            <v>10</v>
          </cell>
          <cell r="I10974">
            <v>256400000</v>
          </cell>
        </row>
        <row r="10975">
          <cell r="A10975" t="str">
            <v>Bahrain</v>
          </cell>
          <cell r="B10975">
            <v>48</v>
          </cell>
          <cell r="C10975">
            <v>201</v>
          </cell>
          <cell r="D10975">
            <v>13</v>
          </cell>
          <cell r="E10975" t="str">
            <v>Less: Financial intermediation services indirectly measured (FISIM) (only to be deducted if FISIM is not distributed to uses)</v>
          </cell>
          <cell r="F10975">
            <v>0</v>
          </cell>
          <cell r="G10975">
            <v>1986</v>
          </cell>
          <cell r="H10975">
            <v>10</v>
          </cell>
          <cell r="I10975">
            <v>216000000</v>
          </cell>
        </row>
        <row r="10976">
          <cell r="A10976" t="str">
            <v>Bahrain</v>
          </cell>
          <cell r="B10976">
            <v>48</v>
          </cell>
          <cell r="C10976">
            <v>201</v>
          </cell>
          <cell r="D10976">
            <v>13</v>
          </cell>
          <cell r="E10976" t="str">
            <v>Less: Financial intermediation services indirectly measured (FISIM) (only to be deducted if FISIM is not distributed to uses)</v>
          </cell>
          <cell r="F10976">
            <v>0</v>
          </cell>
          <cell r="G10976">
            <v>1987</v>
          </cell>
          <cell r="H10976">
            <v>10</v>
          </cell>
          <cell r="I10976">
            <v>169000000</v>
          </cell>
        </row>
        <row r="10977">
          <cell r="A10977" t="str">
            <v>Bahrain</v>
          </cell>
          <cell r="B10977">
            <v>48</v>
          </cell>
          <cell r="C10977">
            <v>201</v>
          </cell>
          <cell r="D10977">
            <v>13</v>
          </cell>
          <cell r="E10977" t="str">
            <v>Less: Financial intermediation services indirectly measured (FISIM) (only to be deducted if FISIM is not distributed to uses)</v>
          </cell>
          <cell r="F10977">
            <v>0</v>
          </cell>
          <cell r="G10977">
            <v>1988</v>
          </cell>
          <cell r="H10977">
            <v>10</v>
          </cell>
          <cell r="I10977">
            <v>194800000</v>
          </cell>
        </row>
        <row r="10978">
          <cell r="A10978" t="str">
            <v>Bahrain</v>
          </cell>
          <cell r="B10978">
            <v>48</v>
          </cell>
          <cell r="C10978">
            <v>201</v>
          </cell>
          <cell r="D10978">
            <v>13</v>
          </cell>
          <cell r="E10978" t="str">
            <v>Less: Financial intermediation services indirectly measured (FISIM) (only to be deducted if FISIM is not distributed to uses)</v>
          </cell>
          <cell r="F10978">
            <v>0</v>
          </cell>
          <cell r="G10978">
            <v>1989</v>
          </cell>
          <cell r="H10978">
            <v>10</v>
          </cell>
          <cell r="I10978">
            <v>165000000</v>
          </cell>
        </row>
        <row r="10979">
          <cell r="A10979" t="str">
            <v>Bahrain</v>
          </cell>
          <cell r="B10979">
            <v>48</v>
          </cell>
          <cell r="C10979">
            <v>201</v>
          </cell>
          <cell r="D10979">
            <v>13</v>
          </cell>
          <cell r="E10979" t="str">
            <v>Less: Financial intermediation services indirectly measured (FISIM) (only to be deducted if FISIM is not distributed to uses)</v>
          </cell>
          <cell r="F10979">
            <v>0</v>
          </cell>
          <cell r="G10979">
            <v>1990</v>
          </cell>
          <cell r="H10979">
            <v>10</v>
          </cell>
          <cell r="I10979">
            <v>152300000</v>
          </cell>
        </row>
        <row r="10980">
          <cell r="A10980" t="str">
            <v>Bahrain</v>
          </cell>
          <cell r="B10980">
            <v>48</v>
          </cell>
          <cell r="C10980">
            <v>201</v>
          </cell>
          <cell r="D10980">
            <v>13</v>
          </cell>
          <cell r="E10980" t="str">
            <v>Less: Financial intermediation services indirectly measured (FISIM) (only to be deducted if FISIM is not distributed to uses)</v>
          </cell>
          <cell r="F10980">
            <v>0</v>
          </cell>
          <cell r="G10980">
            <v>1991</v>
          </cell>
          <cell r="H10980">
            <v>10</v>
          </cell>
          <cell r="I10980">
            <v>133100000</v>
          </cell>
        </row>
        <row r="10981">
          <cell r="A10981" t="str">
            <v>Bahrain</v>
          </cell>
          <cell r="B10981">
            <v>48</v>
          </cell>
          <cell r="C10981">
            <v>201</v>
          </cell>
          <cell r="D10981">
            <v>13</v>
          </cell>
          <cell r="E10981" t="str">
            <v>Less: Financial intermediation services indirectly measured (FISIM) (only to be deducted if FISIM is not distributed to uses)</v>
          </cell>
          <cell r="F10981">
            <v>0</v>
          </cell>
          <cell r="G10981">
            <v>1992</v>
          </cell>
          <cell r="H10981">
            <v>10</v>
          </cell>
          <cell r="I10981">
            <v>154400000</v>
          </cell>
        </row>
        <row r="10982">
          <cell r="A10982" t="str">
            <v>Bahrain</v>
          </cell>
          <cell r="B10982">
            <v>48</v>
          </cell>
          <cell r="C10982">
            <v>201</v>
          </cell>
          <cell r="D10982">
            <v>13</v>
          </cell>
          <cell r="E10982" t="str">
            <v>Less: Financial intermediation services indirectly measured (FISIM) (only to be deducted if FISIM is not distributed to uses)</v>
          </cell>
          <cell r="F10982">
            <v>0</v>
          </cell>
          <cell r="G10982">
            <v>1992</v>
          </cell>
          <cell r="H10982">
            <v>20</v>
          </cell>
          <cell r="I10982">
            <v>221440000</v>
          </cell>
        </row>
        <row r="10983">
          <cell r="A10983" t="str">
            <v>Bahrain</v>
          </cell>
          <cell r="B10983">
            <v>48</v>
          </cell>
          <cell r="C10983">
            <v>201</v>
          </cell>
          <cell r="D10983">
            <v>13</v>
          </cell>
          <cell r="E10983" t="str">
            <v>Less: Financial intermediation services indirectly measured (FISIM) (only to be deducted if FISIM is not distributed to uses)</v>
          </cell>
          <cell r="F10983">
            <v>0</v>
          </cell>
          <cell r="G10983">
            <v>1993</v>
          </cell>
          <cell r="H10983">
            <v>20</v>
          </cell>
          <cell r="I10983">
            <v>236770000</v>
          </cell>
        </row>
        <row r="10984">
          <cell r="A10984" t="str">
            <v>Bahrain</v>
          </cell>
          <cell r="B10984">
            <v>48</v>
          </cell>
          <cell r="C10984">
            <v>201</v>
          </cell>
          <cell r="D10984">
            <v>13</v>
          </cell>
          <cell r="E10984" t="str">
            <v>Less: Financial intermediation services indirectly measured (FISIM) (only to be deducted if FISIM is not distributed to uses)</v>
          </cell>
          <cell r="F10984">
            <v>0</v>
          </cell>
          <cell r="G10984">
            <v>1994</v>
          </cell>
          <cell r="H10984">
            <v>20</v>
          </cell>
          <cell r="I10984">
            <v>268000000</v>
          </cell>
        </row>
        <row r="10985">
          <cell r="A10985" t="str">
            <v>Bahrain</v>
          </cell>
          <cell r="B10985">
            <v>48</v>
          </cell>
          <cell r="C10985">
            <v>201</v>
          </cell>
          <cell r="D10985">
            <v>13</v>
          </cell>
          <cell r="E10985" t="str">
            <v>Less: Financial intermediation services indirectly measured (FISIM) (only to be deducted if FISIM is not distributed to uses)</v>
          </cell>
          <cell r="F10985">
            <v>0</v>
          </cell>
          <cell r="G10985">
            <v>1995</v>
          </cell>
          <cell r="H10985">
            <v>20</v>
          </cell>
          <cell r="I10985">
            <v>265000000</v>
          </cell>
        </row>
        <row r="10986">
          <cell r="A10986" t="str">
            <v>Bahrain</v>
          </cell>
          <cell r="B10986">
            <v>48</v>
          </cell>
          <cell r="C10986">
            <v>201</v>
          </cell>
          <cell r="D10986">
            <v>13</v>
          </cell>
          <cell r="E10986" t="str">
            <v>Less: Financial intermediation services indirectly measured (FISIM) (only to be deducted if FISIM is not distributed to uses)</v>
          </cell>
          <cell r="F10986">
            <v>0</v>
          </cell>
          <cell r="G10986">
            <v>1996</v>
          </cell>
          <cell r="H10986">
            <v>20</v>
          </cell>
          <cell r="I10986">
            <v>280000000</v>
          </cell>
        </row>
        <row r="10987">
          <cell r="A10987" t="str">
            <v>Bahrain</v>
          </cell>
          <cell r="B10987">
            <v>48</v>
          </cell>
          <cell r="C10987">
            <v>201</v>
          </cell>
          <cell r="D10987">
            <v>13</v>
          </cell>
          <cell r="E10987" t="str">
            <v>Less: Financial intermediation services indirectly measured (FISIM) (only to be deducted if FISIM is not distributed to uses)</v>
          </cell>
          <cell r="F10987">
            <v>0</v>
          </cell>
          <cell r="G10987">
            <v>1997</v>
          </cell>
          <cell r="H10987">
            <v>20</v>
          </cell>
          <cell r="I10987">
            <v>307000000</v>
          </cell>
        </row>
        <row r="10988">
          <cell r="A10988" t="str">
            <v>Bahrain</v>
          </cell>
          <cell r="B10988">
            <v>48</v>
          </cell>
          <cell r="C10988">
            <v>201</v>
          </cell>
          <cell r="D10988">
            <v>13</v>
          </cell>
          <cell r="E10988" t="str">
            <v>Less: Financial intermediation services indirectly measured (FISIM) (only to be deducted if FISIM is not distributed to uses)</v>
          </cell>
          <cell r="F10988">
            <v>0</v>
          </cell>
          <cell r="G10988">
            <v>1998</v>
          </cell>
          <cell r="H10988">
            <v>20</v>
          </cell>
          <cell r="I10988">
            <v>314000000</v>
          </cell>
        </row>
        <row r="10989">
          <cell r="A10989" t="str">
            <v>Bahrain</v>
          </cell>
          <cell r="B10989">
            <v>48</v>
          </cell>
          <cell r="C10989">
            <v>201</v>
          </cell>
          <cell r="D10989">
            <v>13</v>
          </cell>
          <cell r="E10989" t="str">
            <v>Less: Financial intermediation services indirectly measured (FISIM) (only to be deducted if FISIM is not distributed to uses)</v>
          </cell>
          <cell r="F10989">
            <v>0</v>
          </cell>
          <cell r="G10989">
            <v>1999</v>
          </cell>
          <cell r="H10989">
            <v>20</v>
          </cell>
          <cell r="I10989">
            <v>313000000</v>
          </cell>
        </row>
        <row r="10990">
          <cell r="A10990" t="str">
            <v>Bahrain</v>
          </cell>
          <cell r="B10990">
            <v>48</v>
          </cell>
          <cell r="C10990">
            <v>201</v>
          </cell>
          <cell r="D10990">
            <v>13</v>
          </cell>
          <cell r="E10990" t="str">
            <v>Less: Financial intermediation services indirectly measured (FISIM) (only to be deducted if FISIM is not distributed to uses)</v>
          </cell>
          <cell r="F10990">
            <v>0</v>
          </cell>
          <cell r="G10990">
            <v>2000</v>
          </cell>
          <cell r="H10990">
            <v>20</v>
          </cell>
          <cell r="I10990">
            <v>395000000</v>
          </cell>
        </row>
        <row r="10991">
          <cell r="A10991" t="str">
            <v>Bahrain</v>
          </cell>
          <cell r="B10991">
            <v>48</v>
          </cell>
          <cell r="C10991">
            <v>201</v>
          </cell>
          <cell r="D10991">
            <v>13</v>
          </cell>
          <cell r="E10991" t="str">
            <v>Less: Financial intermediation services indirectly measured (FISIM) (only to be deducted if FISIM is not distributed to uses)</v>
          </cell>
          <cell r="F10991">
            <v>0</v>
          </cell>
          <cell r="G10991">
            <v>2001</v>
          </cell>
          <cell r="H10991">
            <v>20</v>
          </cell>
          <cell r="I10991">
            <v>326000000</v>
          </cell>
        </row>
        <row r="10992">
          <cell r="A10992" t="str">
            <v>Bahrain</v>
          </cell>
          <cell r="B10992">
            <v>48</v>
          </cell>
          <cell r="C10992">
            <v>201</v>
          </cell>
          <cell r="D10992">
            <v>13</v>
          </cell>
          <cell r="E10992" t="str">
            <v>Less: Financial intermediation services indirectly measured (FISIM) (only to be deducted if FISIM is not distributed to uses)</v>
          </cell>
          <cell r="F10992">
            <v>0</v>
          </cell>
          <cell r="G10992">
            <v>2002</v>
          </cell>
          <cell r="H10992">
            <v>20</v>
          </cell>
          <cell r="I10992">
            <v>330000000</v>
          </cell>
        </row>
        <row r="10993">
          <cell r="A10993" t="str">
            <v>Bahrain</v>
          </cell>
          <cell r="B10993">
            <v>48</v>
          </cell>
          <cell r="C10993">
            <v>201</v>
          </cell>
          <cell r="D10993">
            <v>13</v>
          </cell>
          <cell r="E10993" t="str">
            <v>Less: Financial intermediation services indirectly measured (FISIM) (only to be deducted if FISIM is not distributed to uses)</v>
          </cell>
          <cell r="F10993">
            <v>0</v>
          </cell>
          <cell r="G10993">
            <v>2003</v>
          </cell>
          <cell r="H10993">
            <v>20</v>
          </cell>
          <cell r="I10993">
            <v>331000000</v>
          </cell>
        </row>
        <row r="10994">
          <cell r="A10994" t="str">
            <v>Bahrain</v>
          </cell>
          <cell r="B10994">
            <v>48</v>
          </cell>
          <cell r="C10994">
            <v>203</v>
          </cell>
          <cell r="D10994">
            <v>3</v>
          </cell>
          <cell r="E10994" t="str">
            <v>Equals: VALUE ADDED, GROSS, at basic prices</v>
          </cell>
          <cell r="F10994">
            <v>12</v>
          </cell>
          <cell r="G10994">
            <v>1992</v>
          </cell>
          <cell r="H10994">
            <v>20</v>
          </cell>
          <cell r="I10994">
            <v>1949800000</v>
          </cell>
        </row>
        <row r="10995">
          <cell r="A10995" t="str">
            <v>Bahrain</v>
          </cell>
          <cell r="B10995">
            <v>48</v>
          </cell>
          <cell r="C10995">
            <v>203</v>
          </cell>
          <cell r="D10995">
            <v>3</v>
          </cell>
          <cell r="E10995" t="str">
            <v>Equals: VALUE ADDED, GROSS, at basic prices</v>
          </cell>
          <cell r="F10995">
            <v>12</v>
          </cell>
          <cell r="G10995">
            <v>1993</v>
          </cell>
          <cell r="H10995">
            <v>20</v>
          </cell>
          <cell r="I10995">
            <v>2142200000</v>
          </cell>
        </row>
        <row r="10996">
          <cell r="A10996" t="str">
            <v>Bahrain</v>
          </cell>
          <cell r="B10996">
            <v>48</v>
          </cell>
          <cell r="C10996">
            <v>203</v>
          </cell>
          <cell r="D10996">
            <v>3</v>
          </cell>
          <cell r="E10996" t="str">
            <v>Equals: VALUE ADDED, GROSS, at basic prices</v>
          </cell>
          <cell r="F10996">
            <v>12</v>
          </cell>
          <cell r="G10996">
            <v>1994</v>
          </cell>
          <cell r="H10996">
            <v>20</v>
          </cell>
          <cell r="I10996">
            <v>2309000000</v>
          </cell>
        </row>
        <row r="10997">
          <cell r="A10997" t="str">
            <v>Bahrain</v>
          </cell>
          <cell r="B10997">
            <v>48</v>
          </cell>
          <cell r="C10997">
            <v>203</v>
          </cell>
          <cell r="D10997">
            <v>3</v>
          </cell>
          <cell r="E10997" t="str">
            <v>Equals: VALUE ADDED, GROSS, at basic prices</v>
          </cell>
          <cell r="F10997">
            <v>12</v>
          </cell>
          <cell r="G10997">
            <v>1995</v>
          </cell>
          <cell r="H10997">
            <v>20</v>
          </cell>
          <cell r="I10997">
            <v>2417000000</v>
          </cell>
        </row>
        <row r="10998">
          <cell r="A10998" t="str">
            <v>Bahrain</v>
          </cell>
          <cell r="B10998">
            <v>48</v>
          </cell>
          <cell r="C10998">
            <v>203</v>
          </cell>
          <cell r="D10998">
            <v>3</v>
          </cell>
          <cell r="E10998" t="str">
            <v>Equals: VALUE ADDED, GROSS, at basic prices</v>
          </cell>
          <cell r="F10998">
            <v>12</v>
          </cell>
          <cell r="G10998">
            <v>1996</v>
          </cell>
          <cell r="H10998">
            <v>20</v>
          </cell>
          <cell r="I10998">
            <v>2529900000</v>
          </cell>
        </row>
        <row r="10999">
          <cell r="A10999" t="str">
            <v>Bahrain</v>
          </cell>
          <cell r="B10999">
            <v>48</v>
          </cell>
          <cell r="C10999">
            <v>203</v>
          </cell>
          <cell r="D10999">
            <v>3</v>
          </cell>
          <cell r="E10999" t="str">
            <v>Equals: VALUE ADDED, GROSS, at basic prices</v>
          </cell>
          <cell r="F10999">
            <v>12</v>
          </cell>
          <cell r="G10999">
            <v>1997</v>
          </cell>
          <cell r="H10999">
            <v>20</v>
          </cell>
          <cell r="I10999">
            <v>2638700000</v>
          </cell>
        </row>
        <row r="11000">
          <cell r="A11000" t="str">
            <v>Bahrain</v>
          </cell>
          <cell r="B11000">
            <v>48</v>
          </cell>
          <cell r="C11000">
            <v>203</v>
          </cell>
          <cell r="D11000">
            <v>3</v>
          </cell>
          <cell r="E11000" t="str">
            <v>Equals: VALUE ADDED, GROSS, at basic prices</v>
          </cell>
          <cell r="F11000">
            <v>12</v>
          </cell>
          <cell r="G11000">
            <v>1998</v>
          </cell>
          <cell r="H11000">
            <v>20</v>
          </cell>
          <cell r="I11000">
            <v>2575400000</v>
          </cell>
        </row>
        <row r="11001">
          <cell r="A11001" t="str">
            <v>Bahrain</v>
          </cell>
          <cell r="B11001">
            <v>48</v>
          </cell>
          <cell r="C11001">
            <v>203</v>
          </cell>
          <cell r="D11001">
            <v>3</v>
          </cell>
          <cell r="E11001" t="str">
            <v>Equals: VALUE ADDED, GROSS, at basic prices</v>
          </cell>
          <cell r="F11001">
            <v>12</v>
          </cell>
          <cell r="G11001">
            <v>1999</v>
          </cell>
          <cell r="H11001">
            <v>20</v>
          </cell>
          <cell r="I11001">
            <v>2745000000</v>
          </cell>
        </row>
        <row r="11002">
          <cell r="A11002" t="str">
            <v>Bahrain</v>
          </cell>
          <cell r="B11002">
            <v>48</v>
          </cell>
          <cell r="C11002">
            <v>203</v>
          </cell>
          <cell r="D11002">
            <v>3</v>
          </cell>
          <cell r="E11002" t="str">
            <v>Equals: VALUE ADDED, GROSS, at basic prices</v>
          </cell>
          <cell r="F11002">
            <v>12</v>
          </cell>
          <cell r="G11002">
            <v>2000</v>
          </cell>
          <cell r="H11002">
            <v>20</v>
          </cell>
          <cell r="I11002">
            <v>3336300000</v>
          </cell>
        </row>
        <row r="11003">
          <cell r="A11003" t="str">
            <v>Bahrain</v>
          </cell>
          <cell r="B11003">
            <v>48</v>
          </cell>
          <cell r="C11003">
            <v>203</v>
          </cell>
          <cell r="D11003">
            <v>3</v>
          </cell>
          <cell r="E11003" t="str">
            <v>Equals: VALUE ADDED, GROSS, at basic prices</v>
          </cell>
          <cell r="F11003">
            <v>12</v>
          </cell>
          <cell r="G11003">
            <v>2001</v>
          </cell>
          <cell r="H11003">
            <v>20</v>
          </cell>
          <cell r="I11003">
            <v>3250000000</v>
          </cell>
        </row>
        <row r="11004">
          <cell r="A11004" t="str">
            <v>Bahrain</v>
          </cell>
          <cell r="B11004">
            <v>48</v>
          </cell>
          <cell r="C11004">
            <v>203</v>
          </cell>
          <cell r="D11004">
            <v>3</v>
          </cell>
          <cell r="E11004" t="str">
            <v>Equals: VALUE ADDED, GROSS, at basic prices</v>
          </cell>
          <cell r="F11004">
            <v>12</v>
          </cell>
          <cell r="G11004">
            <v>2002</v>
          </cell>
          <cell r="H11004">
            <v>20</v>
          </cell>
          <cell r="I11004">
            <v>3459000000</v>
          </cell>
        </row>
        <row r="11005">
          <cell r="A11005" t="str">
            <v>Bahrain</v>
          </cell>
          <cell r="B11005">
            <v>48</v>
          </cell>
          <cell r="C11005">
            <v>203</v>
          </cell>
          <cell r="D11005">
            <v>3</v>
          </cell>
          <cell r="E11005" t="str">
            <v>Equals: VALUE ADDED, GROSS, at basic prices</v>
          </cell>
          <cell r="F11005">
            <v>12</v>
          </cell>
          <cell r="G11005">
            <v>2003</v>
          </cell>
          <cell r="H11005">
            <v>20</v>
          </cell>
          <cell r="I11005">
            <v>3893000000</v>
          </cell>
        </row>
        <row r="11006">
          <cell r="A11006" t="str">
            <v>Bahrain</v>
          </cell>
          <cell r="B11006">
            <v>48</v>
          </cell>
          <cell r="C11006">
            <v>203</v>
          </cell>
          <cell r="D11006">
            <v>4</v>
          </cell>
          <cell r="E11006" t="str">
            <v>Compensation of employees</v>
          </cell>
          <cell r="F11006">
            <v>12</v>
          </cell>
          <cell r="G11006">
            <v>1992</v>
          </cell>
          <cell r="H11006">
            <v>20</v>
          </cell>
          <cell r="I11006">
            <v>729310000</v>
          </cell>
        </row>
        <row r="11007">
          <cell r="A11007" t="str">
            <v>Bahrain</v>
          </cell>
          <cell r="B11007">
            <v>48</v>
          </cell>
          <cell r="C11007">
            <v>203</v>
          </cell>
          <cell r="D11007">
            <v>4</v>
          </cell>
          <cell r="E11007" t="str">
            <v>Compensation of employees</v>
          </cell>
          <cell r="F11007">
            <v>12</v>
          </cell>
          <cell r="G11007">
            <v>1993</v>
          </cell>
          <cell r="H11007">
            <v>20</v>
          </cell>
          <cell r="I11007">
            <v>763560000</v>
          </cell>
        </row>
        <row r="11008">
          <cell r="A11008" t="str">
            <v>Bahrain</v>
          </cell>
          <cell r="B11008">
            <v>48</v>
          </cell>
          <cell r="C11008">
            <v>203</v>
          </cell>
          <cell r="D11008">
            <v>4</v>
          </cell>
          <cell r="E11008" t="str">
            <v>Compensation of employees</v>
          </cell>
          <cell r="F11008">
            <v>12</v>
          </cell>
          <cell r="G11008">
            <v>1994</v>
          </cell>
          <cell r="H11008">
            <v>20</v>
          </cell>
          <cell r="I11008">
            <v>800000000</v>
          </cell>
        </row>
        <row r="11009">
          <cell r="A11009" t="str">
            <v>Bahrain</v>
          </cell>
          <cell r="B11009">
            <v>48</v>
          </cell>
          <cell r="C11009">
            <v>203</v>
          </cell>
          <cell r="D11009">
            <v>4</v>
          </cell>
          <cell r="E11009" t="str">
            <v>Compensation of employees</v>
          </cell>
          <cell r="F11009">
            <v>12</v>
          </cell>
          <cell r="G11009">
            <v>1995</v>
          </cell>
          <cell r="H11009">
            <v>20</v>
          </cell>
          <cell r="I11009">
            <v>824000000</v>
          </cell>
        </row>
        <row r="11010">
          <cell r="A11010" t="str">
            <v>Bahrain</v>
          </cell>
          <cell r="B11010">
            <v>48</v>
          </cell>
          <cell r="C11010">
            <v>203</v>
          </cell>
          <cell r="D11010">
            <v>4</v>
          </cell>
          <cell r="E11010" t="str">
            <v>Compensation of employees</v>
          </cell>
          <cell r="F11010">
            <v>12</v>
          </cell>
          <cell r="G11010">
            <v>1996</v>
          </cell>
          <cell r="H11010">
            <v>20</v>
          </cell>
          <cell r="I11010">
            <v>835000000</v>
          </cell>
        </row>
        <row r="11011">
          <cell r="A11011" t="str">
            <v>Bahrain</v>
          </cell>
          <cell r="B11011">
            <v>48</v>
          </cell>
          <cell r="C11011">
            <v>203</v>
          </cell>
          <cell r="D11011">
            <v>4</v>
          </cell>
          <cell r="E11011" t="str">
            <v>Compensation of employees</v>
          </cell>
          <cell r="F11011">
            <v>12</v>
          </cell>
          <cell r="G11011">
            <v>1997</v>
          </cell>
          <cell r="H11011">
            <v>20</v>
          </cell>
          <cell r="I11011">
            <v>873000000</v>
          </cell>
        </row>
        <row r="11012">
          <cell r="A11012" t="str">
            <v>Bahrain</v>
          </cell>
          <cell r="B11012">
            <v>48</v>
          </cell>
          <cell r="C11012">
            <v>203</v>
          </cell>
          <cell r="D11012">
            <v>4</v>
          </cell>
          <cell r="E11012" t="str">
            <v>Compensation of employees</v>
          </cell>
          <cell r="F11012">
            <v>12</v>
          </cell>
          <cell r="G11012">
            <v>1998</v>
          </cell>
          <cell r="H11012">
            <v>20</v>
          </cell>
          <cell r="I11012">
            <v>933000000</v>
          </cell>
        </row>
        <row r="11013">
          <cell r="A11013" t="str">
            <v>Bahrain</v>
          </cell>
          <cell r="B11013">
            <v>48</v>
          </cell>
          <cell r="C11013">
            <v>203</v>
          </cell>
          <cell r="D11013">
            <v>4</v>
          </cell>
          <cell r="E11013" t="str">
            <v>Compensation of employees</v>
          </cell>
          <cell r="F11013">
            <v>12</v>
          </cell>
          <cell r="G11013">
            <v>1999</v>
          </cell>
          <cell r="H11013">
            <v>20</v>
          </cell>
          <cell r="I11013">
            <v>975000000</v>
          </cell>
        </row>
        <row r="11014">
          <cell r="A11014" t="str">
            <v>Bahrain</v>
          </cell>
          <cell r="B11014">
            <v>48</v>
          </cell>
          <cell r="C11014">
            <v>203</v>
          </cell>
          <cell r="D11014">
            <v>4</v>
          </cell>
          <cell r="E11014" t="str">
            <v>Compensation of employees</v>
          </cell>
          <cell r="F11014">
            <v>12</v>
          </cell>
          <cell r="G11014">
            <v>2000</v>
          </cell>
          <cell r="H11014">
            <v>20</v>
          </cell>
          <cell r="I11014">
            <v>1016000000</v>
          </cell>
        </row>
        <row r="11015">
          <cell r="A11015" t="str">
            <v>Bahrain</v>
          </cell>
          <cell r="B11015">
            <v>48</v>
          </cell>
          <cell r="C11015">
            <v>203</v>
          </cell>
          <cell r="D11015">
            <v>4</v>
          </cell>
          <cell r="E11015" t="str">
            <v>Compensation of employees</v>
          </cell>
          <cell r="F11015">
            <v>12</v>
          </cell>
          <cell r="G11015">
            <v>2001</v>
          </cell>
          <cell r="H11015">
            <v>20</v>
          </cell>
          <cell r="I11015">
            <v>1059000000</v>
          </cell>
        </row>
        <row r="11016">
          <cell r="A11016" t="str">
            <v>Bahrain</v>
          </cell>
          <cell r="B11016">
            <v>48</v>
          </cell>
          <cell r="C11016">
            <v>203</v>
          </cell>
          <cell r="D11016">
            <v>4</v>
          </cell>
          <cell r="E11016" t="str">
            <v>Compensation of employees</v>
          </cell>
          <cell r="F11016">
            <v>12</v>
          </cell>
          <cell r="G11016">
            <v>2002</v>
          </cell>
          <cell r="H11016">
            <v>20</v>
          </cell>
          <cell r="I11016">
            <v>1217000000</v>
          </cell>
        </row>
        <row r="11017">
          <cell r="A11017" t="str">
            <v>Bahrain</v>
          </cell>
          <cell r="B11017">
            <v>48</v>
          </cell>
          <cell r="C11017">
            <v>203</v>
          </cell>
          <cell r="D11017">
            <v>4</v>
          </cell>
          <cell r="E11017" t="str">
            <v>Compensation of employees</v>
          </cell>
          <cell r="F11017">
            <v>12</v>
          </cell>
          <cell r="G11017">
            <v>2003</v>
          </cell>
          <cell r="H11017">
            <v>20</v>
          </cell>
          <cell r="I11017">
            <v>1311000000</v>
          </cell>
        </row>
        <row r="11018">
          <cell r="A11018" t="str">
            <v>Bahrain</v>
          </cell>
          <cell r="B11018">
            <v>48</v>
          </cell>
          <cell r="C11018">
            <v>203</v>
          </cell>
          <cell r="D11018">
            <v>11</v>
          </cell>
          <cell r="E11018" t="str">
            <v>OPERATING SURPLUS, GROSS</v>
          </cell>
          <cell r="F11018">
            <v>12</v>
          </cell>
          <cell r="G11018">
            <v>1992</v>
          </cell>
          <cell r="H11018">
            <v>20</v>
          </cell>
          <cell r="I11018">
            <v>672500000</v>
          </cell>
        </row>
        <row r="11019">
          <cell r="A11019" t="str">
            <v>Bahrain</v>
          </cell>
          <cell r="B11019">
            <v>48</v>
          </cell>
          <cell r="C11019">
            <v>203</v>
          </cell>
          <cell r="D11019">
            <v>11</v>
          </cell>
          <cell r="E11019" t="str">
            <v>OPERATING SURPLUS, GROSS</v>
          </cell>
          <cell r="F11019">
            <v>12</v>
          </cell>
          <cell r="G11019">
            <v>1993</v>
          </cell>
          <cell r="H11019">
            <v>20</v>
          </cell>
          <cell r="I11019">
            <v>776600000</v>
          </cell>
        </row>
        <row r="11020">
          <cell r="A11020" t="str">
            <v>Bahrain</v>
          </cell>
          <cell r="B11020">
            <v>48</v>
          </cell>
          <cell r="C11020">
            <v>203</v>
          </cell>
          <cell r="D11020">
            <v>11</v>
          </cell>
          <cell r="E11020" t="str">
            <v>OPERATING SURPLUS, GROSS</v>
          </cell>
          <cell r="F11020">
            <v>12</v>
          </cell>
          <cell r="G11020">
            <v>1994</v>
          </cell>
          <cell r="H11020">
            <v>20</v>
          </cell>
          <cell r="I11020">
            <v>907000000</v>
          </cell>
        </row>
        <row r="11021">
          <cell r="A11021" t="str">
            <v>Bahrain</v>
          </cell>
          <cell r="B11021">
            <v>48</v>
          </cell>
          <cell r="C11021">
            <v>203</v>
          </cell>
          <cell r="D11021">
            <v>11</v>
          </cell>
          <cell r="E11021" t="str">
            <v>OPERATING SURPLUS, GROSS</v>
          </cell>
          <cell r="F11021">
            <v>12</v>
          </cell>
          <cell r="G11021">
            <v>1995</v>
          </cell>
          <cell r="H11021">
            <v>20</v>
          </cell>
          <cell r="I11021">
            <v>983000000</v>
          </cell>
        </row>
        <row r="11022">
          <cell r="A11022" t="str">
            <v>Bahrain</v>
          </cell>
          <cell r="B11022">
            <v>48</v>
          </cell>
          <cell r="C11022">
            <v>203</v>
          </cell>
          <cell r="D11022">
            <v>11</v>
          </cell>
          <cell r="E11022" t="str">
            <v>OPERATING SURPLUS, GROSS</v>
          </cell>
          <cell r="F11022">
            <v>12</v>
          </cell>
          <cell r="G11022">
            <v>1996</v>
          </cell>
          <cell r="H11022">
            <v>20</v>
          </cell>
          <cell r="I11022">
            <v>1075000000</v>
          </cell>
        </row>
        <row r="11023">
          <cell r="A11023" t="str">
            <v>Bahrain</v>
          </cell>
          <cell r="B11023">
            <v>48</v>
          </cell>
          <cell r="C11023">
            <v>203</v>
          </cell>
          <cell r="D11023">
            <v>11</v>
          </cell>
          <cell r="E11023" t="str">
            <v>OPERATING SURPLUS, GROSS</v>
          </cell>
          <cell r="F11023">
            <v>12</v>
          </cell>
          <cell r="G11023">
            <v>1997</v>
          </cell>
          <cell r="H11023">
            <v>20</v>
          </cell>
          <cell r="I11023">
            <v>1111000000</v>
          </cell>
        </row>
        <row r="11024">
          <cell r="A11024" t="str">
            <v>Bahrain</v>
          </cell>
          <cell r="B11024">
            <v>48</v>
          </cell>
          <cell r="C11024">
            <v>203</v>
          </cell>
          <cell r="D11024">
            <v>11</v>
          </cell>
          <cell r="E11024" t="str">
            <v>OPERATING SURPLUS, GROSS</v>
          </cell>
          <cell r="F11024">
            <v>12</v>
          </cell>
          <cell r="G11024">
            <v>1998</v>
          </cell>
          <cell r="H11024">
            <v>20</v>
          </cell>
          <cell r="I11024">
            <v>963000000</v>
          </cell>
        </row>
        <row r="11025">
          <cell r="A11025" t="str">
            <v>Bahrain</v>
          </cell>
          <cell r="B11025">
            <v>48</v>
          </cell>
          <cell r="C11025">
            <v>203</v>
          </cell>
          <cell r="D11025">
            <v>11</v>
          </cell>
          <cell r="E11025" t="str">
            <v>OPERATING SURPLUS, GROSS</v>
          </cell>
          <cell r="F11025">
            <v>12</v>
          </cell>
          <cell r="G11025">
            <v>1999</v>
          </cell>
          <cell r="H11025">
            <v>20</v>
          </cell>
          <cell r="I11025">
            <v>1073000000</v>
          </cell>
        </row>
        <row r="11026">
          <cell r="A11026" t="str">
            <v>Bahrain</v>
          </cell>
          <cell r="B11026">
            <v>48</v>
          </cell>
          <cell r="C11026">
            <v>203</v>
          </cell>
          <cell r="D11026">
            <v>11</v>
          </cell>
          <cell r="E11026" t="str">
            <v>OPERATING SURPLUS, GROSS</v>
          </cell>
          <cell r="F11026">
            <v>12</v>
          </cell>
          <cell r="G11026">
            <v>2000</v>
          </cell>
          <cell r="H11026">
            <v>20</v>
          </cell>
          <cell r="I11026">
            <v>1535000000</v>
          </cell>
        </row>
        <row r="11027">
          <cell r="A11027" t="str">
            <v>Bahrain</v>
          </cell>
          <cell r="B11027">
            <v>48</v>
          </cell>
          <cell r="C11027">
            <v>203</v>
          </cell>
          <cell r="D11027">
            <v>11</v>
          </cell>
          <cell r="E11027" t="str">
            <v>OPERATING SURPLUS, GROSS</v>
          </cell>
          <cell r="F11027">
            <v>12</v>
          </cell>
          <cell r="G11027">
            <v>2001</v>
          </cell>
          <cell r="H11027">
            <v>20</v>
          </cell>
          <cell r="I11027">
            <v>1463000000</v>
          </cell>
        </row>
        <row r="11028">
          <cell r="A11028" t="str">
            <v>Bahrain</v>
          </cell>
          <cell r="B11028">
            <v>48</v>
          </cell>
          <cell r="C11028">
            <v>203</v>
          </cell>
          <cell r="D11028">
            <v>11</v>
          </cell>
          <cell r="E11028" t="str">
            <v>OPERATING SURPLUS, GROSS</v>
          </cell>
          <cell r="F11028">
            <v>12</v>
          </cell>
          <cell r="G11028">
            <v>2002</v>
          </cell>
          <cell r="H11028">
            <v>20</v>
          </cell>
          <cell r="I11028">
            <v>1632000000</v>
          </cell>
        </row>
        <row r="11029">
          <cell r="A11029" t="str">
            <v>Bahrain</v>
          </cell>
          <cell r="B11029">
            <v>48</v>
          </cell>
          <cell r="C11029">
            <v>203</v>
          </cell>
          <cell r="D11029">
            <v>11</v>
          </cell>
          <cell r="E11029" t="str">
            <v>OPERATING SURPLUS, GROSS</v>
          </cell>
          <cell r="F11029">
            <v>12</v>
          </cell>
          <cell r="G11029">
            <v>2003</v>
          </cell>
          <cell r="H11029">
            <v>20</v>
          </cell>
          <cell r="I11029">
            <v>1954000000</v>
          </cell>
        </row>
        <row r="11030">
          <cell r="A11030" t="str">
            <v>Bahrain</v>
          </cell>
          <cell r="B11030">
            <v>48</v>
          </cell>
          <cell r="C11030">
            <v>203</v>
          </cell>
          <cell r="D11030">
            <v>22</v>
          </cell>
          <cell r="E11030" t="str">
            <v>Taxes on production and imports, less Subsidies</v>
          </cell>
          <cell r="F11030">
            <v>12</v>
          </cell>
          <cell r="G11030">
            <v>1992</v>
          </cell>
          <cell r="H11030">
            <v>20</v>
          </cell>
          <cell r="I11030">
            <v>63780000</v>
          </cell>
        </row>
        <row r="11031">
          <cell r="A11031" t="str">
            <v>Bahrain</v>
          </cell>
          <cell r="B11031">
            <v>48</v>
          </cell>
          <cell r="C11031">
            <v>203</v>
          </cell>
          <cell r="D11031">
            <v>22</v>
          </cell>
          <cell r="E11031" t="str">
            <v>Taxes on production and imports, less Subsidies</v>
          </cell>
          <cell r="F11031">
            <v>12</v>
          </cell>
          <cell r="G11031">
            <v>1993</v>
          </cell>
          <cell r="H11031">
            <v>20</v>
          </cell>
          <cell r="I11031">
            <v>57200000</v>
          </cell>
        </row>
        <row r="11032">
          <cell r="A11032" t="str">
            <v>Bahrain</v>
          </cell>
          <cell r="B11032">
            <v>48</v>
          </cell>
          <cell r="C11032">
            <v>203</v>
          </cell>
          <cell r="D11032">
            <v>22</v>
          </cell>
          <cell r="E11032" t="str">
            <v>Taxes on production and imports, less Subsidies</v>
          </cell>
          <cell r="F11032">
            <v>12</v>
          </cell>
          <cell r="G11032">
            <v>1994</v>
          </cell>
          <cell r="H11032">
            <v>20</v>
          </cell>
          <cell r="I11032">
            <v>60000000</v>
          </cell>
        </row>
        <row r="11033">
          <cell r="A11033" t="str">
            <v>Bahrain</v>
          </cell>
          <cell r="B11033">
            <v>48</v>
          </cell>
          <cell r="C11033">
            <v>203</v>
          </cell>
          <cell r="D11033">
            <v>22</v>
          </cell>
          <cell r="E11033" t="str">
            <v>Taxes on production and imports, less Subsidies</v>
          </cell>
          <cell r="F11033">
            <v>12</v>
          </cell>
          <cell r="G11033">
            <v>1995</v>
          </cell>
          <cell r="H11033">
            <v>20</v>
          </cell>
          <cell r="I11033">
            <v>60000000</v>
          </cell>
        </row>
        <row r="11034">
          <cell r="A11034" t="str">
            <v>Bahrain</v>
          </cell>
          <cell r="B11034">
            <v>48</v>
          </cell>
          <cell r="C11034">
            <v>203</v>
          </cell>
          <cell r="D11034">
            <v>22</v>
          </cell>
          <cell r="E11034" t="str">
            <v>Taxes on production and imports, less Subsidies</v>
          </cell>
          <cell r="F11034">
            <v>12</v>
          </cell>
          <cell r="G11034">
            <v>1996</v>
          </cell>
          <cell r="H11034">
            <v>20</v>
          </cell>
          <cell r="I11034">
            <v>56000000</v>
          </cell>
        </row>
        <row r="11035">
          <cell r="A11035" t="str">
            <v>Bahrain</v>
          </cell>
          <cell r="B11035">
            <v>48</v>
          </cell>
          <cell r="C11035">
            <v>203</v>
          </cell>
          <cell r="D11035">
            <v>22</v>
          </cell>
          <cell r="E11035" t="str">
            <v>Taxes on production and imports, less Subsidies</v>
          </cell>
          <cell r="F11035">
            <v>12</v>
          </cell>
          <cell r="G11035">
            <v>1997</v>
          </cell>
          <cell r="H11035">
            <v>20</v>
          </cell>
          <cell r="I11035">
            <v>71000000</v>
          </cell>
        </row>
        <row r="11036">
          <cell r="A11036" t="str">
            <v>Bahrain</v>
          </cell>
          <cell r="B11036">
            <v>48</v>
          </cell>
          <cell r="C11036">
            <v>203</v>
          </cell>
          <cell r="D11036">
            <v>22</v>
          </cell>
          <cell r="E11036" t="str">
            <v>Taxes on production and imports, less Subsidies</v>
          </cell>
          <cell r="F11036">
            <v>12</v>
          </cell>
          <cell r="G11036">
            <v>1998</v>
          </cell>
          <cell r="H11036">
            <v>20</v>
          </cell>
          <cell r="I11036">
            <v>86000000</v>
          </cell>
        </row>
        <row r="11037">
          <cell r="A11037" t="str">
            <v>Bahrain</v>
          </cell>
          <cell r="B11037">
            <v>48</v>
          </cell>
          <cell r="C11037">
            <v>203</v>
          </cell>
          <cell r="D11037">
            <v>22</v>
          </cell>
          <cell r="E11037" t="str">
            <v>Taxes on production and imports, less Subsidies</v>
          </cell>
          <cell r="F11037">
            <v>12</v>
          </cell>
          <cell r="G11037">
            <v>1999</v>
          </cell>
          <cell r="H11037">
            <v>20</v>
          </cell>
          <cell r="I11037">
            <v>83000000</v>
          </cell>
        </row>
        <row r="11038">
          <cell r="A11038" t="str">
            <v>Bahrain</v>
          </cell>
          <cell r="B11038">
            <v>48</v>
          </cell>
          <cell r="C11038">
            <v>203</v>
          </cell>
          <cell r="D11038">
            <v>22</v>
          </cell>
          <cell r="E11038" t="str">
            <v>Taxes on production and imports, less Subsidies</v>
          </cell>
          <cell r="F11038">
            <v>12</v>
          </cell>
          <cell r="G11038">
            <v>2000</v>
          </cell>
          <cell r="H11038">
            <v>20</v>
          </cell>
          <cell r="I11038">
            <v>81000000</v>
          </cell>
        </row>
        <row r="11039">
          <cell r="A11039" t="str">
            <v>Bahrain</v>
          </cell>
          <cell r="B11039">
            <v>48</v>
          </cell>
          <cell r="C11039">
            <v>203</v>
          </cell>
          <cell r="D11039">
            <v>22</v>
          </cell>
          <cell r="E11039" t="str">
            <v>Taxes on production and imports, less Subsidies</v>
          </cell>
          <cell r="F11039">
            <v>12</v>
          </cell>
          <cell r="G11039">
            <v>2001</v>
          </cell>
          <cell r="H11039">
            <v>20</v>
          </cell>
          <cell r="I11039">
            <v>99000000</v>
          </cell>
        </row>
        <row r="11040">
          <cell r="A11040" t="str">
            <v>Bahrain</v>
          </cell>
          <cell r="B11040">
            <v>48</v>
          </cell>
          <cell r="C11040">
            <v>203</v>
          </cell>
          <cell r="D11040">
            <v>22</v>
          </cell>
          <cell r="E11040" t="str">
            <v>Taxes on production and imports, less Subsidies</v>
          </cell>
          <cell r="F11040">
            <v>12</v>
          </cell>
          <cell r="G11040">
            <v>2002</v>
          </cell>
          <cell r="H11040">
            <v>20</v>
          </cell>
          <cell r="I11040">
            <v>93000000</v>
          </cell>
        </row>
        <row r="11041">
          <cell r="A11041" t="str">
            <v>Bahrain</v>
          </cell>
          <cell r="B11041">
            <v>48</v>
          </cell>
          <cell r="C11041">
            <v>203</v>
          </cell>
          <cell r="D11041">
            <v>22</v>
          </cell>
          <cell r="E11041" t="str">
            <v>Taxes on production and imports, less Subsidies</v>
          </cell>
          <cell r="F11041">
            <v>12</v>
          </cell>
          <cell r="G11041">
            <v>2003</v>
          </cell>
          <cell r="H11041">
            <v>20</v>
          </cell>
          <cell r="I11041">
            <v>94000000</v>
          </cell>
        </row>
        <row r="11042">
          <cell r="A11042" t="str">
            <v>Barbados</v>
          </cell>
          <cell r="B11042">
            <v>52</v>
          </cell>
          <cell r="C11042">
            <v>203</v>
          </cell>
          <cell r="D11042">
            <v>3</v>
          </cell>
          <cell r="E11042" t="str">
            <v>Equals: VALUE ADDED, GROSS, at basic prices</v>
          </cell>
          <cell r="F11042">
            <v>12</v>
          </cell>
          <cell r="G11042">
            <v>1974</v>
          </cell>
          <cell r="H11042">
            <v>20</v>
          </cell>
          <cell r="I11042">
            <v>640400000</v>
          </cell>
        </row>
        <row r="11043">
          <cell r="A11043" t="str">
            <v>Barbados</v>
          </cell>
          <cell r="B11043">
            <v>52</v>
          </cell>
          <cell r="C11043">
            <v>203</v>
          </cell>
          <cell r="D11043">
            <v>3</v>
          </cell>
          <cell r="E11043" t="str">
            <v>Equals: VALUE ADDED, GROSS, at basic prices</v>
          </cell>
          <cell r="F11043">
            <v>12</v>
          </cell>
          <cell r="G11043">
            <v>1975</v>
          </cell>
          <cell r="H11043">
            <v>20</v>
          </cell>
          <cell r="I11043">
            <v>700600000</v>
          </cell>
        </row>
        <row r="11044">
          <cell r="A11044" t="str">
            <v>Barbados</v>
          </cell>
          <cell r="B11044">
            <v>52</v>
          </cell>
          <cell r="C11044">
            <v>203</v>
          </cell>
          <cell r="D11044">
            <v>4</v>
          </cell>
          <cell r="E11044" t="str">
            <v>Compensation of employees</v>
          </cell>
          <cell r="F11044">
            <v>12</v>
          </cell>
          <cell r="G11044">
            <v>1974</v>
          </cell>
          <cell r="H11044">
            <v>20</v>
          </cell>
          <cell r="I11044">
            <v>424000000</v>
          </cell>
        </row>
        <row r="11045">
          <cell r="A11045" t="str">
            <v>Barbados</v>
          </cell>
          <cell r="B11045">
            <v>52</v>
          </cell>
          <cell r="C11045">
            <v>203</v>
          </cell>
          <cell r="D11045">
            <v>4</v>
          </cell>
          <cell r="E11045" t="str">
            <v>Compensation of employees</v>
          </cell>
          <cell r="F11045">
            <v>12</v>
          </cell>
          <cell r="G11045">
            <v>1975</v>
          </cell>
          <cell r="H11045">
            <v>20</v>
          </cell>
          <cell r="I11045">
            <v>462700000</v>
          </cell>
        </row>
        <row r="11046">
          <cell r="A11046" t="str">
            <v>Barbados</v>
          </cell>
          <cell r="B11046">
            <v>52</v>
          </cell>
          <cell r="C11046">
            <v>203</v>
          </cell>
          <cell r="D11046">
            <v>11</v>
          </cell>
          <cell r="E11046" t="str">
            <v>OPERATING SURPLUS, GROSS</v>
          </cell>
          <cell r="F11046">
            <v>12</v>
          </cell>
          <cell r="G11046">
            <v>1974</v>
          </cell>
          <cell r="H11046">
            <v>20</v>
          </cell>
          <cell r="I11046">
            <v>216400000</v>
          </cell>
        </row>
        <row r="11047">
          <cell r="A11047" t="str">
            <v>Barbados</v>
          </cell>
          <cell r="B11047">
            <v>52</v>
          </cell>
          <cell r="C11047">
            <v>203</v>
          </cell>
          <cell r="D11047">
            <v>11</v>
          </cell>
          <cell r="E11047" t="str">
            <v>OPERATING SURPLUS, GROSS</v>
          </cell>
          <cell r="F11047">
            <v>12</v>
          </cell>
          <cell r="G11047">
            <v>1975</v>
          </cell>
          <cell r="H11047">
            <v>20</v>
          </cell>
          <cell r="I11047">
            <v>237900000</v>
          </cell>
        </row>
        <row r="11048">
          <cell r="A11048" t="str">
            <v>Bhutan</v>
          </cell>
          <cell r="B11048">
            <v>64</v>
          </cell>
          <cell r="C11048">
            <v>201</v>
          </cell>
          <cell r="D11048">
            <v>13</v>
          </cell>
          <cell r="E11048" t="str">
            <v>Less: Financial intermediation services indirectly measured (FISIM) (only to be deducted if FISIM is not distributed to uses)</v>
          </cell>
          <cell r="F11048">
            <v>0</v>
          </cell>
          <cell r="G11048">
            <v>1980</v>
          </cell>
          <cell r="H11048">
            <v>10</v>
          </cell>
          <cell r="I11048">
            <v>20000000</v>
          </cell>
        </row>
        <row r="11049">
          <cell r="A11049" t="str">
            <v>Bhutan</v>
          </cell>
          <cell r="B11049">
            <v>64</v>
          </cell>
          <cell r="C11049">
            <v>201</v>
          </cell>
          <cell r="D11049">
            <v>13</v>
          </cell>
          <cell r="E11049" t="str">
            <v>Less: Financial intermediation services indirectly measured (FISIM) (only to be deducted if FISIM is not distributed to uses)</v>
          </cell>
          <cell r="F11049">
            <v>0</v>
          </cell>
          <cell r="G11049">
            <v>1981</v>
          </cell>
          <cell r="H11049">
            <v>10</v>
          </cell>
          <cell r="I11049">
            <v>30000000</v>
          </cell>
        </row>
        <row r="11050">
          <cell r="A11050" t="str">
            <v>Bhutan</v>
          </cell>
          <cell r="B11050">
            <v>64</v>
          </cell>
          <cell r="C11050">
            <v>201</v>
          </cell>
          <cell r="D11050">
            <v>13</v>
          </cell>
          <cell r="E11050" t="str">
            <v>Less: Financial intermediation services indirectly measured (FISIM) (only to be deducted if FISIM is not distributed to uses)</v>
          </cell>
          <cell r="F11050">
            <v>0</v>
          </cell>
          <cell r="G11050">
            <v>1982</v>
          </cell>
          <cell r="H11050">
            <v>10</v>
          </cell>
          <cell r="I11050">
            <v>33000000</v>
          </cell>
        </row>
        <row r="11051">
          <cell r="A11051" t="str">
            <v>Bhutan</v>
          </cell>
          <cell r="B11051">
            <v>64</v>
          </cell>
          <cell r="C11051">
            <v>201</v>
          </cell>
          <cell r="D11051">
            <v>13</v>
          </cell>
          <cell r="E11051" t="str">
            <v>Less: Financial intermediation services indirectly measured (FISIM) (only to be deducted if FISIM is not distributed to uses)</v>
          </cell>
          <cell r="F11051">
            <v>0</v>
          </cell>
          <cell r="G11051">
            <v>1983</v>
          </cell>
          <cell r="H11051">
            <v>10</v>
          </cell>
          <cell r="I11051">
            <v>35000000</v>
          </cell>
        </row>
        <row r="11052">
          <cell r="A11052" t="str">
            <v>Bhutan</v>
          </cell>
          <cell r="B11052">
            <v>64</v>
          </cell>
          <cell r="C11052">
            <v>201</v>
          </cell>
          <cell r="D11052">
            <v>13</v>
          </cell>
          <cell r="E11052" t="str">
            <v>Less: Financial intermediation services indirectly measured (FISIM) (only to be deducted if FISIM is not distributed to uses)</v>
          </cell>
          <cell r="F11052">
            <v>0</v>
          </cell>
          <cell r="G11052">
            <v>1984</v>
          </cell>
          <cell r="H11052">
            <v>10</v>
          </cell>
          <cell r="I11052">
            <v>44000000</v>
          </cell>
        </row>
        <row r="11053">
          <cell r="A11053" t="str">
            <v>Bhutan</v>
          </cell>
          <cell r="B11053">
            <v>64</v>
          </cell>
          <cell r="C11053">
            <v>201</v>
          </cell>
          <cell r="D11053">
            <v>13</v>
          </cell>
          <cell r="E11053" t="str">
            <v>Less: Financial intermediation services indirectly measured (FISIM) (only to be deducted if FISIM is not distributed to uses)</v>
          </cell>
          <cell r="F11053">
            <v>0</v>
          </cell>
          <cell r="G11053">
            <v>1985</v>
          </cell>
          <cell r="H11053">
            <v>10</v>
          </cell>
          <cell r="I11053">
            <v>51000000</v>
          </cell>
        </row>
        <row r="11054">
          <cell r="A11054" t="str">
            <v>Bhutan</v>
          </cell>
          <cell r="B11054">
            <v>64</v>
          </cell>
          <cell r="C11054">
            <v>201</v>
          </cell>
          <cell r="D11054">
            <v>13</v>
          </cell>
          <cell r="E11054" t="str">
            <v>Less: Financial intermediation services indirectly measured (FISIM) (only to be deducted if FISIM is not distributed to uses)</v>
          </cell>
          <cell r="F11054">
            <v>0</v>
          </cell>
          <cell r="G11054">
            <v>1986</v>
          </cell>
          <cell r="H11054">
            <v>10</v>
          </cell>
          <cell r="I11054">
            <v>49000000</v>
          </cell>
        </row>
        <row r="11055">
          <cell r="A11055" t="str">
            <v>Bhutan</v>
          </cell>
          <cell r="B11055">
            <v>64</v>
          </cell>
          <cell r="C11055">
            <v>201</v>
          </cell>
          <cell r="D11055">
            <v>13</v>
          </cell>
          <cell r="E11055" t="str">
            <v>Less: Financial intermediation services indirectly measured (FISIM) (only to be deducted if FISIM is not distributed to uses)</v>
          </cell>
          <cell r="F11055">
            <v>0</v>
          </cell>
          <cell r="G11055">
            <v>1987</v>
          </cell>
          <cell r="H11055">
            <v>10</v>
          </cell>
          <cell r="I11055">
            <v>62000000</v>
          </cell>
        </row>
        <row r="11056">
          <cell r="A11056" t="str">
            <v>Bhutan</v>
          </cell>
          <cell r="B11056">
            <v>64</v>
          </cell>
          <cell r="C11056">
            <v>201</v>
          </cell>
          <cell r="D11056">
            <v>13</v>
          </cell>
          <cell r="E11056" t="str">
            <v>Less: Financial intermediation services indirectly measured (FISIM) (only to be deducted if FISIM is not distributed to uses)</v>
          </cell>
          <cell r="F11056">
            <v>0</v>
          </cell>
          <cell r="G11056">
            <v>1988</v>
          </cell>
          <cell r="H11056">
            <v>10</v>
          </cell>
          <cell r="I11056">
            <v>63100000</v>
          </cell>
        </row>
        <row r="11057">
          <cell r="A11057" t="str">
            <v>Bhutan</v>
          </cell>
          <cell r="B11057">
            <v>64</v>
          </cell>
          <cell r="C11057">
            <v>201</v>
          </cell>
          <cell r="D11057">
            <v>13</v>
          </cell>
          <cell r="E11057" t="str">
            <v>Less: Financial intermediation services indirectly measured (FISIM) (only to be deducted if FISIM is not distributed to uses)</v>
          </cell>
          <cell r="F11057">
            <v>0</v>
          </cell>
          <cell r="G11057">
            <v>1989</v>
          </cell>
          <cell r="H11057">
            <v>10</v>
          </cell>
          <cell r="I11057">
            <v>67000000</v>
          </cell>
        </row>
        <row r="11058">
          <cell r="A11058" t="str">
            <v>Bhutan</v>
          </cell>
          <cell r="B11058">
            <v>64</v>
          </cell>
          <cell r="C11058">
            <v>201</v>
          </cell>
          <cell r="D11058">
            <v>13</v>
          </cell>
          <cell r="E11058" t="str">
            <v>Less: Financial intermediation services indirectly measured (FISIM) (only to be deducted if FISIM is not distributed to uses)</v>
          </cell>
          <cell r="F11058">
            <v>0</v>
          </cell>
          <cell r="G11058">
            <v>1990</v>
          </cell>
          <cell r="H11058">
            <v>10</v>
          </cell>
          <cell r="I11058">
            <v>58000000</v>
          </cell>
        </row>
        <row r="11059">
          <cell r="A11059" t="str">
            <v>Bhutan</v>
          </cell>
          <cell r="B11059">
            <v>64</v>
          </cell>
          <cell r="C11059">
            <v>201</v>
          </cell>
          <cell r="D11059">
            <v>13</v>
          </cell>
          <cell r="E11059" t="str">
            <v>Less: Financial intermediation services indirectly measured (FISIM) (only to be deducted if FISIM is not distributed to uses)</v>
          </cell>
          <cell r="F11059">
            <v>0</v>
          </cell>
          <cell r="G11059">
            <v>1991</v>
          </cell>
          <cell r="H11059">
            <v>10</v>
          </cell>
          <cell r="I11059">
            <v>52000000</v>
          </cell>
        </row>
        <row r="11060">
          <cell r="A11060" t="str">
            <v>Bhutan</v>
          </cell>
          <cell r="B11060">
            <v>64</v>
          </cell>
          <cell r="C11060">
            <v>201</v>
          </cell>
          <cell r="D11060">
            <v>13</v>
          </cell>
          <cell r="E11060" t="str">
            <v>Less: Financial intermediation services indirectly measured (FISIM) (only to be deducted if FISIM is not distributed to uses)</v>
          </cell>
          <cell r="F11060">
            <v>0</v>
          </cell>
          <cell r="G11060">
            <v>1992</v>
          </cell>
          <cell r="H11060">
            <v>10</v>
          </cell>
          <cell r="I11060">
            <v>68000000</v>
          </cell>
        </row>
        <row r="11061">
          <cell r="A11061" t="str">
            <v>Bhutan</v>
          </cell>
          <cell r="B11061">
            <v>64</v>
          </cell>
          <cell r="C11061">
            <v>201</v>
          </cell>
          <cell r="D11061">
            <v>13</v>
          </cell>
          <cell r="E11061" t="str">
            <v>Less: Financial intermediation services indirectly measured (FISIM) (only to be deducted if FISIM is not distributed to uses)</v>
          </cell>
          <cell r="F11061">
            <v>0</v>
          </cell>
          <cell r="G11061">
            <v>1993</v>
          </cell>
          <cell r="H11061">
            <v>10</v>
          </cell>
          <cell r="I11061">
            <v>68000000</v>
          </cell>
        </row>
        <row r="11062">
          <cell r="A11062" t="str">
            <v>Bhutan</v>
          </cell>
          <cell r="B11062">
            <v>64</v>
          </cell>
          <cell r="C11062">
            <v>201</v>
          </cell>
          <cell r="D11062">
            <v>13</v>
          </cell>
          <cell r="E11062" t="str">
            <v>Less: Financial intermediation services indirectly measured (FISIM) (only to be deducted if FISIM is not distributed to uses)</v>
          </cell>
          <cell r="F11062">
            <v>0</v>
          </cell>
          <cell r="G11062">
            <v>1994</v>
          </cell>
          <cell r="H11062">
            <v>10</v>
          </cell>
          <cell r="I11062">
            <v>148000000</v>
          </cell>
        </row>
        <row r="11063">
          <cell r="A11063" t="str">
            <v>Bhutan</v>
          </cell>
          <cell r="B11063">
            <v>64</v>
          </cell>
          <cell r="C11063">
            <v>201</v>
          </cell>
          <cell r="D11063">
            <v>13</v>
          </cell>
          <cell r="E11063" t="str">
            <v>Less: Financial intermediation services indirectly measured (FISIM) (only to be deducted if FISIM is not distributed to uses)</v>
          </cell>
          <cell r="F11063">
            <v>0</v>
          </cell>
          <cell r="G11063">
            <v>1995</v>
          </cell>
          <cell r="H11063">
            <v>10</v>
          </cell>
          <cell r="I11063">
            <v>231000000</v>
          </cell>
        </row>
        <row r="11064">
          <cell r="A11064" t="str">
            <v>Bhutan</v>
          </cell>
          <cell r="B11064">
            <v>64</v>
          </cell>
          <cell r="C11064">
            <v>201</v>
          </cell>
          <cell r="D11064">
            <v>13</v>
          </cell>
          <cell r="E11064" t="str">
            <v>Less: Financial intermediation services indirectly measured (FISIM) (only to be deducted if FISIM is not distributed to uses)</v>
          </cell>
          <cell r="F11064">
            <v>0</v>
          </cell>
          <cell r="G11064">
            <v>1996</v>
          </cell>
          <cell r="H11064">
            <v>10</v>
          </cell>
          <cell r="I11064">
            <v>203000000</v>
          </cell>
        </row>
        <row r="11065">
          <cell r="A11065" t="str">
            <v>Bhutan</v>
          </cell>
          <cell r="B11065">
            <v>64</v>
          </cell>
          <cell r="C11065">
            <v>201</v>
          </cell>
          <cell r="D11065">
            <v>13</v>
          </cell>
          <cell r="E11065" t="str">
            <v>Less: Financial intermediation services indirectly measured (FISIM) (only to be deducted if FISIM is not distributed to uses)</v>
          </cell>
          <cell r="F11065">
            <v>0</v>
          </cell>
          <cell r="G11065">
            <v>1997</v>
          </cell>
          <cell r="H11065">
            <v>10</v>
          </cell>
          <cell r="I11065">
            <v>527000000</v>
          </cell>
        </row>
        <row r="11066">
          <cell r="A11066" t="str">
            <v>Bhutan</v>
          </cell>
          <cell r="B11066">
            <v>64</v>
          </cell>
          <cell r="C11066">
            <v>201</v>
          </cell>
          <cell r="D11066">
            <v>13</v>
          </cell>
          <cell r="E11066" t="str">
            <v>Less: Financial intermediation services indirectly measured (FISIM) (only to be deducted if FISIM is not distributed to uses)</v>
          </cell>
          <cell r="F11066">
            <v>0</v>
          </cell>
          <cell r="G11066">
            <v>1998</v>
          </cell>
          <cell r="H11066">
            <v>10</v>
          </cell>
          <cell r="I11066">
            <v>458000000</v>
          </cell>
        </row>
        <row r="11067">
          <cell r="A11067" t="str">
            <v>Bhutan</v>
          </cell>
          <cell r="B11067">
            <v>64</v>
          </cell>
          <cell r="C11067">
            <v>201</v>
          </cell>
          <cell r="D11067">
            <v>13</v>
          </cell>
          <cell r="E11067" t="str">
            <v>Less: Financial intermediation services indirectly measured (FISIM) (only to be deducted if FISIM is not distributed to uses)</v>
          </cell>
          <cell r="F11067">
            <v>0</v>
          </cell>
          <cell r="G11067">
            <v>1999</v>
          </cell>
          <cell r="H11067">
            <v>10</v>
          </cell>
          <cell r="I11067">
            <v>442000000</v>
          </cell>
        </row>
        <row r="11068">
          <cell r="A11068" t="str">
            <v>Bhutan</v>
          </cell>
          <cell r="B11068">
            <v>64</v>
          </cell>
          <cell r="C11068">
            <v>201</v>
          </cell>
          <cell r="D11068">
            <v>13</v>
          </cell>
          <cell r="E11068" t="str">
            <v>Less: Financial intermediation services indirectly measured (FISIM) (only to be deducted if FISIM is not distributed to uses)</v>
          </cell>
          <cell r="F11068">
            <v>0</v>
          </cell>
          <cell r="G11068">
            <v>2000</v>
          </cell>
          <cell r="H11068">
            <v>10</v>
          </cell>
          <cell r="I11068">
            <v>528000000</v>
          </cell>
        </row>
        <row r="11069">
          <cell r="A11069" t="str">
            <v>Botswana</v>
          </cell>
          <cell r="B11069">
            <v>72</v>
          </cell>
          <cell r="C11069">
            <v>201</v>
          </cell>
          <cell r="D11069">
            <v>13</v>
          </cell>
          <cell r="E11069" t="str">
            <v>Less: Financial intermediation services indirectly measured (FISIM) (only to be deducted if FISIM is not distributed to uses)</v>
          </cell>
          <cell r="F11069">
            <v>0</v>
          </cell>
          <cell r="G11069">
            <v>1972</v>
          </cell>
          <cell r="H11069">
            <v>20</v>
          </cell>
          <cell r="I11069">
            <v>800000</v>
          </cell>
        </row>
        <row r="11070">
          <cell r="A11070" t="str">
            <v>Botswana</v>
          </cell>
          <cell r="B11070">
            <v>72</v>
          </cell>
          <cell r="C11070">
            <v>201</v>
          </cell>
          <cell r="D11070">
            <v>13</v>
          </cell>
          <cell r="E11070" t="str">
            <v>Less: Financial intermediation services indirectly measured (FISIM) (only to be deducted if FISIM is not distributed to uses)</v>
          </cell>
          <cell r="F11070">
            <v>0</v>
          </cell>
          <cell r="G11070">
            <v>1974</v>
          </cell>
          <cell r="H11070">
            <v>20</v>
          </cell>
          <cell r="I11070">
            <v>700000</v>
          </cell>
        </row>
        <row r="11071">
          <cell r="A11071" t="str">
            <v>Botswana</v>
          </cell>
          <cell r="B11071">
            <v>72</v>
          </cell>
          <cell r="C11071">
            <v>201</v>
          </cell>
          <cell r="D11071">
            <v>13</v>
          </cell>
          <cell r="E11071" t="str">
            <v>Less: Financial intermediation services indirectly measured (FISIM) (only to be deducted if FISIM is not distributed to uses)</v>
          </cell>
          <cell r="F11071">
            <v>0</v>
          </cell>
          <cell r="G11071">
            <v>1975</v>
          </cell>
          <cell r="H11071">
            <v>20</v>
          </cell>
          <cell r="I11071">
            <v>3300000</v>
          </cell>
        </row>
        <row r="11072">
          <cell r="A11072" t="str">
            <v>Botswana</v>
          </cell>
          <cell r="B11072">
            <v>72</v>
          </cell>
          <cell r="C11072">
            <v>201</v>
          </cell>
          <cell r="D11072">
            <v>13</v>
          </cell>
          <cell r="E11072" t="str">
            <v>Less: Financial intermediation services indirectly measured (FISIM) (only to be deducted if FISIM is not distributed to uses)</v>
          </cell>
          <cell r="F11072">
            <v>0</v>
          </cell>
          <cell r="G11072">
            <v>1976</v>
          </cell>
          <cell r="H11072">
            <v>20</v>
          </cell>
          <cell r="I11072">
            <v>2700000</v>
          </cell>
        </row>
        <row r="11073">
          <cell r="A11073" t="str">
            <v>Botswana</v>
          </cell>
          <cell r="B11073">
            <v>72</v>
          </cell>
          <cell r="C11073">
            <v>201</v>
          </cell>
          <cell r="D11073">
            <v>13</v>
          </cell>
          <cell r="E11073" t="str">
            <v>Less: Financial intermediation services indirectly measured (FISIM) (only to be deducted if FISIM is not distributed to uses)</v>
          </cell>
          <cell r="F11073">
            <v>0</v>
          </cell>
          <cell r="G11073">
            <v>1977</v>
          </cell>
          <cell r="H11073">
            <v>20</v>
          </cell>
          <cell r="I11073">
            <v>7900000</v>
          </cell>
        </row>
        <row r="11074">
          <cell r="A11074" t="str">
            <v>Botswana</v>
          </cell>
          <cell r="B11074">
            <v>72</v>
          </cell>
          <cell r="C11074">
            <v>201</v>
          </cell>
          <cell r="D11074">
            <v>13</v>
          </cell>
          <cell r="E11074" t="str">
            <v>Less: Financial intermediation services indirectly measured (FISIM) (only to be deducted if FISIM is not distributed to uses)</v>
          </cell>
          <cell r="F11074">
            <v>0</v>
          </cell>
          <cell r="G11074">
            <v>1978</v>
          </cell>
          <cell r="H11074">
            <v>20</v>
          </cell>
          <cell r="I11074">
            <v>7100000</v>
          </cell>
        </row>
        <row r="11075">
          <cell r="A11075" t="str">
            <v>Botswana</v>
          </cell>
          <cell r="B11075">
            <v>72</v>
          </cell>
          <cell r="C11075">
            <v>201</v>
          </cell>
          <cell r="D11075">
            <v>13</v>
          </cell>
          <cell r="E11075" t="str">
            <v>Less: Financial intermediation services indirectly measured (FISIM) (only to be deducted if FISIM is not distributed to uses)</v>
          </cell>
          <cell r="F11075">
            <v>0</v>
          </cell>
          <cell r="G11075">
            <v>1979</v>
          </cell>
          <cell r="H11075">
            <v>20</v>
          </cell>
          <cell r="I11075">
            <v>11300000</v>
          </cell>
        </row>
        <row r="11076">
          <cell r="A11076" t="str">
            <v>Botswana</v>
          </cell>
          <cell r="B11076">
            <v>72</v>
          </cell>
          <cell r="C11076">
            <v>201</v>
          </cell>
          <cell r="D11076">
            <v>13</v>
          </cell>
          <cell r="E11076" t="str">
            <v>Less: Financial intermediation services indirectly measured (FISIM) (only to be deducted if FISIM is not distributed to uses)</v>
          </cell>
          <cell r="F11076">
            <v>0</v>
          </cell>
          <cell r="G11076">
            <v>1980</v>
          </cell>
          <cell r="H11076">
            <v>20</v>
          </cell>
          <cell r="I11076">
            <v>14800000</v>
          </cell>
        </row>
        <row r="11077">
          <cell r="A11077" t="str">
            <v>Botswana</v>
          </cell>
          <cell r="B11077">
            <v>72</v>
          </cell>
          <cell r="C11077">
            <v>201</v>
          </cell>
          <cell r="D11077">
            <v>13</v>
          </cell>
          <cell r="E11077" t="str">
            <v>Less: Financial intermediation services indirectly measured (FISIM) (only to be deducted if FISIM is not distributed to uses)</v>
          </cell>
          <cell r="F11077">
            <v>0</v>
          </cell>
          <cell r="G11077">
            <v>1981</v>
          </cell>
          <cell r="H11077">
            <v>20</v>
          </cell>
          <cell r="I11077">
            <v>17600000</v>
          </cell>
        </row>
        <row r="11078">
          <cell r="A11078" t="str">
            <v>Botswana</v>
          </cell>
          <cell r="B11078">
            <v>72</v>
          </cell>
          <cell r="C11078">
            <v>201</v>
          </cell>
          <cell r="D11078">
            <v>13</v>
          </cell>
          <cell r="E11078" t="str">
            <v>Less: Financial intermediation services indirectly measured (FISIM) (only to be deducted if FISIM is not distributed to uses)</v>
          </cell>
          <cell r="F11078">
            <v>0</v>
          </cell>
          <cell r="G11078">
            <v>1982</v>
          </cell>
          <cell r="H11078">
            <v>20</v>
          </cell>
          <cell r="I11078">
            <v>18900000</v>
          </cell>
        </row>
        <row r="11079">
          <cell r="A11079" t="str">
            <v>Botswana</v>
          </cell>
          <cell r="B11079">
            <v>72</v>
          </cell>
          <cell r="C11079">
            <v>201</v>
          </cell>
          <cell r="D11079">
            <v>13</v>
          </cell>
          <cell r="E11079" t="str">
            <v>Less: Financial intermediation services indirectly measured (FISIM) (only to be deducted if FISIM is not distributed to uses)</v>
          </cell>
          <cell r="F11079">
            <v>0</v>
          </cell>
          <cell r="G11079">
            <v>1983</v>
          </cell>
          <cell r="H11079">
            <v>20</v>
          </cell>
          <cell r="I11079">
            <v>23900000</v>
          </cell>
        </row>
        <row r="11080">
          <cell r="A11080" t="str">
            <v>Botswana</v>
          </cell>
          <cell r="B11080">
            <v>72</v>
          </cell>
          <cell r="C11080">
            <v>201</v>
          </cell>
          <cell r="D11080">
            <v>13</v>
          </cell>
          <cell r="E11080" t="str">
            <v>Less: Financial intermediation services indirectly measured (FISIM) (only to be deducted if FISIM is not distributed to uses)</v>
          </cell>
          <cell r="F11080">
            <v>0</v>
          </cell>
          <cell r="G11080">
            <v>1984</v>
          </cell>
          <cell r="H11080">
            <v>20</v>
          </cell>
          <cell r="I11080">
            <v>28900000</v>
          </cell>
        </row>
        <row r="11081">
          <cell r="A11081" t="str">
            <v>Botswana</v>
          </cell>
          <cell r="B11081">
            <v>72</v>
          </cell>
          <cell r="C11081">
            <v>201</v>
          </cell>
          <cell r="D11081">
            <v>13</v>
          </cell>
          <cell r="E11081" t="str">
            <v>Less: Financial intermediation services indirectly measured (FISIM) (only to be deducted if FISIM is not distributed to uses)</v>
          </cell>
          <cell r="F11081">
            <v>0</v>
          </cell>
          <cell r="G11081">
            <v>1985</v>
          </cell>
          <cell r="H11081">
            <v>20</v>
          </cell>
          <cell r="I11081">
            <v>30600000</v>
          </cell>
        </row>
        <row r="11082">
          <cell r="A11082" t="str">
            <v>Botswana</v>
          </cell>
          <cell r="B11082">
            <v>72</v>
          </cell>
          <cell r="C11082">
            <v>201</v>
          </cell>
          <cell r="D11082">
            <v>13</v>
          </cell>
          <cell r="E11082" t="str">
            <v>Less: Financial intermediation services indirectly measured (FISIM) (only to be deducted if FISIM is not distributed to uses)</v>
          </cell>
          <cell r="F11082">
            <v>0</v>
          </cell>
          <cell r="G11082">
            <v>1986</v>
          </cell>
          <cell r="H11082">
            <v>20</v>
          </cell>
          <cell r="I11082">
            <v>47600000</v>
          </cell>
        </row>
        <row r="11083">
          <cell r="A11083" t="str">
            <v>Botswana</v>
          </cell>
          <cell r="B11083">
            <v>72</v>
          </cell>
          <cell r="C11083">
            <v>201</v>
          </cell>
          <cell r="D11083">
            <v>13</v>
          </cell>
          <cell r="E11083" t="str">
            <v>Less: Financial intermediation services indirectly measured (FISIM) (only to be deducted if FISIM is not distributed to uses)</v>
          </cell>
          <cell r="F11083">
            <v>0</v>
          </cell>
          <cell r="G11083">
            <v>1987</v>
          </cell>
          <cell r="H11083">
            <v>20</v>
          </cell>
          <cell r="I11083">
            <v>56700000</v>
          </cell>
        </row>
        <row r="11084">
          <cell r="A11084" t="str">
            <v>Botswana</v>
          </cell>
          <cell r="B11084">
            <v>72</v>
          </cell>
          <cell r="C11084">
            <v>201</v>
          </cell>
          <cell r="D11084">
            <v>13</v>
          </cell>
          <cell r="E11084" t="str">
            <v>Less: Financial intermediation services indirectly measured (FISIM) (only to be deducted if FISIM is not distributed to uses)</v>
          </cell>
          <cell r="F11084">
            <v>0</v>
          </cell>
          <cell r="G11084">
            <v>1988</v>
          </cell>
          <cell r="H11084">
            <v>20</v>
          </cell>
          <cell r="I11084">
            <v>74200000</v>
          </cell>
        </row>
        <row r="11085">
          <cell r="A11085" t="str">
            <v>Botswana</v>
          </cell>
          <cell r="B11085">
            <v>72</v>
          </cell>
          <cell r="C11085">
            <v>201</v>
          </cell>
          <cell r="D11085">
            <v>13</v>
          </cell>
          <cell r="E11085" t="str">
            <v>Less: Financial intermediation services indirectly measured (FISIM) (only to be deducted if FISIM is not distributed to uses)</v>
          </cell>
          <cell r="F11085">
            <v>0</v>
          </cell>
          <cell r="G11085">
            <v>1989</v>
          </cell>
          <cell r="H11085">
            <v>30</v>
          </cell>
          <cell r="I11085">
            <v>127800000</v>
          </cell>
        </row>
        <row r="11086">
          <cell r="A11086" t="str">
            <v>Botswana</v>
          </cell>
          <cell r="B11086">
            <v>72</v>
          </cell>
          <cell r="C11086">
            <v>201</v>
          </cell>
          <cell r="D11086">
            <v>13</v>
          </cell>
          <cell r="E11086" t="str">
            <v>Less: Financial intermediation services indirectly measured (FISIM) (only to be deducted if FISIM is not distributed to uses)</v>
          </cell>
          <cell r="F11086">
            <v>0</v>
          </cell>
          <cell r="G11086">
            <v>1990</v>
          </cell>
          <cell r="H11086">
            <v>30</v>
          </cell>
          <cell r="I11086">
            <v>144700000</v>
          </cell>
        </row>
        <row r="11087">
          <cell r="A11087" t="str">
            <v>Botswana</v>
          </cell>
          <cell r="B11087">
            <v>72</v>
          </cell>
          <cell r="C11087">
            <v>201</v>
          </cell>
          <cell r="D11087">
            <v>13</v>
          </cell>
          <cell r="E11087" t="str">
            <v>Less: Financial intermediation services indirectly measured (FISIM) (only to be deducted if FISIM is not distributed to uses)</v>
          </cell>
          <cell r="F11087">
            <v>0</v>
          </cell>
          <cell r="G11087">
            <v>1991</v>
          </cell>
          <cell r="H11087">
            <v>30</v>
          </cell>
          <cell r="I11087">
            <v>159200000</v>
          </cell>
        </row>
        <row r="11088">
          <cell r="A11088" t="str">
            <v>Botswana</v>
          </cell>
          <cell r="B11088">
            <v>72</v>
          </cell>
          <cell r="C11088">
            <v>201</v>
          </cell>
          <cell r="D11088">
            <v>13</v>
          </cell>
          <cell r="E11088" t="str">
            <v>Less: Financial intermediation services indirectly measured (FISIM) (only to be deducted if FISIM is not distributed to uses)</v>
          </cell>
          <cell r="F11088">
            <v>0</v>
          </cell>
          <cell r="G11088">
            <v>1992</v>
          </cell>
          <cell r="H11088">
            <v>30</v>
          </cell>
          <cell r="I11088">
            <v>183100000</v>
          </cell>
        </row>
        <row r="11089">
          <cell r="A11089" t="str">
            <v>Botswana</v>
          </cell>
          <cell r="B11089">
            <v>72</v>
          </cell>
          <cell r="C11089">
            <v>201</v>
          </cell>
          <cell r="D11089">
            <v>13</v>
          </cell>
          <cell r="E11089" t="str">
            <v>Less: Financial intermediation services indirectly measured (FISIM) (only to be deducted if FISIM is not distributed to uses)</v>
          </cell>
          <cell r="F11089">
            <v>0</v>
          </cell>
          <cell r="G11089">
            <v>1992</v>
          </cell>
          <cell r="H11089">
            <v>100</v>
          </cell>
          <cell r="I11089">
            <v>183100000</v>
          </cell>
        </row>
        <row r="11090">
          <cell r="A11090" t="str">
            <v>Botswana</v>
          </cell>
          <cell r="B11090">
            <v>72</v>
          </cell>
          <cell r="C11090">
            <v>201</v>
          </cell>
          <cell r="D11090">
            <v>13</v>
          </cell>
          <cell r="E11090" t="str">
            <v>Less: Financial intermediation services indirectly measured (FISIM) (only to be deducted if FISIM is not distributed to uses)</v>
          </cell>
          <cell r="F11090">
            <v>0</v>
          </cell>
          <cell r="G11090">
            <v>1993</v>
          </cell>
          <cell r="H11090">
            <v>100</v>
          </cell>
          <cell r="I11090">
            <v>222400000</v>
          </cell>
        </row>
        <row r="11091">
          <cell r="A11091" t="str">
            <v>Botswana</v>
          </cell>
          <cell r="B11091">
            <v>72</v>
          </cell>
          <cell r="C11091">
            <v>201</v>
          </cell>
          <cell r="D11091">
            <v>13</v>
          </cell>
          <cell r="E11091" t="str">
            <v>Less: Financial intermediation services indirectly measured (FISIM) (only to be deducted if FISIM is not distributed to uses)</v>
          </cell>
          <cell r="F11091">
            <v>0</v>
          </cell>
          <cell r="G11091">
            <v>1994</v>
          </cell>
          <cell r="H11091">
            <v>100</v>
          </cell>
          <cell r="I11091">
            <v>294600000</v>
          </cell>
        </row>
        <row r="11092">
          <cell r="A11092" t="str">
            <v>Botswana</v>
          </cell>
          <cell r="B11092">
            <v>72</v>
          </cell>
          <cell r="C11092">
            <v>201</v>
          </cell>
          <cell r="D11092">
            <v>13</v>
          </cell>
          <cell r="E11092" t="str">
            <v>Less: Financial intermediation services indirectly measured (FISIM) (only to be deducted if FISIM is not distributed to uses)</v>
          </cell>
          <cell r="F11092">
            <v>0</v>
          </cell>
          <cell r="G11092">
            <v>1995</v>
          </cell>
          <cell r="H11092">
            <v>100</v>
          </cell>
          <cell r="I11092">
            <v>336000000</v>
          </cell>
        </row>
        <row r="11093">
          <cell r="A11093" t="str">
            <v>Botswana</v>
          </cell>
          <cell r="B11093">
            <v>72</v>
          </cell>
          <cell r="C11093">
            <v>201</v>
          </cell>
          <cell r="D11093">
            <v>13</v>
          </cell>
          <cell r="E11093" t="str">
            <v>Less: Financial intermediation services indirectly measured (FISIM) (only to be deducted if FISIM is not distributed to uses)</v>
          </cell>
          <cell r="F11093">
            <v>0</v>
          </cell>
          <cell r="G11093">
            <v>1996</v>
          </cell>
          <cell r="H11093">
            <v>100</v>
          </cell>
          <cell r="I11093">
            <v>377000000</v>
          </cell>
        </row>
        <row r="11094">
          <cell r="A11094" t="str">
            <v>Botswana</v>
          </cell>
          <cell r="B11094">
            <v>72</v>
          </cell>
          <cell r="C11094">
            <v>201</v>
          </cell>
          <cell r="D11094">
            <v>13</v>
          </cell>
          <cell r="E11094" t="str">
            <v>Less: Financial intermediation services indirectly measured (FISIM) (only to be deducted if FISIM is not distributed to uses)</v>
          </cell>
          <cell r="F11094">
            <v>0</v>
          </cell>
          <cell r="G11094">
            <v>1997</v>
          </cell>
          <cell r="H11094">
            <v>100</v>
          </cell>
          <cell r="I11094">
            <v>471000000</v>
          </cell>
        </row>
        <row r="11095">
          <cell r="A11095" t="str">
            <v>Botswana</v>
          </cell>
          <cell r="B11095">
            <v>72</v>
          </cell>
          <cell r="C11095">
            <v>201</v>
          </cell>
          <cell r="D11095">
            <v>13</v>
          </cell>
          <cell r="E11095" t="str">
            <v>Less: Financial intermediation services indirectly measured (FISIM) (only to be deducted if FISIM is not distributed to uses)</v>
          </cell>
          <cell r="F11095">
            <v>0</v>
          </cell>
          <cell r="G11095">
            <v>1998</v>
          </cell>
          <cell r="H11095">
            <v>100</v>
          </cell>
          <cell r="I11095">
            <v>659000000</v>
          </cell>
        </row>
        <row r="11096">
          <cell r="A11096" t="str">
            <v>Botswana</v>
          </cell>
          <cell r="B11096">
            <v>72</v>
          </cell>
          <cell r="C11096">
            <v>201</v>
          </cell>
          <cell r="D11096">
            <v>13</v>
          </cell>
          <cell r="E11096" t="str">
            <v>Less: Financial intermediation services indirectly measured (FISIM) (only to be deducted if FISIM is not distributed to uses)</v>
          </cell>
          <cell r="F11096">
            <v>0</v>
          </cell>
          <cell r="G11096">
            <v>1999</v>
          </cell>
          <cell r="H11096">
            <v>100</v>
          </cell>
          <cell r="I11096">
            <v>731000000</v>
          </cell>
        </row>
        <row r="11097">
          <cell r="A11097" t="str">
            <v>Botswana</v>
          </cell>
          <cell r="B11097">
            <v>72</v>
          </cell>
          <cell r="C11097">
            <v>201</v>
          </cell>
          <cell r="D11097">
            <v>13</v>
          </cell>
          <cell r="E11097" t="str">
            <v>Less: Financial intermediation services indirectly measured (FISIM) (only to be deducted if FISIM is not distributed to uses)</v>
          </cell>
          <cell r="F11097">
            <v>0</v>
          </cell>
          <cell r="G11097">
            <v>2000</v>
          </cell>
          <cell r="H11097">
            <v>100</v>
          </cell>
          <cell r="I11097">
            <v>879000000</v>
          </cell>
        </row>
        <row r="11098">
          <cell r="A11098" t="str">
            <v>Botswana</v>
          </cell>
          <cell r="B11098">
            <v>72</v>
          </cell>
          <cell r="C11098">
            <v>201</v>
          </cell>
          <cell r="D11098">
            <v>13</v>
          </cell>
          <cell r="E11098" t="str">
            <v>Less: Financial intermediation services indirectly measured (FISIM) (only to be deducted if FISIM is not distributed to uses)</v>
          </cell>
          <cell r="F11098">
            <v>0</v>
          </cell>
          <cell r="G11098">
            <v>2001</v>
          </cell>
          <cell r="H11098">
            <v>100</v>
          </cell>
          <cell r="I11098">
            <v>996000000</v>
          </cell>
        </row>
        <row r="11099">
          <cell r="A11099" t="str">
            <v>Botswana</v>
          </cell>
          <cell r="B11099">
            <v>72</v>
          </cell>
          <cell r="C11099">
            <v>201</v>
          </cell>
          <cell r="D11099">
            <v>13</v>
          </cell>
          <cell r="E11099" t="str">
            <v>Less: Financial intermediation services indirectly measured (FISIM) (only to be deducted if FISIM is not distributed to uses)</v>
          </cell>
          <cell r="F11099">
            <v>0</v>
          </cell>
          <cell r="G11099">
            <v>2002</v>
          </cell>
          <cell r="H11099">
            <v>100</v>
          </cell>
          <cell r="I11099">
            <v>1173000000</v>
          </cell>
        </row>
        <row r="11100">
          <cell r="A11100" t="str">
            <v>Botswana</v>
          </cell>
          <cell r="B11100">
            <v>72</v>
          </cell>
          <cell r="C11100">
            <v>201</v>
          </cell>
          <cell r="D11100">
            <v>13</v>
          </cell>
          <cell r="E11100" t="str">
            <v>Less: Financial intermediation services indirectly measured (FISIM) (only to be deducted if FISIM is not distributed to uses)</v>
          </cell>
          <cell r="F11100">
            <v>0</v>
          </cell>
          <cell r="G11100">
            <v>2003</v>
          </cell>
          <cell r="H11100">
            <v>100</v>
          </cell>
          <cell r="I11100">
            <v>1439000000</v>
          </cell>
        </row>
        <row r="11101">
          <cell r="A11101" t="str">
            <v>Botswana</v>
          </cell>
          <cell r="B11101">
            <v>72</v>
          </cell>
          <cell r="C11101">
            <v>203</v>
          </cell>
          <cell r="D11101">
            <v>3</v>
          </cell>
          <cell r="E11101" t="str">
            <v>Equals: VALUE ADDED, GROSS, at basic prices</v>
          </cell>
          <cell r="F11101">
            <v>12</v>
          </cell>
          <cell r="G11101">
            <v>1974</v>
          </cell>
          <cell r="H11101">
            <v>20</v>
          </cell>
          <cell r="I11101">
            <v>175600000</v>
          </cell>
        </row>
        <row r="11102">
          <cell r="A11102" t="str">
            <v>Botswana</v>
          </cell>
          <cell r="B11102">
            <v>72</v>
          </cell>
          <cell r="C11102">
            <v>203</v>
          </cell>
          <cell r="D11102">
            <v>3</v>
          </cell>
          <cell r="E11102" t="str">
            <v>Equals: VALUE ADDED, GROSS, at basic prices</v>
          </cell>
          <cell r="F11102">
            <v>12</v>
          </cell>
          <cell r="G11102">
            <v>1975</v>
          </cell>
          <cell r="H11102">
            <v>20</v>
          </cell>
          <cell r="I11102">
            <v>208100000</v>
          </cell>
        </row>
        <row r="11103">
          <cell r="A11103" t="str">
            <v>Botswana</v>
          </cell>
          <cell r="B11103">
            <v>72</v>
          </cell>
          <cell r="C11103">
            <v>203</v>
          </cell>
          <cell r="D11103">
            <v>3</v>
          </cell>
          <cell r="E11103" t="str">
            <v>Equals: VALUE ADDED, GROSS, at basic prices</v>
          </cell>
          <cell r="F11103">
            <v>12</v>
          </cell>
          <cell r="G11103">
            <v>1976</v>
          </cell>
          <cell r="H11103">
            <v>20</v>
          </cell>
          <cell r="I11103">
            <v>283800000</v>
          </cell>
        </row>
        <row r="11104">
          <cell r="A11104" t="str">
            <v>Botswana</v>
          </cell>
          <cell r="B11104">
            <v>72</v>
          </cell>
          <cell r="C11104">
            <v>203</v>
          </cell>
          <cell r="D11104">
            <v>3</v>
          </cell>
          <cell r="E11104" t="str">
            <v>Equals: VALUE ADDED, GROSS, at basic prices</v>
          </cell>
          <cell r="F11104">
            <v>12</v>
          </cell>
          <cell r="G11104">
            <v>1977</v>
          </cell>
          <cell r="H11104">
            <v>20</v>
          </cell>
          <cell r="I11104">
            <v>331100000</v>
          </cell>
        </row>
        <row r="11105">
          <cell r="A11105" t="str">
            <v>Botswana</v>
          </cell>
          <cell r="B11105">
            <v>72</v>
          </cell>
          <cell r="C11105">
            <v>203</v>
          </cell>
          <cell r="D11105">
            <v>3</v>
          </cell>
          <cell r="E11105" t="str">
            <v>Equals: VALUE ADDED, GROSS, at basic prices</v>
          </cell>
          <cell r="F11105">
            <v>12</v>
          </cell>
          <cell r="G11105">
            <v>1978</v>
          </cell>
          <cell r="H11105">
            <v>20</v>
          </cell>
          <cell r="I11105">
            <v>380300000</v>
          </cell>
        </row>
        <row r="11106">
          <cell r="A11106" t="str">
            <v>Botswana</v>
          </cell>
          <cell r="B11106">
            <v>72</v>
          </cell>
          <cell r="C11106">
            <v>203</v>
          </cell>
          <cell r="D11106">
            <v>3</v>
          </cell>
          <cell r="E11106" t="str">
            <v>Equals: VALUE ADDED, GROSS, at basic prices</v>
          </cell>
          <cell r="F11106">
            <v>12</v>
          </cell>
          <cell r="G11106">
            <v>1979</v>
          </cell>
          <cell r="H11106">
            <v>20</v>
          </cell>
          <cell r="I11106">
            <v>520600000</v>
          </cell>
        </row>
        <row r="11107">
          <cell r="A11107" t="str">
            <v>Botswana</v>
          </cell>
          <cell r="B11107">
            <v>72</v>
          </cell>
          <cell r="C11107">
            <v>203</v>
          </cell>
          <cell r="D11107">
            <v>3</v>
          </cell>
          <cell r="E11107" t="str">
            <v>Equals: VALUE ADDED, GROSS, at basic prices</v>
          </cell>
          <cell r="F11107">
            <v>12</v>
          </cell>
          <cell r="G11107">
            <v>1980</v>
          </cell>
          <cell r="H11107">
            <v>20</v>
          </cell>
          <cell r="I11107">
            <v>701700000</v>
          </cell>
        </row>
        <row r="11108">
          <cell r="A11108" t="str">
            <v>Botswana</v>
          </cell>
          <cell r="B11108">
            <v>72</v>
          </cell>
          <cell r="C11108">
            <v>203</v>
          </cell>
          <cell r="D11108">
            <v>3</v>
          </cell>
          <cell r="E11108" t="str">
            <v>Equals: VALUE ADDED, GROSS, at basic prices</v>
          </cell>
          <cell r="F11108">
            <v>12</v>
          </cell>
          <cell r="G11108">
            <v>1981</v>
          </cell>
          <cell r="H11108">
            <v>20</v>
          </cell>
          <cell r="I11108">
            <v>789400000</v>
          </cell>
        </row>
        <row r="11109">
          <cell r="A11109" t="str">
            <v>Botswana</v>
          </cell>
          <cell r="B11109">
            <v>72</v>
          </cell>
          <cell r="C11109">
            <v>203</v>
          </cell>
          <cell r="D11109">
            <v>3</v>
          </cell>
          <cell r="E11109" t="str">
            <v>Equals: VALUE ADDED, GROSS, at basic prices</v>
          </cell>
          <cell r="F11109">
            <v>12</v>
          </cell>
          <cell r="G11109">
            <v>1982</v>
          </cell>
          <cell r="H11109">
            <v>20</v>
          </cell>
          <cell r="I11109">
            <v>814100000</v>
          </cell>
        </row>
        <row r="11110">
          <cell r="A11110" t="str">
            <v>Botswana</v>
          </cell>
          <cell r="B11110">
            <v>72</v>
          </cell>
          <cell r="C11110">
            <v>203</v>
          </cell>
          <cell r="D11110">
            <v>3</v>
          </cell>
          <cell r="E11110" t="str">
            <v>Equals: VALUE ADDED, GROSS, at basic prices</v>
          </cell>
          <cell r="F11110">
            <v>12</v>
          </cell>
          <cell r="G11110">
            <v>1983</v>
          </cell>
          <cell r="H11110">
            <v>20</v>
          </cell>
          <cell r="I11110">
            <v>1049500000</v>
          </cell>
        </row>
        <row r="11111">
          <cell r="A11111" t="str">
            <v>Botswana</v>
          </cell>
          <cell r="B11111">
            <v>72</v>
          </cell>
          <cell r="C11111">
            <v>203</v>
          </cell>
          <cell r="D11111">
            <v>3</v>
          </cell>
          <cell r="E11111" t="str">
            <v>Equals: VALUE ADDED, GROSS, at basic prices</v>
          </cell>
          <cell r="F11111">
            <v>12</v>
          </cell>
          <cell r="G11111">
            <v>1984</v>
          </cell>
          <cell r="H11111">
            <v>20</v>
          </cell>
          <cell r="I11111">
            <v>1262500000</v>
          </cell>
        </row>
        <row r="11112">
          <cell r="A11112" t="str">
            <v>Botswana</v>
          </cell>
          <cell r="B11112">
            <v>72</v>
          </cell>
          <cell r="C11112">
            <v>203</v>
          </cell>
          <cell r="D11112">
            <v>3</v>
          </cell>
          <cell r="E11112" t="str">
            <v>Equals: VALUE ADDED, GROSS, at basic prices</v>
          </cell>
          <cell r="F11112">
            <v>12</v>
          </cell>
          <cell r="G11112">
            <v>1985</v>
          </cell>
          <cell r="H11112">
            <v>20</v>
          </cell>
          <cell r="I11112">
            <v>1704000000</v>
          </cell>
        </row>
        <row r="11113">
          <cell r="A11113" t="str">
            <v>Botswana</v>
          </cell>
          <cell r="B11113">
            <v>72</v>
          </cell>
          <cell r="C11113">
            <v>203</v>
          </cell>
          <cell r="D11113">
            <v>3</v>
          </cell>
          <cell r="E11113" t="str">
            <v>Equals: VALUE ADDED, GROSS, at basic prices</v>
          </cell>
          <cell r="F11113">
            <v>12</v>
          </cell>
          <cell r="G11113">
            <v>1986</v>
          </cell>
          <cell r="H11113">
            <v>20</v>
          </cell>
          <cell r="I11113">
            <v>2313000000</v>
          </cell>
        </row>
        <row r="11114">
          <cell r="A11114" t="str">
            <v>Botswana</v>
          </cell>
          <cell r="B11114">
            <v>72</v>
          </cell>
          <cell r="C11114">
            <v>203</v>
          </cell>
          <cell r="D11114">
            <v>3</v>
          </cell>
          <cell r="E11114" t="str">
            <v>Equals: VALUE ADDED, GROSS, at basic prices</v>
          </cell>
          <cell r="F11114">
            <v>12</v>
          </cell>
          <cell r="G11114">
            <v>1987</v>
          </cell>
          <cell r="H11114">
            <v>20</v>
          </cell>
          <cell r="I11114">
            <v>2663300000</v>
          </cell>
        </row>
        <row r="11115">
          <cell r="A11115" t="str">
            <v>Botswana</v>
          </cell>
          <cell r="B11115">
            <v>72</v>
          </cell>
          <cell r="C11115">
            <v>203</v>
          </cell>
          <cell r="D11115">
            <v>3</v>
          </cell>
          <cell r="E11115" t="str">
            <v>Equals: VALUE ADDED, GROSS, at basic prices</v>
          </cell>
          <cell r="F11115">
            <v>12</v>
          </cell>
          <cell r="G11115">
            <v>1988</v>
          </cell>
          <cell r="H11115">
            <v>20</v>
          </cell>
          <cell r="I11115">
            <v>3622300000</v>
          </cell>
        </row>
        <row r="11116">
          <cell r="A11116" t="str">
            <v>Botswana</v>
          </cell>
          <cell r="B11116">
            <v>72</v>
          </cell>
          <cell r="C11116">
            <v>203</v>
          </cell>
          <cell r="D11116">
            <v>3</v>
          </cell>
          <cell r="E11116" t="str">
            <v>Equals: VALUE ADDED, GROSS, at basic prices</v>
          </cell>
          <cell r="F11116">
            <v>12</v>
          </cell>
          <cell r="G11116">
            <v>1989</v>
          </cell>
          <cell r="H11116">
            <v>20</v>
          </cell>
          <cell r="I11116">
            <v>5965000000</v>
          </cell>
        </row>
        <row r="11117">
          <cell r="A11117" t="str">
            <v>Botswana</v>
          </cell>
          <cell r="B11117">
            <v>72</v>
          </cell>
          <cell r="C11117">
            <v>203</v>
          </cell>
          <cell r="D11117">
            <v>3</v>
          </cell>
          <cell r="E11117" t="str">
            <v>Equals: VALUE ADDED, GROSS, at basic prices</v>
          </cell>
          <cell r="F11117">
            <v>12</v>
          </cell>
          <cell r="G11117">
            <v>1989</v>
          </cell>
          <cell r="H11117">
            <v>30</v>
          </cell>
          <cell r="I11117">
            <v>5617700000</v>
          </cell>
        </row>
        <row r="11118">
          <cell r="A11118" t="str">
            <v>Botswana</v>
          </cell>
          <cell r="B11118">
            <v>72</v>
          </cell>
          <cell r="C11118">
            <v>203</v>
          </cell>
          <cell r="D11118">
            <v>3</v>
          </cell>
          <cell r="E11118" t="str">
            <v>Equals: VALUE ADDED, GROSS, at basic prices</v>
          </cell>
          <cell r="F11118">
            <v>12</v>
          </cell>
          <cell r="G11118">
            <v>1990</v>
          </cell>
          <cell r="H11118">
            <v>30</v>
          </cell>
          <cell r="I11118">
            <v>6259900000</v>
          </cell>
        </row>
        <row r="11119">
          <cell r="A11119" t="str">
            <v>Botswana</v>
          </cell>
          <cell r="B11119">
            <v>72</v>
          </cell>
          <cell r="C11119">
            <v>203</v>
          </cell>
          <cell r="D11119">
            <v>3</v>
          </cell>
          <cell r="E11119" t="str">
            <v>Equals: VALUE ADDED, GROSS, at basic prices</v>
          </cell>
          <cell r="F11119">
            <v>12</v>
          </cell>
          <cell r="G11119">
            <v>1991</v>
          </cell>
          <cell r="H11119">
            <v>30</v>
          </cell>
          <cell r="I11119">
            <v>7108700000</v>
          </cell>
        </row>
        <row r="11120">
          <cell r="A11120" t="str">
            <v>Botswana</v>
          </cell>
          <cell r="B11120">
            <v>72</v>
          </cell>
          <cell r="C11120">
            <v>203</v>
          </cell>
          <cell r="D11120">
            <v>3</v>
          </cell>
          <cell r="E11120" t="str">
            <v>Equals: VALUE ADDED, GROSS, at basic prices</v>
          </cell>
          <cell r="F11120">
            <v>12</v>
          </cell>
          <cell r="G11120">
            <v>1992</v>
          </cell>
          <cell r="H11120">
            <v>30</v>
          </cell>
          <cell r="I11120">
            <v>7655800000</v>
          </cell>
        </row>
        <row r="11121">
          <cell r="A11121" t="str">
            <v>Botswana</v>
          </cell>
          <cell r="B11121">
            <v>72</v>
          </cell>
          <cell r="C11121">
            <v>203</v>
          </cell>
          <cell r="D11121">
            <v>3</v>
          </cell>
          <cell r="E11121" t="str">
            <v>Equals: VALUE ADDED, GROSS, at basic prices</v>
          </cell>
          <cell r="F11121">
            <v>12</v>
          </cell>
          <cell r="G11121">
            <v>1992</v>
          </cell>
          <cell r="H11121">
            <v>100</v>
          </cell>
          <cell r="I11121">
            <v>7679000000</v>
          </cell>
        </row>
        <row r="11122">
          <cell r="A11122" t="str">
            <v>Botswana</v>
          </cell>
          <cell r="B11122">
            <v>72</v>
          </cell>
          <cell r="C11122">
            <v>203</v>
          </cell>
          <cell r="D11122">
            <v>3</v>
          </cell>
          <cell r="E11122" t="str">
            <v>Equals: VALUE ADDED, GROSS, at basic prices</v>
          </cell>
          <cell r="F11122">
            <v>12</v>
          </cell>
          <cell r="G11122">
            <v>1993</v>
          </cell>
          <cell r="H11122">
            <v>100</v>
          </cell>
          <cell r="I11122">
            <v>8299000000</v>
          </cell>
        </row>
        <row r="11123">
          <cell r="A11123" t="str">
            <v>Botswana</v>
          </cell>
          <cell r="B11123">
            <v>72</v>
          </cell>
          <cell r="C11123">
            <v>203</v>
          </cell>
          <cell r="D11123">
            <v>3</v>
          </cell>
          <cell r="E11123" t="str">
            <v>Equals: VALUE ADDED, GROSS, at basic prices</v>
          </cell>
          <cell r="F11123">
            <v>12</v>
          </cell>
          <cell r="G11123">
            <v>1994</v>
          </cell>
          <cell r="H11123">
            <v>100</v>
          </cell>
          <cell r="I11123">
            <v>10414200000</v>
          </cell>
        </row>
        <row r="11124">
          <cell r="A11124" t="str">
            <v>Botswana</v>
          </cell>
          <cell r="B11124">
            <v>72</v>
          </cell>
          <cell r="C11124">
            <v>203</v>
          </cell>
          <cell r="D11124">
            <v>3</v>
          </cell>
          <cell r="E11124" t="str">
            <v>Equals: VALUE ADDED, GROSS, at basic prices</v>
          </cell>
          <cell r="F11124">
            <v>12</v>
          </cell>
          <cell r="G11124">
            <v>1995</v>
          </cell>
          <cell r="H11124">
            <v>100</v>
          </cell>
          <cell r="I11124">
            <v>11696000000</v>
          </cell>
        </row>
        <row r="11125">
          <cell r="A11125" t="str">
            <v>Botswana</v>
          </cell>
          <cell r="B11125">
            <v>72</v>
          </cell>
          <cell r="C11125">
            <v>203</v>
          </cell>
          <cell r="D11125">
            <v>3</v>
          </cell>
          <cell r="E11125" t="str">
            <v>Equals: VALUE ADDED, GROSS, at basic prices</v>
          </cell>
          <cell r="F11125">
            <v>12</v>
          </cell>
          <cell r="G11125">
            <v>1996</v>
          </cell>
          <cell r="H11125">
            <v>100</v>
          </cell>
          <cell r="I11125">
            <v>13570000000</v>
          </cell>
        </row>
        <row r="11126">
          <cell r="A11126" t="str">
            <v>Botswana</v>
          </cell>
          <cell r="B11126">
            <v>72</v>
          </cell>
          <cell r="C11126">
            <v>203</v>
          </cell>
          <cell r="D11126">
            <v>3</v>
          </cell>
          <cell r="E11126" t="str">
            <v>Equals: VALUE ADDED, GROSS, at basic prices</v>
          </cell>
          <cell r="F11126">
            <v>12</v>
          </cell>
          <cell r="G11126">
            <v>1997</v>
          </cell>
          <cell r="H11126">
            <v>100</v>
          </cell>
          <cell r="I11126">
            <v>17024000000</v>
          </cell>
        </row>
        <row r="11127">
          <cell r="A11127" t="str">
            <v>Botswana</v>
          </cell>
          <cell r="B11127">
            <v>72</v>
          </cell>
          <cell r="C11127">
            <v>203</v>
          </cell>
          <cell r="D11127">
            <v>3</v>
          </cell>
          <cell r="E11127" t="str">
            <v>Equals: VALUE ADDED, GROSS, at basic prices</v>
          </cell>
          <cell r="F11127">
            <v>12</v>
          </cell>
          <cell r="G11127">
            <v>1998</v>
          </cell>
          <cell r="H11127">
            <v>100</v>
          </cell>
          <cell r="I11127">
            <v>19320000000</v>
          </cell>
        </row>
        <row r="11128">
          <cell r="A11128" t="str">
            <v>Botswana</v>
          </cell>
          <cell r="B11128">
            <v>72</v>
          </cell>
          <cell r="C11128">
            <v>203</v>
          </cell>
          <cell r="D11128">
            <v>3</v>
          </cell>
          <cell r="E11128" t="str">
            <v>Equals: VALUE ADDED, GROSS, at basic prices</v>
          </cell>
          <cell r="F11128">
            <v>12</v>
          </cell>
          <cell r="G11128">
            <v>1999</v>
          </cell>
          <cell r="H11128">
            <v>100</v>
          </cell>
          <cell r="I11128">
            <v>20477000000</v>
          </cell>
        </row>
        <row r="11129">
          <cell r="A11129" t="str">
            <v>Botswana</v>
          </cell>
          <cell r="B11129">
            <v>72</v>
          </cell>
          <cell r="C11129">
            <v>203</v>
          </cell>
          <cell r="D11129">
            <v>3</v>
          </cell>
          <cell r="E11129" t="str">
            <v>Equals: VALUE ADDED, GROSS, at basic prices</v>
          </cell>
          <cell r="F11129">
            <v>12</v>
          </cell>
          <cell r="G11129">
            <v>2000</v>
          </cell>
          <cell r="H11129">
            <v>100</v>
          </cell>
          <cell r="I11129">
            <v>23815000000</v>
          </cell>
        </row>
        <row r="11130">
          <cell r="A11130" t="str">
            <v>Botswana</v>
          </cell>
          <cell r="B11130">
            <v>72</v>
          </cell>
          <cell r="C11130">
            <v>203</v>
          </cell>
          <cell r="D11130">
            <v>3</v>
          </cell>
          <cell r="E11130" t="str">
            <v>Equals: VALUE ADDED, GROSS, at basic prices</v>
          </cell>
          <cell r="F11130">
            <v>12</v>
          </cell>
          <cell r="G11130">
            <v>2001</v>
          </cell>
          <cell r="H11130">
            <v>100</v>
          </cell>
          <cell r="I11130">
            <v>27564000000</v>
          </cell>
        </row>
        <row r="11131">
          <cell r="A11131" t="str">
            <v>Botswana</v>
          </cell>
          <cell r="B11131">
            <v>72</v>
          </cell>
          <cell r="C11131">
            <v>203</v>
          </cell>
          <cell r="D11131">
            <v>3</v>
          </cell>
          <cell r="E11131" t="str">
            <v>Equals: VALUE ADDED, GROSS, at basic prices</v>
          </cell>
          <cell r="F11131">
            <v>12</v>
          </cell>
          <cell r="G11131">
            <v>2002</v>
          </cell>
          <cell r="H11131">
            <v>100</v>
          </cell>
          <cell r="I11131">
            <v>30881000000</v>
          </cell>
        </row>
        <row r="11132">
          <cell r="A11132" t="str">
            <v>Botswana</v>
          </cell>
          <cell r="B11132">
            <v>72</v>
          </cell>
          <cell r="C11132">
            <v>203</v>
          </cell>
          <cell r="D11132">
            <v>4</v>
          </cell>
          <cell r="E11132" t="str">
            <v>Compensation of employees</v>
          </cell>
          <cell r="F11132">
            <v>12</v>
          </cell>
          <cell r="G11132">
            <v>1972</v>
          </cell>
          <cell r="H11132">
            <v>20</v>
          </cell>
          <cell r="I11132">
            <v>30700000</v>
          </cell>
        </row>
        <row r="11133">
          <cell r="A11133" t="str">
            <v>Botswana</v>
          </cell>
          <cell r="B11133">
            <v>72</v>
          </cell>
          <cell r="C11133">
            <v>203</v>
          </cell>
          <cell r="D11133">
            <v>4</v>
          </cell>
          <cell r="E11133" t="str">
            <v>Compensation of employees</v>
          </cell>
          <cell r="F11133">
            <v>12</v>
          </cell>
          <cell r="G11133">
            <v>1974</v>
          </cell>
          <cell r="H11133">
            <v>20</v>
          </cell>
          <cell r="I11133">
            <v>65100000</v>
          </cell>
        </row>
        <row r="11134">
          <cell r="A11134" t="str">
            <v>Botswana</v>
          </cell>
          <cell r="B11134">
            <v>72</v>
          </cell>
          <cell r="C11134">
            <v>203</v>
          </cell>
          <cell r="D11134">
            <v>4</v>
          </cell>
          <cell r="E11134" t="str">
            <v>Compensation of employees</v>
          </cell>
          <cell r="F11134">
            <v>12</v>
          </cell>
          <cell r="G11134">
            <v>1975</v>
          </cell>
          <cell r="H11134">
            <v>20</v>
          </cell>
          <cell r="I11134">
            <v>88500000</v>
          </cell>
        </row>
        <row r="11135">
          <cell r="A11135" t="str">
            <v>Botswana</v>
          </cell>
          <cell r="B11135">
            <v>72</v>
          </cell>
          <cell r="C11135">
            <v>203</v>
          </cell>
          <cell r="D11135">
            <v>4</v>
          </cell>
          <cell r="E11135" t="str">
            <v>Compensation of employees</v>
          </cell>
          <cell r="F11135">
            <v>12</v>
          </cell>
          <cell r="G11135">
            <v>1976</v>
          </cell>
          <cell r="H11135">
            <v>20</v>
          </cell>
          <cell r="I11135">
            <v>114800000</v>
          </cell>
        </row>
        <row r="11136">
          <cell r="A11136" t="str">
            <v>Botswana</v>
          </cell>
          <cell r="B11136">
            <v>72</v>
          </cell>
          <cell r="C11136">
            <v>203</v>
          </cell>
          <cell r="D11136">
            <v>4</v>
          </cell>
          <cell r="E11136" t="str">
            <v>Compensation of employees</v>
          </cell>
          <cell r="F11136">
            <v>12</v>
          </cell>
          <cell r="G11136">
            <v>1977</v>
          </cell>
          <cell r="H11136">
            <v>20</v>
          </cell>
          <cell r="I11136">
            <v>139500000</v>
          </cell>
        </row>
        <row r="11137">
          <cell r="A11137" t="str">
            <v>Botswana</v>
          </cell>
          <cell r="B11137">
            <v>72</v>
          </cell>
          <cell r="C11137">
            <v>203</v>
          </cell>
          <cell r="D11137">
            <v>4</v>
          </cell>
          <cell r="E11137" t="str">
            <v>Compensation of employees</v>
          </cell>
          <cell r="F11137">
            <v>12</v>
          </cell>
          <cell r="G11137">
            <v>1978</v>
          </cell>
          <cell r="H11137">
            <v>20</v>
          </cell>
          <cell r="I11137">
            <v>160300000</v>
          </cell>
        </row>
        <row r="11138">
          <cell r="A11138" t="str">
            <v>Botswana</v>
          </cell>
          <cell r="B11138">
            <v>72</v>
          </cell>
          <cell r="C11138">
            <v>203</v>
          </cell>
          <cell r="D11138">
            <v>4</v>
          </cell>
          <cell r="E11138" t="str">
            <v>Compensation of employees</v>
          </cell>
          <cell r="F11138">
            <v>12</v>
          </cell>
          <cell r="G11138">
            <v>1979</v>
          </cell>
          <cell r="H11138">
            <v>20</v>
          </cell>
          <cell r="I11138">
            <v>196800000</v>
          </cell>
        </row>
        <row r="11139">
          <cell r="A11139" t="str">
            <v>Botswana</v>
          </cell>
          <cell r="B11139">
            <v>72</v>
          </cell>
          <cell r="C11139">
            <v>203</v>
          </cell>
          <cell r="D11139">
            <v>4</v>
          </cell>
          <cell r="E11139" t="str">
            <v>Compensation of employees</v>
          </cell>
          <cell r="F11139">
            <v>12</v>
          </cell>
          <cell r="G11139">
            <v>1980</v>
          </cell>
          <cell r="H11139">
            <v>20</v>
          </cell>
          <cell r="I11139">
            <v>236600000</v>
          </cell>
        </row>
        <row r="11140">
          <cell r="A11140" t="str">
            <v>Botswana</v>
          </cell>
          <cell r="B11140">
            <v>72</v>
          </cell>
          <cell r="C11140">
            <v>203</v>
          </cell>
          <cell r="D11140">
            <v>4</v>
          </cell>
          <cell r="E11140" t="str">
            <v>Compensation of employees</v>
          </cell>
          <cell r="F11140">
            <v>12</v>
          </cell>
          <cell r="G11140">
            <v>1981</v>
          </cell>
          <cell r="H11140">
            <v>20</v>
          </cell>
          <cell r="I11140">
            <v>315300000</v>
          </cell>
        </row>
        <row r="11141">
          <cell r="A11141" t="str">
            <v>Botswana</v>
          </cell>
          <cell r="B11141">
            <v>72</v>
          </cell>
          <cell r="C11141">
            <v>203</v>
          </cell>
          <cell r="D11141">
            <v>4</v>
          </cell>
          <cell r="E11141" t="str">
            <v>Compensation of employees</v>
          </cell>
          <cell r="F11141">
            <v>12</v>
          </cell>
          <cell r="G11141">
            <v>1982</v>
          </cell>
          <cell r="H11141">
            <v>20</v>
          </cell>
          <cell r="I11141">
            <v>362400000</v>
          </cell>
        </row>
        <row r="11142">
          <cell r="A11142" t="str">
            <v>Botswana</v>
          </cell>
          <cell r="B11142">
            <v>72</v>
          </cell>
          <cell r="C11142">
            <v>203</v>
          </cell>
          <cell r="D11142">
            <v>4</v>
          </cell>
          <cell r="E11142" t="str">
            <v>Compensation of employees</v>
          </cell>
          <cell r="F11142">
            <v>12</v>
          </cell>
          <cell r="G11142">
            <v>1983</v>
          </cell>
          <cell r="H11142">
            <v>20</v>
          </cell>
          <cell r="I11142">
            <v>430900000</v>
          </cell>
        </row>
        <row r="11143">
          <cell r="A11143" t="str">
            <v>Botswana</v>
          </cell>
          <cell r="B11143">
            <v>72</v>
          </cell>
          <cell r="C11143">
            <v>203</v>
          </cell>
          <cell r="D11143">
            <v>4</v>
          </cell>
          <cell r="E11143" t="str">
            <v>Compensation of employees</v>
          </cell>
          <cell r="F11143">
            <v>12</v>
          </cell>
          <cell r="G11143">
            <v>1984</v>
          </cell>
          <cell r="H11143">
            <v>20</v>
          </cell>
          <cell r="I11143">
            <v>507300000</v>
          </cell>
        </row>
        <row r="11144">
          <cell r="A11144" t="str">
            <v>Botswana</v>
          </cell>
          <cell r="B11144">
            <v>72</v>
          </cell>
          <cell r="C11144">
            <v>203</v>
          </cell>
          <cell r="D11144">
            <v>4</v>
          </cell>
          <cell r="E11144" t="str">
            <v>Compensation of employees</v>
          </cell>
          <cell r="F11144">
            <v>12</v>
          </cell>
          <cell r="G11144">
            <v>1985</v>
          </cell>
          <cell r="H11144">
            <v>20</v>
          </cell>
          <cell r="I11144">
            <v>602200000</v>
          </cell>
        </row>
        <row r="11145">
          <cell r="A11145" t="str">
            <v>Botswana</v>
          </cell>
          <cell r="B11145">
            <v>72</v>
          </cell>
          <cell r="C11145">
            <v>203</v>
          </cell>
          <cell r="D11145">
            <v>4</v>
          </cell>
          <cell r="E11145" t="str">
            <v>Compensation of employees</v>
          </cell>
          <cell r="F11145">
            <v>12</v>
          </cell>
          <cell r="G11145">
            <v>1986</v>
          </cell>
          <cell r="H11145">
            <v>20</v>
          </cell>
          <cell r="I11145">
            <v>700700000</v>
          </cell>
        </row>
        <row r="11146">
          <cell r="A11146" t="str">
            <v>Botswana</v>
          </cell>
          <cell r="B11146">
            <v>72</v>
          </cell>
          <cell r="C11146">
            <v>203</v>
          </cell>
          <cell r="D11146">
            <v>4</v>
          </cell>
          <cell r="E11146" t="str">
            <v>Compensation of employees</v>
          </cell>
          <cell r="F11146">
            <v>12</v>
          </cell>
          <cell r="G11146">
            <v>1987</v>
          </cell>
          <cell r="H11146">
            <v>20</v>
          </cell>
          <cell r="I11146">
            <v>849600000</v>
          </cell>
        </row>
        <row r="11147">
          <cell r="A11147" t="str">
            <v>Botswana</v>
          </cell>
          <cell r="B11147">
            <v>72</v>
          </cell>
          <cell r="C11147">
            <v>203</v>
          </cell>
          <cell r="D11147">
            <v>4</v>
          </cell>
          <cell r="E11147" t="str">
            <v>Compensation of employees</v>
          </cell>
          <cell r="F11147">
            <v>12</v>
          </cell>
          <cell r="G11147">
            <v>1988</v>
          </cell>
          <cell r="H11147">
            <v>20</v>
          </cell>
          <cell r="I11147">
            <v>1051600000</v>
          </cell>
        </row>
        <row r="11148">
          <cell r="A11148" t="str">
            <v>Botswana</v>
          </cell>
          <cell r="B11148">
            <v>72</v>
          </cell>
          <cell r="C11148">
            <v>203</v>
          </cell>
          <cell r="D11148">
            <v>4</v>
          </cell>
          <cell r="E11148" t="str">
            <v>Compensation of employees</v>
          </cell>
          <cell r="F11148">
            <v>12</v>
          </cell>
          <cell r="G11148">
            <v>1989</v>
          </cell>
          <cell r="H11148">
            <v>20</v>
          </cell>
          <cell r="I11148">
            <v>1383000000</v>
          </cell>
        </row>
        <row r="11149">
          <cell r="A11149" t="str">
            <v>Botswana</v>
          </cell>
          <cell r="B11149">
            <v>72</v>
          </cell>
          <cell r="C11149">
            <v>203</v>
          </cell>
          <cell r="D11149">
            <v>4</v>
          </cell>
          <cell r="E11149" t="str">
            <v>Compensation of employees</v>
          </cell>
          <cell r="F11149">
            <v>12</v>
          </cell>
          <cell r="G11149">
            <v>1989</v>
          </cell>
          <cell r="H11149">
            <v>30</v>
          </cell>
          <cell r="I11149">
            <v>1383400000</v>
          </cell>
        </row>
        <row r="11150">
          <cell r="A11150" t="str">
            <v>Botswana</v>
          </cell>
          <cell r="B11150">
            <v>72</v>
          </cell>
          <cell r="C11150">
            <v>203</v>
          </cell>
          <cell r="D11150">
            <v>4</v>
          </cell>
          <cell r="E11150" t="str">
            <v>Compensation of employees</v>
          </cell>
          <cell r="F11150">
            <v>12</v>
          </cell>
          <cell r="G11150">
            <v>1990</v>
          </cell>
          <cell r="H11150">
            <v>30</v>
          </cell>
          <cell r="I11150">
            <v>1698200000</v>
          </cell>
        </row>
        <row r="11151">
          <cell r="A11151" t="str">
            <v>Botswana</v>
          </cell>
          <cell r="B11151">
            <v>72</v>
          </cell>
          <cell r="C11151">
            <v>203</v>
          </cell>
          <cell r="D11151">
            <v>4</v>
          </cell>
          <cell r="E11151" t="str">
            <v>Compensation of employees</v>
          </cell>
          <cell r="F11151">
            <v>12</v>
          </cell>
          <cell r="G11151">
            <v>1991</v>
          </cell>
          <cell r="H11151">
            <v>30</v>
          </cell>
          <cell r="I11151">
            <v>2100400000</v>
          </cell>
        </row>
        <row r="11152">
          <cell r="A11152" t="str">
            <v>Botswana</v>
          </cell>
          <cell r="B11152">
            <v>72</v>
          </cell>
          <cell r="C11152">
            <v>203</v>
          </cell>
          <cell r="D11152">
            <v>4</v>
          </cell>
          <cell r="E11152" t="str">
            <v>Compensation of employees</v>
          </cell>
          <cell r="F11152">
            <v>12</v>
          </cell>
          <cell r="G11152">
            <v>1992</v>
          </cell>
          <cell r="H11152">
            <v>30</v>
          </cell>
          <cell r="I11152">
            <v>2570700000</v>
          </cell>
        </row>
        <row r="11153">
          <cell r="A11153" t="str">
            <v>Botswana</v>
          </cell>
          <cell r="B11153">
            <v>72</v>
          </cell>
          <cell r="C11153">
            <v>203</v>
          </cell>
          <cell r="D11153">
            <v>4</v>
          </cell>
          <cell r="E11153" t="str">
            <v>Compensation of employees</v>
          </cell>
          <cell r="F11153">
            <v>12</v>
          </cell>
          <cell r="G11153">
            <v>1992</v>
          </cell>
          <cell r="H11153">
            <v>100</v>
          </cell>
          <cell r="I11153">
            <v>2570700000</v>
          </cell>
        </row>
        <row r="11154">
          <cell r="A11154" t="str">
            <v>Botswana</v>
          </cell>
          <cell r="B11154">
            <v>72</v>
          </cell>
          <cell r="C11154">
            <v>203</v>
          </cell>
          <cell r="D11154">
            <v>4</v>
          </cell>
          <cell r="E11154" t="str">
            <v>Compensation of employees</v>
          </cell>
          <cell r="F11154">
            <v>12</v>
          </cell>
          <cell r="G11154">
            <v>1993</v>
          </cell>
          <cell r="H11154">
            <v>100</v>
          </cell>
          <cell r="I11154">
            <v>3065900000</v>
          </cell>
        </row>
        <row r="11155">
          <cell r="A11155" t="str">
            <v>Botswana</v>
          </cell>
          <cell r="B11155">
            <v>72</v>
          </cell>
          <cell r="C11155">
            <v>203</v>
          </cell>
          <cell r="D11155">
            <v>4</v>
          </cell>
          <cell r="E11155" t="str">
            <v>Compensation of employees</v>
          </cell>
          <cell r="F11155">
            <v>12</v>
          </cell>
          <cell r="G11155">
            <v>1994</v>
          </cell>
          <cell r="H11155">
            <v>100</v>
          </cell>
          <cell r="I11155">
            <v>3283600000</v>
          </cell>
        </row>
        <row r="11156">
          <cell r="A11156" t="str">
            <v>Botswana</v>
          </cell>
          <cell r="B11156">
            <v>72</v>
          </cell>
          <cell r="C11156">
            <v>203</v>
          </cell>
          <cell r="D11156">
            <v>4</v>
          </cell>
          <cell r="E11156" t="str">
            <v>Compensation of employees</v>
          </cell>
          <cell r="F11156">
            <v>12</v>
          </cell>
          <cell r="G11156">
            <v>1995</v>
          </cell>
          <cell r="H11156">
            <v>100</v>
          </cell>
          <cell r="I11156">
            <v>3734000000</v>
          </cell>
        </row>
        <row r="11157">
          <cell r="A11157" t="str">
            <v>Botswana</v>
          </cell>
          <cell r="B11157">
            <v>72</v>
          </cell>
          <cell r="C11157">
            <v>203</v>
          </cell>
          <cell r="D11157">
            <v>4</v>
          </cell>
          <cell r="E11157" t="str">
            <v>Compensation of employees</v>
          </cell>
          <cell r="F11157">
            <v>12</v>
          </cell>
          <cell r="G11157">
            <v>1996</v>
          </cell>
          <cell r="H11157">
            <v>100</v>
          </cell>
          <cell r="I11157">
            <v>4139000000</v>
          </cell>
        </row>
        <row r="11158">
          <cell r="A11158" t="str">
            <v>Botswana</v>
          </cell>
          <cell r="B11158">
            <v>72</v>
          </cell>
          <cell r="C11158">
            <v>203</v>
          </cell>
          <cell r="D11158">
            <v>4</v>
          </cell>
          <cell r="E11158" t="str">
            <v>Compensation of employees</v>
          </cell>
          <cell r="F11158">
            <v>12</v>
          </cell>
          <cell r="G11158">
            <v>1997</v>
          </cell>
          <cell r="H11158">
            <v>100</v>
          </cell>
          <cell r="I11158">
            <v>4580000000</v>
          </cell>
        </row>
        <row r="11159">
          <cell r="A11159" t="str">
            <v>Botswana</v>
          </cell>
          <cell r="B11159">
            <v>72</v>
          </cell>
          <cell r="C11159">
            <v>203</v>
          </cell>
          <cell r="D11159">
            <v>4</v>
          </cell>
          <cell r="E11159" t="str">
            <v>Compensation of employees</v>
          </cell>
          <cell r="F11159">
            <v>12</v>
          </cell>
          <cell r="G11159">
            <v>1998</v>
          </cell>
          <cell r="H11159">
            <v>100</v>
          </cell>
          <cell r="I11159">
            <v>5432000000</v>
          </cell>
        </row>
        <row r="11160">
          <cell r="A11160" t="str">
            <v>Botswana</v>
          </cell>
          <cell r="B11160">
            <v>72</v>
          </cell>
          <cell r="C11160">
            <v>203</v>
          </cell>
          <cell r="D11160">
            <v>4</v>
          </cell>
          <cell r="E11160" t="str">
            <v>Compensation of employees</v>
          </cell>
          <cell r="F11160">
            <v>12</v>
          </cell>
          <cell r="G11160">
            <v>1999</v>
          </cell>
          <cell r="H11160">
            <v>100</v>
          </cell>
          <cell r="I11160">
            <v>6619000000</v>
          </cell>
        </row>
        <row r="11161">
          <cell r="A11161" t="str">
            <v>Botswana</v>
          </cell>
          <cell r="B11161">
            <v>72</v>
          </cell>
          <cell r="C11161">
            <v>203</v>
          </cell>
          <cell r="D11161">
            <v>4</v>
          </cell>
          <cell r="E11161" t="str">
            <v>Compensation of employees</v>
          </cell>
          <cell r="F11161">
            <v>12</v>
          </cell>
          <cell r="G11161">
            <v>2000</v>
          </cell>
          <cell r="H11161">
            <v>100</v>
          </cell>
          <cell r="I11161">
            <v>7252000000</v>
          </cell>
        </row>
        <row r="11162">
          <cell r="A11162" t="str">
            <v>Botswana</v>
          </cell>
          <cell r="B11162">
            <v>72</v>
          </cell>
          <cell r="C11162">
            <v>203</v>
          </cell>
          <cell r="D11162">
            <v>4</v>
          </cell>
          <cell r="E11162" t="str">
            <v>Compensation of employees</v>
          </cell>
          <cell r="F11162">
            <v>12</v>
          </cell>
          <cell r="G11162">
            <v>2001</v>
          </cell>
          <cell r="H11162">
            <v>100</v>
          </cell>
          <cell r="I11162">
            <v>8244000000</v>
          </cell>
        </row>
        <row r="11163">
          <cell r="A11163" t="str">
            <v>Botswana</v>
          </cell>
          <cell r="B11163">
            <v>72</v>
          </cell>
          <cell r="C11163">
            <v>203</v>
          </cell>
          <cell r="D11163">
            <v>11</v>
          </cell>
          <cell r="E11163" t="str">
            <v>OPERATING SURPLUS, GROSS</v>
          </cell>
          <cell r="F11163">
            <v>12</v>
          </cell>
          <cell r="G11163">
            <v>1974</v>
          </cell>
          <cell r="H11163">
            <v>20</v>
          </cell>
          <cell r="I11163">
            <v>109700000</v>
          </cell>
        </row>
        <row r="11164">
          <cell r="A11164" t="str">
            <v>Botswana</v>
          </cell>
          <cell r="B11164">
            <v>72</v>
          </cell>
          <cell r="C11164">
            <v>203</v>
          </cell>
          <cell r="D11164">
            <v>11</v>
          </cell>
          <cell r="E11164" t="str">
            <v>OPERATING SURPLUS, GROSS</v>
          </cell>
          <cell r="F11164">
            <v>12</v>
          </cell>
          <cell r="G11164">
            <v>1975</v>
          </cell>
          <cell r="H11164">
            <v>20</v>
          </cell>
          <cell r="I11164">
            <v>117900000</v>
          </cell>
        </row>
        <row r="11165">
          <cell r="A11165" t="str">
            <v>Botswana</v>
          </cell>
          <cell r="B11165">
            <v>72</v>
          </cell>
          <cell r="C11165">
            <v>203</v>
          </cell>
          <cell r="D11165">
            <v>11</v>
          </cell>
          <cell r="E11165" t="str">
            <v>OPERATING SURPLUS, GROSS</v>
          </cell>
          <cell r="F11165">
            <v>12</v>
          </cell>
          <cell r="G11165">
            <v>1976</v>
          </cell>
          <cell r="H11165">
            <v>20</v>
          </cell>
          <cell r="I11165">
            <v>165500000</v>
          </cell>
        </row>
        <row r="11166">
          <cell r="A11166" t="str">
            <v>Botswana</v>
          </cell>
          <cell r="B11166">
            <v>72</v>
          </cell>
          <cell r="C11166">
            <v>203</v>
          </cell>
          <cell r="D11166">
            <v>11</v>
          </cell>
          <cell r="E11166" t="str">
            <v>OPERATING SURPLUS, GROSS</v>
          </cell>
          <cell r="F11166">
            <v>12</v>
          </cell>
          <cell r="G11166">
            <v>1977</v>
          </cell>
          <cell r="H11166">
            <v>20</v>
          </cell>
          <cell r="I11166">
            <v>189900000</v>
          </cell>
        </row>
        <row r="11167">
          <cell r="A11167" t="str">
            <v>Botswana</v>
          </cell>
          <cell r="B11167">
            <v>72</v>
          </cell>
          <cell r="C11167">
            <v>203</v>
          </cell>
          <cell r="D11167">
            <v>11</v>
          </cell>
          <cell r="E11167" t="str">
            <v>OPERATING SURPLUS, GROSS</v>
          </cell>
          <cell r="F11167">
            <v>12</v>
          </cell>
          <cell r="G11167">
            <v>1978</v>
          </cell>
          <cell r="H11167">
            <v>20</v>
          </cell>
          <cell r="I11167">
            <v>218000000</v>
          </cell>
        </row>
        <row r="11168">
          <cell r="A11168" t="str">
            <v>Botswana</v>
          </cell>
          <cell r="B11168">
            <v>72</v>
          </cell>
          <cell r="C11168">
            <v>203</v>
          </cell>
          <cell r="D11168">
            <v>11</v>
          </cell>
          <cell r="E11168" t="str">
            <v>OPERATING SURPLUS, GROSS</v>
          </cell>
          <cell r="F11168">
            <v>12</v>
          </cell>
          <cell r="G11168">
            <v>1979</v>
          </cell>
          <cell r="H11168">
            <v>20</v>
          </cell>
          <cell r="I11168">
            <v>319800000</v>
          </cell>
        </row>
        <row r="11169">
          <cell r="A11169" t="str">
            <v>Botswana</v>
          </cell>
          <cell r="B11169">
            <v>72</v>
          </cell>
          <cell r="C11169">
            <v>203</v>
          </cell>
          <cell r="D11169">
            <v>11</v>
          </cell>
          <cell r="E11169" t="str">
            <v>OPERATING SURPLUS, GROSS</v>
          </cell>
          <cell r="F11169">
            <v>12</v>
          </cell>
          <cell r="G11169">
            <v>1980</v>
          </cell>
          <cell r="H11169">
            <v>20</v>
          </cell>
          <cell r="I11169">
            <v>447800000</v>
          </cell>
        </row>
        <row r="11170">
          <cell r="A11170" t="str">
            <v>Botswana</v>
          </cell>
          <cell r="B11170">
            <v>72</v>
          </cell>
          <cell r="C11170">
            <v>203</v>
          </cell>
          <cell r="D11170">
            <v>11</v>
          </cell>
          <cell r="E11170" t="str">
            <v>OPERATING SURPLUS, GROSS</v>
          </cell>
          <cell r="F11170">
            <v>12</v>
          </cell>
          <cell r="G11170">
            <v>1981</v>
          </cell>
          <cell r="H11170">
            <v>20</v>
          </cell>
          <cell r="I11170">
            <v>456800000</v>
          </cell>
        </row>
        <row r="11171">
          <cell r="A11171" t="str">
            <v>Botswana</v>
          </cell>
          <cell r="B11171">
            <v>72</v>
          </cell>
          <cell r="C11171">
            <v>203</v>
          </cell>
          <cell r="D11171">
            <v>11</v>
          </cell>
          <cell r="E11171" t="str">
            <v>OPERATING SURPLUS, GROSS</v>
          </cell>
          <cell r="F11171">
            <v>12</v>
          </cell>
          <cell r="G11171">
            <v>1982</v>
          </cell>
          <cell r="H11171">
            <v>20</v>
          </cell>
          <cell r="I11171">
            <v>437600000</v>
          </cell>
        </row>
        <row r="11172">
          <cell r="A11172" t="str">
            <v>Botswana</v>
          </cell>
          <cell r="B11172">
            <v>72</v>
          </cell>
          <cell r="C11172">
            <v>203</v>
          </cell>
          <cell r="D11172">
            <v>11</v>
          </cell>
          <cell r="E11172" t="str">
            <v>OPERATING SURPLUS, GROSS</v>
          </cell>
          <cell r="F11172">
            <v>12</v>
          </cell>
          <cell r="G11172">
            <v>1983</v>
          </cell>
          <cell r="H11172">
            <v>20</v>
          </cell>
          <cell r="I11172">
            <v>614200000</v>
          </cell>
        </row>
        <row r="11173">
          <cell r="A11173" t="str">
            <v>Botswana</v>
          </cell>
          <cell r="B11173">
            <v>72</v>
          </cell>
          <cell r="C11173">
            <v>203</v>
          </cell>
          <cell r="D11173">
            <v>11</v>
          </cell>
          <cell r="E11173" t="str">
            <v>OPERATING SURPLUS, GROSS</v>
          </cell>
          <cell r="F11173">
            <v>12</v>
          </cell>
          <cell r="G11173">
            <v>1984</v>
          </cell>
          <cell r="H11173">
            <v>20</v>
          </cell>
          <cell r="I11173">
            <v>747100000</v>
          </cell>
        </row>
        <row r="11174">
          <cell r="A11174" t="str">
            <v>Botswana</v>
          </cell>
          <cell r="B11174">
            <v>72</v>
          </cell>
          <cell r="C11174">
            <v>203</v>
          </cell>
          <cell r="D11174">
            <v>11</v>
          </cell>
          <cell r="E11174" t="str">
            <v>OPERATING SURPLUS, GROSS</v>
          </cell>
          <cell r="F11174">
            <v>12</v>
          </cell>
          <cell r="G11174">
            <v>1985</v>
          </cell>
          <cell r="H11174">
            <v>20</v>
          </cell>
          <cell r="I11174">
            <v>1102000000</v>
          </cell>
        </row>
        <row r="11175">
          <cell r="A11175" t="str">
            <v>Botswana</v>
          </cell>
          <cell r="B11175">
            <v>72</v>
          </cell>
          <cell r="C11175">
            <v>203</v>
          </cell>
          <cell r="D11175">
            <v>11</v>
          </cell>
          <cell r="E11175" t="str">
            <v>OPERATING SURPLUS, GROSS</v>
          </cell>
          <cell r="F11175">
            <v>12</v>
          </cell>
          <cell r="G11175">
            <v>1986</v>
          </cell>
          <cell r="H11175">
            <v>20</v>
          </cell>
          <cell r="I11175">
            <v>1614100000</v>
          </cell>
        </row>
        <row r="11176">
          <cell r="A11176" t="str">
            <v>Botswana</v>
          </cell>
          <cell r="B11176">
            <v>72</v>
          </cell>
          <cell r="C11176">
            <v>203</v>
          </cell>
          <cell r="D11176">
            <v>11</v>
          </cell>
          <cell r="E11176" t="str">
            <v>OPERATING SURPLUS, GROSS</v>
          </cell>
          <cell r="F11176">
            <v>12</v>
          </cell>
          <cell r="G11176">
            <v>1987</v>
          </cell>
          <cell r="H11176">
            <v>20</v>
          </cell>
          <cell r="I11176">
            <v>1801600000</v>
          </cell>
        </row>
        <row r="11177">
          <cell r="A11177" t="str">
            <v>Botswana</v>
          </cell>
          <cell r="B11177">
            <v>72</v>
          </cell>
          <cell r="C11177">
            <v>203</v>
          </cell>
          <cell r="D11177">
            <v>11</v>
          </cell>
          <cell r="E11177" t="str">
            <v>OPERATING SURPLUS, GROSS</v>
          </cell>
          <cell r="F11177">
            <v>12</v>
          </cell>
          <cell r="G11177">
            <v>1988</v>
          </cell>
          <cell r="H11177">
            <v>20</v>
          </cell>
          <cell r="I11177">
            <v>2586100000</v>
          </cell>
        </row>
        <row r="11178">
          <cell r="A11178" t="str">
            <v>Botswana</v>
          </cell>
          <cell r="B11178">
            <v>72</v>
          </cell>
          <cell r="C11178">
            <v>203</v>
          </cell>
          <cell r="D11178">
            <v>11</v>
          </cell>
          <cell r="E11178" t="str">
            <v>OPERATING SURPLUS, GROSS</v>
          </cell>
          <cell r="F11178">
            <v>12</v>
          </cell>
          <cell r="G11178">
            <v>1989</v>
          </cell>
          <cell r="H11178">
            <v>20</v>
          </cell>
          <cell r="I11178">
            <v>4281000000</v>
          </cell>
        </row>
        <row r="11179">
          <cell r="A11179" t="str">
            <v>Botswana</v>
          </cell>
          <cell r="B11179">
            <v>72</v>
          </cell>
          <cell r="C11179">
            <v>203</v>
          </cell>
          <cell r="D11179">
            <v>11</v>
          </cell>
          <cell r="E11179" t="str">
            <v>OPERATING SURPLUS, GROSS</v>
          </cell>
          <cell r="F11179">
            <v>12</v>
          </cell>
          <cell r="G11179">
            <v>1989</v>
          </cell>
          <cell r="H11179">
            <v>30</v>
          </cell>
          <cell r="I11179">
            <v>3943400000</v>
          </cell>
        </row>
        <row r="11180">
          <cell r="A11180" t="str">
            <v>Botswana</v>
          </cell>
          <cell r="B11180">
            <v>72</v>
          </cell>
          <cell r="C11180">
            <v>203</v>
          </cell>
          <cell r="D11180">
            <v>11</v>
          </cell>
          <cell r="E11180" t="str">
            <v>OPERATING SURPLUS, GROSS</v>
          </cell>
          <cell r="F11180">
            <v>12</v>
          </cell>
          <cell r="G11180">
            <v>1990</v>
          </cell>
          <cell r="H11180">
            <v>30</v>
          </cell>
          <cell r="I11180">
            <v>4262300000</v>
          </cell>
        </row>
        <row r="11181">
          <cell r="A11181" t="str">
            <v>Botswana</v>
          </cell>
          <cell r="B11181">
            <v>72</v>
          </cell>
          <cell r="C11181">
            <v>203</v>
          </cell>
          <cell r="D11181">
            <v>11</v>
          </cell>
          <cell r="E11181" t="str">
            <v>OPERATING SURPLUS, GROSS</v>
          </cell>
          <cell r="F11181">
            <v>12</v>
          </cell>
          <cell r="G11181">
            <v>1992</v>
          </cell>
          <cell r="H11181">
            <v>30</v>
          </cell>
          <cell r="I11181">
            <v>4641200000</v>
          </cell>
        </row>
        <row r="11182">
          <cell r="A11182" t="str">
            <v>Botswana</v>
          </cell>
          <cell r="B11182">
            <v>72</v>
          </cell>
          <cell r="C11182">
            <v>203</v>
          </cell>
          <cell r="D11182">
            <v>11</v>
          </cell>
          <cell r="E11182" t="str">
            <v>OPERATING SURPLUS, GROSS</v>
          </cell>
          <cell r="F11182">
            <v>12</v>
          </cell>
          <cell r="G11182">
            <v>1992</v>
          </cell>
          <cell r="H11182">
            <v>100</v>
          </cell>
          <cell r="I11182">
            <v>4791300000</v>
          </cell>
        </row>
        <row r="11183">
          <cell r="A11183" t="str">
            <v>Botswana</v>
          </cell>
          <cell r="B11183">
            <v>72</v>
          </cell>
          <cell r="C11183">
            <v>203</v>
          </cell>
          <cell r="D11183">
            <v>11</v>
          </cell>
          <cell r="E11183" t="str">
            <v>OPERATING SURPLUS, GROSS</v>
          </cell>
          <cell r="F11183">
            <v>12</v>
          </cell>
          <cell r="G11183">
            <v>1993</v>
          </cell>
          <cell r="H11183">
            <v>100</v>
          </cell>
          <cell r="I11183">
            <v>4896000000</v>
          </cell>
        </row>
        <row r="11184">
          <cell r="A11184" t="str">
            <v>Botswana</v>
          </cell>
          <cell r="B11184">
            <v>72</v>
          </cell>
          <cell r="C11184">
            <v>203</v>
          </cell>
          <cell r="D11184">
            <v>11</v>
          </cell>
          <cell r="E11184" t="str">
            <v>OPERATING SURPLUS, GROSS</v>
          </cell>
          <cell r="F11184">
            <v>12</v>
          </cell>
          <cell r="G11184">
            <v>1994</v>
          </cell>
          <cell r="H11184">
            <v>100</v>
          </cell>
          <cell r="I11184">
            <v>6704000000</v>
          </cell>
        </row>
        <row r="11185">
          <cell r="A11185" t="str">
            <v>Botswana</v>
          </cell>
          <cell r="B11185">
            <v>72</v>
          </cell>
          <cell r="C11185">
            <v>203</v>
          </cell>
          <cell r="D11185">
            <v>11</v>
          </cell>
          <cell r="E11185" t="str">
            <v>OPERATING SURPLUS, GROSS</v>
          </cell>
          <cell r="F11185">
            <v>12</v>
          </cell>
          <cell r="G11185">
            <v>1995</v>
          </cell>
          <cell r="H11185">
            <v>100</v>
          </cell>
          <cell r="I11185">
            <v>7481000000</v>
          </cell>
        </row>
        <row r="11186">
          <cell r="A11186" t="str">
            <v>Botswana</v>
          </cell>
          <cell r="B11186">
            <v>72</v>
          </cell>
          <cell r="C11186">
            <v>203</v>
          </cell>
          <cell r="D11186">
            <v>11</v>
          </cell>
          <cell r="E11186" t="str">
            <v>OPERATING SURPLUS, GROSS</v>
          </cell>
          <cell r="F11186">
            <v>12</v>
          </cell>
          <cell r="G11186">
            <v>1996</v>
          </cell>
          <cell r="H11186">
            <v>100</v>
          </cell>
          <cell r="I11186">
            <v>8408000000</v>
          </cell>
        </row>
        <row r="11187">
          <cell r="A11187" t="str">
            <v>Botswana</v>
          </cell>
          <cell r="B11187">
            <v>72</v>
          </cell>
          <cell r="C11187">
            <v>203</v>
          </cell>
          <cell r="D11187">
            <v>11</v>
          </cell>
          <cell r="E11187" t="str">
            <v>OPERATING SURPLUS, GROSS</v>
          </cell>
          <cell r="F11187">
            <v>12</v>
          </cell>
          <cell r="G11187">
            <v>1997</v>
          </cell>
          <cell r="H11187">
            <v>100</v>
          </cell>
          <cell r="I11187">
            <v>11794000000</v>
          </cell>
        </row>
        <row r="11188">
          <cell r="A11188" t="str">
            <v>Botswana</v>
          </cell>
          <cell r="B11188">
            <v>72</v>
          </cell>
          <cell r="C11188">
            <v>203</v>
          </cell>
          <cell r="D11188">
            <v>11</v>
          </cell>
          <cell r="E11188" t="str">
            <v>OPERATING SURPLUS, GROSS</v>
          </cell>
          <cell r="F11188">
            <v>12</v>
          </cell>
          <cell r="G11188">
            <v>1998</v>
          </cell>
          <cell r="H11188">
            <v>100</v>
          </cell>
          <cell r="I11188">
            <v>13037000000</v>
          </cell>
        </row>
        <row r="11189">
          <cell r="A11189" t="str">
            <v>Botswana</v>
          </cell>
          <cell r="B11189">
            <v>72</v>
          </cell>
          <cell r="C11189">
            <v>203</v>
          </cell>
          <cell r="D11189">
            <v>11</v>
          </cell>
          <cell r="E11189" t="str">
            <v>OPERATING SURPLUS, GROSS</v>
          </cell>
          <cell r="F11189">
            <v>12</v>
          </cell>
          <cell r="G11189">
            <v>1999</v>
          </cell>
          <cell r="H11189">
            <v>100</v>
          </cell>
          <cell r="I11189">
            <v>12919000000</v>
          </cell>
        </row>
        <row r="11190">
          <cell r="A11190" t="str">
            <v>Botswana</v>
          </cell>
          <cell r="B11190">
            <v>72</v>
          </cell>
          <cell r="C11190">
            <v>203</v>
          </cell>
          <cell r="D11190">
            <v>11</v>
          </cell>
          <cell r="E11190" t="str">
            <v>OPERATING SURPLUS, GROSS</v>
          </cell>
          <cell r="F11190">
            <v>12</v>
          </cell>
          <cell r="G11190">
            <v>2000</v>
          </cell>
          <cell r="H11190">
            <v>100</v>
          </cell>
          <cell r="I11190">
            <v>15448000000</v>
          </cell>
        </row>
        <row r="11191">
          <cell r="A11191" t="str">
            <v>Botswana</v>
          </cell>
          <cell r="B11191">
            <v>72</v>
          </cell>
          <cell r="C11191">
            <v>203</v>
          </cell>
          <cell r="D11191">
            <v>11</v>
          </cell>
          <cell r="E11191" t="str">
            <v>OPERATING SURPLUS, GROSS</v>
          </cell>
          <cell r="F11191">
            <v>12</v>
          </cell>
          <cell r="G11191">
            <v>2001</v>
          </cell>
          <cell r="H11191">
            <v>100</v>
          </cell>
          <cell r="I11191">
            <v>18052000000</v>
          </cell>
        </row>
        <row r="11192">
          <cell r="A11192" t="str">
            <v>Botswana</v>
          </cell>
          <cell r="B11192">
            <v>72</v>
          </cell>
          <cell r="C11192">
            <v>203</v>
          </cell>
          <cell r="D11192">
            <v>12</v>
          </cell>
          <cell r="E11192" t="str">
            <v>MIXED INCOME, GROSS</v>
          </cell>
          <cell r="F11192">
            <v>12</v>
          </cell>
          <cell r="G11192">
            <v>1989</v>
          </cell>
          <cell r="H11192">
            <v>30</v>
          </cell>
          <cell r="I11192">
            <v>243300000</v>
          </cell>
        </row>
        <row r="11193">
          <cell r="A11193" t="str">
            <v>Botswana</v>
          </cell>
          <cell r="B11193">
            <v>72</v>
          </cell>
          <cell r="C11193">
            <v>203</v>
          </cell>
          <cell r="D11193">
            <v>12</v>
          </cell>
          <cell r="E11193" t="str">
            <v>MIXED INCOME, GROSS</v>
          </cell>
          <cell r="F11193">
            <v>12</v>
          </cell>
          <cell r="G11193">
            <v>1990</v>
          </cell>
          <cell r="H11193">
            <v>30</v>
          </cell>
          <cell r="I11193">
            <v>281300000</v>
          </cell>
        </row>
        <row r="11194">
          <cell r="A11194" t="str">
            <v>Botswana</v>
          </cell>
          <cell r="B11194">
            <v>72</v>
          </cell>
          <cell r="C11194">
            <v>203</v>
          </cell>
          <cell r="D11194">
            <v>12</v>
          </cell>
          <cell r="E11194" t="str">
            <v>MIXED INCOME, GROSS</v>
          </cell>
          <cell r="F11194">
            <v>12</v>
          </cell>
          <cell r="G11194">
            <v>1992</v>
          </cell>
          <cell r="H11194">
            <v>30</v>
          </cell>
          <cell r="I11194">
            <v>387700000</v>
          </cell>
        </row>
        <row r="11195">
          <cell r="A11195" t="str">
            <v>Botswana</v>
          </cell>
          <cell r="B11195">
            <v>72</v>
          </cell>
          <cell r="C11195">
            <v>203</v>
          </cell>
          <cell r="D11195">
            <v>12</v>
          </cell>
          <cell r="E11195" t="str">
            <v>MIXED INCOME, GROSS</v>
          </cell>
          <cell r="F11195">
            <v>12</v>
          </cell>
          <cell r="G11195">
            <v>1992</v>
          </cell>
          <cell r="H11195">
            <v>100</v>
          </cell>
          <cell r="I11195">
            <v>134000000</v>
          </cell>
        </row>
        <row r="11196">
          <cell r="A11196" t="str">
            <v>Botswana</v>
          </cell>
          <cell r="B11196">
            <v>72</v>
          </cell>
          <cell r="C11196">
            <v>203</v>
          </cell>
          <cell r="D11196">
            <v>12</v>
          </cell>
          <cell r="E11196" t="str">
            <v>MIXED INCOME, GROSS</v>
          </cell>
          <cell r="F11196">
            <v>12</v>
          </cell>
          <cell r="G11196">
            <v>1993</v>
          </cell>
          <cell r="H11196">
            <v>100</v>
          </cell>
          <cell r="I11196">
            <v>114000000</v>
          </cell>
        </row>
        <row r="11197">
          <cell r="A11197" t="str">
            <v>Botswana</v>
          </cell>
          <cell r="B11197">
            <v>72</v>
          </cell>
          <cell r="C11197">
            <v>203</v>
          </cell>
          <cell r="D11197">
            <v>12</v>
          </cell>
          <cell r="E11197" t="str">
            <v>MIXED INCOME, GROSS</v>
          </cell>
          <cell r="F11197">
            <v>12</v>
          </cell>
          <cell r="G11197">
            <v>1994</v>
          </cell>
          <cell r="H11197">
            <v>100</v>
          </cell>
          <cell r="I11197">
            <v>132000000</v>
          </cell>
        </row>
        <row r="11198">
          <cell r="A11198" t="str">
            <v>Botswana</v>
          </cell>
          <cell r="B11198">
            <v>72</v>
          </cell>
          <cell r="C11198">
            <v>203</v>
          </cell>
          <cell r="D11198">
            <v>12</v>
          </cell>
          <cell r="E11198" t="str">
            <v>MIXED INCOME, GROSS</v>
          </cell>
          <cell r="F11198">
            <v>12</v>
          </cell>
          <cell r="G11198">
            <v>1995</v>
          </cell>
          <cell r="H11198">
            <v>100</v>
          </cell>
          <cell r="I11198">
            <v>145000000</v>
          </cell>
        </row>
        <row r="11199">
          <cell r="A11199" t="str">
            <v>Botswana</v>
          </cell>
          <cell r="B11199">
            <v>72</v>
          </cell>
          <cell r="C11199">
            <v>203</v>
          </cell>
          <cell r="D11199">
            <v>12</v>
          </cell>
          <cell r="E11199" t="str">
            <v>MIXED INCOME, GROSS</v>
          </cell>
          <cell r="F11199">
            <v>12</v>
          </cell>
          <cell r="G11199">
            <v>1996</v>
          </cell>
          <cell r="H11199">
            <v>100</v>
          </cell>
          <cell r="I11199">
            <v>646000000</v>
          </cell>
        </row>
        <row r="11200">
          <cell r="A11200" t="str">
            <v>Botswana</v>
          </cell>
          <cell r="B11200">
            <v>72</v>
          </cell>
          <cell r="C11200">
            <v>203</v>
          </cell>
          <cell r="D11200">
            <v>12</v>
          </cell>
          <cell r="E11200" t="str">
            <v>MIXED INCOME, GROSS</v>
          </cell>
          <cell r="F11200">
            <v>12</v>
          </cell>
          <cell r="G11200">
            <v>1997</v>
          </cell>
          <cell r="H11200">
            <v>100</v>
          </cell>
          <cell r="I11200">
            <v>180000000</v>
          </cell>
        </row>
        <row r="11201">
          <cell r="A11201" t="str">
            <v>Botswana</v>
          </cell>
          <cell r="B11201">
            <v>72</v>
          </cell>
          <cell r="C11201">
            <v>203</v>
          </cell>
          <cell r="D11201">
            <v>12</v>
          </cell>
          <cell r="E11201" t="str">
            <v>MIXED INCOME, GROSS</v>
          </cell>
          <cell r="F11201">
            <v>12</v>
          </cell>
          <cell r="G11201">
            <v>1998</v>
          </cell>
          <cell r="H11201">
            <v>100</v>
          </cell>
          <cell r="I11201">
            <v>192000000</v>
          </cell>
        </row>
        <row r="11202">
          <cell r="A11202" t="str">
            <v>Botswana</v>
          </cell>
          <cell r="B11202">
            <v>72</v>
          </cell>
          <cell r="C11202">
            <v>203</v>
          </cell>
          <cell r="D11202">
            <v>12</v>
          </cell>
          <cell r="E11202" t="str">
            <v>MIXED INCOME, GROSS</v>
          </cell>
          <cell r="F11202">
            <v>12</v>
          </cell>
          <cell r="G11202">
            <v>1999</v>
          </cell>
          <cell r="H11202">
            <v>100</v>
          </cell>
          <cell r="I11202">
            <v>209000000</v>
          </cell>
        </row>
        <row r="11203">
          <cell r="A11203" t="str">
            <v>Botswana</v>
          </cell>
          <cell r="B11203">
            <v>72</v>
          </cell>
          <cell r="C11203">
            <v>203</v>
          </cell>
          <cell r="D11203">
            <v>12</v>
          </cell>
          <cell r="E11203" t="str">
            <v>MIXED INCOME, GROSS</v>
          </cell>
          <cell r="F11203">
            <v>12</v>
          </cell>
          <cell r="G11203">
            <v>2000</v>
          </cell>
          <cell r="H11203">
            <v>100</v>
          </cell>
          <cell r="I11203">
            <v>236000000</v>
          </cell>
        </row>
        <row r="11204">
          <cell r="A11204" t="str">
            <v>Botswana</v>
          </cell>
          <cell r="B11204">
            <v>72</v>
          </cell>
          <cell r="C11204">
            <v>203</v>
          </cell>
          <cell r="D11204">
            <v>12</v>
          </cell>
          <cell r="E11204" t="str">
            <v>MIXED INCOME, GROSS</v>
          </cell>
          <cell r="F11204">
            <v>12</v>
          </cell>
          <cell r="G11204">
            <v>2001</v>
          </cell>
          <cell r="H11204">
            <v>100</v>
          </cell>
          <cell r="I11204">
            <v>272000000</v>
          </cell>
        </row>
        <row r="11205">
          <cell r="A11205" t="str">
            <v>Botswana</v>
          </cell>
          <cell r="B11205">
            <v>72</v>
          </cell>
          <cell r="C11205">
            <v>203</v>
          </cell>
          <cell r="D11205">
            <v>22</v>
          </cell>
          <cell r="E11205" t="str">
            <v>Taxes on production and imports, less Subsidies</v>
          </cell>
          <cell r="F11205">
            <v>12</v>
          </cell>
          <cell r="G11205">
            <v>1974</v>
          </cell>
          <cell r="H11205">
            <v>20</v>
          </cell>
          <cell r="I11205">
            <v>800000</v>
          </cell>
        </row>
        <row r="11206">
          <cell r="A11206" t="str">
            <v>Botswana</v>
          </cell>
          <cell r="B11206">
            <v>72</v>
          </cell>
          <cell r="C11206">
            <v>203</v>
          </cell>
          <cell r="D11206">
            <v>22</v>
          </cell>
          <cell r="E11206" t="str">
            <v>Taxes on production and imports, less Subsidies</v>
          </cell>
          <cell r="F11206">
            <v>12</v>
          </cell>
          <cell r="G11206">
            <v>1975</v>
          </cell>
          <cell r="H11206">
            <v>20</v>
          </cell>
          <cell r="I11206">
            <v>1700000</v>
          </cell>
        </row>
        <row r="11207">
          <cell r="A11207" t="str">
            <v>Botswana</v>
          </cell>
          <cell r="B11207">
            <v>72</v>
          </cell>
          <cell r="C11207">
            <v>203</v>
          </cell>
          <cell r="D11207">
            <v>22</v>
          </cell>
          <cell r="E11207" t="str">
            <v>Taxes on production and imports, less Subsidies</v>
          </cell>
          <cell r="F11207">
            <v>12</v>
          </cell>
          <cell r="G11207">
            <v>1976</v>
          </cell>
          <cell r="H11207">
            <v>20</v>
          </cell>
          <cell r="I11207">
            <v>3500000</v>
          </cell>
        </row>
        <row r="11208">
          <cell r="A11208" t="str">
            <v>Botswana</v>
          </cell>
          <cell r="B11208">
            <v>72</v>
          </cell>
          <cell r="C11208">
            <v>203</v>
          </cell>
          <cell r="D11208">
            <v>22</v>
          </cell>
          <cell r="E11208" t="str">
            <v>Taxes on production and imports, less Subsidies</v>
          </cell>
          <cell r="F11208">
            <v>12</v>
          </cell>
          <cell r="G11208">
            <v>1977</v>
          </cell>
          <cell r="H11208">
            <v>20</v>
          </cell>
          <cell r="I11208">
            <v>1700000</v>
          </cell>
        </row>
        <row r="11209">
          <cell r="A11209" t="str">
            <v>Botswana</v>
          </cell>
          <cell r="B11209">
            <v>72</v>
          </cell>
          <cell r="C11209">
            <v>203</v>
          </cell>
          <cell r="D11209">
            <v>22</v>
          </cell>
          <cell r="E11209" t="str">
            <v>Taxes on production and imports, less Subsidies</v>
          </cell>
          <cell r="F11209">
            <v>12</v>
          </cell>
          <cell r="G11209">
            <v>1978</v>
          </cell>
          <cell r="H11209">
            <v>20</v>
          </cell>
          <cell r="I11209">
            <v>2000000</v>
          </cell>
        </row>
        <row r="11210">
          <cell r="A11210" t="str">
            <v>Botswana</v>
          </cell>
          <cell r="B11210">
            <v>72</v>
          </cell>
          <cell r="C11210">
            <v>203</v>
          </cell>
          <cell r="D11210">
            <v>22</v>
          </cell>
          <cell r="E11210" t="str">
            <v>Taxes on production and imports, less Subsidies</v>
          </cell>
          <cell r="F11210">
            <v>12</v>
          </cell>
          <cell r="G11210">
            <v>1979</v>
          </cell>
          <cell r="H11210">
            <v>20</v>
          </cell>
          <cell r="I11210">
            <v>4000000</v>
          </cell>
        </row>
        <row r="11211">
          <cell r="A11211" t="str">
            <v>Botswana</v>
          </cell>
          <cell r="B11211">
            <v>72</v>
          </cell>
          <cell r="C11211">
            <v>203</v>
          </cell>
          <cell r="D11211">
            <v>22</v>
          </cell>
          <cell r="E11211" t="str">
            <v>Taxes on production and imports, less Subsidies</v>
          </cell>
          <cell r="F11211">
            <v>12</v>
          </cell>
          <cell r="G11211">
            <v>1980</v>
          </cell>
          <cell r="H11211">
            <v>20</v>
          </cell>
          <cell r="I11211">
            <v>17300000</v>
          </cell>
        </row>
        <row r="11212">
          <cell r="A11212" t="str">
            <v>Botswana</v>
          </cell>
          <cell r="B11212">
            <v>72</v>
          </cell>
          <cell r="C11212">
            <v>203</v>
          </cell>
          <cell r="D11212">
            <v>22</v>
          </cell>
          <cell r="E11212" t="str">
            <v>Taxes on production and imports, less Subsidies</v>
          </cell>
          <cell r="F11212">
            <v>12</v>
          </cell>
          <cell r="G11212">
            <v>1981</v>
          </cell>
          <cell r="H11212">
            <v>20</v>
          </cell>
          <cell r="I11212">
            <v>17300000</v>
          </cell>
        </row>
        <row r="11213">
          <cell r="A11213" t="str">
            <v>Botswana</v>
          </cell>
          <cell r="B11213">
            <v>72</v>
          </cell>
          <cell r="C11213">
            <v>203</v>
          </cell>
          <cell r="D11213">
            <v>22</v>
          </cell>
          <cell r="E11213" t="str">
            <v>Taxes on production and imports, less Subsidies</v>
          </cell>
          <cell r="F11213">
            <v>12</v>
          </cell>
          <cell r="G11213">
            <v>1982</v>
          </cell>
          <cell r="H11213">
            <v>20</v>
          </cell>
          <cell r="I11213">
            <v>14100000</v>
          </cell>
        </row>
        <row r="11214">
          <cell r="A11214" t="str">
            <v>Botswana</v>
          </cell>
          <cell r="B11214">
            <v>72</v>
          </cell>
          <cell r="C11214">
            <v>203</v>
          </cell>
          <cell r="D11214">
            <v>22</v>
          </cell>
          <cell r="E11214" t="str">
            <v>Taxes on production and imports, less Subsidies</v>
          </cell>
          <cell r="F11214">
            <v>12</v>
          </cell>
          <cell r="G11214">
            <v>1983</v>
          </cell>
          <cell r="H11214">
            <v>20</v>
          </cell>
          <cell r="I11214">
            <v>4400000</v>
          </cell>
        </row>
        <row r="11215">
          <cell r="A11215" t="str">
            <v>Botswana</v>
          </cell>
          <cell r="B11215">
            <v>72</v>
          </cell>
          <cell r="C11215">
            <v>203</v>
          </cell>
          <cell r="D11215">
            <v>22</v>
          </cell>
          <cell r="E11215" t="str">
            <v>Taxes on production and imports, less Subsidies</v>
          </cell>
          <cell r="F11215">
            <v>12</v>
          </cell>
          <cell r="G11215">
            <v>1984</v>
          </cell>
          <cell r="H11215">
            <v>20</v>
          </cell>
          <cell r="I11215">
            <v>8100000</v>
          </cell>
        </row>
        <row r="11216">
          <cell r="A11216" t="str">
            <v>Botswana</v>
          </cell>
          <cell r="B11216">
            <v>72</v>
          </cell>
          <cell r="C11216">
            <v>203</v>
          </cell>
          <cell r="D11216">
            <v>22</v>
          </cell>
          <cell r="E11216" t="str">
            <v>Taxes on production and imports, less Subsidies</v>
          </cell>
          <cell r="F11216">
            <v>12</v>
          </cell>
          <cell r="G11216">
            <v>1985</v>
          </cell>
          <cell r="H11216">
            <v>20</v>
          </cell>
          <cell r="I11216">
            <v>-200000</v>
          </cell>
        </row>
        <row r="11217">
          <cell r="A11217" t="str">
            <v>Botswana</v>
          </cell>
          <cell r="B11217">
            <v>72</v>
          </cell>
          <cell r="C11217">
            <v>203</v>
          </cell>
          <cell r="D11217">
            <v>22</v>
          </cell>
          <cell r="E11217" t="str">
            <v>Taxes on production and imports, less Subsidies</v>
          </cell>
          <cell r="F11217">
            <v>12</v>
          </cell>
          <cell r="G11217">
            <v>1986</v>
          </cell>
          <cell r="H11217">
            <v>20</v>
          </cell>
          <cell r="I11217">
            <v>1100000</v>
          </cell>
        </row>
        <row r="11218">
          <cell r="A11218" t="str">
            <v>Botswana</v>
          </cell>
          <cell r="B11218">
            <v>72</v>
          </cell>
          <cell r="C11218">
            <v>203</v>
          </cell>
          <cell r="D11218">
            <v>22</v>
          </cell>
          <cell r="E11218" t="str">
            <v>Taxes on production and imports, less Subsidies</v>
          </cell>
          <cell r="F11218">
            <v>12</v>
          </cell>
          <cell r="G11218">
            <v>1987</v>
          </cell>
          <cell r="H11218">
            <v>20</v>
          </cell>
          <cell r="I11218">
            <v>12100000</v>
          </cell>
        </row>
        <row r="11219">
          <cell r="A11219" t="str">
            <v>Botswana</v>
          </cell>
          <cell r="B11219">
            <v>72</v>
          </cell>
          <cell r="C11219">
            <v>203</v>
          </cell>
          <cell r="D11219">
            <v>22</v>
          </cell>
          <cell r="E11219" t="str">
            <v>Taxes on production and imports, less Subsidies</v>
          </cell>
          <cell r="F11219">
            <v>12</v>
          </cell>
          <cell r="G11219">
            <v>1988</v>
          </cell>
          <cell r="H11219">
            <v>20</v>
          </cell>
          <cell r="I11219">
            <v>13100000</v>
          </cell>
        </row>
        <row r="11220">
          <cell r="A11220" t="str">
            <v>Botswana</v>
          </cell>
          <cell r="B11220">
            <v>72</v>
          </cell>
          <cell r="C11220">
            <v>203</v>
          </cell>
          <cell r="D11220">
            <v>22</v>
          </cell>
          <cell r="E11220" t="str">
            <v>Taxes on production and imports, less Subsidies</v>
          </cell>
          <cell r="F11220">
            <v>12</v>
          </cell>
          <cell r="G11220">
            <v>1992</v>
          </cell>
          <cell r="H11220">
            <v>100</v>
          </cell>
          <cell r="I11220">
            <v>0</v>
          </cell>
        </row>
        <row r="11221">
          <cell r="A11221" t="str">
            <v>Botswana</v>
          </cell>
          <cell r="B11221">
            <v>72</v>
          </cell>
          <cell r="C11221">
            <v>203</v>
          </cell>
          <cell r="D11221">
            <v>22</v>
          </cell>
          <cell r="E11221" t="str">
            <v>Taxes on production and imports, less Subsidies</v>
          </cell>
          <cell r="F11221">
            <v>12</v>
          </cell>
          <cell r="G11221">
            <v>1993</v>
          </cell>
          <cell r="H11221">
            <v>100</v>
          </cell>
          <cell r="I11221">
            <v>0</v>
          </cell>
        </row>
        <row r="11222">
          <cell r="A11222" t="str">
            <v>Botswana</v>
          </cell>
          <cell r="B11222">
            <v>72</v>
          </cell>
          <cell r="C11222">
            <v>203</v>
          </cell>
          <cell r="D11222">
            <v>22</v>
          </cell>
          <cell r="E11222" t="str">
            <v>Taxes on production and imports, less Subsidies</v>
          </cell>
          <cell r="F11222">
            <v>12</v>
          </cell>
          <cell r="G11222">
            <v>1994</v>
          </cell>
          <cell r="H11222">
            <v>100</v>
          </cell>
          <cell r="I11222">
            <v>0</v>
          </cell>
        </row>
        <row r="11223">
          <cell r="A11223" t="str">
            <v>Botswana</v>
          </cell>
          <cell r="B11223">
            <v>72</v>
          </cell>
          <cell r="C11223">
            <v>203</v>
          </cell>
          <cell r="D11223">
            <v>22</v>
          </cell>
          <cell r="E11223" t="str">
            <v>Taxes on production and imports, less Subsidies</v>
          </cell>
          <cell r="F11223">
            <v>12</v>
          </cell>
          <cell r="G11223">
            <v>1995</v>
          </cell>
          <cell r="H11223">
            <v>100</v>
          </cell>
          <cell r="I11223">
            <v>0</v>
          </cell>
        </row>
        <row r="11224">
          <cell r="A11224" t="str">
            <v>Botswana</v>
          </cell>
          <cell r="B11224">
            <v>72</v>
          </cell>
          <cell r="C11224">
            <v>203</v>
          </cell>
          <cell r="D11224">
            <v>22</v>
          </cell>
          <cell r="E11224" t="str">
            <v>Taxes on production and imports, less Subsidies</v>
          </cell>
          <cell r="F11224">
            <v>12</v>
          </cell>
          <cell r="G11224">
            <v>1996</v>
          </cell>
          <cell r="H11224">
            <v>100</v>
          </cell>
          <cell r="I11224">
            <v>0</v>
          </cell>
        </row>
        <row r="11225">
          <cell r="A11225" t="str">
            <v>Botswana</v>
          </cell>
          <cell r="B11225">
            <v>72</v>
          </cell>
          <cell r="C11225">
            <v>203</v>
          </cell>
          <cell r="D11225">
            <v>22</v>
          </cell>
          <cell r="E11225" t="str">
            <v>Taxes on production and imports, less Subsidies</v>
          </cell>
          <cell r="F11225">
            <v>12</v>
          </cell>
          <cell r="G11225">
            <v>1997</v>
          </cell>
          <cell r="H11225">
            <v>100</v>
          </cell>
          <cell r="I11225">
            <v>0</v>
          </cell>
        </row>
        <row r="11226">
          <cell r="A11226" t="str">
            <v>Botswana</v>
          </cell>
          <cell r="B11226">
            <v>72</v>
          </cell>
          <cell r="C11226">
            <v>203</v>
          </cell>
          <cell r="D11226">
            <v>22</v>
          </cell>
          <cell r="E11226" t="str">
            <v>Taxes on production and imports, less Subsidies</v>
          </cell>
          <cell r="F11226">
            <v>12</v>
          </cell>
          <cell r="G11226">
            <v>1998</v>
          </cell>
          <cell r="H11226">
            <v>100</v>
          </cell>
          <cell r="I11226">
            <v>0</v>
          </cell>
        </row>
        <row r="11227">
          <cell r="A11227" t="str">
            <v>Botswana</v>
          </cell>
          <cell r="B11227">
            <v>72</v>
          </cell>
          <cell r="C11227">
            <v>203</v>
          </cell>
          <cell r="D11227">
            <v>22</v>
          </cell>
          <cell r="E11227" t="str">
            <v>Taxes on production and imports, less Subsidies</v>
          </cell>
          <cell r="F11227">
            <v>12</v>
          </cell>
          <cell r="G11227">
            <v>1999</v>
          </cell>
          <cell r="H11227">
            <v>100</v>
          </cell>
          <cell r="I11227">
            <v>0</v>
          </cell>
        </row>
        <row r="11228">
          <cell r="A11228" t="str">
            <v>Botswana</v>
          </cell>
          <cell r="B11228">
            <v>72</v>
          </cell>
          <cell r="C11228">
            <v>203</v>
          </cell>
          <cell r="D11228">
            <v>22</v>
          </cell>
          <cell r="E11228" t="str">
            <v>Taxes on production and imports, less Subsidies</v>
          </cell>
          <cell r="F11228">
            <v>12</v>
          </cell>
          <cell r="G11228">
            <v>2000</v>
          </cell>
          <cell r="H11228">
            <v>100</v>
          </cell>
          <cell r="I11228">
            <v>0</v>
          </cell>
        </row>
        <row r="11229">
          <cell r="A11229" t="str">
            <v>Solomon Islands</v>
          </cell>
          <cell r="B11229">
            <v>90</v>
          </cell>
          <cell r="C11229">
            <v>201</v>
          </cell>
          <cell r="D11229">
            <v>13</v>
          </cell>
          <cell r="E11229" t="str">
            <v>Less: Financial intermediation services indirectly measured (FISIM) (only to be deducted if FISIM is not distributed to uses)</v>
          </cell>
          <cell r="F11229">
            <v>0</v>
          </cell>
          <cell r="G11229">
            <v>1984</v>
          </cell>
          <cell r="H11229">
            <v>10</v>
          </cell>
          <cell r="I11229">
            <v>3600000</v>
          </cell>
        </row>
        <row r="11230">
          <cell r="A11230" t="str">
            <v>Solomon Islands</v>
          </cell>
          <cell r="B11230">
            <v>90</v>
          </cell>
          <cell r="C11230">
            <v>201</v>
          </cell>
          <cell r="D11230">
            <v>13</v>
          </cell>
          <cell r="E11230" t="str">
            <v>Less: Financial intermediation services indirectly measured (FISIM) (only to be deducted if FISIM is not distributed to uses)</v>
          </cell>
          <cell r="F11230">
            <v>0</v>
          </cell>
          <cell r="G11230">
            <v>1985</v>
          </cell>
          <cell r="H11230">
            <v>10</v>
          </cell>
          <cell r="I11230">
            <v>4400000</v>
          </cell>
        </row>
        <row r="11231">
          <cell r="A11231" t="str">
            <v>Solomon Islands</v>
          </cell>
          <cell r="B11231">
            <v>90</v>
          </cell>
          <cell r="C11231">
            <v>201</v>
          </cell>
          <cell r="D11231">
            <v>13</v>
          </cell>
          <cell r="E11231" t="str">
            <v>Less: Financial intermediation services indirectly measured (FISIM) (only to be deducted if FISIM is not distributed to uses)</v>
          </cell>
          <cell r="F11231">
            <v>0</v>
          </cell>
          <cell r="G11231">
            <v>1986</v>
          </cell>
          <cell r="H11231">
            <v>10</v>
          </cell>
          <cell r="I11231">
            <v>5300000</v>
          </cell>
        </row>
        <row r="11232">
          <cell r="A11232" t="str">
            <v>Solomon Islands</v>
          </cell>
          <cell r="B11232">
            <v>90</v>
          </cell>
          <cell r="C11232">
            <v>203</v>
          </cell>
          <cell r="D11232">
            <v>3</v>
          </cell>
          <cell r="E11232" t="str">
            <v>Equals: VALUE ADDED, GROSS, at basic prices</v>
          </cell>
          <cell r="F11232">
            <v>12</v>
          </cell>
          <cell r="G11232">
            <v>1984</v>
          </cell>
          <cell r="H11232">
            <v>10</v>
          </cell>
          <cell r="I11232">
            <v>198500000</v>
          </cell>
        </row>
        <row r="11233">
          <cell r="A11233" t="str">
            <v>Solomon Islands</v>
          </cell>
          <cell r="B11233">
            <v>90</v>
          </cell>
          <cell r="C11233">
            <v>203</v>
          </cell>
          <cell r="D11233">
            <v>3</v>
          </cell>
          <cell r="E11233" t="str">
            <v>Equals: VALUE ADDED, GROSS, at basic prices</v>
          </cell>
          <cell r="F11233">
            <v>12</v>
          </cell>
          <cell r="G11233">
            <v>1985</v>
          </cell>
          <cell r="H11233">
            <v>10</v>
          </cell>
          <cell r="I11233">
            <v>213000000</v>
          </cell>
        </row>
        <row r="11234">
          <cell r="A11234" t="str">
            <v>Solomon Islands</v>
          </cell>
          <cell r="B11234">
            <v>90</v>
          </cell>
          <cell r="C11234">
            <v>203</v>
          </cell>
          <cell r="D11234">
            <v>3</v>
          </cell>
          <cell r="E11234" t="str">
            <v>Equals: VALUE ADDED, GROSS, at basic prices</v>
          </cell>
          <cell r="F11234">
            <v>12</v>
          </cell>
          <cell r="G11234">
            <v>1986</v>
          </cell>
          <cell r="H11234">
            <v>10</v>
          </cell>
          <cell r="I11234">
            <v>224200000</v>
          </cell>
        </row>
        <row r="11235">
          <cell r="A11235" t="str">
            <v>Solomon Islands</v>
          </cell>
          <cell r="B11235">
            <v>90</v>
          </cell>
          <cell r="C11235">
            <v>203</v>
          </cell>
          <cell r="D11235">
            <v>4</v>
          </cell>
          <cell r="E11235" t="str">
            <v>Compensation of employees</v>
          </cell>
          <cell r="F11235">
            <v>12</v>
          </cell>
          <cell r="G11235">
            <v>1972</v>
          </cell>
          <cell r="H11235">
            <v>10</v>
          </cell>
          <cell r="I11235">
            <v>8600000</v>
          </cell>
        </row>
        <row r="11236">
          <cell r="A11236" t="str">
            <v>Solomon Islands</v>
          </cell>
          <cell r="B11236">
            <v>90</v>
          </cell>
          <cell r="C11236">
            <v>203</v>
          </cell>
          <cell r="D11236">
            <v>4</v>
          </cell>
          <cell r="E11236" t="str">
            <v>Compensation of employees</v>
          </cell>
          <cell r="F11236">
            <v>12</v>
          </cell>
          <cell r="G11236">
            <v>1984</v>
          </cell>
          <cell r="H11236">
            <v>10</v>
          </cell>
          <cell r="I11236">
            <v>85000000</v>
          </cell>
        </row>
        <row r="11237">
          <cell r="A11237" t="str">
            <v>Solomon Islands</v>
          </cell>
          <cell r="B11237">
            <v>90</v>
          </cell>
          <cell r="C11237">
            <v>203</v>
          </cell>
          <cell r="D11237">
            <v>4</v>
          </cell>
          <cell r="E11237" t="str">
            <v>Compensation of employees</v>
          </cell>
          <cell r="F11237">
            <v>12</v>
          </cell>
          <cell r="G11237">
            <v>1985</v>
          </cell>
          <cell r="H11237">
            <v>10</v>
          </cell>
          <cell r="I11237">
            <v>104700000</v>
          </cell>
        </row>
        <row r="11238">
          <cell r="A11238" t="str">
            <v>Solomon Islands</v>
          </cell>
          <cell r="B11238">
            <v>90</v>
          </cell>
          <cell r="C11238">
            <v>203</v>
          </cell>
          <cell r="D11238">
            <v>4</v>
          </cell>
          <cell r="E11238" t="str">
            <v>Compensation of employees</v>
          </cell>
          <cell r="F11238">
            <v>12</v>
          </cell>
          <cell r="G11238">
            <v>1986</v>
          </cell>
          <cell r="H11238">
            <v>10</v>
          </cell>
          <cell r="I11238">
            <v>125100000</v>
          </cell>
        </row>
        <row r="11239">
          <cell r="A11239" t="str">
            <v>Solomon Islands</v>
          </cell>
          <cell r="B11239">
            <v>90</v>
          </cell>
          <cell r="C11239">
            <v>203</v>
          </cell>
          <cell r="D11239">
            <v>11</v>
          </cell>
          <cell r="E11239" t="str">
            <v>OPERATING SURPLUS, GROSS</v>
          </cell>
          <cell r="F11239">
            <v>12</v>
          </cell>
          <cell r="G11239">
            <v>1984</v>
          </cell>
          <cell r="H11239">
            <v>10</v>
          </cell>
          <cell r="I11239">
            <v>113500000</v>
          </cell>
        </row>
        <row r="11240">
          <cell r="A11240" t="str">
            <v>Solomon Islands</v>
          </cell>
          <cell r="B11240">
            <v>90</v>
          </cell>
          <cell r="C11240">
            <v>203</v>
          </cell>
          <cell r="D11240">
            <v>11</v>
          </cell>
          <cell r="E11240" t="str">
            <v>OPERATING SURPLUS, GROSS</v>
          </cell>
          <cell r="F11240">
            <v>12</v>
          </cell>
          <cell r="G11240">
            <v>1985</v>
          </cell>
          <cell r="H11240">
            <v>10</v>
          </cell>
          <cell r="I11240">
            <v>108300000</v>
          </cell>
        </row>
        <row r="11241">
          <cell r="A11241" t="str">
            <v>Solomon Islands</v>
          </cell>
          <cell r="B11241">
            <v>90</v>
          </cell>
          <cell r="C11241">
            <v>203</v>
          </cell>
          <cell r="D11241">
            <v>11</v>
          </cell>
          <cell r="E11241" t="str">
            <v>OPERATING SURPLUS, GROSS</v>
          </cell>
          <cell r="F11241">
            <v>12</v>
          </cell>
          <cell r="G11241">
            <v>1986</v>
          </cell>
          <cell r="H11241">
            <v>10</v>
          </cell>
          <cell r="I11241">
            <v>99100000</v>
          </cell>
        </row>
        <row r="11242">
          <cell r="A11242" t="str">
            <v>Bulgaria</v>
          </cell>
          <cell r="B11242">
            <v>100</v>
          </cell>
          <cell r="C11242">
            <v>201</v>
          </cell>
          <cell r="D11242">
            <v>13</v>
          </cell>
          <cell r="E11242" t="str">
            <v>Less: Financial intermediation services indirectly measured (FISIM) (only to be deducted if FISIM is not distributed to uses)</v>
          </cell>
          <cell r="F11242">
            <v>0</v>
          </cell>
          <cell r="G11242">
            <v>1991</v>
          </cell>
          <cell r="H11242">
            <v>100</v>
          </cell>
          <cell r="I11242">
            <v>21072000000</v>
          </cell>
        </row>
        <row r="11243">
          <cell r="A11243" t="str">
            <v>Bulgaria</v>
          </cell>
          <cell r="B11243">
            <v>100</v>
          </cell>
          <cell r="C11243">
            <v>201</v>
          </cell>
          <cell r="D11243">
            <v>13</v>
          </cell>
          <cell r="E11243" t="str">
            <v>Less: Financial intermediation services indirectly measured (FISIM) (only to be deducted if FISIM is not distributed to uses)</v>
          </cell>
          <cell r="F11243">
            <v>0</v>
          </cell>
          <cell r="G11243">
            <v>1992</v>
          </cell>
          <cell r="H11243">
            <v>100</v>
          </cell>
          <cell r="I11243">
            <v>13453000000</v>
          </cell>
        </row>
        <row r="11244">
          <cell r="A11244" t="str">
            <v>Bulgaria</v>
          </cell>
          <cell r="B11244">
            <v>100</v>
          </cell>
          <cell r="C11244">
            <v>201</v>
          </cell>
          <cell r="D11244">
            <v>13</v>
          </cell>
          <cell r="E11244" t="str">
            <v>Less: Financial intermediation services indirectly measured (FISIM) (only to be deducted if FISIM is not distributed to uses)</v>
          </cell>
          <cell r="F11244">
            <v>0</v>
          </cell>
          <cell r="G11244">
            <v>1993</v>
          </cell>
          <cell r="H11244">
            <v>100</v>
          </cell>
          <cell r="I11244">
            <v>16371000000</v>
          </cell>
        </row>
        <row r="11245">
          <cell r="A11245" t="str">
            <v>Bulgaria</v>
          </cell>
          <cell r="B11245">
            <v>100</v>
          </cell>
          <cell r="C11245">
            <v>201</v>
          </cell>
          <cell r="D11245">
            <v>13</v>
          </cell>
          <cell r="E11245" t="str">
            <v>Less: Financial intermediation services indirectly measured (FISIM) (only to be deducted if FISIM is not distributed to uses)</v>
          </cell>
          <cell r="F11245">
            <v>0</v>
          </cell>
          <cell r="G11245">
            <v>1994</v>
          </cell>
          <cell r="H11245">
            <v>100</v>
          </cell>
          <cell r="I11245">
            <v>37500000000</v>
          </cell>
        </row>
        <row r="11246">
          <cell r="A11246" t="str">
            <v>Bulgaria</v>
          </cell>
          <cell r="B11246">
            <v>100</v>
          </cell>
          <cell r="C11246">
            <v>201</v>
          </cell>
          <cell r="D11246">
            <v>13</v>
          </cell>
          <cell r="E11246" t="str">
            <v>Less: Financial intermediation services indirectly measured (FISIM) (only to be deducted if FISIM is not distributed to uses)</v>
          </cell>
          <cell r="F11246">
            <v>0</v>
          </cell>
          <cell r="G11246">
            <v>1995</v>
          </cell>
          <cell r="H11246">
            <v>100</v>
          </cell>
          <cell r="I11246">
            <v>65836000000</v>
          </cell>
        </row>
        <row r="11247">
          <cell r="A11247" t="str">
            <v>Bulgaria</v>
          </cell>
          <cell r="B11247">
            <v>100</v>
          </cell>
          <cell r="C11247">
            <v>201</v>
          </cell>
          <cell r="D11247">
            <v>13</v>
          </cell>
          <cell r="E11247" t="str">
            <v>Less: Financial intermediation services indirectly measured (FISIM) (only to be deducted if FISIM is not distributed to uses)</v>
          </cell>
          <cell r="F11247">
            <v>0</v>
          </cell>
          <cell r="G11247">
            <v>1996</v>
          </cell>
          <cell r="H11247">
            <v>100</v>
          </cell>
          <cell r="I11247">
            <v>137405000000</v>
          </cell>
        </row>
        <row r="11248">
          <cell r="A11248" t="str">
            <v>Bulgaria</v>
          </cell>
          <cell r="B11248">
            <v>100</v>
          </cell>
          <cell r="C11248">
            <v>201</v>
          </cell>
          <cell r="D11248">
            <v>13</v>
          </cell>
          <cell r="E11248" t="str">
            <v>Less: Financial intermediation services indirectly measured (FISIM) (only to be deducted if FISIM is not distributed to uses)</v>
          </cell>
          <cell r="F11248">
            <v>0</v>
          </cell>
          <cell r="G11248">
            <v>1997</v>
          </cell>
          <cell r="H11248">
            <v>100</v>
          </cell>
          <cell r="I11248">
            <v>362194000000</v>
          </cell>
        </row>
        <row r="11249">
          <cell r="A11249" t="str">
            <v>Bulgaria</v>
          </cell>
          <cell r="B11249">
            <v>100</v>
          </cell>
          <cell r="C11249">
            <v>201</v>
          </cell>
          <cell r="D11249">
            <v>13</v>
          </cell>
          <cell r="E11249" t="str">
            <v>Less: Financial intermediation services indirectly measured (FISIM) (only to be deducted if FISIM is not distributed to uses)</v>
          </cell>
          <cell r="F11249">
            <v>0</v>
          </cell>
          <cell r="G11249">
            <v>1998</v>
          </cell>
          <cell r="H11249">
            <v>100</v>
          </cell>
          <cell r="I11249">
            <v>325445000000</v>
          </cell>
        </row>
        <row r="11250">
          <cell r="A11250" t="str">
            <v>Bulgaria</v>
          </cell>
          <cell r="B11250">
            <v>100</v>
          </cell>
          <cell r="C11250">
            <v>201</v>
          </cell>
          <cell r="D11250">
            <v>13</v>
          </cell>
          <cell r="E11250" t="str">
            <v>Less: Financial intermediation services indirectly measured (FISIM) (only to be deducted if FISIM is not distributed to uses)</v>
          </cell>
          <cell r="F11250">
            <v>0</v>
          </cell>
          <cell r="G11250">
            <v>1999</v>
          </cell>
          <cell r="H11250">
            <v>100</v>
          </cell>
          <cell r="I11250">
            <v>359000000000</v>
          </cell>
        </row>
        <row r="11251">
          <cell r="A11251" t="str">
            <v>Bulgaria</v>
          </cell>
          <cell r="B11251">
            <v>100</v>
          </cell>
          <cell r="C11251">
            <v>201</v>
          </cell>
          <cell r="D11251">
            <v>13</v>
          </cell>
          <cell r="E11251" t="str">
            <v>Less: Financial intermediation services indirectly measured (FISIM) (only to be deducted if FISIM is not distributed to uses)</v>
          </cell>
          <cell r="F11251">
            <v>0</v>
          </cell>
          <cell r="G11251">
            <v>1999</v>
          </cell>
          <cell r="H11251">
            <v>200</v>
          </cell>
          <cell r="I11251">
            <v>359100000</v>
          </cell>
        </row>
        <row r="11252">
          <cell r="A11252" t="str">
            <v>Bulgaria</v>
          </cell>
          <cell r="B11252">
            <v>100</v>
          </cell>
          <cell r="C11252">
            <v>201</v>
          </cell>
          <cell r="D11252">
            <v>13</v>
          </cell>
          <cell r="E11252" t="str">
            <v>Less: Financial intermediation services indirectly measured (FISIM) (only to be deducted if FISIM is not distributed to uses)</v>
          </cell>
          <cell r="F11252">
            <v>0</v>
          </cell>
          <cell r="G11252">
            <v>2000</v>
          </cell>
          <cell r="H11252">
            <v>200</v>
          </cell>
          <cell r="I11252">
            <v>475400000</v>
          </cell>
        </row>
        <row r="11253">
          <cell r="A11253" t="str">
            <v>Bulgaria</v>
          </cell>
          <cell r="B11253">
            <v>100</v>
          </cell>
          <cell r="C11253">
            <v>201</v>
          </cell>
          <cell r="D11253">
            <v>13</v>
          </cell>
          <cell r="E11253" t="str">
            <v>Less: Financial intermediation services indirectly measured (FISIM) (only to be deducted if FISIM is not distributed to uses)</v>
          </cell>
          <cell r="F11253">
            <v>0</v>
          </cell>
          <cell r="G11253">
            <v>2001</v>
          </cell>
          <cell r="H11253">
            <v>200</v>
          </cell>
          <cell r="I11253">
            <v>539200000</v>
          </cell>
        </row>
        <row r="11254">
          <cell r="A11254" t="str">
            <v>Bulgaria</v>
          </cell>
          <cell r="B11254">
            <v>100</v>
          </cell>
          <cell r="C11254">
            <v>201</v>
          </cell>
          <cell r="D11254">
            <v>13</v>
          </cell>
          <cell r="E11254" t="str">
            <v>Less: Financial intermediation services indirectly measured (FISIM) (only to be deducted if FISIM is not distributed to uses)</v>
          </cell>
          <cell r="F11254">
            <v>0</v>
          </cell>
          <cell r="G11254">
            <v>2002</v>
          </cell>
          <cell r="H11254">
            <v>200</v>
          </cell>
          <cell r="I11254">
            <v>596700000</v>
          </cell>
        </row>
        <row r="11255">
          <cell r="A11255" t="str">
            <v>Bulgaria</v>
          </cell>
          <cell r="B11255">
            <v>100</v>
          </cell>
          <cell r="C11255">
            <v>201</v>
          </cell>
          <cell r="D11255">
            <v>13</v>
          </cell>
          <cell r="E11255" t="str">
            <v>Less: Financial intermediation services indirectly measured (FISIM) (only to be deducted if FISIM is not distributed to uses)</v>
          </cell>
          <cell r="F11255">
            <v>0</v>
          </cell>
          <cell r="G11255">
            <v>2003</v>
          </cell>
          <cell r="H11255">
            <v>200</v>
          </cell>
          <cell r="I11255">
            <v>751200000</v>
          </cell>
        </row>
        <row r="11256">
          <cell r="A11256" t="str">
            <v>Bulgaria</v>
          </cell>
          <cell r="B11256">
            <v>100</v>
          </cell>
          <cell r="C11256">
            <v>203</v>
          </cell>
          <cell r="D11256">
            <v>3</v>
          </cell>
          <cell r="E11256" t="str">
            <v>Equals: VALUE ADDED, GROSS, at basic prices</v>
          </cell>
          <cell r="F11256">
            <v>12</v>
          </cell>
          <cell r="G11256">
            <v>1993</v>
          </cell>
          <cell r="H11256">
            <v>100</v>
          </cell>
          <cell r="I11256">
            <v>279137000000</v>
          </cell>
        </row>
        <row r="11257">
          <cell r="A11257" t="str">
            <v>Bulgaria</v>
          </cell>
          <cell r="B11257">
            <v>100</v>
          </cell>
          <cell r="C11257">
            <v>203</v>
          </cell>
          <cell r="D11257">
            <v>3</v>
          </cell>
          <cell r="E11257" t="str">
            <v>Equals: VALUE ADDED, GROSS, at basic prices</v>
          </cell>
          <cell r="F11257">
            <v>12</v>
          </cell>
          <cell r="G11257">
            <v>1994</v>
          </cell>
          <cell r="H11257">
            <v>100</v>
          </cell>
          <cell r="I11257">
            <v>490115000000</v>
          </cell>
        </row>
        <row r="11258">
          <cell r="A11258" t="str">
            <v>Bulgaria</v>
          </cell>
          <cell r="B11258">
            <v>100</v>
          </cell>
          <cell r="C11258">
            <v>203</v>
          </cell>
          <cell r="D11258">
            <v>3</v>
          </cell>
          <cell r="E11258" t="str">
            <v>Equals: VALUE ADDED, GROSS, at basic prices</v>
          </cell>
          <cell r="F11258">
            <v>12</v>
          </cell>
          <cell r="G11258">
            <v>1995</v>
          </cell>
          <cell r="H11258">
            <v>100</v>
          </cell>
          <cell r="I11258">
            <v>834376000000</v>
          </cell>
        </row>
        <row r="11259">
          <cell r="A11259" t="str">
            <v>Bulgaria</v>
          </cell>
          <cell r="B11259">
            <v>100</v>
          </cell>
          <cell r="C11259">
            <v>203</v>
          </cell>
          <cell r="D11259">
            <v>3</v>
          </cell>
          <cell r="E11259" t="str">
            <v>Equals: VALUE ADDED, GROSS, at basic prices</v>
          </cell>
          <cell r="F11259">
            <v>12</v>
          </cell>
          <cell r="G11259">
            <v>1996</v>
          </cell>
          <cell r="H11259">
            <v>100</v>
          </cell>
          <cell r="I11259">
            <v>1661789000000</v>
          </cell>
        </row>
        <row r="11260">
          <cell r="A11260" t="str">
            <v>Bulgaria</v>
          </cell>
          <cell r="B11260">
            <v>100</v>
          </cell>
          <cell r="C11260">
            <v>203</v>
          </cell>
          <cell r="D11260">
            <v>3</v>
          </cell>
          <cell r="E11260" t="str">
            <v>Equals: VALUE ADDED, GROSS, at basic prices</v>
          </cell>
          <cell r="F11260">
            <v>12</v>
          </cell>
          <cell r="G11260">
            <v>1997</v>
          </cell>
          <cell r="H11260">
            <v>100</v>
          </cell>
          <cell r="I11260">
            <v>15578269000000</v>
          </cell>
        </row>
        <row r="11261">
          <cell r="A11261" t="str">
            <v>Bulgaria</v>
          </cell>
          <cell r="B11261">
            <v>100</v>
          </cell>
          <cell r="C11261">
            <v>203</v>
          </cell>
          <cell r="D11261">
            <v>3</v>
          </cell>
          <cell r="E11261" t="str">
            <v>Equals: VALUE ADDED, GROSS, at basic prices</v>
          </cell>
          <cell r="F11261">
            <v>12</v>
          </cell>
          <cell r="G11261">
            <v>1998</v>
          </cell>
          <cell r="H11261">
            <v>100</v>
          </cell>
          <cell r="I11261">
            <v>20051789000000</v>
          </cell>
        </row>
        <row r="11262">
          <cell r="A11262" t="str">
            <v>Bulgaria</v>
          </cell>
          <cell r="B11262">
            <v>100</v>
          </cell>
          <cell r="C11262">
            <v>203</v>
          </cell>
          <cell r="D11262">
            <v>3</v>
          </cell>
          <cell r="E11262" t="str">
            <v>Equals: VALUE ADDED, GROSS, at basic prices</v>
          </cell>
          <cell r="F11262">
            <v>12</v>
          </cell>
          <cell r="G11262">
            <v>1999</v>
          </cell>
          <cell r="H11262">
            <v>200</v>
          </cell>
          <cell r="I11262">
            <v>21205000000</v>
          </cell>
        </row>
        <row r="11263">
          <cell r="A11263" t="str">
            <v>Bulgaria</v>
          </cell>
          <cell r="B11263">
            <v>100</v>
          </cell>
          <cell r="C11263">
            <v>203</v>
          </cell>
          <cell r="D11263">
            <v>3</v>
          </cell>
          <cell r="E11263" t="str">
            <v>Equals: VALUE ADDED, GROSS, at basic prices</v>
          </cell>
          <cell r="F11263">
            <v>12</v>
          </cell>
          <cell r="G11263">
            <v>2000</v>
          </cell>
          <cell r="H11263">
            <v>200</v>
          </cell>
          <cell r="I11263">
            <v>23697000000</v>
          </cell>
        </row>
        <row r="11264">
          <cell r="A11264" t="str">
            <v>Bulgaria</v>
          </cell>
          <cell r="B11264">
            <v>100</v>
          </cell>
          <cell r="C11264">
            <v>203</v>
          </cell>
          <cell r="D11264">
            <v>3</v>
          </cell>
          <cell r="E11264" t="str">
            <v>Equals: VALUE ADDED, GROSS, at basic prices</v>
          </cell>
          <cell r="F11264">
            <v>12</v>
          </cell>
          <cell r="G11264">
            <v>2001</v>
          </cell>
          <cell r="H11264">
            <v>200</v>
          </cell>
          <cell r="I11264">
            <v>26356000000</v>
          </cell>
        </row>
        <row r="11265">
          <cell r="A11265" t="str">
            <v>Bulgaria</v>
          </cell>
          <cell r="B11265">
            <v>100</v>
          </cell>
          <cell r="C11265">
            <v>203</v>
          </cell>
          <cell r="D11265">
            <v>3</v>
          </cell>
          <cell r="E11265" t="str">
            <v>Equals: VALUE ADDED, GROSS, at basic prices</v>
          </cell>
          <cell r="F11265">
            <v>12</v>
          </cell>
          <cell r="G11265">
            <v>2002</v>
          </cell>
          <cell r="H11265">
            <v>200</v>
          </cell>
          <cell r="I11265">
            <v>28526000000</v>
          </cell>
        </row>
        <row r="11266">
          <cell r="A11266" t="str">
            <v>Bulgaria</v>
          </cell>
          <cell r="B11266">
            <v>100</v>
          </cell>
          <cell r="C11266">
            <v>203</v>
          </cell>
          <cell r="D11266">
            <v>3</v>
          </cell>
          <cell r="E11266" t="str">
            <v>Equals: VALUE ADDED, GROSS, at basic prices</v>
          </cell>
          <cell r="F11266">
            <v>12</v>
          </cell>
          <cell r="G11266">
            <v>2003</v>
          </cell>
          <cell r="H11266">
            <v>200</v>
          </cell>
          <cell r="I11266">
            <v>30089000000</v>
          </cell>
        </row>
        <row r="11267">
          <cell r="A11267" t="str">
            <v>Bulgaria</v>
          </cell>
          <cell r="B11267">
            <v>100</v>
          </cell>
          <cell r="C11267">
            <v>203</v>
          </cell>
          <cell r="D11267">
            <v>4</v>
          </cell>
          <cell r="E11267" t="str">
            <v>Compensation of employees</v>
          </cell>
          <cell r="F11267">
            <v>12</v>
          </cell>
          <cell r="G11267">
            <v>1994</v>
          </cell>
          <cell r="H11267">
            <v>100</v>
          </cell>
          <cell r="I11267">
            <v>238680000000</v>
          </cell>
        </row>
        <row r="11268">
          <cell r="A11268" t="str">
            <v>Bulgaria</v>
          </cell>
          <cell r="B11268">
            <v>100</v>
          </cell>
          <cell r="C11268">
            <v>203</v>
          </cell>
          <cell r="D11268">
            <v>4</v>
          </cell>
          <cell r="E11268" t="str">
            <v>Compensation of employees</v>
          </cell>
          <cell r="F11268">
            <v>12</v>
          </cell>
          <cell r="G11268">
            <v>1996</v>
          </cell>
          <cell r="H11268">
            <v>100</v>
          </cell>
          <cell r="I11268">
            <v>646006000000</v>
          </cell>
        </row>
        <row r="11269">
          <cell r="A11269" t="str">
            <v>Bulgaria</v>
          </cell>
          <cell r="B11269">
            <v>100</v>
          </cell>
          <cell r="C11269">
            <v>203</v>
          </cell>
          <cell r="D11269">
            <v>4</v>
          </cell>
          <cell r="E11269" t="str">
            <v>Compensation of employees</v>
          </cell>
          <cell r="F11269">
            <v>12</v>
          </cell>
          <cell r="G11269">
            <v>1997</v>
          </cell>
          <cell r="H11269">
            <v>100</v>
          </cell>
          <cell r="I11269">
            <v>5885499000000</v>
          </cell>
        </row>
        <row r="11270">
          <cell r="A11270" t="str">
            <v>Bulgaria</v>
          </cell>
          <cell r="B11270">
            <v>100</v>
          </cell>
          <cell r="C11270">
            <v>203</v>
          </cell>
          <cell r="D11270">
            <v>4</v>
          </cell>
          <cell r="E11270" t="str">
            <v>Compensation of employees</v>
          </cell>
          <cell r="F11270">
            <v>12</v>
          </cell>
          <cell r="G11270">
            <v>1998</v>
          </cell>
          <cell r="H11270">
            <v>100</v>
          </cell>
          <cell r="I11270">
            <v>8688275000000</v>
          </cell>
        </row>
        <row r="11271">
          <cell r="A11271" t="str">
            <v>Bulgaria</v>
          </cell>
          <cell r="B11271">
            <v>100</v>
          </cell>
          <cell r="C11271">
            <v>203</v>
          </cell>
          <cell r="D11271">
            <v>4</v>
          </cell>
          <cell r="E11271" t="str">
            <v>Compensation of employees</v>
          </cell>
          <cell r="F11271">
            <v>12</v>
          </cell>
          <cell r="G11271">
            <v>1999</v>
          </cell>
          <cell r="H11271">
            <v>200</v>
          </cell>
          <cell r="I11271">
            <v>8800000000</v>
          </cell>
        </row>
        <row r="11272">
          <cell r="A11272" t="str">
            <v>Bulgaria</v>
          </cell>
          <cell r="B11272">
            <v>100</v>
          </cell>
          <cell r="C11272">
            <v>203</v>
          </cell>
          <cell r="D11272">
            <v>4</v>
          </cell>
          <cell r="E11272" t="str">
            <v>Compensation of employees</v>
          </cell>
          <cell r="F11272">
            <v>12</v>
          </cell>
          <cell r="G11272">
            <v>2000</v>
          </cell>
          <cell r="H11272">
            <v>200</v>
          </cell>
          <cell r="I11272">
            <v>9245000000</v>
          </cell>
        </row>
        <row r="11273">
          <cell r="A11273" t="str">
            <v>Bulgaria</v>
          </cell>
          <cell r="B11273">
            <v>100</v>
          </cell>
          <cell r="C11273">
            <v>203</v>
          </cell>
          <cell r="D11273">
            <v>4</v>
          </cell>
          <cell r="E11273" t="str">
            <v>Compensation of employees</v>
          </cell>
          <cell r="F11273">
            <v>12</v>
          </cell>
          <cell r="G11273">
            <v>2001</v>
          </cell>
          <cell r="H11273">
            <v>200</v>
          </cell>
          <cell r="I11273">
            <v>10381000000</v>
          </cell>
        </row>
        <row r="11274">
          <cell r="A11274" t="str">
            <v>Bulgaria</v>
          </cell>
          <cell r="B11274">
            <v>100</v>
          </cell>
          <cell r="C11274">
            <v>203</v>
          </cell>
          <cell r="D11274">
            <v>4</v>
          </cell>
          <cell r="E11274" t="str">
            <v>Compensation of employees</v>
          </cell>
          <cell r="F11274">
            <v>12</v>
          </cell>
          <cell r="G11274">
            <v>2002</v>
          </cell>
          <cell r="H11274">
            <v>200</v>
          </cell>
          <cell r="I11274">
            <v>11034000000</v>
          </cell>
        </row>
        <row r="11275">
          <cell r="A11275" t="str">
            <v>Bulgaria</v>
          </cell>
          <cell r="B11275">
            <v>100</v>
          </cell>
          <cell r="C11275">
            <v>203</v>
          </cell>
          <cell r="D11275">
            <v>4</v>
          </cell>
          <cell r="E11275" t="str">
            <v>Compensation of employees</v>
          </cell>
          <cell r="F11275">
            <v>12</v>
          </cell>
          <cell r="G11275">
            <v>2003</v>
          </cell>
          <cell r="H11275">
            <v>200</v>
          </cell>
          <cell r="I11275">
            <v>11756000000</v>
          </cell>
        </row>
        <row r="11276">
          <cell r="A11276" t="str">
            <v>Bulgaria</v>
          </cell>
          <cell r="B11276">
            <v>100</v>
          </cell>
          <cell r="C11276">
            <v>203</v>
          </cell>
          <cell r="D11276">
            <v>11</v>
          </cell>
          <cell r="E11276" t="str">
            <v>OPERATING SURPLUS, GROSS</v>
          </cell>
          <cell r="F11276">
            <v>12</v>
          </cell>
          <cell r="G11276">
            <v>1998</v>
          </cell>
          <cell r="H11276">
            <v>100</v>
          </cell>
          <cell r="I11276">
            <v>11476141000000</v>
          </cell>
        </row>
        <row r="11277">
          <cell r="A11277" t="str">
            <v>Bulgaria</v>
          </cell>
          <cell r="B11277">
            <v>100</v>
          </cell>
          <cell r="C11277">
            <v>203</v>
          </cell>
          <cell r="D11277">
            <v>11</v>
          </cell>
          <cell r="E11277" t="str">
            <v>OPERATING SURPLUS, GROSS</v>
          </cell>
          <cell r="F11277">
            <v>12</v>
          </cell>
          <cell r="G11277">
            <v>1999</v>
          </cell>
          <cell r="H11277">
            <v>200</v>
          </cell>
          <cell r="I11277">
            <v>12644000000</v>
          </cell>
        </row>
        <row r="11278">
          <cell r="A11278" t="str">
            <v>Bulgaria</v>
          </cell>
          <cell r="B11278">
            <v>100</v>
          </cell>
          <cell r="C11278">
            <v>203</v>
          </cell>
          <cell r="D11278">
            <v>11</v>
          </cell>
          <cell r="E11278" t="str">
            <v>OPERATING SURPLUS, GROSS</v>
          </cell>
          <cell r="F11278">
            <v>12</v>
          </cell>
          <cell r="G11278">
            <v>2000</v>
          </cell>
          <cell r="H11278">
            <v>200</v>
          </cell>
          <cell r="I11278">
            <v>14799000000</v>
          </cell>
        </row>
        <row r="11279">
          <cell r="A11279" t="str">
            <v>Bulgaria</v>
          </cell>
          <cell r="B11279">
            <v>100</v>
          </cell>
          <cell r="C11279">
            <v>203</v>
          </cell>
          <cell r="D11279">
            <v>11</v>
          </cell>
          <cell r="E11279" t="str">
            <v>OPERATING SURPLUS, GROSS</v>
          </cell>
          <cell r="F11279">
            <v>12</v>
          </cell>
          <cell r="G11279">
            <v>2001</v>
          </cell>
          <cell r="H11279">
            <v>200</v>
          </cell>
          <cell r="I11279">
            <v>16340000000</v>
          </cell>
        </row>
        <row r="11280">
          <cell r="A11280" t="str">
            <v>Bulgaria</v>
          </cell>
          <cell r="B11280">
            <v>100</v>
          </cell>
          <cell r="C11280">
            <v>203</v>
          </cell>
          <cell r="D11280">
            <v>11</v>
          </cell>
          <cell r="E11280" t="str">
            <v>OPERATING SURPLUS, GROSS</v>
          </cell>
          <cell r="F11280">
            <v>12</v>
          </cell>
          <cell r="G11280">
            <v>2002</v>
          </cell>
          <cell r="H11280">
            <v>200</v>
          </cell>
          <cell r="I11280">
            <v>17927000000</v>
          </cell>
        </row>
        <row r="11281">
          <cell r="A11281" t="str">
            <v>Bulgaria</v>
          </cell>
          <cell r="B11281">
            <v>100</v>
          </cell>
          <cell r="C11281">
            <v>203</v>
          </cell>
          <cell r="D11281">
            <v>11</v>
          </cell>
          <cell r="E11281" t="str">
            <v>OPERATING SURPLUS, GROSS</v>
          </cell>
          <cell r="F11281">
            <v>12</v>
          </cell>
          <cell r="G11281">
            <v>2003</v>
          </cell>
          <cell r="H11281">
            <v>200</v>
          </cell>
          <cell r="I11281">
            <v>18949000000</v>
          </cell>
        </row>
        <row r="11282">
          <cell r="A11282" t="str">
            <v>Bulgaria</v>
          </cell>
          <cell r="B11282">
            <v>100</v>
          </cell>
          <cell r="C11282">
            <v>203</v>
          </cell>
          <cell r="D11282">
            <v>22</v>
          </cell>
          <cell r="E11282" t="str">
            <v>Taxes on production and imports, less Subsidies</v>
          </cell>
          <cell r="F11282">
            <v>12</v>
          </cell>
          <cell r="G11282">
            <v>1998</v>
          </cell>
          <cell r="H11282">
            <v>100</v>
          </cell>
          <cell r="I11282">
            <v>-112627000000</v>
          </cell>
        </row>
        <row r="11283">
          <cell r="A11283" t="str">
            <v>Bulgaria</v>
          </cell>
          <cell r="B11283">
            <v>100</v>
          </cell>
          <cell r="C11283">
            <v>203</v>
          </cell>
          <cell r="D11283">
            <v>22</v>
          </cell>
          <cell r="E11283" t="str">
            <v>Taxes on production and imports, less Subsidies</v>
          </cell>
          <cell r="F11283">
            <v>12</v>
          </cell>
          <cell r="G11283">
            <v>1999</v>
          </cell>
          <cell r="H11283">
            <v>200</v>
          </cell>
          <cell r="I11283">
            <v>-239000000</v>
          </cell>
        </row>
        <row r="11284">
          <cell r="A11284" t="str">
            <v>Bulgaria</v>
          </cell>
          <cell r="B11284">
            <v>100</v>
          </cell>
          <cell r="C11284">
            <v>203</v>
          </cell>
          <cell r="D11284">
            <v>22</v>
          </cell>
          <cell r="E11284" t="str">
            <v>Taxes on production and imports, less Subsidies</v>
          </cell>
          <cell r="F11284">
            <v>12</v>
          </cell>
          <cell r="G11284">
            <v>2000</v>
          </cell>
          <cell r="H11284">
            <v>200</v>
          </cell>
          <cell r="I11284">
            <v>-346000000</v>
          </cell>
        </row>
        <row r="11285">
          <cell r="A11285" t="str">
            <v>Bulgaria</v>
          </cell>
          <cell r="B11285">
            <v>100</v>
          </cell>
          <cell r="C11285">
            <v>203</v>
          </cell>
          <cell r="D11285">
            <v>22</v>
          </cell>
          <cell r="E11285" t="str">
            <v>Taxes on production and imports, less Subsidies</v>
          </cell>
          <cell r="F11285">
            <v>12</v>
          </cell>
          <cell r="G11285">
            <v>2001</v>
          </cell>
          <cell r="H11285">
            <v>200</v>
          </cell>
          <cell r="I11285">
            <v>-365000000</v>
          </cell>
        </row>
        <row r="11286">
          <cell r="A11286" t="str">
            <v>Bulgaria</v>
          </cell>
          <cell r="B11286">
            <v>100</v>
          </cell>
          <cell r="C11286">
            <v>203</v>
          </cell>
          <cell r="D11286">
            <v>22</v>
          </cell>
          <cell r="E11286" t="str">
            <v>Taxes on production and imports, less Subsidies</v>
          </cell>
          <cell r="F11286">
            <v>12</v>
          </cell>
          <cell r="G11286">
            <v>2002</v>
          </cell>
          <cell r="H11286">
            <v>200</v>
          </cell>
          <cell r="I11286">
            <v>-435000000</v>
          </cell>
        </row>
        <row r="11287">
          <cell r="A11287" t="str">
            <v>Bulgaria</v>
          </cell>
          <cell r="B11287">
            <v>100</v>
          </cell>
          <cell r="C11287">
            <v>203</v>
          </cell>
          <cell r="D11287">
            <v>22</v>
          </cell>
          <cell r="E11287" t="str">
            <v>Taxes on production and imports, less Subsidies</v>
          </cell>
          <cell r="F11287">
            <v>12</v>
          </cell>
          <cell r="G11287">
            <v>2003</v>
          </cell>
          <cell r="H11287">
            <v>200</v>
          </cell>
          <cell r="I11287">
            <v>-616000000</v>
          </cell>
        </row>
        <row r="11288">
          <cell r="A11288" t="str">
            <v>Belarus</v>
          </cell>
          <cell r="B11288">
            <v>112</v>
          </cell>
          <cell r="C11288">
            <v>201</v>
          </cell>
          <cell r="D11288">
            <v>13</v>
          </cell>
          <cell r="E11288" t="str">
            <v>Less: Financial intermediation services indirectly measured (FISIM) (only to be deducted if FISIM is not distributed to uses)</v>
          </cell>
          <cell r="F11288">
            <v>0</v>
          </cell>
          <cell r="G11288">
            <v>1991</v>
          </cell>
          <cell r="H11288">
            <v>300</v>
          </cell>
          <cell r="I11288">
            <v>130000</v>
          </cell>
        </row>
        <row r="11289">
          <cell r="A11289" t="str">
            <v>Belarus</v>
          </cell>
          <cell r="B11289">
            <v>112</v>
          </cell>
          <cell r="C11289">
            <v>201</v>
          </cell>
          <cell r="D11289">
            <v>13</v>
          </cell>
          <cell r="E11289" t="str">
            <v>Less: Financial intermediation services indirectly measured (FISIM) (only to be deducted if FISIM is not distributed to uses)</v>
          </cell>
          <cell r="F11289">
            <v>0</v>
          </cell>
          <cell r="G11289">
            <v>1992</v>
          </cell>
          <cell r="H11289">
            <v>300</v>
          </cell>
          <cell r="I11289">
            <v>2000000</v>
          </cell>
        </row>
        <row r="11290">
          <cell r="A11290" t="str">
            <v>Belarus</v>
          </cell>
          <cell r="B11290">
            <v>112</v>
          </cell>
          <cell r="C11290">
            <v>201</v>
          </cell>
          <cell r="D11290">
            <v>13</v>
          </cell>
          <cell r="E11290" t="str">
            <v>Less: Financial intermediation services indirectly measured (FISIM) (only to be deducted if FISIM is not distributed to uses)</v>
          </cell>
          <cell r="F11290">
            <v>0</v>
          </cell>
          <cell r="G11290">
            <v>1993</v>
          </cell>
          <cell r="H11290">
            <v>300</v>
          </cell>
          <cell r="I11290">
            <v>83000000</v>
          </cell>
        </row>
        <row r="11291">
          <cell r="A11291" t="str">
            <v>Belarus</v>
          </cell>
          <cell r="B11291">
            <v>112</v>
          </cell>
          <cell r="C11291">
            <v>201</v>
          </cell>
          <cell r="D11291">
            <v>13</v>
          </cell>
          <cell r="E11291" t="str">
            <v>Less: Financial intermediation services indirectly measured (FISIM) (only to be deducted if FISIM is not distributed to uses)</v>
          </cell>
          <cell r="F11291">
            <v>0</v>
          </cell>
          <cell r="G11291">
            <v>1994</v>
          </cell>
          <cell r="H11291">
            <v>300</v>
          </cell>
          <cell r="I11291">
            <v>1196000000</v>
          </cell>
        </row>
        <row r="11292">
          <cell r="A11292" t="str">
            <v>Belarus</v>
          </cell>
          <cell r="B11292">
            <v>112</v>
          </cell>
          <cell r="C11292">
            <v>201</v>
          </cell>
          <cell r="D11292">
            <v>13</v>
          </cell>
          <cell r="E11292" t="str">
            <v>Less: Financial intermediation services indirectly measured (FISIM) (only to be deducted if FISIM is not distributed to uses)</v>
          </cell>
          <cell r="F11292">
            <v>0</v>
          </cell>
          <cell r="G11292">
            <v>1995</v>
          </cell>
          <cell r="H11292">
            <v>300</v>
          </cell>
          <cell r="I11292">
            <v>4128000000</v>
          </cell>
        </row>
        <row r="11293">
          <cell r="A11293" t="str">
            <v>Belarus</v>
          </cell>
          <cell r="B11293">
            <v>112</v>
          </cell>
          <cell r="C11293">
            <v>201</v>
          </cell>
          <cell r="D11293">
            <v>13</v>
          </cell>
          <cell r="E11293" t="str">
            <v>Less: Financial intermediation services indirectly measured (FISIM) (only to be deducted if FISIM is not distributed to uses)</v>
          </cell>
          <cell r="F11293">
            <v>0</v>
          </cell>
          <cell r="G11293">
            <v>1996</v>
          </cell>
          <cell r="H11293">
            <v>300</v>
          </cell>
          <cell r="I11293">
            <v>3056000000</v>
          </cell>
        </row>
        <row r="11294">
          <cell r="A11294" t="str">
            <v>Belarus</v>
          </cell>
          <cell r="B11294">
            <v>112</v>
          </cell>
          <cell r="C11294">
            <v>201</v>
          </cell>
          <cell r="D11294">
            <v>13</v>
          </cell>
          <cell r="E11294" t="str">
            <v>Less: Financial intermediation services indirectly measured (FISIM) (only to be deducted if FISIM is not distributed to uses)</v>
          </cell>
          <cell r="F11294">
            <v>0</v>
          </cell>
          <cell r="G11294">
            <v>1997</v>
          </cell>
          <cell r="H11294">
            <v>300</v>
          </cell>
          <cell r="I11294">
            <v>5190000000</v>
          </cell>
        </row>
        <row r="11295">
          <cell r="A11295" t="str">
            <v>Belarus</v>
          </cell>
          <cell r="B11295">
            <v>112</v>
          </cell>
          <cell r="C11295">
            <v>201</v>
          </cell>
          <cell r="D11295">
            <v>13</v>
          </cell>
          <cell r="E11295" t="str">
            <v>Less: Financial intermediation services indirectly measured (FISIM) (only to be deducted if FISIM is not distributed to uses)</v>
          </cell>
          <cell r="F11295">
            <v>0</v>
          </cell>
          <cell r="G11295">
            <v>1998</v>
          </cell>
          <cell r="H11295">
            <v>300</v>
          </cell>
          <cell r="I11295">
            <v>10315000000</v>
          </cell>
        </row>
        <row r="11296">
          <cell r="A11296" t="str">
            <v>Belarus</v>
          </cell>
          <cell r="B11296">
            <v>112</v>
          </cell>
          <cell r="C11296">
            <v>201</v>
          </cell>
          <cell r="D11296">
            <v>13</v>
          </cell>
          <cell r="E11296" t="str">
            <v>Less: Financial intermediation services indirectly measured (FISIM) (only to be deducted if FISIM is not distributed to uses)</v>
          </cell>
          <cell r="F11296">
            <v>0</v>
          </cell>
          <cell r="G11296">
            <v>1999</v>
          </cell>
          <cell r="H11296">
            <v>300</v>
          </cell>
          <cell r="I11296">
            <v>62885000000</v>
          </cell>
        </row>
        <row r="11297">
          <cell r="A11297" t="str">
            <v>Belarus</v>
          </cell>
          <cell r="B11297">
            <v>112</v>
          </cell>
          <cell r="C11297">
            <v>201</v>
          </cell>
          <cell r="D11297">
            <v>13</v>
          </cell>
          <cell r="E11297" t="str">
            <v>Less: Financial intermediation services indirectly measured (FISIM) (only to be deducted if FISIM is not distributed to uses)</v>
          </cell>
          <cell r="F11297">
            <v>0</v>
          </cell>
          <cell r="G11297">
            <v>2000</v>
          </cell>
          <cell r="H11297">
            <v>300</v>
          </cell>
          <cell r="I11297">
            <v>164057000000</v>
          </cell>
        </row>
        <row r="11298">
          <cell r="A11298" t="str">
            <v>Belarus</v>
          </cell>
          <cell r="B11298">
            <v>112</v>
          </cell>
          <cell r="C11298">
            <v>201</v>
          </cell>
          <cell r="D11298">
            <v>13</v>
          </cell>
          <cell r="E11298" t="str">
            <v>Less: Financial intermediation services indirectly measured (FISIM) (only to be deducted if FISIM is not distributed to uses)</v>
          </cell>
          <cell r="F11298">
            <v>0</v>
          </cell>
          <cell r="G11298">
            <v>2001</v>
          </cell>
          <cell r="H11298">
            <v>300</v>
          </cell>
          <cell r="I11298">
            <v>233650000000</v>
          </cell>
        </row>
        <row r="11299">
          <cell r="A11299" t="str">
            <v>Belarus</v>
          </cell>
          <cell r="B11299">
            <v>112</v>
          </cell>
          <cell r="C11299">
            <v>201</v>
          </cell>
          <cell r="D11299">
            <v>13</v>
          </cell>
          <cell r="E11299" t="str">
            <v>Less: Financial intermediation services indirectly measured (FISIM) (only to be deducted if FISIM is not distributed to uses)</v>
          </cell>
          <cell r="F11299">
            <v>0</v>
          </cell>
          <cell r="G11299">
            <v>2002</v>
          </cell>
          <cell r="H11299">
            <v>300</v>
          </cell>
          <cell r="I11299">
            <v>377987000000</v>
          </cell>
        </row>
        <row r="11300">
          <cell r="A11300" t="str">
            <v>Belarus</v>
          </cell>
          <cell r="B11300">
            <v>112</v>
          </cell>
          <cell r="C11300">
            <v>201</v>
          </cell>
          <cell r="D11300">
            <v>13</v>
          </cell>
          <cell r="E11300" t="str">
            <v>Less: Financial intermediation services indirectly measured (FISIM) (only to be deducted if FISIM is not distributed to uses)</v>
          </cell>
          <cell r="F11300">
            <v>0</v>
          </cell>
          <cell r="G11300">
            <v>2003</v>
          </cell>
          <cell r="H11300">
            <v>300</v>
          </cell>
          <cell r="I11300">
            <v>497503000000</v>
          </cell>
        </row>
        <row r="11301">
          <cell r="A11301" t="str">
            <v>Belarus</v>
          </cell>
          <cell r="B11301">
            <v>112</v>
          </cell>
          <cell r="C11301">
            <v>201</v>
          </cell>
          <cell r="D11301">
            <v>13</v>
          </cell>
          <cell r="E11301" t="str">
            <v>Less: Financial intermediation services indirectly measured (FISIM) (only to be deducted if FISIM is not distributed to uses)</v>
          </cell>
          <cell r="F11301">
            <v>0</v>
          </cell>
          <cell r="G11301">
            <v>2004</v>
          </cell>
          <cell r="H11301">
            <v>300</v>
          </cell>
          <cell r="I11301">
            <v>619755000000</v>
          </cell>
        </row>
        <row r="11302">
          <cell r="A11302" t="str">
            <v>Belarus</v>
          </cell>
          <cell r="B11302">
            <v>112</v>
          </cell>
          <cell r="C11302">
            <v>203</v>
          </cell>
          <cell r="D11302">
            <v>3</v>
          </cell>
          <cell r="E11302" t="str">
            <v>Equals: VALUE ADDED, GROSS, at basic prices</v>
          </cell>
          <cell r="F11302">
            <v>12</v>
          </cell>
          <cell r="G11302">
            <v>1995</v>
          </cell>
          <cell r="H11302">
            <v>300</v>
          </cell>
          <cell r="I11302">
            <v>109626100000</v>
          </cell>
        </row>
        <row r="11303">
          <cell r="A11303" t="str">
            <v>Belarus</v>
          </cell>
          <cell r="B11303">
            <v>112</v>
          </cell>
          <cell r="C11303">
            <v>203</v>
          </cell>
          <cell r="D11303">
            <v>3</v>
          </cell>
          <cell r="E11303" t="str">
            <v>Equals: VALUE ADDED, GROSS, at basic prices</v>
          </cell>
          <cell r="F11303">
            <v>12</v>
          </cell>
          <cell r="G11303">
            <v>1996</v>
          </cell>
          <cell r="H11303">
            <v>300</v>
          </cell>
          <cell r="I11303">
            <v>170127900000</v>
          </cell>
        </row>
        <row r="11304">
          <cell r="A11304" t="str">
            <v>Belarus</v>
          </cell>
          <cell r="B11304">
            <v>112</v>
          </cell>
          <cell r="C11304">
            <v>203</v>
          </cell>
          <cell r="D11304">
            <v>3</v>
          </cell>
          <cell r="E11304" t="str">
            <v>Equals: VALUE ADDED, GROSS, at basic prices</v>
          </cell>
          <cell r="F11304">
            <v>12</v>
          </cell>
          <cell r="G11304">
            <v>1997</v>
          </cell>
          <cell r="H11304">
            <v>300</v>
          </cell>
          <cell r="I11304">
            <v>320076200000</v>
          </cell>
        </row>
        <row r="11305">
          <cell r="A11305" t="str">
            <v>Belarus</v>
          </cell>
          <cell r="B11305">
            <v>112</v>
          </cell>
          <cell r="C11305">
            <v>203</v>
          </cell>
          <cell r="D11305">
            <v>3</v>
          </cell>
          <cell r="E11305" t="str">
            <v>Equals: VALUE ADDED, GROSS, at basic prices</v>
          </cell>
          <cell r="F11305">
            <v>12</v>
          </cell>
          <cell r="G11305">
            <v>1998</v>
          </cell>
          <cell r="H11305">
            <v>300</v>
          </cell>
          <cell r="I11305">
            <v>610524200000</v>
          </cell>
        </row>
        <row r="11306">
          <cell r="A11306" t="str">
            <v>Belarus</v>
          </cell>
          <cell r="B11306">
            <v>112</v>
          </cell>
          <cell r="C11306">
            <v>203</v>
          </cell>
          <cell r="D11306">
            <v>3</v>
          </cell>
          <cell r="E11306" t="str">
            <v>Equals: VALUE ADDED, GROSS, at basic prices</v>
          </cell>
          <cell r="F11306">
            <v>12</v>
          </cell>
          <cell r="G11306">
            <v>1999</v>
          </cell>
          <cell r="H11306">
            <v>300</v>
          </cell>
          <cell r="I11306">
            <v>2624808900000</v>
          </cell>
        </row>
        <row r="11307">
          <cell r="A11307" t="str">
            <v>Belarus</v>
          </cell>
          <cell r="B11307">
            <v>112</v>
          </cell>
          <cell r="C11307">
            <v>203</v>
          </cell>
          <cell r="D11307">
            <v>3</v>
          </cell>
          <cell r="E11307" t="str">
            <v>Equals: VALUE ADDED, GROSS, at basic prices</v>
          </cell>
          <cell r="F11307">
            <v>12</v>
          </cell>
          <cell r="G11307">
            <v>2000</v>
          </cell>
          <cell r="H11307">
            <v>300</v>
          </cell>
          <cell r="I11307">
            <v>7806700000000</v>
          </cell>
        </row>
        <row r="11308">
          <cell r="A11308" t="str">
            <v>Belarus</v>
          </cell>
          <cell r="B11308">
            <v>112</v>
          </cell>
          <cell r="C11308">
            <v>203</v>
          </cell>
          <cell r="D11308">
            <v>3</v>
          </cell>
          <cell r="E11308" t="str">
            <v>Equals: VALUE ADDED, GROSS, at basic prices</v>
          </cell>
          <cell r="F11308">
            <v>12</v>
          </cell>
          <cell r="G11308">
            <v>2001</v>
          </cell>
          <cell r="H11308">
            <v>300</v>
          </cell>
          <cell r="I11308">
            <v>14968500000000</v>
          </cell>
        </row>
        <row r="11309">
          <cell r="A11309" t="str">
            <v>Belarus</v>
          </cell>
          <cell r="B11309">
            <v>112</v>
          </cell>
          <cell r="C11309">
            <v>203</v>
          </cell>
          <cell r="D11309">
            <v>3</v>
          </cell>
          <cell r="E11309" t="str">
            <v>Equals: VALUE ADDED, GROSS, at basic prices</v>
          </cell>
          <cell r="F11309">
            <v>12</v>
          </cell>
          <cell r="G11309">
            <v>2002</v>
          </cell>
          <cell r="H11309">
            <v>300</v>
          </cell>
          <cell r="I11309">
            <v>22482700000000</v>
          </cell>
        </row>
        <row r="11310">
          <cell r="A11310" t="str">
            <v>Belarus</v>
          </cell>
          <cell r="B11310">
            <v>112</v>
          </cell>
          <cell r="C11310">
            <v>203</v>
          </cell>
          <cell r="D11310">
            <v>4</v>
          </cell>
          <cell r="E11310" t="str">
            <v>Compensation of employees</v>
          </cell>
          <cell r="F11310">
            <v>12</v>
          </cell>
          <cell r="G11310">
            <v>1995</v>
          </cell>
          <cell r="H11310">
            <v>300</v>
          </cell>
          <cell r="I11310">
            <v>51959700000</v>
          </cell>
        </row>
        <row r="11311">
          <cell r="A11311" t="str">
            <v>Belarus</v>
          </cell>
          <cell r="B11311">
            <v>112</v>
          </cell>
          <cell r="C11311">
            <v>203</v>
          </cell>
          <cell r="D11311">
            <v>4</v>
          </cell>
          <cell r="E11311" t="str">
            <v>Compensation of employees</v>
          </cell>
          <cell r="F11311">
            <v>12</v>
          </cell>
          <cell r="G11311">
            <v>1996</v>
          </cell>
          <cell r="H11311">
            <v>300</v>
          </cell>
          <cell r="I11311">
            <v>81800000000</v>
          </cell>
        </row>
        <row r="11312">
          <cell r="A11312" t="str">
            <v>Belarus</v>
          </cell>
          <cell r="B11312">
            <v>112</v>
          </cell>
          <cell r="C11312">
            <v>203</v>
          </cell>
          <cell r="D11312">
            <v>4</v>
          </cell>
          <cell r="E11312" t="str">
            <v>Compensation of employees</v>
          </cell>
          <cell r="F11312">
            <v>12</v>
          </cell>
          <cell r="G11312">
            <v>1997</v>
          </cell>
          <cell r="H11312">
            <v>300</v>
          </cell>
          <cell r="I11312">
            <v>152886300000</v>
          </cell>
        </row>
        <row r="11313">
          <cell r="A11313" t="str">
            <v>Belarus</v>
          </cell>
          <cell r="B11313">
            <v>112</v>
          </cell>
          <cell r="C11313">
            <v>203</v>
          </cell>
          <cell r="D11313">
            <v>4</v>
          </cell>
          <cell r="E11313" t="str">
            <v>Compensation of employees</v>
          </cell>
          <cell r="F11313">
            <v>12</v>
          </cell>
          <cell r="G11313">
            <v>1998</v>
          </cell>
          <cell r="H11313">
            <v>300</v>
          </cell>
          <cell r="I11313">
            <v>316535200000</v>
          </cell>
        </row>
        <row r="11314">
          <cell r="A11314" t="str">
            <v>Belarus</v>
          </cell>
          <cell r="B11314">
            <v>112</v>
          </cell>
          <cell r="C11314">
            <v>203</v>
          </cell>
          <cell r="D11314">
            <v>4</v>
          </cell>
          <cell r="E11314" t="str">
            <v>Compensation of employees</v>
          </cell>
          <cell r="F11314">
            <v>12</v>
          </cell>
          <cell r="G11314">
            <v>1999</v>
          </cell>
          <cell r="H11314">
            <v>300</v>
          </cell>
          <cell r="I11314">
            <v>1326537500000</v>
          </cell>
        </row>
        <row r="11315">
          <cell r="A11315" t="str">
            <v>Belarus</v>
          </cell>
          <cell r="B11315">
            <v>112</v>
          </cell>
          <cell r="C11315">
            <v>203</v>
          </cell>
          <cell r="D11315">
            <v>4</v>
          </cell>
          <cell r="E11315" t="str">
            <v>Compensation of employees</v>
          </cell>
          <cell r="F11315">
            <v>12</v>
          </cell>
          <cell r="G11315">
            <v>2000</v>
          </cell>
          <cell r="H11315">
            <v>300</v>
          </cell>
          <cell r="I11315">
            <v>4007300000000</v>
          </cell>
        </row>
        <row r="11316">
          <cell r="A11316" t="str">
            <v>Belarus</v>
          </cell>
          <cell r="B11316">
            <v>112</v>
          </cell>
          <cell r="C11316">
            <v>203</v>
          </cell>
          <cell r="D11316">
            <v>4</v>
          </cell>
          <cell r="E11316" t="str">
            <v>Compensation of employees</v>
          </cell>
          <cell r="F11316">
            <v>12</v>
          </cell>
          <cell r="G11316">
            <v>2001</v>
          </cell>
          <cell r="H11316">
            <v>300</v>
          </cell>
          <cell r="I11316">
            <v>8287800000000</v>
          </cell>
        </row>
        <row r="11317">
          <cell r="A11317" t="str">
            <v>Belarus</v>
          </cell>
          <cell r="B11317">
            <v>112</v>
          </cell>
          <cell r="C11317">
            <v>203</v>
          </cell>
          <cell r="D11317">
            <v>4</v>
          </cell>
          <cell r="E11317" t="str">
            <v>Compensation of employees</v>
          </cell>
          <cell r="F11317">
            <v>12</v>
          </cell>
          <cell r="G11317">
            <v>2002</v>
          </cell>
          <cell r="H11317">
            <v>300</v>
          </cell>
          <cell r="I11317">
            <v>12209300000000</v>
          </cell>
        </row>
        <row r="11318">
          <cell r="A11318" t="str">
            <v>Belarus</v>
          </cell>
          <cell r="B11318">
            <v>112</v>
          </cell>
          <cell r="C11318">
            <v>203</v>
          </cell>
          <cell r="D11318">
            <v>11</v>
          </cell>
          <cell r="E11318" t="str">
            <v>OPERATING SURPLUS, GROSS</v>
          </cell>
          <cell r="F11318">
            <v>12</v>
          </cell>
          <cell r="G11318">
            <v>1995</v>
          </cell>
          <cell r="H11318">
            <v>300</v>
          </cell>
          <cell r="I11318">
            <v>40382600000</v>
          </cell>
        </row>
        <row r="11319">
          <cell r="A11319" t="str">
            <v>Belarus</v>
          </cell>
          <cell r="B11319">
            <v>112</v>
          </cell>
          <cell r="C11319">
            <v>203</v>
          </cell>
          <cell r="D11319">
            <v>11</v>
          </cell>
          <cell r="E11319" t="str">
            <v>OPERATING SURPLUS, GROSS</v>
          </cell>
          <cell r="F11319">
            <v>12</v>
          </cell>
          <cell r="G11319">
            <v>1996</v>
          </cell>
          <cell r="H11319">
            <v>300</v>
          </cell>
          <cell r="I11319">
            <v>59060400000</v>
          </cell>
        </row>
        <row r="11320">
          <cell r="A11320" t="str">
            <v>Belarus</v>
          </cell>
          <cell r="B11320">
            <v>112</v>
          </cell>
          <cell r="C11320">
            <v>203</v>
          </cell>
          <cell r="D11320">
            <v>11</v>
          </cell>
          <cell r="E11320" t="str">
            <v>OPERATING SURPLUS, GROSS</v>
          </cell>
          <cell r="F11320">
            <v>12</v>
          </cell>
          <cell r="G11320">
            <v>1997</v>
          </cell>
          <cell r="H11320">
            <v>300</v>
          </cell>
          <cell r="I11320">
            <v>117142100000</v>
          </cell>
        </row>
        <row r="11321">
          <cell r="A11321" t="str">
            <v>Belarus</v>
          </cell>
          <cell r="B11321">
            <v>112</v>
          </cell>
          <cell r="C11321">
            <v>203</v>
          </cell>
          <cell r="D11321">
            <v>11</v>
          </cell>
          <cell r="E11321" t="str">
            <v>OPERATING SURPLUS, GROSS</v>
          </cell>
          <cell r="F11321">
            <v>12</v>
          </cell>
          <cell r="G11321">
            <v>1998</v>
          </cell>
          <cell r="H11321">
            <v>300</v>
          </cell>
          <cell r="I11321">
            <v>198837500000</v>
          </cell>
        </row>
        <row r="11322">
          <cell r="A11322" t="str">
            <v>Belarus</v>
          </cell>
          <cell r="B11322">
            <v>112</v>
          </cell>
          <cell r="C11322">
            <v>203</v>
          </cell>
          <cell r="D11322">
            <v>11</v>
          </cell>
          <cell r="E11322" t="str">
            <v>OPERATING SURPLUS, GROSS</v>
          </cell>
          <cell r="F11322">
            <v>12</v>
          </cell>
          <cell r="G11322">
            <v>1999</v>
          </cell>
          <cell r="H11322">
            <v>300</v>
          </cell>
          <cell r="I11322">
            <v>870045500000</v>
          </cell>
        </row>
        <row r="11323">
          <cell r="A11323" t="str">
            <v>Belarus</v>
          </cell>
          <cell r="B11323">
            <v>112</v>
          </cell>
          <cell r="C11323">
            <v>203</v>
          </cell>
          <cell r="D11323">
            <v>11</v>
          </cell>
          <cell r="E11323" t="str">
            <v>OPERATING SURPLUS, GROSS</v>
          </cell>
          <cell r="F11323">
            <v>12</v>
          </cell>
          <cell r="G11323">
            <v>2000</v>
          </cell>
          <cell r="H11323">
            <v>300</v>
          </cell>
          <cell r="I11323">
            <v>2598800000000</v>
          </cell>
        </row>
        <row r="11324">
          <cell r="A11324" t="str">
            <v>Belarus</v>
          </cell>
          <cell r="B11324">
            <v>112</v>
          </cell>
          <cell r="C11324">
            <v>203</v>
          </cell>
          <cell r="D11324">
            <v>11</v>
          </cell>
          <cell r="E11324" t="str">
            <v>OPERATING SURPLUS, GROSS</v>
          </cell>
          <cell r="F11324">
            <v>12</v>
          </cell>
          <cell r="G11324">
            <v>2001</v>
          </cell>
          <cell r="H11324">
            <v>300</v>
          </cell>
          <cell r="I11324">
            <v>4487800000000</v>
          </cell>
        </row>
        <row r="11325">
          <cell r="A11325" t="str">
            <v>Belarus</v>
          </cell>
          <cell r="B11325">
            <v>112</v>
          </cell>
          <cell r="C11325">
            <v>203</v>
          </cell>
          <cell r="D11325">
            <v>11</v>
          </cell>
          <cell r="E11325" t="str">
            <v>OPERATING SURPLUS, GROSS</v>
          </cell>
          <cell r="F11325">
            <v>12</v>
          </cell>
          <cell r="G11325">
            <v>2002</v>
          </cell>
          <cell r="H11325">
            <v>300</v>
          </cell>
          <cell r="I11325">
            <v>6705600000000</v>
          </cell>
        </row>
        <row r="11326">
          <cell r="A11326" t="str">
            <v>Belarus</v>
          </cell>
          <cell r="B11326">
            <v>112</v>
          </cell>
          <cell r="C11326">
            <v>203</v>
          </cell>
          <cell r="D11326">
            <v>12</v>
          </cell>
          <cell r="E11326" t="str">
            <v>MIXED INCOME, GROSS</v>
          </cell>
          <cell r="F11326">
            <v>12</v>
          </cell>
          <cell r="G11326">
            <v>1995</v>
          </cell>
          <cell r="H11326">
            <v>300</v>
          </cell>
          <cell r="I11326">
            <v>12188300000</v>
          </cell>
        </row>
        <row r="11327">
          <cell r="A11327" t="str">
            <v>Belarus</v>
          </cell>
          <cell r="B11327">
            <v>112</v>
          </cell>
          <cell r="C11327">
            <v>203</v>
          </cell>
          <cell r="D11327">
            <v>12</v>
          </cell>
          <cell r="E11327" t="str">
            <v>MIXED INCOME, GROSS</v>
          </cell>
          <cell r="F11327">
            <v>12</v>
          </cell>
          <cell r="G11327">
            <v>1996</v>
          </cell>
          <cell r="H11327">
            <v>300</v>
          </cell>
          <cell r="I11327">
            <v>21853900000</v>
          </cell>
        </row>
        <row r="11328">
          <cell r="A11328" t="str">
            <v>Belarus</v>
          </cell>
          <cell r="B11328">
            <v>112</v>
          </cell>
          <cell r="C11328">
            <v>203</v>
          </cell>
          <cell r="D11328">
            <v>12</v>
          </cell>
          <cell r="E11328" t="str">
            <v>MIXED INCOME, GROSS</v>
          </cell>
          <cell r="F11328">
            <v>12</v>
          </cell>
          <cell r="G11328">
            <v>1997</v>
          </cell>
          <cell r="H11328">
            <v>300</v>
          </cell>
          <cell r="I11328">
            <v>33148000000</v>
          </cell>
        </row>
        <row r="11329">
          <cell r="A11329" t="str">
            <v>Belarus</v>
          </cell>
          <cell r="B11329">
            <v>112</v>
          </cell>
          <cell r="C11329">
            <v>203</v>
          </cell>
          <cell r="D11329">
            <v>12</v>
          </cell>
          <cell r="E11329" t="str">
            <v>MIXED INCOME, GROSS</v>
          </cell>
          <cell r="F11329">
            <v>12</v>
          </cell>
          <cell r="G11329">
            <v>1998</v>
          </cell>
          <cell r="H11329">
            <v>300</v>
          </cell>
          <cell r="I11329">
            <v>63002800000</v>
          </cell>
        </row>
        <row r="11330">
          <cell r="A11330" t="str">
            <v>Belarus</v>
          </cell>
          <cell r="B11330">
            <v>112</v>
          </cell>
          <cell r="C11330">
            <v>203</v>
          </cell>
          <cell r="D11330">
            <v>12</v>
          </cell>
          <cell r="E11330" t="str">
            <v>MIXED INCOME, GROSS</v>
          </cell>
          <cell r="F11330">
            <v>12</v>
          </cell>
          <cell r="G11330">
            <v>1999</v>
          </cell>
          <cell r="H11330">
            <v>300</v>
          </cell>
          <cell r="I11330">
            <v>316744200000</v>
          </cell>
        </row>
        <row r="11331">
          <cell r="A11331" t="str">
            <v>Belarus</v>
          </cell>
          <cell r="B11331">
            <v>112</v>
          </cell>
          <cell r="C11331">
            <v>203</v>
          </cell>
          <cell r="D11331">
            <v>12</v>
          </cell>
          <cell r="E11331" t="str">
            <v>MIXED INCOME, GROSS</v>
          </cell>
          <cell r="F11331">
            <v>12</v>
          </cell>
          <cell r="G11331">
            <v>2000</v>
          </cell>
          <cell r="H11331">
            <v>300</v>
          </cell>
          <cell r="I11331">
            <v>919600000000</v>
          </cell>
        </row>
        <row r="11332">
          <cell r="A11332" t="str">
            <v>Belarus</v>
          </cell>
          <cell r="B11332">
            <v>112</v>
          </cell>
          <cell r="C11332">
            <v>203</v>
          </cell>
          <cell r="D11332">
            <v>12</v>
          </cell>
          <cell r="E11332" t="str">
            <v>MIXED INCOME, GROSS</v>
          </cell>
          <cell r="F11332">
            <v>12</v>
          </cell>
          <cell r="G11332">
            <v>2001</v>
          </cell>
          <cell r="H11332">
            <v>300</v>
          </cell>
          <cell r="I11332">
            <v>1619600000000</v>
          </cell>
        </row>
        <row r="11333">
          <cell r="A11333" t="str">
            <v>Belarus</v>
          </cell>
          <cell r="B11333">
            <v>112</v>
          </cell>
          <cell r="C11333">
            <v>203</v>
          </cell>
          <cell r="D11333">
            <v>12</v>
          </cell>
          <cell r="E11333" t="str">
            <v>MIXED INCOME, GROSS</v>
          </cell>
          <cell r="F11333">
            <v>12</v>
          </cell>
          <cell r="G11333">
            <v>2002</v>
          </cell>
          <cell r="H11333">
            <v>300</v>
          </cell>
          <cell r="I11333">
            <v>2602900000000</v>
          </cell>
        </row>
        <row r="11334">
          <cell r="A11334" t="str">
            <v>Belarus</v>
          </cell>
          <cell r="B11334">
            <v>112</v>
          </cell>
          <cell r="C11334">
            <v>203</v>
          </cell>
          <cell r="D11334">
            <v>22</v>
          </cell>
          <cell r="E11334" t="str">
            <v>Taxes on production and imports, less Subsidies</v>
          </cell>
          <cell r="F11334">
            <v>12</v>
          </cell>
          <cell r="G11334">
            <v>1995</v>
          </cell>
          <cell r="H11334">
            <v>300</v>
          </cell>
          <cell r="I11334">
            <v>16872000000</v>
          </cell>
        </row>
        <row r="11335">
          <cell r="A11335" t="str">
            <v>Belarus</v>
          </cell>
          <cell r="B11335">
            <v>112</v>
          </cell>
          <cell r="C11335">
            <v>203</v>
          </cell>
          <cell r="D11335">
            <v>22</v>
          </cell>
          <cell r="E11335" t="str">
            <v>Taxes on production and imports, less Subsidies</v>
          </cell>
          <cell r="F11335">
            <v>12</v>
          </cell>
          <cell r="G11335">
            <v>1996</v>
          </cell>
          <cell r="H11335">
            <v>300</v>
          </cell>
          <cell r="I11335">
            <v>29153900000</v>
          </cell>
        </row>
        <row r="11336">
          <cell r="A11336" t="str">
            <v>Belarus</v>
          </cell>
          <cell r="B11336">
            <v>112</v>
          </cell>
          <cell r="C11336">
            <v>203</v>
          </cell>
          <cell r="D11336">
            <v>22</v>
          </cell>
          <cell r="E11336" t="str">
            <v>Taxes on production and imports, less Subsidies</v>
          </cell>
          <cell r="F11336">
            <v>12</v>
          </cell>
          <cell r="G11336">
            <v>1997</v>
          </cell>
          <cell r="H11336">
            <v>300</v>
          </cell>
          <cell r="I11336">
            <v>63653700000</v>
          </cell>
        </row>
        <row r="11337">
          <cell r="A11337" t="str">
            <v>Belarus</v>
          </cell>
          <cell r="B11337">
            <v>112</v>
          </cell>
          <cell r="C11337">
            <v>203</v>
          </cell>
          <cell r="D11337">
            <v>22</v>
          </cell>
          <cell r="E11337" t="str">
            <v>Taxes on production and imports, less Subsidies</v>
          </cell>
          <cell r="F11337">
            <v>12</v>
          </cell>
          <cell r="G11337">
            <v>1998</v>
          </cell>
          <cell r="H11337">
            <v>300</v>
          </cell>
          <cell r="I11337">
            <v>123785600000</v>
          </cell>
        </row>
        <row r="11338">
          <cell r="A11338" t="str">
            <v>Belarus</v>
          </cell>
          <cell r="B11338">
            <v>112</v>
          </cell>
          <cell r="C11338">
            <v>203</v>
          </cell>
          <cell r="D11338">
            <v>22</v>
          </cell>
          <cell r="E11338" t="str">
            <v>Taxes on production and imports, less Subsidies</v>
          </cell>
          <cell r="F11338">
            <v>12</v>
          </cell>
          <cell r="G11338">
            <v>1999</v>
          </cell>
          <cell r="H11338">
            <v>300</v>
          </cell>
          <cell r="I11338">
            <v>512736500000</v>
          </cell>
        </row>
        <row r="11339">
          <cell r="A11339" t="str">
            <v>Belarus</v>
          </cell>
          <cell r="B11339">
            <v>112</v>
          </cell>
          <cell r="C11339">
            <v>203</v>
          </cell>
          <cell r="D11339">
            <v>22</v>
          </cell>
          <cell r="E11339" t="str">
            <v>Taxes on production and imports, less Subsidies</v>
          </cell>
          <cell r="F11339">
            <v>12</v>
          </cell>
          <cell r="G11339">
            <v>2000</v>
          </cell>
          <cell r="H11339">
            <v>300</v>
          </cell>
          <cell r="I11339">
            <v>1608100000000</v>
          </cell>
        </row>
        <row r="11340">
          <cell r="A11340" t="str">
            <v>Belarus</v>
          </cell>
          <cell r="B11340">
            <v>112</v>
          </cell>
          <cell r="C11340">
            <v>203</v>
          </cell>
          <cell r="D11340">
            <v>22</v>
          </cell>
          <cell r="E11340" t="str">
            <v>Taxes on production and imports, less Subsidies</v>
          </cell>
          <cell r="F11340">
            <v>12</v>
          </cell>
          <cell r="G11340">
            <v>2001</v>
          </cell>
          <cell r="H11340">
            <v>300</v>
          </cell>
          <cell r="I11340">
            <v>2778000000000</v>
          </cell>
        </row>
        <row r="11341">
          <cell r="A11341" t="str">
            <v>Belarus</v>
          </cell>
          <cell r="B11341">
            <v>112</v>
          </cell>
          <cell r="C11341">
            <v>203</v>
          </cell>
          <cell r="D11341">
            <v>22</v>
          </cell>
          <cell r="E11341" t="str">
            <v>Taxes on production and imports, less Subsidies</v>
          </cell>
          <cell r="F11341">
            <v>12</v>
          </cell>
          <cell r="G11341">
            <v>2002</v>
          </cell>
          <cell r="H11341">
            <v>300</v>
          </cell>
          <cell r="I11341">
            <v>4620500000000</v>
          </cell>
        </row>
        <row r="11342">
          <cell r="A11342" t="str">
            <v>Canada</v>
          </cell>
          <cell r="B11342">
            <v>124</v>
          </cell>
          <cell r="C11342">
            <v>201</v>
          </cell>
          <cell r="D11342">
            <v>13</v>
          </cell>
          <cell r="E11342" t="str">
            <v>Less: Financial intermediation services indirectly measured (FISIM) (only to be deducted if FISIM is not distributed to uses)</v>
          </cell>
          <cell r="F11342">
            <v>0</v>
          </cell>
          <cell r="G11342">
            <v>1961</v>
          </cell>
          <cell r="H11342">
            <v>30</v>
          </cell>
          <cell r="I11342">
            <v>414000000</v>
          </cell>
        </row>
        <row r="11343">
          <cell r="A11343" t="str">
            <v>Canada</v>
          </cell>
          <cell r="B11343">
            <v>124</v>
          </cell>
          <cell r="C11343">
            <v>201</v>
          </cell>
          <cell r="D11343">
            <v>13</v>
          </cell>
          <cell r="E11343" t="str">
            <v>Less: Financial intermediation services indirectly measured (FISIM) (only to be deducted if FISIM is not distributed to uses)</v>
          </cell>
          <cell r="F11343">
            <v>0</v>
          </cell>
          <cell r="G11343">
            <v>1962</v>
          </cell>
          <cell r="H11343">
            <v>30</v>
          </cell>
          <cell r="I11343">
            <v>453000000</v>
          </cell>
        </row>
        <row r="11344">
          <cell r="A11344" t="str">
            <v>Canada</v>
          </cell>
          <cell r="B11344">
            <v>124</v>
          </cell>
          <cell r="C11344">
            <v>201</v>
          </cell>
          <cell r="D11344">
            <v>13</v>
          </cell>
          <cell r="E11344" t="str">
            <v>Less: Financial intermediation services indirectly measured (FISIM) (only to be deducted if FISIM is not distributed to uses)</v>
          </cell>
          <cell r="F11344">
            <v>0</v>
          </cell>
          <cell r="G11344">
            <v>1963</v>
          </cell>
          <cell r="H11344">
            <v>30</v>
          </cell>
          <cell r="I11344">
            <v>508000000</v>
          </cell>
        </row>
        <row r="11345">
          <cell r="A11345" t="str">
            <v>Canada</v>
          </cell>
          <cell r="B11345">
            <v>124</v>
          </cell>
          <cell r="C11345">
            <v>201</v>
          </cell>
          <cell r="D11345">
            <v>13</v>
          </cell>
          <cell r="E11345" t="str">
            <v>Less: Financial intermediation services indirectly measured (FISIM) (only to be deducted if FISIM is not distributed to uses)</v>
          </cell>
          <cell r="F11345">
            <v>0</v>
          </cell>
          <cell r="G11345">
            <v>1964</v>
          </cell>
          <cell r="H11345">
            <v>30</v>
          </cell>
          <cell r="I11345">
            <v>562000000</v>
          </cell>
        </row>
        <row r="11346">
          <cell r="A11346" t="str">
            <v>Canada</v>
          </cell>
          <cell r="B11346">
            <v>124</v>
          </cell>
          <cell r="C11346">
            <v>201</v>
          </cell>
          <cell r="D11346">
            <v>13</v>
          </cell>
          <cell r="E11346" t="str">
            <v>Less: Financial intermediation services indirectly measured (FISIM) (only to be deducted if FISIM is not distributed to uses)</v>
          </cell>
          <cell r="F11346">
            <v>0</v>
          </cell>
          <cell r="G11346">
            <v>1965</v>
          </cell>
          <cell r="H11346">
            <v>30</v>
          </cell>
          <cell r="I11346">
            <v>624000000</v>
          </cell>
        </row>
        <row r="11347">
          <cell r="A11347" t="str">
            <v>Canada</v>
          </cell>
          <cell r="B11347">
            <v>124</v>
          </cell>
          <cell r="C11347">
            <v>201</v>
          </cell>
          <cell r="D11347">
            <v>13</v>
          </cell>
          <cell r="E11347" t="str">
            <v>Less: Financial intermediation services indirectly measured (FISIM) (only to be deducted if FISIM is not distributed to uses)</v>
          </cell>
          <cell r="F11347">
            <v>0</v>
          </cell>
          <cell r="G11347">
            <v>1966</v>
          </cell>
          <cell r="H11347">
            <v>30</v>
          </cell>
          <cell r="I11347">
            <v>687000000</v>
          </cell>
        </row>
        <row r="11348">
          <cell r="A11348" t="str">
            <v>Canada</v>
          </cell>
          <cell r="B11348">
            <v>124</v>
          </cell>
          <cell r="C11348">
            <v>201</v>
          </cell>
          <cell r="D11348">
            <v>13</v>
          </cell>
          <cell r="E11348" t="str">
            <v>Less: Financial intermediation services indirectly measured (FISIM) (only to be deducted if FISIM is not distributed to uses)</v>
          </cell>
          <cell r="F11348">
            <v>0</v>
          </cell>
          <cell r="G11348">
            <v>1967</v>
          </cell>
          <cell r="H11348">
            <v>30</v>
          </cell>
          <cell r="I11348">
            <v>794000000</v>
          </cell>
        </row>
        <row r="11349">
          <cell r="A11349" t="str">
            <v>Canada</v>
          </cell>
          <cell r="B11349">
            <v>124</v>
          </cell>
          <cell r="C11349">
            <v>201</v>
          </cell>
          <cell r="D11349">
            <v>13</v>
          </cell>
          <cell r="E11349" t="str">
            <v>Less: Financial intermediation services indirectly measured (FISIM) (only to be deducted if FISIM is not distributed to uses)</v>
          </cell>
          <cell r="F11349">
            <v>0</v>
          </cell>
          <cell r="G11349">
            <v>1968</v>
          </cell>
          <cell r="H11349">
            <v>30</v>
          </cell>
          <cell r="I11349">
            <v>946000000</v>
          </cell>
        </row>
        <row r="11350">
          <cell r="A11350" t="str">
            <v>Canada</v>
          </cell>
          <cell r="B11350">
            <v>124</v>
          </cell>
          <cell r="C11350">
            <v>201</v>
          </cell>
          <cell r="D11350">
            <v>13</v>
          </cell>
          <cell r="E11350" t="str">
            <v>Less: Financial intermediation services indirectly measured (FISIM) (only to be deducted if FISIM is not distributed to uses)</v>
          </cell>
          <cell r="F11350">
            <v>0</v>
          </cell>
          <cell r="G11350">
            <v>1969</v>
          </cell>
          <cell r="H11350">
            <v>30</v>
          </cell>
          <cell r="I11350">
            <v>1131000000</v>
          </cell>
        </row>
        <row r="11351">
          <cell r="A11351" t="str">
            <v>Canada</v>
          </cell>
          <cell r="B11351">
            <v>124</v>
          </cell>
          <cell r="C11351">
            <v>201</v>
          </cell>
          <cell r="D11351">
            <v>13</v>
          </cell>
          <cell r="E11351" t="str">
            <v>Less: Financial intermediation services indirectly measured (FISIM) (only to be deducted if FISIM is not distributed to uses)</v>
          </cell>
          <cell r="F11351">
            <v>0</v>
          </cell>
          <cell r="G11351">
            <v>1970</v>
          </cell>
          <cell r="H11351">
            <v>30</v>
          </cell>
          <cell r="I11351">
            <v>1255000000</v>
          </cell>
        </row>
        <row r="11352">
          <cell r="A11352" t="str">
            <v>Canada</v>
          </cell>
          <cell r="B11352">
            <v>124</v>
          </cell>
          <cell r="C11352">
            <v>201</v>
          </cell>
          <cell r="D11352">
            <v>13</v>
          </cell>
          <cell r="E11352" t="str">
            <v>Less: Financial intermediation services indirectly measured (FISIM) (only to be deducted if FISIM is not distributed to uses)</v>
          </cell>
          <cell r="F11352">
            <v>0</v>
          </cell>
          <cell r="G11352">
            <v>1970</v>
          </cell>
          <cell r="H11352">
            <v>100</v>
          </cell>
          <cell r="I11352">
            <v>1255000000</v>
          </cell>
        </row>
        <row r="11353">
          <cell r="A11353" t="str">
            <v>Canada</v>
          </cell>
          <cell r="B11353">
            <v>124</v>
          </cell>
          <cell r="C11353">
            <v>201</v>
          </cell>
          <cell r="D11353">
            <v>13</v>
          </cell>
          <cell r="E11353" t="str">
            <v>Less: Financial intermediation services indirectly measured (FISIM) (only to be deducted if FISIM is not distributed to uses)</v>
          </cell>
          <cell r="F11353">
            <v>0</v>
          </cell>
          <cell r="G11353">
            <v>1971</v>
          </cell>
          <cell r="H11353">
            <v>100</v>
          </cell>
          <cell r="I11353">
            <v>1374000000</v>
          </cell>
        </row>
        <row r="11354">
          <cell r="A11354" t="str">
            <v>Canada</v>
          </cell>
          <cell r="B11354">
            <v>124</v>
          </cell>
          <cell r="C11354">
            <v>201</v>
          </cell>
          <cell r="D11354">
            <v>13</v>
          </cell>
          <cell r="E11354" t="str">
            <v>Less: Financial intermediation services indirectly measured (FISIM) (only to be deducted if FISIM is not distributed to uses)</v>
          </cell>
          <cell r="F11354">
            <v>0</v>
          </cell>
          <cell r="G11354">
            <v>1972</v>
          </cell>
          <cell r="H11354">
            <v>100</v>
          </cell>
          <cell r="I11354">
            <v>1543000000</v>
          </cell>
        </row>
        <row r="11355">
          <cell r="A11355" t="str">
            <v>Canada</v>
          </cell>
          <cell r="B11355">
            <v>124</v>
          </cell>
          <cell r="C11355">
            <v>201</v>
          </cell>
          <cell r="D11355">
            <v>13</v>
          </cell>
          <cell r="E11355" t="str">
            <v>Less: Financial intermediation services indirectly measured (FISIM) (only to be deducted if FISIM is not distributed to uses)</v>
          </cell>
          <cell r="F11355">
            <v>0</v>
          </cell>
          <cell r="G11355">
            <v>1973</v>
          </cell>
          <cell r="H11355">
            <v>100</v>
          </cell>
          <cell r="I11355">
            <v>1751000000</v>
          </cell>
        </row>
        <row r="11356">
          <cell r="A11356" t="str">
            <v>Canada</v>
          </cell>
          <cell r="B11356">
            <v>124</v>
          </cell>
          <cell r="C11356">
            <v>201</v>
          </cell>
          <cell r="D11356">
            <v>13</v>
          </cell>
          <cell r="E11356" t="str">
            <v>Less: Financial intermediation services indirectly measured (FISIM) (only to be deducted if FISIM is not distributed to uses)</v>
          </cell>
          <cell r="F11356">
            <v>0</v>
          </cell>
          <cell r="G11356">
            <v>1974</v>
          </cell>
          <cell r="H11356">
            <v>100</v>
          </cell>
          <cell r="I11356">
            <v>2151000000</v>
          </cell>
        </row>
        <row r="11357">
          <cell r="A11357" t="str">
            <v>Canada</v>
          </cell>
          <cell r="B11357">
            <v>124</v>
          </cell>
          <cell r="C11357">
            <v>201</v>
          </cell>
          <cell r="D11357">
            <v>13</v>
          </cell>
          <cell r="E11357" t="str">
            <v>Less: Financial intermediation services indirectly measured (FISIM) (only to be deducted if FISIM is not distributed to uses)</v>
          </cell>
          <cell r="F11357">
            <v>0</v>
          </cell>
          <cell r="G11357">
            <v>1975</v>
          </cell>
          <cell r="H11357">
            <v>100</v>
          </cell>
          <cell r="I11357">
            <v>2458000000</v>
          </cell>
        </row>
        <row r="11358">
          <cell r="A11358" t="str">
            <v>Canada</v>
          </cell>
          <cell r="B11358">
            <v>124</v>
          </cell>
          <cell r="C11358">
            <v>201</v>
          </cell>
          <cell r="D11358">
            <v>13</v>
          </cell>
          <cell r="E11358" t="str">
            <v>Less: Financial intermediation services indirectly measured (FISIM) (only to be deducted if FISIM is not distributed to uses)</v>
          </cell>
          <cell r="F11358">
            <v>0</v>
          </cell>
          <cell r="G11358">
            <v>1976</v>
          </cell>
          <cell r="H11358">
            <v>100</v>
          </cell>
          <cell r="I11358">
            <v>2728000000</v>
          </cell>
        </row>
        <row r="11359">
          <cell r="A11359" t="str">
            <v>Canada</v>
          </cell>
          <cell r="B11359">
            <v>124</v>
          </cell>
          <cell r="C11359">
            <v>201</v>
          </cell>
          <cell r="D11359">
            <v>13</v>
          </cell>
          <cell r="E11359" t="str">
            <v>Less: Financial intermediation services indirectly measured (FISIM) (only to be deducted if FISIM is not distributed to uses)</v>
          </cell>
          <cell r="F11359">
            <v>0</v>
          </cell>
          <cell r="G11359">
            <v>1977</v>
          </cell>
          <cell r="H11359">
            <v>100</v>
          </cell>
          <cell r="I11359">
            <v>3063000000</v>
          </cell>
        </row>
        <row r="11360">
          <cell r="A11360" t="str">
            <v>Canada</v>
          </cell>
          <cell r="B11360">
            <v>124</v>
          </cell>
          <cell r="C11360">
            <v>201</v>
          </cell>
          <cell r="D11360">
            <v>13</v>
          </cell>
          <cell r="E11360" t="str">
            <v>Less: Financial intermediation services indirectly measured (FISIM) (only to be deducted if FISIM is not distributed to uses)</v>
          </cell>
          <cell r="F11360">
            <v>0</v>
          </cell>
          <cell r="G11360">
            <v>1978</v>
          </cell>
          <cell r="H11360">
            <v>100</v>
          </cell>
          <cell r="I11360">
            <v>3525000000</v>
          </cell>
        </row>
        <row r="11361">
          <cell r="A11361" t="str">
            <v>Canada</v>
          </cell>
          <cell r="B11361">
            <v>124</v>
          </cell>
          <cell r="C11361">
            <v>201</v>
          </cell>
          <cell r="D11361">
            <v>13</v>
          </cell>
          <cell r="E11361" t="str">
            <v>Less: Financial intermediation services indirectly measured (FISIM) (only to be deducted if FISIM is not distributed to uses)</v>
          </cell>
          <cell r="F11361">
            <v>0</v>
          </cell>
          <cell r="G11361">
            <v>1979</v>
          </cell>
          <cell r="H11361">
            <v>100</v>
          </cell>
          <cell r="I11361">
            <v>3819000000</v>
          </cell>
        </row>
        <row r="11362">
          <cell r="A11362" t="str">
            <v>Canada</v>
          </cell>
          <cell r="B11362">
            <v>124</v>
          </cell>
          <cell r="C11362">
            <v>201</v>
          </cell>
          <cell r="D11362">
            <v>13</v>
          </cell>
          <cell r="E11362" t="str">
            <v>Less: Financial intermediation services indirectly measured (FISIM) (only to be deducted if FISIM is not distributed to uses)</v>
          </cell>
          <cell r="F11362">
            <v>0</v>
          </cell>
          <cell r="G11362">
            <v>1980</v>
          </cell>
          <cell r="H11362">
            <v>100</v>
          </cell>
          <cell r="I11362">
            <v>4230000000</v>
          </cell>
        </row>
        <row r="11363">
          <cell r="A11363" t="str">
            <v>Canada</v>
          </cell>
          <cell r="B11363">
            <v>124</v>
          </cell>
          <cell r="C11363">
            <v>201</v>
          </cell>
          <cell r="D11363">
            <v>13</v>
          </cell>
          <cell r="E11363" t="str">
            <v>Less: Financial intermediation services indirectly measured (FISIM) (only to be deducted if FISIM is not distributed to uses)</v>
          </cell>
          <cell r="F11363">
            <v>0</v>
          </cell>
          <cell r="G11363">
            <v>1981</v>
          </cell>
          <cell r="H11363">
            <v>100</v>
          </cell>
          <cell r="I11363">
            <v>4753000000</v>
          </cell>
        </row>
        <row r="11364">
          <cell r="A11364" t="str">
            <v>Canada</v>
          </cell>
          <cell r="B11364">
            <v>124</v>
          </cell>
          <cell r="C11364">
            <v>201</v>
          </cell>
          <cell r="D11364">
            <v>13</v>
          </cell>
          <cell r="E11364" t="str">
            <v>Less: Financial intermediation services indirectly measured (FISIM) (only to be deducted if FISIM is not distributed to uses)</v>
          </cell>
          <cell r="F11364">
            <v>0</v>
          </cell>
          <cell r="G11364">
            <v>1982</v>
          </cell>
          <cell r="H11364">
            <v>100</v>
          </cell>
          <cell r="I11364">
            <v>5015000000</v>
          </cell>
        </row>
        <row r="11365">
          <cell r="A11365" t="str">
            <v>Canada</v>
          </cell>
          <cell r="B11365">
            <v>124</v>
          </cell>
          <cell r="C11365">
            <v>201</v>
          </cell>
          <cell r="D11365">
            <v>13</v>
          </cell>
          <cell r="E11365" t="str">
            <v>Less: Financial intermediation services indirectly measured (FISIM) (only to be deducted if FISIM is not distributed to uses)</v>
          </cell>
          <cell r="F11365">
            <v>0</v>
          </cell>
          <cell r="G11365">
            <v>1983</v>
          </cell>
          <cell r="H11365">
            <v>100</v>
          </cell>
          <cell r="I11365">
            <v>5935000000</v>
          </cell>
        </row>
        <row r="11366">
          <cell r="A11366" t="str">
            <v>Canada</v>
          </cell>
          <cell r="B11366">
            <v>124</v>
          </cell>
          <cell r="C11366">
            <v>201</v>
          </cell>
          <cell r="D11366">
            <v>13</v>
          </cell>
          <cell r="E11366" t="str">
            <v>Less: Financial intermediation services indirectly measured (FISIM) (only to be deducted if FISIM is not distributed to uses)</v>
          </cell>
          <cell r="F11366">
            <v>0</v>
          </cell>
          <cell r="G11366">
            <v>1984</v>
          </cell>
          <cell r="H11366">
            <v>100</v>
          </cell>
          <cell r="I11366">
            <v>6239000000</v>
          </cell>
        </row>
        <row r="11367">
          <cell r="A11367" t="str">
            <v>Canada</v>
          </cell>
          <cell r="B11367">
            <v>124</v>
          </cell>
          <cell r="C11367">
            <v>201</v>
          </cell>
          <cell r="D11367">
            <v>13</v>
          </cell>
          <cell r="E11367" t="str">
            <v>Less: Financial intermediation services indirectly measured (FISIM) (only to be deducted if FISIM is not distributed to uses)</v>
          </cell>
          <cell r="F11367">
            <v>0</v>
          </cell>
          <cell r="G11367">
            <v>1985</v>
          </cell>
          <cell r="H11367">
            <v>100</v>
          </cell>
          <cell r="I11367">
            <v>6885000000</v>
          </cell>
        </row>
        <row r="11368">
          <cell r="A11368" t="str">
            <v>Canada</v>
          </cell>
          <cell r="B11368">
            <v>124</v>
          </cell>
          <cell r="C11368">
            <v>201</v>
          </cell>
          <cell r="D11368">
            <v>13</v>
          </cell>
          <cell r="E11368" t="str">
            <v>Less: Financial intermediation services indirectly measured (FISIM) (only to be deducted if FISIM is not distributed to uses)</v>
          </cell>
          <cell r="F11368">
            <v>0</v>
          </cell>
          <cell r="G11368">
            <v>1986</v>
          </cell>
          <cell r="H11368">
            <v>100</v>
          </cell>
          <cell r="I11368">
            <v>7644000000</v>
          </cell>
        </row>
        <row r="11369">
          <cell r="A11369" t="str">
            <v>Canada</v>
          </cell>
          <cell r="B11369">
            <v>124</v>
          </cell>
          <cell r="C11369">
            <v>201</v>
          </cell>
          <cell r="D11369">
            <v>13</v>
          </cell>
          <cell r="E11369" t="str">
            <v>Less: Financial intermediation services indirectly measured (FISIM) (only to be deducted if FISIM is not distributed to uses)</v>
          </cell>
          <cell r="F11369">
            <v>0</v>
          </cell>
          <cell r="G11369">
            <v>1987</v>
          </cell>
          <cell r="H11369">
            <v>100</v>
          </cell>
          <cell r="I11369">
            <v>8238000000</v>
          </cell>
        </row>
        <row r="11370">
          <cell r="A11370" t="str">
            <v>Canada</v>
          </cell>
          <cell r="B11370">
            <v>124</v>
          </cell>
          <cell r="C11370">
            <v>201</v>
          </cell>
          <cell r="D11370">
            <v>13</v>
          </cell>
          <cell r="E11370" t="str">
            <v>Less: Financial intermediation services indirectly measured (FISIM) (only to be deducted if FISIM is not distributed to uses)</v>
          </cell>
          <cell r="F11370">
            <v>0</v>
          </cell>
          <cell r="G11370">
            <v>1988</v>
          </cell>
          <cell r="H11370">
            <v>100</v>
          </cell>
          <cell r="I11370">
            <v>9352000000</v>
          </cell>
        </row>
        <row r="11371">
          <cell r="A11371" t="str">
            <v>Canada</v>
          </cell>
          <cell r="B11371">
            <v>124</v>
          </cell>
          <cell r="C11371">
            <v>201</v>
          </cell>
          <cell r="D11371">
            <v>13</v>
          </cell>
          <cell r="E11371" t="str">
            <v>Less: Financial intermediation services indirectly measured (FISIM) (only to be deducted if FISIM is not distributed to uses)</v>
          </cell>
          <cell r="F11371">
            <v>0</v>
          </cell>
          <cell r="G11371">
            <v>1989</v>
          </cell>
          <cell r="H11371">
            <v>100</v>
          </cell>
          <cell r="I11371">
            <v>9746000000</v>
          </cell>
        </row>
        <row r="11372">
          <cell r="A11372" t="str">
            <v>Canada</v>
          </cell>
          <cell r="B11372">
            <v>124</v>
          </cell>
          <cell r="C11372">
            <v>201</v>
          </cell>
          <cell r="D11372">
            <v>13</v>
          </cell>
          <cell r="E11372" t="str">
            <v>Less: Financial intermediation services indirectly measured (FISIM) (only to be deducted if FISIM is not distributed to uses)</v>
          </cell>
          <cell r="F11372">
            <v>0</v>
          </cell>
          <cell r="G11372">
            <v>1990</v>
          </cell>
          <cell r="H11372">
            <v>100</v>
          </cell>
          <cell r="I11372">
            <v>9954000000</v>
          </cell>
        </row>
        <row r="11373">
          <cell r="A11373" t="str">
            <v>Canada</v>
          </cell>
          <cell r="B11373">
            <v>124</v>
          </cell>
          <cell r="C11373">
            <v>201</v>
          </cell>
          <cell r="D11373">
            <v>13</v>
          </cell>
          <cell r="E11373" t="str">
            <v>Less: Financial intermediation services indirectly measured (FISIM) (only to be deducted if FISIM is not distributed to uses)</v>
          </cell>
          <cell r="F11373">
            <v>0</v>
          </cell>
          <cell r="G11373">
            <v>1991</v>
          </cell>
          <cell r="H11373">
            <v>100</v>
          </cell>
          <cell r="I11373">
            <v>10725000000</v>
          </cell>
        </row>
        <row r="11374">
          <cell r="A11374" t="str">
            <v>Canada</v>
          </cell>
          <cell r="B11374">
            <v>124</v>
          </cell>
          <cell r="C11374">
            <v>201</v>
          </cell>
          <cell r="D11374">
            <v>13</v>
          </cell>
          <cell r="E11374" t="str">
            <v>Less: Financial intermediation services indirectly measured (FISIM) (only to be deducted if FISIM is not distributed to uses)</v>
          </cell>
          <cell r="F11374">
            <v>0</v>
          </cell>
          <cell r="G11374">
            <v>1992</v>
          </cell>
          <cell r="H11374">
            <v>100</v>
          </cell>
          <cell r="I11374">
            <v>11169000000</v>
          </cell>
        </row>
        <row r="11375">
          <cell r="A11375" t="str">
            <v>Canada</v>
          </cell>
          <cell r="B11375">
            <v>124</v>
          </cell>
          <cell r="C11375">
            <v>201</v>
          </cell>
          <cell r="D11375">
            <v>13</v>
          </cell>
          <cell r="E11375" t="str">
            <v>Less: Financial intermediation services indirectly measured (FISIM) (only to be deducted if FISIM is not distributed to uses)</v>
          </cell>
          <cell r="F11375">
            <v>0</v>
          </cell>
          <cell r="G11375">
            <v>1993</v>
          </cell>
          <cell r="H11375">
            <v>100</v>
          </cell>
          <cell r="I11375">
            <v>11593000000</v>
          </cell>
        </row>
        <row r="11376">
          <cell r="A11376" t="str">
            <v>Canada</v>
          </cell>
          <cell r="B11376">
            <v>124</v>
          </cell>
          <cell r="C11376">
            <v>201</v>
          </cell>
          <cell r="D11376">
            <v>13</v>
          </cell>
          <cell r="E11376" t="str">
            <v>Less: Financial intermediation services indirectly measured (FISIM) (only to be deducted if FISIM is not distributed to uses)</v>
          </cell>
          <cell r="F11376">
            <v>0</v>
          </cell>
          <cell r="G11376">
            <v>1994</v>
          </cell>
          <cell r="H11376">
            <v>100</v>
          </cell>
          <cell r="I11376">
            <v>11796000000</v>
          </cell>
        </row>
        <row r="11377">
          <cell r="A11377" t="str">
            <v>Canada</v>
          </cell>
          <cell r="B11377">
            <v>124</v>
          </cell>
          <cell r="C11377">
            <v>201</v>
          </cell>
          <cell r="D11377">
            <v>13</v>
          </cell>
          <cell r="E11377" t="str">
            <v>Less: Financial intermediation services indirectly measured (FISIM) (only to be deducted if FISIM is not distributed to uses)</v>
          </cell>
          <cell r="F11377">
            <v>0</v>
          </cell>
          <cell r="G11377">
            <v>1995</v>
          </cell>
          <cell r="H11377">
            <v>100</v>
          </cell>
          <cell r="I11377">
            <v>12126000000</v>
          </cell>
        </row>
        <row r="11378">
          <cell r="A11378" t="str">
            <v>Canada</v>
          </cell>
          <cell r="B11378">
            <v>124</v>
          </cell>
          <cell r="C11378">
            <v>201</v>
          </cell>
          <cell r="D11378">
            <v>13</v>
          </cell>
          <cell r="E11378" t="str">
            <v>Less: Financial intermediation services indirectly measured (FISIM) (only to be deducted if FISIM is not distributed to uses)</v>
          </cell>
          <cell r="F11378">
            <v>0</v>
          </cell>
          <cell r="G11378">
            <v>1996</v>
          </cell>
          <cell r="H11378">
            <v>100</v>
          </cell>
          <cell r="I11378">
            <v>12823000000</v>
          </cell>
        </row>
        <row r="11379">
          <cell r="A11379" t="str">
            <v>Canada</v>
          </cell>
          <cell r="B11379">
            <v>124</v>
          </cell>
          <cell r="C11379">
            <v>201</v>
          </cell>
          <cell r="D11379">
            <v>13</v>
          </cell>
          <cell r="E11379" t="str">
            <v>Less: Financial intermediation services indirectly measured (FISIM) (only to be deducted if FISIM is not distributed to uses)</v>
          </cell>
          <cell r="F11379">
            <v>0</v>
          </cell>
          <cell r="G11379">
            <v>1997</v>
          </cell>
          <cell r="H11379">
            <v>100</v>
          </cell>
          <cell r="I11379">
            <v>13754000000</v>
          </cell>
        </row>
        <row r="11380">
          <cell r="A11380" t="str">
            <v>Canada</v>
          </cell>
          <cell r="B11380">
            <v>124</v>
          </cell>
          <cell r="C11380">
            <v>201</v>
          </cell>
          <cell r="D11380">
            <v>13</v>
          </cell>
          <cell r="E11380" t="str">
            <v>Less: Financial intermediation services indirectly measured (FISIM) (only to be deducted if FISIM is not distributed to uses)</v>
          </cell>
          <cell r="F11380">
            <v>0</v>
          </cell>
          <cell r="G11380">
            <v>1998</v>
          </cell>
          <cell r="H11380">
            <v>100</v>
          </cell>
          <cell r="I11380">
            <v>14623000000</v>
          </cell>
        </row>
        <row r="11381">
          <cell r="A11381" t="str">
            <v>Canada</v>
          </cell>
          <cell r="B11381">
            <v>124</v>
          </cell>
          <cell r="C11381">
            <v>201</v>
          </cell>
          <cell r="D11381">
            <v>13</v>
          </cell>
          <cell r="E11381" t="str">
            <v>Less: Financial intermediation services indirectly measured (FISIM) (only to be deducted if FISIM is not distributed to uses)</v>
          </cell>
          <cell r="F11381">
            <v>0</v>
          </cell>
          <cell r="G11381">
            <v>1999</v>
          </cell>
          <cell r="H11381">
            <v>100</v>
          </cell>
          <cell r="I11381">
            <v>14930000000</v>
          </cell>
        </row>
        <row r="11382">
          <cell r="A11382" t="str">
            <v>Canada</v>
          </cell>
          <cell r="B11382">
            <v>124</v>
          </cell>
          <cell r="C11382">
            <v>201</v>
          </cell>
          <cell r="D11382">
            <v>13</v>
          </cell>
          <cell r="E11382" t="str">
            <v>Less: Financial intermediation services indirectly measured (FISIM) (only to be deducted if FISIM is not distributed to uses)</v>
          </cell>
          <cell r="F11382">
            <v>0</v>
          </cell>
          <cell r="G11382">
            <v>2000</v>
          </cell>
          <cell r="H11382">
            <v>100</v>
          </cell>
          <cell r="I11382">
            <v>15508000000</v>
          </cell>
        </row>
        <row r="11383">
          <cell r="A11383" t="str">
            <v>Canada</v>
          </cell>
          <cell r="B11383">
            <v>124</v>
          </cell>
          <cell r="C11383">
            <v>203</v>
          </cell>
          <cell r="D11383">
            <v>3</v>
          </cell>
          <cell r="E11383" t="str">
            <v>Equals: VALUE ADDED, GROSS, at basic prices</v>
          </cell>
          <cell r="F11383">
            <v>12</v>
          </cell>
          <cell r="G11383">
            <v>1970</v>
          </cell>
          <cell r="H11383">
            <v>100</v>
          </cell>
          <cell r="I11383">
            <v>78922000000</v>
          </cell>
        </row>
        <row r="11384">
          <cell r="A11384" t="str">
            <v>Canada</v>
          </cell>
          <cell r="B11384">
            <v>124</v>
          </cell>
          <cell r="C11384">
            <v>203</v>
          </cell>
          <cell r="D11384">
            <v>3</v>
          </cell>
          <cell r="E11384" t="str">
            <v>Equals: VALUE ADDED, GROSS, at basic prices</v>
          </cell>
          <cell r="F11384">
            <v>12</v>
          </cell>
          <cell r="G11384">
            <v>1971</v>
          </cell>
          <cell r="H11384">
            <v>100</v>
          </cell>
          <cell r="I11384">
            <v>86158000000</v>
          </cell>
        </row>
        <row r="11385">
          <cell r="A11385" t="str">
            <v>Canada</v>
          </cell>
          <cell r="B11385">
            <v>124</v>
          </cell>
          <cell r="C11385">
            <v>203</v>
          </cell>
          <cell r="D11385">
            <v>3</v>
          </cell>
          <cell r="E11385" t="str">
            <v>Equals: VALUE ADDED, GROSS, at basic prices</v>
          </cell>
          <cell r="F11385">
            <v>12</v>
          </cell>
          <cell r="G11385">
            <v>1972</v>
          </cell>
          <cell r="H11385">
            <v>100</v>
          </cell>
          <cell r="I11385">
            <v>96049000000</v>
          </cell>
        </row>
        <row r="11386">
          <cell r="A11386" t="str">
            <v>Canada</v>
          </cell>
          <cell r="B11386">
            <v>124</v>
          </cell>
          <cell r="C11386">
            <v>203</v>
          </cell>
          <cell r="D11386">
            <v>3</v>
          </cell>
          <cell r="E11386" t="str">
            <v>Equals: VALUE ADDED, GROSS, at basic prices</v>
          </cell>
          <cell r="F11386">
            <v>12</v>
          </cell>
          <cell r="G11386">
            <v>1973</v>
          </cell>
          <cell r="H11386">
            <v>100</v>
          </cell>
          <cell r="I11386">
            <v>113318000000</v>
          </cell>
        </row>
        <row r="11387">
          <cell r="A11387" t="str">
            <v>Canada</v>
          </cell>
          <cell r="B11387">
            <v>124</v>
          </cell>
          <cell r="C11387">
            <v>203</v>
          </cell>
          <cell r="D11387">
            <v>3</v>
          </cell>
          <cell r="E11387" t="str">
            <v>Equals: VALUE ADDED, GROSS, at basic prices</v>
          </cell>
          <cell r="F11387">
            <v>12</v>
          </cell>
          <cell r="G11387">
            <v>1974</v>
          </cell>
          <cell r="H11387">
            <v>100</v>
          </cell>
          <cell r="I11387">
            <v>135911000000</v>
          </cell>
        </row>
        <row r="11388">
          <cell r="A11388" t="str">
            <v>Canada</v>
          </cell>
          <cell r="B11388">
            <v>124</v>
          </cell>
          <cell r="C11388">
            <v>203</v>
          </cell>
          <cell r="D11388">
            <v>3</v>
          </cell>
          <cell r="E11388" t="str">
            <v>Equals: VALUE ADDED, GROSS, at basic prices</v>
          </cell>
          <cell r="F11388">
            <v>12</v>
          </cell>
          <cell r="G11388">
            <v>1975</v>
          </cell>
          <cell r="H11388">
            <v>100</v>
          </cell>
          <cell r="I11388">
            <v>156264000000</v>
          </cell>
        </row>
        <row r="11389">
          <cell r="A11389" t="str">
            <v>Canada</v>
          </cell>
          <cell r="B11389">
            <v>124</v>
          </cell>
          <cell r="C11389">
            <v>203</v>
          </cell>
          <cell r="D11389">
            <v>3</v>
          </cell>
          <cell r="E11389" t="str">
            <v>Equals: VALUE ADDED, GROSS, at basic prices</v>
          </cell>
          <cell r="F11389">
            <v>12</v>
          </cell>
          <cell r="G11389">
            <v>1976</v>
          </cell>
          <cell r="H11389">
            <v>100</v>
          </cell>
          <cell r="I11389">
            <v>178601000000</v>
          </cell>
        </row>
        <row r="11390">
          <cell r="A11390" t="str">
            <v>Canada</v>
          </cell>
          <cell r="B11390">
            <v>124</v>
          </cell>
          <cell r="C11390">
            <v>203</v>
          </cell>
          <cell r="D11390">
            <v>3</v>
          </cell>
          <cell r="E11390" t="str">
            <v>Equals: VALUE ADDED, GROSS, at basic prices</v>
          </cell>
          <cell r="F11390">
            <v>12</v>
          </cell>
          <cell r="G11390">
            <v>1977</v>
          </cell>
          <cell r="H11390">
            <v>100</v>
          </cell>
          <cell r="I11390">
            <v>197191000000</v>
          </cell>
        </row>
        <row r="11391">
          <cell r="A11391" t="str">
            <v>Canada</v>
          </cell>
          <cell r="B11391">
            <v>124</v>
          </cell>
          <cell r="C11391">
            <v>203</v>
          </cell>
          <cell r="D11391">
            <v>3</v>
          </cell>
          <cell r="E11391" t="str">
            <v>Equals: VALUE ADDED, GROSS, at basic prices</v>
          </cell>
          <cell r="F11391">
            <v>12</v>
          </cell>
          <cell r="G11391">
            <v>1978</v>
          </cell>
          <cell r="H11391">
            <v>100</v>
          </cell>
          <cell r="I11391">
            <v>219449000000</v>
          </cell>
        </row>
        <row r="11392">
          <cell r="A11392" t="str">
            <v>Canada</v>
          </cell>
          <cell r="B11392">
            <v>124</v>
          </cell>
          <cell r="C11392">
            <v>203</v>
          </cell>
          <cell r="D11392">
            <v>3</v>
          </cell>
          <cell r="E11392" t="str">
            <v>Equals: VALUE ADDED, GROSS, at basic prices</v>
          </cell>
          <cell r="F11392">
            <v>12</v>
          </cell>
          <cell r="G11392">
            <v>1979</v>
          </cell>
          <cell r="H11392">
            <v>100</v>
          </cell>
          <cell r="I11392">
            <v>252943000000</v>
          </cell>
        </row>
        <row r="11393">
          <cell r="A11393" t="str">
            <v>Canada</v>
          </cell>
          <cell r="B11393">
            <v>124</v>
          </cell>
          <cell r="C11393">
            <v>203</v>
          </cell>
          <cell r="D11393">
            <v>3</v>
          </cell>
          <cell r="E11393" t="str">
            <v>Equals: VALUE ADDED, GROSS, at basic prices</v>
          </cell>
          <cell r="F11393">
            <v>12</v>
          </cell>
          <cell r="G11393">
            <v>1980</v>
          </cell>
          <cell r="H11393">
            <v>100</v>
          </cell>
          <cell r="I11393">
            <v>286499000000</v>
          </cell>
        </row>
        <row r="11394">
          <cell r="A11394" t="str">
            <v>Canada</v>
          </cell>
          <cell r="B11394">
            <v>124</v>
          </cell>
          <cell r="C11394">
            <v>203</v>
          </cell>
          <cell r="D11394">
            <v>3</v>
          </cell>
          <cell r="E11394" t="str">
            <v>Equals: VALUE ADDED, GROSS, at basic prices</v>
          </cell>
          <cell r="F11394">
            <v>12</v>
          </cell>
          <cell r="G11394">
            <v>1981</v>
          </cell>
          <cell r="H11394">
            <v>100</v>
          </cell>
          <cell r="I11394">
            <v>338521000000</v>
          </cell>
        </row>
        <row r="11395">
          <cell r="A11395" t="str">
            <v>Canada</v>
          </cell>
          <cell r="B11395">
            <v>124</v>
          </cell>
          <cell r="C11395">
            <v>203</v>
          </cell>
          <cell r="D11395">
            <v>3</v>
          </cell>
          <cell r="E11395" t="str">
            <v>Equals: VALUE ADDED, GROSS, at basic prices</v>
          </cell>
          <cell r="F11395">
            <v>12</v>
          </cell>
          <cell r="G11395">
            <v>1982</v>
          </cell>
          <cell r="H11395">
            <v>100</v>
          </cell>
          <cell r="I11395">
            <v>357274000000</v>
          </cell>
        </row>
        <row r="11396">
          <cell r="A11396" t="str">
            <v>Canada</v>
          </cell>
          <cell r="B11396">
            <v>124</v>
          </cell>
          <cell r="C11396">
            <v>203</v>
          </cell>
          <cell r="D11396">
            <v>3</v>
          </cell>
          <cell r="E11396" t="str">
            <v>Equals: VALUE ADDED, GROSS, at basic prices</v>
          </cell>
          <cell r="F11396">
            <v>12</v>
          </cell>
          <cell r="G11396">
            <v>1983</v>
          </cell>
          <cell r="H11396">
            <v>100</v>
          </cell>
          <cell r="I11396">
            <v>388968000000</v>
          </cell>
        </row>
        <row r="11397">
          <cell r="A11397" t="str">
            <v>Canada</v>
          </cell>
          <cell r="B11397">
            <v>124</v>
          </cell>
          <cell r="C11397">
            <v>203</v>
          </cell>
          <cell r="D11397">
            <v>3</v>
          </cell>
          <cell r="E11397" t="str">
            <v>Equals: VALUE ADDED, GROSS, at basic prices</v>
          </cell>
          <cell r="F11397">
            <v>12</v>
          </cell>
          <cell r="G11397">
            <v>1984</v>
          </cell>
          <cell r="H11397">
            <v>100</v>
          </cell>
          <cell r="I11397">
            <v>425297000000</v>
          </cell>
        </row>
        <row r="11398">
          <cell r="A11398" t="str">
            <v>Canada</v>
          </cell>
          <cell r="B11398">
            <v>124</v>
          </cell>
          <cell r="C11398">
            <v>203</v>
          </cell>
          <cell r="D11398">
            <v>3</v>
          </cell>
          <cell r="E11398" t="str">
            <v>Equals: VALUE ADDED, GROSS, at basic prices</v>
          </cell>
          <cell r="F11398">
            <v>12</v>
          </cell>
          <cell r="G11398">
            <v>1985</v>
          </cell>
          <cell r="H11398">
            <v>100</v>
          </cell>
          <cell r="I11398">
            <v>458467000000</v>
          </cell>
        </row>
        <row r="11399">
          <cell r="A11399" t="str">
            <v>Canada</v>
          </cell>
          <cell r="B11399">
            <v>124</v>
          </cell>
          <cell r="C11399">
            <v>203</v>
          </cell>
          <cell r="D11399">
            <v>3</v>
          </cell>
          <cell r="E11399" t="str">
            <v>Equals: VALUE ADDED, GROSS, at basic prices</v>
          </cell>
          <cell r="F11399">
            <v>12</v>
          </cell>
          <cell r="G11399">
            <v>1986</v>
          </cell>
          <cell r="H11399">
            <v>100</v>
          </cell>
          <cell r="I11399">
            <v>479533000000</v>
          </cell>
        </row>
        <row r="11400">
          <cell r="A11400" t="str">
            <v>Canada</v>
          </cell>
          <cell r="B11400">
            <v>124</v>
          </cell>
          <cell r="C11400">
            <v>203</v>
          </cell>
          <cell r="D11400">
            <v>3</v>
          </cell>
          <cell r="E11400" t="str">
            <v>Equals: VALUE ADDED, GROSS, at basic prices</v>
          </cell>
          <cell r="F11400">
            <v>12</v>
          </cell>
          <cell r="G11400">
            <v>1987</v>
          </cell>
          <cell r="H11400">
            <v>100</v>
          </cell>
          <cell r="I11400">
            <v>520896000000</v>
          </cell>
        </row>
        <row r="11401">
          <cell r="A11401" t="str">
            <v>Canada</v>
          </cell>
          <cell r="B11401">
            <v>124</v>
          </cell>
          <cell r="C11401">
            <v>203</v>
          </cell>
          <cell r="D11401">
            <v>3</v>
          </cell>
          <cell r="E11401" t="str">
            <v>Equals: VALUE ADDED, GROSS, at basic prices</v>
          </cell>
          <cell r="F11401">
            <v>12</v>
          </cell>
          <cell r="G11401">
            <v>1988</v>
          </cell>
          <cell r="H11401">
            <v>100</v>
          </cell>
          <cell r="I11401">
            <v>568885000000</v>
          </cell>
        </row>
        <row r="11402">
          <cell r="A11402" t="str">
            <v>Canada</v>
          </cell>
          <cell r="B11402">
            <v>124</v>
          </cell>
          <cell r="C11402">
            <v>203</v>
          </cell>
          <cell r="D11402">
            <v>3</v>
          </cell>
          <cell r="E11402" t="str">
            <v>Equals: VALUE ADDED, GROSS, at basic prices</v>
          </cell>
          <cell r="F11402">
            <v>12</v>
          </cell>
          <cell r="G11402">
            <v>1989</v>
          </cell>
          <cell r="H11402">
            <v>100</v>
          </cell>
          <cell r="I11402">
            <v>607668000000</v>
          </cell>
        </row>
        <row r="11403">
          <cell r="A11403" t="str">
            <v>Canada</v>
          </cell>
          <cell r="B11403">
            <v>124</v>
          </cell>
          <cell r="C11403">
            <v>203</v>
          </cell>
          <cell r="D11403">
            <v>3</v>
          </cell>
          <cell r="E11403" t="str">
            <v>Equals: VALUE ADDED, GROSS, at basic prices</v>
          </cell>
          <cell r="F11403">
            <v>12</v>
          </cell>
          <cell r="G11403">
            <v>1990</v>
          </cell>
          <cell r="H11403">
            <v>100</v>
          </cell>
          <cell r="I11403">
            <v>631401000000</v>
          </cell>
        </row>
        <row r="11404">
          <cell r="A11404" t="str">
            <v>Canada</v>
          </cell>
          <cell r="B11404">
            <v>124</v>
          </cell>
          <cell r="C11404">
            <v>203</v>
          </cell>
          <cell r="D11404">
            <v>3</v>
          </cell>
          <cell r="E11404" t="str">
            <v>Equals: VALUE ADDED, GROSS, at basic prices</v>
          </cell>
          <cell r="F11404">
            <v>12</v>
          </cell>
          <cell r="G11404">
            <v>1991</v>
          </cell>
          <cell r="H11404">
            <v>100</v>
          </cell>
          <cell r="I11404">
            <v>636081000000</v>
          </cell>
        </row>
        <row r="11405">
          <cell r="A11405" t="str">
            <v>Canada</v>
          </cell>
          <cell r="B11405">
            <v>124</v>
          </cell>
          <cell r="C11405">
            <v>203</v>
          </cell>
          <cell r="D11405">
            <v>3</v>
          </cell>
          <cell r="E11405" t="str">
            <v>Equals: VALUE ADDED, GROSS, at basic prices</v>
          </cell>
          <cell r="F11405">
            <v>12</v>
          </cell>
          <cell r="G11405">
            <v>1992</v>
          </cell>
          <cell r="H11405">
            <v>100</v>
          </cell>
          <cell r="I11405">
            <v>649097000000</v>
          </cell>
        </row>
        <row r="11406">
          <cell r="A11406" t="str">
            <v>Canada</v>
          </cell>
          <cell r="B11406">
            <v>124</v>
          </cell>
          <cell r="C11406">
            <v>203</v>
          </cell>
          <cell r="D11406">
            <v>3</v>
          </cell>
          <cell r="E11406" t="str">
            <v>Equals: VALUE ADDED, GROSS, at basic prices</v>
          </cell>
          <cell r="F11406">
            <v>12</v>
          </cell>
          <cell r="G11406">
            <v>1993</v>
          </cell>
          <cell r="H11406">
            <v>100</v>
          </cell>
          <cell r="I11406">
            <v>672837000000</v>
          </cell>
        </row>
        <row r="11407">
          <cell r="A11407" t="str">
            <v>Canada</v>
          </cell>
          <cell r="B11407">
            <v>124</v>
          </cell>
          <cell r="C11407">
            <v>203</v>
          </cell>
          <cell r="D11407">
            <v>3</v>
          </cell>
          <cell r="E11407" t="str">
            <v>Equals: VALUE ADDED, GROSS, at basic prices</v>
          </cell>
          <cell r="F11407">
            <v>12</v>
          </cell>
          <cell r="G11407">
            <v>1994</v>
          </cell>
          <cell r="H11407">
            <v>100</v>
          </cell>
          <cell r="I11407">
            <v>714150000000</v>
          </cell>
        </row>
        <row r="11408">
          <cell r="A11408" t="str">
            <v>Canada</v>
          </cell>
          <cell r="B11408">
            <v>124</v>
          </cell>
          <cell r="C11408">
            <v>203</v>
          </cell>
          <cell r="D11408">
            <v>3</v>
          </cell>
          <cell r="E11408" t="str">
            <v>Equals: VALUE ADDED, GROSS, at basic prices</v>
          </cell>
          <cell r="F11408">
            <v>12</v>
          </cell>
          <cell r="G11408">
            <v>1995</v>
          </cell>
          <cell r="H11408">
            <v>100</v>
          </cell>
          <cell r="I11408">
            <v>750666000000</v>
          </cell>
        </row>
        <row r="11409">
          <cell r="A11409" t="str">
            <v>Canada</v>
          </cell>
          <cell r="B11409">
            <v>124</v>
          </cell>
          <cell r="C11409">
            <v>203</v>
          </cell>
          <cell r="D11409">
            <v>3</v>
          </cell>
          <cell r="E11409" t="str">
            <v>Equals: VALUE ADDED, GROSS, at basic prices</v>
          </cell>
          <cell r="F11409">
            <v>12</v>
          </cell>
          <cell r="G11409">
            <v>1996</v>
          </cell>
          <cell r="H11409">
            <v>100</v>
          </cell>
          <cell r="I11409">
            <v>775816000000</v>
          </cell>
        </row>
        <row r="11410">
          <cell r="A11410" t="str">
            <v>Canada</v>
          </cell>
          <cell r="B11410">
            <v>124</v>
          </cell>
          <cell r="C11410">
            <v>203</v>
          </cell>
          <cell r="D11410">
            <v>3</v>
          </cell>
          <cell r="E11410" t="str">
            <v>Equals: VALUE ADDED, GROSS, at basic prices</v>
          </cell>
          <cell r="F11410">
            <v>12</v>
          </cell>
          <cell r="G11410">
            <v>1997</v>
          </cell>
          <cell r="H11410">
            <v>100</v>
          </cell>
          <cell r="I11410">
            <v>816755000000</v>
          </cell>
        </row>
        <row r="11411">
          <cell r="A11411" t="str">
            <v>Canada</v>
          </cell>
          <cell r="B11411">
            <v>124</v>
          </cell>
          <cell r="C11411">
            <v>203</v>
          </cell>
          <cell r="D11411">
            <v>3</v>
          </cell>
          <cell r="E11411" t="str">
            <v>Equals: VALUE ADDED, GROSS, at basic prices</v>
          </cell>
          <cell r="F11411">
            <v>12</v>
          </cell>
          <cell r="G11411">
            <v>1998</v>
          </cell>
          <cell r="H11411">
            <v>100</v>
          </cell>
          <cell r="I11411">
            <v>846535000000</v>
          </cell>
        </row>
        <row r="11412">
          <cell r="A11412" t="str">
            <v>Canada</v>
          </cell>
          <cell r="B11412">
            <v>124</v>
          </cell>
          <cell r="C11412">
            <v>203</v>
          </cell>
          <cell r="D11412">
            <v>3</v>
          </cell>
          <cell r="E11412" t="str">
            <v>Equals: VALUE ADDED, GROSS, at basic prices</v>
          </cell>
          <cell r="F11412">
            <v>12</v>
          </cell>
          <cell r="G11412">
            <v>1999</v>
          </cell>
          <cell r="H11412">
            <v>100</v>
          </cell>
          <cell r="I11412">
            <v>909695000000</v>
          </cell>
        </row>
        <row r="11413">
          <cell r="A11413" t="str">
            <v>Canada</v>
          </cell>
          <cell r="B11413">
            <v>124</v>
          </cell>
          <cell r="C11413">
            <v>203</v>
          </cell>
          <cell r="D11413">
            <v>3</v>
          </cell>
          <cell r="E11413" t="str">
            <v>Equals: VALUE ADDED, GROSS, at basic prices</v>
          </cell>
          <cell r="F11413">
            <v>12</v>
          </cell>
          <cell r="G11413">
            <v>2000</v>
          </cell>
          <cell r="H11413">
            <v>100</v>
          </cell>
          <cell r="I11413">
            <v>999587000000</v>
          </cell>
        </row>
        <row r="11414">
          <cell r="A11414" t="str">
            <v>Canada</v>
          </cell>
          <cell r="B11414">
            <v>124</v>
          </cell>
          <cell r="C11414">
            <v>203</v>
          </cell>
          <cell r="D11414">
            <v>4</v>
          </cell>
          <cell r="E11414" t="str">
            <v>Compensation of employees</v>
          </cell>
          <cell r="F11414">
            <v>12</v>
          </cell>
          <cell r="G11414">
            <v>1970</v>
          </cell>
          <cell r="H11414">
            <v>100</v>
          </cell>
          <cell r="I11414">
            <v>48852000000</v>
          </cell>
        </row>
        <row r="11415">
          <cell r="A11415" t="str">
            <v>Canada</v>
          </cell>
          <cell r="B11415">
            <v>124</v>
          </cell>
          <cell r="C11415">
            <v>203</v>
          </cell>
          <cell r="D11415">
            <v>4</v>
          </cell>
          <cell r="E11415" t="str">
            <v>Compensation of employees</v>
          </cell>
          <cell r="F11415">
            <v>12</v>
          </cell>
          <cell r="G11415">
            <v>1971</v>
          </cell>
          <cell r="H11415">
            <v>100</v>
          </cell>
          <cell r="I11415">
            <v>53555000000</v>
          </cell>
        </row>
        <row r="11416">
          <cell r="A11416" t="str">
            <v>Canada</v>
          </cell>
          <cell r="B11416">
            <v>124</v>
          </cell>
          <cell r="C11416">
            <v>203</v>
          </cell>
          <cell r="D11416">
            <v>4</v>
          </cell>
          <cell r="E11416" t="str">
            <v>Compensation of employees</v>
          </cell>
          <cell r="F11416">
            <v>12</v>
          </cell>
          <cell r="G11416">
            <v>1972</v>
          </cell>
          <cell r="H11416">
            <v>100</v>
          </cell>
          <cell r="I11416">
            <v>60107000000</v>
          </cell>
        </row>
        <row r="11417">
          <cell r="A11417" t="str">
            <v>Canada</v>
          </cell>
          <cell r="B11417">
            <v>124</v>
          </cell>
          <cell r="C11417">
            <v>203</v>
          </cell>
          <cell r="D11417">
            <v>4</v>
          </cell>
          <cell r="E11417" t="str">
            <v>Compensation of employees</v>
          </cell>
          <cell r="F11417">
            <v>12</v>
          </cell>
          <cell r="G11417">
            <v>1973</v>
          </cell>
          <cell r="H11417">
            <v>100</v>
          </cell>
          <cell r="I11417">
            <v>69244000000</v>
          </cell>
        </row>
        <row r="11418">
          <cell r="A11418" t="str">
            <v>Canada</v>
          </cell>
          <cell r="B11418">
            <v>124</v>
          </cell>
          <cell r="C11418">
            <v>203</v>
          </cell>
          <cell r="D11418">
            <v>4</v>
          </cell>
          <cell r="E11418" t="str">
            <v>Compensation of employees</v>
          </cell>
          <cell r="F11418">
            <v>12</v>
          </cell>
          <cell r="G11418">
            <v>1974</v>
          </cell>
          <cell r="H11418">
            <v>100</v>
          </cell>
          <cell r="I11418">
            <v>82571000000</v>
          </cell>
        </row>
        <row r="11419">
          <cell r="A11419" t="str">
            <v>Canada</v>
          </cell>
          <cell r="B11419">
            <v>124</v>
          </cell>
          <cell r="C11419">
            <v>203</v>
          </cell>
          <cell r="D11419">
            <v>4</v>
          </cell>
          <cell r="E11419" t="str">
            <v>Compensation of employees</v>
          </cell>
          <cell r="F11419">
            <v>12</v>
          </cell>
          <cell r="G11419">
            <v>1975</v>
          </cell>
          <cell r="H11419">
            <v>100</v>
          </cell>
          <cell r="I11419">
            <v>96304000000</v>
          </cell>
        </row>
        <row r="11420">
          <cell r="A11420" t="str">
            <v>Canada</v>
          </cell>
          <cell r="B11420">
            <v>124</v>
          </cell>
          <cell r="C11420">
            <v>203</v>
          </cell>
          <cell r="D11420">
            <v>4</v>
          </cell>
          <cell r="E11420" t="str">
            <v>Compensation of employees</v>
          </cell>
          <cell r="F11420">
            <v>12</v>
          </cell>
          <cell r="G11420">
            <v>1976</v>
          </cell>
          <cell r="H11420">
            <v>100</v>
          </cell>
          <cell r="I11420">
            <v>111413000000</v>
          </cell>
        </row>
        <row r="11421">
          <cell r="A11421" t="str">
            <v>Canada</v>
          </cell>
          <cell r="B11421">
            <v>124</v>
          </cell>
          <cell r="C11421">
            <v>203</v>
          </cell>
          <cell r="D11421">
            <v>4</v>
          </cell>
          <cell r="E11421" t="str">
            <v>Compensation of employees</v>
          </cell>
          <cell r="F11421">
            <v>12</v>
          </cell>
          <cell r="G11421">
            <v>1977</v>
          </cell>
          <cell r="H11421">
            <v>100</v>
          </cell>
          <cell r="I11421">
            <v>123391000000</v>
          </cell>
        </row>
        <row r="11422">
          <cell r="A11422" t="str">
            <v>Canada</v>
          </cell>
          <cell r="B11422">
            <v>124</v>
          </cell>
          <cell r="C11422">
            <v>203</v>
          </cell>
          <cell r="D11422">
            <v>4</v>
          </cell>
          <cell r="E11422" t="str">
            <v>Compensation of employees</v>
          </cell>
          <cell r="F11422">
            <v>12</v>
          </cell>
          <cell r="G11422">
            <v>1978</v>
          </cell>
          <cell r="H11422">
            <v>100</v>
          </cell>
          <cell r="I11422">
            <v>134216000000</v>
          </cell>
        </row>
        <row r="11423">
          <cell r="A11423" t="str">
            <v>Canada</v>
          </cell>
          <cell r="B11423">
            <v>124</v>
          </cell>
          <cell r="C11423">
            <v>203</v>
          </cell>
          <cell r="D11423">
            <v>4</v>
          </cell>
          <cell r="E11423" t="str">
            <v>Compensation of employees</v>
          </cell>
          <cell r="F11423">
            <v>12</v>
          </cell>
          <cell r="G11423">
            <v>1979</v>
          </cell>
          <cell r="H11423">
            <v>100</v>
          </cell>
          <cell r="I11423">
            <v>150949000000</v>
          </cell>
        </row>
        <row r="11424">
          <cell r="A11424" t="str">
            <v>Canada</v>
          </cell>
          <cell r="B11424">
            <v>124</v>
          </cell>
          <cell r="C11424">
            <v>203</v>
          </cell>
          <cell r="D11424">
            <v>4</v>
          </cell>
          <cell r="E11424" t="str">
            <v>Compensation of employees</v>
          </cell>
          <cell r="F11424">
            <v>12</v>
          </cell>
          <cell r="G11424">
            <v>1980</v>
          </cell>
          <cell r="H11424">
            <v>100</v>
          </cell>
          <cell r="I11424">
            <v>170640000000</v>
          </cell>
        </row>
        <row r="11425">
          <cell r="A11425" t="str">
            <v>Canada</v>
          </cell>
          <cell r="B11425">
            <v>124</v>
          </cell>
          <cell r="C11425">
            <v>203</v>
          </cell>
          <cell r="D11425">
            <v>4</v>
          </cell>
          <cell r="E11425" t="str">
            <v>Compensation of employees</v>
          </cell>
          <cell r="F11425">
            <v>12</v>
          </cell>
          <cell r="G11425">
            <v>1981</v>
          </cell>
          <cell r="H11425">
            <v>100</v>
          </cell>
          <cell r="I11425">
            <v>196714000000</v>
          </cell>
        </row>
        <row r="11426">
          <cell r="A11426" t="str">
            <v>Canada</v>
          </cell>
          <cell r="B11426">
            <v>124</v>
          </cell>
          <cell r="C11426">
            <v>203</v>
          </cell>
          <cell r="D11426">
            <v>4</v>
          </cell>
          <cell r="E11426" t="str">
            <v>Compensation of employees</v>
          </cell>
          <cell r="F11426">
            <v>12</v>
          </cell>
          <cell r="G11426">
            <v>1982</v>
          </cell>
          <cell r="H11426">
            <v>100</v>
          </cell>
          <cell r="I11426">
            <v>210083000000</v>
          </cell>
        </row>
        <row r="11427">
          <cell r="A11427" t="str">
            <v>Canada</v>
          </cell>
          <cell r="B11427">
            <v>124</v>
          </cell>
          <cell r="C11427">
            <v>203</v>
          </cell>
          <cell r="D11427">
            <v>4</v>
          </cell>
          <cell r="E11427" t="str">
            <v>Compensation of employees</v>
          </cell>
          <cell r="F11427">
            <v>12</v>
          </cell>
          <cell r="G11427">
            <v>1983</v>
          </cell>
          <cell r="H11427">
            <v>100</v>
          </cell>
          <cell r="I11427">
            <v>220282000000</v>
          </cell>
        </row>
        <row r="11428">
          <cell r="A11428" t="str">
            <v>Canada</v>
          </cell>
          <cell r="B11428">
            <v>124</v>
          </cell>
          <cell r="C11428">
            <v>203</v>
          </cell>
          <cell r="D11428">
            <v>4</v>
          </cell>
          <cell r="E11428" t="str">
            <v>Compensation of employees</v>
          </cell>
          <cell r="F11428">
            <v>12</v>
          </cell>
          <cell r="G11428">
            <v>1984</v>
          </cell>
          <cell r="H11428">
            <v>100</v>
          </cell>
          <cell r="I11428">
            <v>237247000000</v>
          </cell>
        </row>
        <row r="11429">
          <cell r="A11429" t="str">
            <v>Canada</v>
          </cell>
          <cell r="B11429">
            <v>124</v>
          </cell>
          <cell r="C11429">
            <v>203</v>
          </cell>
          <cell r="D11429">
            <v>4</v>
          </cell>
          <cell r="E11429" t="str">
            <v>Compensation of employees</v>
          </cell>
          <cell r="F11429">
            <v>12</v>
          </cell>
          <cell r="G11429">
            <v>1985</v>
          </cell>
          <cell r="H11429">
            <v>100</v>
          </cell>
          <cell r="I11429">
            <v>255826000000</v>
          </cell>
        </row>
        <row r="11430">
          <cell r="A11430" t="str">
            <v>Canada</v>
          </cell>
          <cell r="B11430">
            <v>124</v>
          </cell>
          <cell r="C11430">
            <v>203</v>
          </cell>
          <cell r="D11430">
            <v>4</v>
          </cell>
          <cell r="E11430" t="str">
            <v>Compensation of employees</v>
          </cell>
          <cell r="F11430">
            <v>12</v>
          </cell>
          <cell r="G11430">
            <v>1986</v>
          </cell>
          <cell r="H11430">
            <v>100</v>
          </cell>
          <cell r="I11430">
            <v>272755000000</v>
          </cell>
        </row>
        <row r="11431">
          <cell r="A11431" t="str">
            <v>Canada</v>
          </cell>
          <cell r="B11431">
            <v>124</v>
          </cell>
          <cell r="C11431">
            <v>203</v>
          </cell>
          <cell r="D11431">
            <v>4</v>
          </cell>
          <cell r="E11431" t="str">
            <v>Compensation of employees</v>
          </cell>
          <cell r="F11431">
            <v>12</v>
          </cell>
          <cell r="G11431">
            <v>1987</v>
          </cell>
          <cell r="H11431">
            <v>100</v>
          </cell>
          <cell r="I11431">
            <v>296441000000</v>
          </cell>
        </row>
        <row r="11432">
          <cell r="A11432" t="str">
            <v>Canada</v>
          </cell>
          <cell r="B11432">
            <v>124</v>
          </cell>
          <cell r="C11432">
            <v>203</v>
          </cell>
          <cell r="D11432">
            <v>4</v>
          </cell>
          <cell r="E11432" t="str">
            <v>Compensation of employees</v>
          </cell>
          <cell r="F11432">
            <v>12</v>
          </cell>
          <cell r="G11432">
            <v>1988</v>
          </cell>
          <cell r="H11432">
            <v>100</v>
          </cell>
          <cell r="I11432">
            <v>325250000000</v>
          </cell>
        </row>
        <row r="11433">
          <cell r="A11433" t="str">
            <v>Canada</v>
          </cell>
          <cell r="B11433">
            <v>124</v>
          </cell>
          <cell r="C11433">
            <v>203</v>
          </cell>
          <cell r="D11433">
            <v>4</v>
          </cell>
          <cell r="E11433" t="str">
            <v>Compensation of employees</v>
          </cell>
          <cell r="F11433">
            <v>12</v>
          </cell>
          <cell r="G11433">
            <v>1989</v>
          </cell>
          <cell r="H11433">
            <v>100</v>
          </cell>
          <cell r="I11433">
            <v>350743000000</v>
          </cell>
        </row>
        <row r="11434">
          <cell r="A11434" t="str">
            <v>Canada</v>
          </cell>
          <cell r="B11434">
            <v>124</v>
          </cell>
          <cell r="C11434">
            <v>203</v>
          </cell>
          <cell r="D11434">
            <v>4</v>
          </cell>
          <cell r="E11434" t="str">
            <v>Compensation of employees</v>
          </cell>
          <cell r="F11434">
            <v>12</v>
          </cell>
          <cell r="G11434">
            <v>1990</v>
          </cell>
          <cell r="H11434">
            <v>100</v>
          </cell>
          <cell r="I11434">
            <v>368890000000</v>
          </cell>
        </row>
        <row r="11435">
          <cell r="A11435" t="str">
            <v>Canada</v>
          </cell>
          <cell r="B11435">
            <v>124</v>
          </cell>
          <cell r="C11435">
            <v>203</v>
          </cell>
          <cell r="D11435">
            <v>4</v>
          </cell>
          <cell r="E11435" t="str">
            <v>Compensation of employees</v>
          </cell>
          <cell r="F11435">
            <v>12</v>
          </cell>
          <cell r="G11435">
            <v>1991</v>
          </cell>
          <cell r="H11435">
            <v>100</v>
          </cell>
          <cell r="I11435">
            <v>379094000000</v>
          </cell>
        </row>
        <row r="11436">
          <cell r="A11436" t="str">
            <v>Canada</v>
          </cell>
          <cell r="B11436">
            <v>124</v>
          </cell>
          <cell r="C11436">
            <v>203</v>
          </cell>
          <cell r="D11436">
            <v>4</v>
          </cell>
          <cell r="E11436" t="str">
            <v>Compensation of employees</v>
          </cell>
          <cell r="F11436">
            <v>12</v>
          </cell>
          <cell r="G11436">
            <v>1992</v>
          </cell>
          <cell r="H11436">
            <v>100</v>
          </cell>
          <cell r="I11436">
            <v>387787000000</v>
          </cell>
        </row>
        <row r="11437">
          <cell r="A11437" t="str">
            <v>Canada</v>
          </cell>
          <cell r="B11437">
            <v>124</v>
          </cell>
          <cell r="C11437">
            <v>203</v>
          </cell>
          <cell r="D11437">
            <v>4</v>
          </cell>
          <cell r="E11437" t="str">
            <v>Compensation of employees</v>
          </cell>
          <cell r="F11437">
            <v>12</v>
          </cell>
          <cell r="G11437">
            <v>1993</v>
          </cell>
          <cell r="H11437">
            <v>100</v>
          </cell>
          <cell r="I11437">
            <v>394813000000</v>
          </cell>
        </row>
        <row r="11438">
          <cell r="A11438" t="str">
            <v>Canada</v>
          </cell>
          <cell r="B11438">
            <v>124</v>
          </cell>
          <cell r="C11438">
            <v>203</v>
          </cell>
          <cell r="D11438">
            <v>4</v>
          </cell>
          <cell r="E11438" t="str">
            <v>Compensation of employees</v>
          </cell>
          <cell r="F11438">
            <v>12</v>
          </cell>
          <cell r="G11438">
            <v>1994</v>
          </cell>
          <cell r="H11438">
            <v>100</v>
          </cell>
          <cell r="I11438">
            <v>404919000000</v>
          </cell>
        </row>
        <row r="11439">
          <cell r="A11439" t="str">
            <v>Canada</v>
          </cell>
          <cell r="B11439">
            <v>124</v>
          </cell>
          <cell r="C11439">
            <v>203</v>
          </cell>
          <cell r="D11439">
            <v>4</v>
          </cell>
          <cell r="E11439" t="str">
            <v>Compensation of employees</v>
          </cell>
          <cell r="F11439">
            <v>12</v>
          </cell>
          <cell r="G11439">
            <v>1995</v>
          </cell>
          <cell r="H11439">
            <v>100</v>
          </cell>
          <cell r="I11439">
            <v>418823000000</v>
          </cell>
        </row>
        <row r="11440">
          <cell r="A11440" t="str">
            <v>Canada</v>
          </cell>
          <cell r="B11440">
            <v>124</v>
          </cell>
          <cell r="C11440">
            <v>203</v>
          </cell>
          <cell r="D11440">
            <v>4</v>
          </cell>
          <cell r="E11440" t="str">
            <v>Compensation of employees</v>
          </cell>
          <cell r="F11440">
            <v>12</v>
          </cell>
          <cell r="G11440">
            <v>1996</v>
          </cell>
          <cell r="H11440">
            <v>100</v>
          </cell>
          <cell r="I11440">
            <v>428794000000</v>
          </cell>
        </row>
        <row r="11441">
          <cell r="A11441" t="str">
            <v>Canada</v>
          </cell>
          <cell r="B11441">
            <v>124</v>
          </cell>
          <cell r="C11441">
            <v>203</v>
          </cell>
          <cell r="D11441">
            <v>4</v>
          </cell>
          <cell r="E11441" t="str">
            <v>Compensation of employees</v>
          </cell>
          <cell r="F11441">
            <v>12</v>
          </cell>
          <cell r="G11441">
            <v>1997</v>
          </cell>
          <cell r="H11441">
            <v>100</v>
          </cell>
          <cell r="I11441">
            <v>453073000000</v>
          </cell>
        </row>
        <row r="11442">
          <cell r="A11442" t="str">
            <v>Canada</v>
          </cell>
          <cell r="B11442">
            <v>124</v>
          </cell>
          <cell r="C11442">
            <v>203</v>
          </cell>
          <cell r="D11442">
            <v>4</v>
          </cell>
          <cell r="E11442" t="str">
            <v>Compensation of employees</v>
          </cell>
          <cell r="F11442">
            <v>12</v>
          </cell>
          <cell r="G11442">
            <v>1998</v>
          </cell>
          <cell r="H11442">
            <v>100</v>
          </cell>
          <cell r="I11442">
            <v>475334000000</v>
          </cell>
        </row>
        <row r="11443">
          <cell r="A11443" t="str">
            <v>Canada</v>
          </cell>
          <cell r="B11443">
            <v>124</v>
          </cell>
          <cell r="C11443">
            <v>203</v>
          </cell>
          <cell r="D11443">
            <v>4</v>
          </cell>
          <cell r="E11443" t="str">
            <v>Compensation of employees</v>
          </cell>
          <cell r="F11443">
            <v>12</v>
          </cell>
          <cell r="G11443">
            <v>1999</v>
          </cell>
          <cell r="H11443">
            <v>100</v>
          </cell>
          <cell r="I11443">
            <v>502724000000</v>
          </cell>
        </row>
        <row r="11444">
          <cell r="A11444" t="str">
            <v>Canada</v>
          </cell>
          <cell r="B11444">
            <v>124</v>
          </cell>
          <cell r="C11444">
            <v>203</v>
          </cell>
          <cell r="D11444">
            <v>4</v>
          </cell>
          <cell r="E11444" t="str">
            <v>Compensation of employees</v>
          </cell>
          <cell r="F11444">
            <v>12</v>
          </cell>
          <cell r="G11444">
            <v>2000</v>
          </cell>
          <cell r="H11444">
            <v>100</v>
          </cell>
          <cell r="I11444">
            <v>545116000000</v>
          </cell>
        </row>
        <row r="11445">
          <cell r="A11445" t="str">
            <v>Canada</v>
          </cell>
          <cell r="B11445">
            <v>124</v>
          </cell>
          <cell r="C11445">
            <v>203</v>
          </cell>
          <cell r="D11445">
            <v>11</v>
          </cell>
          <cell r="E11445" t="str">
            <v>OPERATING SURPLUS, GROSS</v>
          </cell>
          <cell r="F11445">
            <v>12</v>
          </cell>
          <cell r="G11445">
            <v>1970</v>
          </cell>
          <cell r="H11445">
            <v>100</v>
          </cell>
          <cell r="I11445">
            <v>28816000000</v>
          </cell>
        </row>
        <row r="11446">
          <cell r="A11446" t="str">
            <v>Canada</v>
          </cell>
          <cell r="B11446">
            <v>124</v>
          </cell>
          <cell r="C11446">
            <v>203</v>
          </cell>
          <cell r="D11446">
            <v>11</v>
          </cell>
          <cell r="E11446" t="str">
            <v>OPERATING SURPLUS, GROSS</v>
          </cell>
          <cell r="F11446">
            <v>12</v>
          </cell>
          <cell r="G11446">
            <v>1971</v>
          </cell>
          <cell r="H11446">
            <v>100</v>
          </cell>
          <cell r="I11446">
            <v>31227000000</v>
          </cell>
        </row>
        <row r="11447">
          <cell r="A11447" t="str">
            <v>Canada</v>
          </cell>
          <cell r="B11447">
            <v>124</v>
          </cell>
          <cell r="C11447">
            <v>203</v>
          </cell>
          <cell r="D11447">
            <v>11</v>
          </cell>
          <cell r="E11447" t="str">
            <v>OPERATING SURPLUS, GROSS</v>
          </cell>
          <cell r="F11447">
            <v>12</v>
          </cell>
          <cell r="G11447">
            <v>1972</v>
          </cell>
          <cell r="H11447">
            <v>100</v>
          </cell>
          <cell r="I11447">
            <v>34397000000</v>
          </cell>
        </row>
        <row r="11448">
          <cell r="A11448" t="str">
            <v>Canada</v>
          </cell>
          <cell r="B11448">
            <v>124</v>
          </cell>
          <cell r="C11448">
            <v>203</v>
          </cell>
          <cell r="D11448">
            <v>11</v>
          </cell>
          <cell r="E11448" t="str">
            <v>OPERATING SURPLUS, GROSS</v>
          </cell>
          <cell r="F11448">
            <v>12</v>
          </cell>
          <cell r="G11448">
            <v>1973</v>
          </cell>
          <cell r="H11448">
            <v>100</v>
          </cell>
          <cell r="I11448">
            <v>42324000000</v>
          </cell>
        </row>
        <row r="11449">
          <cell r="A11449" t="str">
            <v>Canada</v>
          </cell>
          <cell r="B11449">
            <v>124</v>
          </cell>
          <cell r="C11449">
            <v>203</v>
          </cell>
          <cell r="D11449">
            <v>11</v>
          </cell>
          <cell r="E11449" t="str">
            <v>OPERATING SURPLUS, GROSS</v>
          </cell>
          <cell r="F11449">
            <v>12</v>
          </cell>
          <cell r="G11449">
            <v>1974</v>
          </cell>
          <cell r="H11449">
            <v>100</v>
          </cell>
          <cell r="I11449">
            <v>51189000000</v>
          </cell>
        </row>
        <row r="11450">
          <cell r="A11450" t="str">
            <v>Canada</v>
          </cell>
          <cell r="B11450">
            <v>124</v>
          </cell>
          <cell r="C11450">
            <v>203</v>
          </cell>
          <cell r="D11450">
            <v>11</v>
          </cell>
          <cell r="E11450" t="str">
            <v>OPERATING SURPLUS, GROSS</v>
          </cell>
          <cell r="F11450">
            <v>12</v>
          </cell>
          <cell r="G11450">
            <v>1975</v>
          </cell>
          <cell r="H11450">
            <v>100</v>
          </cell>
          <cell r="I11450">
            <v>57504000000</v>
          </cell>
        </row>
        <row r="11451">
          <cell r="A11451" t="str">
            <v>Canada</v>
          </cell>
          <cell r="B11451">
            <v>124</v>
          </cell>
          <cell r="C11451">
            <v>203</v>
          </cell>
          <cell r="D11451">
            <v>11</v>
          </cell>
          <cell r="E11451" t="str">
            <v>OPERATING SURPLUS, GROSS</v>
          </cell>
          <cell r="F11451">
            <v>12</v>
          </cell>
          <cell r="G11451">
            <v>1976</v>
          </cell>
          <cell r="H11451">
            <v>100</v>
          </cell>
          <cell r="I11451">
            <v>64465000000</v>
          </cell>
        </row>
        <row r="11452">
          <cell r="A11452" t="str">
            <v>Canada</v>
          </cell>
          <cell r="B11452">
            <v>124</v>
          </cell>
          <cell r="C11452">
            <v>203</v>
          </cell>
          <cell r="D11452">
            <v>11</v>
          </cell>
          <cell r="E11452" t="str">
            <v>OPERATING SURPLUS, GROSS</v>
          </cell>
          <cell r="F11452">
            <v>12</v>
          </cell>
          <cell r="G11452">
            <v>1977</v>
          </cell>
          <cell r="H11452">
            <v>100</v>
          </cell>
          <cell r="I11452">
            <v>70738000000</v>
          </cell>
        </row>
        <row r="11453">
          <cell r="A11453" t="str">
            <v>Canada</v>
          </cell>
          <cell r="B11453">
            <v>124</v>
          </cell>
          <cell r="C11453">
            <v>203</v>
          </cell>
          <cell r="D11453">
            <v>11</v>
          </cell>
          <cell r="E11453" t="str">
            <v>OPERATING SURPLUS, GROSS</v>
          </cell>
          <cell r="F11453">
            <v>12</v>
          </cell>
          <cell r="G11453">
            <v>1978</v>
          </cell>
          <cell r="H11453">
            <v>100</v>
          </cell>
          <cell r="I11453">
            <v>81706000000</v>
          </cell>
        </row>
        <row r="11454">
          <cell r="A11454" t="str">
            <v>Canada</v>
          </cell>
          <cell r="B11454">
            <v>124</v>
          </cell>
          <cell r="C11454">
            <v>203</v>
          </cell>
          <cell r="D11454">
            <v>11</v>
          </cell>
          <cell r="E11454" t="str">
            <v>OPERATING SURPLUS, GROSS</v>
          </cell>
          <cell r="F11454">
            <v>12</v>
          </cell>
          <cell r="G11454">
            <v>1979</v>
          </cell>
          <cell r="H11454">
            <v>100</v>
          </cell>
          <cell r="I11454">
            <v>98179000000</v>
          </cell>
        </row>
        <row r="11455">
          <cell r="A11455" t="str">
            <v>Canada</v>
          </cell>
          <cell r="B11455">
            <v>124</v>
          </cell>
          <cell r="C11455">
            <v>203</v>
          </cell>
          <cell r="D11455">
            <v>11</v>
          </cell>
          <cell r="E11455" t="str">
            <v>OPERATING SURPLUS, GROSS</v>
          </cell>
          <cell r="F11455">
            <v>12</v>
          </cell>
          <cell r="G11455">
            <v>1980</v>
          </cell>
          <cell r="H11455">
            <v>100</v>
          </cell>
          <cell r="I11455">
            <v>111623000000</v>
          </cell>
        </row>
        <row r="11456">
          <cell r="A11456" t="str">
            <v>Canada</v>
          </cell>
          <cell r="B11456">
            <v>124</v>
          </cell>
          <cell r="C11456">
            <v>203</v>
          </cell>
          <cell r="D11456">
            <v>11</v>
          </cell>
          <cell r="E11456" t="str">
            <v>OPERATING SURPLUS, GROSS</v>
          </cell>
          <cell r="F11456">
            <v>12</v>
          </cell>
          <cell r="G11456">
            <v>1981</v>
          </cell>
          <cell r="H11456">
            <v>100</v>
          </cell>
          <cell r="I11456">
            <v>121066000000</v>
          </cell>
        </row>
        <row r="11457">
          <cell r="A11457" t="str">
            <v>Canada</v>
          </cell>
          <cell r="B11457">
            <v>124</v>
          </cell>
          <cell r="C11457">
            <v>203</v>
          </cell>
          <cell r="D11457">
            <v>11</v>
          </cell>
          <cell r="E11457" t="str">
            <v>OPERATING SURPLUS, GROSS</v>
          </cell>
          <cell r="F11457">
            <v>12</v>
          </cell>
          <cell r="G11457">
            <v>1982</v>
          </cell>
          <cell r="H11457">
            <v>100</v>
          </cell>
          <cell r="I11457">
            <v>124074000000</v>
          </cell>
        </row>
        <row r="11458">
          <cell r="A11458" t="str">
            <v>Canada</v>
          </cell>
          <cell r="B11458">
            <v>124</v>
          </cell>
          <cell r="C11458">
            <v>203</v>
          </cell>
          <cell r="D11458">
            <v>11</v>
          </cell>
          <cell r="E11458" t="str">
            <v>OPERATING SURPLUS, GROSS</v>
          </cell>
          <cell r="F11458">
            <v>12</v>
          </cell>
          <cell r="G11458">
            <v>1983</v>
          </cell>
          <cell r="H11458">
            <v>100</v>
          </cell>
          <cell r="I11458">
            <v>142876000000</v>
          </cell>
        </row>
        <row r="11459">
          <cell r="A11459" t="str">
            <v>Canada</v>
          </cell>
          <cell r="B11459">
            <v>124</v>
          </cell>
          <cell r="C11459">
            <v>203</v>
          </cell>
          <cell r="D11459">
            <v>11</v>
          </cell>
          <cell r="E11459" t="str">
            <v>OPERATING SURPLUS, GROSS</v>
          </cell>
          <cell r="F11459">
            <v>12</v>
          </cell>
          <cell r="G11459">
            <v>1984</v>
          </cell>
          <cell r="H11459">
            <v>100</v>
          </cell>
          <cell r="I11459">
            <v>161034000000</v>
          </cell>
        </row>
        <row r="11460">
          <cell r="A11460" t="str">
            <v>Canada</v>
          </cell>
          <cell r="B11460">
            <v>124</v>
          </cell>
          <cell r="C11460">
            <v>203</v>
          </cell>
          <cell r="D11460">
            <v>11</v>
          </cell>
          <cell r="E11460" t="str">
            <v>OPERATING SURPLUS, GROSS</v>
          </cell>
          <cell r="F11460">
            <v>12</v>
          </cell>
          <cell r="G11460">
            <v>1985</v>
          </cell>
          <cell r="H11460">
            <v>100</v>
          </cell>
          <cell r="I11460">
            <v>173797000000</v>
          </cell>
        </row>
        <row r="11461">
          <cell r="A11461" t="str">
            <v>Canada</v>
          </cell>
          <cell r="B11461">
            <v>124</v>
          </cell>
          <cell r="C11461">
            <v>203</v>
          </cell>
          <cell r="D11461">
            <v>11</v>
          </cell>
          <cell r="E11461" t="str">
            <v>OPERATING SURPLUS, GROSS</v>
          </cell>
          <cell r="F11461">
            <v>12</v>
          </cell>
          <cell r="G11461">
            <v>1986</v>
          </cell>
          <cell r="H11461">
            <v>100</v>
          </cell>
          <cell r="I11461">
            <v>175820000000</v>
          </cell>
        </row>
        <row r="11462">
          <cell r="A11462" t="str">
            <v>Canada</v>
          </cell>
          <cell r="B11462">
            <v>124</v>
          </cell>
          <cell r="C11462">
            <v>203</v>
          </cell>
          <cell r="D11462">
            <v>11</v>
          </cell>
          <cell r="E11462" t="str">
            <v>OPERATING SURPLUS, GROSS</v>
          </cell>
          <cell r="F11462">
            <v>12</v>
          </cell>
          <cell r="G11462">
            <v>1987</v>
          </cell>
          <cell r="H11462">
            <v>100</v>
          </cell>
          <cell r="I11462">
            <v>190684000000</v>
          </cell>
        </row>
        <row r="11463">
          <cell r="A11463" t="str">
            <v>Canada</v>
          </cell>
          <cell r="B11463">
            <v>124</v>
          </cell>
          <cell r="C11463">
            <v>203</v>
          </cell>
          <cell r="D11463">
            <v>11</v>
          </cell>
          <cell r="E11463" t="str">
            <v>OPERATING SURPLUS, GROSS</v>
          </cell>
          <cell r="F11463">
            <v>12</v>
          </cell>
          <cell r="G11463">
            <v>1988</v>
          </cell>
          <cell r="H11463">
            <v>100</v>
          </cell>
          <cell r="I11463">
            <v>206540000000</v>
          </cell>
        </row>
        <row r="11464">
          <cell r="A11464" t="str">
            <v>Canada</v>
          </cell>
          <cell r="B11464">
            <v>124</v>
          </cell>
          <cell r="C11464">
            <v>203</v>
          </cell>
          <cell r="D11464">
            <v>11</v>
          </cell>
          <cell r="E11464" t="str">
            <v>OPERATING SURPLUS, GROSS</v>
          </cell>
          <cell r="F11464">
            <v>12</v>
          </cell>
          <cell r="G11464">
            <v>1989</v>
          </cell>
          <cell r="H11464">
            <v>100</v>
          </cell>
          <cell r="I11464">
            <v>216113000000</v>
          </cell>
        </row>
        <row r="11465">
          <cell r="A11465" t="str">
            <v>Canada</v>
          </cell>
          <cell r="B11465">
            <v>124</v>
          </cell>
          <cell r="C11465">
            <v>203</v>
          </cell>
          <cell r="D11465">
            <v>11</v>
          </cell>
          <cell r="E11465" t="str">
            <v>OPERATING SURPLUS, GROSS</v>
          </cell>
          <cell r="F11465">
            <v>12</v>
          </cell>
          <cell r="G11465">
            <v>1990</v>
          </cell>
          <cell r="H11465">
            <v>100</v>
          </cell>
          <cell r="I11465">
            <v>216436000000</v>
          </cell>
        </row>
        <row r="11466">
          <cell r="A11466" t="str">
            <v>Canada</v>
          </cell>
          <cell r="B11466">
            <v>124</v>
          </cell>
          <cell r="C11466">
            <v>203</v>
          </cell>
          <cell r="D11466">
            <v>11</v>
          </cell>
          <cell r="E11466" t="str">
            <v>OPERATING SURPLUS, GROSS</v>
          </cell>
          <cell r="F11466">
            <v>12</v>
          </cell>
          <cell r="G11466">
            <v>1991</v>
          </cell>
          <cell r="H11466">
            <v>100</v>
          </cell>
          <cell r="I11466">
            <v>207708000000</v>
          </cell>
        </row>
        <row r="11467">
          <cell r="A11467" t="str">
            <v>Canada</v>
          </cell>
          <cell r="B11467">
            <v>124</v>
          </cell>
          <cell r="C11467">
            <v>203</v>
          </cell>
          <cell r="D11467">
            <v>11</v>
          </cell>
          <cell r="E11467" t="str">
            <v>OPERATING SURPLUS, GROSS</v>
          </cell>
          <cell r="F11467">
            <v>12</v>
          </cell>
          <cell r="G11467">
            <v>1992</v>
          </cell>
          <cell r="H11467">
            <v>100</v>
          </cell>
          <cell r="I11467">
            <v>209166000000</v>
          </cell>
        </row>
        <row r="11468">
          <cell r="A11468" t="str">
            <v>Canada</v>
          </cell>
          <cell r="B11468">
            <v>124</v>
          </cell>
          <cell r="C11468">
            <v>203</v>
          </cell>
          <cell r="D11468">
            <v>11</v>
          </cell>
          <cell r="E11468" t="str">
            <v>OPERATING SURPLUS, GROSS</v>
          </cell>
          <cell r="F11468">
            <v>12</v>
          </cell>
          <cell r="G11468">
            <v>1993</v>
          </cell>
          <cell r="H11468">
            <v>100</v>
          </cell>
          <cell r="I11468">
            <v>223552000000</v>
          </cell>
        </row>
        <row r="11469">
          <cell r="A11469" t="str">
            <v>Canada</v>
          </cell>
          <cell r="B11469">
            <v>124</v>
          </cell>
          <cell r="C11469">
            <v>203</v>
          </cell>
          <cell r="D11469">
            <v>11</v>
          </cell>
          <cell r="E11469" t="str">
            <v>OPERATING SURPLUS, GROSS</v>
          </cell>
          <cell r="F11469">
            <v>12</v>
          </cell>
          <cell r="G11469">
            <v>1994</v>
          </cell>
          <cell r="H11469">
            <v>100</v>
          </cell>
          <cell r="I11469">
            <v>253109000000</v>
          </cell>
        </row>
        <row r="11470">
          <cell r="A11470" t="str">
            <v>Canada</v>
          </cell>
          <cell r="B11470">
            <v>124</v>
          </cell>
          <cell r="C11470">
            <v>203</v>
          </cell>
          <cell r="D11470">
            <v>11</v>
          </cell>
          <cell r="E11470" t="str">
            <v>OPERATING SURPLUS, GROSS</v>
          </cell>
          <cell r="F11470">
            <v>12</v>
          </cell>
          <cell r="G11470">
            <v>1995</v>
          </cell>
          <cell r="H11470">
            <v>100</v>
          </cell>
          <cell r="I11470">
            <v>274276000000</v>
          </cell>
        </row>
        <row r="11471">
          <cell r="A11471" t="str">
            <v>Canada</v>
          </cell>
          <cell r="B11471">
            <v>124</v>
          </cell>
          <cell r="C11471">
            <v>203</v>
          </cell>
          <cell r="D11471">
            <v>11</v>
          </cell>
          <cell r="E11471" t="str">
            <v>OPERATING SURPLUS, GROSS</v>
          </cell>
          <cell r="F11471">
            <v>12</v>
          </cell>
          <cell r="G11471">
            <v>1996</v>
          </cell>
          <cell r="H11471">
            <v>100</v>
          </cell>
          <cell r="I11471">
            <v>287082000000</v>
          </cell>
        </row>
        <row r="11472">
          <cell r="A11472" t="str">
            <v>Canada</v>
          </cell>
          <cell r="B11472">
            <v>124</v>
          </cell>
          <cell r="C11472">
            <v>203</v>
          </cell>
          <cell r="D11472">
            <v>11</v>
          </cell>
          <cell r="E11472" t="str">
            <v>OPERATING SURPLUS, GROSS</v>
          </cell>
          <cell r="F11472">
            <v>12</v>
          </cell>
          <cell r="G11472">
            <v>1997</v>
          </cell>
          <cell r="H11472">
            <v>100</v>
          </cell>
          <cell r="I11472">
            <v>302060000000</v>
          </cell>
        </row>
        <row r="11473">
          <cell r="A11473" t="str">
            <v>Canada</v>
          </cell>
          <cell r="B11473">
            <v>124</v>
          </cell>
          <cell r="C11473">
            <v>203</v>
          </cell>
          <cell r="D11473">
            <v>11</v>
          </cell>
          <cell r="E11473" t="str">
            <v>OPERATING SURPLUS, GROSS</v>
          </cell>
          <cell r="F11473">
            <v>12</v>
          </cell>
          <cell r="G11473">
            <v>1998</v>
          </cell>
          <cell r="H11473">
            <v>100</v>
          </cell>
          <cell r="I11473">
            <v>307677000000</v>
          </cell>
        </row>
        <row r="11474">
          <cell r="A11474" t="str">
            <v>Canada</v>
          </cell>
          <cell r="B11474">
            <v>124</v>
          </cell>
          <cell r="C11474">
            <v>203</v>
          </cell>
          <cell r="D11474">
            <v>11</v>
          </cell>
          <cell r="E11474" t="str">
            <v>OPERATING SURPLUS, GROSS</v>
          </cell>
          <cell r="F11474">
            <v>12</v>
          </cell>
          <cell r="G11474">
            <v>1999</v>
          </cell>
          <cell r="H11474">
            <v>100</v>
          </cell>
          <cell r="I11474">
            <v>341364000000</v>
          </cell>
        </row>
        <row r="11475">
          <cell r="A11475" t="str">
            <v>Canada</v>
          </cell>
          <cell r="B11475">
            <v>124</v>
          </cell>
          <cell r="C11475">
            <v>203</v>
          </cell>
          <cell r="D11475">
            <v>11</v>
          </cell>
          <cell r="E11475" t="str">
            <v>OPERATING SURPLUS, GROSS</v>
          </cell>
          <cell r="F11475">
            <v>12</v>
          </cell>
          <cell r="G11475">
            <v>2000</v>
          </cell>
          <cell r="H11475">
            <v>100</v>
          </cell>
          <cell r="I11475">
            <v>387111000000</v>
          </cell>
        </row>
        <row r="11476">
          <cell r="A11476" t="str">
            <v>Canada</v>
          </cell>
          <cell r="B11476">
            <v>124</v>
          </cell>
          <cell r="C11476">
            <v>203</v>
          </cell>
          <cell r="D11476">
            <v>22</v>
          </cell>
          <cell r="E11476" t="str">
            <v>Taxes on production and imports, less Subsidies</v>
          </cell>
          <cell r="F11476">
            <v>12</v>
          </cell>
          <cell r="G11476">
            <v>1981</v>
          </cell>
          <cell r="H11476">
            <v>100</v>
          </cell>
          <cell r="I11476">
            <v>15983000000</v>
          </cell>
        </row>
        <row r="11477">
          <cell r="A11477" t="str">
            <v>Canada</v>
          </cell>
          <cell r="B11477">
            <v>124</v>
          </cell>
          <cell r="C11477">
            <v>203</v>
          </cell>
          <cell r="D11477">
            <v>22</v>
          </cell>
          <cell r="E11477" t="str">
            <v>Taxes on production and imports, less Subsidies</v>
          </cell>
          <cell r="F11477">
            <v>12</v>
          </cell>
          <cell r="G11477">
            <v>1982</v>
          </cell>
          <cell r="H11477">
            <v>100</v>
          </cell>
          <cell r="I11477">
            <v>18098000000</v>
          </cell>
        </row>
        <row r="11478">
          <cell r="A11478" t="str">
            <v>Canada</v>
          </cell>
          <cell r="B11478">
            <v>124</v>
          </cell>
          <cell r="C11478">
            <v>203</v>
          </cell>
          <cell r="D11478">
            <v>22</v>
          </cell>
          <cell r="E11478" t="str">
            <v>Taxes on production and imports, less Subsidies</v>
          </cell>
          <cell r="F11478">
            <v>12</v>
          </cell>
          <cell r="G11478">
            <v>1983</v>
          </cell>
          <cell r="H11478">
            <v>100</v>
          </cell>
          <cell r="I11478">
            <v>19874000000</v>
          </cell>
        </row>
        <row r="11479">
          <cell r="A11479" t="str">
            <v>Canada</v>
          </cell>
          <cell r="B11479">
            <v>124</v>
          </cell>
          <cell r="C11479">
            <v>203</v>
          </cell>
          <cell r="D11479">
            <v>22</v>
          </cell>
          <cell r="E11479" t="str">
            <v>Taxes on production and imports, less Subsidies</v>
          </cell>
          <cell r="F11479">
            <v>12</v>
          </cell>
          <cell r="G11479">
            <v>1984</v>
          </cell>
          <cell r="H11479">
            <v>100</v>
          </cell>
          <cell r="I11479">
            <v>20774000000</v>
          </cell>
        </row>
        <row r="11480">
          <cell r="A11480" t="str">
            <v>Canada</v>
          </cell>
          <cell r="B11480">
            <v>124</v>
          </cell>
          <cell r="C11480">
            <v>203</v>
          </cell>
          <cell r="D11480">
            <v>22</v>
          </cell>
          <cell r="E11480" t="str">
            <v>Taxes on production and imports, less Subsidies</v>
          </cell>
          <cell r="F11480">
            <v>12</v>
          </cell>
          <cell r="G11480">
            <v>1985</v>
          </cell>
          <cell r="H11480">
            <v>100</v>
          </cell>
          <cell r="I11480">
            <v>21962000000</v>
          </cell>
        </row>
        <row r="11481">
          <cell r="A11481" t="str">
            <v>Canada</v>
          </cell>
          <cell r="B11481">
            <v>124</v>
          </cell>
          <cell r="C11481">
            <v>203</v>
          </cell>
          <cell r="D11481">
            <v>22</v>
          </cell>
          <cell r="E11481" t="str">
            <v>Taxes on production and imports, less Subsidies</v>
          </cell>
          <cell r="F11481">
            <v>12</v>
          </cell>
          <cell r="G11481">
            <v>1986</v>
          </cell>
          <cell r="H11481">
            <v>100</v>
          </cell>
          <cell r="I11481">
            <v>23316000000</v>
          </cell>
        </row>
        <row r="11482">
          <cell r="A11482" t="str">
            <v>Canada</v>
          </cell>
          <cell r="B11482">
            <v>124</v>
          </cell>
          <cell r="C11482">
            <v>203</v>
          </cell>
          <cell r="D11482">
            <v>22</v>
          </cell>
          <cell r="E11482" t="str">
            <v>Taxes on production and imports, less Subsidies</v>
          </cell>
          <cell r="F11482">
            <v>12</v>
          </cell>
          <cell r="G11482">
            <v>1987</v>
          </cell>
          <cell r="H11482">
            <v>100</v>
          </cell>
          <cell r="I11482">
            <v>25536000000</v>
          </cell>
        </row>
        <row r="11483">
          <cell r="A11483" t="str">
            <v>Canada</v>
          </cell>
          <cell r="B11483">
            <v>124</v>
          </cell>
          <cell r="C11483">
            <v>203</v>
          </cell>
          <cell r="D11483">
            <v>22</v>
          </cell>
          <cell r="E11483" t="str">
            <v>Taxes on production and imports, less Subsidies</v>
          </cell>
          <cell r="F11483">
            <v>12</v>
          </cell>
          <cell r="G11483">
            <v>1988</v>
          </cell>
          <cell r="H11483">
            <v>100</v>
          </cell>
          <cell r="I11483">
            <v>27744000000</v>
          </cell>
        </row>
        <row r="11484">
          <cell r="A11484" t="str">
            <v>Canada</v>
          </cell>
          <cell r="B11484">
            <v>124</v>
          </cell>
          <cell r="C11484">
            <v>203</v>
          </cell>
          <cell r="D11484">
            <v>22</v>
          </cell>
          <cell r="E11484" t="str">
            <v>Taxes on production and imports, less Subsidies</v>
          </cell>
          <cell r="F11484">
            <v>12</v>
          </cell>
          <cell r="G11484">
            <v>1989</v>
          </cell>
          <cell r="H11484">
            <v>100</v>
          </cell>
          <cell r="I11484">
            <v>31066000000</v>
          </cell>
        </row>
        <row r="11485">
          <cell r="A11485" t="str">
            <v>Canada</v>
          </cell>
          <cell r="B11485">
            <v>124</v>
          </cell>
          <cell r="C11485">
            <v>203</v>
          </cell>
          <cell r="D11485">
            <v>22</v>
          </cell>
          <cell r="E11485" t="str">
            <v>Taxes on production and imports, less Subsidies</v>
          </cell>
          <cell r="F11485">
            <v>12</v>
          </cell>
          <cell r="G11485">
            <v>1990</v>
          </cell>
          <cell r="H11485">
            <v>100</v>
          </cell>
          <cell r="I11485">
            <v>36119000000</v>
          </cell>
        </row>
        <row r="11486">
          <cell r="A11486" t="str">
            <v>Canada</v>
          </cell>
          <cell r="B11486">
            <v>124</v>
          </cell>
          <cell r="C11486">
            <v>203</v>
          </cell>
          <cell r="D11486">
            <v>22</v>
          </cell>
          <cell r="E11486" t="str">
            <v>Taxes on production and imports, less Subsidies</v>
          </cell>
          <cell r="F11486">
            <v>12</v>
          </cell>
          <cell r="G11486">
            <v>1991</v>
          </cell>
          <cell r="H11486">
            <v>100</v>
          </cell>
          <cell r="I11486">
            <v>38557000000</v>
          </cell>
        </row>
        <row r="11487">
          <cell r="A11487" t="str">
            <v>Canada</v>
          </cell>
          <cell r="B11487">
            <v>124</v>
          </cell>
          <cell r="C11487">
            <v>203</v>
          </cell>
          <cell r="D11487">
            <v>22</v>
          </cell>
          <cell r="E11487" t="str">
            <v>Taxes on production and imports, less Subsidies</v>
          </cell>
          <cell r="F11487">
            <v>12</v>
          </cell>
          <cell r="G11487">
            <v>1992</v>
          </cell>
          <cell r="H11487">
            <v>100</v>
          </cell>
          <cell r="I11487">
            <v>40976000000</v>
          </cell>
        </row>
        <row r="11488">
          <cell r="A11488" t="str">
            <v>Canada</v>
          </cell>
          <cell r="B11488">
            <v>124</v>
          </cell>
          <cell r="C11488">
            <v>203</v>
          </cell>
          <cell r="D11488">
            <v>22</v>
          </cell>
          <cell r="E11488" t="str">
            <v>Taxes on production and imports, less Subsidies</v>
          </cell>
          <cell r="F11488">
            <v>12</v>
          </cell>
          <cell r="G11488">
            <v>1993</v>
          </cell>
          <cell r="H11488">
            <v>100</v>
          </cell>
          <cell r="I11488">
            <v>42875000000</v>
          </cell>
        </row>
        <row r="11489">
          <cell r="A11489" t="str">
            <v>Canada</v>
          </cell>
          <cell r="B11489">
            <v>124</v>
          </cell>
          <cell r="C11489">
            <v>203</v>
          </cell>
          <cell r="D11489">
            <v>22</v>
          </cell>
          <cell r="E11489" t="str">
            <v>Taxes on production and imports, less Subsidies</v>
          </cell>
          <cell r="F11489">
            <v>12</v>
          </cell>
          <cell r="G11489">
            <v>1994</v>
          </cell>
          <cell r="H11489">
            <v>100</v>
          </cell>
          <cell r="I11489">
            <v>44328000000</v>
          </cell>
        </row>
        <row r="11490">
          <cell r="A11490" t="str">
            <v>Canada</v>
          </cell>
          <cell r="B11490">
            <v>124</v>
          </cell>
          <cell r="C11490">
            <v>203</v>
          </cell>
          <cell r="D11490">
            <v>22</v>
          </cell>
          <cell r="E11490" t="str">
            <v>Taxes on production and imports, less Subsidies</v>
          </cell>
          <cell r="F11490">
            <v>12</v>
          </cell>
          <cell r="G11490">
            <v>1995</v>
          </cell>
          <cell r="H11490">
            <v>100</v>
          </cell>
          <cell r="I11490">
            <v>45438000000</v>
          </cell>
        </row>
        <row r="11491">
          <cell r="A11491" t="str">
            <v>Canada</v>
          </cell>
          <cell r="B11491">
            <v>124</v>
          </cell>
          <cell r="C11491">
            <v>203</v>
          </cell>
          <cell r="D11491">
            <v>22</v>
          </cell>
          <cell r="E11491" t="str">
            <v>Taxes on production and imports, less Subsidies</v>
          </cell>
          <cell r="F11491">
            <v>12</v>
          </cell>
          <cell r="G11491">
            <v>1996</v>
          </cell>
          <cell r="H11491">
            <v>100</v>
          </cell>
          <cell r="I11491">
            <v>47121000000</v>
          </cell>
        </row>
        <row r="11492">
          <cell r="A11492" t="str">
            <v>Canada</v>
          </cell>
          <cell r="B11492">
            <v>124</v>
          </cell>
          <cell r="C11492">
            <v>203</v>
          </cell>
          <cell r="D11492">
            <v>22</v>
          </cell>
          <cell r="E11492" t="str">
            <v>Taxes on production and imports, less Subsidies</v>
          </cell>
          <cell r="F11492">
            <v>12</v>
          </cell>
          <cell r="G11492">
            <v>1997</v>
          </cell>
          <cell r="H11492">
            <v>100</v>
          </cell>
          <cell r="I11492">
            <v>47867000000</v>
          </cell>
        </row>
        <row r="11493">
          <cell r="A11493" t="str">
            <v>Canada</v>
          </cell>
          <cell r="B11493">
            <v>124</v>
          </cell>
          <cell r="C11493">
            <v>203</v>
          </cell>
          <cell r="D11493">
            <v>22</v>
          </cell>
          <cell r="E11493" t="str">
            <v>Taxes on production and imports, less Subsidies</v>
          </cell>
          <cell r="F11493">
            <v>12</v>
          </cell>
          <cell r="G11493">
            <v>1998</v>
          </cell>
          <cell r="H11493">
            <v>100</v>
          </cell>
          <cell r="I11493">
            <v>48901000000</v>
          </cell>
        </row>
        <row r="11494">
          <cell r="A11494" t="str">
            <v>Canada</v>
          </cell>
          <cell r="B11494">
            <v>124</v>
          </cell>
          <cell r="C11494">
            <v>203</v>
          </cell>
          <cell r="D11494">
            <v>22</v>
          </cell>
          <cell r="E11494" t="str">
            <v>Taxes on production and imports, less Subsidies</v>
          </cell>
          <cell r="F11494">
            <v>12</v>
          </cell>
          <cell r="G11494">
            <v>1999</v>
          </cell>
          <cell r="H11494">
            <v>100</v>
          </cell>
          <cell r="I11494">
            <v>50673000000</v>
          </cell>
        </row>
        <row r="11495">
          <cell r="A11495" t="str">
            <v>Canada</v>
          </cell>
          <cell r="B11495">
            <v>124</v>
          </cell>
          <cell r="C11495">
            <v>203</v>
          </cell>
          <cell r="D11495">
            <v>22</v>
          </cell>
          <cell r="E11495" t="str">
            <v>Taxes on production and imports, less Subsidies</v>
          </cell>
          <cell r="F11495">
            <v>12</v>
          </cell>
          <cell r="G11495">
            <v>2000</v>
          </cell>
          <cell r="H11495">
            <v>100</v>
          </cell>
          <cell r="I11495">
            <v>51852000000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Sector-inputs"/>
      <sheetName val="Sector-outputs"/>
      <sheetName val="Authorities data"/>
      <sheetName val="GDPnom"/>
      <sheetName val="GDPreal"/>
      <sheetName val="GDPdeflator"/>
      <sheetName val="GDPexp"/>
      <sheetName val="Sav-Inv"/>
      <sheetName val=" CPI-monthly"/>
      <sheetName val="CPI-annual"/>
      <sheetName val=" CPI-for-INS"/>
      <sheetName val="Tourism"/>
      <sheetName val="RED-tables"/>
      <sheetName val="Agriculture"/>
      <sheetName val="Labor"/>
      <sheetName val="SR-tables"/>
      <sheetName val="SR-Basic indicators"/>
      <sheetName val="WEO-output"/>
      <sheetName val="xxweolinksx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roject"/>
      <sheetName val="SampleSheet"/>
      <sheetName val="Backup Sheet"/>
      <sheetName val="SampleSheet (2)"/>
      <sheetName val="Admin"/>
      <sheetName val="Search1"/>
      <sheetName val="Dependencies"/>
      <sheetName val="Search"/>
    </sheetNames>
    <sheetDataSet>
      <sheetData sheetId="0" refreshError="1"/>
      <sheetData sheetId="1" refreshError="1"/>
      <sheetData sheetId="2" refreshError="1"/>
      <sheetData sheetId="3" refreshError="1"/>
      <sheetData sheetId="4" refreshError="1"/>
      <sheetData sheetId="5">
        <row r="8">
          <cell r="C8" t="str">
            <v>EDS</v>
          </cell>
        </row>
        <row r="9">
          <cell r="C9" t="str">
            <v>VF Business</v>
          </cell>
        </row>
        <row r="10">
          <cell r="C10" t="str">
            <v>VF Global Operation</v>
          </cell>
        </row>
        <row r="11">
          <cell r="C11" t="str">
            <v>VF Network Group</v>
          </cell>
        </row>
        <row r="12">
          <cell r="C12" t="str">
            <v>DSL</v>
          </cell>
        </row>
        <row r="13">
          <cell r="C13" t="str">
            <v>DSL Network Group</v>
          </cell>
        </row>
      </sheetData>
      <sheetData sheetId="6" refreshError="1"/>
      <sheetData sheetId="7" refreshError="1"/>
      <sheetData sheetId="8"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xport Results"/>
      <sheetName val="Assumed team"/>
      <sheetName val="Reduced team"/>
      <sheetName val="Roles"/>
    </sheetNames>
    <sheetDataSet>
      <sheetData sheetId="0">
        <row r="6">
          <cell r="D6" t="str">
            <v>Atlanta</v>
          </cell>
        </row>
      </sheetData>
      <sheetData sheetId="1" refreshError="1"/>
      <sheetData sheetId="2"/>
      <sheetData sheetId="3" refreshError="1"/>
      <sheetData sheetId="4">
        <row r="2">
          <cell r="B2" t="str">
            <v>Associate Alliances</v>
          </cell>
        </row>
      </sheetData>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macroassum"/>
      <sheetName val="vulind"/>
      <sheetName val="IN_FISCAL"/>
      <sheetName val="in for WEO"/>
      <sheetName val="to WEO"/>
      <sheetName val="SEI"/>
      <sheetName val="S&amp;I DANE"/>
      <sheetName val="S&amp;I Confis"/>
      <sheetName val="NA_R DANE"/>
      <sheetName val="NA_R Confis"/>
      <sheetName val="NA_N DANE"/>
      <sheetName val="NA_N Confis"/>
      <sheetName val="NA_D"/>
      <sheetName val="GDP - supply"/>
      <sheetName val="supply short"/>
      <sheetName val="DANE_Q_R"/>
      <sheetName val="DANE_Q_N"/>
      <sheetName val="DANE_Q_D"/>
      <sheetName val="DANE_A_R"/>
      <sheetName val="DANE_A_N"/>
      <sheetName val="DANE_A_D"/>
      <sheetName val="to MTO"/>
      <sheetName val="macroassum SBA"/>
      <sheetName val="Raw Data_U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Colombia: Saving and Investment</v>
          </cell>
        </row>
        <row r="2">
          <cell r="C2" t="str">
            <v>Private Saving as residual</v>
          </cell>
        </row>
        <row r="6">
          <cell r="D6">
            <v>1994</v>
          </cell>
          <cell r="E6">
            <v>1995</v>
          </cell>
          <cell r="F6">
            <v>1996</v>
          </cell>
          <cell r="G6">
            <v>1997</v>
          </cell>
          <cell r="H6">
            <v>1998</v>
          </cell>
          <cell r="I6">
            <v>1999</v>
          </cell>
        </row>
        <row r="9">
          <cell r="C9" t="str">
            <v>(As percentage of nominal GDP)</v>
          </cell>
        </row>
        <row r="11">
          <cell r="A11" t="str">
            <v>Gross National Saving</v>
          </cell>
          <cell r="D11">
            <v>21.044739220562665</v>
          </cell>
          <cell r="E11">
            <v>20.826565634216465</v>
          </cell>
          <cell r="F11">
            <v>17.257849674185763</v>
          </cell>
          <cell r="G11">
            <v>15.407296642162288</v>
          </cell>
          <cell r="H11">
            <v>14.808355440190923</v>
          </cell>
          <cell r="I11">
            <v>13.680084076835536</v>
          </cell>
        </row>
        <row r="12">
          <cell r="B12" t="str">
            <v>Private Sector</v>
          </cell>
          <cell r="D12">
            <v>13.152604446323455</v>
          </cell>
          <cell r="E12">
            <v>14.144232049113755</v>
          </cell>
          <cell r="F12">
            <v>12.539032945279516</v>
          </cell>
          <cell r="G12">
            <v>13.565774514502504</v>
          </cell>
          <cell r="H12">
            <v>10.601383054486167</v>
          </cell>
          <cell r="I12">
            <v>13.38247118129939</v>
          </cell>
        </row>
        <row r="13">
          <cell r="B13" t="str">
            <v>Public Sector</v>
          </cell>
          <cell r="D13">
            <v>7.8921347742392136</v>
          </cell>
          <cell r="E13">
            <v>6.6823335851027084</v>
          </cell>
          <cell r="F13">
            <v>4.7188167289062477</v>
          </cell>
          <cell r="G13">
            <v>1.841522127659782</v>
          </cell>
          <cell r="H13">
            <v>4.2069723857047556</v>
          </cell>
          <cell r="I13">
            <v>0.29761289553614262</v>
          </cell>
        </row>
        <row r="14">
          <cell r="C14" t="str">
            <v>net of Plan Colombia</v>
          </cell>
          <cell r="D14" t="e">
            <v>#REF!</v>
          </cell>
          <cell r="E14" t="e">
            <v>#REF!</v>
          </cell>
          <cell r="F14" t="e">
            <v>#REF!</v>
          </cell>
          <cell r="G14" t="e">
            <v>#REF!</v>
          </cell>
          <cell r="H14" t="e">
            <v>#REF!</v>
          </cell>
          <cell r="I14" t="e">
            <v>#REF!</v>
          </cell>
        </row>
        <row r="15">
          <cell r="C15" t="str">
            <v>Plan Colombia</v>
          </cell>
          <cell r="D15" t="e">
            <v>#REF!</v>
          </cell>
          <cell r="E15" t="e">
            <v>#REF!</v>
          </cell>
          <cell r="F15" t="e">
            <v>#REF!</v>
          </cell>
          <cell r="G15" t="e">
            <v>#REF!</v>
          </cell>
          <cell r="H15" t="e">
            <v>#REF!</v>
          </cell>
          <cell r="I15" t="e">
            <v>#REF!</v>
          </cell>
        </row>
        <row r="17">
          <cell r="A17" t="str">
            <v>Gross Domestic Investment</v>
          </cell>
          <cell r="D17">
            <v>25.538446749080475</v>
          </cell>
          <cell r="E17">
            <v>25.798743328757766</v>
          </cell>
          <cell r="F17">
            <v>22.150938658983247</v>
          </cell>
          <cell r="G17">
            <v>20.923750624047404</v>
          </cell>
          <cell r="H17">
            <v>19.728079180815502</v>
          </cell>
          <cell r="I17">
            <v>12.880134170813376</v>
          </cell>
        </row>
        <row r="18">
          <cell r="B18" t="str">
            <v>Private Sector</v>
          </cell>
          <cell r="D18">
            <v>17.368325068171998</v>
          </cell>
          <cell r="E18">
            <v>16.989418966986022</v>
          </cell>
          <cell r="F18">
            <v>14.464825820245613</v>
          </cell>
          <cell r="G18">
            <v>15.167890925638181</v>
          </cell>
          <cell r="H18">
            <v>11.692720364343321</v>
          </cell>
          <cell r="I18">
            <v>7.1105101075277899</v>
          </cell>
        </row>
        <row r="19">
          <cell r="C19" t="str">
            <v>Gross Fixed Capital Formation</v>
          </cell>
          <cell r="D19">
            <v>15.179988965964453</v>
          </cell>
          <cell r="E19">
            <v>14.150450119031929</v>
          </cell>
          <cell r="F19">
            <v>13.865438793620452</v>
          </cell>
          <cell r="G19">
            <v>14.312296166527977</v>
          </cell>
          <cell r="H19">
            <v>11.125774773463858</v>
          </cell>
          <cell r="I19">
            <v>7.2634385490238982</v>
          </cell>
        </row>
        <row r="20">
          <cell r="C20" t="str">
            <v>Stockbuilding</v>
          </cell>
          <cell r="D20">
            <v>2.1883361022075438</v>
          </cell>
          <cell r="E20">
            <v>2.8389688479540931</v>
          </cell>
          <cell r="F20">
            <v>0.59938702662516319</v>
          </cell>
          <cell r="G20">
            <v>0.85559475911020488</v>
          </cell>
          <cell r="H20">
            <v>0.56694559087946395</v>
          </cell>
          <cell r="I20">
            <v>-0.15292844149610926</v>
          </cell>
        </row>
        <row r="21">
          <cell r="B21" t="str">
            <v>Public Sector</v>
          </cell>
          <cell r="D21">
            <v>8.1701216809084762</v>
          </cell>
          <cell r="E21">
            <v>8.8093243617717469</v>
          </cell>
          <cell r="F21">
            <v>7.6861128387376327</v>
          </cell>
          <cell r="G21">
            <v>5.755859698409223</v>
          </cell>
          <cell r="H21">
            <v>8.0353588164721792</v>
          </cell>
          <cell r="I21">
            <v>5.769624063285586</v>
          </cell>
        </row>
        <row r="22">
          <cell r="C22" t="str">
            <v>net of Plan Colombia</v>
          </cell>
          <cell r="D22">
            <v>8.1701216809084762</v>
          </cell>
          <cell r="E22">
            <v>8.8093243617717469</v>
          </cell>
          <cell r="F22">
            <v>7.6861128387376327</v>
          </cell>
          <cell r="G22">
            <v>5.755859698409223</v>
          </cell>
          <cell r="H22">
            <v>8.0353588164721792</v>
          </cell>
          <cell r="I22">
            <v>5.769624063285586</v>
          </cell>
        </row>
        <row r="23">
          <cell r="C23" t="str">
            <v>Plan Colombia</v>
          </cell>
          <cell r="D23">
            <v>0</v>
          </cell>
          <cell r="E23">
            <v>0</v>
          </cell>
          <cell r="F23">
            <v>0</v>
          </cell>
          <cell r="G23">
            <v>0</v>
          </cell>
          <cell r="H23">
            <v>0</v>
          </cell>
          <cell r="I23">
            <v>0</v>
          </cell>
        </row>
        <row r="25">
          <cell r="A25" t="str">
            <v>External Current Account Balance</v>
          </cell>
          <cell r="D25">
            <v>-4.4937075285178087</v>
          </cell>
          <cell r="E25">
            <v>-4.9721776945413039</v>
          </cell>
          <cell r="F25">
            <v>-4.8930889847974859</v>
          </cell>
          <cell r="G25">
            <v>-5.5164539818851184</v>
          </cell>
          <cell r="H25">
            <v>-4.9197237406245788</v>
          </cell>
          <cell r="I25">
            <v>0.79994990602215987</v>
          </cell>
        </row>
        <row r="26">
          <cell r="B26" t="str">
            <v>Private Current Account Balance</v>
          </cell>
          <cell r="D26">
            <v>-4.2157206218485443</v>
          </cell>
          <cell r="E26">
            <v>-2.8451869178722649</v>
          </cell>
          <cell r="F26">
            <v>-1.9257928749661015</v>
          </cell>
          <cell r="G26">
            <v>-1.6021164111356776</v>
          </cell>
          <cell r="H26">
            <v>-1.0913373098571553</v>
          </cell>
          <cell r="I26">
            <v>6.2719610737716023</v>
          </cell>
        </row>
        <row r="27">
          <cell r="B27" t="str">
            <v>Public Current Account Balance</v>
          </cell>
          <cell r="D27">
            <v>-0.27798690666926434</v>
          </cell>
          <cell r="E27">
            <v>-2.126990776669039</v>
          </cell>
          <cell r="F27">
            <v>-2.9672961098313846</v>
          </cell>
          <cell r="G27">
            <v>-3.9143375707494403</v>
          </cell>
          <cell r="H27">
            <v>-3.828386430767424</v>
          </cell>
          <cell r="I27">
            <v>-5.472011167749443</v>
          </cell>
        </row>
        <row r="29">
          <cell r="A29" t="str">
            <v>Financing</v>
          </cell>
          <cell r="D29">
            <v>4.4937075285178087</v>
          </cell>
          <cell r="E29">
            <v>4.9721776945413039</v>
          </cell>
          <cell r="F29">
            <v>4.8930889847974859</v>
          </cell>
          <cell r="G29">
            <v>5.5164539818851184</v>
          </cell>
          <cell r="H29">
            <v>4.9197237406245788</v>
          </cell>
          <cell r="I29">
            <v>-0.79994990602215987</v>
          </cell>
        </row>
        <row r="30">
          <cell r="B30" t="str">
            <v>Capital Account (Net)</v>
          </cell>
          <cell r="D30">
            <v>4.7307734598417328</v>
          </cell>
          <cell r="E30">
            <v>4.9673428760924265</v>
          </cell>
          <cell r="F30">
            <v>6.6704376498671998</v>
          </cell>
          <cell r="G30">
            <v>5.7764685726409146</v>
          </cell>
          <cell r="H30">
            <v>3.5076275426723513</v>
          </cell>
          <cell r="I30">
            <v>-1.1701116269449763</v>
          </cell>
        </row>
        <row r="31">
          <cell r="B31" t="str">
            <v>Decrease in Net International Reserves</v>
          </cell>
          <cell r="D31">
            <v>-0.23706593132392348</v>
          </cell>
          <cell r="E31">
            <v>4.8348184488777217E-3</v>
          </cell>
          <cell r="F31">
            <v>-1.7773486650697139</v>
          </cell>
          <cell r="G31">
            <v>-0.26001459075579636</v>
          </cell>
          <cell r="H31">
            <v>1.4120961979522282</v>
          </cell>
          <cell r="I31">
            <v>0.37016172092281646</v>
          </cell>
        </row>
        <row r="33">
          <cell r="B33" t="str">
            <v>Private Sector Financing</v>
          </cell>
          <cell r="D33">
            <v>4.2157206218485443</v>
          </cell>
          <cell r="E33">
            <v>2.8451869178722649</v>
          </cell>
          <cell r="F33">
            <v>1.9257928749661015</v>
          </cell>
          <cell r="G33">
            <v>1.6021164111356776</v>
          </cell>
          <cell r="H33">
            <v>1.0913373098571553</v>
          </cell>
          <cell r="I33">
            <v>-6.2719610737716023</v>
          </cell>
        </row>
        <row r="34">
          <cell r="C34" t="str">
            <v>External Financing</v>
          </cell>
          <cell r="D34">
            <v>4.4117401896383903</v>
          </cell>
          <cell r="E34">
            <v>3.6842578550209697</v>
          </cell>
          <cell r="F34">
            <v>3.2016739517182908</v>
          </cell>
          <cell r="G34">
            <v>3.6042367656838907</v>
          </cell>
          <cell r="H34">
            <v>3.5838004276400075</v>
          </cell>
          <cell r="I34">
            <v>-2.0488444445478171</v>
          </cell>
        </row>
        <row r="35">
          <cell r="C35" t="str">
            <v>Domestic Financing</v>
          </cell>
          <cell r="D35">
            <v>-0.19601956778984581</v>
          </cell>
          <cell r="E35">
            <v>-0.83907093714870506</v>
          </cell>
          <cell r="F35">
            <v>-1.27588107675219</v>
          </cell>
          <cell r="G35">
            <v>-2.0021203545482136</v>
          </cell>
          <cell r="H35">
            <v>-2.4924631177828522</v>
          </cell>
          <cell r="I35">
            <v>-4.2231166292237852</v>
          </cell>
        </row>
        <row r="36">
          <cell r="B36" t="str">
            <v>Public Sector Financing</v>
          </cell>
          <cell r="D36">
            <v>0.27798690666926434</v>
          </cell>
          <cell r="E36">
            <v>2.126990776669039</v>
          </cell>
          <cell r="F36">
            <v>2.9672961098313846</v>
          </cell>
          <cell r="G36">
            <v>3.9143375707494403</v>
          </cell>
          <cell r="H36">
            <v>3.828386430767424</v>
          </cell>
          <cell r="I36">
            <v>5.472011167749443</v>
          </cell>
        </row>
        <row r="37">
          <cell r="C37" t="str">
            <v>External Financing</v>
          </cell>
          <cell r="D37">
            <v>-1.9788713532524216</v>
          </cell>
          <cell r="E37">
            <v>1.1535937537251839</v>
          </cell>
          <cell r="F37">
            <v>0.92494082627424223</v>
          </cell>
          <cell r="G37">
            <v>0.61563265729224037</v>
          </cell>
          <cell r="H37">
            <v>1.4760528428162341</v>
          </cell>
          <cell r="I37">
            <v>0.7248109431595483</v>
          </cell>
        </row>
        <row r="38">
          <cell r="C38" t="str">
            <v>Privatization</v>
          </cell>
          <cell r="D38">
            <v>0</v>
          </cell>
          <cell r="E38">
            <v>0</v>
          </cell>
          <cell r="F38">
            <v>0</v>
          </cell>
          <cell r="G38">
            <v>0</v>
          </cell>
          <cell r="H38">
            <v>0.10616305143289541</v>
          </cell>
          <cell r="I38">
            <v>0.67913257913383318</v>
          </cell>
        </row>
        <row r="39">
          <cell r="C39" t="str">
            <v>Domestic Financing</v>
          </cell>
          <cell r="D39">
            <v>0.19601956778984581</v>
          </cell>
          <cell r="E39">
            <v>0.83907093714870506</v>
          </cell>
          <cell r="F39">
            <v>1.27588107675219</v>
          </cell>
          <cell r="G39">
            <v>2.0021203545482136</v>
          </cell>
          <cell r="H39">
            <v>2.2461705365182945</v>
          </cell>
          <cell r="I39">
            <v>4.068067645456062</v>
          </cell>
        </row>
        <row r="42">
          <cell r="A42" t="str">
            <v>Sources: Colombian authorities; and IMF staff estimates and projections.</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6 SECS PUR (2)"/>
      <sheetName val="SECURITIES 31.3.10"/>
      <sheetName val="SECURITIES 30.11.10"/>
      <sheetName val="CP BY MAT DATE"/>
      <sheetName val="BSAccounts"/>
      <sheetName val="ProfitLoss"/>
      <sheetName val="BSSubtotals"/>
      <sheetName val="Trial Balance (SD row adjusted)"/>
      <sheetName val="Trial Balance"/>
      <sheetName val="Published Stmt"/>
      <sheetName val="BS Monthly"/>
      <sheetName val="Monthly P &amp; L"/>
      <sheetName val="Monthly Cash Flow"/>
      <sheetName val="Notes to fin stmt BS"/>
      <sheetName val="Income"/>
      <sheetName val="Expense 1"/>
      <sheetName val="Expense 2"/>
      <sheetName val="Graph Expenses"/>
      <sheetName val="Net Income"/>
      <sheetName val="Local Debentures"/>
      <sheetName val="Treasury Bills"/>
      <sheetName val="Int pd and recble calc"/>
      <sheetName val="Sheet1"/>
      <sheetName val="TD march 07"/>
      <sheetName val="TERM DEPOSITS 2010-2011"/>
      <sheetName val="TERM DEPOSITS 0910"/>
      <sheetName val="CP 0910"/>
      <sheetName val="forexchange 2009-2010"/>
      <sheetName val="forexchange 2010-2011"/>
      <sheetName val="SEC MATURITIES 2010-2011"/>
      <sheetName val="SECURITY SALES 2010-2011"/>
      <sheetName val="Movement in Fx Secs"/>
      <sheetName val="2010-2011 Pur"/>
      <sheetName val="Additions 2010-2011"/>
      <sheetName val="PROPERTY PLANT AND EQUIP 11.10"/>
      <sheetName val="INTANGIBLE ASSETS 11.10"/>
      <sheetName val="RED47"/>
    </sheetNames>
    <sheetDataSet>
      <sheetData sheetId="0" refreshError="1"/>
      <sheetData sheetId="1" refreshError="1"/>
      <sheetData sheetId="2" refreshError="1"/>
      <sheetData sheetId="3" refreshError="1"/>
      <sheetData sheetId="4">
        <row r="3">
          <cell r="A3" t="str">
            <v>101901108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9"/>
      <sheetName val="Chart2"/>
      <sheetName val="Chart3"/>
      <sheetName val="Chart1"/>
      <sheetName val="BOP-RED40"/>
      <sheetName val="RED41"/>
      <sheetName val="RED42"/>
      <sheetName val="RED43"/>
      <sheetName val="RED44"/>
      <sheetName val="RED45"/>
      <sheetName val="RED46"/>
      <sheetName val="RED47"/>
      <sheetName val="RED48"/>
      <sheetName val="RED49"/>
      <sheetName val="RED51"/>
      <sheetName val="RED50"/>
      <sheetName val="Chart4"/>
      <sheetName val="Chart5"/>
      <sheetName val="Chart6"/>
      <sheetName val="Chart7"/>
      <sheetName val="Chart8"/>
      <sheetName val="Sheet1"/>
      <sheetName val="#REF"/>
      <sheetName val="S&amp;I DANE"/>
      <sheetName val="Table3"/>
      <sheetName val="IMATA"/>
      <sheetName val="Dsrv"/>
      <sheetName val="Dboj"/>
      <sheetName val="Dgg"/>
      <sheetName val="Dgov"/>
      <sheetName val="Summary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
          <cell r="A1" t="str">
            <v>Table  47.  Ecuador: External Debt 1/</v>
          </cell>
        </row>
        <row r="5">
          <cell r="D5">
            <v>1992</v>
          </cell>
          <cell r="E5">
            <v>1993</v>
          </cell>
          <cell r="F5">
            <v>1994</v>
          </cell>
          <cell r="G5">
            <v>1995</v>
          </cell>
          <cell r="H5">
            <v>1996</v>
          </cell>
          <cell r="I5">
            <v>1997</v>
          </cell>
        </row>
        <row r="8">
          <cell r="A8" t="str">
            <v>(In millions of U.S. dollars)</v>
          </cell>
        </row>
        <row r="10">
          <cell r="A10" t="str">
            <v>Total debt</v>
          </cell>
          <cell r="D10">
            <v>12795</v>
          </cell>
          <cell r="E10">
            <v>13631</v>
          </cell>
          <cell r="F10">
            <v>14589</v>
          </cell>
          <cell r="G10">
            <v>13934</v>
          </cell>
          <cell r="H10">
            <v>14589</v>
          </cell>
          <cell r="I10">
            <v>15198.139999999998</v>
          </cell>
        </row>
        <row r="11">
          <cell r="A11" t="str">
            <v>Private sector</v>
          </cell>
          <cell r="D11">
            <v>800</v>
          </cell>
          <cell r="E11">
            <v>606</v>
          </cell>
          <cell r="F11">
            <v>832</v>
          </cell>
          <cell r="G11">
            <v>1555</v>
          </cell>
          <cell r="H11">
            <v>1958</v>
          </cell>
          <cell r="I11">
            <v>2520.1170000000002</v>
          </cell>
        </row>
        <row r="12">
          <cell r="A12" t="str">
            <v>Public sector</v>
          </cell>
          <cell r="D12">
            <v>11995</v>
          </cell>
          <cell r="E12">
            <v>13025</v>
          </cell>
          <cell r="F12">
            <v>13757</v>
          </cell>
          <cell r="G12">
            <v>12379</v>
          </cell>
          <cell r="H12">
            <v>12631</v>
          </cell>
          <cell r="I12">
            <v>12678.022999999997</v>
          </cell>
        </row>
        <row r="13">
          <cell r="A13" t="str">
            <v xml:space="preserve">   Nonfinancial public sector</v>
          </cell>
          <cell r="D13">
            <v>10611</v>
          </cell>
          <cell r="E13">
            <v>12397</v>
          </cell>
          <cell r="F13">
            <v>12986</v>
          </cell>
          <cell r="G13">
            <v>11597</v>
          </cell>
          <cell r="H13">
            <v>11669</v>
          </cell>
          <cell r="I13">
            <v>11880.722999999998</v>
          </cell>
        </row>
        <row r="14">
          <cell r="A14" t="str">
            <v xml:space="preserve">   Financial public sector</v>
          </cell>
          <cell r="D14">
            <v>1384</v>
          </cell>
          <cell r="E14">
            <v>628</v>
          </cell>
          <cell r="F14">
            <v>771</v>
          </cell>
          <cell r="G14">
            <v>782</v>
          </cell>
          <cell r="H14">
            <v>962</v>
          </cell>
          <cell r="I14">
            <v>797.3</v>
          </cell>
        </row>
        <row r="16">
          <cell r="A16" t="str">
            <v>Total debt</v>
          </cell>
          <cell r="D16">
            <v>12795</v>
          </cell>
          <cell r="E16">
            <v>13631</v>
          </cell>
          <cell r="F16">
            <v>14589</v>
          </cell>
          <cell r="G16">
            <v>13934</v>
          </cell>
          <cell r="H16">
            <v>14589</v>
          </cell>
          <cell r="I16">
            <v>15198.139999999998</v>
          </cell>
        </row>
        <row r="17">
          <cell r="A17" t="str">
            <v>Multilaterals</v>
          </cell>
          <cell r="D17">
            <v>2463</v>
          </cell>
          <cell r="E17">
            <v>2572</v>
          </cell>
          <cell r="F17">
            <v>2928</v>
          </cell>
          <cell r="G17">
            <v>3563</v>
          </cell>
          <cell r="H17">
            <v>3564</v>
          </cell>
          <cell r="I17">
            <v>3479.0499999999997</v>
          </cell>
        </row>
        <row r="18">
          <cell r="A18" t="str">
            <v>Bilaterals</v>
          </cell>
          <cell r="D18">
            <v>2124</v>
          </cell>
          <cell r="E18">
            <v>2200</v>
          </cell>
          <cell r="F18">
            <v>2277</v>
          </cell>
          <cell r="G18">
            <v>2329</v>
          </cell>
          <cell r="H18">
            <v>2345</v>
          </cell>
          <cell r="I18">
            <v>2353.3729999999996</v>
          </cell>
        </row>
        <row r="19">
          <cell r="A19" t="str">
            <v>Commercial banks</v>
          </cell>
          <cell r="D19">
            <v>7895</v>
          </cell>
          <cell r="E19">
            <v>8620</v>
          </cell>
          <cell r="F19">
            <v>9191</v>
          </cell>
          <cell r="G19">
            <v>7910</v>
          </cell>
          <cell r="H19">
            <v>8574</v>
          </cell>
          <cell r="I19">
            <v>9300.7170000000006</v>
          </cell>
        </row>
        <row r="20">
          <cell r="A20" t="str">
            <v xml:space="preserve">Suppliers </v>
          </cell>
          <cell r="D20">
            <v>313</v>
          </cell>
          <cell r="E20">
            <v>239</v>
          </cell>
          <cell r="F20">
            <v>193</v>
          </cell>
          <cell r="G20">
            <v>132</v>
          </cell>
          <cell r="H20">
            <v>106</v>
          </cell>
          <cell r="I20">
            <v>65</v>
          </cell>
        </row>
        <row r="22">
          <cell r="A22" t="str">
            <v>(Shares in percent of total)</v>
          </cell>
        </row>
        <row r="24">
          <cell r="A24" t="str">
            <v>Total debt</v>
          </cell>
          <cell r="D24">
            <v>100</v>
          </cell>
          <cell r="E24">
            <v>100</v>
          </cell>
          <cell r="F24">
            <v>100</v>
          </cell>
          <cell r="G24">
            <v>100</v>
          </cell>
          <cell r="H24">
            <v>100</v>
          </cell>
          <cell r="I24">
            <v>100</v>
          </cell>
        </row>
        <row r="25">
          <cell r="A25" t="str">
            <v>Private sector</v>
          </cell>
          <cell r="D25">
            <v>6.2524423602969907</v>
          </cell>
          <cell r="E25">
            <v>4.4457486611400485</v>
          </cell>
          <cell r="F25">
            <v>5.7029268627047776</v>
          </cell>
          <cell r="G25">
            <v>11.159753121860199</v>
          </cell>
          <cell r="H25">
            <v>13.421070669682639</v>
          </cell>
          <cell r="I25">
            <v>16.581746187362405</v>
          </cell>
        </row>
        <row r="26">
          <cell r="A26" t="str">
            <v>Public sector</v>
          </cell>
          <cell r="D26">
            <v>93.747557639703004</v>
          </cell>
          <cell r="E26">
            <v>95.554251338859956</v>
          </cell>
          <cell r="F26">
            <v>94.297073137295214</v>
          </cell>
          <cell r="G26">
            <v>88.840246878139808</v>
          </cell>
          <cell r="H26">
            <v>86.578929330317365</v>
          </cell>
          <cell r="I26">
            <v>83.418253812637602</v>
          </cell>
        </row>
        <row r="27">
          <cell r="A27" t="str">
            <v xml:space="preserve">   Nonfinancial public sector</v>
          </cell>
          <cell r="D27">
            <v>82.930832356389217</v>
          </cell>
          <cell r="E27">
            <v>90.947105861638917</v>
          </cell>
          <cell r="F27">
            <v>89.012269518130097</v>
          </cell>
          <cell r="G27">
            <v>83.228075211712365</v>
          </cell>
          <cell r="H27">
            <v>79.984920145314959</v>
          </cell>
          <cell r="I27">
            <v>78.172217126569436</v>
          </cell>
        </row>
        <row r="28">
          <cell r="A28" t="str">
            <v xml:space="preserve">   Financial public sector</v>
          </cell>
          <cell r="D28">
            <v>10.816725283313794</v>
          </cell>
          <cell r="E28">
            <v>4.6071454772210405</v>
          </cell>
          <cell r="F28">
            <v>5.2848036191651246</v>
          </cell>
          <cell r="G28">
            <v>5.6121716664274439</v>
          </cell>
          <cell r="H28">
            <v>6.594009185002399</v>
          </cell>
          <cell r="I28">
            <v>5.2460366860681642</v>
          </cell>
        </row>
        <row r="30">
          <cell r="A30" t="str">
            <v>Total debt</v>
          </cell>
          <cell r="D30">
            <v>100</v>
          </cell>
          <cell r="E30">
            <v>100</v>
          </cell>
          <cell r="F30">
            <v>100</v>
          </cell>
          <cell r="G30">
            <v>100</v>
          </cell>
          <cell r="H30">
            <v>100</v>
          </cell>
          <cell r="I30">
            <v>100</v>
          </cell>
        </row>
        <row r="31">
          <cell r="A31" t="str">
            <v>Multilaterals</v>
          </cell>
          <cell r="D31">
            <v>19.24970691676436</v>
          </cell>
          <cell r="E31">
            <v>18.868755043650502</v>
          </cell>
          <cell r="F31">
            <v>20.069915689903354</v>
          </cell>
          <cell r="G31">
            <v>25.570546863786419</v>
          </cell>
          <cell r="H31">
            <v>24.429364589759409</v>
          </cell>
          <cell r="I31">
            <v>22.891288012875261</v>
          </cell>
        </row>
        <row r="32">
          <cell r="A32" t="str">
            <v>Bilaterals</v>
          </cell>
          <cell r="D32">
            <v>16.60023446658851</v>
          </cell>
          <cell r="E32">
            <v>16.139681608099185</v>
          </cell>
          <cell r="F32">
            <v>15.607649599012955</v>
          </cell>
          <cell r="G32">
            <v>16.714511267403473</v>
          </cell>
          <cell r="H32">
            <v>16.073754198368633</v>
          </cell>
          <cell r="I32">
            <v>15.484611932775985</v>
          </cell>
        </row>
        <row r="33">
          <cell r="A33" t="str">
            <v>Commercial banks</v>
          </cell>
          <cell r="D33">
            <v>61.703790543180922</v>
          </cell>
          <cell r="E33">
            <v>63.238207028097712</v>
          </cell>
          <cell r="F33">
            <v>62.999520186441835</v>
          </cell>
          <cell r="G33">
            <v>56.767618774221326</v>
          </cell>
          <cell r="H33">
            <v>58.770306395229277</v>
          </cell>
          <cell r="I33">
            <v>61.196416140396138</v>
          </cell>
        </row>
        <row r="34">
          <cell r="A34" t="str">
            <v xml:space="preserve">Suppliers </v>
          </cell>
          <cell r="D34">
            <v>2.4462680734661979</v>
          </cell>
          <cell r="E34">
            <v>1.7533563201525932</v>
          </cell>
          <cell r="F34">
            <v>1.3229145246418534</v>
          </cell>
          <cell r="G34">
            <v>0.94732309458877562</v>
          </cell>
          <cell r="H34">
            <v>0.72657481664267598</v>
          </cell>
          <cell r="I34">
            <v>0.4276839139526285</v>
          </cell>
        </row>
        <row r="36">
          <cell r="A36" t="str">
            <v>(In percent of GDP)</v>
          </cell>
        </row>
        <row r="38">
          <cell r="A38" t="str">
            <v>Total debt</v>
          </cell>
          <cell r="D38">
            <v>105.6</v>
          </cell>
          <cell r="E38">
            <v>95.294350296892645</v>
          </cell>
          <cell r="F38">
            <v>87.854751631120109</v>
          </cell>
          <cell r="G38">
            <v>77.658463210520594</v>
          </cell>
          <cell r="H38">
            <v>76.15493031267944</v>
          </cell>
          <cell r="I38">
            <v>76.913663967611328</v>
          </cell>
        </row>
        <row r="39">
          <cell r="A39" t="str">
            <v>Private sector</v>
          </cell>
          <cell r="D39">
            <v>6.6025791324736218</v>
          </cell>
          <cell r="E39">
            <v>4.2365473024662128</v>
          </cell>
          <cell r="F39">
            <v>5.0102922309337128</v>
          </cell>
          <cell r="G39">
            <v>8.6664927725247249</v>
          </cell>
          <cell r="H39">
            <v>10.220807015712273</v>
          </cell>
          <cell r="I39">
            <v>12.753628542510123</v>
          </cell>
        </row>
        <row r="40">
          <cell r="A40" t="str">
            <v>Public sector</v>
          </cell>
          <cell r="D40">
            <v>98.997420867526372</v>
          </cell>
          <cell r="E40">
            <v>91.057802994426424</v>
          </cell>
          <cell r="F40">
            <v>82.844459400186395</v>
          </cell>
          <cell r="G40">
            <v>68.991970437995874</v>
          </cell>
          <cell r="H40">
            <v>65.934123296967158</v>
          </cell>
          <cell r="I40">
            <v>64.160035425101199</v>
          </cell>
        </row>
        <row r="41">
          <cell r="A41" t="str">
            <v xml:space="preserve">   Nonfinancial public sector</v>
          </cell>
          <cell r="D41">
            <v>87.574958968347005</v>
          </cell>
          <cell r="E41">
            <v>86.667453644675959</v>
          </cell>
          <cell r="F41">
            <v>78.201508306376425</v>
          </cell>
          <cell r="G41">
            <v>64.63364416911206</v>
          </cell>
          <cell r="H41">
            <v>60.912460197316896</v>
          </cell>
          <cell r="I41">
            <v>58.415385234165257</v>
          </cell>
        </row>
        <row r="42">
          <cell r="A42" t="str">
            <v xml:space="preserve">   Financial public sector</v>
          </cell>
          <cell r="D42">
            <v>11.422461899179366</v>
          </cell>
          <cell r="E42">
            <v>4.3903493497504646</v>
          </cell>
          <cell r="F42">
            <v>4.642951093809967</v>
          </cell>
          <cell r="G42">
            <v>4.3583262688838174</v>
          </cell>
          <cell r="H42">
            <v>5.0216630996502589</v>
          </cell>
          <cell r="I42">
            <v>5.7446501909359462</v>
          </cell>
        </row>
        <row r="44">
          <cell r="A44" t="str">
            <v>Total debt</v>
          </cell>
          <cell r="D44">
            <v>105.6</v>
          </cell>
          <cell r="E44">
            <v>95.294350296892645</v>
          </cell>
          <cell r="F44">
            <v>87.854751631120109</v>
          </cell>
          <cell r="G44">
            <v>77.658463210520594</v>
          </cell>
          <cell r="H44">
            <v>76.15493031267944</v>
          </cell>
          <cell r="I44">
            <v>76.913663967611328</v>
          </cell>
        </row>
        <row r="45">
          <cell r="A45" t="str">
            <v>Multilaterals</v>
          </cell>
          <cell r="D45">
            <v>20.327690504103163</v>
          </cell>
          <cell r="E45">
            <v>17.980857527958907</v>
          </cell>
          <cell r="F45">
            <v>17.632374581939796</v>
          </cell>
          <cell r="G45">
            <v>19.857693728942508</v>
          </cell>
          <cell r="H45">
            <v>18.604165579161663</v>
          </cell>
          <cell r="I45">
            <v>17.60652834008097</v>
          </cell>
        </row>
        <row r="46">
          <cell r="A46" t="str">
            <v>Bilaterals</v>
          </cell>
          <cell r="D46">
            <v>17.529847596717467</v>
          </cell>
          <cell r="E46">
            <v>15.380204728425193</v>
          </cell>
          <cell r="F46">
            <v>13.712061790668345</v>
          </cell>
          <cell r="G46">
            <v>12.980232583414846</v>
          </cell>
          <cell r="H46">
            <v>12.240956308399019</v>
          </cell>
          <cell r="I46">
            <v>11.909782388663965</v>
          </cell>
        </row>
        <row r="47">
          <cell r="A47" t="str">
            <v>Commercial banks</v>
          </cell>
          <cell r="D47">
            <v>65.159202813599052</v>
          </cell>
          <cell r="E47">
            <v>60.262438526829627</v>
          </cell>
          <cell r="F47">
            <v>55.348071988595862</v>
          </cell>
          <cell r="G47">
            <v>44.084860341267259</v>
          </cell>
          <cell r="H47">
            <v>44.756485879835054</v>
          </cell>
          <cell r="I47">
            <v>47.068405870445339</v>
          </cell>
        </row>
        <row r="48">
          <cell r="A48" t="str">
            <v xml:space="preserve">Suppliers </v>
          </cell>
          <cell r="D48">
            <v>2.5832590855803046</v>
          </cell>
          <cell r="E48">
            <v>1.6708495136789188</v>
          </cell>
          <cell r="F48">
            <v>1.1622432699161138</v>
          </cell>
          <cell r="G48">
            <v>0.73567655689598965</v>
          </cell>
          <cell r="H48">
            <v>0.55332254528370828</v>
          </cell>
          <cell r="I48">
            <v>0.3289473684210526</v>
          </cell>
        </row>
        <row r="51">
          <cell r="A51" t="str">
            <v xml:space="preserve">   Sources: Central Bank of Ecuador; and Fund staff estimates.</v>
          </cell>
        </row>
        <row r="53">
          <cell r="A53" t="str">
            <v xml:space="preserve">   1/ Including unpaid late interest and outstanding obligations to the Fund.</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Input_external"/>
      <sheetName val="Table"/>
      <sheetName val="Table_SR"/>
      <sheetName val="Table_GEF"/>
      <sheetName val="A1_historical"/>
      <sheetName val="A2_alternative"/>
      <sheetName val="A3_market"/>
      <sheetName val="B1_irate"/>
      <sheetName val="B2_GDP"/>
      <sheetName val="B3_deflator"/>
      <sheetName val="B4_CAB"/>
      <sheetName val="B5_Combined"/>
      <sheetName val="B6_Depreciation"/>
      <sheetName val="Data_chart"/>
      <sheetName val="Figure"/>
      <sheetName val="External Sustainability-Arg"/>
      <sheetName val="ExtSust-Arg"/>
      <sheetName val="ControlSheet"/>
      <sheetName val="PanelChart"/>
      <sheetName val="Chartdata"/>
      <sheetName val="B3_CAB"/>
      <sheetName val="B4_Combined"/>
      <sheetName val="B5_Depreciation"/>
      <sheetName val="RED47"/>
      <sheetName val="T7"/>
      <sheetName val="Commercial Banks"/>
      <sheetName val="150dp"/>
      <sheetName val="Table 37"/>
      <sheetName val="Table3"/>
      <sheetName val="Annual BiH summary data"/>
      <sheetName val="Rank"/>
      <sheetName val="Q"/>
      <sheetName val="UCPI"/>
      <sheetName val="Table_26"/>
    </sheetNames>
    <sheetDataSet>
      <sheetData sheetId="0"/>
      <sheetData sheetId="1"/>
      <sheetData sheetId="2" refreshError="1">
        <row r="3">
          <cell r="B3" t="str">
            <v>External Debt Sustainability Framework, 1999-2009</v>
          </cell>
        </row>
        <row r="4">
          <cell r="B4" t="str">
            <v>(In percent of GDP, unless otherwise indicated)</v>
          </cell>
        </row>
        <row r="7">
          <cell r="F7" t="str">
            <v xml:space="preserve">Actual </v>
          </cell>
          <cell r="S7" t="str">
            <v>Projections</v>
          </cell>
        </row>
        <row r="8">
          <cell r="C8">
            <v>1993</v>
          </cell>
          <cell r="D8">
            <v>1994</v>
          </cell>
          <cell r="E8">
            <v>1995</v>
          </cell>
          <cell r="F8">
            <v>1996</v>
          </cell>
          <cell r="G8">
            <v>1997</v>
          </cell>
          <cell r="H8">
            <v>1998</v>
          </cell>
          <cell r="I8">
            <v>1999</v>
          </cell>
          <cell r="J8">
            <v>2000</v>
          </cell>
          <cell r="K8">
            <v>2001</v>
          </cell>
          <cell r="L8">
            <v>2002</v>
          </cell>
          <cell r="M8">
            <v>2003</v>
          </cell>
          <cell r="S8">
            <v>2004</v>
          </cell>
          <cell r="T8">
            <v>2005</v>
          </cell>
          <cell r="U8">
            <v>2006</v>
          </cell>
          <cell r="V8">
            <v>2007</v>
          </cell>
          <cell r="W8">
            <v>2008</v>
          </cell>
          <cell r="X8">
            <v>2009</v>
          </cell>
        </row>
        <row r="9">
          <cell r="AA9" t="str">
            <v>Debt-stabilizing</v>
          </cell>
        </row>
        <row r="10">
          <cell r="S10" t="str">
            <v xml:space="preserve">I.  Baseline  Projections </v>
          </cell>
          <cell r="AA10" t="str">
            <v xml:space="preserve">non-interest </v>
          </cell>
        </row>
        <row r="11">
          <cell r="AA11" t="str">
            <v>current account 6/</v>
          </cell>
        </row>
        <row r="12">
          <cell r="A12">
            <v>1</v>
          </cell>
          <cell r="B12" t="str">
            <v>External debt</v>
          </cell>
          <cell r="C12">
            <v>31.340704666677361</v>
          </cell>
          <cell r="D12">
            <v>32.662319300879389</v>
          </cell>
          <cell r="E12">
            <v>33.794637100239534</v>
          </cell>
          <cell r="F12">
            <v>58.968961161927339</v>
          </cell>
          <cell r="G12">
            <v>49.653987388290879</v>
          </cell>
          <cell r="H12">
            <v>38.526718061664901</v>
          </cell>
          <cell r="I12">
            <v>39.389845348447629</v>
          </cell>
          <cell r="J12">
            <v>36.932704431049835</v>
          </cell>
          <cell r="K12">
            <v>28.377240510095753</v>
          </cell>
          <cell r="L12">
            <v>26.374189292239969</v>
          </cell>
          <cell r="M12">
            <v>26.506294623465958</v>
          </cell>
          <cell r="S12">
            <v>29.253363303090886</v>
          </cell>
          <cell r="T12">
            <v>29.133352418114235</v>
          </cell>
          <cell r="U12">
            <v>28.948315023972814</v>
          </cell>
          <cell r="V12">
            <v>28.884108648373026</v>
          </cell>
          <cell r="W12">
            <v>28.717607837977237</v>
          </cell>
          <cell r="X12">
            <v>27.408414314203611</v>
          </cell>
          <cell r="AA12">
            <v>-0.91617544321247113</v>
          </cell>
        </row>
        <row r="14">
          <cell r="A14">
            <v>2</v>
          </cell>
          <cell r="B14" t="str">
            <v>Change in external debt</v>
          </cell>
          <cell r="D14">
            <v>1.3216146342020281</v>
          </cell>
          <cell r="E14">
            <v>1.1323177993601448</v>
          </cell>
          <cell r="F14">
            <v>25.174324061687805</v>
          </cell>
          <cell r="G14">
            <v>-9.31497377363646</v>
          </cell>
          <cell r="H14">
            <v>-11.127269326625978</v>
          </cell>
          <cell r="I14">
            <v>0.86312728678272777</v>
          </cell>
          <cell r="J14">
            <v>-2.4571409173977941</v>
          </cell>
          <cell r="K14">
            <v>-8.5554639209540824</v>
          </cell>
          <cell r="L14">
            <v>-2.0030512178557842</v>
          </cell>
          <cell r="M14">
            <v>0.13210533122598989</v>
          </cell>
          <cell r="S14">
            <v>2.7470686796249275</v>
          </cell>
          <cell r="T14">
            <v>-0.1200108849766508</v>
          </cell>
          <cell r="U14">
            <v>-0.18503739414142117</v>
          </cell>
          <cell r="V14">
            <v>-6.4206375599788146E-2</v>
          </cell>
          <cell r="W14">
            <v>-0.16650081039578879</v>
          </cell>
          <cell r="X14">
            <v>-1.3091935237736259</v>
          </cell>
          <cell r="Y14">
            <v>0</v>
          </cell>
        </row>
        <row r="15">
          <cell r="A15">
            <v>3</v>
          </cell>
          <cell r="B15" t="str">
            <v>Identified external debt-creating flows (4+8+9)</v>
          </cell>
          <cell r="D15">
            <v>-1.0567449307229433</v>
          </cell>
          <cell r="E15">
            <v>2.5803363856952037</v>
          </cell>
          <cell r="F15">
            <v>10.933211205897058</v>
          </cell>
          <cell r="G15">
            <v>-11.491050832340868</v>
          </cell>
          <cell r="H15">
            <v>-10.425565626597214</v>
          </cell>
          <cell r="I15">
            <v>-0.32006549815371532</v>
          </cell>
          <cell r="J15">
            <v>-4.4121284142804775</v>
          </cell>
          <cell r="K15">
            <v>-5.0404163788465421</v>
          </cell>
          <cell r="L15">
            <v>-2.2813757587304222</v>
          </cell>
          <cell r="M15">
            <v>-7.6702642728973314E-2</v>
          </cell>
          <cell r="S15">
            <v>1.6341037203788824</v>
          </cell>
          <cell r="T15">
            <v>0.11756703849557903</v>
          </cell>
          <cell r="U15">
            <v>-3.4430735801422196E-2</v>
          </cell>
          <cell r="V15">
            <v>6.033213749066435E-2</v>
          </cell>
          <cell r="W15">
            <v>6.2416713289692227E-2</v>
          </cell>
          <cell r="X15">
            <v>-6.8565049627570818E-2</v>
          </cell>
          <cell r="Y15">
            <v>0</v>
          </cell>
        </row>
        <row r="16">
          <cell r="A16">
            <v>4</v>
          </cell>
          <cell r="B16" t="str">
            <v>Current account deficit, excluding interest payments</v>
          </cell>
          <cell r="D16">
            <v>3.0911403405228386</v>
          </cell>
          <cell r="E16">
            <v>4.2433900009100416</v>
          </cell>
          <cell r="F16">
            <v>-4.1925967455261368</v>
          </cell>
          <cell r="G16">
            <v>-3.319142366718844</v>
          </cell>
          <cell r="H16">
            <v>-1.244114132943114</v>
          </cell>
          <cell r="I16">
            <v>0.8531017839225522</v>
          </cell>
          <cell r="J16">
            <v>0.21794015361399607</v>
          </cell>
          <cell r="K16">
            <v>0.78657133100194698</v>
          </cell>
          <cell r="L16">
            <v>0.82781349110010505</v>
          </cell>
          <cell r="M16">
            <v>0.56915382870300568</v>
          </cell>
          <cell r="S16">
            <v>0.26758260073971502</v>
          </cell>
          <cell r="T16">
            <v>0.87109282685465672</v>
          </cell>
          <cell r="U16">
            <v>0.78304582404535927</v>
          </cell>
          <cell r="V16">
            <v>0.78826652733512448</v>
          </cell>
          <cell r="W16">
            <v>0.86394676288675132</v>
          </cell>
          <cell r="X16">
            <v>0.81438624000576743</v>
          </cell>
          <cell r="Y16">
            <v>0.91617544321247113</v>
          </cell>
        </row>
        <row r="17">
          <cell r="A17">
            <v>5</v>
          </cell>
          <cell r="B17" t="str">
            <v>Deficit in balance of goods and services</v>
          </cell>
          <cell r="D17">
            <v>3.8712429116613869</v>
          </cell>
          <cell r="E17">
            <v>4.855824299790557</v>
          </cell>
          <cell r="F17">
            <v>-2.7089379343370439</v>
          </cell>
          <cell r="G17">
            <v>-2.1299883524274925</v>
          </cell>
          <cell r="H17">
            <v>-2.3271113465511917E-2</v>
          </cell>
          <cell r="I17">
            <v>2.0952923493050264</v>
          </cell>
          <cell r="J17">
            <v>1.5344954075776656</v>
          </cell>
          <cell r="K17">
            <v>1.7761369791457433</v>
          </cell>
          <cell r="L17">
            <v>2.1649046954161051</v>
          </cell>
          <cell r="M17">
            <v>1.8794207904020794</v>
          </cell>
          <cell r="S17">
            <v>1.7442748243373174</v>
          </cell>
          <cell r="T17">
            <v>2.7038975020237288</v>
          </cell>
          <cell r="U17">
            <v>2.9393212535192745</v>
          </cell>
          <cell r="V17">
            <v>3.014477807572888</v>
          </cell>
          <cell r="W17">
            <v>3.1107570315603361</v>
          </cell>
          <cell r="X17">
            <v>3.0954775872624865</v>
          </cell>
        </row>
        <row r="18">
          <cell r="A18">
            <v>6</v>
          </cell>
          <cell r="B18" t="str">
            <v>Exports</v>
          </cell>
          <cell r="C18">
            <v>13.122053146898471</v>
          </cell>
          <cell r="D18">
            <v>11.125352493649149</v>
          </cell>
          <cell r="E18">
            <v>12.053370427838681</v>
          </cell>
          <cell r="F18">
            <v>22.023486842881145</v>
          </cell>
          <cell r="G18">
            <v>22.950755403710836</v>
          </cell>
          <cell r="H18">
            <v>21.29595728582208</v>
          </cell>
          <cell r="I18">
            <v>20.535082075780675</v>
          </cell>
          <cell r="J18">
            <v>20.302749966192845</v>
          </cell>
          <cell r="K18">
            <v>20.374771830224532</v>
          </cell>
          <cell r="L18">
            <v>18.186888584228008</v>
          </cell>
          <cell r="M18">
            <v>17.780339184669394</v>
          </cell>
          <cell r="S18">
            <v>19.769185125932268</v>
          </cell>
          <cell r="T18">
            <v>19.620018823937652</v>
          </cell>
          <cell r="U18">
            <v>19.979670421595848</v>
          </cell>
          <cell r="V18">
            <v>20.546608156393063</v>
          </cell>
          <cell r="W18">
            <v>21.091089050990988</v>
          </cell>
          <cell r="X18">
            <v>21.74571520901403</v>
          </cell>
        </row>
        <row r="19">
          <cell r="A19">
            <v>7</v>
          </cell>
          <cell r="B19" t="str">
            <v xml:space="preserve">Imports </v>
          </cell>
          <cell r="D19">
            <v>14.996595405310536</v>
          </cell>
          <cell r="E19">
            <v>16.909194727629238</v>
          </cell>
          <cell r="F19">
            <v>19.314548908544101</v>
          </cell>
          <cell r="G19">
            <v>20.820767051283344</v>
          </cell>
          <cell r="H19">
            <v>21.272686172356568</v>
          </cell>
          <cell r="I19">
            <v>22.630374425085702</v>
          </cell>
          <cell r="J19">
            <v>21.837245373770511</v>
          </cell>
          <cell r="K19">
            <v>22.150908809370275</v>
          </cell>
          <cell r="L19">
            <v>20.351793279644113</v>
          </cell>
          <cell r="M19">
            <v>19.659759975071474</v>
          </cell>
          <cell r="S19">
            <v>21.513459950269585</v>
          </cell>
          <cell r="T19">
            <v>22.323916325961381</v>
          </cell>
          <cell r="U19">
            <v>22.918991675115123</v>
          </cell>
          <cell r="V19">
            <v>23.561085963965951</v>
          </cell>
          <cell r="W19">
            <v>24.201846082551324</v>
          </cell>
          <cell r="X19">
            <v>24.841192796276516</v>
          </cell>
        </row>
        <row r="20">
          <cell r="A20">
            <v>8</v>
          </cell>
          <cell r="B20" t="str">
            <v>Net non-debt creating capital inflows (negative)</v>
          </cell>
          <cell r="D20">
            <v>-3.7587261409853001</v>
          </cell>
          <cell r="E20">
            <v>-2.8810277034106733</v>
          </cell>
          <cell r="F20">
            <v>-3.1201576139771774</v>
          </cell>
          <cell r="G20">
            <v>-3.2857756269976317</v>
          </cell>
          <cell r="H20">
            <v>-3.612389658732003</v>
          </cell>
          <cell r="I20">
            <v>-1.7478112652211142</v>
          </cell>
          <cell r="J20">
            <v>-2.2370170941375536</v>
          </cell>
          <cell r="K20">
            <v>-1.8175004527825667</v>
          </cell>
          <cell r="L20">
            <v>-3.2475449867511399</v>
          </cell>
          <cell r="M20">
            <v>-1.4628376604759876</v>
          </cell>
          <cell r="S20">
            <v>-1.4794794838447756</v>
          </cell>
          <cell r="T20">
            <v>-1.5791153331554699</v>
          </cell>
          <cell r="U20">
            <v>-1.6177970590720876</v>
          </cell>
          <cell r="V20">
            <v>-1.6160687581681108</v>
          </cell>
          <cell r="W20">
            <v>-1.6140124019239743</v>
          </cell>
          <cell r="X20">
            <v>-1.6117344648541607</v>
          </cell>
          <cell r="Y20">
            <v>-1.6117344648541607</v>
          </cell>
        </row>
        <row r="21">
          <cell r="A21" t="str">
            <v>hide</v>
          </cell>
          <cell r="B21" t="str">
            <v>Net foreign direct investment, equity</v>
          </cell>
          <cell r="D21">
            <v>1.1011226519583903</v>
          </cell>
          <cell r="E21">
            <v>1.9105054695319534</v>
          </cell>
          <cell r="F21">
            <v>2.9388059216289619</v>
          </cell>
          <cell r="G21">
            <v>2.44295627485472</v>
          </cell>
          <cell r="H21">
            <v>2.8103847728247184</v>
          </cell>
          <cell r="I21">
            <v>1.9060551889075283</v>
          </cell>
          <cell r="J21">
            <v>1.4535830272536621</v>
          </cell>
          <cell r="K21">
            <v>1.7406510404283986</v>
          </cell>
          <cell r="L21">
            <v>3.223350192553176</v>
          </cell>
          <cell r="M21">
            <v>1.3786169841157567</v>
          </cell>
          <cell r="S21">
            <v>1.3784146722124986</v>
          </cell>
          <cell r="T21">
            <v>1.3769857098909168</v>
          </cell>
          <cell r="U21">
            <v>1.3752415111546239</v>
          </cell>
          <cell r="V21">
            <v>1.3735132102506464</v>
          </cell>
          <cell r="W21">
            <v>1.3714568540065086</v>
          </cell>
          <cell r="X21">
            <v>1.369178916936697</v>
          </cell>
        </row>
        <row r="22">
          <cell r="A22" t="str">
            <v>hide</v>
          </cell>
          <cell r="B22" t="str">
            <v>Net portfolio investment,equity</v>
          </cell>
          <cell r="D22">
            <v>2.65760348902691</v>
          </cell>
          <cell r="E22">
            <v>0.97052223387871972</v>
          </cell>
          <cell r="F22">
            <v>0.18135169234821547</v>
          </cell>
          <cell r="G22">
            <v>0.8428193521429117</v>
          </cell>
          <cell r="H22">
            <v>0.80200488590728458</v>
          </cell>
          <cell r="I22">
            <v>-0.1582439236864141</v>
          </cell>
          <cell r="J22">
            <v>0.78343406688389139</v>
          </cell>
          <cell r="K22">
            <v>7.6849412354168117E-2</v>
          </cell>
          <cell r="L22">
            <v>2.4194794197963842E-2</v>
          </cell>
          <cell r="M22">
            <v>8.4220676360230839E-2</v>
          </cell>
          <cell r="S22">
            <v>0.10106481163227699</v>
          </cell>
          <cell r="T22">
            <v>0.20212962326455311</v>
          </cell>
          <cell r="U22">
            <v>0.24255554791746373</v>
          </cell>
          <cell r="V22">
            <v>0.24255554791746428</v>
          </cell>
          <cell r="W22">
            <v>0.24255554791746572</v>
          </cell>
          <cell r="X22">
            <v>0.2425555479174637</v>
          </cell>
        </row>
        <row r="23">
          <cell r="A23">
            <v>9</v>
          </cell>
          <cell r="B23" t="str">
            <v>Automatic debt dynamics 1/</v>
          </cell>
          <cell r="D23">
            <v>-0.38915913026048177</v>
          </cell>
          <cell r="E23">
            <v>1.2179740881958352</v>
          </cell>
          <cell r="F23">
            <v>18.245965565400372</v>
          </cell>
          <cell r="G23">
            <v>-4.8861328386243912</v>
          </cell>
          <cell r="H23">
            <v>-5.5690618349220973</v>
          </cell>
          <cell r="I23">
            <v>0.57464398314484666</v>
          </cell>
          <cell r="J23">
            <v>-2.3930514737569206</v>
          </cell>
          <cell r="K23">
            <v>-4.0094872570659223</v>
          </cell>
          <cell r="L23">
            <v>0.13835573692061276</v>
          </cell>
          <cell r="M23">
            <v>0.81698118904400863</v>
          </cell>
          <cell r="S23">
            <v>2.8460006034839429</v>
          </cell>
          <cell r="T23">
            <v>0.82558954479639224</v>
          </cell>
          <cell r="U23">
            <v>0.80032049922530613</v>
          </cell>
          <cell r="V23">
            <v>0.88813436832365067</v>
          </cell>
          <cell r="W23">
            <v>0.81248235232691524</v>
          </cell>
          <cell r="X23">
            <v>0.72878317522082248</v>
          </cell>
          <cell r="Y23">
            <v>0.69555902164168959</v>
          </cell>
        </row>
        <row r="24">
          <cell r="A24" t="str">
            <v>hide</v>
          </cell>
          <cell r="B24" t="str">
            <v>Denominator: 1+g+r+gr</v>
          </cell>
          <cell r="D24">
            <v>1.1090008476352009</v>
          </cell>
          <cell r="E24">
            <v>1.0434736949102459</v>
          </cell>
          <cell r="F24">
            <v>0.68013857038512504</v>
          </cell>
          <cell r="G24">
            <v>1.1612690855164858</v>
          </cell>
          <cell r="H24">
            <v>1.2062167455108586</v>
          </cell>
          <cell r="I24">
            <v>1.0498886075662297</v>
          </cell>
          <cell r="J24">
            <v>1.1430796642188585</v>
          </cell>
          <cell r="K24">
            <v>1.2085063273547045</v>
          </cell>
          <cell r="L24">
            <v>1.0734514363268328</v>
          </cell>
          <cell r="M24">
            <v>1.0279245246069721</v>
          </cell>
          <cell r="S24">
            <v>0.95609731868811043</v>
          </cell>
          <cell r="T24">
            <v>1.0492581884106229</v>
          </cell>
          <cell r="U24">
            <v>1.0578192085759333</v>
          </cell>
          <cell r="V24">
            <v>1.0552603556416997</v>
          </cell>
          <cell r="W24">
            <v>1.0562149319344867</v>
          </cell>
          <cell r="X24">
            <v>1.056881260658489</v>
          </cell>
          <cell r="Y24">
            <v>1.056881260658489</v>
          </cell>
        </row>
        <row r="25">
          <cell r="A25">
            <v>10</v>
          </cell>
          <cell r="B25" t="str">
            <v>Contribution from nominal interest rate</v>
          </cell>
          <cell r="D25">
            <v>2.7116155861388718</v>
          </cell>
          <cell r="E25">
            <v>2.8059992073812121</v>
          </cell>
          <cell r="F25">
            <v>4.7434474443680612</v>
          </cell>
          <cell r="G25">
            <v>4.0203175165945888</v>
          </cell>
          <cell r="H25">
            <v>3.1022496924239471</v>
          </cell>
          <cell r="I25">
            <v>2.9700436127329986</v>
          </cell>
          <cell r="J25">
            <v>2.6911968330978349</v>
          </cell>
          <cell r="K25">
            <v>2.3285303143480918</v>
          </cell>
          <cell r="L25">
            <v>2.0426724188745227</v>
          </cell>
          <cell r="M25">
            <v>1.6230384861969329</v>
          </cell>
          <cell r="S25">
            <v>1.9148050655380271</v>
          </cell>
          <cell r="T25">
            <v>2.2488808130056559</v>
          </cell>
          <cell r="U25">
            <v>2.4365974603964378</v>
          </cell>
          <cell r="V25">
            <v>2.4483834990106428</v>
          </cell>
          <cell r="W25">
            <v>2.3941659578164276</v>
          </cell>
          <cell r="X25">
            <v>2.3185109090593672</v>
          </cell>
          <cell r="Y25">
            <v>2.2128134051424526</v>
          </cell>
        </row>
        <row r="26">
          <cell r="A26">
            <v>11</v>
          </cell>
          <cell r="B26" t="str">
            <v xml:space="preserve">Contribution from real GDP growth </v>
          </cell>
          <cell r="D26">
            <v>-0.55121896166263407</v>
          </cell>
          <cell r="E26">
            <v>-1.382064371191583</v>
          </cell>
          <cell r="F26">
            <v>3.0642480462382928</v>
          </cell>
          <cell r="G26">
            <v>-2.6168408298249051</v>
          </cell>
          <cell r="H26">
            <v>-2.7876866530839228</v>
          </cell>
          <cell r="I26">
            <v>-1.8459472030033095</v>
          </cell>
          <cell r="J26">
            <v>-1.2381656016870823</v>
          </cell>
          <cell r="K26">
            <v>-2.0072546232961468</v>
          </cell>
          <cell r="L26">
            <v>8.2789218109836235E-2</v>
          </cell>
          <cell r="M26">
            <v>-0.23185649595264501</v>
          </cell>
          <cell r="S26">
            <v>-0.63183163279552357</v>
          </cell>
          <cell r="T26">
            <v>-1.0315615871951969</v>
          </cell>
          <cell r="U26">
            <v>-1.1704906355753957</v>
          </cell>
          <cell r="V26">
            <v>-1.0972956529337303</v>
          </cell>
          <cell r="W26">
            <v>-1.0938723843060105</v>
          </cell>
          <cell r="X26">
            <v>-1.0868811438699364</v>
          </cell>
          <cell r="Y26">
            <v>-1.0373318303374754</v>
          </cell>
        </row>
        <row r="27">
          <cell r="A27">
            <v>12</v>
          </cell>
          <cell r="B27" t="str">
            <v xml:space="preserve">Contribution from price and exchange rate changes 2/ </v>
          </cell>
          <cell r="D27">
            <v>-2.5495557547367196</v>
          </cell>
          <cell r="E27">
            <v>-0.20596074799379385</v>
          </cell>
          <cell r="F27">
            <v>10.438270074794017</v>
          </cell>
          <cell r="G27">
            <v>-6.2896095253940754</v>
          </cell>
          <cell r="H27">
            <v>-5.8836248742621216</v>
          </cell>
          <cell r="I27">
            <v>-0.54945242658484239</v>
          </cell>
          <cell r="J27">
            <v>-3.8460827051676731</v>
          </cell>
          <cell r="K27">
            <v>-4.3307629481178678</v>
          </cell>
          <cell r="L27">
            <v>-1.9871059000637463</v>
          </cell>
          <cell r="M27">
            <v>-0.57420080120027928</v>
          </cell>
          <cell r="S27">
            <v>1.5630271707414392</v>
          </cell>
          <cell r="T27">
            <v>-0.3917296810140668</v>
          </cell>
          <cell r="U27">
            <v>-0.46578632559573602</v>
          </cell>
          <cell r="V27">
            <v>-0.46295347775326173</v>
          </cell>
          <cell r="W27">
            <v>-0.48781122118350184</v>
          </cell>
          <cell r="X27">
            <v>-0.50284658996860832</v>
          </cell>
          <cell r="Y27">
            <v>-0.47992255316328764</v>
          </cell>
        </row>
        <row r="28">
          <cell r="A28">
            <v>13</v>
          </cell>
          <cell r="B28" t="str">
            <v>Residual, incl. change in gross foreign assets (2-3)</v>
          </cell>
          <cell r="D28">
            <v>2.3783595649249714</v>
          </cell>
          <cell r="E28">
            <v>-1.448018586335059</v>
          </cell>
          <cell r="F28">
            <v>14.241112855790748</v>
          </cell>
          <cell r="G28">
            <v>2.1760770587044078</v>
          </cell>
          <cell r="H28">
            <v>-0.70170370002876403</v>
          </cell>
          <cell r="I28">
            <v>1.183192784936443</v>
          </cell>
          <cell r="J28">
            <v>1.9549874968826835</v>
          </cell>
          <cell r="K28">
            <v>-3.5150475421075402</v>
          </cell>
          <cell r="L28">
            <v>0.27832454087463798</v>
          </cell>
          <cell r="M28">
            <v>0.2088079739549632</v>
          </cell>
          <cell r="S28">
            <v>1.1129649592460451</v>
          </cell>
          <cell r="T28">
            <v>-0.23757792347222983</v>
          </cell>
          <cell r="U28">
            <v>-0.15060665833999898</v>
          </cell>
          <cell r="V28">
            <v>-0.1245385130904525</v>
          </cell>
          <cell r="W28">
            <v>-0.22891752368548102</v>
          </cell>
          <cell r="X28">
            <v>-1.2406284741460549</v>
          </cell>
          <cell r="Y28">
            <v>0</v>
          </cell>
        </row>
        <row r="30">
          <cell r="B30" t="str">
            <v>External debt-to-exports ratio (in percent)</v>
          </cell>
          <cell r="C30">
            <v>238.83994612599975</v>
          </cell>
          <cell r="D30">
            <v>293.58457918096985</v>
          </cell>
          <cell r="E30">
            <v>280.37499803529499</v>
          </cell>
          <cell r="F30">
            <v>267.7548817887955</v>
          </cell>
          <cell r="G30">
            <v>216.35012231563618</v>
          </cell>
          <cell r="H30">
            <v>180.91094729662288</v>
          </cell>
          <cell r="I30">
            <v>191.81732609145251</v>
          </cell>
          <cell r="J30">
            <v>181.90986192780969</v>
          </cell>
          <cell r="K30">
            <v>139.27635973817448</v>
          </cell>
          <cell r="L30">
            <v>145.01759974002445</v>
          </cell>
          <cell r="M30">
            <v>149.07642845373994</v>
          </cell>
          <cell r="S30">
            <v>147.97455290515606</v>
          </cell>
          <cell r="T30">
            <v>148.48789228769607</v>
          </cell>
          <cell r="U30">
            <v>144.88885158327153</v>
          </cell>
          <cell r="V30">
            <v>140.57847615780688</v>
          </cell>
          <cell r="W30">
            <v>136.1599098488843</v>
          </cell>
          <cell r="X30">
            <v>126.0405282179097</v>
          </cell>
        </row>
        <row r="32">
          <cell r="B32" t="str">
            <v>Gross external financing need (in billions of US dollars) 3/</v>
          </cell>
          <cell r="D32">
            <v>49.809402258051044</v>
          </cell>
          <cell r="E32">
            <v>56.037830081692292</v>
          </cell>
          <cell r="F32">
            <v>36.7023598165907</v>
          </cell>
          <cell r="G32">
            <v>56.411010005177815</v>
          </cell>
          <cell r="H32">
            <v>66.614535826162111</v>
          </cell>
          <cell r="I32">
            <v>61.194110095710101</v>
          </cell>
          <cell r="J32">
            <v>59.862534310445099</v>
          </cell>
          <cell r="K32">
            <v>70.750282676462206</v>
          </cell>
          <cell r="L32">
            <v>68.878287470992504</v>
          </cell>
          <cell r="M32">
            <v>51.2728470236246</v>
          </cell>
          <cell r="S32">
            <v>50.321172660215296</v>
          </cell>
          <cell r="T32">
            <v>59.613123117101296</v>
          </cell>
          <cell r="U32">
            <v>58.859856831764588</v>
          </cell>
          <cell r="V32">
            <v>63.627538241590493</v>
          </cell>
          <cell r="W32">
            <v>69.432686897588894</v>
          </cell>
          <cell r="X32">
            <v>71.815156457356608</v>
          </cell>
        </row>
        <row r="33">
          <cell r="B33" t="str">
            <v>in percent of GDP</v>
          </cell>
          <cell r="D33">
            <v>12.352205104915861</v>
          </cell>
          <cell r="E33">
            <v>13.317814734823841</v>
          </cell>
          <cell r="F33">
            <v>12.824730377479504</v>
          </cell>
          <cell r="G33">
            <v>16.974041737340691</v>
          </cell>
          <cell r="H33">
            <v>16.617475335934021</v>
          </cell>
          <cell r="I33">
            <v>14.53993406613149</v>
          </cell>
          <cell r="J33">
            <v>12.44318087259445</v>
          </cell>
          <cell r="K33">
            <v>12.169018906842885</v>
          </cell>
          <cell r="L33">
            <v>11.036397285224206</v>
          </cell>
          <cell r="M33">
            <v>7.9922892008963773</v>
          </cell>
          <cell r="O33" t="str">
            <v>10-Year</v>
          </cell>
          <cell r="Q33" t="str">
            <v>10-Year</v>
          </cell>
          <cell r="S33">
            <v>8.2041276717685676</v>
          </cell>
          <cell r="T33">
            <v>9.2627760685273088</v>
          </cell>
          <cell r="U33">
            <v>8.6458369770439347</v>
          </cell>
          <cell r="V33">
            <v>8.8567286456715255</v>
          </cell>
          <cell r="W33">
            <v>9.1503959540788422</v>
          </cell>
          <cell r="X33">
            <v>8.9550049182362361</v>
          </cell>
        </row>
        <row r="34">
          <cell r="O34" t="str">
            <v>Historical</v>
          </cell>
          <cell r="Q34" t="str">
            <v xml:space="preserve">Standard </v>
          </cell>
          <cell r="Y34" t="str">
            <v>For debt</v>
          </cell>
          <cell r="AA34" t="str">
            <v>Projected</v>
          </cell>
        </row>
        <row r="35">
          <cell r="B35" t="str">
            <v>Key Macroeconomic Assumptions</v>
          </cell>
          <cell r="O35" t="str">
            <v>Average</v>
          </cell>
          <cell r="Q35" t="str">
            <v>Deviation</v>
          </cell>
          <cell r="Y35" t="str">
            <v>stabilization</v>
          </cell>
          <cell r="AA35" t="str">
            <v>Average</v>
          </cell>
        </row>
        <row r="37">
          <cell r="A37" t="str">
            <v>hide</v>
          </cell>
          <cell r="B37" t="str">
            <v xml:space="preserve">Nominal GDP (US dollars)  </v>
          </cell>
          <cell r="C37">
            <v>363.60927898113795</v>
          </cell>
          <cell r="D37">
            <v>403.24299859810606</v>
          </cell>
          <cell r="E37">
            <v>420.77346169385294</v>
          </cell>
          <cell r="F37">
            <v>286.18426069245726</v>
          </cell>
          <cell r="G37">
            <v>332.33693470354149</v>
          </cell>
          <cell r="H37">
            <v>400.87037579116048</v>
          </cell>
          <cell r="I37">
            <v>420.86924065393282</v>
          </cell>
          <cell r="J37">
            <v>481.0870702867436</v>
          </cell>
          <cell r="K37">
            <v>581.39676845006704</v>
          </cell>
          <cell r="L37">
            <v>624.10119616850341</v>
          </cell>
          <cell r="M37">
            <v>641.52892537815171</v>
          </cell>
          <cell r="S37">
            <v>613.36408541491573</v>
          </cell>
          <cell r="T37">
            <v>643.57728909859304</v>
          </cell>
          <cell r="U37">
            <v>680.78841861171827</v>
          </cell>
          <cell r="V37">
            <v>718.40902874095218</v>
          </cell>
          <cell r="W37">
            <v>758.79434339274542</v>
          </cell>
          <cell r="X37">
            <v>801.95552222545518</v>
          </cell>
          <cell r="Y37">
            <v>847.57176332167592</v>
          </cell>
        </row>
        <row r="38">
          <cell r="B38" t="str">
            <v>Real GDP growth (in percent)</v>
          </cell>
          <cell r="D38">
            <v>1.9505059066729169</v>
          </cell>
          <cell r="E38">
            <v>4.4153258154336239</v>
          </cell>
          <cell r="F38">
            <v>-6.1669941277728739</v>
          </cell>
          <cell r="G38">
            <v>5.1533150618820356</v>
          </cell>
          <cell r="H38">
            <v>6.7719724015153027</v>
          </cell>
          <cell r="I38">
            <v>5.0303764143624807</v>
          </cell>
          <cell r="J38">
            <v>3.5931136761357951</v>
          </cell>
          <cell r="K38">
            <v>6.5681079959744038</v>
          </cell>
          <cell r="L38">
            <v>-0.3131742322188158</v>
          </cell>
          <cell r="M38">
            <v>0.90365233880111973</v>
          </cell>
          <cell r="O38">
            <v>2.7906201250785987</v>
          </cell>
          <cell r="Q38">
            <v>3.917792922964717</v>
          </cell>
          <cell r="S38">
            <v>2.2790531025159932</v>
          </cell>
          <cell r="T38">
            <v>3.700000000000192</v>
          </cell>
          <cell r="U38">
            <v>4.2500000000001759</v>
          </cell>
          <cell r="V38">
            <v>4.0000000000000924</v>
          </cell>
          <cell r="W38">
            <v>3.9999999999995373</v>
          </cell>
          <cell r="X38">
            <v>4.000000000000381</v>
          </cell>
          <cell r="Y38">
            <v>4.000000000000381</v>
          </cell>
          <cell r="AA38">
            <v>3.7048421837527283</v>
          </cell>
        </row>
        <row r="39">
          <cell r="B39" t="str">
            <v>Exchange rate appreciation (US dollar value of local currency, change in percent)</v>
          </cell>
          <cell r="D39">
            <v>-0.65271003326620169</v>
          </cell>
          <cell r="E39">
            <v>-7.6999807414066641</v>
          </cell>
          <cell r="F39">
            <v>-47.419967518347114</v>
          </cell>
          <cell r="G39">
            <v>-15.533158686000048</v>
          </cell>
          <cell r="H39">
            <v>-4.0287724357118133</v>
          </cell>
          <cell r="I39">
            <v>-13.323615612449036</v>
          </cell>
          <cell r="J39">
            <v>-4.44405123842464</v>
          </cell>
          <cell r="K39">
            <v>1.1101044534612026</v>
          </cell>
          <cell r="L39">
            <v>1.2197784760976882</v>
          </cell>
          <cell r="M39">
            <v>-3.2759417558727022</v>
          </cell>
          <cell r="O39">
            <v>-9.4048315091919328</v>
          </cell>
          <cell r="Q39">
            <v>14.499390149632067</v>
          </cell>
          <cell r="S39">
            <v>-10.074391091011181</v>
          </cell>
          <cell r="T39">
            <v>-1.6949152542372503</v>
          </cell>
          <cell r="U39">
            <v>-1.4563106796113501</v>
          </cell>
          <cell r="V39">
            <v>-1.4563106796115832</v>
          </cell>
          <cell r="W39">
            <v>-1.4563106796123826</v>
          </cell>
          <cell r="X39">
            <v>-1.456310679611128</v>
          </cell>
          <cell r="Y39">
            <v>-1.456310679611128</v>
          </cell>
          <cell r="AA39">
            <v>-2.9324248439491463</v>
          </cell>
        </row>
        <row r="40">
          <cell r="A40" t="str">
            <v>hide</v>
          </cell>
          <cell r="B40" t="str">
            <v>GDP deflator (change in domestic currency)</v>
          </cell>
          <cell r="D40">
            <v>9.4930284775049287</v>
          </cell>
          <cell r="E40">
            <v>8.27182712642065</v>
          </cell>
          <cell r="F40">
            <v>37.854492984192412</v>
          </cell>
          <cell r="G40">
            <v>30.744564293556454</v>
          </cell>
          <cell r="H40">
            <v>17.713707368008347</v>
          </cell>
          <cell r="I40">
            <v>15.326075747008261</v>
          </cell>
          <cell r="J40">
            <v>15.474976599303968</v>
          </cell>
          <cell r="K40">
            <v>12.157188511137251</v>
          </cell>
          <cell r="L40">
            <v>6.3847191839087492</v>
          </cell>
          <cell r="M40">
            <v>5.3221779984464312</v>
          </cell>
          <cell r="O40">
            <v>15.874275828948743</v>
          </cell>
          <cell r="Q40">
            <v>10.655367103070978</v>
          </cell>
          <cell r="S40">
            <v>3.9518001174397632</v>
          </cell>
          <cell r="T40">
            <v>2.9266004659106448</v>
          </cell>
          <cell r="U40">
            <v>2.9690172433361584</v>
          </cell>
          <cell r="V40">
            <v>2.9668592564369822</v>
          </cell>
          <cell r="W40">
            <v>3.0600018844765264</v>
          </cell>
          <cell r="X40">
            <v>3.1250188024094294</v>
          </cell>
          <cell r="Y40">
            <v>3.1250188024094294</v>
          </cell>
          <cell r="AA40">
            <v>3.1665496283349177</v>
          </cell>
        </row>
        <row r="41">
          <cell r="B41" t="str">
            <v>GDP deflator in US dollars (change in percent)</v>
          </cell>
          <cell r="D41">
            <v>8.7783564949052373</v>
          </cell>
          <cell r="E41">
            <v>-6.5082710682862199E-2</v>
          </cell>
          <cell r="F41">
            <v>-27.516062811493736</v>
          </cell>
          <cell r="G41">
            <v>10.43580364851897</v>
          </cell>
          <cell r="H41">
            <v>12.971289972511556</v>
          </cell>
          <cell r="I41">
            <v>-3.9527286444929199E-2</v>
          </cell>
          <cell r="J41">
            <v>10.343209471672044</v>
          </cell>
          <cell r="K41">
            <v>13.402250455676267</v>
          </cell>
          <cell r="L41">
            <v>7.6823770903710287</v>
          </cell>
          <cell r="M41">
            <v>1.8718847912007508</v>
          </cell>
          <cell r="O41">
            <v>3.7864499116234329</v>
          </cell>
          <cell r="Q41">
            <v>12.097348448933181</v>
          </cell>
          <cell r="S41">
            <v>-6.5207107725373419</v>
          </cell>
          <cell r="T41">
            <v>1.1820818139461009</v>
          </cell>
          <cell r="U41">
            <v>1.4694684485305975</v>
          </cell>
          <cell r="V41">
            <v>1.4673418886248735</v>
          </cell>
          <cell r="W41">
            <v>1.5591280706241717</v>
          </cell>
          <cell r="X41">
            <v>1.6231981402389462</v>
          </cell>
          <cell r="Y41">
            <v>1.6231981402389462</v>
          </cell>
          <cell r="AA41">
            <v>0.13008459823789131</v>
          </cell>
        </row>
        <row r="42">
          <cell r="B42" t="str">
            <v>Nominal external interest rate (in percent)</v>
          </cell>
          <cell r="D42">
            <v>9.5951383846393998</v>
          </cell>
          <cell r="E42">
            <v>8.9644165616936533</v>
          </cell>
          <cell r="F42">
            <v>9.546489740191948</v>
          </cell>
          <cell r="G42">
            <v>7.9171658343474149</v>
          </cell>
          <cell r="H42">
            <v>7.536122927038261</v>
          </cell>
          <cell r="I42">
            <v>8.0936428272771259</v>
          </cell>
          <cell r="J42">
            <v>7.8097599650656289</v>
          </cell>
          <cell r="K42">
            <v>7.6193814173031509</v>
          </cell>
          <cell r="L42">
            <v>7.7270009436117055</v>
          </cell>
          <cell r="M42">
            <v>6.3257340191824616</v>
          </cell>
          <cell r="O42">
            <v>8.1134852620350735</v>
          </cell>
          <cell r="Q42">
            <v>1.0014975726804585</v>
          </cell>
          <cell r="S42">
            <v>6.9068121930198778</v>
          </cell>
          <cell r="T42">
            <v>8.0662745796357846</v>
          </cell>
          <cell r="U42">
            <v>8.8471781763505177</v>
          </cell>
          <cell r="V42">
            <v>8.9251551939158773</v>
          </cell>
          <cell r="W42">
            <v>8.754827316844974</v>
          </cell>
          <cell r="X42">
            <v>8.5327118687672705</v>
          </cell>
          <cell r="Y42">
            <v>8.5327118687672705</v>
          </cell>
          <cell r="AA42">
            <v>8.3388265547557179</v>
          </cell>
        </row>
        <row r="43">
          <cell r="B43" t="str">
            <v>Growth of exports (US dollar terms, in percent)</v>
          </cell>
          <cell r="D43">
            <v>-5.974886646351429</v>
          </cell>
          <cell r="E43">
            <v>13.051473952294579</v>
          </cell>
          <cell r="F43">
            <v>24.272484164404062</v>
          </cell>
          <cell r="G43">
            <v>21.01627199053091</v>
          </cell>
          <cell r="H43">
            <v>11.924596110196983</v>
          </cell>
          <cell r="I43">
            <v>1.2377534263417589</v>
          </cell>
          <cell r="J43">
            <v>13.014696159634841</v>
          </cell>
          <cell r="K43">
            <v>21.279337608135982</v>
          </cell>
          <cell r="L43">
            <v>-4.1817899325133574</v>
          </cell>
          <cell r="M43">
            <v>0.49463171837988984</v>
          </cell>
          <cell r="O43">
            <v>9.6134568551054222</v>
          </cell>
          <cell r="Q43">
            <v>11.037030952845093</v>
          </cell>
          <cell r="S43">
            <v>6.3042987832864661</v>
          </cell>
          <cell r="T43">
            <v>4.1341121378989154</v>
          </cell>
          <cell r="U43">
            <v>7.7209932499892719</v>
          </cell>
          <cell r="V43">
            <v>8.5204138648357741</v>
          </cell>
          <cell r="W43">
            <v>8.4204410618754721</v>
          </cell>
          <cell r="X43">
            <v>8.9684788132994075</v>
          </cell>
          <cell r="AA43">
            <v>7.3447896518642173</v>
          </cell>
        </row>
        <row r="44">
          <cell r="B44" t="str">
            <v>Growth of imports  (US dollar terms, in percent)</v>
          </cell>
          <cell r="D44">
            <v>-16.186702425684775</v>
          </cell>
          <cell r="E44">
            <v>17.655370592634668</v>
          </cell>
          <cell r="F44">
            <v>-22.311086400667534</v>
          </cell>
          <cell r="G44">
            <v>25.182903457299165</v>
          </cell>
          <cell r="H44">
            <v>23.239793326981161</v>
          </cell>
          <cell r="I44">
            <v>11.689572728856778</v>
          </cell>
          <cell r="J44">
            <v>10.301803410041877</v>
          </cell>
          <cell r="K44">
            <v>22.586493830100252</v>
          </cell>
          <cell r="L44">
            <v>-1.3735196335638356</v>
          </cell>
          <cell r="M44">
            <v>-0.70285626144138691</v>
          </cell>
          <cell r="O44">
            <v>7.0081772624556375</v>
          </cell>
          <cell r="Q44">
            <v>16.699736153228454</v>
          </cell>
          <cell r="S44">
            <v>4.6246820929563226</v>
          </cell>
          <cell r="T44">
            <v>8.8785906895234135</v>
          </cell>
          <cell r="U44">
            <v>8.6016865550341706</v>
          </cell>
          <cell r="V44">
            <v>8.4824337217028969</v>
          </cell>
          <cell r="W44">
            <v>8.4939431563792347</v>
          </cell>
          <cell r="X44">
            <v>8.4801178771137131</v>
          </cell>
          <cell r="AA44">
            <v>7.9269090154516251</v>
          </cell>
        </row>
        <row r="45">
          <cell r="B45" t="str">
            <v xml:space="preserve">Current account balance, excluding interest payments </v>
          </cell>
          <cell r="D45">
            <v>-3.0911403405228386</v>
          </cell>
          <cell r="E45">
            <v>-4.2433900009100416</v>
          </cell>
          <cell r="F45">
            <v>4.1925967455261368</v>
          </cell>
          <cell r="G45">
            <v>3.319142366718844</v>
          </cell>
          <cell r="H45">
            <v>1.244114132943114</v>
          </cell>
          <cell r="I45">
            <v>-0.8531017839225522</v>
          </cell>
          <cell r="J45">
            <v>-0.21794015361399607</v>
          </cell>
          <cell r="K45">
            <v>-0.78657133100194698</v>
          </cell>
          <cell r="L45">
            <v>-0.82781349110010505</v>
          </cell>
          <cell r="M45">
            <v>-0.56915382870300568</v>
          </cell>
          <cell r="O45">
            <v>-0.18332576845863913</v>
          </cell>
          <cell r="Q45">
            <v>2.5770569714646832</v>
          </cell>
          <cell r="S45">
            <v>-0.26758260073971502</v>
          </cell>
          <cell r="T45">
            <v>-0.87109282685465672</v>
          </cell>
          <cell r="U45">
            <v>-0.78304582404535927</v>
          </cell>
          <cell r="V45">
            <v>-0.78826652733512448</v>
          </cell>
          <cell r="W45">
            <v>-0.86394676288675132</v>
          </cell>
          <cell r="X45">
            <v>-0.81438624000576743</v>
          </cell>
          <cell r="AA45">
            <v>-0.73138679697789577</v>
          </cell>
        </row>
        <row r="46">
          <cell r="B46" t="str">
            <v xml:space="preserve">Net non-debt creating capital inflows </v>
          </cell>
          <cell r="D46">
            <v>3.7587261409853001</v>
          </cell>
          <cell r="E46">
            <v>2.8810277034106733</v>
          </cell>
          <cell r="F46">
            <v>3.1201576139771774</v>
          </cell>
          <cell r="G46">
            <v>3.2857756269976317</v>
          </cell>
          <cell r="H46">
            <v>3.612389658732003</v>
          </cell>
          <cell r="I46">
            <v>1.7478112652211142</v>
          </cell>
          <cell r="J46">
            <v>2.2370170941375536</v>
          </cell>
          <cell r="K46">
            <v>1.8175004527825667</v>
          </cell>
          <cell r="L46">
            <v>3.2475449867511399</v>
          </cell>
          <cell r="M46">
            <v>1.4628376604759876</v>
          </cell>
          <cell r="O46">
            <v>2.7170788203471146</v>
          </cell>
          <cell r="Q46">
            <v>0.83220415367493195</v>
          </cell>
          <cell r="S46">
            <v>1.4794794838447756</v>
          </cell>
          <cell r="T46">
            <v>1.5791153331554699</v>
          </cell>
          <cell r="U46">
            <v>1.6177970590720876</v>
          </cell>
          <cell r="V46">
            <v>1.6160687581681108</v>
          </cell>
          <cell r="W46">
            <v>1.6140124019239743</v>
          </cell>
          <cell r="X46">
            <v>1.6117344648541607</v>
          </cell>
          <cell r="AA46">
            <v>1.58636791683643</v>
          </cell>
        </row>
        <row r="48">
          <cell r="AA48" t="str">
            <v>Debt-stabilizing</v>
          </cell>
        </row>
        <row r="49">
          <cell r="S49" t="str">
            <v xml:space="preserve">II. Stress Tests for External Debt Ratio </v>
          </cell>
          <cell r="AA49" t="str">
            <v xml:space="preserve">non-interest </v>
          </cell>
        </row>
        <row r="50">
          <cell r="B50" t="str">
            <v>A. Alternative Scenarios</v>
          </cell>
          <cell r="AA50" t="str">
            <v>current account 6/</v>
          </cell>
        </row>
        <row r="52">
          <cell r="B52" t="str">
            <v>A1. Key variables are at their historical averages in 2005-09 4/</v>
          </cell>
          <cell r="S52">
            <v>29.253363303090886</v>
          </cell>
          <cell r="T52">
            <v>26.829099954567639</v>
          </cell>
          <cell r="U52">
            <v>24.468484589107014</v>
          </cell>
          <cell r="V52">
            <v>22.105964728381007</v>
          </cell>
          <cell r="W52">
            <v>19.616618533535686</v>
          </cell>
          <cell r="X52">
            <v>16.142364382922707</v>
          </cell>
          <cell r="AA52">
            <v>-2.5250792361965031</v>
          </cell>
        </row>
        <row r="53">
          <cell r="B53" t="str">
            <v>A2. Country-specific shock in 2005, with reduction in GDP growth (relative to baseline) of one standard deviation 5/</v>
          </cell>
          <cell r="S53">
            <v>29.253363303090886</v>
          </cell>
          <cell r="T53">
            <v>29.133352418114235</v>
          </cell>
          <cell r="U53">
            <v>28.948315023972814</v>
          </cell>
          <cell r="V53">
            <v>28.884108648373026</v>
          </cell>
          <cell r="W53">
            <v>28.717607837977237</v>
          </cell>
          <cell r="X53">
            <v>27.408414314203611</v>
          </cell>
          <cell r="AA53">
            <v>-0.91617544321247113</v>
          </cell>
        </row>
        <row r="54">
          <cell r="B54" t="str">
            <v>A3. Selected variables are consistent with market forecast in 2005-09</v>
          </cell>
          <cell r="S54">
            <v>29.253363303090886</v>
          </cell>
          <cell r="T54">
            <v>29.133352418114235</v>
          </cell>
          <cell r="U54">
            <v>28.948315023972814</v>
          </cell>
          <cell r="V54">
            <v>28.884108648373026</v>
          </cell>
          <cell r="W54">
            <v>28.717607837977237</v>
          </cell>
          <cell r="X54">
            <v>27.408414314203611</v>
          </cell>
          <cell r="AA54">
            <v>-0.91617544321247113</v>
          </cell>
        </row>
        <row r="56">
          <cell r="B56" t="str">
            <v>B. Bound Tests</v>
          </cell>
          <cell r="S56">
            <v>38.362436203717643</v>
          </cell>
          <cell r="T56">
            <v>38.527900116837472</v>
          </cell>
          <cell r="U56">
            <v>38.387419038301594</v>
          </cell>
          <cell r="V56">
            <v>37.16681898699688</v>
          </cell>
          <cell r="W56">
            <v>36.032126332955464</v>
          </cell>
          <cell r="X56">
            <v>35.114974340195531</v>
          </cell>
          <cell r="AA56">
            <v>-1.6813520341400905</v>
          </cell>
        </row>
        <row r="57">
          <cell r="B57" t="str">
            <v>B2. Real GDP growth is at baseline minus one-half standard deviations</v>
          </cell>
          <cell r="S57">
            <v>38.362436203717643</v>
          </cell>
          <cell r="T57">
            <v>38.883882918112946</v>
          </cell>
          <cell r="U57">
            <v>39.092278481420763</v>
          </cell>
          <cell r="V57">
            <v>38.185953657929879</v>
          </cell>
          <cell r="W57">
            <v>37.340634172405345</v>
          </cell>
          <cell r="X57">
            <v>36.698769476919189</v>
          </cell>
          <cell r="AA57">
            <v>-1.4406636974909182</v>
          </cell>
        </row>
        <row r="58">
          <cell r="B58" t="str">
            <v>B1. Nominal interest rate is at historical average plus two standard deviations in 2005 and 2006</v>
          </cell>
          <cell r="S58">
            <v>29.253363303090886</v>
          </cell>
          <cell r="T58">
            <v>29.704002647906499</v>
          </cell>
          <cell r="U58">
            <v>29.890545158038439</v>
          </cell>
          <cell r="V58">
            <v>29.855246405014988</v>
          </cell>
          <cell r="W58">
            <v>29.71606277094461</v>
          </cell>
          <cell r="X58">
            <v>28.432207609630289</v>
          </cell>
          <cell r="AA58">
            <v>-0.8901940546225714</v>
          </cell>
        </row>
        <row r="59">
          <cell r="B59" t="str">
            <v>B2. Real GDP growth is at historical average minus two standard deviations in 2005 and 2006</v>
          </cell>
          <cell r="S59">
            <v>29.253363303090886</v>
          </cell>
          <cell r="T59">
            <v>31.736189573570137</v>
          </cell>
          <cell r="U59">
            <v>34.462679576988535</v>
          </cell>
          <cell r="V59">
            <v>34.221274766587449</v>
          </cell>
          <cell r="W59">
            <v>33.838162074880437</v>
          </cell>
          <cell r="X59">
            <v>32.091298341321917</v>
          </cell>
          <cell r="AA59">
            <v>-1.118068802688537</v>
          </cell>
        </row>
        <row r="60">
          <cell r="B60" t="str">
            <v>B3. Change in US dollar GDP deflator is at historical average minus two standard deviations in 2005 and 2006</v>
          </cell>
          <cell r="S60">
            <v>29.253363303090886</v>
          </cell>
          <cell r="T60">
            <v>36.013663384280235</v>
          </cell>
          <cell r="U60">
            <v>44.082226176980647</v>
          </cell>
          <cell r="V60">
            <v>43.401931843078515</v>
          </cell>
          <cell r="W60">
            <v>42.499895372162698</v>
          </cell>
          <cell r="X60">
            <v>39.769998793420612</v>
          </cell>
          <cell r="AA60">
            <v>-1.6028733639031496</v>
          </cell>
        </row>
        <row r="61">
          <cell r="B61" t="str">
            <v xml:space="preserve">B4. Non-interest current account is at historical average minus two standard deviations in 2005 and 2006 </v>
          </cell>
          <cell r="S61">
            <v>29.253363303090886</v>
          </cell>
          <cell r="T61">
            <v>33.599699302647579</v>
          </cell>
          <cell r="U61">
            <v>38.091750531320457</v>
          </cell>
          <cell r="V61">
            <v>38.308064777107489</v>
          </cell>
          <cell r="W61">
            <v>38.406650839805536</v>
          </cell>
          <cell r="X61">
            <v>37.343341707362917</v>
          </cell>
          <cell r="AA61">
            <v>-0.66405110291139724</v>
          </cell>
        </row>
        <row r="62">
          <cell r="B62" t="str">
            <v>B5. Combination of 2-5 using one standard deviation shocks</v>
          </cell>
          <cell r="S62">
            <v>29.253363303090886</v>
          </cell>
          <cell r="T62">
            <v>35.809282808825124</v>
          </cell>
          <cell r="U62">
            <v>43.409809955313449</v>
          </cell>
          <cell r="V62">
            <v>43.455457560019831</v>
          </cell>
          <cell r="W62">
            <v>43.35567115596416</v>
          </cell>
          <cell r="X62">
            <v>41.703582643317446</v>
          </cell>
          <cell r="AA62">
            <v>-1.1183612642318437</v>
          </cell>
        </row>
        <row r="63">
          <cell r="B63" t="str">
            <v>B6. One time 30 percent nominal depreciation in 2005</v>
          </cell>
          <cell r="S63">
            <v>29.253363303090886</v>
          </cell>
          <cell r="T63">
            <v>39.3894773083166</v>
          </cell>
          <cell r="U63">
            <v>38.771116463025848</v>
          </cell>
          <cell r="V63">
            <v>38.304444566770002</v>
          </cell>
          <cell r="W63">
            <v>37.657724686058124</v>
          </cell>
          <cell r="X63">
            <v>35.422032844214542</v>
          </cell>
          <cell r="AA63">
            <v>-1.3645275524051657</v>
          </cell>
        </row>
        <row r="64">
          <cell r="B64" t="str">
            <v>g = real GDP growth rate, e = nominal appreciation (increase in dollar value of domestic currency), and a = share of domestic-currency denominated debt in total external debt.</v>
          </cell>
        </row>
        <row r="65">
          <cell r="B65" t="str">
            <v xml:space="preserve">2/ The contribution from price and exchange rate changes is defined as [-r(1+g) + ea(1+r)]/(1+g+r+gr) times previous period debt stock. r increases with an appreciating domestic currency (e &gt; 0) </v>
          </cell>
        </row>
        <row r="66">
          <cell r="B66" t="str">
            <v xml:space="preserve">1/ Derived as [r - g - r(1+g) + ea(1+r)]/(1+g+r+gr) times previous period debt stock, with r = nominal effective interest rate on external debt; r = change in domestic GDP deflator in US dollar terms, </v>
          </cell>
        </row>
        <row r="67">
          <cell r="B67" t="str">
            <v>g = real GDP growth rate, e = nominal appreciation (increase in dollar value of domestic currency), and a = share of domestic-currency denominated debt in total external debt.</v>
          </cell>
        </row>
        <row r="68">
          <cell r="B68" t="str">
            <v xml:space="preserve">2/ The contribution from price and exchange rate changes is defined as [-r(1+g) + ea(1+r)]/(1+g+r+gr) times previous period debt stock. r increases with an appreciating domestic currency (e &gt; 0) </v>
          </cell>
        </row>
        <row r="69">
          <cell r="B69" t="str">
            <v xml:space="preserve">and rising inflation (based on GDP deflator). </v>
          </cell>
        </row>
        <row r="70">
          <cell r="B70" t="str">
            <v xml:space="preserve">3/ Defined as current account deficit, plus amortization on medium- and long-term debt, plus short-term debt at end of previous period. </v>
          </cell>
        </row>
        <row r="71">
          <cell r="B71" t="str">
            <v>4/ The key variables include real GDP growth; nominal interest rate; dollar deflator growth; and both non-interest current account and non-debt inflows in percent of GDP.</v>
          </cell>
        </row>
        <row r="72">
          <cell r="B72" t="str">
            <v xml:space="preserve">5/ The implied change in other key variables under this scenario is discussed in the text. </v>
          </cell>
        </row>
        <row r="73">
          <cell r="B73" t="str">
            <v xml:space="preserve">6/ Long-run, constant balance that stabilizes the debt ratio assuming that key variables (real GDP growth, nominal interest rate, dollar deflator growth, and both non-interest current account and non-debt inflows in percent of GDP) remain </v>
          </cell>
        </row>
      </sheetData>
      <sheetData sheetId="3"/>
      <sheetData sheetId="4">
        <row r="2">
          <cell r="B2" t="str">
            <v>Table --. Country: External Sustainability Framework--Gross External Financing Need, 2000-2010</v>
          </cell>
        </row>
        <row r="7">
          <cell r="F7" t="str">
            <v xml:space="preserve">Actual </v>
          </cell>
          <cell r="O7" t="str">
            <v>Projections</v>
          </cell>
        </row>
        <row r="8">
          <cell r="C8">
            <v>1994</v>
          </cell>
          <cell r="D8">
            <v>1995</v>
          </cell>
          <cell r="E8">
            <v>1996</v>
          </cell>
          <cell r="F8">
            <v>1997</v>
          </cell>
          <cell r="G8">
            <v>1998</v>
          </cell>
          <cell r="H8">
            <v>1999</v>
          </cell>
          <cell r="I8">
            <v>2000</v>
          </cell>
          <cell r="J8">
            <v>2001</v>
          </cell>
          <cell r="K8">
            <v>2002</v>
          </cell>
          <cell r="L8">
            <v>2003</v>
          </cell>
          <cell r="M8">
            <v>2004</v>
          </cell>
          <cell r="O8">
            <v>2005</v>
          </cell>
          <cell r="P8">
            <v>2006</v>
          </cell>
          <cell r="Q8">
            <v>2007</v>
          </cell>
          <cell r="R8">
            <v>2008</v>
          </cell>
          <cell r="S8">
            <v>2009</v>
          </cell>
          <cell r="T8">
            <v>2010</v>
          </cell>
        </row>
        <row r="10">
          <cell r="C10" t="str">
            <v>I. Baseline Projections</v>
          </cell>
        </row>
        <row r="12">
          <cell r="B12" t="str">
            <v>Gross external financing need in billions of U.S. dollars 1/</v>
          </cell>
          <cell r="D12">
            <v>49.809402258051044</v>
          </cell>
          <cell r="E12">
            <v>56.037830081692292</v>
          </cell>
          <cell r="F12">
            <v>36.7023598165907</v>
          </cell>
          <cell r="G12">
            <v>56.411010005177815</v>
          </cell>
          <cell r="H12">
            <v>66.614535826162111</v>
          </cell>
          <cell r="I12">
            <v>61.194110095710101</v>
          </cell>
          <cell r="J12">
            <v>59.862534310445099</v>
          </cell>
          <cell r="K12">
            <v>70.750282676462206</v>
          </cell>
          <cell r="L12">
            <v>68.878287470992504</v>
          </cell>
          <cell r="M12">
            <v>51.2728470236246</v>
          </cell>
          <cell r="O12">
            <v>50.321172660215296</v>
          </cell>
          <cell r="P12">
            <v>59.613123117101296</v>
          </cell>
          <cell r="Q12">
            <v>58.859856831764588</v>
          </cell>
          <cell r="R12">
            <v>63.627538241590493</v>
          </cell>
          <cell r="S12">
            <v>69.432686897588894</v>
          </cell>
          <cell r="T12">
            <v>71.815156457356608</v>
          </cell>
        </row>
        <row r="13">
          <cell r="B13" t="str">
            <v>in percent of GDP</v>
          </cell>
          <cell r="D13">
            <v>12.352205104915861</v>
          </cell>
          <cell r="E13">
            <v>13.317814734823841</v>
          </cell>
          <cell r="F13">
            <v>12.824730377479504</v>
          </cell>
          <cell r="G13">
            <v>16.974041737340691</v>
          </cell>
          <cell r="H13">
            <v>16.617475335934021</v>
          </cell>
          <cell r="I13">
            <v>14.53993406613149</v>
          </cell>
          <cell r="J13">
            <v>12.44318087259445</v>
          </cell>
          <cell r="K13">
            <v>12.169018906842885</v>
          </cell>
          <cell r="L13">
            <v>11.036397285224206</v>
          </cell>
          <cell r="M13">
            <v>7.9922892008963773</v>
          </cell>
          <cell r="O13">
            <v>8.2041276717685676</v>
          </cell>
          <cell r="P13">
            <v>9.2627760685273088</v>
          </cell>
          <cell r="Q13">
            <v>8.6458369770439347</v>
          </cell>
          <cell r="R13">
            <v>8.8567286456715255</v>
          </cell>
          <cell r="S13">
            <v>9.1503959540788422</v>
          </cell>
          <cell r="T13">
            <v>8.9550049182362361</v>
          </cell>
        </row>
        <row r="15">
          <cell r="C15" t="str">
            <v>II. Stress Tests</v>
          </cell>
        </row>
        <row r="16">
          <cell r="B16" t="str">
            <v>Gross external financing need in billions of U.S. dollars 2/</v>
          </cell>
        </row>
        <row r="18">
          <cell r="B18" t="str">
            <v>A. Alternative Scenarios</v>
          </cell>
        </row>
        <row r="20">
          <cell r="B20" t="str">
            <v>A1. Key variables are at their historical averages in 2005-09 3/</v>
          </cell>
          <cell r="O20">
            <v>50.321172660215296</v>
          </cell>
          <cell r="P20">
            <v>53.61499870323177</v>
          </cell>
          <cell r="Q20">
            <v>48.516687732653395</v>
          </cell>
          <cell r="R20">
            <v>48.337754970396531</v>
          </cell>
          <cell r="S20">
            <v>47.992584342430987</v>
          </cell>
          <cell r="T20">
            <v>44.75443122440425</v>
          </cell>
        </row>
        <row r="21">
          <cell r="B21" t="str">
            <v>A2. Country-specific shock in 2005, with reduction in GDP growth (relative to baseline) of one standard deviation 4/</v>
          </cell>
          <cell r="O21">
            <v>50.321172660215296</v>
          </cell>
          <cell r="P21">
            <v>59.613123117101296</v>
          </cell>
          <cell r="Q21">
            <v>58.859856831764588</v>
          </cell>
          <cell r="R21">
            <v>63.627538241590493</v>
          </cell>
          <cell r="S21">
            <v>69.432686897588894</v>
          </cell>
          <cell r="T21">
            <v>71.815156457356608</v>
          </cell>
        </row>
        <row r="22">
          <cell r="B22" t="str">
            <v>A3. Selected variables are consistent with market forecast in 2005-09</v>
          </cell>
          <cell r="O22">
            <v>50.321172660215296</v>
          </cell>
          <cell r="P22">
            <v>59.613123117101296</v>
          </cell>
          <cell r="Q22">
            <v>58.859856831764596</v>
          </cell>
          <cell r="R22">
            <v>63.627538241590493</v>
          </cell>
          <cell r="S22">
            <v>69.432686897588894</v>
          </cell>
          <cell r="T22">
            <v>71.815156457356608</v>
          </cell>
        </row>
        <row r="24">
          <cell r="B24" t="str">
            <v>B. Bound Tests</v>
          </cell>
        </row>
        <row r="26">
          <cell r="B26" t="str">
            <v>B1. Nominal interest rate is at historical average plus two standard deviations in 2005 and 2006</v>
          </cell>
          <cell r="O26">
            <v>50.321172660215296</v>
          </cell>
          <cell r="P26">
            <v>63.808328174348361</v>
          </cell>
          <cell r="Q26">
            <v>62.634472808366496</v>
          </cell>
          <cell r="R26">
            <v>65.547638256399068</v>
          </cell>
          <cell r="S26">
            <v>71.590041716286322</v>
          </cell>
          <cell r="T26">
            <v>74.177091087846719</v>
          </cell>
        </row>
        <row r="27">
          <cell r="B27" t="str">
            <v>B2. Real GDP growth is at historical average minus two standard deviations in 2005 and 2006</v>
          </cell>
          <cell r="O27">
            <v>50.321172660215296</v>
          </cell>
          <cell r="P27">
            <v>59.073977492886215</v>
          </cell>
          <cell r="Q27">
            <v>57.735302075391651</v>
          </cell>
          <cell r="R27">
            <v>62.154420466521145</v>
          </cell>
          <cell r="S27">
            <v>67.44107995767277</v>
          </cell>
          <cell r="T27">
            <v>69.415067126561823</v>
          </cell>
        </row>
        <row r="28">
          <cell r="B28" t="str">
            <v>B3. Change in US dollar GDP deflator is at historical average minus two standard deviations in 2005 and 2006</v>
          </cell>
          <cell r="O28">
            <v>50.321172660215296</v>
          </cell>
          <cell r="P28">
            <v>58.248909515532169</v>
          </cell>
          <cell r="Q28">
            <v>56.234384867522813</v>
          </cell>
          <cell r="R28">
            <v>60.194042862651337</v>
          </cell>
          <cell r="S28">
            <v>64.798532395689094</v>
          </cell>
          <cell r="T28">
            <v>66.234769298596291</v>
          </cell>
        </row>
        <row r="29">
          <cell r="B29" t="str">
            <v xml:space="preserve">B4. Non-interest current account is at historical average minus two standard deviations in 2005 and 2006 </v>
          </cell>
          <cell r="O29">
            <v>50.321172660215296</v>
          </cell>
          <cell r="P29">
            <v>92.393560373466798</v>
          </cell>
          <cell r="Q29">
            <v>101.79783897931311</v>
          </cell>
          <cell r="R29">
            <v>82.227220601839306</v>
          </cell>
          <cell r="S29">
            <v>90.330616201612486</v>
          </cell>
          <cell r="T29">
            <v>94.694815612594681</v>
          </cell>
        </row>
        <row r="30">
          <cell r="B30" t="str">
            <v>B5. Combination of 2-5 using one standard deviation shocks</v>
          </cell>
          <cell r="O30">
            <v>50.321172660215296</v>
          </cell>
          <cell r="P30">
            <v>72.86996924773382</v>
          </cell>
          <cell r="Q30">
            <v>72.405129034890663</v>
          </cell>
          <cell r="R30">
            <v>70.12775261490188</v>
          </cell>
          <cell r="S30">
            <v>76.736092289327118</v>
          </cell>
          <cell r="T30">
            <v>79.811136518564183</v>
          </cell>
        </row>
        <row r="31">
          <cell r="B31" t="str">
            <v>B6. One time 30 percent nominal depreciation in 2005</v>
          </cell>
          <cell r="O31">
            <v>50.321172660215296</v>
          </cell>
          <cell r="P31">
            <v>57.772286657857066</v>
          </cell>
          <cell r="Q31">
            <v>56.678812836179958</v>
          </cell>
          <cell r="R31">
            <v>60.813876523506245</v>
          </cell>
          <cell r="S31">
            <v>65.687649403929996</v>
          </cell>
          <cell r="T31">
            <v>67.33397741968443</v>
          </cell>
        </row>
        <row r="32">
          <cell r="B32" t="str">
            <v>Gross external financing need in percent of GDP 2/</v>
          </cell>
        </row>
        <row r="33">
          <cell r="B33" t="str">
            <v>Gross external financing need in percent of GDP 2/</v>
          </cell>
        </row>
        <row r="34">
          <cell r="B34" t="str">
            <v>A. Alternative Scenarios</v>
          </cell>
        </row>
        <row r="35">
          <cell r="B35" t="str">
            <v>A. Alternative Scenarios</v>
          </cell>
        </row>
        <row r="36">
          <cell r="B36" t="str">
            <v>A1. Key variables are at their historical averages in 2006-10 3/</v>
          </cell>
          <cell r="O36">
            <v>14.920185054561713</v>
          </cell>
          <cell r="P36">
            <v>13.858381744658772</v>
          </cell>
          <cell r="Q36">
            <v>13.427138370155225</v>
          </cell>
          <cell r="R36">
            <v>13.867381056961539</v>
          </cell>
          <cell r="S36">
            <v>13.660136680554141</v>
          </cell>
          <cell r="T36">
            <v>13.806678880115783</v>
          </cell>
        </row>
        <row r="37">
          <cell r="B37" t="str">
            <v>A1. Key variables are at their historical averages in 2005-09 3/</v>
          </cell>
          <cell r="O37">
            <v>8.2041276717685676</v>
          </cell>
          <cell r="P37">
            <v>8.1935821788025684</v>
          </cell>
          <cell r="Q37">
            <v>6.9499953612180061</v>
          </cell>
          <cell r="R37">
            <v>6.4906128314574607</v>
          </cell>
          <cell r="S37">
            <v>6.0405880885605079</v>
          </cell>
          <cell r="T37">
            <v>5.2801588026553956</v>
          </cell>
        </row>
        <row r="38">
          <cell r="B38" t="str">
            <v>A2. Country-specific shock in 2005, with reduction in GDP growth (relative to baseline) of one standard deviation 4/</v>
          </cell>
          <cell r="O38">
            <v>8.2041276717685676</v>
          </cell>
          <cell r="P38">
            <v>9.2627760685273088</v>
          </cell>
          <cell r="Q38">
            <v>8.6458369770439347</v>
          </cell>
          <cell r="R38">
            <v>8.8567286456715255</v>
          </cell>
          <cell r="S38">
            <v>9.1503959540788422</v>
          </cell>
          <cell r="T38">
            <v>8.9550049182362361</v>
          </cell>
        </row>
        <row r="39">
          <cell r="B39" t="str">
            <v>A3. Selected variables are consistent with market forecast in 2005-09</v>
          </cell>
          <cell r="O39">
            <v>8.2041276717685676</v>
          </cell>
          <cell r="P39">
            <v>9.2627760685273088</v>
          </cell>
          <cell r="Q39">
            <v>8.6458369770439365</v>
          </cell>
          <cell r="R39">
            <v>8.8567286456715255</v>
          </cell>
          <cell r="S39">
            <v>9.1503959540788422</v>
          </cell>
          <cell r="T39">
            <v>8.9550049182362361</v>
          </cell>
        </row>
        <row r="40">
          <cell r="B40" t="str">
            <v>B. Bound Tests</v>
          </cell>
        </row>
        <row r="41">
          <cell r="B41" t="str">
            <v>B. Bound Tests</v>
          </cell>
        </row>
        <row r="42">
          <cell r="B42" t="str">
            <v>B1. Nominal interest rate is at baseline plus one-half standard deviations</v>
          </cell>
          <cell r="O42">
            <v>14.920185054561713</v>
          </cell>
          <cell r="P42">
            <v>14.986375647076567</v>
          </cell>
          <cell r="Q42">
            <v>15.040221906616303</v>
          </cell>
          <cell r="R42">
            <v>15.400738537142727</v>
          </cell>
          <cell r="S42">
            <v>15.271950704794987</v>
          </cell>
          <cell r="T42">
            <v>15.494868903376229</v>
          </cell>
        </row>
        <row r="43">
          <cell r="B43" t="str">
            <v>B1. Nominal interest rate is at historical average plus two standard deviations in 2005 and 2006</v>
          </cell>
          <cell r="O43">
            <v>8.2041276717685676</v>
          </cell>
          <cell r="P43">
            <v>9.9146332934960384</v>
          </cell>
          <cell r="Q43">
            <v>9.2002847134345167</v>
          </cell>
          <cell r="R43">
            <v>9.1239997875965724</v>
          </cell>
          <cell r="S43">
            <v>9.4347094624072501</v>
          </cell>
          <cell r="T43">
            <v>9.2495268168991025</v>
          </cell>
        </row>
        <row r="44">
          <cell r="B44" t="str">
            <v>B2. Real GDP growth is at historical average minus two standard deviations in 2005 and 2006</v>
          </cell>
          <cell r="O44">
            <v>8.2041276717685676</v>
          </cell>
          <cell r="P44">
            <v>10.024350992023594</v>
          </cell>
          <cell r="Q44">
            <v>10.168294444041878</v>
          </cell>
          <cell r="R44">
            <v>10.373350919885866</v>
          </cell>
          <cell r="S44">
            <v>10.656614651312022</v>
          </cell>
          <cell r="T44">
            <v>10.378206216834604</v>
          </cell>
        </row>
        <row r="45">
          <cell r="B45" t="str">
            <v>B3. Change in US dollar GDP deflator is at historical average minus two standard deviations in 2005 and 2006</v>
          </cell>
          <cell r="O45">
            <v>8.2041276717685676</v>
          </cell>
          <cell r="P45">
            <v>11.505953903895701</v>
          </cell>
          <cell r="Q45">
            <v>13.387289205367505</v>
          </cell>
          <cell r="R45">
            <v>13.579525255100844</v>
          </cell>
          <cell r="S45">
            <v>13.840250185758082</v>
          </cell>
          <cell r="T45">
            <v>13.38562337845976</v>
          </cell>
        </row>
        <row r="46">
          <cell r="B46" t="str">
            <v xml:space="preserve">B4. Non-interest current account is at historical average minus two standard deviations in 2005 and 2006 </v>
          </cell>
          <cell r="O46">
            <v>8.2041276717685676</v>
          </cell>
          <cell r="P46">
            <v>14.356249348524249</v>
          </cell>
          <cell r="Q46">
            <v>14.952933421943628</v>
          </cell>
          <cell r="R46">
            <v>11.445738752190605</v>
          </cell>
          <cell r="S46">
            <v>11.904492566157433</v>
          </cell>
          <cell r="T46">
            <v>11.807988471706409</v>
          </cell>
        </row>
        <row r="47">
          <cell r="B47" t="str">
            <v>B5. Combination of 2-5 using one standard deviation shocks</v>
          </cell>
          <cell r="O47">
            <v>8.2041276717685676</v>
          </cell>
          <cell r="P47">
            <v>13.104956202960578</v>
          </cell>
          <cell r="Q47">
            <v>14.36354535329688</v>
          </cell>
          <cell r="R47">
            <v>13.183253911388382</v>
          </cell>
          <cell r="S47">
            <v>13.657778714983262</v>
          </cell>
          <cell r="T47">
            <v>13.440570097267818</v>
          </cell>
        </row>
        <row r="48">
          <cell r="B48" t="str">
            <v>B6. One time 30 percent nominal depreciation in 2005</v>
          </cell>
          <cell r="O48">
            <v>8.2041276717685676</v>
          </cell>
          <cell r="P48">
            <v>12.606565636121831</v>
          </cell>
          <cell r="Q48">
            <v>11.691938654874152</v>
          </cell>
          <cell r="R48">
            <v>11.888001415411194</v>
          </cell>
          <cell r="S48">
            <v>12.157312447854775</v>
          </cell>
          <cell r="T48">
            <v>11.791306505632342</v>
          </cell>
        </row>
        <row r="49">
          <cell r="B49" t="str">
            <v xml:space="preserve">1/ Defined as non-interest current account deficit, plus interest and amortization on medium- and long-term debt, plus short-term debt at end of previous period. </v>
          </cell>
        </row>
        <row r="50">
          <cell r="B50" t="str">
            <v>2/ Gross external financing under the stress-test scenarios is derived by assuming the same ratio of short-term to total debt as in the baseline scenario and the same average maturity on medium- and long term</v>
          </cell>
        </row>
        <row r="51">
          <cell r="B51" t="str">
            <v xml:space="preserve">1/ Defined as non-interest current account deficit, plus interest and amortization on medium- and long-term debt, plus short-term debt at end of previous period. </v>
          </cell>
        </row>
        <row r="52">
          <cell r="B52" t="str">
            <v>2/ Gross external financing under the stress-test scenarios is derived by assuming the same ratio of short-term to total debt as in the baseline scenario and the same average maturity on medium- and long term</v>
          </cell>
        </row>
        <row r="53">
          <cell r="B53" t="str">
            <v>debt. Interest expenditures are derived by applying the respective interest rate to the previous period debt stock under each alternative scenario.</v>
          </cell>
        </row>
      </sheetData>
      <sheetData sheetId="5" refreshError="1"/>
      <sheetData sheetId="6"/>
      <sheetData sheetId="7" refreshError="1"/>
      <sheetData sheetId="8"/>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ow r="2">
          <cell r="B2" t="str">
            <v>Table --. Country: External Sustainability Framework--Gross External Financing Need, 2000-2010</v>
          </cell>
        </row>
      </sheetData>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1.Basic data"/>
      <sheetName val="1b.NPL by HH-corp"/>
      <sheetName val="1a.Asset quality (2)"/>
      <sheetName val="1a.Asset quality"/>
      <sheetName val="1c.Loans by sector"/>
      <sheetName val="2.Credit sensitivity"/>
      <sheetName val="3.Maturity buckets"/>
      <sheetName val="4.Interest sensitivity"/>
      <sheetName val="5.FX exposure"/>
      <sheetName val="5a.Banks' NFA (ECCB format)"/>
      <sheetName val="5a.Banks' NFA"/>
      <sheetName val="8.Earnings-govt"/>
      <sheetName val="9.Interbank"/>
      <sheetName val="6.ER sensitivity"/>
      <sheetName val="7.Gov't securities"/>
      <sheetName val="7a. Gov't exposures"/>
      <sheetName val="10. Dep size"/>
      <sheetName val="11.Liquid Assets"/>
      <sheetName val="11.Liquid Assets (2)"/>
      <sheetName val="12. Due to Banks"/>
      <sheetName val="13. Net Liquid Assets"/>
      <sheetName val="12.IFSC Bals."/>
      <sheetName val="Dominica Stress Test"/>
      <sheetName val="Grenada Stress Test"/>
      <sheetName val="Antigua Stress Test"/>
      <sheetName val="St Kitts &amp; Nevis Stress Test"/>
      <sheetName val="ANT&amp;GRE&amp;SKN&amp;DOM Stress Test"/>
      <sheetName val="14.Additional Tables"/>
      <sheetName val="Instructions"/>
      <sheetName val="Main Sheet"/>
      <sheetName val="Sheet1"/>
      <sheetName val="1b.Loans by sector"/>
      <sheetName val="Interbank matrix"/>
      <sheetName val="Sec1aSec1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1.Basic data"/>
      <sheetName val="1b.NPL by HH-corp"/>
      <sheetName val="1a.Asset quality (2)"/>
      <sheetName val="1a.Asset quality"/>
      <sheetName val="1c.Loans by sector"/>
      <sheetName val="2.Credit sensitivity"/>
      <sheetName val="3.Maturity buckets"/>
      <sheetName val="4.Interest sensitivity"/>
      <sheetName val="5.FX exposure"/>
      <sheetName val="5a.Banks' NFA (ECCB format)"/>
      <sheetName val="5a.Banks' NFA"/>
      <sheetName val="8.Earnings-govt"/>
      <sheetName val="9.Interbank"/>
      <sheetName val="6.ER sensitivity"/>
      <sheetName val="7.Gov't securities"/>
      <sheetName val="7a. Gov't exposures"/>
      <sheetName val="10. Dep size"/>
      <sheetName val="11.Liquid Assets"/>
      <sheetName val="11.Liquid Assets (2)"/>
      <sheetName val="12. Due to Banks"/>
      <sheetName val="13. Net Liquid Assets"/>
      <sheetName val="12.IFSC Bals."/>
      <sheetName val="Dominica Stress Test"/>
      <sheetName val="Grenada Stress Test"/>
      <sheetName val="Antigua Stress Test"/>
      <sheetName val="St Kitts &amp; Nevis Stress Test"/>
      <sheetName val="ANT&amp;GRE&amp;SKN&amp;DOM Stress Test"/>
      <sheetName val="14.Additional Tables"/>
      <sheetName val="Instructions"/>
      <sheetName val="Main Sheet"/>
      <sheetName val="Sheet1"/>
      <sheetName val="1b.Loans by sector"/>
      <sheetName val="Interbank matrix"/>
      <sheetName val="Table"/>
      <sheetName val="Table_GEF"/>
      <sheetName val="Q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refreshError="1"/>
      <sheetData sheetId="35" refreshError="1"/>
      <sheetData sheetId="36"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1.Basic data"/>
      <sheetName val="1b.NPL by HH-corp"/>
      <sheetName val="1a.Asset quality (2)"/>
      <sheetName val="1a.Asset quality"/>
      <sheetName val="1c.Loans by sector"/>
      <sheetName val="2.Credit sensitivity"/>
      <sheetName val="3.Maturity buckets"/>
      <sheetName val="4.Interest sensitivity"/>
      <sheetName val="5.FX exposure"/>
      <sheetName val="5a.Banks' NFA (ECCB format)"/>
      <sheetName val="5a.Banks' NFA"/>
      <sheetName val="8.Earnings-govt"/>
      <sheetName val="9.Interbank"/>
      <sheetName val="6.ER sensitivity"/>
      <sheetName val="7.Gov't securities"/>
      <sheetName val="7a. Gov't exposures"/>
      <sheetName val="10. Dep size"/>
      <sheetName val="11.Liquid Assets"/>
      <sheetName val="11.Liquid Assets (2)"/>
      <sheetName val="12. Due to Banks"/>
      <sheetName val="13. Net Liquid Assets"/>
      <sheetName val="12.IFSC Bals."/>
      <sheetName val="Dominica Stress Test"/>
      <sheetName val="Grenada Stress Test"/>
      <sheetName val="Antigua Stress Test"/>
      <sheetName val="St Kitts &amp; Nevis Stress Test"/>
      <sheetName val="ANT&amp;GRE&amp;SKN&amp;DOM Stress Test"/>
      <sheetName val="14.Additional Tables"/>
      <sheetName val="Instructions"/>
      <sheetName val="Main Sheet"/>
      <sheetName val="Sheet1"/>
      <sheetName val="1b.Loans by sector"/>
      <sheetName val="Interbank matrix"/>
      <sheetName val="Table"/>
      <sheetName val="Table_GEF"/>
      <sheetName val="Q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refreshError="1"/>
      <sheetData sheetId="35" refreshError="1"/>
      <sheetData sheetId="3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frprtables"/>
      <sheetName val="Basicinput"/>
      <sheetName val="Outputables"/>
      <sheetName val="Index"/>
      <sheetName val="Documentation"/>
      <sheetName val="Monthinput"/>
      <sheetName val="3.Maturity bucket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fResults_Cyc4+"/>
      <sheetName val="ConfigParms"/>
      <sheetName val="Scenarios"/>
      <sheetName val="PerfPivots"/>
      <sheetName val="PerfResults_Cyc1-3"/>
    </sheetNames>
    <sheetDataSet>
      <sheetData sheetId="0" refreshError="1"/>
      <sheetData sheetId="1" refreshError="1"/>
      <sheetData sheetId="2">
        <row r="1">
          <cell r="A1" t="str">
            <v>ScenarioID</v>
          </cell>
          <cell r="B1" t="str">
            <v>Web Service Name</v>
          </cell>
          <cell r="C1" t="str">
            <v>Transaction Names</v>
          </cell>
          <cell r="D1" t="str">
            <v>Scenario Description</v>
          </cell>
          <cell r="E1" t="str">
            <v>Use Case Description</v>
          </cell>
        </row>
        <row r="2">
          <cell r="A2">
            <v>1</v>
          </cell>
          <cell r="B2" t="str">
            <v>SearchForCreateLOProgram</v>
          </cell>
          <cell r="C2" t="str">
            <v>Ingest_InsertLOProgram</v>
          </cell>
          <cell r="D2" t="str">
            <v>Scenario involves 90% inserts _x000D_Assumption is "inserts" are heavier since they encompass both search and insert</v>
          </cell>
          <cell r="E2" t="str">
            <v>These services will search for the LO program, if it finds one, nothing will be done. Otherwise, it will create a new LO program. The exact match is done on the fields of Title, language_id, category, sub-category, copy (need to match chrono long and copy</v>
          </cell>
        </row>
        <row r="3">
          <cell r="A3">
            <v>2</v>
          </cell>
          <cell r="B3" t="str">
            <v>SearchForCreateLOProgram</v>
          </cell>
          <cell r="C3" t="str">
            <v>Ingest_SearchLOProgram</v>
          </cell>
          <cell r="D3" t="str">
            <v>and 10% searches (for the inserted record).</v>
          </cell>
        </row>
        <row r="4">
          <cell r="A4">
            <v>3</v>
          </cell>
          <cell r="B4" t="str">
            <v>SaveNonLOProgram</v>
          </cell>
          <cell r="C4" t="str">
            <v>Create Program - RFP</v>
          </cell>
          <cell r="D4" t="str">
            <v>Scenario Create a RFP.</v>
          </cell>
          <cell r="E4" t="str">
            <v xml:space="preserve"> These Services will be used for the following:_x000D_ 1. Save Program_x000D_ 2. Save CPR_x000D_ 3. Update Program        _x000D_Program object details along with Program cpr and_x000D_ Xlist values.</v>
          </cell>
        </row>
        <row r="5">
          <cell r="A5">
            <v>4</v>
          </cell>
          <cell r="B5" t="str">
            <v>SaveNonLOProgram</v>
          </cell>
          <cell r="C5" t="str">
            <v>Ingest_CreateNonLOProgram_SeriesEpisodeSeriesMaster</v>
          </cell>
          <cell r="D5" t="str">
            <v>Scenario Create a Series Master Program and Associate a _x000D_Series Episode with it.</v>
          </cell>
        </row>
        <row r="6">
          <cell r="A6">
            <v>5</v>
          </cell>
          <cell r="B6" t="str">
            <v>SaveNonLOProgram</v>
          </cell>
          <cell r="C6" t="str">
            <v>Ingest_CreateNonLOProgram_SeriesEpisode</v>
          </cell>
          <cell r="D6" t="str">
            <v>Scenario Create a Series Episode of an already existing Series Master .</v>
          </cell>
        </row>
        <row r="7">
          <cell r="A7">
            <v>6</v>
          </cell>
          <cell r="B7" t="str">
            <v>SaveNonLOProgram</v>
          </cell>
          <cell r="C7" t="str">
            <v>Create Program - CPR</v>
          </cell>
          <cell r="D7" t="str">
            <v>Scenario Create a CPR.</v>
          </cell>
        </row>
        <row r="8">
          <cell r="A8">
            <v>7</v>
          </cell>
          <cell r="B8" t="str">
            <v>SaveNonLOProgram</v>
          </cell>
          <cell r="C8" t="str">
            <v>Ingest_CreateProgramType_UpdateCPR</v>
          </cell>
          <cell r="D8" t="str">
            <v>Scenario Update a  CPR.</v>
          </cell>
        </row>
        <row r="9">
          <cell r="A9">
            <v>8</v>
          </cell>
          <cell r="B9" t="str">
            <v>SearchForCredits</v>
          </cell>
          <cell r="C9" t="str">
            <v>Scenario 5: Ingest_SearchForCredits</v>
          </cell>
          <cell r="D9" t="str">
            <v>matching credits</v>
          </cell>
          <cell r="E9" t="str">
            <v>Ingested record has 20 credits that requests a search be done against 10 program records where at least one ingested credit exists in at least one program record</v>
          </cell>
        </row>
        <row r="10">
          <cell r="A10">
            <v>9</v>
          </cell>
          <cell r="B10" t="str">
            <v>SearchForCredits</v>
          </cell>
          <cell r="C10" t="str">
            <v>Scenario 6: Ingest_SearchForCredits</v>
          </cell>
          <cell r="D10" t="str">
            <v>no matching credits</v>
          </cell>
          <cell r="E10" t="str">
            <v>Ingested record has 20 credits that requests a search be done against 10 program records, where none of the ingested credits appears in any of the credits for all 10 programs</v>
          </cell>
        </row>
      </sheetData>
      <sheetData sheetId="3" refreshError="1"/>
      <sheetData sheetId="4"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act List"/>
    </sheetNames>
    <sheetDataSet>
      <sheetData sheetId="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s"/>
    </sheetNames>
    <sheetDataSet>
      <sheetData sheetId="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Project Overview"/>
      <sheetName val="Steps of Doneness (Metrics)"/>
      <sheetName val="Metrics"/>
      <sheetName val="WBS"/>
      <sheetName val="Add-Ins"/>
      <sheetName val="Objective Risks"/>
      <sheetName val="Resource Plan"/>
      <sheetName val="Roles&amp;Rates"/>
      <sheetName val="Varie"/>
      <sheetName val="Temp-Resource"/>
      <sheetName val="Export Results"/>
      <sheetName val="Total LOE"/>
      <sheetName val="Rowsfortabs"/>
      <sheetName val="Temp"/>
      <sheetName val="Roles"/>
      <sheetName val="Temp_Resource"/>
      <sheetName val="Source Data"/>
    </sheetNames>
    <sheetDataSet>
      <sheetData sheetId="0" refreshError="1"/>
      <sheetData sheetId="1" refreshError="1"/>
      <sheetData sheetId="2"/>
      <sheetData sheetId="3"/>
      <sheetData sheetId="4"/>
      <sheetData sheetId="5"/>
      <sheetData sheetId="6"/>
      <sheetData sheetId="7"/>
      <sheetData sheetId="8"/>
      <sheetData sheetId="9"/>
      <sheetData sheetId="10">
        <row r="1">
          <cell r="C1">
            <v>-125</v>
          </cell>
        </row>
      </sheetData>
      <sheetData sheetId="11"/>
      <sheetData sheetId="12"/>
      <sheetData sheetId="13"/>
      <sheetData sheetId="14"/>
      <sheetData sheetId="15">
        <row r="2">
          <cell r="B2" t="str">
            <v>Associate Alliances</v>
          </cell>
        </row>
      </sheetData>
      <sheetData sheetId="16"/>
      <sheetData sheetId="1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Overview"/>
      <sheetName val="Help"/>
      <sheetName val="Tasks (Metrics)"/>
      <sheetName val="Metrics"/>
      <sheetName val="Stories"/>
      <sheetName val="Add-Ins"/>
      <sheetName val="Objective Risks"/>
      <sheetName val="Track LOE Summary"/>
      <sheetName val="Staffing Plan"/>
      <sheetName val="Data"/>
      <sheetName val="Export Results"/>
      <sheetName val="Export_Stories"/>
      <sheetName val="Total LOE"/>
      <sheetName val="Roles"/>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Project Overview"/>
      <sheetName val="Tasks (Metrics)"/>
      <sheetName val="Metrics"/>
      <sheetName val="Stories-NTB"/>
      <sheetName val="Stories"/>
      <sheetName val="Screens List"/>
      <sheetName val="UI Components List"/>
      <sheetName val="Sheet1"/>
      <sheetName val="Backend Services"/>
      <sheetName val="Add-Ins"/>
      <sheetName val="Objective Risks"/>
      <sheetName val="Track LOE Summary"/>
      <sheetName val="Staffing Plan"/>
      <sheetName val="Data"/>
      <sheetName val="Export Results"/>
      <sheetName val="Export_Stories"/>
      <sheetName val="Total LOE"/>
      <sheetName val="Roles"/>
      <sheetName val="Sheet2"/>
      <sheetName val="Sheet4"/>
      <sheetName val="Sheet3"/>
      <sheetName val="variance3-40"/>
    </sheetNames>
    <sheetDataSet>
      <sheetData sheetId="0"/>
      <sheetData sheetId="1">
        <row r="9">
          <cell r="C9" t="str">
            <v>Delivery</v>
          </cell>
        </row>
        <row r="13">
          <cell r="C13" t="str">
            <v>Portal</v>
          </cell>
        </row>
        <row r="14">
          <cell r="C14" t="str">
            <v>Aircraft Publishing</v>
          </cell>
        </row>
        <row r="15">
          <cell r="C15" t="str">
            <v>On Ground Services</v>
          </cell>
        </row>
        <row r="16">
          <cell r="C16" t="str">
            <v>Reporting</v>
          </cell>
        </row>
        <row r="17">
          <cell r="C17" t="str">
            <v>CMS</v>
          </cell>
        </row>
        <row r="18">
          <cell r="C18" t="str">
            <v>Site Development</v>
          </cell>
        </row>
        <row r="19">
          <cell r="C19" t="str">
            <v>QA</v>
          </cell>
        </row>
        <row r="20">
          <cell r="C20" t="str">
            <v>Infrastructure</v>
          </cell>
        </row>
        <row r="21">
          <cell r="C21" t="str">
            <v>Integration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A2" t="str">
            <v>APM</v>
          </cell>
        </row>
      </sheetData>
      <sheetData sheetId="19"/>
      <sheetData sheetId="20"/>
      <sheetData sheetId="21"/>
      <sheetData sheetId="22"/>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
      <sheetName val="M"/>
      <sheetName val="CA"/>
      <sheetName val="CA-Income"/>
      <sheetName val="CK"/>
      <sheetName val="Stfrprtables"/>
      <sheetName val="Real sector graph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structions"/>
      <sheetName val="Standard Data"/>
      <sheetName val="Non-Standard Data"/>
      <sheetName val="Report Form"/>
    </sheetNames>
    <sheetDataSet>
      <sheetData sheetId="0"/>
      <sheetData sheetId="1"/>
      <sheetData sheetId="2"/>
      <sheetData sheetId="3">
        <row r="4">
          <cell r="E4">
            <v>2020</v>
          </cell>
        </row>
        <row r="24">
          <cell r="A24" t="str">
            <v>Basis Points</v>
          </cell>
        </row>
        <row r="25">
          <cell r="A25" t="str">
            <v>Domestic Currency</v>
          </cell>
        </row>
        <row r="26">
          <cell r="A26" t="str">
            <v>Euros</v>
          </cell>
        </row>
        <row r="27">
          <cell r="A27" t="str">
            <v>Fine Kilograms</v>
          </cell>
        </row>
        <row r="28">
          <cell r="A28" t="str">
            <v>Fine Troy Ounces</v>
          </cell>
        </row>
        <row r="29">
          <cell r="A29" t="str">
            <v>Index</v>
          </cell>
        </row>
        <row r="30">
          <cell r="A30" t="str">
            <v>Number of</v>
          </cell>
        </row>
        <row r="31">
          <cell r="A31" t="str">
            <v>Percent</v>
          </cell>
        </row>
        <row r="32">
          <cell r="A32" t="str">
            <v>Percent per Annum</v>
          </cell>
        </row>
        <row r="33">
          <cell r="A33" t="str">
            <v>Rate</v>
          </cell>
        </row>
        <row r="34">
          <cell r="A34" t="str">
            <v>Ratio</v>
          </cell>
        </row>
        <row r="35">
          <cell r="A35" t="str">
            <v>SDRs</v>
          </cell>
        </row>
        <row r="36">
          <cell r="A36" t="str">
            <v>US Dollars</v>
          </cell>
        </row>
        <row r="37">
          <cell r="A37" t="str">
            <v>Weight</v>
          </cell>
        </row>
      </sheetData>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1 HLP"/>
      <sheetName val="I2 MLP"/>
      <sheetName val="Topics"/>
      <sheetName val="Weekly Status Report"/>
      <sheetName val="Issues"/>
      <sheetName val="Next Steps"/>
    </sheetNames>
    <sheetDataSet>
      <sheetData sheetId="0"/>
      <sheetData sheetId="1"/>
      <sheetData sheetId="2"/>
      <sheetData sheetId="3"/>
      <sheetData sheetId="4"/>
      <sheetData sheetId="5"/>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1 HLP"/>
    </sheetNames>
    <sheetDataSet>
      <sheetData sheetId="0"/>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s"/>
    </sheetNames>
    <sheetDataSet>
      <sheetData sheetId="0"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isks"/>
      <sheetName val="Estimation Metrics"/>
      <sheetName val="Metrics"/>
      <sheetName val="Des | Resource Plan-Detail"/>
      <sheetName val="Admin"/>
      <sheetName val="Roles List"/>
      <sheetName val="Skill Level"/>
      <sheetName val="Skills List"/>
      <sheetName val="Contact List"/>
      <sheetName val="Globals"/>
      <sheetName val="Out of Office Calendar"/>
      <sheetName val="Deliverables Doneness Board"/>
      <sheetName val="Action List"/>
      <sheetName val="Functional Requirements"/>
      <sheetName val="Scope Change Request Log"/>
      <sheetName val="Technical Requirements"/>
      <sheetName val="FOH - HighLevelPlan "/>
      <sheetName val="Resources"/>
      <sheetName val="Mid-Level Plan"/>
      <sheetName val="Milestones"/>
      <sheetName val="CMS Dependency Matrix"/>
      <sheetName val="Project Issues"/>
      <sheetName val="Project Assumptions"/>
      <sheetName val=" Key Decisions_Recommendations"/>
      <sheetName val="Assignment Staffing Form"/>
      <sheetName val="Communication Plan - CMS"/>
      <sheetName val="Stakeholder Assessment - CMS"/>
      <sheetName val="Glossary"/>
      <sheetName val="Project &quot;Health Check&quot;"/>
      <sheetName val="Closed Issues"/>
      <sheetName val="ang"/>
      <sheetName val="ant"/>
      <sheetName val="dom"/>
      <sheetName val="gre"/>
      <sheetName val="mon"/>
      <sheetName val="stk"/>
      <sheetName val="stl"/>
      <sheetName val="stv"/>
      <sheetName val="ECC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arrivals by market"/>
      <sheetName val="Visitor Stats"/>
      <sheetName val="Arrivals by origin"/>
      <sheetName val="Visitor category"/>
      <sheetName val="Monthly arrivals 2012"/>
      <sheetName val="Cruise"/>
      <sheetName val="Bednights"/>
      <sheetName val="Ferry"/>
    </sheetNames>
    <sheetDataSet>
      <sheetData sheetId="0" refreshError="1"/>
      <sheetData sheetId="1" refreshError="1"/>
      <sheetData sheetId="2" refreshError="1"/>
      <sheetData sheetId="3" refreshError="1">
        <row r="10">
          <cell r="BS10">
            <v>25605</v>
          </cell>
          <cell r="BT10">
            <v>948</v>
          </cell>
          <cell r="BX10">
            <v>94070</v>
          </cell>
        </row>
        <row r="11">
          <cell r="BS11">
            <v>28947</v>
          </cell>
          <cell r="BT11">
            <v>879</v>
          </cell>
          <cell r="BX11">
            <v>90844</v>
          </cell>
        </row>
        <row r="12">
          <cell r="BS12">
            <v>30885</v>
          </cell>
          <cell r="BT12">
            <v>1355</v>
          </cell>
          <cell r="BX12">
            <v>84637</v>
          </cell>
        </row>
        <row r="16">
          <cell r="BS16">
            <v>27399</v>
          </cell>
          <cell r="BT16">
            <v>1022</v>
          </cell>
          <cell r="BX16">
            <v>52281</v>
          </cell>
        </row>
        <row r="17">
          <cell r="BS17">
            <v>24257</v>
          </cell>
          <cell r="BT17">
            <v>1241</v>
          </cell>
          <cell r="BX17">
            <v>17419</v>
          </cell>
        </row>
        <row r="18">
          <cell r="BS18">
            <v>21151</v>
          </cell>
          <cell r="BT18">
            <v>562</v>
          </cell>
          <cell r="BX18">
            <v>13520</v>
          </cell>
        </row>
      </sheetData>
      <sheetData sheetId="4" refreshError="1"/>
      <sheetData sheetId="5" refreshError="1"/>
      <sheetData sheetId="6" refreshError="1"/>
      <sheetData sheetId="7"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sitor category"/>
      <sheetName val="Monthly arrivals 2009"/>
      <sheetName val="Arrivals by origin"/>
    </sheetNames>
    <sheetDataSet>
      <sheetData sheetId="0" refreshError="1"/>
      <sheetData sheetId="1" refreshError="1"/>
      <sheetData sheetId="2">
        <row r="5">
          <cell r="S5">
            <v>98685</v>
          </cell>
        </row>
        <row r="7">
          <cell r="S7">
            <v>28563</v>
          </cell>
        </row>
        <row r="21">
          <cell r="S21">
            <v>34389</v>
          </cell>
        </row>
        <row r="23">
          <cell r="S23">
            <v>22721</v>
          </cell>
        </row>
      </sheetData>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LU Historical"/>
      <sheetName val="Selected Visitor Stats"/>
      <sheetName val="Stay-over Arrivals"/>
      <sheetName val="Monthly"/>
      <sheetName val="Graph 1"/>
      <sheetName val="Graph 2"/>
    </sheetNames>
    <sheetDataSet>
      <sheetData sheetId="0"/>
      <sheetData sheetId="1"/>
      <sheetData sheetId="2">
        <row r="5">
          <cell r="M5">
            <v>115065</v>
          </cell>
        </row>
        <row r="7">
          <cell r="M7">
            <v>37709</v>
          </cell>
        </row>
        <row r="11">
          <cell r="M11">
            <v>75677</v>
          </cell>
        </row>
        <row r="13">
          <cell r="M13">
            <v>3165</v>
          </cell>
        </row>
        <row r="15">
          <cell r="M15">
            <v>5467</v>
          </cell>
        </row>
        <row r="17">
          <cell r="M17">
            <v>9091</v>
          </cell>
        </row>
        <row r="19">
          <cell r="M19">
            <v>56067</v>
          </cell>
        </row>
        <row r="29">
          <cell r="M29">
            <v>4560</v>
          </cell>
        </row>
      </sheetData>
      <sheetData sheetId="3"/>
      <sheetData sheetId="4"/>
      <sheetData sheetId="5"/>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
      <sheetName val="Key Contacts"/>
      <sheetName val="WF + NFTO Banana Exp UK(Weekly)"/>
      <sheetName val="CSO Qtly Banana Exp in KG"/>
      <sheetName val="CSO Banana Exp in Tonnes(Qtly)"/>
      <sheetName val="CSO Banana Exp in Tonnes Cummul"/>
      <sheetName val="CSO Banana Expts 2020-21 in KG"/>
      <sheetName val="Annual CSO Banana Export in KG"/>
      <sheetName val="NFTO Monthly Summary In KG"/>
      <sheetName val="NFTO 2021"/>
      <sheetName val="NFTO 2020"/>
      <sheetName val="NFTO 2019"/>
      <sheetName val="NFTO 2018"/>
      <sheetName val="WF Banana Exports Uk(Monthly)"/>
      <sheetName val="WF Banana Exp by country (Qtly"/>
      <sheetName val="Winfresh Annual Banana Exports"/>
      <sheetName val="Banana Chart Pack"/>
      <sheetName val="Hotel Purchases (Monthly)"/>
      <sheetName val="Supermarket Purchases (Monthly)"/>
      <sheetName val="Hotel and Supermarket"/>
      <sheetName val="Sheet1"/>
      <sheetName val="Chicken Production"/>
      <sheetName val="Pork Production"/>
      <sheetName val="Chicken and Pork"/>
      <sheetName val="Egg Production"/>
      <sheetName val="Chart Pack (Livestock)"/>
      <sheetName val="Fisheries LS bi-annual"/>
      <sheetName val="Fisheries by LS Annual"/>
      <sheetName val="Fisheries by LS Historical"/>
      <sheetName val="Charts for ESR fish"/>
      <sheetName val="Notes"/>
      <sheetName val="Chart (Fisheries)"/>
      <sheetName val="Month Non-Trad in KG"/>
      <sheetName val="Exports Select Crops"/>
      <sheetName val="Quaterly Exports of NTC"/>
      <sheetName val="Exports Market"/>
      <sheetName val="Total NTC"/>
      <sheetName val="Exports of NTC"/>
      <sheetName val="Livestock Imports"/>
      <sheetName val="Farmers Trader"/>
      <sheetName val="Farmers"/>
      <sheetName val="Acerage in Bananas"/>
      <sheetName val="Agriculture GDP"/>
      <sheetName val="Sector Growth"/>
      <sheetName val="Total Production Bananas"/>
      <sheetName val="OC by Category"/>
      <sheetName val="Annual Egg Production"/>
    </sheetNames>
    <sheetDataSet>
      <sheetData sheetId="0"/>
      <sheetData sheetId="1"/>
      <sheetData sheetId="2"/>
      <sheetData sheetId="3"/>
      <sheetData sheetId="4">
        <row r="7">
          <cell r="R7">
            <v>0.98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4">
          <cell r="H4">
            <v>64.351097727272716</v>
          </cell>
        </row>
        <row r="5">
          <cell r="H5">
            <v>67.784556818181827</v>
          </cell>
        </row>
        <row r="6">
          <cell r="H6">
            <v>55.253199999999993</v>
          </cell>
        </row>
        <row r="7">
          <cell r="H7">
            <v>388.70229090909089</v>
          </cell>
        </row>
        <row r="8">
          <cell r="H8">
            <v>47.356268181818173</v>
          </cell>
        </row>
        <row r="9">
          <cell r="H9">
            <v>61.069027272727261</v>
          </cell>
        </row>
        <row r="10">
          <cell r="H10">
            <v>107.03613636363636</v>
          </cell>
        </row>
        <row r="11">
          <cell r="H11">
            <v>24.230172727272727</v>
          </cell>
        </row>
        <row r="12">
          <cell r="H12">
            <v>34.252945454545447</v>
          </cell>
        </row>
        <row r="13">
          <cell r="H13">
            <v>373.0262454545454</v>
          </cell>
        </row>
        <row r="14">
          <cell r="H14">
            <v>159.51539706636359</v>
          </cell>
        </row>
      </sheetData>
      <sheetData sheetId="28"/>
      <sheetData sheetId="29">
        <row r="7">
          <cell r="Z7">
            <v>7.3716006363636355</v>
          </cell>
        </row>
      </sheetData>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tilities "/>
    </sheetNames>
    <sheetDataSet>
      <sheetData sheetId="0">
        <row r="87">
          <cell r="B87">
            <v>27403926</v>
          </cell>
          <cell r="C87">
            <v>273308815</v>
          </cell>
          <cell r="D87">
            <v>1039777426</v>
          </cell>
          <cell r="E87">
            <v>239058793</v>
          </cell>
          <cell r="F87">
            <v>307932624</v>
          </cell>
        </row>
        <row r="105">
          <cell r="B105">
            <v>18704784</v>
          </cell>
          <cell r="C105">
            <v>233080178</v>
          </cell>
          <cell r="D105">
            <v>1047323622</v>
          </cell>
          <cell r="E105">
            <v>211911902</v>
          </cell>
          <cell r="F105">
            <v>327623502</v>
          </cell>
        </row>
      </sheetData>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s>
    <sheetDataSet>
      <sheetData sheetId="0" refreshError="1">
        <row r="17">
          <cell r="B17">
            <v>18532517</v>
          </cell>
          <cell r="C17">
            <v>265460143</v>
          </cell>
          <cell r="D17">
            <v>1076309074</v>
          </cell>
          <cell r="E17">
            <v>214172235</v>
          </cell>
          <cell r="F17">
            <v>322595317</v>
          </cell>
          <cell r="J17">
            <v>1231671.22</v>
          </cell>
          <cell r="K17">
            <v>10522614.279999999</v>
          </cell>
          <cell r="L17">
            <v>30153147.180000003</v>
          </cell>
          <cell r="M17">
            <v>5957423.9500000002</v>
          </cell>
          <cell r="N17">
            <v>13007937.860000001</v>
          </cell>
        </row>
      </sheetData>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DP  nominal prices"/>
      <sheetName val="Constant Prices"/>
      <sheetName val="Rate of Growth"/>
      <sheetName val="Share of Total"/>
      <sheetName val="Visitor Statistics"/>
      <sheetName val="Visitor Category"/>
      <sheetName val="Arrivals By Origin"/>
      <sheetName val="Banana Export "/>
      <sheetName val="Banana Revenue"/>
      <sheetName val="Total_Banana_Production"/>
      <sheetName val="Supermarkets and Hotels "/>
      <sheetName val="Livestock"/>
      <sheetName val="Fisheries"/>
      <sheetName val="Manufacturing"/>
      <sheetName val="cargo"/>
      <sheetName val="Air Traffic Stats"/>
      <sheetName val="Aircraft Movement"/>
      <sheetName val="Elec. Con. and Output"/>
      <sheetName val="Fuel Surcharge and Price"/>
      <sheetName val="CPI"/>
      <sheetName val="Category"/>
      <sheetName val="Central Gov't Fiscal Operation2"/>
      <sheetName val="Gov't fiscal operations to GDP2"/>
      <sheetName val="Central Gov't Revenue2"/>
      <sheetName val="Central Gov't Expenditure2"/>
      <sheetName val="debt summary"/>
      <sheetName val="By holder"/>
      <sheetName val="CLOHTI (2)"/>
      <sheetName val="listing"/>
      <sheetName val="listing 1"/>
      <sheetName val="listing2"/>
      <sheetName val="listing 3"/>
      <sheetName val="Creditor"/>
      <sheetName val="Sectoral"/>
      <sheetName val="dms 2"/>
      <sheetName val="Commercial Bank Deposits"/>
      <sheetName val="Assets and Liabilities"/>
      <sheetName val="Commercial Bank Liquidity"/>
      <sheetName val="Interest"/>
      <sheetName val="Credit By Sector"/>
      <sheetName val="ECCB Oper and Reserves"/>
      <sheetName val="Insurance"/>
      <sheetName val="Import by Economic Function"/>
      <sheetName val="Import  % total &amp; change"/>
      <sheetName val=" Exports"/>
      <sheetName val="Export % total &amp; change"/>
      <sheetName val="Total exports and re-exports"/>
      <sheetName val="Balance of Payment "/>
      <sheetName val="Population Statistics 1"/>
      <sheetName val="By Sex and Age Groups"/>
      <sheetName val="By District"/>
      <sheetName val="CXC results"/>
      <sheetName val="Analysis of primary schools"/>
      <sheetName val="analysis of seconday schools"/>
      <sheetName val="cambridge advance level ed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8">
          <cell r="K8">
            <v>497.27</v>
          </cell>
        </row>
        <row r="9">
          <cell r="L9">
            <v>18.47</v>
          </cell>
        </row>
        <row r="10">
          <cell r="L10">
            <v>8.6388949999999998</v>
          </cell>
        </row>
        <row r="12">
          <cell r="K12">
            <v>441.13</v>
          </cell>
        </row>
        <row r="14">
          <cell r="K14">
            <v>404.97</v>
          </cell>
          <cell r="L14">
            <v>453.0431203</v>
          </cell>
        </row>
        <row r="15">
          <cell r="L15">
            <v>109.9054383</v>
          </cell>
        </row>
        <row r="24">
          <cell r="L24">
            <v>75.992941999999999</v>
          </cell>
        </row>
        <row r="36">
          <cell r="L36">
            <v>263.32120900000001</v>
          </cell>
        </row>
        <row r="45">
          <cell r="K45">
            <v>36.159999999999997</v>
          </cell>
        </row>
        <row r="49">
          <cell r="L49">
            <v>44.81</v>
          </cell>
        </row>
      </sheetData>
      <sheetData sheetId="24" refreshError="1">
        <row r="8">
          <cell r="N8">
            <v>226.70274799999999</v>
          </cell>
        </row>
        <row r="13">
          <cell r="N13">
            <v>54.739999999999995</v>
          </cell>
        </row>
        <row r="17">
          <cell r="N17">
            <v>85.88000000000001</v>
          </cell>
        </row>
        <row r="26">
          <cell r="N26">
            <v>101.779464</v>
          </cell>
        </row>
        <row r="36">
          <cell r="N36">
            <v>142</v>
          </cell>
        </row>
        <row r="42">
          <cell r="N42">
            <v>611.10221200000001</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
      <sheetName val="Fiscal Actual FY 1992-2015"/>
      <sheetName val="Fiscal Projections FY 2015-2030"/>
      <sheetName val="Quarterly FY Actual and pj"/>
      <sheetName val="Cumulative Quarterly FY"/>
      <sheetName val="Quarterly FY Shares"/>
      <sheetName val="ASSUMPTIONS FY "/>
      <sheetName val="% of total  Revenue and Expendi"/>
      <sheetName val="Fiscal FY as a% of GDP"/>
      <sheetName val="Fiscal FY % change"/>
      <sheetName val="Variation FY Budget vs actual"/>
      <sheetName val="Budget's Fiscal FY Numbers"/>
      <sheetName val="Budget qtrly Cap Ex"/>
      <sheetName val="Budget Cum Exp FY"/>
      <sheetName val="Fiscal CY Actual"/>
      <sheetName val="Quarterly CY"/>
      <sheetName val="Cum Quarterly CY"/>
      <sheetName val="Quarterly CY Share"/>
      <sheetName val="Cum Quarterly Share CY"/>
      <sheetName val="ASSUMPTIONS CY "/>
      <sheetName val="Fiscal Indicators CY"/>
      <sheetName val="Fiscal CY % GDP MP"/>
      <sheetName val="VAT performance 2012 13"/>
      <sheetName val="VAT performance 2013 14"/>
      <sheetName val="VAT ECCU"/>
      <sheetName val="VAT Collections by sector"/>
      <sheetName val="Actual VAT Data"/>
      <sheetName val="Fuel Tax "/>
      <sheetName val="Monthly Rev 2013 (2)"/>
      <sheetName val="Actual Collections 14 15"/>
      <sheetName val="Monthly Rev 2016"/>
      <sheetName val="Monthly Rev 2015"/>
      <sheetName val="Monthly Rev 2014"/>
      <sheetName val="Monthly Rev 2013"/>
      <sheetName val="Monthly Rev 2012"/>
      <sheetName val="Monthly Rev 2011 "/>
      <sheetName val="Monthly Rev 2010"/>
      <sheetName val="Monthly Rev 2009"/>
      <sheetName val="Expenditure 2016"/>
      <sheetName val="Expenditure 2015"/>
      <sheetName val="Expenditure 2014"/>
      <sheetName val="Expenditure 2013"/>
      <sheetName val="Expenditure 2012"/>
      <sheetName val="Monthly Exp 2011"/>
      <sheetName val="Monthly Exp 2010"/>
      <sheetName val="Monthly Exp 2009"/>
      <sheetName val="Quarterly Debt Summary"/>
      <sheetName val="Financing"/>
      <sheetName val="Debt Indicators"/>
      <sheetName val="ECCB workings Maturity"/>
      <sheetName val="ECCB PR Working New Debt"/>
      <sheetName val="DIU Loans "/>
      <sheetName val="DIU Security"/>
      <sheetName val="RGSm issues"/>
      <sheetName val="EU Grants"/>
      <sheetName val="EU Grants Mar 12- Sept 13"/>
      <sheetName val="eccu pe"/>
      <sheetName val="CG emp numbers"/>
      <sheetName val=" Tax Refunds"/>
      <sheetName val="Construction stimulus"/>
      <sheetName val="IMF debt sustainability"/>
      <sheetName val="GK Assumptions"/>
      <sheetName val="Scenario 0"/>
      <sheetName val="GK Adjustment scenario"/>
      <sheetName val="AC SLU Adjustment scenario"/>
      <sheetName val="Stabilization Charts"/>
      <sheetName val="Other Charts"/>
      <sheetName val="Baseline FY DSA"/>
      <sheetName val="Baseline Amortized"/>
      <sheetName val="FY Active DSA"/>
      <sheetName val="Active Amortized"/>
      <sheetName val="Baseline Summary"/>
      <sheetName val=" Fiscal Lines Explained"/>
      <sheetName val="Fiscal Notes"/>
      <sheetName val="Fiscal Contact List &amp; Notes"/>
      <sheetName val="Scenario 2 60% 2020"/>
    </sheetNames>
    <sheetDataSet>
      <sheetData sheetId="0" refreshError="1"/>
      <sheetData sheetId="1" refreshError="1">
        <row r="7">
          <cell r="Y7">
            <v>75.155901720000003</v>
          </cell>
        </row>
        <row r="17">
          <cell r="Y17">
            <v>10.743466049999999</v>
          </cell>
        </row>
      </sheetData>
      <sheetData sheetId="2" refreshError="1"/>
      <sheetData sheetId="3" refreshError="1"/>
      <sheetData sheetId="4" refreshError="1"/>
      <sheetData sheetId="5" refreshError="1"/>
      <sheetData sheetId="6" refreshError="1">
        <row r="11">
          <cell r="F11">
            <v>2223.9090655640603</v>
          </cell>
          <cell r="G11">
            <v>2409.8951036137569</v>
          </cell>
          <cell r="H11">
            <v>2608.2921023758308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
      <sheetName val="Fiscal Actual FY"/>
      <sheetName val="Fiscal Projections FY 2015-2030"/>
      <sheetName val="Quarterly FY Actual and pj"/>
      <sheetName val="Cumulative Quarterly FY"/>
      <sheetName val="Quarterly FY Shares"/>
      <sheetName val="ASSUMPTIONS FY "/>
      <sheetName val="% of total  Revenue and Expendi"/>
      <sheetName val="Fiscal FY as a% of GDP"/>
      <sheetName val="Fiscal FY % change"/>
      <sheetName val="R&amp;P initial FY Estimates"/>
      <sheetName val="Variance Research and Actual"/>
      <sheetName val="Variation FY Budget vs actual"/>
      <sheetName val="Budget's Fiscal FY Numbers"/>
      <sheetName val="Budget qtrly Cap Ex"/>
      <sheetName val="Budget Monthly Recurrent Exp"/>
      <sheetName val="Bud Monthly Ex based on qua"/>
      <sheetName val="Budget Cum Exp FY"/>
      <sheetName val="Fiscal CY Actual"/>
      <sheetName val="Quarterly CY"/>
      <sheetName val="Cum Quarterly CY"/>
      <sheetName val="Quarterly CY Share"/>
      <sheetName val="Cum Quarterly Share CY"/>
      <sheetName val="ASSUMPTIONS CY "/>
      <sheetName val="Fiscal CY % GDP MP"/>
      <sheetName val="Fiscal Indicators CY"/>
      <sheetName val="VAT Historical Comparison 1213"/>
      <sheetName val="VAT Historical Comparison 13 14"/>
      <sheetName val="VAT ECCU"/>
      <sheetName val="VAT Collections by sector"/>
      <sheetName val="Actual VAT Data"/>
      <sheetName val="Fuel Tax "/>
      <sheetName val="Monthly Rev 2013 (2)"/>
      <sheetName val="Fuel Actual Collections 14 15"/>
      <sheetName val="Historical Monthly Revenue "/>
      <sheetName val="Monthly Rev 2018"/>
      <sheetName val="Monthly Rev 2017"/>
      <sheetName val="Monthly Rev 2016"/>
      <sheetName val="Monthly Rev 2015"/>
      <sheetName val="Monthly Rev 2014"/>
      <sheetName val="Monthly Rev 2013"/>
      <sheetName val="Monthly Rev 2012"/>
      <sheetName val="Monthly Rev 2011 "/>
      <sheetName val="Monthly Rev 2010"/>
      <sheetName val="Monthly Rev 2009"/>
      <sheetName val="Expenditure Monthly Shares(Bud)"/>
      <sheetName val="Expenditure Qu Mon"/>
      <sheetName val="Monthly Expenditure"/>
      <sheetName val="Expenditure 2017"/>
      <sheetName val="Expenditure 2016"/>
      <sheetName val="Expenditure 2015"/>
      <sheetName val="Expenditure 2014"/>
      <sheetName val="Expenditure 2013"/>
      <sheetName val="Expenditure 2012"/>
      <sheetName val="Monthly Exp 2011"/>
      <sheetName val="Monthly Exp 2010"/>
      <sheetName val="Monthly Exp 2009"/>
      <sheetName val="Financing"/>
      <sheetName val="Quarterly Debt Summary"/>
      <sheetName val="debt summary quaterly"/>
      <sheetName val="Debt Indicators"/>
      <sheetName val="RGSm issues"/>
      <sheetName val="EU Grants"/>
      <sheetName val="EU Grants Mar 12- Sept 13"/>
      <sheetName val="CG emp numbers"/>
      <sheetName val=" Tax Refunds"/>
      <sheetName val="Construction stimulus"/>
      <sheetName val="IMF debt sustainability"/>
      <sheetName val="GK Assumptions"/>
      <sheetName val="Scenario 0"/>
      <sheetName val="GK Adjustment scenario"/>
      <sheetName val="AC SLU Adjustment scenario"/>
      <sheetName val="Other Charts"/>
      <sheetName val="Baseline FY DSA"/>
      <sheetName val="Baseline Amortized"/>
      <sheetName val="FY Active DSA"/>
      <sheetName val="Active Amortized"/>
      <sheetName val="Stab Charts and Summary report"/>
      <sheetName val="Baseline Summary"/>
      <sheetName val="New Measures"/>
      <sheetName val="FY Act DR with measures Best "/>
      <sheetName val="Financing Sources debt reprofil"/>
      <sheetName val="Act Amort DR measures best"/>
      <sheetName val="FY debt reprofiling no measures"/>
      <sheetName val="Active Amortized DR no measures"/>
      <sheetName val=" Fiscal Lines Explained"/>
      <sheetName val="Fiscal Notes"/>
      <sheetName val="Fiscal Contact List &amp; Notes"/>
      <sheetName val="Scenario 2 60% 2020"/>
    </sheetNames>
    <sheetDataSet>
      <sheetData sheetId="0" refreshError="1"/>
      <sheetData sheetId="1" refreshError="1">
        <row r="17">
          <cell r="AC17">
            <v>11.5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DP  nominal prices"/>
      <sheetName val="Constant Prices"/>
      <sheetName val="Rate of Growth"/>
      <sheetName val="Share of Total"/>
      <sheetName val="Visitor Statistics"/>
      <sheetName val="Visitor Category"/>
      <sheetName val="Arrivals By Origin"/>
      <sheetName val="Banana Export "/>
      <sheetName val="Banana Revenue"/>
      <sheetName val="Total_Banana_Production"/>
      <sheetName val="Supermarkets and Hotels "/>
      <sheetName val="Livestock"/>
      <sheetName val="Fisheries"/>
      <sheetName val="Manufacturing"/>
      <sheetName val="cargo"/>
      <sheetName val="Air Traffic Stats"/>
      <sheetName val="Aircraft Movement"/>
      <sheetName val="Elec. Con. and Output"/>
      <sheetName val="Fuel Surcharge and Price"/>
      <sheetName val="CPI"/>
      <sheetName val="Category"/>
      <sheetName val="Central Gov't Fiscal Operations"/>
      <sheetName val="Gov't fiscal operations to GDP"/>
      <sheetName val="Central Gov't Revenue"/>
      <sheetName val="Central Gov't Expenditure"/>
      <sheetName val="debt summary"/>
      <sheetName val="CLOTH 4L"/>
      <sheetName val="Maturity"/>
      <sheetName val="Listings "/>
      <sheetName val="Listings 2 "/>
      <sheetName val="Listings 3 "/>
      <sheetName val="Listings 4 "/>
      <sheetName val="Listings 5"/>
      <sheetName val="Creditor"/>
      <sheetName val="Sectoral "/>
      <sheetName val="dms 2"/>
      <sheetName val="Commercial Bank Deposits"/>
      <sheetName val="Assets and Liabilities"/>
      <sheetName val="Commercial Bank Liquidity"/>
      <sheetName val="Interest"/>
      <sheetName val="Credit By Sector"/>
      <sheetName val="ECCB Oper and Reserves"/>
      <sheetName val="Insurance"/>
      <sheetName val="Import by Economic Function"/>
      <sheetName val="Import  % total &amp; change"/>
      <sheetName val=" Exports"/>
      <sheetName val="Export % total &amp; change"/>
      <sheetName val="Total exports and re-exports"/>
      <sheetName val="Balance of Payment"/>
      <sheetName val="Population Statistics 1"/>
      <sheetName val="By Sex and Age Groups"/>
      <sheetName val="By District"/>
      <sheetName val="CXC results"/>
      <sheetName val="Analysis of primary schools"/>
      <sheetName val="analysis of seconday schools"/>
      <sheetName val="cambridge advance level edu"/>
      <sheetName val="value construction impo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9">
          <cell r="U9">
            <v>52.5</v>
          </cell>
        </row>
        <row r="50">
          <cell r="U50">
            <v>0</v>
          </cell>
        </row>
        <row r="56">
          <cell r="U56">
            <v>2.1</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urrent Exp by SOC"/>
      <sheetName val="Capital"/>
    </sheetNames>
    <sheetDataSet>
      <sheetData sheetId="0" refreshError="1"/>
      <sheetData sheetId="1" refreshError="1">
        <row r="6">
          <cell r="B6">
            <v>35831758</v>
          </cell>
          <cell r="C6">
            <v>40162367.950000003</v>
          </cell>
        </row>
        <row r="8">
          <cell r="C8">
            <v>29983229.32</v>
          </cell>
        </row>
      </sheetData>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urrent Exp by SOC"/>
      <sheetName val="Capital"/>
    </sheetNames>
    <sheetDataSet>
      <sheetData sheetId="0" refreshError="1"/>
      <sheetData sheetId="1" refreshError="1">
        <row r="7">
          <cell r="B7">
            <v>114533712</v>
          </cell>
          <cell r="C7">
            <v>91796326.319999978</v>
          </cell>
        </row>
        <row r="9">
          <cell r="C9">
            <v>57889303.300000012</v>
          </cell>
        </row>
      </sheetData>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SUMMARY OF RISK INDICATORS"/>
      <sheetName val="debt summary quaterly"/>
      <sheetName val="Debt lisitng Dec 2016 RPL"/>
      <sheetName val="debt summary CY"/>
      <sheetName val="Dec 2017 revised"/>
      <sheetName val="Dec 2016 revised"/>
      <sheetName val="Dec 2017"/>
      <sheetName val="December 2016"/>
      <sheetName val="Maturity profile final"/>
      <sheetName val=" maturity profile estimated"/>
      <sheetName val="Monthly Debt service "/>
      <sheetName val="WACD"/>
      <sheetName val="Debt Service CY"/>
      <sheetName val="debt summary FY"/>
      <sheetName val="debt projections CY 2015-2030"/>
      <sheetName val="debt projections CY 2015-2035 R"/>
      <sheetName val="debt projections FY 2015-2035"/>
      <sheetName val="June 2016"/>
      <sheetName val="December 2015"/>
      <sheetName val="SEp 2016"/>
      <sheetName val="March 2014"/>
      <sheetName val="MARCH2017"/>
      <sheetName val="june 2017"/>
      <sheetName val="SEPTEMBER2015"/>
      <sheetName val="Annual Fund raising Activity"/>
      <sheetName val="Quarterly Debt Service"/>
      <sheetName val="DEbt service ( FY)"/>
      <sheetName val="Projected IR "/>
      <sheetName val="Capital Expenditure"/>
      <sheetName val="Assumptions"/>
      <sheetName val="march 2016"/>
      <sheetName val="june 2000"/>
      <sheetName val="june 2001"/>
      <sheetName val="sep 2001"/>
      <sheetName val="june 2003"/>
      <sheetName val="sep 2003"/>
      <sheetName val="dec 2003"/>
      <sheetName val="march 2004"/>
      <sheetName val="June 2004"/>
      <sheetName val="september 2004"/>
      <sheetName val="Dec 2004"/>
      <sheetName val="March 05"/>
      <sheetName val="Dec 2005"/>
      <sheetName val="March 2006"/>
      <sheetName val="June'06"/>
      <sheetName val="Sept'06"/>
      <sheetName val="PDEBT Dec'06"/>
      <sheetName val="Mar. 2007"/>
      <sheetName val="June 2007"/>
      <sheetName val="June 2007 (Revised)"/>
      <sheetName val="September 2007"/>
      <sheetName val="December 2007"/>
      <sheetName val="December 2007 (2)"/>
      <sheetName val="March 2008"/>
      <sheetName val="June 2008"/>
      <sheetName val="June 2008 (Revised)"/>
      <sheetName val="September 2008"/>
      <sheetName val="December 2008"/>
      <sheetName val="March 2009"/>
      <sheetName val="June 2009"/>
      <sheetName val="Sept 2009"/>
      <sheetName val="December 2009"/>
      <sheetName val="March 2010"/>
      <sheetName val="June 2010"/>
      <sheetName val="September 2010"/>
      <sheetName val="December 2010"/>
      <sheetName val="March 2011"/>
      <sheetName val="June 2011"/>
      <sheetName val="Sept. 2011"/>
      <sheetName val="Dec. 2011"/>
      <sheetName val="March 2012"/>
      <sheetName val="december 2012"/>
      <sheetName val="March 2012 (Revised)"/>
      <sheetName val="June 2012"/>
      <sheetName val="Spetember 2012"/>
      <sheetName val="March 2013"/>
      <sheetName val="june 2013"/>
      <sheetName val="sep 2013"/>
      <sheetName val="DEc 2013"/>
      <sheetName val="june 2014"/>
      <sheetName val="sep 2014"/>
      <sheetName val="december 2014"/>
      <sheetName val="2012 new issuance"/>
      <sheetName val="2013borrowing"/>
      <sheetName val="Sheet3"/>
      <sheetName val="RGSM issues"/>
      <sheetName val="Sheet2"/>
      <sheetName val="March 2015"/>
      <sheetName val="june 2015"/>
      <sheetName val="RGSM SCHEDULE"/>
      <sheetName val="Amortization schle securities"/>
      <sheetName val="Amortization schle-loans"/>
      <sheetName val="IR on existing debt"/>
      <sheetName val="external debt servicing"/>
      <sheetName val="summary of debt servicing"/>
      <sheetName val="Projected PR"/>
      <sheetName val="undisbursed loans"/>
      <sheetName val="treasury bill holders"/>
      <sheetName val="ATM"/>
      <sheetName val="T Bills"/>
      <sheetName val="TbillsNotes"/>
      <sheetName val="GFN"/>
      <sheetName val="MTEFO charts"/>
      <sheetName val="MTEFO charts 1"/>
      <sheetName val="Sheet23"/>
      <sheetName val="Sheet24"/>
      <sheetName val="Sheet25"/>
      <sheetName val="Sheet26"/>
      <sheetName val="Sheet27"/>
      <sheetName val="Sheet28"/>
      <sheetName val="Sheet29"/>
    </sheetNames>
    <sheetDataSet>
      <sheetData sheetId="0" refreshError="1"/>
      <sheetData sheetId="1" refreshError="1"/>
      <sheetData sheetId="2" refreshError="1"/>
      <sheetData sheetId="3" refreshError="1"/>
      <sheetData sheetId="4">
        <row r="14">
          <cell r="U14">
            <v>594502.85406999988</v>
          </cell>
        </row>
        <row r="32">
          <cell r="AA32">
            <v>226418.07711500002</v>
          </cell>
          <cell r="AB32">
            <v>303078.34674499999</v>
          </cell>
          <cell r="AC32">
            <v>350223.18342400005</v>
          </cell>
          <cell r="AD32">
            <v>438610.96415899997</v>
          </cell>
          <cell r="AE32">
            <v>486313.160003</v>
          </cell>
        </row>
        <row r="39">
          <cell r="AA39">
            <v>373876.60866550007</v>
          </cell>
          <cell r="AB39">
            <v>366085.60200000001</v>
          </cell>
          <cell r="AC39">
            <v>289498.94449699996</v>
          </cell>
          <cell r="AD39">
            <v>287302.24745899998</v>
          </cell>
          <cell r="AE39">
            <v>432849.251643</v>
          </cell>
        </row>
        <row r="43">
          <cell r="AA43">
            <v>59491.667670030001</v>
          </cell>
          <cell r="AB43">
            <v>92552.287887810991</v>
          </cell>
          <cell r="AC43">
            <v>108500.170237941</v>
          </cell>
          <cell r="AD43">
            <v>99866.541154113002</v>
          </cell>
          <cell r="AE43">
            <v>93776.438122471009</v>
          </cell>
        </row>
        <row r="44">
          <cell r="AA44">
            <v>597640.01427622314</v>
          </cell>
          <cell r="AB44">
            <v>604547.26927224279</v>
          </cell>
          <cell r="AC44">
            <v>582228.01814341603</v>
          </cell>
          <cell r="AD44">
            <v>562077.64328842808</v>
          </cell>
          <cell r="AE44">
            <v>577952.59663079598</v>
          </cell>
        </row>
        <row r="50">
          <cell r="AA50">
            <v>60088.802454000011</v>
          </cell>
          <cell r="AB50">
            <v>54081.839357123004</v>
          </cell>
          <cell r="AC50">
            <v>49679.628717735002</v>
          </cell>
          <cell r="AD50">
            <v>40977.395236264994</v>
          </cell>
          <cell r="AE50">
            <v>42448.683481001004</v>
          </cell>
        </row>
        <row r="55">
          <cell r="AA55">
            <v>62459.512159999998</v>
          </cell>
          <cell r="AB55">
            <v>49864.825270000001</v>
          </cell>
          <cell r="AC55">
            <v>39934.950099999995</v>
          </cell>
          <cell r="AD55">
            <v>22650.367760000001</v>
          </cell>
          <cell r="AE55">
            <v>18189.981560000004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SUMMARY OF RISK INDICATORS"/>
      <sheetName val="Interpretation"/>
      <sheetName val="Notes"/>
      <sheetName val="Debt Indicators Qrt"/>
      <sheetName val="Debt Indicators CY"/>
      <sheetName val="Debt Indicators FY"/>
      <sheetName val="Debt Summary Quaterly"/>
      <sheetName val="Debt lisitng Dec 2016 RPL"/>
      <sheetName val="Debt Summary Qrt. Nominal Ch."/>
      <sheetName val="Debt Summary CY"/>
      <sheetName val="Dec 2017 revised"/>
      <sheetName val="Dec 2016 revised"/>
      <sheetName val="Dec 2017"/>
      <sheetName val="December 2016"/>
      <sheetName val="Debt Summary FY"/>
      <sheetName val="Monthly Debt Service "/>
      <sheetName val="Quarterly Debt Service"/>
      <sheetName val="Debt Service CY"/>
      <sheetName val="Debt Service ( FY)"/>
      <sheetName val="Debt Proj. CY 2015-2030"/>
      <sheetName val="Debt Proj. FY 2015-2035"/>
      <sheetName val="Projected IR "/>
      <sheetName val="Projected PR"/>
      <sheetName val="Maturity Profile"/>
      <sheetName val="Maturity Profile Estimated"/>
      <sheetName val="WACD"/>
      <sheetName val="March 2018"/>
      <sheetName val="March 2017 rev"/>
      <sheetName val="march 2016 rev"/>
      <sheetName val="Monthly Fund Raising Activity"/>
      <sheetName val="Annual Fund Raising Activity"/>
      <sheetName val="RGSM Aution Results Saint Lucia"/>
      <sheetName val="ECSE-RGSM SCHEDULE"/>
      <sheetName val="debt projections CY 2015-2035 R"/>
      <sheetName val="June 2016"/>
      <sheetName val="December 2015"/>
      <sheetName val="SEp 2016"/>
      <sheetName val="March 2014"/>
      <sheetName val="MARCH2017"/>
      <sheetName val="june 2017"/>
      <sheetName val="SEPTEMBER2015"/>
      <sheetName val="Assumptions"/>
      <sheetName val="march 2016"/>
      <sheetName val="june 2000"/>
      <sheetName val="june 2001"/>
      <sheetName val="sep 2001"/>
      <sheetName val="june 2003"/>
      <sheetName val="sep 2003"/>
      <sheetName val="dec 2003"/>
      <sheetName val="march 2004"/>
      <sheetName val="June 2004"/>
      <sheetName val="september 2004"/>
      <sheetName val="Dec 2004"/>
      <sheetName val="March 05"/>
      <sheetName val="Dec 2005"/>
      <sheetName val="March 2006"/>
      <sheetName val="June'06"/>
      <sheetName val="Sept'06"/>
      <sheetName val="PDEBT Dec'06"/>
      <sheetName val="Mar. 2007"/>
      <sheetName val="June 2007"/>
      <sheetName val="June 2007 (Revised)"/>
      <sheetName val="September 2007"/>
      <sheetName val="December 2007"/>
      <sheetName val="December 2007 (2)"/>
      <sheetName val="March 2008"/>
      <sheetName val="June 2008"/>
      <sheetName val="June 2008 (Revised)"/>
      <sheetName val="September 2008"/>
      <sheetName val="December 2008"/>
      <sheetName val="March 2009"/>
      <sheetName val="June 2009"/>
      <sheetName val="Sept 2009"/>
      <sheetName val="December 2009"/>
      <sheetName val="March 2010"/>
      <sheetName val="June 2010"/>
      <sheetName val="September 2010"/>
      <sheetName val="December 2010"/>
      <sheetName val="March 2011"/>
      <sheetName val="June 2011"/>
      <sheetName val="Sept. 2011"/>
      <sheetName val="Dec. 2011"/>
      <sheetName val="March 2012"/>
      <sheetName val="december 2012"/>
      <sheetName val="March 2012 (Revised)"/>
      <sheetName val="June 2012"/>
      <sheetName val="Spetember 2012"/>
      <sheetName val="March 2013"/>
      <sheetName val="june 2013"/>
      <sheetName val="sep 2013"/>
      <sheetName val="DEc 2013"/>
      <sheetName val="june 2014"/>
      <sheetName val="sep 2014"/>
      <sheetName val="december 2014"/>
      <sheetName val="2012 new issuance"/>
      <sheetName val="2013borrowing"/>
      <sheetName val="Sheet3"/>
      <sheetName val="RGSM issues"/>
      <sheetName val="Sheet2"/>
      <sheetName val="March 2015"/>
      <sheetName val="june 2015"/>
      <sheetName val="Amortization schle securities"/>
      <sheetName val="Amortization schle-loans"/>
      <sheetName val="IR on existing debt"/>
      <sheetName val="external debt servicing"/>
      <sheetName val="treasury bill holders"/>
      <sheetName val="AT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BQ7">
            <v>3464868.1765229362</v>
          </cell>
        </row>
        <row r="32">
          <cell r="BQ32">
            <v>520057.10885800002</v>
          </cell>
        </row>
        <row r="39">
          <cell r="BQ39">
            <v>415494.52540999994</v>
          </cell>
        </row>
        <row r="46">
          <cell r="BQ46">
            <v>129471.861681009</v>
          </cell>
        </row>
        <row r="51">
          <cell r="BQ51">
            <v>575521.50861529098</v>
          </cell>
        </row>
        <row r="62">
          <cell r="BQ62">
            <v>143024.31050999998</v>
          </cell>
        </row>
        <row r="63">
          <cell r="BQ63">
            <v>49132.498539635999</v>
          </cell>
        </row>
        <row r="68">
          <cell r="BQ68">
            <v>678.62804000000006</v>
          </cell>
        </row>
        <row r="73">
          <cell r="BQ73">
            <v>47271.396119999998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SUMMARY OF RISK INDICATORS"/>
      <sheetName val="debt summary quaterly"/>
      <sheetName val="Debt lisitng Dec 2016 RPL"/>
      <sheetName val="debt summary CY"/>
      <sheetName val="Dec 2017 revised"/>
      <sheetName val="Dec 2016 revised"/>
      <sheetName val="Dec 2017"/>
      <sheetName val="December 2016"/>
      <sheetName val="Maturity profile final"/>
      <sheetName val=" maturity profile estimated"/>
      <sheetName val="Monthly Debt service "/>
      <sheetName val="WACD"/>
      <sheetName val="Debt Service CY"/>
      <sheetName val="debt summary FY"/>
      <sheetName val="debt projections CY 2015-2030"/>
      <sheetName val="debt projections CY 2015-2035 R"/>
      <sheetName val="debt projections FY 2015-2035"/>
      <sheetName val="June 2016"/>
      <sheetName val="December 2015"/>
      <sheetName val="SEp 2016"/>
      <sheetName val="March 2014"/>
      <sheetName val="MARCH2017"/>
      <sheetName val="june 2017"/>
      <sheetName val="SEPTEMBER2015"/>
      <sheetName val="Annual Fund raising Activity"/>
      <sheetName val="Quarterly Debt Service"/>
      <sheetName val="DEbt service ( FY)"/>
      <sheetName val="Projected IR "/>
      <sheetName val="Capital Expenditure"/>
      <sheetName val="Assumptions"/>
      <sheetName val="march 2016"/>
      <sheetName val="june 2000"/>
      <sheetName val="june 2001"/>
      <sheetName val="sep 2001"/>
      <sheetName val="june 2003"/>
      <sheetName val="sep 2003"/>
      <sheetName val="dec 2003"/>
      <sheetName val="march 2004"/>
      <sheetName val="June 2004"/>
      <sheetName val="september 2004"/>
      <sheetName val="Dec 2004"/>
      <sheetName val="March 05"/>
      <sheetName val="Dec 2005"/>
      <sheetName val="March 2006"/>
      <sheetName val="June'06"/>
      <sheetName val="Sept'06"/>
      <sheetName val="PDEBT Dec'06"/>
      <sheetName val="Mar. 2007"/>
      <sheetName val="June 2007"/>
      <sheetName val="June 2007 (Revised)"/>
      <sheetName val="September 2007"/>
      <sheetName val="December 2007"/>
      <sheetName val="December 2007 (2)"/>
      <sheetName val="March 2008"/>
      <sheetName val="June 2008"/>
      <sheetName val="June 2008 (Revised)"/>
      <sheetName val="September 2008"/>
      <sheetName val="December 2008"/>
      <sheetName val="March 2009"/>
      <sheetName val="June 2009"/>
      <sheetName val="Sept 2009"/>
      <sheetName val="December 2009"/>
      <sheetName val="March 2010"/>
      <sheetName val="June 2010"/>
      <sheetName val="September 2010"/>
      <sheetName val="December 2010"/>
      <sheetName val="March 2011"/>
      <sheetName val="June 2011"/>
      <sheetName val="Sept. 2011"/>
      <sheetName val="Dec. 2011"/>
      <sheetName val="March 2012"/>
      <sheetName val="december 2012"/>
      <sheetName val="March 2012 (Revised)"/>
      <sheetName val="June 2012"/>
      <sheetName val="Spetember 2012"/>
      <sheetName val="March 2013"/>
      <sheetName val="june 2013"/>
      <sheetName val="sep 2013"/>
      <sheetName val="DEc 2013"/>
      <sheetName val="june 2014"/>
      <sheetName val="sep 2014"/>
      <sheetName val="december 2014"/>
      <sheetName val="2012 new issuance"/>
      <sheetName val="2013borrowing"/>
      <sheetName val="Sheet3"/>
      <sheetName val="RGSM issues"/>
      <sheetName val="Sheet2"/>
      <sheetName val="March 2015"/>
      <sheetName val="june 2015"/>
      <sheetName val="RGSM SCHEDULE"/>
      <sheetName val="Amortization schle securities"/>
      <sheetName val="Amortization schle-loans"/>
      <sheetName val="IR on existing debt"/>
      <sheetName val="external debt servicing"/>
      <sheetName val="summary of debt servicing"/>
      <sheetName val="Projected PR"/>
      <sheetName val="undisbursed loans"/>
      <sheetName val="treasury bill holders"/>
      <sheetName val="ATM"/>
      <sheetName val="T Bills"/>
      <sheetName val="TbillsNotes"/>
      <sheetName val="GFN"/>
      <sheetName val="MTEFO charts"/>
      <sheetName val="MTEFO charts 1"/>
      <sheetName val="Sheet23"/>
      <sheetName val="Sheet24"/>
      <sheetName val="Sheet25"/>
      <sheetName val="Sheet26"/>
      <sheetName val="Sheet27"/>
      <sheetName val="Sheet28"/>
      <sheetName val="Sheet29"/>
    </sheetNames>
    <sheetDataSet>
      <sheetData sheetId="0" refreshError="1"/>
      <sheetData sheetId="1" refreshError="1"/>
      <sheetData sheetId="2" refreshError="1"/>
      <sheetData sheetId="3" refreshError="1"/>
      <sheetData sheetId="4" refreshError="1">
        <row r="14">
          <cell r="U14">
            <v>594502.85406999988</v>
          </cell>
        </row>
        <row r="49">
          <cell r="AA49">
            <v>126745.25493000001</v>
          </cell>
          <cell r="AB49">
            <v>100198.76649000001</v>
          </cell>
          <cell r="AC49">
            <v>103625.17275</v>
          </cell>
          <cell r="AD49">
            <v>105560.08208000001</v>
          </cell>
          <cell r="AE49">
            <v>133168.1471</v>
          </cell>
        </row>
        <row r="60">
          <cell r="AA60">
            <v>36283.017759999995</v>
          </cell>
          <cell r="AB60">
            <v>23226.512360000001</v>
          </cell>
          <cell r="AC60">
            <v>18858</v>
          </cell>
          <cell r="AD60">
            <v>22913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2017"/>
      <sheetName val="DEC2017"/>
      <sheetName val="CLOTHL"/>
      <sheetName val="CLOHTI"/>
      <sheetName val="CLOHTI (CG)"/>
      <sheetName val="Xchange Rates"/>
      <sheetName val="Sectoral"/>
      <sheetName val="Cur. Composition"/>
      <sheetName val="Indicators Quarterly"/>
      <sheetName val="Indicators Annually"/>
    </sheetNames>
    <sheetDataSet>
      <sheetData sheetId="0">
        <row r="751">
          <cell r="B751">
            <v>555984939.45099998</v>
          </cell>
        </row>
      </sheetData>
      <sheetData sheetId="1"/>
      <sheetData sheetId="2">
        <row r="15">
          <cell r="J15">
            <v>0</v>
          </cell>
          <cell r="N15">
            <v>0</v>
          </cell>
        </row>
        <row r="35">
          <cell r="N35">
            <v>0</v>
          </cell>
        </row>
        <row r="36">
          <cell r="N36">
            <v>0</v>
          </cell>
        </row>
        <row r="37">
          <cell r="J37">
            <v>0</v>
          </cell>
          <cell r="N37">
            <v>0</v>
          </cell>
        </row>
        <row r="38">
          <cell r="J38">
            <v>0</v>
          </cell>
          <cell r="N38">
            <v>0</v>
          </cell>
        </row>
        <row r="39">
          <cell r="J39">
            <v>0</v>
          </cell>
          <cell r="N39">
            <v>0</v>
          </cell>
        </row>
        <row r="40">
          <cell r="J40">
            <v>0</v>
          </cell>
          <cell r="N40">
            <v>0</v>
          </cell>
        </row>
        <row r="42">
          <cell r="J42">
            <v>0</v>
          </cell>
          <cell r="N42">
            <v>0</v>
          </cell>
        </row>
        <row r="43">
          <cell r="J43">
            <v>0</v>
          </cell>
          <cell r="N43">
            <v>0</v>
          </cell>
        </row>
        <row r="45">
          <cell r="J45">
            <v>0</v>
          </cell>
          <cell r="N45">
            <v>0</v>
          </cell>
        </row>
        <row r="46">
          <cell r="J46">
            <v>0</v>
          </cell>
          <cell r="N46">
            <v>0</v>
          </cell>
        </row>
        <row r="47">
          <cell r="J47">
            <v>0</v>
          </cell>
          <cell r="N47">
            <v>0</v>
          </cell>
        </row>
        <row r="49">
          <cell r="N49">
            <v>0</v>
          </cell>
        </row>
        <row r="51">
          <cell r="J51">
            <v>0</v>
          </cell>
          <cell r="N51">
            <v>0</v>
          </cell>
        </row>
        <row r="52">
          <cell r="J52">
            <v>0</v>
          </cell>
          <cell r="N52">
            <v>0</v>
          </cell>
        </row>
        <row r="53">
          <cell r="J53">
            <v>0</v>
          </cell>
          <cell r="N53">
            <v>0</v>
          </cell>
        </row>
      </sheetData>
      <sheetData sheetId="3"/>
      <sheetData sheetId="4"/>
      <sheetData sheetId="5"/>
      <sheetData sheetId="6"/>
      <sheetData sheetId="7"/>
      <sheetData sheetId="8"/>
      <sheetData sheetId="9"/>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DEC 2019"/>
      <sheetName val="DEC2017"/>
      <sheetName val="CLOTHL"/>
      <sheetName val="CLOTHI (CG)"/>
      <sheetName val="CLOHTI (GG)"/>
      <sheetName val="Xchange Rates"/>
      <sheetName val="Sectoral"/>
      <sheetName val="Cur. Composition"/>
      <sheetName val="Cost-Risk Indicators"/>
      <sheetName val="WACD"/>
    </sheetNames>
    <sheetDataSet>
      <sheetData sheetId="0" refreshError="1"/>
      <sheetData sheetId="1"/>
      <sheetData sheetId="2"/>
      <sheetData sheetId="3">
        <row r="17">
          <cell r="N17">
            <v>0</v>
          </cell>
        </row>
        <row r="18">
          <cell r="N18">
            <v>0</v>
          </cell>
        </row>
        <row r="21">
          <cell r="J21">
            <v>0</v>
          </cell>
        </row>
        <row r="22">
          <cell r="N22">
            <v>0</v>
          </cell>
        </row>
        <row r="23">
          <cell r="J23">
            <v>0</v>
          </cell>
          <cell r="N23">
            <v>0</v>
          </cell>
        </row>
        <row r="24">
          <cell r="F24">
            <v>0</v>
          </cell>
          <cell r="J24">
            <v>0</v>
          </cell>
          <cell r="N24">
            <v>0</v>
          </cell>
        </row>
        <row r="37">
          <cell r="F37">
            <v>0</v>
          </cell>
        </row>
        <row r="38">
          <cell r="F38">
            <v>0</v>
          </cell>
        </row>
        <row r="45">
          <cell r="F45">
            <v>0</v>
          </cell>
        </row>
        <row r="46">
          <cell r="F46">
            <v>0</v>
          </cell>
        </row>
        <row r="47">
          <cell r="F47">
            <v>0</v>
          </cell>
        </row>
        <row r="49">
          <cell r="F49">
            <v>0</v>
          </cell>
        </row>
      </sheetData>
      <sheetData sheetId="4">
        <row r="45">
          <cell r="G45">
            <v>0</v>
          </cell>
        </row>
        <row r="55">
          <cell r="J55">
            <v>0</v>
          </cell>
        </row>
      </sheetData>
      <sheetData sheetId="5"/>
      <sheetData sheetId="6"/>
      <sheetData sheetId="7"/>
      <sheetData sheetId="8"/>
      <sheetData sheetId="9"/>
      <sheetData sheetId="10"/>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2015"/>
      <sheetName val="CLOTHL"/>
      <sheetName val="CLOHTI (2)"/>
      <sheetName val="Xchange Rates"/>
      <sheetName val="Sectoral"/>
      <sheetName val="Cur. Composition"/>
    </sheetNames>
    <sheetDataSet>
      <sheetData sheetId="0" refreshError="1">
        <row r="607">
          <cell r="B607">
            <v>326925460.78001404</v>
          </cell>
        </row>
        <row r="608">
          <cell r="B608">
            <v>0</v>
          </cell>
        </row>
        <row r="609">
          <cell r="B609">
            <v>135673.82699000003</v>
          </cell>
        </row>
        <row r="610">
          <cell r="B610">
            <v>35667701.549999997</v>
          </cell>
        </row>
        <row r="611">
          <cell r="B611">
            <v>194089433.52141204</v>
          </cell>
        </row>
        <row r="612">
          <cell r="B612">
            <v>25409748.465</v>
          </cell>
        </row>
        <row r="613">
          <cell r="B613">
            <v>15357588.677991001</v>
          </cell>
        </row>
        <row r="614">
          <cell r="B614">
            <v>37800000</v>
          </cell>
        </row>
        <row r="615">
          <cell r="B615">
            <v>28342581.559949998</v>
          </cell>
        </row>
        <row r="616">
          <cell r="B616">
            <v>27000000</v>
          </cell>
        </row>
        <row r="617">
          <cell r="B617">
            <v>3083333.3310000002</v>
          </cell>
        </row>
        <row r="621">
          <cell r="B621">
            <v>104142857.16600001</v>
          </cell>
        </row>
        <row r="622">
          <cell r="B622">
            <v>10800000</v>
          </cell>
        </row>
        <row r="623">
          <cell r="B623">
            <v>4860000</v>
          </cell>
        </row>
        <row r="624">
          <cell r="B624">
            <v>207227952.41</v>
          </cell>
        </row>
      </sheetData>
      <sheetData sheetId="1" refreshError="1"/>
      <sheetData sheetId="2" refreshError="1"/>
      <sheetData sheetId="3" refreshError="1"/>
      <sheetData sheetId="4" refreshError="1"/>
      <sheetData sheetId="5"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EMBER2015"/>
      <sheetName val="RGSM Securities"/>
      <sheetName val="rgsm bonds bop"/>
      <sheetName val="bonds bop"/>
    </sheetNames>
    <sheetDataSet>
      <sheetData sheetId="0">
        <row r="634">
          <cell r="B634">
            <v>309608191.41400003</v>
          </cell>
        </row>
      </sheetData>
      <sheetData sheetId="1" refreshError="1"/>
      <sheetData sheetId="2" refreshError="1"/>
      <sheetData sheetId="3"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ember 2013"/>
      <sheetName val="CLOTHL"/>
      <sheetName val="CLOHTI (2)"/>
      <sheetName val="Xchange Rates"/>
      <sheetName val="Sectoral"/>
      <sheetName val="Cur. Composition"/>
      <sheetName val="Table 38"/>
      <sheetName val="Sheet4"/>
    </sheetNames>
    <sheetDataSet>
      <sheetData sheetId="0" refreshError="1">
        <row r="487">
          <cell r="A487" t="str">
            <v>CDB:</v>
          </cell>
        </row>
        <row r="502">
          <cell r="A502" t="str">
            <v>T.BILLS</v>
          </cell>
        </row>
        <row r="503">
          <cell r="A503" t="str">
            <v>SUB TOTAL</v>
          </cell>
          <cell r="D503">
            <v>1252981661.1008499</v>
          </cell>
        </row>
        <row r="505">
          <cell r="A505" t="str">
            <v>GOVERNMENT GUARANTEED</v>
          </cell>
        </row>
        <row r="506">
          <cell r="A506" t="str">
            <v>CDB</v>
          </cell>
          <cell r="D506">
            <v>56708979.444000006</v>
          </cell>
        </row>
        <row r="507">
          <cell r="A507" t="str">
            <v>CDF</v>
          </cell>
          <cell r="D507">
            <v>3379823.0100000002</v>
          </cell>
        </row>
        <row r="508">
          <cell r="D508">
            <v>0</v>
          </cell>
        </row>
        <row r="510">
          <cell r="A510" t="str">
            <v>SUB TOTAL</v>
          </cell>
        </row>
        <row r="516">
          <cell r="A516" t="str">
            <v>GRAND TOTAL</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phs"/>
      <sheetName val="12MMA_DATA"/>
      <sheetName val="Sheet1"/>
      <sheetName val="NPL_BY_COUNTRY"/>
      <sheetName val="Monetary Survey"/>
      <sheetName val="Credit by sector"/>
      <sheetName val="Graph 1"/>
      <sheetName val="NPL_BY_SECTOR"/>
      <sheetName val="Liquidity Analysis"/>
      <sheetName val="FINANCIAL_INDICATORS"/>
      <sheetName val="Sheet2"/>
      <sheetName val="EARNING_RATIOS"/>
      <sheetName val="LIAB"/>
      <sheetName val="ASSETS"/>
      <sheetName val="SUPPA1"/>
      <sheetName val="SUPPA2"/>
      <sheetName val="SUPPB1"/>
      <sheetName val="SUPPB2"/>
      <sheetName val="imputed reserves"/>
      <sheetName val="central bank survey"/>
      <sheetName val="dmc survey - imf format"/>
      <sheetName val="Other Items (net)"/>
      <sheetName val="dmc survey-Foreign"/>
      <sheetName val="dmc survey-Indigenous"/>
      <sheetName val="Interest Rates"/>
      <sheetName val="Weighted Rates"/>
      <sheetName val="Credit by Sector - Foreign"/>
      <sheetName val="Credit by Sector - Indigenous"/>
    </sheetNames>
    <sheetDataSet>
      <sheetData sheetId="0"/>
      <sheetData sheetId="1"/>
      <sheetData sheetId="2"/>
      <sheetData sheetId="3"/>
      <sheetData sheetId="4">
        <row r="9">
          <cell r="AM9">
            <v>-304189.29033756105</v>
          </cell>
        </row>
      </sheetData>
      <sheetData sheetId="5">
        <row r="10">
          <cell r="AD10">
            <v>22764</v>
          </cell>
        </row>
        <row r="18">
          <cell r="AD18">
            <v>3096</v>
          </cell>
        </row>
        <row r="20">
          <cell r="AD20">
            <v>29497</v>
          </cell>
        </row>
        <row r="22">
          <cell r="AD22">
            <v>68733</v>
          </cell>
        </row>
        <row r="32">
          <cell r="AD32">
            <v>58137</v>
          </cell>
        </row>
        <row r="34">
          <cell r="AD34">
            <v>314562</v>
          </cell>
        </row>
        <row r="36">
          <cell r="AD36">
            <v>291261</v>
          </cell>
        </row>
        <row r="38">
          <cell r="AD38">
            <v>576889</v>
          </cell>
        </row>
        <row r="40">
          <cell r="AD40">
            <v>32781</v>
          </cell>
        </row>
        <row r="42">
          <cell r="AD42">
            <v>78699</v>
          </cell>
        </row>
        <row r="44">
          <cell r="AD44">
            <v>12926</v>
          </cell>
        </row>
        <row r="46">
          <cell r="AD46">
            <v>612231</v>
          </cell>
        </row>
        <row r="48">
          <cell r="AD48">
            <v>221468</v>
          </cell>
        </row>
        <row r="52">
          <cell r="AD52">
            <v>645379</v>
          </cell>
        </row>
        <row r="53">
          <cell r="AD53">
            <v>373250</v>
          </cell>
        </row>
        <row r="54">
          <cell r="AD54">
            <v>108008</v>
          </cell>
        </row>
        <row r="55">
          <cell r="AD55">
            <v>655709</v>
          </cell>
        </row>
      </sheetData>
      <sheetData sheetId="6"/>
      <sheetData sheetId="7"/>
      <sheetData sheetId="8">
        <row r="13">
          <cell r="AC13">
            <v>4105390</v>
          </cell>
        </row>
      </sheetData>
      <sheetData sheetId="9"/>
      <sheetData sheetId="10"/>
      <sheetData sheetId="11"/>
      <sheetData sheetId="12">
        <row r="10">
          <cell r="AA10">
            <v>3766643</v>
          </cell>
        </row>
      </sheetData>
      <sheetData sheetId="13">
        <row r="9">
          <cell r="Z9">
            <v>90200</v>
          </cell>
        </row>
      </sheetData>
      <sheetData sheetId="14"/>
      <sheetData sheetId="15"/>
      <sheetData sheetId="16"/>
      <sheetData sheetId="17"/>
      <sheetData sheetId="18"/>
      <sheetData sheetId="19">
        <row r="11">
          <cell r="Z11">
            <v>-480490.74549000006</v>
          </cell>
        </row>
      </sheetData>
      <sheetData sheetId="20"/>
      <sheetData sheetId="21"/>
      <sheetData sheetId="22"/>
      <sheetData sheetId="23"/>
      <sheetData sheetId="24"/>
      <sheetData sheetId="25">
        <row r="13">
          <cell r="AA13">
            <v>8.5020515423763445</v>
          </cell>
        </row>
      </sheetData>
      <sheetData sheetId="26"/>
      <sheetData sheetId="27"/>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DP  nominal prices"/>
      <sheetName val="Constant Prices"/>
      <sheetName val="GDP (CP) Rate of Growth"/>
      <sheetName val="Share of Total "/>
      <sheetName val="Visitor Statistics "/>
      <sheetName val="Visitor Category"/>
      <sheetName val="Arrivals By Origin"/>
      <sheetName val="Quarterly Banana Exports"/>
      <sheetName val="Banana Revenue"/>
      <sheetName val="Supermarkets and Hotels "/>
      <sheetName val="Livestock"/>
      <sheetName val="Fisheries"/>
      <sheetName val="Manufacturing"/>
      <sheetName val="Cargo"/>
      <sheetName val="Air Traffic Stats"/>
      <sheetName val="Aircraft Movement"/>
      <sheetName val="Elec. Con. and Output"/>
      <sheetName val="Fuel Surcharge and Price"/>
      <sheetName val="Water Con. and Output"/>
      <sheetName val="CPI"/>
      <sheetName val="Category"/>
      <sheetName val="LF Indicators Summary "/>
      <sheetName val="Central Gov't Fiscal Operations"/>
      <sheetName val="Gov't fiscal operations to GDP"/>
      <sheetName val="Central Gov't Revenue"/>
      <sheetName val="Central Gov't Expenditure"/>
      <sheetName val="Debt Summary"/>
      <sheetName val="debt By Holder4 "/>
      <sheetName val="debt term instrument"/>
      <sheetName val="Domestic Debt"/>
      <sheetName val="Domestic Debt (B)"/>
      <sheetName val="Domestic Debt (C)"/>
      <sheetName val=" External Debt"/>
      <sheetName val=" External Debt (E)"/>
      <sheetName val="External Debt Cont'd"/>
      <sheetName val="External Debt Cont'd 2"/>
      <sheetName val="External Debt Cont'd 3"/>
      <sheetName val="Debt Creditor"/>
      <sheetName val="Debt Sectoral"/>
      <sheetName val="Credit By Sector"/>
      <sheetName val="Detailed Monetary Survey "/>
      <sheetName val="Supp A - Total Deposits"/>
      <sheetName val="Sheet1"/>
      <sheetName val="Assets and Liabilities (2)"/>
      <sheetName val="Liquidity Ratios"/>
      <sheetName val="Interest Rates"/>
      <sheetName val="Loans by Economic Sector (2)"/>
      <sheetName val="Imputed Reserves (New)"/>
      <sheetName val="Import by Economic Function "/>
      <sheetName val="Import  % total &amp; change"/>
      <sheetName val=" Exports"/>
      <sheetName val="Export % total &amp; change"/>
      <sheetName val="Total exports and re-exports"/>
      <sheetName val="CXC Results (Exclude)"/>
      <sheetName val="Analysis of primary schools (2"/>
      <sheetName val="analysis of seconday school (2"/>
      <sheetName val="cambridge advance level edu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row r="8">
          <cell r="C8">
            <v>650.26499999999999</v>
          </cell>
          <cell r="D8">
            <v>655.62458674000004</v>
          </cell>
        </row>
        <row r="9">
          <cell r="C9">
            <v>0</v>
          </cell>
          <cell r="D9">
            <v>0</v>
          </cell>
          <cell r="E9">
            <v>0</v>
          </cell>
          <cell r="F9">
            <v>0</v>
          </cell>
          <cell r="G9">
            <v>0</v>
          </cell>
          <cell r="H9">
            <v>0</v>
          </cell>
          <cell r="I9">
            <v>0</v>
          </cell>
        </row>
        <row r="10">
          <cell r="C10">
            <v>364.125</v>
          </cell>
        </row>
        <row r="11">
          <cell r="C11">
            <v>43.1</v>
          </cell>
        </row>
        <row r="12">
          <cell r="C12">
            <v>23.94</v>
          </cell>
        </row>
        <row r="13">
          <cell r="C13">
            <v>219.1</v>
          </cell>
        </row>
        <row r="15">
          <cell r="C15">
            <v>728.93499999999995</v>
          </cell>
          <cell r="D15">
            <v>574.56776477999995</v>
          </cell>
        </row>
        <row r="16">
          <cell r="C16">
            <v>0</v>
          </cell>
          <cell r="D16">
            <v>0</v>
          </cell>
          <cell r="E16">
            <v>0</v>
          </cell>
          <cell r="F16">
            <v>0</v>
          </cell>
          <cell r="G16">
            <v>0</v>
          </cell>
          <cell r="H16">
            <v>0</v>
          </cell>
          <cell r="I16">
            <v>0</v>
          </cell>
          <cell r="J16">
            <v>0</v>
          </cell>
        </row>
        <row r="17">
          <cell r="C17">
            <v>172.9</v>
          </cell>
        </row>
        <row r="18">
          <cell r="C18">
            <v>427.1</v>
          </cell>
        </row>
        <row r="19">
          <cell r="C19">
            <v>7.9349999999999996</v>
          </cell>
        </row>
        <row r="20">
          <cell r="C20">
            <v>121</v>
          </cell>
        </row>
        <row r="22">
          <cell r="C22">
            <v>270.42</v>
          </cell>
          <cell r="D22">
            <v>269.60925026999996</v>
          </cell>
        </row>
        <row r="23">
          <cell r="C23">
            <v>0</v>
          </cell>
          <cell r="D23">
            <v>0</v>
          </cell>
          <cell r="E23">
            <v>0</v>
          </cell>
          <cell r="F23">
            <v>0</v>
          </cell>
          <cell r="G23">
            <v>0</v>
          </cell>
          <cell r="H23">
            <v>0</v>
          </cell>
          <cell r="I23">
            <v>0</v>
          </cell>
          <cell r="J23">
            <v>0</v>
          </cell>
        </row>
        <row r="24">
          <cell r="C24">
            <v>270.2</v>
          </cell>
        </row>
        <row r="25">
          <cell r="C25">
            <v>0.22</v>
          </cell>
        </row>
        <row r="27">
          <cell r="C27">
            <v>1649.62</v>
          </cell>
          <cell r="D27">
            <v>1499.8016017899999</v>
          </cell>
          <cell r="E27">
            <v>1686.6374543900001</v>
          </cell>
          <cell r="F27">
            <v>1684.2280166400001</v>
          </cell>
          <cell r="G27">
            <v>1778.54</v>
          </cell>
          <cell r="H27">
            <v>1615.472</v>
          </cell>
          <cell r="I27">
            <v>1362.2329999999999</v>
          </cell>
        </row>
        <row r="56">
          <cell r="C56">
            <v>1451.6656</v>
          </cell>
        </row>
      </sheetData>
      <sheetData sheetId="49" refreshError="1"/>
      <sheetData sheetId="50" refreshError="1">
        <row r="7">
          <cell r="C7">
            <v>132.1</v>
          </cell>
        </row>
        <row r="9">
          <cell r="C9">
            <v>39.5</v>
          </cell>
        </row>
        <row r="10">
          <cell r="C10">
            <v>75</v>
          </cell>
        </row>
        <row r="11">
          <cell r="C11">
            <v>10.9</v>
          </cell>
        </row>
        <row r="12">
          <cell r="C12">
            <v>6.7</v>
          </cell>
        </row>
        <row r="14">
          <cell r="C14">
            <v>22.234626600000002</v>
          </cell>
        </row>
        <row r="16">
          <cell r="C16">
            <v>19.5</v>
          </cell>
        </row>
        <row r="17">
          <cell r="C17">
            <v>1.4596799999999999E-3</v>
          </cell>
        </row>
        <row r="18">
          <cell r="C18">
            <v>5.8104999999999995E-4</v>
          </cell>
        </row>
        <row r="19">
          <cell r="C19">
            <v>2.7325858700000003</v>
          </cell>
        </row>
        <row r="21">
          <cell r="C21">
            <v>4.5</v>
          </cell>
        </row>
        <row r="23">
          <cell r="C23">
            <v>4.5</v>
          </cell>
        </row>
        <row r="24">
          <cell r="C24">
            <v>0</v>
          </cell>
        </row>
        <row r="26">
          <cell r="C26">
            <v>158.83462660000001</v>
          </cell>
        </row>
      </sheetData>
      <sheetData sheetId="51" refreshError="1">
        <row r="36">
          <cell r="C36">
            <v>0.6</v>
          </cell>
        </row>
        <row r="37">
          <cell r="C37">
            <v>0.05</v>
          </cell>
        </row>
        <row r="38">
          <cell r="C38">
            <v>0.2</v>
          </cell>
        </row>
        <row r="39">
          <cell r="C39">
            <v>4.5999999999999996</v>
          </cell>
        </row>
        <row r="43">
          <cell r="C43">
            <v>5.2</v>
          </cell>
        </row>
        <row r="44">
          <cell r="C44">
            <v>81.5</v>
          </cell>
        </row>
        <row r="45">
          <cell r="C45">
            <v>2E-3</v>
          </cell>
        </row>
        <row r="46">
          <cell r="C46">
            <v>0.2</v>
          </cell>
        </row>
        <row r="50">
          <cell r="C50">
            <v>11.9</v>
          </cell>
        </row>
        <row r="51">
          <cell r="C51">
            <v>1.17891173</v>
          </cell>
        </row>
      </sheetData>
      <sheetData sheetId="52" refreshError="1"/>
      <sheetData sheetId="53" refreshError="1"/>
      <sheetData sheetId="54" refreshError="1"/>
      <sheetData sheetId="55" refreshError="1"/>
      <sheetData sheetId="56" refreshError="1"/>
    </sheetDataSet>
  </externalBook>
</externalLink>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58B1AD-EAC0-4B0A-ACF2-B0F11156F71A}" autoFormatId="16" applyNumberFormats="0" applyBorderFormats="0" applyFontFormats="0" applyPatternFormats="0" applyAlignmentFormats="0" applyWidthHeightFormats="0">
  <queryTableRefresh nextId="20">
    <queryTableFields count="19">
      <queryTableField id="1" name="date" tableColumnId="1"/>
      <queryTableField id="2" name="country" tableColumnId="2"/>
      <queryTableField id="3" name="city" tableColumnId="3"/>
      <queryTableField id="4" name="browser" tableColumnId="4"/>
      <queryTableField id="5" name="deviceCategory" tableColumnId="5"/>
      <queryTableField id="6" name="eventName" tableColumnId="6"/>
      <queryTableField id="7" name="operatingSystem" tableColumnId="7"/>
      <queryTableField id="8" name="platform" tableColumnId="8"/>
      <queryTableField id="9" name="active1DayUsers" tableColumnId="9"/>
      <queryTableField id="10" name="active28DayUsers" tableColumnId="10"/>
      <queryTableField id="11" name="active7DayUsers" tableColumnId="11"/>
      <queryTableField id="12" name="activeUsers" tableColumnId="12"/>
      <queryTableField id="13" name="bounceRate" tableColumnId="13"/>
      <queryTableField id="14" name="eventCount" tableColumnId="14"/>
      <queryTableField id="15" name="eventCountPerUser" tableColumnId="15"/>
      <queryTableField id="16" name="eventsPerSession" tableColumnId="16"/>
      <queryTableField id="17" name="newUsers" tableColumnId="17"/>
      <queryTableField id="18" name="sessions" tableColumnId="18"/>
      <queryTableField id="19" name="fullPageUrl"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1EA56C-BDFE-48A3-AA54-ECDF541C8BCB}" name="Janai_s_Blog_Info" displayName="Janai_s_Blog_Info" ref="A1:S2" tableType="queryTable" totalsRowShown="0">
  <autoFilter ref="A1:S2" xr:uid="{BD1EA56C-BDFE-48A3-AA54-ECDF541C8BCB}"/>
  <tableColumns count="19">
    <tableColumn id="1" xr3:uid="{DDBFF063-FB68-4958-9497-C742A44E9058}" uniqueName="1" name="date" queryTableFieldId="1" dataDxfId="8"/>
    <tableColumn id="2" xr3:uid="{385BBEB9-7FDF-46ED-B47C-A1DAE042901C}" uniqueName="2" name="country" queryTableFieldId="2" dataDxfId="7"/>
    <tableColumn id="3" xr3:uid="{CF70D950-EB2D-4936-A056-7231A9796E1D}" uniqueName="3" name="city" queryTableFieldId="3" dataDxfId="6"/>
    <tableColumn id="4" xr3:uid="{97566582-E148-401A-B19F-92DE6DF2FED0}" uniqueName="4" name="browser" queryTableFieldId="4" dataDxfId="5"/>
    <tableColumn id="5" xr3:uid="{FC69CB6C-5CBD-433A-B9E3-67A0ABFA2474}" uniqueName="5" name="deviceCategory" queryTableFieldId="5" dataDxfId="4"/>
    <tableColumn id="6" xr3:uid="{7C317F83-E4B6-4F52-9B7E-623E6D37D607}" uniqueName="6" name="eventName" queryTableFieldId="6" dataDxfId="3"/>
    <tableColumn id="7" xr3:uid="{2A92E942-0D62-4024-9327-9C6D6308C05F}" uniqueName="7" name="operatingSystem" queryTableFieldId="7" dataDxfId="2"/>
    <tableColumn id="8" xr3:uid="{740125B7-48F6-4ABF-9BF0-8461887B4B2D}" uniqueName="8" name="platform" queryTableFieldId="8" dataDxfId="1"/>
    <tableColumn id="9" xr3:uid="{942ADCED-084E-4456-8003-F5594DDB356E}" uniqueName="9" name="active1DayUsers" queryTableFieldId="9"/>
    <tableColumn id="10" xr3:uid="{1D291686-8A10-4770-8D9D-2A66535E2FD9}" uniqueName="10" name="active28DayUsers" queryTableFieldId="10"/>
    <tableColumn id="11" xr3:uid="{7FBF7436-0DB1-4C74-91F4-1185740229F6}" uniqueName="11" name="active7DayUsers" queryTableFieldId="11"/>
    <tableColumn id="12" xr3:uid="{AADB1DE7-9D16-438F-ACD4-59D7B629802F}" uniqueName="12" name="activeUsers" queryTableFieldId="12"/>
    <tableColumn id="13" xr3:uid="{2100C4DC-E41B-4171-8ED8-EA8B4C4CF60D}" uniqueName="13" name="bounceRate" queryTableFieldId="13"/>
    <tableColumn id="14" xr3:uid="{C4089D1D-0573-4BE4-B6EA-92B9A8B3E1C6}" uniqueName="14" name="eventCount" queryTableFieldId="14"/>
    <tableColumn id="15" xr3:uid="{B877119A-E067-41E7-8F28-A922B64B9801}" uniqueName="15" name="eventCountPerUser" queryTableFieldId="15"/>
    <tableColumn id="16" xr3:uid="{A67F9624-0FE6-456D-A9C0-5AD2E250C03C}" uniqueName="16" name="eventsPerSession" queryTableFieldId="16"/>
    <tableColumn id="17" xr3:uid="{21984C04-2BD3-4E13-83AC-DC6B788AA1BB}" uniqueName="17" name="newUsers" queryTableFieldId="17"/>
    <tableColumn id="18" xr3:uid="{763F0791-0B41-44C5-8FE4-4A06603DF30E}" uniqueName="18" name="sessions" queryTableFieldId="18"/>
    <tableColumn id="19" xr3:uid="{B3E37088-4FFA-436C-BEBD-95BC65527331}" uniqueName="19" name="fullPageUrl" queryTableFieldId="1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govt.lc/ministries/finance-and-economic-affairs/statistics-departm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govt.lc/ministries/finance-and-economic-affairs/statistics-departmen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govt.lc/other/st-lucia-tourist-board"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govt.lc/other/st-lucia-tourist-board"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govt.lc/other/st-lucia-tourist-board"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F0"/>
    <pageSetUpPr fitToPage="1"/>
  </sheetPr>
  <dimension ref="A1:BL117"/>
  <sheetViews>
    <sheetView showGridLines="0" view="pageBreakPreview" topLeftCell="B1" zoomScale="40" zoomScaleNormal="30" zoomScaleSheetLayoutView="40" workbookViewId="0">
      <pane xSplit="1" topLeftCell="C1" activePane="topRight" state="frozen"/>
      <selection activeCell="X24" sqref="X24"/>
      <selection pane="topRight" activeCell="B44" sqref="B44"/>
    </sheetView>
  </sheetViews>
  <sheetFormatPr defaultColWidth="9.46484375" defaultRowHeight="15" customHeight="1"/>
  <cols>
    <col min="1" max="1" width="4.46484375" style="71" hidden="1" customWidth="1"/>
    <col min="2" max="2" width="162.46484375" style="71" customWidth="1"/>
    <col min="3" max="3" width="30" style="71" customWidth="1"/>
    <col min="4" max="15" width="25.46484375" style="92" customWidth="1"/>
    <col min="16" max="16" width="27.6640625" style="92" bestFit="1" customWidth="1"/>
    <col min="17" max="18" width="25.46484375" style="93" customWidth="1"/>
    <col min="19" max="19" width="26.33203125" style="68" customWidth="1"/>
    <col min="20" max="20" width="25.33203125" style="4107" bestFit="1" customWidth="1"/>
    <col min="21" max="21" width="1.46484375" style="68" customWidth="1"/>
    <col min="22" max="64" width="9.46484375" style="68"/>
    <col min="65" max="16384" width="9.46484375" style="71"/>
  </cols>
  <sheetData>
    <row r="1" spans="1:64" ht="32" customHeight="1">
      <c r="A1" s="68"/>
      <c r="B1" s="5631" t="s">
        <v>665</v>
      </c>
      <c r="C1" s="5631"/>
      <c r="D1" s="5631"/>
      <c r="E1" s="5631"/>
      <c r="F1" s="5631"/>
      <c r="G1" s="5631"/>
      <c r="H1" s="5631"/>
      <c r="I1" s="5631"/>
      <c r="J1" s="5631"/>
      <c r="K1" s="5631"/>
      <c r="L1" s="5631"/>
      <c r="M1" s="5631"/>
      <c r="N1" s="5631"/>
      <c r="O1" s="5631"/>
      <c r="P1" s="5631"/>
      <c r="Q1" s="5631"/>
      <c r="R1" s="5631"/>
      <c r="S1" s="5631"/>
      <c r="T1" s="5631"/>
    </row>
    <row r="2" spans="1:64" ht="32" customHeight="1">
      <c r="A2" s="68"/>
      <c r="B2" s="5631" t="s">
        <v>876</v>
      </c>
      <c r="C2" s="5631"/>
      <c r="D2" s="5631"/>
      <c r="E2" s="5631"/>
      <c r="F2" s="5631"/>
      <c r="G2" s="5631"/>
      <c r="H2" s="5631"/>
      <c r="I2" s="5631"/>
      <c r="J2" s="5631"/>
      <c r="K2" s="5631"/>
      <c r="L2" s="5631"/>
      <c r="M2" s="5631"/>
      <c r="N2" s="5631"/>
      <c r="O2" s="5631"/>
      <c r="P2" s="5631"/>
      <c r="Q2" s="5631"/>
      <c r="R2" s="5631"/>
      <c r="S2" s="5631"/>
      <c r="T2" s="5631"/>
    </row>
    <row r="3" spans="1:64" ht="32" customHeight="1">
      <c r="A3" s="68"/>
      <c r="B3" s="5631" t="s">
        <v>877</v>
      </c>
      <c r="C3" s="5631"/>
      <c r="D3" s="5631"/>
      <c r="E3" s="5631"/>
      <c r="F3" s="5631"/>
      <c r="G3" s="5631"/>
      <c r="H3" s="5631"/>
      <c r="I3" s="5631"/>
      <c r="J3" s="5631"/>
      <c r="K3" s="5631"/>
      <c r="L3" s="5631"/>
      <c r="M3" s="5631"/>
      <c r="N3" s="5631"/>
      <c r="O3" s="5631"/>
      <c r="P3" s="5631"/>
      <c r="Q3" s="5631"/>
      <c r="R3" s="5631"/>
      <c r="S3" s="5631"/>
      <c r="T3" s="5631"/>
      <c r="U3" s="3953"/>
    </row>
    <row r="4" spans="1:64" ht="32" customHeight="1">
      <c r="A4" s="68"/>
      <c r="B4" s="5631" t="s">
        <v>878</v>
      </c>
      <c r="C4" s="5631"/>
      <c r="D4" s="5631"/>
      <c r="E4" s="5631"/>
      <c r="F4" s="5631"/>
      <c r="G4" s="5631"/>
      <c r="H4" s="5631"/>
      <c r="I4" s="5631"/>
      <c r="J4" s="5631"/>
      <c r="K4" s="5631"/>
      <c r="L4" s="5631"/>
      <c r="M4" s="5631"/>
      <c r="N4" s="5631"/>
      <c r="O4" s="5631"/>
      <c r="P4" s="5631"/>
      <c r="Q4" s="5631"/>
      <c r="R4" s="5631"/>
      <c r="S4" s="5631"/>
      <c r="T4" s="5631"/>
    </row>
    <row r="5" spans="1:64" ht="32" customHeight="1">
      <c r="A5" s="68"/>
      <c r="B5" s="5631" t="s">
        <v>513</v>
      </c>
      <c r="C5" s="5631"/>
      <c r="D5" s="5631"/>
      <c r="E5" s="5631"/>
      <c r="F5" s="5631"/>
      <c r="G5" s="5631"/>
      <c r="H5" s="5631"/>
      <c r="I5" s="5631"/>
      <c r="J5" s="5631"/>
      <c r="K5" s="5631"/>
      <c r="L5" s="5631"/>
      <c r="M5" s="5631"/>
      <c r="N5" s="5631"/>
      <c r="O5" s="5631"/>
      <c r="P5" s="5631"/>
      <c r="Q5" s="5631"/>
      <c r="R5" s="5631"/>
      <c r="S5" s="5631"/>
      <c r="T5" s="5631"/>
    </row>
    <row r="6" spans="1:64" ht="19.5" customHeight="1" thickBot="1">
      <c r="A6" s="68"/>
      <c r="B6" s="68"/>
      <c r="C6" s="68"/>
      <c r="D6" s="69"/>
      <c r="E6" s="75"/>
      <c r="F6" s="75"/>
      <c r="G6" s="75"/>
      <c r="H6" s="75"/>
      <c r="I6" s="75"/>
      <c r="J6" s="75"/>
      <c r="K6" s="75"/>
      <c r="L6" s="75"/>
      <c r="M6" s="75"/>
      <c r="N6" s="75"/>
      <c r="O6" s="75"/>
      <c r="P6" s="75"/>
      <c r="Q6" s="76"/>
      <c r="R6" s="76"/>
    </row>
    <row r="7" spans="1:64" s="4420" customFormat="1" ht="33.75" customHeight="1">
      <c r="A7" s="4413"/>
      <c r="B7" s="4414" t="s">
        <v>644</v>
      </c>
      <c r="C7" s="4415" t="s">
        <v>78</v>
      </c>
      <c r="D7" s="4416" t="s">
        <v>434</v>
      </c>
      <c r="E7" s="4416" t="s">
        <v>419</v>
      </c>
      <c r="F7" s="4416" t="s">
        <v>423</v>
      </c>
      <c r="G7" s="4416" t="s">
        <v>315</v>
      </c>
      <c r="H7" s="4416" t="s">
        <v>475</v>
      </c>
      <c r="I7" s="4416" t="s">
        <v>491</v>
      </c>
      <c r="J7" s="4416" t="s">
        <v>524</v>
      </c>
      <c r="K7" s="4416" t="s">
        <v>572</v>
      </c>
      <c r="L7" s="4416" t="s">
        <v>637</v>
      </c>
      <c r="M7" s="4416" t="s">
        <v>709</v>
      </c>
      <c r="N7" s="4416" t="s">
        <v>751</v>
      </c>
      <c r="O7" s="4416" t="s">
        <v>787</v>
      </c>
      <c r="P7" s="4416" t="s">
        <v>858</v>
      </c>
      <c r="Q7" s="4416" t="s">
        <v>1076</v>
      </c>
      <c r="R7" s="4417" t="s">
        <v>1533</v>
      </c>
      <c r="S7" s="4748" t="s">
        <v>1958</v>
      </c>
      <c r="T7" s="4418" t="s">
        <v>1959</v>
      </c>
      <c r="U7" s="4419"/>
      <c r="V7" s="4419"/>
      <c r="W7" s="4419"/>
      <c r="X7" s="4419"/>
      <c r="Y7" s="4419"/>
      <c r="Z7" s="4419"/>
      <c r="AA7" s="4419"/>
      <c r="AB7" s="4419"/>
      <c r="AC7" s="4419"/>
      <c r="AD7" s="4419"/>
      <c r="AE7" s="4419"/>
      <c r="AF7" s="4419"/>
      <c r="AG7" s="4419"/>
      <c r="AH7" s="4419"/>
      <c r="AI7" s="4419"/>
      <c r="AJ7" s="4419"/>
      <c r="AK7" s="4419"/>
      <c r="AL7" s="4419"/>
      <c r="AM7" s="4419"/>
      <c r="AN7" s="4419"/>
      <c r="AO7" s="4419"/>
      <c r="AP7" s="4419"/>
      <c r="AQ7" s="4419"/>
      <c r="AR7" s="4419"/>
      <c r="AS7" s="4419"/>
      <c r="AT7" s="4419"/>
      <c r="AU7" s="4419"/>
      <c r="AV7" s="4419"/>
      <c r="AW7" s="4419"/>
      <c r="AX7" s="4419"/>
      <c r="AY7" s="4419"/>
      <c r="AZ7" s="4419"/>
      <c r="BA7" s="4419"/>
      <c r="BB7" s="4419"/>
      <c r="BC7" s="4419"/>
      <c r="BD7" s="4419"/>
      <c r="BE7" s="4419"/>
      <c r="BF7" s="4419"/>
      <c r="BG7" s="4419"/>
      <c r="BH7" s="4419"/>
      <c r="BI7" s="4419"/>
      <c r="BJ7" s="4419"/>
      <c r="BK7" s="4419"/>
      <c r="BL7" s="4419"/>
    </row>
    <row r="8" spans="1:64" s="1758" customFormat="1" ht="35" customHeight="1">
      <c r="A8" s="1757"/>
      <c r="B8" s="70" t="s">
        <v>645</v>
      </c>
      <c r="C8" s="2001">
        <f t="shared" ref="C8" si="0">(C9+C12+C13+C14)</f>
        <v>101.39963653336744</v>
      </c>
      <c r="D8" s="2001">
        <f t="shared" ref="D8" si="1">(D9+D12+D13+D14)</f>
        <v>104.51936941819287</v>
      </c>
      <c r="E8" s="2001">
        <f t="shared" ref="E8" si="2">(E9+E12+E13+E14)</f>
        <v>138.55184547452177</v>
      </c>
      <c r="F8" s="2001">
        <f t="shared" ref="F8" si="3">(F9+F12+F13+F14)</f>
        <v>137.26429613560336</v>
      </c>
      <c r="G8" s="2001">
        <f t="shared" ref="G8" si="4">(G9+G12+G13+G14)</f>
        <v>107.69257320404455</v>
      </c>
      <c r="H8" s="2001">
        <f t="shared" ref="H8" si="5">(H9+H12+H13+H14)</f>
        <v>99.320796993160712</v>
      </c>
      <c r="I8" s="2001">
        <f t="shared" ref="I8" si="6">(I9+I12+I13+I14)</f>
        <v>102.21870810703975</v>
      </c>
      <c r="J8" s="2001">
        <f t="shared" ref="J8" si="7">(J9+J12+J13+J14)</f>
        <v>117.62615146219096</v>
      </c>
      <c r="K8" s="2001">
        <f t="shared" ref="K8" si="8">(K9+K12+K13+K14)</f>
        <v>104.70471346014594</v>
      </c>
      <c r="L8" s="2001">
        <f t="shared" ref="L8" si="9">(L9+L12+L13+L14)</f>
        <v>105.06234751653656</v>
      </c>
      <c r="M8" s="2001">
        <f t="shared" ref="M8" si="10">(M9+M12+M13+M14)</f>
        <v>104.79596916075266</v>
      </c>
      <c r="N8" s="2001">
        <f t="shared" ref="N8" si="11">(N9+N12+N13+N14)</f>
        <v>84.270321750579328</v>
      </c>
      <c r="O8" s="2001">
        <f t="shared" ref="O8" si="12">(O9+O12+O13+O14)</f>
        <v>90.639285453944552</v>
      </c>
      <c r="P8" s="2001">
        <f t="shared" ref="P8:S8" si="13">(P9+P12+P13+P14)</f>
        <v>97.900028075146025</v>
      </c>
      <c r="Q8" s="2001">
        <f t="shared" si="13"/>
        <v>80.189041386671761</v>
      </c>
      <c r="R8" s="2001">
        <f t="shared" si="13"/>
        <v>86.428280765446132</v>
      </c>
      <c r="S8" s="2001">
        <f t="shared" si="13"/>
        <v>96.036957551241443</v>
      </c>
      <c r="T8" s="2001">
        <f>(T9+T12+T13+T14)</f>
        <v>73.831052987103817</v>
      </c>
      <c r="U8" s="4113"/>
      <c r="V8" s="1754"/>
      <c r="W8" s="1754"/>
      <c r="X8" s="1754"/>
      <c r="Y8" s="1754"/>
      <c r="Z8" s="1754"/>
      <c r="AA8" s="1754"/>
      <c r="AB8" s="1754"/>
      <c r="AC8" s="1754"/>
      <c r="AD8" s="1754"/>
      <c r="AE8" s="1754"/>
      <c r="AF8" s="1754"/>
      <c r="AG8" s="1754"/>
      <c r="AH8" s="1754"/>
      <c r="AI8" s="1754"/>
      <c r="AJ8" s="1754"/>
      <c r="AK8" s="1754"/>
      <c r="AL8" s="1754"/>
      <c r="AM8" s="1754"/>
      <c r="AN8" s="1754"/>
      <c r="AO8" s="1754"/>
      <c r="AP8" s="1754"/>
      <c r="AQ8" s="1754"/>
      <c r="AR8" s="1754"/>
      <c r="AS8" s="1754"/>
      <c r="AT8" s="1754"/>
      <c r="AU8" s="1754"/>
      <c r="AV8" s="1754"/>
      <c r="AW8" s="1754"/>
      <c r="AX8" s="1754"/>
      <c r="AY8" s="1754"/>
      <c r="AZ8" s="1754"/>
      <c r="BA8" s="1754"/>
      <c r="BB8" s="1754"/>
      <c r="BC8" s="1754"/>
      <c r="BD8" s="1754"/>
      <c r="BE8" s="1754"/>
      <c r="BF8" s="1754"/>
      <c r="BG8" s="1754"/>
      <c r="BH8" s="1754"/>
      <c r="BI8" s="1754"/>
      <c r="BJ8" s="1754"/>
      <c r="BK8" s="1754"/>
      <c r="BL8" s="1754"/>
    </row>
    <row r="9" spans="1:64" ht="31.25" customHeight="1">
      <c r="A9" s="74"/>
      <c r="B9" s="1761" t="s">
        <v>922</v>
      </c>
      <c r="C9" s="2003">
        <f>(C10+C11)</f>
        <v>70.85645728778951</v>
      </c>
      <c r="D9" s="2003">
        <f t="shared" ref="D9:T9" si="14">D10+D11</f>
        <v>71.867135551102194</v>
      </c>
      <c r="E9" s="2003">
        <f t="shared" si="14"/>
        <v>102.58476498828959</v>
      </c>
      <c r="F9" s="2003">
        <f t="shared" si="14"/>
        <v>101.65409885153937</v>
      </c>
      <c r="G9" s="2003">
        <f t="shared" si="14"/>
        <v>75.075065551582739</v>
      </c>
      <c r="H9" s="2003">
        <f t="shared" si="14"/>
        <v>67.281181575255673</v>
      </c>
      <c r="I9" s="2003">
        <f t="shared" si="14"/>
        <v>69.466632952990238</v>
      </c>
      <c r="J9" s="2003">
        <f t="shared" si="14"/>
        <v>84.81759253345092</v>
      </c>
      <c r="K9" s="2003">
        <f t="shared" si="14"/>
        <v>72.11888937106994</v>
      </c>
      <c r="L9" s="2003">
        <f t="shared" si="14"/>
        <v>71.759627356845073</v>
      </c>
      <c r="M9" s="2003">
        <f t="shared" si="14"/>
        <v>68.37193883093434</v>
      </c>
      <c r="N9" s="2003">
        <f t="shared" si="14"/>
        <v>58.935486938314412</v>
      </c>
      <c r="O9" s="2003">
        <f t="shared" si="14"/>
        <v>61.642068243199525</v>
      </c>
      <c r="P9" s="2003">
        <f t="shared" si="14"/>
        <v>70.594605025497984</v>
      </c>
      <c r="Q9" s="2003">
        <f t="shared" si="14"/>
        <v>58.6390381201021</v>
      </c>
      <c r="R9" s="2003">
        <f t="shared" si="14"/>
        <v>62.964334909346967</v>
      </c>
      <c r="S9" s="2003">
        <f t="shared" si="14"/>
        <v>68.695367769064703</v>
      </c>
      <c r="T9" s="4138">
        <f t="shared" si="14"/>
        <v>46.982190949319282</v>
      </c>
      <c r="U9" s="3346"/>
      <c r="V9" s="3346"/>
    </row>
    <row r="10" spans="1:64" ht="31.25" customHeight="1">
      <c r="A10" s="74"/>
      <c r="B10" s="4527" t="s">
        <v>1829</v>
      </c>
      <c r="C10" s="2003">
        <v>43.887905524179594</v>
      </c>
      <c r="D10" s="2003">
        <v>39.485458529283562</v>
      </c>
      <c r="E10" s="2003">
        <v>60.969144257320323</v>
      </c>
      <c r="F10" s="2003">
        <v>60.689936496919863</v>
      </c>
      <c r="G10" s="2003">
        <v>44.159479047341236</v>
      </c>
      <c r="H10" s="2003">
        <v>29.490296911809981</v>
      </c>
      <c r="I10" s="2003">
        <v>29.716620658658563</v>
      </c>
      <c r="J10" s="2003">
        <v>29.658520966848833</v>
      </c>
      <c r="K10" s="2003">
        <v>22.800473209618783</v>
      </c>
      <c r="L10" s="2003">
        <v>23.666411091583541</v>
      </c>
      <c r="M10" s="2003">
        <v>25.720489640051653</v>
      </c>
      <c r="N10" s="2003">
        <v>20.91885797596294</v>
      </c>
      <c r="O10" s="2003">
        <v>18.6993404766365</v>
      </c>
      <c r="P10" s="2003">
        <v>21.946104765903964</v>
      </c>
      <c r="Q10" s="2003">
        <v>19.093516471787193</v>
      </c>
      <c r="R10" s="2003">
        <v>25.077480420945385</v>
      </c>
      <c r="S10" s="2003">
        <v>27.152142167805188</v>
      </c>
      <c r="T10" s="4108">
        <v>10.854382309040069</v>
      </c>
    </row>
    <row r="11" spans="1:64" ht="31.25" customHeight="1">
      <c r="A11" s="74"/>
      <c r="B11" s="4527" t="s">
        <v>1828</v>
      </c>
      <c r="C11" s="2003">
        <v>26.96855176360992</v>
      </c>
      <c r="D11" s="2003">
        <v>32.381677021818632</v>
      </c>
      <c r="E11" s="2003">
        <v>41.615620730969269</v>
      </c>
      <c r="F11" s="2003">
        <v>40.964162354619518</v>
      </c>
      <c r="G11" s="2003">
        <v>30.915586504241507</v>
      </c>
      <c r="H11" s="2003">
        <v>37.790884663445688</v>
      </c>
      <c r="I11" s="2003">
        <v>39.750012294331675</v>
      </c>
      <c r="J11" s="2003">
        <v>55.159071566602094</v>
      </c>
      <c r="K11" s="2003">
        <v>49.318416161451154</v>
      </c>
      <c r="L11" s="2003">
        <v>48.093216265261539</v>
      </c>
      <c r="M11" s="2003">
        <v>42.651449190882694</v>
      </c>
      <c r="N11" s="2003">
        <v>38.016628962351469</v>
      </c>
      <c r="O11" s="2003">
        <v>42.942727766563024</v>
      </c>
      <c r="P11" s="2003">
        <v>48.648500259594016</v>
      </c>
      <c r="Q11" s="2003">
        <v>39.54552164831491</v>
      </c>
      <c r="R11" s="2003">
        <v>37.886854488401582</v>
      </c>
      <c r="S11" s="2003">
        <v>41.543225601259515</v>
      </c>
      <c r="T11" s="4108">
        <v>36.127808640279213</v>
      </c>
    </row>
    <row r="12" spans="1:64" ht="31.25" customHeight="1">
      <c r="A12" s="74"/>
      <c r="B12" s="1761" t="s">
        <v>831</v>
      </c>
      <c r="C12" s="2003">
        <v>7.62993467805381</v>
      </c>
      <c r="D12" s="2003">
        <v>8.1216718353516306</v>
      </c>
      <c r="E12" s="2003">
        <v>9.0027058062651744</v>
      </c>
      <c r="F12" s="2003">
        <v>9.4805530944459164</v>
      </c>
      <c r="G12" s="2003">
        <v>9.7928267682141392</v>
      </c>
      <c r="H12" s="2003">
        <v>9.7507843729167618</v>
      </c>
      <c r="I12" s="2003">
        <v>10.905828153083329</v>
      </c>
      <c r="J12" s="2003">
        <v>10.590103805381291</v>
      </c>
      <c r="K12" s="2003">
        <v>11.894225057700048</v>
      </c>
      <c r="L12" s="2003">
        <v>12.762218427989161</v>
      </c>
      <c r="M12" s="2003">
        <v>14.033405552880161</v>
      </c>
      <c r="N12" s="2003">
        <v>7.0228944405200284</v>
      </c>
      <c r="O12" s="2003">
        <v>12.756097178477903</v>
      </c>
      <c r="P12" s="2003">
        <v>13.059057114084387</v>
      </c>
      <c r="Q12" s="2003">
        <v>11.225811273910828</v>
      </c>
      <c r="R12" s="2003">
        <v>13.535399722401294</v>
      </c>
      <c r="S12" s="2003">
        <v>14.799741047212812</v>
      </c>
      <c r="T12" s="4108">
        <v>15.995025488141534</v>
      </c>
    </row>
    <row r="13" spans="1:64" ht="31.25" customHeight="1">
      <c r="A13" s="74"/>
      <c r="B13" s="1761" t="s">
        <v>832</v>
      </c>
      <c r="C13" s="2003">
        <v>4.5795720380302987</v>
      </c>
      <c r="D13" s="2003">
        <v>4.9716896279478844</v>
      </c>
      <c r="E13" s="2003">
        <v>5.2035460071917985</v>
      </c>
      <c r="F13" s="2003">
        <v>5.3953069061197567</v>
      </c>
      <c r="G13" s="2003">
        <v>2.9197975055157195</v>
      </c>
      <c r="H13" s="2003">
        <v>3.2366503180810318</v>
      </c>
      <c r="I13" s="2003">
        <v>3.3062250422467416</v>
      </c>
      <c r="J13" s="2003">
        <v>3.3911209110397396</v>
      </c>
      <c r="K13" s="2003">
        <v>3.4713749441462536</v>
      </c>
      <c r="L13" s="2003">
        <v>3.5796636215234212</v>
      </c>
      <c r="M13" s="2003">
        <v>3.6798720655528365</v>
      </c>
      <c r="N13" s="2003">
        <v>3.7914161556937529</v>
      </c>
      <c r="O13" s="2003">
        <v>3.8331557727910273</v>
      </c>
      <c r="P13" s="2003">
        <v>4.2846239510359165</v>
      </c>
      <c r="Q13" s="2003">
        <v>3.4520376770791437</v>
      </c>
      <c r="R13" s="2003">
        <v>3.48491681755723</v>
      </c>
      <c r="S13" s="2003">
        <v>3.5397028319398056</v>
      </c>
      <c r="T13" s="4108">
        <v>3.5594161773418294</v>
      </c>
    </row>
    <row r="14" spans="1:64" ht="31.25" customHeight="1">
      <c r="A14" s="74"/>
      <c r="B14" s="1761" t="s">
        <v>638</v>
      </c>
      <c r="C14" s="2003">
        <v>18.333672529493821</v>
      </c>
      <c r="D14" s="2003">
        <v>19.558872403791156</v>
      </c>
      <c r="E14" s="2003">
        <v>21.760828672775215</v>
      </c>
      <c r="F14" s="2003">
        <v>20.734337283498306</v>
      </c>
      <c r="G14" s="2003">
        <v>19.904883378731945</v>
      </c>
      <c r="H14" s="2003">
        <v>19.05218072690726</v>
      </c>
      <c r="I14" s="2003">
        <v>18.540021958719439</v>
      </c>
      <c r="J14" s="2003">
        <v>18.827334212319023</v>
      </c>
      <c r="K14" s="2003">
        <v>17.220224087229688</v>
      </c>
      <c r="L14" s="2003">
        <v>16.960838110178919</v>
      </c>
      <c r="M14" s="2003">
        <v>18.710752711385314</v>
      </c>
      <c r="N14" s="2003">
        <v>14.520524216051127</v>
      </c>
      <c r="O14" s="2003">
        <v>12.407964259476081</v>
      </c>
      <c r="P14" s="2003">
        <v>9.9617419845277446</v>
      </c>
      <c r="Q14" s="2003">
        <v>6.8721543155796834</v>
      </c>
      <c r="R14" s="2003">
        <v>6.4436293161406386</v>
      </c>
      <c r="S14" s="2003">
        <v>9.0021459030241306</v>
      </c>
      <c r="T14" s="4108">
        <v>7.29442037230117</v>
      </c>
    </row>
    <row r="15" spans="1:64" ht="14" customHeight="1">
      <c r="A15" s="74"/>
      <c r="B15" s="74"/>
      <c r="C15" s="1761"/>
      <c r="D15" s="2003"/>
      <c r="E15" s="2003"/>
      <c r="F15" s="2003"/>
      <c r="G15" s="2003"/>
      <c r="H15" s="2003"/>
      <c r="I15" s="2003"/>
      <c r="J15" s="2003"/>
      <c r="K15" s="2003"/>
      <c r="L15" s="1760"/>
      <c r="M15" s="1760"/>
      <c r="N15" s="1760"/>
      <c r="O15" s="1760"/>
      <c r="P15" s="1760"/>
      <c r="Q15" s="1760"/>
      <c r="R15" s="1762"/>
      <c r="T15" s="4108"/>
    </row>
    <row r="16" spans="1:64" s="1758" customFormat="1" ht="29" customHeight="1">
      <c r="A16" s="1757"/>
      <c r="B16" s="70" t="s">
        <v>646</v>
      </c>
      <c r="C16" s="2001">
        <v>6.6222322451933557</v>
      </c>
      <c r="D16" s="2001">
        <v>6.9203324062522009</v>
      </c>
      <c r="E16" s="2001">
        <v>6.1463333421661925</v>
      </c>
      <c r="F16" s="2001">
        <v>5.633645232077483</v>
      </c>
      <c r="G16" s="2001">
        <v>5.2735144470965079</v>
      </c>
      <c r="H16" s="2001">
        <v>4.9339250519916789</v>
      </c>
      <c r="I16" s="2001">
        <v>4.7832313645674081</v>
      </c>
      <c r="J16" s="2001">
        <v>9.2212424924628902</v>
      </c>
      <c r="K16" s="2001">
        <v>21.947893633949512</v>
      </c>
      <c r="L16" s="2001">
        <v>19.924124620586507</v>
      </c>
      <c r="M16" s="2001">
        <v>16.67923899352628</v>
      </c>
      <c r="N16" s="2001">
        <v>14.387780736665448</v>
      </c>
      <c r="O16" s="2001">
        <v>8.7701184233524074</v>
      </c>
      <c r="P16" s="2001">
        <v>14.350230921710178</v>
      </c>
      <c r="Q16" s="2001">
        <v>20.600208421955553</v>
      </c>
      <c r="R16" s="2001">
        <v>11.585223696198792</v>
      </c>
      <c r="S16" s="2001">
        <v>9.7840236470874835</v>
      </c>
      <c r="T16" s="4110">
        <v>14.131306081723626</v>
      </c>
      <c r="U16" s="4113"/>
      <c r="V16" s="1754"/>
      <c r="W16" s="1754"/>
      <c r="X16" s="1754"/>
      <c r="Y16" s="1754"/>
      <c r="Z16" s="1754"/>
      <c r="AA16" s="1754"/>
      <c r="AB16" s="1754"/>
      <c r="AC16" s="1754"/>
      <c r="AD16" s="1754"/>
      <c r="AE16" s="1754"/>
      <c r="AF16" s="1754"/>
      <c r="AG16" s="1754"/>
      <c r="AH16" s="1754"/>
      <c r="AI16" s="1754"/>
      <c r="AJ16" s="1754"/>
      <c r="AK16" s="1754"/>
      <c r="AL16" s="1754"/>
      <c r="AM16" s="1754"/>
      <c r="AN16" s="1754"/>
      <c r="AO16" s="1754"/>
      <c r="AP16" s="1754"/>
      <c r="AQ16" s="1754"/>
      <c r="AR16" s="1754"/>
      <c r="AS16" s="1754"/>
      <c r="AT16" s="1754"/>
      <c r="AU16" s="1754"/>
      <c r="AV16" s="1754"/>
      <c r="AW16" s="1754"/>
      <c r="AX16" s="1754"/>
      <c r="AY16" s="1754"/>
      <c r="AZ16" s="1754"/>
      <c r="BA16" s="1754"/>
      <c r="BB16" s="1754"/>
      <c r="BC16" s="1754"/>
      <c r="BD16" s="1754"/>
      <c r="BE16" s="1754"/>
      <c r="BF16" s="1754"/>
      <c r="BG16" s="1754"/>
      <c r="BH16" s="1754"/>
      <c r="BI16" s="1754"/>
      <c r="BJ16" s="1754"/>
      <c r="BK16" s="1754"/>
      <c r="BL16" s="1754"/>
    </row>
    <row r="17" spans="1:64" ht="15" customHeight="1">
      <c r="A17" s="74"/>
      <c r="B17" s="70"/>
      <c r="C17" s="2001"/>
      <c r="D17" s="2001"/>
      <c r="E17" s="2001"/>
      <c r="F17" s="2001"/>
      <c r="G17" s="2001"/>
      <c r="H17" s="2001"/>
      <c r="I17" s="2001"/>
      <c r="J17" s="2001"/>
      <c r="K17" s="2001"/>
      <c r="L17" s="2001"/>
      <c r="M17" s="2001"/>
      <c r="N17" s="2001"/>
      <c r="O17" s="2001"/>
      <c r="P17" s="2001"/>
      <c r="Q17" s="2001"/>
      <c r="R17" s="2001"/>
      <c r="S17" s="2001"/>
      <c r="T17" s="4114"/>
    </row>
    <row r="18" spans="1:64" s="70" customFormat="1" ht="29" customHeight="1">
      <c r="A18" s="88"/>
      <c r="B18" s="70" t="s">
        <v>392</v>
      </c>
      <c r="C18" s="2001">
        <v>137.96941068400116</v>
      </c>
      <c r="D18" s="2001">
        <v>146.50237809671864</v>
      </c>
      <c r="E18" s="2001">
        <v>118.48424626500622</v>
      </c>
      <c r="F18" s="2001">
        <v>132.29724123672736</v>
      </c>
      <c r="G18" s="2001">
        <v>123.7192526613367</v>
      </c>
      <c r="H18" s="2001">
        <v>123.66693171903272</v>
      </c>
      <c r="I18" s="2001">
        <v>126.75358582185372</v>
      </c>
      <c r="J18" s="2001">
        <v>121.83850898721927</v>
      </c>
      <c r="K18" s="2001">
        <v>119.93806354641302</v>
      </c>
      <c r="L18" s="2001">
        <v>141.84038125089498</v>
      </c>
      <c r="M18" s="2001">
        <v>158.45819153770017</v>
      </c>
      <c r="N18" s="2001">
        <v>162.03576793754863</v>
      </c>
      <c r="O18" s="2001">
        <v>161.86510517280709</v>
      </c>
      <c r="P18" s="2001">
        <v>111.77934720350821</v>
      </c>
      <c r="Q18" s="2001">
        <v>115.47380139753908</v>
      </c>
      <c r="R18" s="2001">
        <v>151.97328439132841</v>
      </c>
      <c r="S18" s="2001">
        <v>139.97395990266517</v>
      </c>
      <c r="T18" s="4110">
        <v>217.10944938165343</v>
      </c>
      <c r="U18" s="4111"/>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row>
    <row r="19" spans="1:64" ht="15" customHeight="1">
      <c r="A19" s="74"/>
      <c r="B19" s="70"/>
      <c r="C19" s="2001"/>
      <c r="D19" s="2001"/>
      <c r="E19" s="2001"/>
      <c r="F19" s="2001"/>
      <c r="G19" s="2001"/>
      <c r="H19" s="2001"/>
      <c r="I19" s="2001"/>
      <c r="J19" s="2001"/>
      <c r="K19" s="2001"/>
      <c r="L19" s="2001"/>
      <c r="M19" s="2001"/>
      <c r="N19" s="2001"/>
      <c r="O19" s="2001"/>
      <c r="P19" s="2001"/>
      <c r="Q19" s="2001"/>
      <c r="R19" s="2001"/>
      <c r="S19" s="2001"/>
      <c r="T19" s="4110"/>
      <c r="U19" s="4112"/>
    </row>
    <row r="20" spans="1:64" s="70" customFormat="1" ht="29" customHeight="1">
      <c r="A20" s="88"/>
      <c r="B20" s="70" t="s">
        <v>883</v>
      </c>
      <c r="C20" s="2001">
        <v>81.031509802362535</v>
      </c>
      <c r="D20" s="2001">
        <v>85.662545730095061</v>
      </c>
      <c r="E20" s="2001">
        <v>88.301170170318613</v>
      </c>
      <c r="F20" s="2001">
        <v>97.629206606242164</v>
      </c>
      <c r="G20" s="2001">
        <v>103.42588755266596</v>
      </c>
      <c r="H20" s="2001">
        <v>101.07168216245975</v>
      </c>
      <c r="I20" s="2001">
        <v>106.31221426076412</v>
      </c>
      <c r="J20" s="2001">
        <v>107.97126511861264</v>
      </c>
      <c r="K20" s="2001">
        <v>108.52100693069899</v>
      </c>
      <c r="L20" s="2001">
        <v>111.76514020608622</v>
      </c>
      <c r="M20" s="2001">
        <v>120.86395425062878</v>
      </c>
      <c r="N20" s="2001">
        <v>127.34224066740101</v>
      </c>
      <c r="O20" s="2001">
        <v>123.67030072164332</v>
      </c>
      <c r="P20" s="2001">
        <v>125.29581511772166</v>
      </c>
      <c r="Q20" s="2001">
        <v>108.72685619622514</v>
      </c>
      <c r="R20" s="2001">
        <v>117.9</v>
      </c>
      <c r="S20" s="2001">
        <v>127.39442428877967</v>
      </c>
      <c r="T20" s="4110">
        <v>98.08593703761845</v>
      </c>
      <c r="U20" s="4111"/>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row>
    <row r="21" spans="1:64" s="70" customFormat="1" ht="29" customHeight="1">
      <c r="A21" s="88"/>
      <c r="B21" s="70" t="s">
        <v>884</v>
      </c>
      <c r="C21" s="2001">
        <v>13.70384961337842</v>
      </c>
      <c r="D21" s="2001">
        <v>14.174978517848054</v>
      </c>
      <c r="E21" s="2001">
        <v>15.63421109499355</v>
      </c>
      <c r="F21" s="2001">
        <v>21.388101985516233</v>
      </c>
      <c r="G21" s="2001">
        <v>11.355605660567669</v>
      </c>
      <c r="H21" s="2001">
        <v>7.7900141063101973</v>
      </c>
      <c r="I21" s="2001">
        <v>9.106469758562703</v>
      </c>
      <c r="J21" s="2001">
        <v>28.709752908638134</v>
      </c>
      <c r="K21" s="2001">
        <v>33.27062856716195</v>
      </c>
      <c r="L21" s="2001">
        <v>37.145595514330545</v>
      </c>
      <c r="M21" s="2001">
        <v>42.62453125650957</v>
      </c>
      <c r="N21" s="2001">
        <v>44.043324231663263</v>
      </c>
      <c r="O21" s="2001">
        <v>42.657114594651809</v>
      </c>
      <c r="P21" s="2001">
        <v>44.022432953104122</v>
      </c>
      <c r="Q21" s="2001">
        <v>39.58700348865176</v>
      </c>
      <c r="R21" s="2001">
        <v>35.626205546409807</v>
      </c>
      <c r="S21" s="2001">
        <v>31.51763117464186</v>
      </c>
      <c r="T21" s="4110">
        <v>32.164857920380321</v>
      </c>
      <c r="U21" s="4111"/>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row>
    <row r="22" spans="1:64" ht="15" customHeight="1">
      <c r="A22" s="74"/>
      <c r="C22" s="2001"/>
      <c r="D22" s="2001"/>
      <c r="E22" s="2001"/>
      <c r="F22" s="2001"/>
      <c r="G22" s="2001"/>
      <c r="H22" s="2001"/>
      <c r="I22" s="2001"/>
      <c r="J22" s="2001"/>
      <c r="K22" s="2001"/>
      <c r="L22" s="2001"/>
      <c r="M22" s="2001"/>
      <c r="N22" s="2001"/>
      <c r="O22" s="2001"/>
      <c r="P22" s="2001"/>
      <c r="Q22" s="2001"/>
      <c r="R22" s="2001"/>
      <c r="S22" s="2001"/>
      <c r="T22" s="4110"/>
      <c r="U22" s="4112"/>
    </row>
    <row r="23" spans="1:64" s="70" customFormat="1" ht="29" customHeight="1">
      <c r="A23" s="88"/>
      <c r="B23" s="70" t="s">
        <v>393</v>
      </c>
      <c r="C23" s="2001">
        <v>291.14589502288442</v>
      </c>
      <c r="D23" s="2001">
        <v>214.4384583738815</v>
      </c>
      <c r="E23" s="2001">
        <v>245.91236772530209</v>
      </c>
      <c r="F23" s="2001">
        <v>240.10086569530222</v>
      </c>
      <c r="G23" s="2001">
        <v>224.48310844807028</v>
      </c>
      <c r="H23" s="2001">
        <v>231.35235932712894</v>
      </c>
      <c r="I23" s="2001">
        <v>222.63882632885219</v>
      </c>
      <c r="J23" s="2001">
        <v>191.19898977554413</v>
      </c>
      <c r="K23" s="2001">
        <v>187.80173426669231</v>
      </c>
      <c r="L23" s="2001">
        <v>219.52078902744648</v>
      </c>
      <c r="M23" s="2001">
        <v>215.87343060398217</v>
      </c>
      <c r="N23" s="2001">
        <v>239.47494141615633</v>
      </c>
      <c r="O23" s="2001">
        <v>211.54432480618473</v>
      </c>
      <c r="P23" s="2001">
        <v>204.27773818037545</v>
      </c>
      <c r="Q23" s="2001">
        <v>203.83423942035068</v>
      </c>
      <c r="R23" s="2001">
        <v>251.9</v>
      </c>
      <c r="S23" s="2001">
        <v>252.1</v>
      </c>
      <c r="T23" s="4110">
        <v>274</v>
      </c>
      <c r="U23" s="4111"/>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row>
    <row r="24" spans="1:64" s="70" customFormat="1" ht="29" customHeight="1">
      <c r="A24" s="88"/>
      <c r="B24" s="71"/>
      <c r="C24" s="2001"/>
      <c r="D24" s="2001"/>
      <c r="E24" s="2001"/>
      <c r="F24" s="2001"/>
      <c r="G24" s="2001"/>
      <c r="H24" s="2001"/>
      <c r="I24" s="2001"/>
      <c r="J24" s="2001"/>
      <c r="K24" s="2001"/>
      <c r="L24" s="2001"/>
      <c r="M24" s="2001"/>
      <c r="N24" s="2001"/>
      <c r="O24" s="2001"/>
      <c r="P24" s="2001"/>
      <c r="Q24" s="2001"/>
      <c r="R24" s="2001"/>
      <c r="S24" s="2001"/>
      <c r="T24" s="4110"/>
      <c r="U24" s="4111"/>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row>
    <row r="25" spans="1:64" s="70" customFormat="1" ht="29" customHeight="1">
      <c r="A25" s="88"/>
      <c r="B25" s="70" t="s">
        <v>647</v>
      </c>
      <c r="C25" s="2001">
        <v>282.88879941904469</v>
      </c>
      <c r="D25" s="2001">
        <v>316.03466611951239</v>
      </c>
      <c r="E25" s="2001">
        <v>349.23643986097363</v>
      </c>
      <c r="F25" s="2001">
        <v>305.08687051711405</v>
      </c>
      <c r="G25" s="2001">
        <v>325.35926424470961</v>
      </c>
      <c r="H25" s="2001">
        <v>430.83482396070281</v>
      </c>
      <c r="I25" s="2001">
        <v>447.87672091571665</v>
      </c>
      <c r="J25" s="2001">
        <v>448.10027742919397</v>
      </c>
      <c r="K25" s="2001">
        <v>481.29809340095005</v>
      </c>
      <c r="L25" s="2001">
        <v>440.31806001521875</v>
      </c>
      <c r="M25" s="2001">
        <v>538.90731891104565</v>
      </c>
      <c r="N25" s="2001">
        <v>534.376318672362</v>
      </c>
      <c r="O25" s="2001">
        <v>563.9305284073962</v>
      </c>
      <c r="P25" s="2001">
        <v>561.61296806550649</v>
      </c>
      <c r="Q25" s="2001">
        <v>427.48232090093796</v>
      </c>
      <c r="R25" s="2001">
        <v>580.79999999999995</v>
      </c>
      <c r="S25" s="2001">
        <v>783.3</v>
      </c>
      <c r="T25" s="4110">
        <v>813.2</v>
      </c>
      <c r="U25" s="4111"/>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row>
    <row r="26" spans="1:64" ht="15" customHeight="1">
      <c r="A26" s="74"/>
      <c r="C26" s="2001"/>
      <c r="D26" s="2001"/>
      <c r="E26" s="2001"/>
      <c r="F26" s="2001"/>
      <c r="G26" s="2001"/>
      <c r="H26" s="2001"/>
      <c r="I26" s="2001"/>
      <c r="J26" s="2001"/>
      <c r="K26" s="2001"/>
      <c r="L26" s="2001"/>
      <c r="M26" s="2001"/>
      <c r="N26" s="2001"/>
      <c r="O26" s="2001"/>
      <c r="P26" s="2001"/>
      <c r="Q26" s="2001"/>
      <c r="R26" s="2001"/>
      <c r="S26" s="2001"/>
      <c r="T26" s="4108"/>
    </row>
    <row r="27" spans="1:64" s="70" customFormat="1" ht="29" customHeight="1">
      <c r="A27" s="88"/>
      <c r="B27" s="70" t="s">
        <v>833</v>
      </c>
      <c r="C27" s="2001">
        <f>(C28+C29)</f>
        <v>415.67327918788459</v>
      </c>
      <c r="D27" s="2001">
        <f t="shared" ref="D27:T27" si="15">(D28+D29)</f>
        <v>452.69237055082505</v>
      </c>
      <c r="E27" s="2001">
        <f t="shared" si="15"/>
        <v>442.47202787340581</v>
      </c>
      <c r="F27" s="2001">
        <f t="shared" si="15"/>
        <v>465.61414722552155</v>
      </c>
      <c r="G27" s="2001">
        <f t="shared" si="15"/>
        <v>651.36067118688595</v>
      </c>
      <c r="H27" s="2001">
        <f t="shared" si="15"/>
        <v>656.81394522862752</v>
      </c>
      <c r="I27" s="2001">
        <f t="shared" si="15"/>
        <v>724.40198577236833</v>
      </c>
      <c r="J27" s="2001">
        <f t="shared" si="15"/>
        <v>793.26205666371175</v>
      </c>
      <c r="K27" s="2001">
        <f t="shared" si="15"/>
        <v>934.40337327300108</v>
      </c>
      <c r="L27" s="2001">
        <f t="shared" si="15"/>
        <v>1003.8920184729598</v>
      </c>
      <c r="M27" s="2001">
        <f t="shared" si="15"/>
        <v>954.19887937004455</v>
      </c>
      <c r="N27" s="2001">
        <f t="shared" si="15"/>
        <v>1139.0537410332718</v>
      </c>
      <c r="O27" s="2001">
        <f t="shared" si="15"/>
        <v>1154.5821992502385</v>
      </c>
      <c r="P27" s="2001">
        <f t="shared" si="15"/>
        <v>1253.8655792733671</v>
      </c>
      <c r="Q27" s="2001">
        <f t="shared" si="15"/>
        <v>310.77753849528455</v>
      </c>
      <c r="R27" s="2001">
        <f t="shared" si="15"/>
        <v>710.09537137367147</v>
      </c>
      <c r="S27" s="2001">
        <f t="shared" si="15"/>
        <v>1235.1656591736219</v>
      </c>
      <c r="T27" s="2001">
        <f t="shared" si="15"/>
        <v>1257.4497988698158</v>
      </c>
      <c r="U27" s="4111"/>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row>
    <row r="28" spans="1:64" ht="31.25" customHeight="1">
      <c r="A28" s="74"/>
      <c r="B28" s="1761" t="s">
        <v>1514</v>
      </c>
      <c r="C28" s="2003">
        <v>338.3920051291264</v>
      </c>
      <c r="D28" s="2003">
        <v>365.15119046296292</v>
      </c>
      <c r="E28" s="2003">
        <v>365.17511793760696</v>
      </c>
      <c r="F28" s="2003">
        <v>380.13919702733011</v>
      </c>
      <c r="G28" s="2003">
        <v>565.74358454291905</v>
      </c>
      <c r="H28" s="2003">
        <v>574.05346572097915</v>
      </c>
      <c r="I28" s="2003">
        <v>646.4441579904003</v>
      </c>
      <c r="J28" s="2003">
        <v>713.41556202658319</v>
      </c>
      <c r="K28" s="2003">
        <v>859.37572828744828</v>
      </c>
      <c r="L28" s="2003">
        <v>921.97288321624296</v>
      </c>
      <c r="M28" s="2003">
        <v>869.16000797391587</v>
      </c>
      <c r="N28" s="2003">
        <v>1047.790194962731</v>
      </c>
      <c r="O28" s="2003">
        <v>1078.5516697810299</v>
      </c>
      <c r="P28" s="2003">
        <v>1174.0248058969071</v>
      </c>
      <c r="Q28" s="2003">
        <v>273.58542356529438</v>
      </c>
      <c r="R28" s="2003">
        <v>675.3271304251931</v>
      </c>
      <c r="S28" s="2003">
        <v>1170.5315742426033</v>
      </c>
      <c r="T28" s="4108">
        <v>1173.7546098594437</v>
      </c>
    </row>
    <row r="29" spans="1:64" ht="31.25" customHeight="1">
      <c r="A29" s="74"/>
      <c r="B29" s="1761" t="s">
        <v>1515</v>
      </c>
      <c r="C29" s="2003">
        <v>77.281274058758186</v>
      </c>
      <c r="D29" s="2003">
        <v>87.541180087862131</v>
      </c>
      <c r="E29" s="2003">
        <v>77.296909935798837</v>
      </c>
      <c r="F29" s="2003">
        <v>85.474950198191436</v>
      </c>
      <c r="G29" s="2003">
        <v>85.6170866439669</v>
      </c>
      <c r="H29" s="2003">
        <v>82.760479507648313</v>
      </c>
      <c r="I29" s="2003">
        <v>77.957827781968021</v>
      </c>
      <c r="J29" s="2003">
        <v>79.846494637128586</v>
      </c>
      <c r="K29" s="2003">
        <v>75.027644985552826</v>
      </c>
      <c r="L29" s="2003">
        <v>81.919135256716757</v>
      </c>
      <c r="M29" s="2003">
        <v>85.038871396128684</v>
      </c>
      <c r="N29" s="2003">
        <v>91.263546070540826</v>
      </c>
      <c r="O29" s="2003">
        <v>76.030529469208673</v>
      </c>
      <c r="P29" s="2003">
        <v>79.840773376460049</v>
      </c>
      <c r="Q29" s="2003">
        <v>37.192114929990169</v>
      </c>
      <c r="R29" s="2003">
        <v>34.768240948478365</v>
      </c>
      <c r="S29" s="2003">
        <v>64.63408493101872</v>
      </c>
      <c r="T29" s="4108">
        <v>83.695189010372232</v>
      </c>
    </row>
    <row r="30" spans="1:64" ht="15" customHeight="1">
      <c r="A30" s="74"/>
      <c r="C30" s="1759"/>
      <c r="D30" s="1760"/>
      <c r="E30" s="1760"/>
      <c r="F30" s="1760"/>
      <c r="G30" s="1760"/>
      <c r="H30" s="1760"/>
      <c r="I30" s="1760"/>
      <c r="J30" s="1760"/>
      <c r="K30" s="1760"/>
      <c r="L30" s="1760"/>
      <c r="M30" s="1760"/>
      <c r="N30" s="1760"/>
      <c r="O30" s="1760"/>
      <c r="P30" s="1760"/>
      <c r="Q30" s="1760"/>
      <c r="R30" s="1762"/>
      <c r="T30" s="4108"/>
      <c r="U30" s="4438"/>
    </row>
    <row r="31" spans="1:64" s="97" customFormat="1" ht="36.75" customHeight="1">
      <c r="B31" s="70" t="s">
        <v>834</v>
      </c>
      <c r="C31" s="2001">
        <f>C32+C33+C34+C35+C36+C37</f>
        <v>189.13680743762157</v>
      </c>
      <c r="D31" s="2001">
        <f t="shared" ref="D31:T31" si="16">D32+D33+D34+D35+D36+D37</f>
        <v>208.68675676269436</v>
      </c>
      <c r="E31" s="2001">
        <f t="shared" si="16"/>
        <v>204.94439882338901</v>
      </c>
      <c r="F31" s="2001">
        <f t="shared" si="16"/>
        <v>198.98164435083581</v>
      </c>
      <c r="G31" s="2001">
        <f t="shared" si="16"/>
        <v>217.71091512846459</v>
      </c>
      <c r="H31" s="2001">
        <f t="shared" si="16"/>
        <v>230.64502709324822</v>
      </c>
      <c r="I31" s="2001">
        <f t="shared" si="16"/>
        <v>222.50166657907212</v>
      </c>
      <c r="J31" s="2001">
        <f t="shared" si="16"/>
        <v>228.95942270715764</v>
      </c>
      <c r="K31" s="2001">
        <f t="shared" si="16"/>
        <v>242.31190664164816</v>
      </c>
      <c r="L31" s="2001">
        <f t="shared" si="16"/>
        <v>238.32162803899806</v>
      </c>
      <c r="M31" s="2001">
        <f t="shared" si="16"/>
        <v>249.90407439026589</v>
      </c>
      <c r="N31" s="2001">
        <f t="shared" si="16"/>
        <v>270.48035971661</v>
      </c>
      <c r="O31" s="2001">
        <f t="shared" si="16"/>
        <v>256.14882389407626</v>
      </c>
      <c r="P31" s="2001">
        <f t="shared" si="16"/>
        <v>249.41327252064326</v>
      </c>
      <c r="Q31" s="2001">
        <f t="shared" si="16"/>
        <v>130.91087855377694</v>
      </c>
      <c r="R31" s="2001">
        <f t="shared" si="16"/>
        <v>280.92034199108593</v>
      </c>
      <c r="S31" s="2001">
        <f t="shared" si="16"/>
        <v>364.12798167711878</v>
      </c>
      <c r="T31" s="4114">
        <f t="shared" si="16"/>
        <v>375.88449944219906</v>
      </c>
      <c r="U31" s="4439"/>
    </row>
    <row r="32" spans="1:64" ht="31.25" customHeight="1">
      <c r="A32" s="74"/>
      <c r="B32" s="1761" t="s">
        <v>835</v>
      </c>
      <c r="C32" s="2003">
        <v>99.805627499849791</v>
      </c>
      <c r="D32" s="2003">
        <v>107.62944588994077</v>
      </c>
      <c r="E32" s="2003">
        <v>110.81341304737118</v>
      </c>
      <c r="F32" s="2003">
        <v>110.1220791290085</v>
      </c>
      <c r="G32" s="2003">
        <v>126.72906527987973</v>
      </c>
      <c r="H32" s="2003">
        <v>132.14511969202465</v>
      </c>
      <c r="I32" s="2003">
        <v>133.26314659423281</v>
      </c>
      <c r="J32" s="2003">
        <v>139.96188370388452</v>
      </c>
      <c r="K32" s="2003">
        <v>143.94768654962081</v>
      </c>
      <c r="L32" s="2003">
        <v>141.96366811962966</v>
      </c>
      <c r="M32" s="2003">
        <v>152.54058647260587</v>
      </c>
      <c r="N32" s="2003">
        <v>176.32355774129812</v>
      </c>
      <c r="O32" s="2003">
        <v>161.0763008879405</v>
      </c>
      <c r="P32" s="2003">
        <v>150.52790804191102</v>
      </c>
      <c r="Q32" s="2003">
        <v>62.175619765580002</v>
      </c>
      <c r="R32" s="2003">
        <v>190.50754066784907</v>
      </c>
      <c r="S32" s="2003">
        <v>257.49720225472402</v>
      </c>
      <c r="T32" s="4108">
        <v>269.27777903883043</v>
      </c>
      <c r="U32" s="4438">
        <v>269.27777903883043</v>
      </c>
    </row>
    <row r="33" spans="1:64" ht="31.25" customHeight="1">
      <c r="A33" s="74"/>
      <c r="B33" s="1761" t="s">
        <v>836</v>
      </c>
      <c r="C33" s="2003">
        <v>17.294747229453336</v>
      </c>
      <c r="D33" s="2003">
        <v>18.226707327421884</v>
      </c>
      <c r="E33" s="2003">
        <v>18.289536749804917</v>
      </c>
      <c r="F33" s="2003">
        <v>15.017435780584165</v>
      </c>
      <c r="G33" s="2003">
        <v>14.814068304665994</v>
      </c>
      <c r="H33" s="2003">
        <v>13.836838647929302</v>
      </c>
      <c r="I33" s="2003">
        <v>13.224345634786561</v>
      </c>
      <c r="J33" s="2003">
        <v>13.967893018352724</v>
      </c>
      <c r="K33" s="2003">
        <v>13.001460001222384</v>
      </c>
      <c r="L33" s="2003">
        <v>12.013752437751075</v>
      </c>
      <c r="M33" s="2003">
        <v>12.263420014292379</v>
      </c>
      <c r="N33" s="2003">
        <v>13.065097364070933</v>
      </c>
      <c r="O33" s="2003">
        <v>13.816430135201948</v>
      </c>
      <c r="P33" s="2003">
        <v>10.040803800173787</v>
      </c>
      <c r="Q33" s="2003">
        <v>13.195538276443035</v>
      </c>
      <c r="R33" s="2003">
        <v>11.301785702134131</v>
      </c>
      <c r="S33" s="2003">
        <v>23.186155410025549</v>
      </c>
      <c r="T33" s="4108">
        <v>28.9648381228475</v>
      </c>
      <c r="U33" s="4438">
        <v>28.9648381228475</v>
      </c>
    </row>
    <row r="34" spans="1:64" ht="31.25" customHeight="1">
      <c r="A34" s="74"/>
      <c r="B34" s="1761" t="s">
        <v>837</v>
      </c>
      <c r="C34" s="2003">
        <v>2.6318997392536998</v>
      </c>
      <c r="D34" s="2003">
        <v>3.0258515977056288</v>
      </c>
      <c r="E34" s="2003">
        <v>3.8538525549433982</v>
      </c>
      <c r="F34" s="2003">
        <v>3.4411349231024326</v>
      </c>
      <c r="G34" s="2003">
        <v>3.869544885694336</v>
      </c>
      <c r="H34" s="2003">
        <v>7.5075722962562841</v>
      </c>
      <c r="I34" s="2003">
        <v>8.1916841221644372</v>
      </c>
      <c r="J34" s="2003">
        <v>9.1249454251260484</v>
      </c>
      <c r="K34" s="2003">
        <v>9.9523421954793854</v>
      </c>
      <c r="L34" s="2003">
        <v>10.663924433295087</v>
      </c>
      <c r="M34" s="2003">
        <v>11.095392739463524</v>
      </c>
      <c r="N34" s="2003">
        <v>11.869588810576321</v>
      </c>
      <c r="O34" s="2003">
        <v>12.55444162273923</v>
      </c>
      <c r="P34" s="2003">
        <v>13.456406536902872</v>
      </c>
      <c r="Q34" s="2003">
        <v>7.9250668984488097</v>
      </c>
      <c r="R34" s="2003">
        <v>7.664085255160682</v>
      </c>
      <c r="S34" s="2003">
        <v>11.056486740570639</v>
      </c>
      <c r="T34" s="4108">
        <v>13.604500806986238</v>
      </c>
      <c r="U34" s="4438">
        <v>13.604500806986238</v>
      </c>
    </row>
    <row r="35" spans="1:64" ht="31.25" customHeight="1">
      <c r="A35" s="74"/>
      <c r="B35" s="1761" t="s">
        <v>838</v>
      </c>
      <c r="C35" s="2003">
        <v>65.94833532133876</v>
      </c>
      <c r="D35" s="2003">
        <v>76.314282016413486</v>
      </c>
      <c r="E35" s="2003">
        <v>68.352756148949297</v>
      </c>
      <c r="F35" s="2003">
        <v>66.647870974342041</v>
      </c>
      <c r="G35" s="2003">
        <v>68.343489576868166</v>
      </c>
      <c r="H35" s="2003">
        <v>73.090097004349914</v>
      </c>
      <c r="I35" s="2003">
        <v>63.742080480470307</v>
      </c>
      <c r="J35" s="2003">
        <v>61.787338260309518</v>
      </c>
      <c r="K35" s="2003">
        <v>71.175824053316774</v>
      </c>
      <c r="L35" s="2003">
        <v>69.686843406998236</v>
      </c>
      <c r="M35" s="2003">
        <v>69.99185943698636</v>
      </c>
      <c r="N35" s="2003">
        <v>65.018322779641409</v>
      </c>
      <c r="O35" s="2003">
        <v>64.6991009127468</v>
      </c>
      <c r="P35" s="2003">
        <v>71.024469674896736</v>
      </c>
      <c r="Q35" s="2003">
        <v>43.555699185028395</v>
      </c>
      <c r="R35" s="2003">
        <v>66.747183534100103</v>
      </c>
      <c r="S35" s="2003">
        <v>67.621743060489734</v>
      </c>
      <c r="T35" s="4108">
        <v>58.85571635025768</v>
      </c>
      <c r="U35" s="4438">
        <v>58.85571635025768</v>
      </c>
    </row>
    <row r="36" spans="1:64" ht="31.25" customHeight="1">
      <c r="A36" s="74"/>
      <c r="B36" s="1761" t="s">
        <v>839</v>
      </c>
      <c r="C36" s="2003">
        <v>2.73</v>
      </c>
      <c r="D36" s="2003">
        <v>2.7699999999999996</v>
      </c>
      <c r="E36" s="2003">
        <v>2.7738770399999995</v>
      </c>
      <c r="F36" s="2003">
        <v>2.8682354559999999</v>
      </c>
      <c r="G36" s="2003">
        <v>2.9757087599999998</v>
      </c>
      <c r="H36" s="2003">
        <v>3.0000776240000002</v>
      </c>
      <c r="I36" s="2003">
        <v>2.9553320887999992</v>
      </c>
      <c r="J36" s="2003">
        <v>3.0864363887999993</v>
      </c>
      <c r="K36" s="2003">
        <v>3.0298475416000006</v>
      </c>
      <c r="L36" s="2003">
        <v>3.0047252575999996</v>
      </c>
      <c r="M36" s="2003">
        <v>3.0275656816000001</v>
      </c>
      <c r="N36" s="2003">
        <v>2.9422014776000003</v>
      </c>
      <c r="O36" s="2003">
        <v>2.9116463607999994</v>
      </c>
      <c r="P36" s="2003">
        <v>3.1426572799999999</v>
      </c>
      <c r="Q36" s="2003">
        <v>3.0276681031999999</v>
      </c>
      <c r="R36" s="2003">
        <v>3.4220083263999994</v>
      </c>
      <c r="S36" s="2003">
        <v>3.3701223264000002</v>
      </c>
      <c r="T36" s="4108">
        <v>3.1905397650303442</v>
      </c>
      <c r="U36" s="4438">
        <v>3.1905397650303442</v>
      </c>
    </row>
    <row r="37" spans="1:64" ht="31.25" customHeight="1">
      <c r="A37" s="74"/>
      <c r="B37" s="1761" t="s">
        <v>840</v>
      </c>
      <c r="C37" s="2003">
        <v>0.72619764772600637</v>
      </c>
      <c r="D37" s="2003">
        <v>0.72046993121259806</v>
      </c>
      <c r="E37" s="2003">
        <v>0.86096328232019748</v>
      </c>
      <c r="F37" s="2003">
        <v>0.88488808779868799</v>
      </c>
      <c r="G37" s="2003">
        <v>0.97903832135638003</v>
      </c>
      <c r="H37" s="2003">
        <v>1.0653218286880832</v>
      </c>
      <c r="I37" s="2003">
        <v>1.1250776586179922</v>
      </c>
      <c r="J37" s="2003">
        <v>1.0309259106848312</v>
      </c>
      <c r="K37" s="2003">
        <v>1.2047463004088235</v>
      </c>
      <c r="L37" s="2003">
        <v>0.98871438372402343</v>
      </c>
      <c r="M37" s="2003">
        <v>0.98525004531774796</v>
      </c>
      <c r="N37" s="2003">
        <v>1.2615915434231941</v>
      </c>
      <c r="O37" s="2003">
        <v>1.0909039746477593</v>
      </c>
      <c r="P37" s="2003">
        <v>1.2210271867588478</v>
      </c>
      <c r="Q37" s="2003">
        <v>1.0312863250766968</v>
      </c>
      <c r="R37" s="2003">
        <v>1.2777385054419448</v>
      </c>
      <c r="S37" s="2003">
        <v>1.396271884908864</v>
      </c>
      <c r="T37" s="4108">
        <v>1.9911253582468418</v>
      </c>
      <c r="U37" s="4438">
        <v>1.9911253582468418</v>
      </c>
    </row>
    <row r="38" spans="1:64" ht="33">
      <c r="A38" s="74"/>
      <c r="C38" s="2107"/>
      <c r="D38" s="1765"/>
      <c r="E38" s="1772"/>
      <c r="F38" s="1772"/>
      <c r="G38" s="1772"/>
      <c r="H38" s="1772"/>
      <c r="I38" s="2107"/>
      <c r="J38" s="1772"/>
      <c r="K38" s="1772"/>
      <c r="L38" s="2107"/>
      <c r="M38" s="1772"/>
      <c r="N38" s="1765"/>
      <c r="O38" s="1765"/>
      <c r="P38" s="1772"/>
      <c r="Q38" s="1772"/>
      <c r="R38" s="1764"/>
      <c r="T38" s="4108"/>
      <c r="U38" s="4438"/>
    </row>
    <row r="39" spans="1:64" s="70" customFormat="1" ht="29" customHeight="1">
      <c r="A39" s="88"/>
      <c r="B39" s="70" t="s">
        <v>885</v>
      </c>
      <c r="C39" s="2001">
        <f>(C40+C41+C42+C43)*0+167.1</f>
        <v>167.1</v>
      </c>
      <c r="D39" s="2001">
        <f>(D40+D41+D42+D43)</f>
        <v>187.11886715664863</v>
      </c>
      <c r="E39" s="2001">
        <f t="shared" ref="E39:T39" si="17">(E40+E41+E42+E43)</f>
        <v>194.37743421067728</v>
      </c>
      <c r="F39" s="2001">
        <f t="shared" si="17"/>
        <v>200.40389966375719</v>
      </c>
      <c r="G39" s="2001">
        <f t="shared" si="17"/>
        <v>194.39600536015499</v>
      </c>
      <c r="H39" s="2001">
        <f t="shared" si="17"/>
        <v>213.07399024799057</v>
      </c>
      <c r="I39" s="2001">
        <f t="shared" si="17"/>
        <v>199.88563178198211</v>
      </c>
      <c r="J39" s="2001">
        <f t="shared" si="17"/>
        <v>182.33515874927704</v>
      </c>
      <c r="K39" s="2001">
        <f t="shared" si="17"/>
        <v>174.46850406760828</v>
      </c>
      <c r="L39" s="2001">
        <f t="shared" si="17"/>
        <v>155.20545218540963</v>
      </c>
      <c r="M39" s="2001">
        <f t="shared" si="17"/>
        <v>170.20661894690724</v>
      </c>
      <c r="N39" s="2001">
        <f t="shared" si="17"/>
        <v>197.30258503048418</v>
      </c>
      <c r="O39" s="2001">
        <f t="shared" si="17"/>
        <v>200.59941044556734</v>
      </c>
      <c r="P39" s="2001">
        <f t="shared" si="17"/>
        <v>201.62288861679764</v>
      </c>
      <c r="Q39" s="2001">
        <f t="shared" si="17"/>
        <v>174.66559632452561</v>
      </c>
      <c r="R39" s="2001">
        <f t="shared" si="17"/>
        <v>201.53896251986359</v>
      </c>
      <c r="S39" s="2001">
        <f t="shared" si="17"/>
        <v>264.87954081195471</v>
      </c>
      <c r="T39" s="4114">
        <f t="shared" si="17"/>
        <v>270.57775139365032</v>
      </c>
      <c r="U39" s="4440"/>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row>
    <row r="40" spans="1:64" ht="31.25" customHeight="1">
      <c r="A40" s="74"/>
      <c r="B40" s="1761" t="s">
        <v>841</v>
      </c>
      <c r="C40" s="2003">
        <v>5.8149290665898015</v>
      </c>
      <c r="D40" s="2003">
        <v>5.8740968169398933</v>
      </c>
      <c r="E40" s="2003">
        <v>5.9322775121172766</v>
      </c>
      <c r="F40" s="2003">
        <v>5.9649464890122132</v>
      </c>
      <c r="G40" s="2003">
        <v>6.1055457408710909</v>
      </c>
      <c r="H40" s="2003">
        <v>6.2036699793457668</v>
      </c>
      <c r="I40" s="2003">
        <v>6.2754998639105786</v>
      </c>
      <c r="J40" s="2003">
        <v>6.4408655490050908</v>
      </c>
      <c r="K40" s="2003">
        <v>6.5066535499285054</v>
      </c>
      <c r="L40" s="2003">
        <v>6.5578511283298671</v>
      </c>
      <c r="M40" s="2003">
        <v>6.6248400141667929</v>
      </c>
      <c r="N40" s="2003">
        <v>5.3348117922614016</v>
      </c>
      <c r="O40" s="2003">
        <v>5.4693705972254198</v>
      </c>
      <c r="P40" s="2003">
        <v>3.6609220698000713</v>
      </c>
      <c r="Q40" s="2003">
        <v>1.6605449680261744</v>
      </c>
      <c r="R40" s="2003">
        <v>1.3833469895541932</v>
      </c>
      <c r="S40" s="2003">
        <v>1.0998597306149895</v>
      </c>
      <c r="T40" s="4108">
        <v>1.0478651772587755</v>
      </c>
      <c r="U40" s="4438">
        <v>1.0478651772587755</v>
      </c>
    </row>
    <row r="41" spans="1:64" ht="31.25" customHeight="1">
      <c r="A41" s="74"/>
      <c r="B41" s="1761" t="s">
        <v>842</v>
      </c>
      <c r="C41" s="2003">
        <v>8.066497540306532</v>
      </c>
      <c r="D41" s="2003">
        <v>8.1631395328410328</v>
      </c>
      <c r="E41" s="2003">
        <v>9.6894201642848241</v>
      </c>
      <c r="F41" s="2003">
        <v>10.467944060238379</v>
      </c>
      <c r="G41" s="2003">
        <v>12.935643412293757</v>
      </c>
      <c r="H41" s="2003">
        <v>13.273259943849331</v>
      </c>
      <c r="I41" s="2003">
        <v>12.129579424764845</v>
      </c>
      <c r="J41" s="2003">
        <v>12.76737060459498</v>
      </c>
      <c r="K41" s="2003">
        <v>12.386229638908691</v>
      </c>
      <c r="L41" s="2003">
        <v>12.530419614224098</v>
      </c>
      <c r="M41" s="2003">
        <v>11.923813210271328</v>
      </c>
      <c r="N41" s="2003">
        <v>11.176443080884715</v>
      </c>
      <c r="O41" s="2003">
        <v>10.690948887629672</v>
      </c>
      <c r="P41" s="2003">
        <v>8.1755935802225999</v>
      </c>
      <c r="Q41" s="2003">
        <v>6.082901682703155</v>
      </c>
      <c r="R41" s="2003">
        <v>5.4082890205506562</v>
      </c>
      <c r="S41" s="2003">
        <v>5.1331002958389815</v>
      </c>
      <c r="T41" s="4108">
        <v>4.3965969765680422</v>
      </c>
      <c r="U41" s="4438">
        <v>4.3965969765680422</v>
      </c>
    </row>
    <row r="42" spans="1:64" ht="31.25" customHeight="1">
      <c r="A42" s="74"/>
      <c r="B42" s="1761" t="s">
        <v>0</v>
      </c>
      <c r="C42" s="2003">
        <v>150.51747415394655</v>
      </c>
      <c r="D42" s="2003">
        <v>169.80297180603679</v>
      </c>
      <c r="E42" s="2003">
        <v>175.2707427475124</v>
      </c>
      <c r="F42" s="2003">
        <v>180.55708986153348</v>
      </c>
      <c r="G42" s="2003">
        <v>171.72030181384284</v>
      </c>
      <c r="H42" s="2003">
        <v>189.69236004144071</v>
      </c>
      <c r="I42" s="2003">
        <v>177.61932087059756</v>
      </c>
      <c r="J42" s="2003">
        <v>159.19508801032225</v>
      </c>
      <c r="K42" s="2003">
        <v>151.64891287150706</v>
      </c>
      <c r="L42" s="2003">
        <v>132.29460162442382</v>
      </c>
      <c r="M42" s="2003">
        <v>147.75166016830059</v>
      </c>
      <c r="N42" s="2003">
        <v>176.66255485643785</v>
      </c>
      <c r="O42" s="2003">
        <v>179.88899469800981</v>
      </c>
      <c r="P42" s="2003">
        <v>184.92978496481092</v>
      </c>
      <c r="Q42" s="2003">
        <v>163.67898814062164</v>
      </c>
      <c r="R42" s="2003">
        <v>191.22112549123563</v>
      </c>
      <c r="S42" s="2003">
        <v>254.89959476592037</v>
      </c>
      <c r="T42" s="4108">
        <v>260.5932509786212</v>
      </c>
      <c r="U42" s="4438">
        <v>260.5932509786212</v>
      </c>
    </row>
    <row r="43" spans="1:64" ht="31.25" customHeight="1">
      <c r="A43" s="74"/>
      <c r="B43" s="1761" t="s">
        <v>843</v>
      </c>
      <c r="C43" s="2003">
        <v>2.6998564869825161</v>
      </c>
      <c r="D43" s="2003">
        <v>3.2786590008309093</v>
      </c>
      <c r="E43" s="2003">
        <v>3.4849937867627587</v>
      </c>
      <c r="F43" s="2003">
        <v>3.4139192529730993</v>
      </c>
      <c r="G43" s="2003">
        <v>3.6345143931472967</v>
      </c>
      <c r="H43" s="2003">
        <v>3.9047002833547633</v>
      </c>
      <c r="I43" s="2003">
        <v>3.861231622709119</v>
      </c>
      <c r="J43" s="2003">
        <v>3.931834585354713</v>
      </c>
      <c r="K43" s="2003">
        <v>3.9267080072640099</v>
      </c>
      <c r="L43" s="2003">
        <v>3.8225798184318567</v>
      </c>
      <c r="M43" s="2003">
        <v>3.9063055541685507</v>
      </c>
      <c r="N43" s="2003">
        <v>4.1287753009002062</v>
      </c>
      <c r="O43" s="2003">
        <v>4.5500962627024499</v>
      </c>
      <c r="P43" s="2003">
        <v>4.8565880019640453</v>
      </c>
      <c r="Q43" s="2003">
        <v>3.2431615331746366</v>
      </c>
      <c r="R43" s="2003">
        <v>3.5262010185231354</v>
      </c>
      <c r="S43" s="2003">
        <v>3.7469860195804094</v>
      </c>
      <c r="T43" s="4108">
        <v>4.5400382612023291</v>
      </c>
      <c r="U43" s="4438">
        <v>4.5400382612023291</v>
      </c>
    </row>
    <row r="44" spans="1:64" ht="15" customHeight="1">
      <c r="A44" s="74"/>
      <c r="C44" s="1772"/>
      <c r="D44" s="2107"/>
      <c r="E44" s="1772"/>
      <c r="F44" s="1772"/>
      <c r="G44" s="1772"/>
      <c r="H44" s="1772"/>
      <c r="I44" s="1772"/>
      <c r="J44" s="2107"/>
      <c r="K44" s="1772"/>
      <c r="L44" s="1772"/>
      <c r="M44" s="1772"/>
      <c r="N44" s="2107"/>
      <c r="O44" s="1772"/>
      <c r="P44" s="1772"/>
      <c r="Q44" s="1772"/>
      <c r="R44" s="1764"/>
      <c r="T44" s="4108"/>
      <c r="U44" s="4438"/>
    </row>
    <row r="45" spans="1:64" s="70" customFormat="1" ht="29" customHeight="1">
      <c r="A45" s="88"/>
      <c r="B45" s="70" t="s">
        <v>882</v>
      </c>
      <c r="C45" s="2001">
        <f>C46+C47</f>
        <v>283.63469957448712</v>
      </c>
      <c r="D45" s="2001">
        <f t="shared" ref="D45:T45" si="18">D46+D47</f>
        <v>302.96809066948629</v>
      </c>
      <c r="E45" s="2001">
        <f t="shared" si="18"/>
        <v>303.99385471075072</v>
      </c>
      <c r="F45" s="2001">
        <f t="shared" si="18"/>
        <v>277.06886291570731</v>
      </c>
      <c r="G45" s="2001">
        <f t="shared" si="18"/>
        <v>244.87251262601566</v>
      </c>
      <c r="H45" s="2001">
        <f t="shared" si="18"/>
        <v>245.03969491918829</v>
      </c>
      <c r="I45" s="2001">
        <f t="shared" si="18"/>
        <v>249.12880220833054</v>
      </c>
      <c r="J45" s="2001">
        <f t="shared" si="18"/>
        <v>264.06370542186107</v>
      </c>
      <c r="K45" s="2001">
        <f t="shared" si="18"/>
        <v>255.6623839804335</v>
      </c>
      <c r="L45" s="2001">
        <f t="shared" si="18"/>
        <v>277.08531842779098</v>
      </c>
      <c r="M45" s="2001">
        <f t="shared" si="18"/>
        <v>324.14742147534884</v>
      </c>
      <c r="N45" s="2001">
        <f t="shared" si="18"/>
        <v>358.13124559407248</v>
      </c>
      <c r="O45" s="2001">
        <f t="shared" si="18"/>
        <v>384.8679333395641</v>
      </c>
      <c r="P45" s="2001">
        <f t="shared" si="18"/>
        <v>398.43765734804691</v>
      </c>
      <c r="Q45" s="2001">
        <f t="shared" si="18"/>
        <v>319.32313971436986</v>
      </c>
      <c r="R45" s="2001">
        <f t="shared" si="18"/>
        <v>345.82218732021812</v>
      </c>
      <c r="S45" s="2001">
        <f t="shared" si="18"/>
        <v>447.23801568098406</v>
      </c>
      <c r="T45" s="4114">
        <f t="shared" si="18"/>
        <v>495.15235922980168</v>
      </c>
      <c r="U45" s="4440"/>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row>
    <row r="46" spans="1:64" ht="31.25" customHeight="1">
      <c r="A46" s="74"/>
      <c r="B46" s="1761" t="s">
        <v>648</v>
      </c>
      <c r="C46" s="2003">
        <v>239.40480709844155</v>
      </c>
      <c r="D46" s="2003">
        <v>256.63158468953077</v>
      </c>
      <c r="E46" s="2003">
        <v>257.89642801286311</v>
      </c>
      <c r="F46" s="2003">
        <v>229.99421923118791</v>
      </c>
      <c r="G46" s="2003">
        <v>198.86076379855785</v>
      </c>
      <c r="H46" s="2003">
        <v>197.72540920854038</v>
      </c>
      <c r="I46" s="2003">
        <v>201.79850318098991</v>
      </c>
      <c r="J46" s="2003">
        <v>213.93126427207659</v>
      </c>
      <c r="K46" s="2003">
        <v>208.08376985354275</v>
      </c>
      <c r="L46" s="2003">
        <v>228.56543384317936</v>
      </c>
      <c r="M46" s="2003">
        <v>275.71302634639756</v>
      </c>
      <c r="N46" s="2003">
        <v>307.33095778393761</v>
      </c>
      <c r="O46" s="2003">
        <v>334.237489267559</v>
      </c>
      <c r="P46" s="2003">
        <v>344.74579471676935</v>
      </c>
      <c r="Q46" s="2003">
        <v>267.42159133539184</v>
      </c>
      <c r="R46" s="2003">
        <v>292.68371701149294</v>
      </c>
      <c r="S46" s="2003">
        <v>392.2509261821898</v>
      </c>
      <c r="T46" s="4108">
        <v>437.03836691714855</v>
      </c>
      <c r="U46" s="4438"/>
    </row>
    <row r="47" spans="1:64" ht="31.25" customHeight="1">
      <c r="A47" s="74"/>
      <c r="B47" s="1761" t="s">
        <v>1516</v>
      </c>
      <c r="C47" s="2003">
        <v>44.229892476045549</v>
      </c>
      <c r="D47" s="2003">
        <v>46.336505979955497</v>
      </c>
      <c r="E47" s="2003">
        <v>46.097426697887613</v>
      </c>
      <c r="F47" s="2003">
        <v>47.074643684519415</v>
      </c>
      <c r="G47" s="2003">
        <v>46.011748827457815</v>
      </c>
      <c r="H47" s="2003">
        <v>47.314285710647908</v>
      </c>
      <c r="I47" s="2003">
        <v>47.330299027340637</v>
      </c>
      <c r="J47" s="2003">
        <v>50.132441149784484</v>
      </c>
      <c r="K47" s="2003">
        <v>47.578614126890741</v>
      </c>
      <c r="L47" s="2003">
        <v>48.519884584611596</v>
      </c>
      <c r="M47" s="2003">
        <v>48.434395128951294</v>
      </c>
      <c r="N47" s="2003">
        <v>50.800287810134876</v>
      </c>
      <c r="O47" s="2003">
        <v>50.630444072005126</v>
      </c>
      <c r="P47" s="2003">
        <v>53.691862631277537</v>
      </c>
      <c r="Q47" s="2003">
        <v>51.901548378978049</v>
      </c>
      <c r="R47" s="2003">
        <v>53.138470308725154</v>
      </c>
      <c r="S47" s="2003">
        <v>54.98708949879429</v>
      </c>
      <c r="T47" s="4108">
        <v>58.113992312653146</v>
      </c>
      <c r="U47" s="4438"/>
    </row>
    <row r="48" spans="1:64" ht="15" customHeight="1">
      <c r="A48" s="74"/>
      <c r="B48" s="1761"/>
      <c r="C48" s="1759"/>
      <c r="D48" s="1760"/>
      <c r="E48" s="1760"/>
      <c r="F48" s="1760"/>
      <c r="G48" s="1760"/>
      <c r="H48" s="1762"/>
      <c r="I48" s="1760"/>
      <c r="J48" s="1760"/>
      <c r="K48" s="1760"/>
      <c r="L48" s="1760"/>
      <c r="M48" s="1760"/>
      <c r="N48" s="1760"/>
      <c r="O48" s="1760"/>
      <c r="P48" s="1760"/>
      <c r="Q48" s="1760"/>
      <c r="R48" s="1762"/>
      <c r="T48" s="4108"/>
      <c r="U48" s="4438"/>
    </row>
    <row r="49" spans="1:64" s="70" customFormat="1" ht="29" customHeight="1">
      <c r="A49" s="88"/>
      <c r="B49" s="70" t="s">
        <v>844</v>
      </c>
      <c r="C49" s="2001">
        <v>403.03608691802401</v>
      </c>
      <c r="D49" s="2001">
        <v>411.06374242853036</v>
      </c>
      <c r="E49" s="2001">
        <v>423.28521689993244</v>
      </c>
      <c r="F49" s="2001">
        <v>419.94551012167506</v>
      </c>
      <c r="G49" s="2001">
        <v>467.06872585280831</v>
      </c>
      <c r="H49" s="2001">
        <v>461.25980758542772</v>
      </c>
      <c r="I49" s="2001">
        <v>462.41552868188944</v>
      </c>
      <c r="J49" s="2001">
        <v>455.52432159050699</v>
      </c>
      <c r="K49" s="2001">
        <v>476.80389918693822</v>
      </c>
      <c r="L49" s="2001">
        <v>513.96725800834065</v>
      </c>
      <c r="M49" s="2001">
        <v>496.73386343372556</v>
      </c>
      <c r="N49" s="2001">
        <v>528.50789358756197</v>
      </c>
      <c r="O49" s="2001">
        <v>573.58702618937946</v>
      </c>
      <c r="P49" s="2001">
        <v>554.12107653455178</v>
      </c>
      <c r="Q49" s="2001">
        <v>551.6282819647513</v>
      </c>
      <c r="R49" s="2001">
        <v>592.82006634818708</v>
      </c>
      <c r="S49" s="2001">
        <v>728.77255955315741</v>
      </c>
      <c r="T49" s="4114">
        <v>717.30621408552952</v>
      </c>
      <c r="U49" s="4440"/>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row>
    <row r="50" spans="1:64" s="70" customFormat="1" ht="29" customHeight="1">
      <c r="A50" s="88"/>
      <c r="B50" s="70" t="s">
        <v>845</v>
      </c>
      <c r="C50" s="2001">
        <v>39.163557910300675</v>
      </c>
      <c r="D50" s="2001">
        <v>57.23773830726725</v>
      </c>
      <c r="E50" s="2001">
        <v>74.254065229914261</v>
      </c>
      <c r="F50" s="2001">
        <v>66.973165800742549</v>
      </c>
      <c r="G50" s="2001">
        <v>64.811128609784859</v>
      </c>
      <c r="H50" s="2001">
        <v>69.243689507297518</v>
      </c>
      <c r="I50" s="2001">
        <v>64.74340961016388</v>
      </c>
      <c r="J50" s="2001">
        <v>54.567731007136089</v>
      </c>
      <c r="K50" s="2001">
        <v>53.514453726040095</v>
      </c>
      <c r="L50" s="2001">
        <v>59.529795725987611</v>
      </c>
      <c r="M50" s="2001">
        <v>54.193780139644495</v>
      </c>
      <c r="N50" s="2001">
        <v>53.468510180855901</v>
      </c>
      <c r="O50" s="2001">
        <v>52.942336583528117</v>
      </c>
      <c r="P50" s="2001">
        <v>45.298122755923941</v>
      </c>
      <c r="Q50" s="2001">
        <v>36.128681886395754</v>
      </c>
      <c r="R50" s="2001">
        <v>35.705693044987513</v>
      </c>
      <c r="S50" s="2001">
        <v>43.383120552725799</v>
      </c>
      <c r="T50" s="4114">
        <v>49.562882432201363</v>
      </c>
      <c r="U50" s="4440"/>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row>
    <row r="51" spans="1:64" s="70" customFormat="1" ht="29" customHeight="1">
      <c r="A51" s="88"/>
      <c r="B51" s="70" t="s">
        <v>846</v>
      </c>
      <c r="C51" s="2001">
        <v>17.385441730807376</v>
      </c>
      <c r="D51" s="2001">
        <v>24.9565469309428</v>
      </c>
      <c r="E51" s="2001">
        <v>31.784773739674439</v>
      </c>
      <c r="F51" s="2001">
        <v>28.146821213810924</v>
      </c>
      <c r="G51" s="2001">
        <v>26.732609578409871</v>
      </c>
      <c r="H51" s="2001">
        <v>28.037696805163062</v>
      </c>
      <c r="I51" s="2001">
        <v>25.738941830079174</v>
      </c>
      <c r="J51" s="2001">
        <v>21.299890551169007</v>
      </c>
      <c r="K51" s="2001">
        <v>20.50866263256404</v>
      </c>
      <c r="L51" s="2001">
        <v>22.399049415510682</v>
      </c>
      <c r="M51" s="2001">
        <v>20.020216232130124</v>
      </c>
      <c r="N51" s="2001">
        <v>8.3055877290386668</v>
      </c>
      <c r="O51" s="2001">
        <v>2.9979784289455544</v>
      </c>
      <c r="P51" s="2001">
        <v>3.6382974407138731</v>
      </c>
      <c r="Q51" s="2001">
        <v>2.8875868790251884</v>
      </c>
      <c r="R51" s="2001">
        <v>2.9099190496758904</v>
      </c>
      <c r="S51" s="2001">
        <v>4.0613350544585449</v>
      </c>
      <c r="T51" s="4114">
        <v>4.1457337282332878</v>
      </c>
      <c r="U51" s="4440"/>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row>
    <row r="52" spans="1:64" s="70" customFormat="1" ht="29" customHeight="1">
      <c r="A52" s="88"/>
      <c r="B52" s="70" t="s">
        <v>847</v>
      </c>
      <c r="C52" s="2001">
        <v>63.75581126931926</v>
      </c>
      <c r="D52" s="2001">
        <v>83.245297253534133</v>
      </c>
      <c r="E52" s="2001">
        <v>67.727197621187742</v>
      </c>
      <c r="F52" s="2001">
        <v>62.432062706171187</v>
      </c>
      <c r="G52" s="2001">
        <v>68.37840573430158</v>
      </c>
      <c r="H52" s="2001">
        <v>72.13963318391977</v>
      </c>
      <c r="I52" s="2001">
        <v>71.641606443994533</v>
      </c>
      <c r="J52" s="2001">
        <v>68.119176042974374</v>
      </c>
      <c r="K52" s="2001">
        <v>79.104764904348372</v>
      </c>
      <c r="L52" s="2001">
        <v>76.342049263975568</v>
      </c>
      <c r="M52" s="2001">
        <v>68.396603508425073</v>
      </c>
      <c r="N52" s="2001">
        <v>72.612773014385979</v>
      </c>
      <c r="O52" s="2001">
        <v>69.111309174472581</v>
      </c>
      <c r="P52" s="2001">
        <v>94.604064919408771</v>
      </c>
      <c r="Q52" s="2001">
        <v>50.008155355164718</v>
      </c>
      <c r="R52" s="2001">
        <v>176.41457166287881</v>
      </c>
      <c r="S52" s="2001">
        <v>170.6118214024041</v>
      </c>
      <c r="T52" s="4114">
        <v>115.2623767370999</v>
      </c>
      <c r="U52" s="4440"/>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row>
    <row r="53" spans="1:64" s="70" customFormat="1" ht="29" customHeight="1">
      <c r="A53" s="88"/>
      <c r="B53" s="70" t="s">
        <v>851</v>
      </c>
      <c r="C53" s="2001">
        <v>43.914257659686371</v>
      </c>
      <c r="D53" s="2001">
        <v>52.467351245088217</v>
      </c>
      <c r="E53" s="2001">
        <v>63.099304356234967</v>
      </c>
      <c r="F53" s="2001">
        <v>71.836643183463678</v>
      </c>
      <c r="G53" s="2001">
        <v>72.401591966609615</v>
      </c>
      <c r="H53" s="2001">
        <v>78.023641200198639</v>
      </c>
      <c r="I53" s="2001">
        <v>80.414185972296821</v>
      </c>
      <c r="J53" s="2001">
        <v>86.878944143901904</v>
      </c>
      <c r="K53" s="2001">
        <v>88.09638238448764</v>
      </c>
      <c r="L53" s="2001">
        <v>94.885136307661242</v>
      </c>
      <c r="M53" s="2001">
        <v>104.37440657540841</v>
      </c>
      <c r="N53" s="2001">
        <v>109.46356766497485</v>
      </c>
      <c r="O53" s="2001">
        <v>127.12331657160844</v>
      </c>
      <c r="P53" s="2001">
        <v>127.01610000955495</v>
      </c>
      <c r="Q53" s="2001">
        <v>81.299840927664164</v>
      </c>
      <c r="R53" s="2001">
        <v>101.55048724718691</v>
      </c>
      <c r="S53" s="2001">
        <v>120.2644634199805</v>
      </c>
      <c r="T53" s="4114">
        <v>123.42079119218135</v>
      </c>
      <c r="U53" s="4440"/>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row>
    <row r="54" spans="1:64" s="70" customFormat="1" ht="29" customHeight="1">
      <c r="A54" s="88"/>
      <c r="C54" s="2001"/>
      <c r="D54" s="2001"/>
      <c r="E54" s="2001"/>
      <c r="F54" s="2001"/>
      <c r="G54" s="2001"/>
      <c r="H54" s="2001"/>
      <c r="I54" s="2001"/>
      <c r="J54" s="2001"/>
      <c r="K54" s="2001"/>
      <c r="L54" s="2001"/>
      <c r="M54" s="2001"/>
      <c r="N54" s="2001"/>
      <c r="O54" s="2001"/>
      <c r="P54" s="2001"/>
      <c r="Q54" s="2001"/>
      <c r="R54" s="2001"/>
      <c r="S54" s="2001"/>
      <c r="T54" s="4114"/>
      <c r="U54" s="4440"/>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row>
    <row r="55" spans="1:64" s="70" customFormat="1" ht="29" customHeight="1">
      <c r="A55" s="88"/>
      <c r="B55" s="70" t="s">
        <v>649</v>
      </c>
      <c r="C55" s="2001">
        <v>172.98384386742097</v>
      </c>
      <c r="D55" s="2001">
        <v>162.43151579586419</v>
      </c>
      <c r="E55" s="2001">
        <v>202.15724747451935</v>
      </c>
      <c r="F55" s="2001">
        <v>212.18814593551275</v>
      </c>
      <c r="G55" s="2001">
        <v>226.85586153517698</v>
      </c>
      <c r="H55" s="2001">
        <v>227.60718470075594</v>
      </c>
      <c r="I55" s="2001">
        <v>243.72442931998236</v>
      </c>
      <c r="J55" s="2001">
        <v>267.6925578926066</v>
      </c>
      <c r="K55" s="2001">
        <v>264.91027894005271</v>
      </c>
      <c r="L55" s="2001">
        <v>250.70420237025806</v>
      </c>
      <c r="M55" s="2001">
        <v>262.73013578859275</v>
      </c>
      <c r="N55" s="2001">
        <v>249.62178812687227</v>
      </c>
      <c r="O55" s="2001">
        <v>276.55817628837332</v>
      </c>
      <c r="P55" s="2001">
        <v>290.08978680126916</v>
      </c>
      <c r="Q55" s="2001">
        <v>291.62539035489726</v>
      </c>
      <c r="R55" s="2001">
        <v>183.61821205402401</v>
      </c>
      <c r="S55" s="2001">
        <v>171.5395315441088</v>
      </c>
      <c r="T55" s="4114">
        <v>175.71080083456576</v>
      </c>
      <c r="U55" s="4440"/>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row>
    <row r="56" spans="1:64" ht="15" customHeight="1">
      <c r="A56" s="74"/>
      <c r="B56" s="70"/>
      <c r="C56" s="2001"/>
      <c r="D56" s="2001"/>
      <c r="E56" s="2001"/>
      <c r="F56" s="2001"/>
      <c r="G56" s="2001"/>
      <c r="H56" s="2001"/>
      <c r="I56" s="2001"/>
      <c r="J56" s="2001"/>
      <c r="K56" s="2001"/>
      <c r="L56" s="2001"/>
      <c r="M56" s="2001"/>
      <c r="N56" s="2001"/>
      <c r="O56" s="2001"/>
      <c r="P56" s="2001"/>
      <c r="Q56" s="2001"/>
      <c r="R56" s="2001"/>
      <c r="S56" s="2001"/>
      <c r="T56" s="4108"/>
      <c r="U56" s="4438"/>
    </row>
    <row r="57" spans="1:64" s="70" customFormat="1" ht="29" customHeight="1">
      <c r="A57" s="88"/>
      <c r="B57" s="70" t="s">
        <v>104</v>
      </c>
      <c r="C57" s="2001">
        <f>C58+C59</f>
        <v>117.83040844760743</v>
      </c>
      <c r="D57" s="2001">
        <f t="shared" ref="D57:T57" si="19">D58+D59</f>
        <v>121.62700185436449</v>
      </c>
      <c r="E57" s="2001">
        <f t="shared" si="19"/>
        <v>127.01278037786162</v>
      </c>
      <c r="F57" s="2001">
        <f t="shared" si="19"/>
        <v>139.62174980755793</v>
      </c>
      <c r="G57" s="2001">
        <f t="shared" si="19"/>
        <v>156.49368525458559</v>
      </c>
      <c r="H57" s="2001">
        <f t="shared" si="19"/>
        <v>162.18500934870289</v>
      </c>
      <c r="I57" s="2001">
        <f t="shared" si="19"/>
        <v>158.86280545779545</v>
      </c>
      <c r="J57" s="2001">
        <f t="shared" si="19"/>
        <v>165.56152298912156</v>
      </c>
      <c r="K57" s="2001">
        <f t="shared" si="19"/>
        <v>157.91234215512591</v>
      </c>
      <c r="L57" s="2001">
        <f t="shared" si="19"/>
        <v>167.83268664929253</v>
      </c>
      <c r="M57" s="2001">
        <f t="shared" si="19"/>
        <v>172.38004840611219</v>
      </c>
      <c r="N57" s="2001">
        <f t="shared" si="19"/>
        <v>168.2091143562071</v>
      </c>
      <c r="O57" s="2001">
        <f t="shared" si="19"/>
        <v>169.159096380823</v>
      </c>
      <c r="P57" s="2001">
        <f t="shared" si="19"/>
        <v>170.883261621884</v>
      </c>
      <c r="Q57" s="2001">
        <f t="shared" si="19"/>
        <v>166.73393200283388</v>
      </c>
      <c r="R57" s="2001">
        <f t="shared" si="19"/>
        <v>260.87783828823035</v>
      </c>
      <c r="S57" s="2001">
        <f t="shared" si="19"/>
        <v>270.17715180476239</v>
      </c>
      <c r="T57" s="4114">
        <f t="shared" si="19"/>
        <v>276.92722396896852</v>
      </c>
      <c r="U57" s="4440"/>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row>
    <row r="58" spans="1:64" ht="31.25" customHeight="1">
      <c r="A58" s="74"/>
      <c r="B58" s="1761" t="s">
        <v>1517</v>
      </c>
      <c r="C58" s="2003">
        <v>98.083712355513285</v>
      </c>
      <c r="D58" s="2003">
        <v>103.0476591549305</v>
      </c>
      <c r="E58" s="2003">
        <v>107.8624074656131</v>
      </c>
      <c r="F58" s="2003">
        <v>118.71435153866447</v>
      </c>
      <c r="G58" s="2003">
        <v>130.36945972971853</v>
      </c>
      <c r="H58" s="2003">
        <v>133.68554617105036</v>
      </c>
      <c r="I58" s="2003">
        <v>131.11973094754075</v>
      </c>
      <c r="J58" s="2003">
        <v>138.71876029155948</v>
      </c>
      <c r="K58" s="2003">
        <v>130.50336949217296</v>
      </c>
      <c r="L58" s="2003">
        <v>139.64497778662792</v>
      </c>
      <c r="M58" s="2003">
        <v>142.96120498955474</v>
      </c>
      <c r="N58" s="2003">
        <v>137.28750956559895</v>
      </c>
      <c r="O58" s="2003">
        <v>138.54517881444872</v>
      </c>
      <c r="P58" s="2003">
        <v>140.5254972262249</v>
      </c>
      <c r="Q58" s="2003">
        <v>143.95634506100961</v>
      </c>
      <c r="R58" s="2003">
        <v>237.95998602428597</v>
      </c>
      <c r="S58" s="2003">
        <v>243.81760618550601</v>
      </c>
      <c r="T58" s="4108">
        <v>250.82790902788332</v>
      </c>
      <c r="U58" s="4438"/>
    </row>
    <row r="59" spans="1:64" ht="31.25" customHeight="1">
      <c r="A59" s="74"/>
      <c r="B59" s="1761" t="s">
        <v>1518</v>
      </c>
      <c r="C59" s="2003">
        <v>19.746696092094147</v>
      </c>
      <c r="D59" s="2003">
        <v>18.579342699433987</v>
      </c>
      <c r="E59" s="2003">
        <v>19.150372912248514</v>
      </c>
      <c r="F59" s="2003">
        <v>20.907398268893452</v>
      </c>
      <c r="G59" s="2003">
        <v>26.124225524867068</v>
      </c>
      <c r="H59" s="2003">
        <v>28.499463177652519</v>
      </c>
      <c r="I59" s="2003">
        <v>27.743074510254715</v>
      </c>
      <c r="J59" s="2003">
        <v>26.842762697562094</v>
      </c>
      <c r="K59" s="2003">
        <v>27.408972662952952</v>
      </c>
      <c r="L59" s="2003">
        <v>28.1877088626646</v>
      </c>
      <c r="M59" s="2003">
        <v>29.418843416557454</v>
      </c>
      <c r="N59" s="2003">
        <v>30.921604790608143</v>
      </c>
      <c r="O59" s="2003">
        <v>30.61391756637428</v>
      </c>
      <c r="P59" s="2003">
        <v>30.357764395659117</v>
      </c>
      <c r="Q59" s="2003">
        <v>22.777586941824278</v>
      </c>
      <c r="R59" s="2003">
        <v>22.91785226394439</v>
      </c>
      <c r="S59" s="2003">
        <v>26.359545619256384</v>
      </c>
      <c r="T59" s="4108">
        <v>26.099314941085208</v>
      </c>
      <c r="U59" s="4438"/>
    </row>
    <row r="60" spans="1:64" ht="15" customHeight="1">
      <c r="A60" s="74"/>
      <c r="C60" s="1759"/>
      <c r="D60" s="1760"/>
      <c r="E60" s="1760"/>
      <c r="F60" s="1760"/>
      <c r="G60" s="1760"/>
      <c r="H60" s="1760"/>
      <c r="I60" s="1760"/>
      <c r="J60" s="1760"/>
      <c r="K60" s="1760"/>
      <c r="L60" s="1760"/>
      <c r="M60" s="1760"/>
      <c r="N60" s="1760"/>
      <c r="O60" s="1760"/>
      <c r="P60" s="1760"/>
      <c r="Q60" s="1760"/>
      <c r="R60" s="1762"/>
      <c r="T60" s="4108"/>
      <c r="U60" s="4438"/>
    </row>
    <row r="61" spans="1:64" s="70" customFormat="1" ht="29" customHeight="1">
      <c r="A61" s="88"/>
      <c r="B61" s="70" t="s">
        <v>639</v>
      </c>
      <c r="C61" s="2001">
        <f>C62+C63</f>
        <v>82.141748204440447</v>
      </c>
      <c r="D61" s="2001">
        <f t="shared" ref="D61:T61" si="20">D62+D63</f>
        <v>79.991911479203083</v>
      </c>
      <c r="E61" s="2001">
        <f t="shared" si="20"/>
        <v>84.826532241615041</v>
      </c>
      <c r="F61" s="2001">
        <f t="shared" si="20"/>
        <v>90.642323270837693</v>
      </c>
      <c r="G61" s="2001">
        <f t="shared" si="20"/>
        <v>106.13648230798859</v>
      </c>
      <c r="H61" s="2001">
        <f t="shared" si="20"/>
        <v>115.52829347417855</v>
      </c>
      <c r="I61" s="2001">
        <f t="shared" si="20"/>
        <v>117.74002968036282</v>
      </c>
      <c r="J61" s="2001">
        <f t="shared" si="20"/>
        <v>123.12911869318538</v>
      </c>
      <c r="K61" s="2001">
        <f t="shared" si="20"/>
        <v>123.03383510439591</v>
      </c>
      <c r="L61" s="2001">
        <f t="shared" si="20"/>
        <v>122.46084026830681</v>
      </c>
      <c r="M61" s="2001">
        <f t="shared" si="20"/>
        <v>112.74569276445483</v>
      </c>
      <c r="N61" s="2001">
        <f t="shared" si="20"/>
        <v>140.41765487878124</v>
      </c>
      <c r="O61" s="2001">
        <f t="shared" si="20"/>
        <v>136.98317030982474</v>
      </c>
      <c r="P61" s="2001">
        <f t="shared" si="20"/>
        <v>153.15715933501522</v>
      </c>
      <c r="Q61" s="2001">
        <f t="shared" si="20"/>
        <v>130.37026849488686</v>
      </c>
      <c r="R61" s="2001">
        <f t="shared" si="20"/>
        <v>149.84037289488231</v>
      </c>
      <c r="S61" s="2001">
        <f t="shared" si="20"/>
        <v>142.99871298030325</v>
      </c>
      <c r="T61" s="4114">
        <f t="shared" si="20"/>
        <v>146.96033825537467</v>
      </c>
      <c r="U61" s="4440"/>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row>
    <row r="62" spans="1:64" ht="31.25" customHeight="1">
      <c r="A62" s="74"/>
      <c r="B62" s="1761" t="s">
        <v>1517</v>
      </c>
      <c r="C62" s="2003">
        <v>51.225232293154697</v>
      </c>
      <c r="D62" s="2003">
        <v>47.141197392502001</v>
      </c>
      <c r="E62" s="2003">
        <v>46.584006891400776</v>
      </c>
      <c r="F62" s="2003">
        <v>48.850325686472488</v>
      </c>
      <c r="G62" s="2003">
        <v>62.44081316755036</v>
      </c>
      <c r="H62" s="2003">
        <v>68.581463922344795</v>
      </c>
      <c r="I62" s="2003">
        <v>69.711104197785559</v>
      </c>
      <c r="J62" s="2003">
        <v>76.756124697598366</v>
      </c>
      <c r="K62" s="2003">
        <v>75.525893143787513</v>
      </c>
      <c r="L62" s="2003">
        <v>76.66992223969531</v>
      </c>
      <c r="M62" s="2003">
        <v>66.806057082943198</v>
      </c>
      <c r="N62" s="2003">
        <v>92.032166338004643</v>
      </c>
      <c r="O62" s="2003">
        <v>86.654722191419836</v>
      </c>
      <c r="P62" s="2003">
        <v>75.794771252119077</v>
      </c>
      <c r="Q62" s="2003">
        <v>98.652939047101597</v>
      </c>
      <c r="R62" s="2003">
        <v>115.04476844891062</v>
      </c>
      <c r="S62" s="2003">
        <v>108.18786027578169</v>
      </c>
      <c r="T62" s="4108">
        <v>111.30239208248329</v>
      </c>
      <c r="U62" s="4438"/>
    </row>
    <row r="63" spans="1:64" ht="31.25" customHeight="1">
      <c r="A63" s="74"/>
      <c r="B63" s="1761" t="s">
        <v>1518</v>
      </c>
      <c r="C63" s="2003">
        <v>30.916515911285753</v>
      </c>
      <c r="D63" s="2003">
        <v>32.850714086701075</v>
      </c>
      <c r="E63" s="2003">
        <v>38.242525350214265</v>
      </c>
      <c r="F63" s="2003">
        <v>41.791997584365198</v>
      </c>
      <c r="G63" s="2003">
        <v>43.695669140438227</v>
      </c>
      <c r="H63" s="2003">
        <v>46.946829551833751</v>
      </c>
      <c r="I63" s="2003">
        <v>48.028925482577257</v>
      </c>
      <c r="J63" s="2003">
        <v>46.372993995587017</v>
      </c>
      <c r="K63" s="2003">
        <v>47.507941960608399</v>
      </c>
      <c r="L63" s="2003">
        <v>45.790918028611507</v>
      </c>
      <c r="M63" s="2003">
        <v>45.939635681511632</v>
      </c>
      <c r="N63" s="2003">
        <v>48.385488540776585</v>
      </c>
      <c r="O63" s="2003">
        <v>50.328448118404907</v>
      </c>
      <c r="P63" s="2003">
        <v>77.362388082896146</v>
      </c>
      <c r="Q63" s="2003">
        <v>31.717329447785271</v>
      </c>
      <c r="R63" s="2003">
        <v>34.795604445971676</v>
      </c>
      <c r="S63" s="2003">
        <v>34.810852704521572</v>
      </c>
      <c r="T63" s="4108">
        <v>35.657946172891364</v>
      </c>
      <c r="U63" s="4438"/>
    </row>
    <row r="64" spans="1:64" ht="31.25" customHeight="1">
      <c r="A64" s="74"/>
      <c r="B64" s="1761"/>
      <c r="C64" s="2003"/>
      <c r="D64" s="2003"/>
      <c r="E64" s="2003"/>
      <c r="F64" s="2003"/>
      <c r="G64" s="2003"/>
      <c r="H64" s="2003"/>
      <c r="I64" s="2003"/>
      <c r="J64" s="2003"/>
      <c r="K64" s="2003"/>
      <c r="L64" s="2003"/>
      <c r="M64" s="2003"/>
      <c r="N64" s="2003"/>
      <c r="O64" s="2003"/>
      <c r="P64" s="2003"/>
      <c r="Q64" s="2003"/>
      <c r="R64" s="2003"/>
      <c r="S64" s="2003"/>
      <c r="T64" s="4108"/>
      <c r="U64" s="4438"/>
    </row>
    <row r="65" spans="1:64" s="70" customFormat="1" ht="29" customHeight="1">
      <c r="A65" s="88"/>
      <c r="B65" s="70" t="s">
        <v>848</v>
      </c>
      <c r="C65" s="2001">
        <v>72.80708886698315</v>
      </c>
      <c r="D65" s="2001">
        <v>86.137756961800889</v>
      </c>
      <c r="E65" s="2001">
        <v>90.417572946203478</v>
      </c>
      <c r="F65" s="2001">
        <v>90.644010724793901</v>
      </c>
      <c r="G65" s="2001">
        <v>93.882339002148143</v>
      </c>
      <c r="H65" s="2001">
        <v>162.88843967095917</v>
      </c>
      <c r="I65" s="2001">
        <v>161.65208802953401</v>
      </c>
      <c r="J65" s="2001">
        <v>166.57346459377726</v>
      </c>
      <c r="K65" s="2001">
        <v>155.57364063818358</v>
      </c>
      <c r="L65" s="2001">
        <v>142.71609254725666</v>
      </c>
      <c r="M65" s="2001">
        <v>145.07599731999662</v>
      </c>
      <c r="N65" s="2001">
        <v>163.507620057629</v>
      </c>
      <c r="O65" s="2001">
        <v>181.2125227424597</v>
      </c>
      <c r="P65" s="2001">
        <v>178.38797866453237</v>
      </c>
      <c r="Q65" s="2001">
        <v>118.6484581948051</v>
      </c>
      <c r="R65" s="2001">
        <v>88.993875768504125</v>
      </c>
      <c r="S65" s="2001">
        <v>120.8773352204224</v>
      </c>
      <c r="T65" s="4114">
        <v>139.2481196253492</v>
      </c>
      <c r="U65" s="4440"/>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row>
    <row r="66" spans="1:64" s="70" customFormat="1" ht="29" customHeight="1">
      <c r="A66" s="88"/>
      <c r="B66" s="70" t="s">
        <v>777</v>
      </c>
      <c r="C66" s="2001">
        <v>33.585622257538446</v>
      </c>
      <c r="D66" s="2001">
        <v>38.059956235675465</v>
      </c>
      <c r="E66" s="2001">
        <v>42.536913584323536</v>
      </c>
      <c r="F66" s="2001">
        <v>45.379746444538888</v>
      </c>
      <c r="G66" s="2001">
        <v>45.405387989829222</v>
      </c>
      <c r="H66" s="2001">
        <v>46.73386977138582</v>
      </c>
      <c r="I66" s="2001">
        <v>45.331134584736979</v>
      </c>
      <c r="J66" s="2001">
        <v>38.504106584507618</v>
      </c>
      <c r="K66" s="2001">
        <v>37.086021278303747</v>
      </c>
      <c r="L66" s="2001">
        <v>37.907520793125663</v>
      </c>
      <c r="M66" s="2001">
        <v>39.542226213453858</v>
      </c>
      <c r="N66" s="2001">
        <v>39.75485244855647</v>
      </c>
      <c r="O66" s="2001">
        <v>41.172970991192244</v>
      </c>
      <c r="P66" s="2001">
        <v>40.038200710325427</v>
      </c>
      <c r="Q66" s="2001">
        <v>25.494370094205941</v>
      </c>
      <c r="R66" s="2001">
        <v>25.88406472477007</v>
      </c>
      <c r="S66" s="2001">
        <v>33.11000440875582</v>
      </c>
      <c r="T66" s="4114">
        <v>35.170722049819254</v>
      </c>
      <c r="U66" s="4440"/>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row>
    <row r="67" spans="1:64" s="70" customFormat="1" ht="29" customHeight="1">
      <c r="A67" s="88"/>
      <c r="B67" s="70" t="s">
        <v>849</v>
      </c>
      <c r="C67" s="2001">
        <v>3.2729999999999997</v>
      </c>
      <c r="D67" s="2001">
        <v>3.5177378737812854</v>
      </c>
      <c r="E67" s="2001">
        <v>4.0376124543940533</v>
      </c>
      <c r="F67" s="2001">
        <v>4.8152369266369393</v>
      </c>
      <c r="G67" s="2001">
        <v>5.0040054536848313</v>
      </c>
      <c r="H67" s="2001">
        <v>4.5410656270430012</v>
      </c>
      <c r="I67" s="2001">
        <v>4.8773331141859728</v>
      </c>
      <c r="J67" s="2001">
        <v>6.9926482050142011</v>
      </c>
      <c r="K67" s="2001">
        <v>6.8631129512937594</v>
      </c>
      <c r="L67" s="2001">
        <v>7.5689085182624964</v>
      </c>
      <c r="M67" s="2001">
        <v>7.8450000000000006</v>
      </c>
      <c r="N67" s="2001">
        <v>7.8570000000000011</v>
      </c>
      <c r="O67" s="2001">
        <v>8.2379999999999995</v>
      </c>
      <c r="P67" s="2001">
        <v>8.4181876348743785</v>
      </c>
      <c r="Q67" s="2001">
        <v>6.8206565955137597</v>
      </c>
      <c r="R67" s="2001">
        <v>7.0038434333520865</v>
      </c>
      <c r="S67" s="2001">
        <v>7.0038434333520865</v>
      </c>
      <c r="T67" s="4114">
        <v>7.1430308685148827</v>
      </c>
      <c r="U67" s="4440"/>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row>
    <row r="68" spans="1:64" ht="15" customHeight="1">
      <c r="A68" s="74"/>
      <c r="C68" s="1759"/>
      <c r="D68" s="1760"/>
      <c r="E68" s="1760"/>
      <c r="F68" s="1760"/>
      <c r="G68" s="1760"/>
      <c r="H68" s="1760"/>
      <c r="I68" s="1760"/>
      <c r="J68" s="1760"/>
      <c r="K68" s="1760"/>
      <c r="L68" s="1760"/>
      <c r="M68" s="1760"/>
      <c r="N68" s="1760"/>
      <c r="O68" s="1760"/>
      <c r="P68" s="1760"/>
      <c r="Q68" s="1760"/>
      <c r="R68" s="1762"/>
      <c r="T68" s="4137"/>
      <c r="U68" s="4438"/>
    </row>
    <row r="69" spans="1:64" ht="39" customHeight="1">
      <c r="A69" s="74"/>
      <c r="B69" s="1763" t="s">
        <v>650</v>
      </c>
      <c r="C69" s="2012">
        <f>(+C8+C16+C18+C20+C21+C23+C25+C27+C31+C39+C45+C49+C50+C51+C52+C53+C55+C57+C61+C65+C66+C67)*0+3020.2</f>
        <v>3020.2</v>
      </c>
      <c r="D69" s="2012">
        <f>(+D8+D16+D18+D20+D21+D23+D25+D27+D31+D39+D45+D49+D50+D51+D52+D53+D55+D57+D61+D65+D66+D67)*0+3160.5</f>
        <v>3160.5</v>
      </c>
      <c r="E69" s="2012">
        <f>(+E8+E16+E18+E20+E21+E23+E25+E27+E31+E39+E45+E49+E50+E51+E52+E53+E55+E57+E61+E65+E66+E67)*0+3319.2</f>
        <v>3319.2</v>
      </c>
      <c r="F69" s="2012">
        <f>(+F8+F16+F18+F20+F21+F23+F25+F27+F31+F39+F45+F49+F50+F51+F52+F53+F55+F57+F61+F65+F66+F67)*0+3314.1</f>
        <v>3314.1</v>
      </c>
      <c r="G69" s="2012">
        <f>(+G8+G16+G18+G20+G21+G23+G25+G27+G31+G39+G45+G49+G50+G51+G52+G53+G55+G57+G61+G65+G66+G67)*0+3542.8</f>
        <v>3542.8</v>
      </c>
      <c r="H69" s="2585">
        <f>(+H8+H16+H18+H20+H21+H23+H25+H27+H31+H39+H45+H49+H50+H51+H52+H53+H55+H57+H61+H65+H66+H67)*0+3772.7</f>
        <v>3772.7</v>
      </c>
      <c r="I69" s="2585">
        <f>(+I8+I16+I18+I20+I21+I23+I25+I27+I31+I39+I45+I49+I50+I51+I52+I53+I55+I57+I61+I65+I66+I67)*0+3852.8</f>
        <v>3852.8</v>
      </c>
      <c r="J69" s="2585">
        <f>(+J8+J16+J18+J20+J21+J23+J25+J27+J31+J39+J45+J49+J50+J51+J52+J53+J55+J57+J61+J65+J66+J67)*0+3948.1</f>
        <v>3948.1</v>
      </c>
      <c r="K69" s="2585">
        <f>(+K8+K16+K18+K20+K21+K23+K25+K27+K31+K39+K45+K49+K50+K51+K52+K53+K55+K57+K61+K65+K66+K67)*0+4127.7</f>
        <v>4127.7</v>
      </c>
      <c r="L69" s="2585">
        <f>(+L8+L16+L18+L20+L21+L23+L25+L27+L31+L39+L45+L49+L50+L51+L52+L53+L55+L57+L61+L65+L66+L67)*0+4246.4</f>
        <v>4246.3999999999996</v>
      </c>
      <c r="M69" s="2585">
        <f>(+M8+M16+M18+M20+M21+M23+M25+M27+M31+M39+M45+M49+M50+M51+M52+M53+M55+M57+M61+M65+M66+M67)*0+4380.7</f>
        <v>4380.7</v>
      </c>
      <c r="N69" s="2585">
        <f>(+N8+N16+N18+N20+N21+N23+N25+N27+N31+N39+N45+N49+N50+N51+N52+N53+N55+N57+N61+N65+N66+N67)*0+4712.6</f>
        <v>4712.6000000000004</v>
      </c>
      <c r="O69" s="2585">
        <f>(+O8+O16+O18+O20+O21+O23+O25+O27+O31+O39+O45+O49+O50+O51+O52+O53+O55+O57+O61+O65+O66+O67)*0+4838.4</f>
        <v>4838.3999999999996</v>
      </c>
      <c r="P69" s="2585">
        <f>(+P8+P16+P18+P20+P21+P23+P25+P27+P31+P39+P45+P49+P50+P51+P52+P53+P55+P57+P61+P65+P66+P67)*0+4914.9</f>
        <v>4914.8999999999996</v>
      </c>
      <c r="Q69" s="2585">
        <f>(+Q8+Q16+Q18+Q20+Q21+Q23+Q25+Q27+Q31+Q39+Q45+Q49+Q50+Q51+Q52+Q53+Q55+Q57+Q61+Q65+Q66+Q67)*0+3443.1</f>
        <v>3443.1</v>
      </c>
      <c r="R69" s="2585">
        <f>(+R8+R16+R18+R20+R21+R23+R25+R27+R31+R39+R45+R49+R50+R51+R52+R53+R55+R57+R61+R65+R66+R67)*0+4400.2</f>
        <v>4400.2</v>
      </c>
      <c r="S69" s="4139">
        <f>(+S8+S16+S18+S20+S21+S23+S25+S27+S31+S39+S45+S49+S50+S51+S52+S53+S55+S57+S61+S65+S66+S67)+5712.4*0</f>
        <v>5564.3180732825267</v>
      </c>
      <c r="T69" s="4139">
        <f>(+T8+T16+T18+T20+T21+T23+T25+T27+T31+T39+T45+T49+T50+T51+T52+T53+T55+T57+T61+T65+T66+T67)+5712.4*0</f>
        <v>5712.4452461217852</v>
      </c>
      <c r="U69" s="4438"/>
    </row>
    <row r="70" spans="1:64" ht="24" hidden="1" customHeight="1">
      <c r="A70" s="74"/>
      <c r="C70" s="1759"/>
      <c r="D70" s="1760"/>
      <c r="E70" s="1760"/>
      <c r="F70" s="1760"/>
      <c r="G70" s="1760"/>
      <c r="H70" s="1760"/>
      <c r="I70" s="1760"/>
      <c r="J70" s="1760"/>
      <c r="K70" s="1760"/>
      <c r="L70" s="1760"/>
      <c r="M70" s="1760"/>
      <c r="N70" s="1760"/>
      <c r="O70" s="1760"/>
      <c r="P70" s="1760"/>
      <c r="Q70" s="2108"/>
      <c r="R70" s="2559"/>
      <c r="T70" s="4108"/>
      <c r="U70" s="4438"/>
    </row>
    <row r="71" spans="1:64" ht="34.5" hidden="1" customHeight="1">
      <c r="A71" s="90"/>
      <c r="B71" s="72" t="s">
        <v>651</v>
      </c>
      <c r="C71" s="2109"/>
      <c r="D71" s="2110">
        <v>5.0582355960354652E-2</v>
      </c>
      <c r="E71" s="2110">
        <v>5.5015754031857655E-2</v>
      </c>
      <c r="F71" s="2110">
        <v>-9.1430654709682146E-3</v>
      </c>
      <c r="G71" s="2110">
        <v>7.0320919564735851E-2</v>
      </c>
      <c r="H71" s="2110">
        <v>6.8469414236081549E-2</v>
      </c>
      <c r="I71" s="2110">
        <v>2.0373291968882601E-2</v>
      </c>
      <c r="J71" s="2110">
        <v>2.2993797143536776E-2</v>
      </c>
      <c r="K71" s="2110">
        <v>4.6386414154691469E-2</v>
      </c>
      <c r="L71" s="2110">
        <v>2.5651883772072059E-2</v>
      </c>
      <c r="M71" s="2110">
        <v>3.0308818140616367E-2</v>
      </c>
      <c r="N71" s="2110">
        <v>7.6754203800676768E-2</v>
      </c>
      <c r="O71" s="2110">
        <v>2.9951414718012881E-2</v>
      </c>
      <c r="P71" s="2110">
        <v>2.6486845295749406E-2</v>
      </c>
      <c r="Q71" s="2111">
        <v>-0.24373710118242542</v>
      </c>
      <c r="R71" s="2110"/>
      <c r="T71" s="4108"/>
      <c r="U71" s="4438"/>
    </row>
    <row r="72" spans="1:64" ht="15" customHeight="1">
      <c r="A72" s="74"/>
      <c r="B72" s="2112"/>
      <c r="C72" s="2113"/>
      <c r="D72" s="1760"/>
      <c r="E72" s="1760"/>
      <c r="F72" s="1760"/>
      <c r="G72" s="1760"/>
      <c r="H72" s="1760"/>
      <c r="I72" s="1760"/>
      <c r="J72" s="1760"/>
      <c r="K72" s="1760"/>
      <c r="L72" s="1760"/>
      <c r="M72" s="1760"/>
      <c r="N72" s="1760"/>
      <c r="O72" s="1760"/>
      <c r="P72" s="1760"/>
      <c r="Q72" s="2114"/>
      <c r="R72" s="1762"/>
      <c r="T72" s="4108"/>
      <c r="U72" s="4438"/>
    </row>
    <row r="73" spans="1:64" ht="31.25" customHeight="1">
      <c r="A73" s="74"/>
      <c r="B73" s="1761" t="s">
        <v>652</v>
      </c>
      <c r="C73" s="2003">
        <v>402.91812982000005</v>
      </c>
      <c r="D73" s="2003">
        <v>434.23743899999999</v>
      </c>
      <c r="E73" s="2003">
        <v>538.78286400000002</v>
      </c>
      <c r="F73" s="2003">
        <v>474.54118399999999</v>
      </c>
      <c r="G73" s="2003">
        <v>474.49254268999994</v>
      </c>
      <c r="H73" s="2003">
        <v>491.85711560999994</v>
      </c>
      <c r="I73" s="2003">
        <v>489.9333589245</v>
      </c>
      <c r="J73" s="2003">
        <v>554.80831665999995</v>
      </c>
      <c r="K73" s="2003">
        <v>609.74670554800002</v>
      </c>
      <c r="L73" s="2003">
        <v>649.42389517171773</v>
      </c>
      <c r="M73" s="2003">
        <v>670.84716426599994</v>
      </c>
      <c r="N73" s="2003">
        <v>689.00194021200002</v>
      </c>
      <c r="O73" s="2003">
        <v>735.77631622000001</v>
      </c>
      <c r="P73" s="2003">
        <v>752.25196577099996</v>
      </c>
      <c r="Q73" s="2003">
        <v>609.26721641300003</v>
      </c>
      <c r="R73" s="2003">
        <v>644.11738752999997</v>
      </c>
      <c r="S73" s="2003">
        <v>766.1239220299999</v>
      </c>
      <c r="T73" s="4108">
        <v>854.46489520400007</v>
      </c>
      <c r="U73" s="4438"/>
    </row>
    <row r="74" spans="1:64" ht="31.25" customHeight="1">
      <c r="A74" s="74"/>
      <c r="B74" s="1761" t="s">
        <v>850</v>
      </c>
      <c r="C74" s="2003">
        <v>1.0879052200000001</v>
      </c>
      <c r="D74" s="2003">
        <v>2.1498689200000003</v>
      </c>
      <c r="E74" s="2003">
        <v>6.4997309700000008</v>
      </c>
      <c r="F74" s="2003">
        <v>9.8212219299999983</v>
      </c>
      <c r="G74" s="2003">
        <v>13.430751000000001</v>
      </c>
      <c r="H74" s="2003">
        <v>28.957000000000004</v>
      </c>
      <c r="I74" s="2003">
        <v>27.791916000000001</v>
      </c>
      <c r="J74" s="2003">
        <v>19.873877699999998</v>
      </c>
      <c r="K74" s="2003">
        <v>14.678656080000003</v>
      </c>
      <c r="L74" s="2003">
        <v>15.1918322</v>
      </c>
      <c r="M74" s="2003">
        <v>6.4716975799999998</v>
      </c>
      <c r="N74" s="2003">
        <v>5.6384727599999982</v>
      </c>
      <c r="O74" s="2003">
        <v>9.5511920292313714</v>
      </c>
      <c r="P74" s="2003">
        <v>9.6944599096698383</v>
      </c>
      <c r="Q74" s="2003">
        <v>4.2736974300000004</v>
      </c>
      <c r="R74" s="2003">
        <v>2.9259990600000005</v>
      </c>
      <c r="S74" s="2003">
        <v>5.1360442199999996</v>
      </c>
      <c r="T74" s="4108">
        <v>5.4405391584402478</v>
      </c>
      <c r="U74" s="4438"/>
    </row>
    <row r="75" spans="1:64" ht="15" customHeight="1">
      <c r="A75" s="74"/>
      <c r="C75" s="1759"/>
      <c r="D75" s="1760"/>
      <c r="E75" s="1760"/>
      <c r="F75" s="1760"/>
      <c r="G75" s="1760"/>
      <c r="H75" s="1760"/>
      <c r="I75" s="1760"/>
      <c r="J75" s="1760"/>
      <c r="K75" s="1760"/>
      <c r="L75" s="1760"/>
      <c r="M75" s="1760"/>
      <c r="N75" s="1760"/>
      <c r="O75" s="1760"/>
      <c r="P75" s="1760"/>
      <c r="Q75" s="1760"/>
      <c r="R75" s="1762"/>
      <c r="T75" s="4108"/>
      <c r="U75" s="4438"/>
    </row>
    <row r="76" spans="1:64" ht="37.25" customHeight="1">
      <c r="A76" s="74"/>
      <c r="B76" s="255" t="s">
        <v>740</v>
      </c>
      <c r="C76" s="2011">
        <f t="shared" ref="C76:R76" si="21">+C69+C73-C74</f>
        <v>3422.0302246000001</v>
      </c>
      <c r="D76" s="2011">
        <f t="shared" si="21"/>
        <v>3592.5875700800002</v>
      </c>
      <c r="E76" s="2011">
        <f t="shared" si="21"/>
        <v>3851.4831330299994</v>
      </c>
      <c r="F76" s="2011">
        <f t="shared" si="21"/>
        <v>3778.8199620700002</v>
      </c>
      <c r="G76" s="2012">
        <f t="shared" si="21"/>
        <v>4003.8617916900002</v>
      </c>
      <c r="H76" s="2095">
        <f t="shared" si="21"/>
        <v>4235.6001156099992</v>
      </c>
      <c r="I76" s="2095">
        <f t="shared" si="21"/>
        <v>4314.9414429244998</v>
      </c>
      <c r="J76" s="2095">
        <f t="shared" si="21"/>
        <v>4483.0344389599995</v>
      </c>
      <c r="K76" s="2012">
        <f t="shared" si="21"/>
        <v>4722.7680494679998</v>
      </c>
      <c r="L76" s="2096">
        <f t="shared" si="21"/>
        <v>4880.6320629717175</v>
      </c>
      <c r="M76" s="2011">
        <f t="shared" si="21"/>
        <v>5045.0754666859993</v>
      </c>
      <c r="N76" s="2011">
        <f t="shared" si="21"/>
        <v>5395.9634674520003</v>
      </c>
      <c r="O76" s="2012">
        <f t="shared" si="21"/>
        <v>5564.6251241907685</v>
      </c>
      <c r="P76" s="2096">
        <f>(+P69+P73-P74)</f>
        <v>5657.45750586133</v>
      </c>
      <c r="Q76" s="2012">
        <f>(+Q69+Q73-Q74)</f>
        <v>4048.0935189829997</v>
      </c>
      <c r="R76" s="2095">
        <f t="shared" si="21"/>
        <v>5041.3913884699996</v>
      </c>
      <c r="S76" s="2707">
        <f>(+S69+S73-S74)</f>
        <v>6325.3059510925268</v>
      </c>
      <c r="T76" s="4443">
        <f>(+T69+T73-T74)*0+6561.4</f>
        <v>6561.4</v>
      </c>
      <c r="U76" s="4440">
        <f>(T76*0.073)+T76</f>
        <v>7040.3822</v>
      </c>
      <c r="V76" s="2765"/>
    </row>
    <row r="77" spans="1:64" ht="31.25" customHeight="1">
      <c r="A77" s="74"/>
      <c r="C77" s="2006"/>
      <c r="D77" s="2586"/>
      <c r="E77" s="2586"/>
      <c r="F77" s="2586"/>
      <c r="G77" s="2013"/>
      <c r="H77" s="2004"/>
      <c r="I77" s="2586"/>
      <c r="J77" s="2586"/>
      <c r="K77" s="2586"/>
      <c r="L77" s="2586"/>
      <c r="M77" s="2586"/>
      <c r="N77" s="2586"/>
      <c r="O77" s="2586"/>
      <c r="P77" s="2586"/>
      <c r="Q77" s="2014"/>
      <c r="R77" s="2561"/>
      <c r="S77" s="1994"/>
      <c r="T77" s="4441"/>
      <c r="U77" s="4444"/>
    </row>
    <row r="78" spans="1:64" s="1771" customFormat="1" ht="31.25" customHeight="1" thickBot="1">
      <c r="A78" s="1769"/>
      <c r="B78" s="73" t="s">
        <v>651</v>
      </c>
      <c r="C78" s="2016"/>
      <c r="D78" s="2017">
        <f t="shared" ref="D78:U78" si="22">((D76/C76)-1)</f>
        <v>4.9840981606156465E-2</v>
      </c>
      <c r="E78" s="2017">
        <f t="shared" si="22"/>
        <v>7.206381414503249E-2</v>
      </c>
      <c r="F78" s="2017">
        <f t="shared" si="22"/>
        <v>-1.8866283052584532E-2</v>
      </c>
      <c r="G78" s="2017">
        <f t="shared" si="22"/>
        <v>5.9553466923236043E-2</v>
      </c>
      <c r="H78" s="2017">
        <f t="shared" si="22"/>
        <v>5.7878702107293289E-2</v>
      </c>
      <c r="I78" s="2017">
        <f t="shared" si="22"/>
        <v>1.8732015570141813E-2</v>
      </c>
      <c r="J78" s="2017">
        <f t="shared" si="22"/>
        <v>3.8956031793000001E-2</v>
      </c>
      <c r="K78" s="2017">
        <f t="shared" si="22"/>
        <v>5.3475745897596738E-2</v>
      </c>
      <c r="L78" s="2017">
        <f t="shared" si="22"/>
        <v>3.342616276094712E-2</v>
      </c>
      <c r="M78" s="2017">
        <f t="shared" si="22"/>
        <v>3.3693054832360403E-2</v>
      </c>
      <c r="N78" s="2017">
        <f t="shared" si="22"/>
        <v>6.9550595047191965E-2</v>
      </c>
      <c r="O78" s="2017">
        <f t="shared" si="22"/>
        <v>3.1257004936397603E-2</v>
      </c>
      <c r="P78" s="2017">
        <f t="shared" si="22"/>
        <v>1.6682593993079031E-2</v>
      </c>
      <c r="Q78" s="2017">
        <f t="shared" si="22"/>
        <v>-0.28446771101876966</v>
      </c>
      <c r="R78" s="2562">
        <f t="shared" si="22"/>
        <v>0.24537423970791705</v>
      </c>
      <c r="S78" s="2562">
        <f t="shared" si="22"/>
        <v>0.25467464509082283</v>
      </c>
      <c r="T78" s="4442">
        <f t="shared" si="22"/>
        <v>3.7325316867351521E-2</v>
      </c>
      <c r="U78" s="4445">
        <f t="shared" si="22"/>
        <v>7.2999999999999954E-2</v>
      </c>
      <c r="V78" s="1770"/>
      <c r="W78" s="1770"/>
      <c r="X78" s="1770"/>
      <c r="Y78" s="1770"/>
      <c r="Z78" s="1770"/>
      <c r="AA78" s="1770"/>
      <c r="AB78" s="1770"/>
      <c r="AC78" s="1770"/>
      <c r="AD78" s="1770"/>
      <c r="AE78" s="1770"/>
      <c r="AF78" s="1770"/>
      <c r="AG78" s="1770"/>
      <c r="AH78" s="1770"/>
      <c r="AI78" s="1770"/>
      <c r="AJ78" s="1770"/>
      <c r="AK78" s="1770"/>
      <c r="AL78" s="1770"/>
      <c r="AM78" s="1770"/>
      <c r="AN78" s="1770"/>
      <c r="AO78" s="1770"/>
      <c r="AP78" s="1770"/>
      <c r="AQ78" s="1770"/>
      <c r="AR78" s="1770"/>
      <c r="AS78" s="1770"/>
      <c r="AT78" s="1770"/>
      <c r="AU78" s="1770"/>
      <c r="AV78" s="1770"/>
      <c r="AW78" s="1770"/>
      <c r="AX78" s="1770"/>
      <c r="AY78" s="1770"/>
      <c r="AZ78" s="1770"/>
      <c r="BA78" s="1770"/>
      <c r="BB78" s="1770"/>
      <c r="BC78" s="1770"/>
      <c r="BD78" s="1770"/>
      <c r="BE78" s="1770"/>
      <c r="BF78" s="1770"/>
      <c r="BG78" s="1770"/>
      <c r="BH78" s="1770"/>
      <c r="BI78" s="1770"/>
      <c r="BJ78" s="1770"/>
      <c r="BK78" s="1770"/>
      <c r="BL78" s="1770"/>
    </row>
    <row r="79" spans="1:64" ht="35" customHeight="1">
      <c r="A79" s="68"/>
      <c r="B79" s="126" t="s">
        <v>661</v>
      </c>
      <c r="C79" s="1756"/>
      <c r="D79" s="91"/>
      <c r="E79" s="91"/>
      <c r="F79" s="91"/>
      <c r="G79" s="91"/>
      <c r="H79" s="75"/>
      <c r="I79" s="75"/>
      <c r="J79" s="75"/>
      <c r="K79" s="75"/>
      <c r="L79" s="75"/>
      <c r="M79" s="75"/>
      <c r="N79" s="75"/>
      <c r="O79" s="75"/>
      <c r="P79" s="75"/>
      <c r="Q79" s="76"/>
      <c r="R79" s="76"/>
      <c r="T79" s="4109"/>
      <c r="U79" s="4438"/>
    </row>
    <row r="80" spans="1:64" ht="35" customHeight="1">
      <c r="A80" s="68"/>
      <c r="B80" s="94" t="s">
        <v>1071</v>
      </c>
      <c r="C80" s="94"/>
      <c r="D80" s="75"/>
      <c r="E80" s="75"/>
      <c r="F80" s="75"/>
      <c r="G80" s="75"/>
      <c r="H80" s="75"/>
      <c r="I80" s="75"/>
      <c r="J80" s="75"/>
      <c r="K80" s="75"/>
      <c r="L80" s="75"/>
      <c r="M80" s="75"/>
      <c r="N80" s="75"/>
      <c r="O80" s="75"/>
      <c r="P80" s="75"/>
      <c r="Q80" s="76"/>
      <c r="R80" s="76"/>
      <c r="U80" s="4438"/>
    </row>
    <row r="81" spans="1:20" ht="124.25" customHeight="1">
      <c r="A81" s="68"/>
      <c r="B81" s="5630" t="s">
        <v>2313</v>
      </c>
      <c r="C81" s="5630"/>
      <c r="D81" s="5630"/>
      <c r="E81" s="5630"/>
      <c r="F81" s="5630"/>
      <c r="G81" s="5630"/>
      <c r="H81" s="5630"/>
      <c r="I81" s="5630"/>
      <c r="J81" s="5630"/>
      <c r="K81" s="5630"/>
      <c r="L81" s="5630"/>
      <c r="M81" s="5630"/>
      <c r="N81" s="5630"/>
      <c r="O81" s="5630"/>
      <c r="P81" s="5630"/>
      <c r="Q81" s="5630"/>
      <c r="R81" s="418"/>
      <c r="S81" s="1770"/>
    </row>
    <row r="82" spans="1:20" ht="15" customHeight="1">
      <c r="A82" s="68"/>
      <c r="B82" s="68"/>
      <c r="C82" s="68"/>
      <c r="D82" s="75"/>
      <c r="E82" s="75"/>
      <c r="F82" s="75"/>
      <c r="G82" s="75"/>
      <c r="H82" s="75"/>
      <c r="I82" s="75"/>
      <c r="J82" s="75"/>
      <c r="K82" s="75"/>
      <c r="L82" s="75"/>
      <c r="M82" s="75"/>
      <c r="N82" s="75"/>
      <c r="O82" s="75"/>
      <c r="P82" s="75"/>
      <c r="Q82" s="76"/>
      <c r="R82" s="76"/>
    </row>
    <row r="83" spans="1:20" s="68" customFormat="1" ht="31.5" customHeight="1">
      <c r="D83" s="75"/>
      <c r="E83" s="75"/>
      <c r="F83" s="75"/>
      <c r="G83" s="75"/>
      <c r="H83" s="75"/>
      <c r="I83" s="75"/>
      <c r="J83" s="75"/>
      <c r="K83" s="75"/>
      <c r="L83" s="75"/>
      <c r="M83" s="75"/>
      <c r="N83" s="75"/>
      <c r="O83" s="75"/>
      <c r="P83" s="75"/>
      <c r="Q83" s="76"/>
      <c r="R83" s="76"/>
      <c r="T83" s="4107"/>
    </row>
    <row r="84" spans="1:20" s="68" customFormat="1" ht="15" customHeight="1">
      <c r="D84" s="75"/>
      <c r="E84" s="75"/>
      <c r="F84" s="75"/>
      <c r="G84" s="75"/>
      <c r="H84" s="75"/>
      <c r="I84" s="75"/>
      <c r="J84" s="75"/>
      <c r="K84" s="75"/>
      <c r="L84" s="75"/>
      <c r="M84" s="75"/>
      <c r="N84" s="75"/>
      <c r="O84" s="75"/>
      <c r="P84" s="75"/>
      <c r="Q84" s="76"/>
      <c r="R84" s="76"/>
      <c r="T84" s="4107"/>
    </row>
    <row r="85" spans="1:20" s="68" customFormat="1" ht="31.5" customHeight="1">
      <c r="D85" s="75"/>
      <c r="E85" s="75"/>
      <c r="F85" s="75"/>
      <c r="G85" s="75"/>
      <c r="H85" s="75"/>
      <c r="I85" s="75"/>
      <c r="J85" s="75"/>
      <c r="K85" s="75"/>
      <c r="L85" s="75"/>
      <c r="M85" s="75"/>
      <c r="N85" s="75"/>
      <c r="O85" s="359"/>
      <c r="P85" s="75"/>
      <c r="Q85" s="76"/>
      <c r="R85" s="76"/>
      <c r="T85" s="4107"/>
    </row>
    <row r="86" spans="1:20" s="68" customFormat="1" ht="15" customHeight="1">
      <c r="D86" s="75"/>
      <c r="E86" s="75"/>
      <c r="F86" s="75"/>
      <c r="G86" s="75"/>
      <c r="H86" s="75"/>
      <c r="I86" s="75"/>
      <c r="J86" s="75"/>
      <c r="K86" s="75"/>
      <c r="L86" s="75"/>
      <c r="M86" s="75"/>
      <c r="N86" s="75"/>
      <c r="O86" s="75"/>
      <c r="P86" s="75"/>
      <c r="Q86" s="76"/>
      <c r="R86" s="76"/>
      <c r="T86" s="4107"/>
    </row>
    <row r="87" spans="1:20" s="68" customFormat="1" ht="34.5" customHeight="1">
      <c r="D87" s="75"/>
      <c r="E87" s="75"/>
      <c r="F87" s="75"/>
      <c r="G87" s="75"/>
      <c r="H87" s="75"/>
      <c r="I87" s="75"/>
      <c r="J87" s="75"/>
      <c r="K87" s="75"/>
      <c r="L87" s="75"/>
      <c r="M87" s="75"/>
      <c r="N87" s="75"/>
      <c r="O87" s="75"/>
      <c r="P87" s="75"/>
      <c r="Q87" s="76"/>
      <c r="R87" s="76"/>
      <c r="T87" s="4107"/>
    </row>
    <row r="88" spans="1:20" s="68" customFormat="1" ht="18" customHeight="1">
      <c r="D88" s="75"/>
      <c r="E88" s="75"/>
      <c r="F88" s="75"/>
      <c r="G88" s="75"/>
      <c r="H88" s="75"/>
      <c r="I88" s="75"/>
      <c r="J88" s="75"/>
      <c r="K88" s="75"/>
      <c r="L88" s="75"/>
      <c r="M88" s="75"/>
      <c r="N88" s="75"/>
      <c r="O88" s="75"/>
      <c r="P88" s="75"/>
      <c r="Q88" s="76"/>
      <c r="R88" s="76"/>
      <c r="T88" s="4107"/>
    </row>
    <row r="89" spans="1:20" s="68" customFormat="1" ht="28.25" customHeight="1">
      <c r="D89" s="75"/>
      <c r="E89" s="75"/>
      <c r="F89" s="75"/>
      <c r="G89" s="75"/>
      <c r="H89" s="75"/>
      <c r="I89" s="75"/>
      <c r="J89" s="75"/>
      <c r="K89" s="75"/>
      <c r="L89" s="75"/>
      <c r="M89" s="75"/>
      <c r="N89" s="75"/>
      <c r="O89" s="359"/>
      <c r="P89" s="75"/>
      <c r="Q89" s="76"/>
      <c r="R89" s="76"/>
      <c r="T89" s="4107"/>
    </row>
    <row r="90" spans="1:20" s="68" customFormat="1" ht="15" customHeight="1">
      <c r="D90" s="75"/>
      <c r="E90" s="75"/>
      <c r="F90" s="75"/>
      <c r="G90" s="75"/>
      <c r="H90" s="75"/>
      <c r="I90" s="75"/>
      <c r="J90" s="75"/>
      <c r="K90" s="75"/>
      <c r="L90" s="75"/>
      <c r="M90" s="75"/>
      <c r="N90" s="75"/>
      <c r="O90" s="75"/>
      <c r="P90" s="75"/>
      <c r="Q90" s="76"/>
      <c r="R90" s="76"/>
      <c r="T90" s="4107"/>
    </row>
    <row r="91" spans="1:20" s="68" customFormat="1" ht="15" customHeight="1">
      <c r="D91" s="75"/>
      <c r="E91" s="75"/>
      <c r="F91" s="75"/>
      <c r="G91" s="75"/>
      <c r="H91" s="75"/>
      <c r="I91" s="75"/>
      <c r="J91" s="75"/>
      <c r="K91" s="75"/>
      <c r="L91" s="75"/>
      <c r="M91" s="75"/>
      <c r="N91" s="75"/>
      <c r="O91" s="75"/>
      <c r="P91" s="75"/>
      <c r="Q91" s="76"/>
      <c r="R91" s="76"/>
      <c r="T91" s="4107"/>
    </row>
    <row r="92" spans="1:20" s="68" customFormat="1" ht="15" customHeight="1">
      <c r="D92" s="75"/>
      <c r="E92" s="75"/>
      <c r="F92" s="75"/>
      <c r="G92" s="75"/>
      <c r="H92" s="75"/>
      <c r="I92" s="75"/>
      <c r="J92" s="75"/>
      <c r="K92" s="75"/>
      <c r="L92" s="75"/>
      <c r="M92" s="75"/>
      <c r="N92" s="75"/>
      <c r="O92" s="75"/>
      <c r="P92" s="75"/>
      <c r="Q92" s="76"/>
      <c r="R92" s="76"/>
      <c r="T92" s="4107"/>
    </row>
    <row r="93" spans="1:20" s="68" customFormat="1" ht="20" customHeight="1">
      <c r="D93" s="75"/>
      <c r="E93" s="75"/>
      <c r="F93" s="75"/>
      <c r="G93" s="75"/>
      <c r="H93" s="75"/>
      <c r="I93" s="75"/>
      <c r="J93" s="75"/>
      <c r="K93" s="75"/>
      <c r="L93" s="75"/>
      <c r="M93" s="75"/>
      <c r="N93" s="75"/>
      <c r="O93" s="75"/>
      <c r="P93" s="75"/>
      <c r="Q93" s="76"/>
      <c r="R93" s="76"/>
      <c r="T93" s="4107"/>
    </row>
    <row r="94" spans="1:20" s="68" customFormat="1" ht="20" customHeight="1">
      <c r="D94" s="75"/>
      <c r="E94" s="75"/>
      <c r="F94" s="75"/>
      <c r="G94" s="75"/>
      <c r="H94" s="75"/>
      <c r="I94" s="75"/>
      <c r="J94" s="75"/>
      <c r="K94" s="75"/>
      <c r="L94" s="75"/>
      <c r="M94" s="75"/>
      <c r="N94" s="75"/>
      <c r="O94" s="75"/>
      <c r="P94" s="75"/>
      <c r="Q94" s="76"/>
      <c r="R94" s="76"/>
      <c r="T94" s="4107"/>
    </row>
    <row r="95" spans="1:20" s="68" customFormat="1" ht="20" customHeight="1">
      <c r="D95" s="75"/>
      <c r="E95" s="75"/>
      <c r="F95" s="75"/>
      <c r="G95" s="75"/>
      <c r="H95" s="75"/>
      <c r="I95" s="75"/>
      <c r="J95" s="75"/>
      <c r="K95" s="75"/>
      <c r="L95" s="75"/>
      <c r="M95" s="75"/>
      <c r="N95" s="75"/>
      <c r="O95" s="75"/>
      <c r="P95" s="75"/>
      <c r="Q95" s="76"/>
      <c r="R95" s="76"/>
      <c r="T95" s="4107"/>
    </row>
    <row r="96" spans="1:20" s="68" customFormat="1" ht="20" customHeight="1">
      <c r="D96" s="75"/>
      <c r="E96" s="75"/>
      <c r="F96" s="75"/>
      <c r="G96" s="75"/>
      <c r="H96" s="75"/>
      <c r="I96" s="75"/>
      <c r="J96" s="75"/>
      <c r="K96" s="75"/>
      <c r="L96" s="75"/>
      <c r="M96" s="75"/>
      <c r="N96" s="75"/>
      <c r="O96" s="75"/>
      <c r="P96" s="75"/>
      <c r="Q96" s="76"/>
      <c r="R96" s="76"/>
      <c r="T96" s="4107"/>
    </row>
    <row r="97" spans="4:20" s="68" customFormat="1" ht="20" customHeight="1">
      <c r="D97" s="75"/>
      <c r="E97" s="75"/>
      <c r="F97" s="75"/>
      <c r="G97" s="75"/>
      <c r="H97" s="75"/>
      <c r="I97" s="75"/>
      <c r="J97" s="75"/>
      <c r="K97" s="75"/>
      <c r="L97" s="75"/>
      <c r="M97" s="75"/>
      <c r="N97" s="75"/>
      <c r="O97" s="75"/>
      <c r="P97" s="75"/>
      <c r="Q97" s="76"/>
      <c r="R97" s="76"/>
      <c r="T97" s="4107"/>
    </row>
    <row r="98" spans="4:20" s="68" customFormat="1" ht="20" customHeight="1">
      <c r="D98" s="75"/>
      <c r="E98" s="75"/>
      <c r="F98" s="75"/>
      <c r="G98" s="75"/>
      <c r="H98" s="75"/>
      <c r="I98" s="75"/>
      <c r="J98" s="75"/>
      <c r="K98" s="75"/>
      <c r="L98" s="75"/>
      <c r="M98" s="75"/>
      <c r="N98" s="75"/>
      <c r="O98" s="75"/>
      <c r="P98" s="75"/>
      <c r="Q98" s="76"/>
      <c r="R98" s="76"/>
      <c r="T98" s="4107"/>
    </row>
    <row r="99" spans="4:20" s="68" customFormat="1" ht="20" customHeight="1">
      <c r="D99" s="75"/>
      <c r="E99" s="75"/>
      <c r="F99" s="75"/>
      <c r="G99" s="75"/>
      <c r="H99" s="75"/>
      <c r="I99" s="75"/>
      <c r="J99" s="75"/>
      <c r="K99" s="75"/>
      <c r="L99" s="75"/>
      <c r="M99" s="75"/>
      <c r="N99" s="75"/>
      <c r="O99" s="75"/>
      <c r="P99" s="75"/>
      <c r="Q99" s="76"/>
      <c r="R99" s="76"/>
      <c r="T99" s="4107"/>
    </row>
    <row r="100" spans="4:20" s="68" customFormat="1" ht="20" customHeight="1">
      <c r="D100" s="75"/>
      <c r="E100" s="75"/>
      <c r="F100" s="75"/>
      <c r="G100" s="75"/>
      <c r="H100" s="75"/>
      <c r="I100" s="75"/>
      <c r="J100" s="75"/>
      <c r="K100" s="75"/>
      <c r="L100" s="75"/>
      <c r="M100" s="75"/>
      <c r="N100" s="75"/>
      <c r="O100" s="75"/>
      <c r="P100" s="75"/>
      <c r="Q100" s="76"/>
      <c r="R100" s="76"/>
      <c r="T100" s="4107"/>
    </row>
    <row r="101" spans="4:20" s="68" customFormat="1" ht="15" customHeight="1">
      <c r="D101" s="75"/>
      <c r="E101" s="75"/>
      <c r="F101" s="75"/>
      <c r="G101" s="75"/>
      <c r="H101" s="75"/>
      <c r="I101" s="75"/>
      <c r="J101" s="75"/>
      <c r="K101" s="75"/>
      <c r="L101" s="75"/>
      <c r="M101" s="75"/>
      <c r="N101" s="75"/>
      <c r="O101" s="75"/>
      <c r="P101" s="75"/>
      <c r="Q101" s="76"/>
      <c r="R101" s="76"/>
      <c r="T101" s="4107"/>
    </row>
    <row r="102" spans="4:20" s="68" customFormat="1" ht="15" customHeight="1">
      <c r="D102" s="75"/>
      <c r="E102" s="75"/>
      <c r="F102" s="75"/>
      <c r="G102" s="75"/>
      <c r="H102" s="75"/>
      <c r="I102" s="75"/>
      <c r="J102" s="75"/>
      <c r="K102" s="75"/>
      <c r="L102" s="75"/>
      <c r="M102" s="75"/>
      <c r="N102" s="75"/>
      <c r="O102" s="75"/>
      <c r="P102" s="75"/>
      <c r="Q102" s="76"/>
      <c r="R102" s="76"/>
      <c r="T102" s="4107"/>
    </row>
    <row r="103" spans="4:20" s="68" customFormat="1" ht="15" customHeight="1">
      <c r="D103" s="75"/>
      <c r="E103" s="75"/>
      <c r="F103" s="75"/>
      <c r="G103" s="75"/>
      <c r="H103" s="75"/>
      <c r="I103" s="75"/>
      <c r="J103" s="75"/>
      <c r="K103" s="75"/>
      <c r="L103" s="75"/>
      <c r="M103" s="75"/>
      <c r="N103" s="75"/>
      <c r="O103" s="75"/>
      <c r="P103" s="75"/>
      <c r="Q103" s="76"/>
      <c r="R103" s="76"/>
      <c r="T103" s="4107"/>
    </row>
    <row r="104" spans="4:20" s="68" customFormat="1" ht="15" customHeight="1">
      <c r="D104" s="75"/>
      <c r="E104" s="75"/>
      <c r="F104" s="75"/>
      <c r="G104" s="75"/>
      <c r="H104" s="75"/>
      <c r="I104" s="75"/>
      <c r="J104" s="75"/>
      <c r="K104" s="75"/>
      <c r="L104" s="75"/>
      <c r="M104" s="75"/>
      <c r="N104" s="75"/>
      <c r="O104" s="75"/>
      <c r="P104" s="75"/>
      <c r="Q104" s="76"/>
      <c r="R104" s="76"/>
      <c r="T104" s="4107"/>
    </row>
    <row r="105" spans="4:20" s="68" customFormat="1" ht="15" customHeight="1">
      <c r="D105" s="75"/>
      <c r="E105" s="75"/>
      <c r="F105" s="75"/>
      <c r="G105" s="75"/>
      <c r="H105" s="75"/>
      <c r="I105" s="75"/>
      <c r="J105" s="75"/>
      <c r="K105" s="75"/>
      <c r="L105" s="75"/>
      <c r="M105" s="75"/>
      <c r="N105" s="75"/>
      <c r="O105" s="75"/>
      <c r="P105" s="75"/>
      <c r="Q105" s="76"/>
      <c r="R105" s="76"/>
      <c r="T105" s="4107"/>
    </row>
    <row r="106" spans="4:20" s="68" customFormat="1" ht="15" customHeight="1">
      <c r="D106" s="75"/>
      <c r="E106" s="75"/>
      <c r="F106" s="75"/>
      <c r="G106" s="75"/>
      <c r="H106" s="75"/>
      <c r="I106" s="75"/>
      <c r="J106" s="75"/>
      <c r="K106" s="75"/>
      <c r="L106" s="75"/>
      <c r="M106" s="75"/>
      <c r="N106" s="75"/>
      <c r="O106" s="75"/>
      <c r="P106" s="75"/>
      <c r="Q106" s="76"/>
      <c r="R106" s="76"/>
      <c r="T106" s="4107"/>
    </row>
    <row r="107" spans="4:20" s="68" customFormat="1" ht="15" customHeight="1">
      <c r="D107" s="75"/>
      <c r="E107" s="75"/>
      <c r="F107" s="75"/>
      <c r="G107" s="75"/>
      <c r="H107" s="75"/>
      <c r="I107" s="75"/>
      <c r="J107" s="75"/>
      <c r="K107" s="75"/>
      <c r="L107" s="75"/>
      <c r="M107" s="75"/>
      <c r="N107" s="75"/>
      <c r="O107" s="75"/>
      <c r="P107" s="75"/>
      <c r="Q107" s="76"/>
      <c r="R107" s="76"/>
      <c r="T107" s="4107"/>
    </row>
    <row r="108" spans="4:20" s="68" customFormat="1" ht="15" customHeight="1">
      <c r="D108" s="75"/>
      <c r="E108" s="75"/>
      <c r="F108" s="75"/>
      <c r="G108" s="75"/>
      <c r="H108" s="75"/>
      <c r="I108" s="75"/>
      <c r="J108" s="75"/>
      <c r="K108" s="75"/>
      <c r="L108" s="75"/>
      <c r="M108" s="75"/>
      <c r="N108" s="75"/>
      <c r="O108" s="75"/>
      <c r="P108" s="75"/>
      <c r="Q108" s="76"/>
      <c r="R108" s="76"/>
      <c r="T108" s="4107"/>
    </row>
    <row r="109" spans="4:20" s="68" customFormat="1" ht="15" customHeight="1">
      <c r="D109" s="75"/>
      <c r="E109" s="75"/>
      <c r="F109" s="75"/>
      <c r="G109" s="75"/>
      <c r="H109" s="75"/>
      <c r="I109" s="75"/>
      <c r="J109" s="75"/>
      <c r="K109" s="75"/>
      <c r="L109" s="75"/>
      <c r="M109" s="75"/>
      <c r="N109" s="75"/>
      <c r="O109" s="75"/>
      <c r="P109" s="75"/>
      <c r="Q109" s="76"/>
      <c r="R109" s="76"/>
      <c r="T109" s="4107"/>
    </row>
    <row r="110" spans="4:20" s="68" customFormat="1" ht="15" customHeight="1">
      <c r="D110" s="75"/>
      <c r="E110" s="75"/>
      <c r="F110" s="75"/>
      <c r="G110" s="75"/>
      <c r="H110" s="75"/>
      <c r="I110" s="75"/>
      <c r="J110" s="75"/>
      <c r="K110" s="75"/>
      <c r="L110" s="75"/>
      <c r="M110" s="75"/>
      <c r="N110" s="75"/>
      <c r="O110" s="75"/>
      <c r="P110" s="75"/>
      <c r="Q110" s="76"/>
      <c r="R110" s="76"/>
      <c r="T110" s="4107"/>
    </row>
    <row r="111" spans="4:20" s="68" customFormat="1" ht="15" customHeight="1">
      <c r="D111" s="75"/>
      <c r="E111" s="75"/>
      <c r="F111" s="75"/>
      <c r="G111" s="75"/>
      <c r="H111" s="75"/>
      <c r="I111" s="75"/>
      <c r="J111" s="75"/>
      <c r="K111" s="75"/>
      <c r="L111" s="75"/>
      <c r="M111" s="75"/>
      <c r="N111" s="75"/>
      <c r="O111" s="75"/>
      <c r="P111" s="75"/>
      <c r="Q111" s="76"/>
      <c r="R111" s="76"/>
      <c r="T111" s="4107"/>
    </row>
    <row r="112" spans="4:20" s="68" customFormat="1" ht="15" customHeight="1">
      <c r="D112" s="75"/>
      <c r="E112" s="75"/>
      <c r="F112" s="75"/>
      <c r="G112" s="75"/>
      <c r="H112" s="75"/>
      <c r="I112" s="75"/>
      <c r="J112" s="75"/>
      <c r="K112" s="75"/>
      <c r="L112" s="75"/>
      <c r="M112" s="75"/>
      <c r="N112" s="75"/>
      <c r="O112" s="75"/>
      <c r="P112" s="75"/>
      <c r="Q112" s="76"/>
      <c r="R112" s="76"/>
      <c r="T112" s="4107"/>
    </row>
    <row r="113" spans="4:20" s="68" customFormat="1" ht="15" customHeight="1">
      <c r="D113" s="75"/>
      <c r="E113" s="75"/>
      <c r="F113" s="75"/>
      <c r="G113" s="75"/>
      <c r="H113" s="75"/>
      <c r="I113" s="75"/>
      <c r="J113" s="75"/>
      <c r="K113" s="75"/>
      <c r="L113" s="75"/>
      <c r="M113" s="75"/>
      <c r="N113" s="75"/>
      <c r="O113" s="75"/>
      <c r="P113" s="75"/>
      <c r="Q113" s="76"/>
      <c r="R113" s="76"/>
      <c r="T113" s="4107"/>
    </row>
    <row r="114" spans="4:20" s="68" customFormat="1" ht="15" customHeight="1">
      <c r="D114" s="75"/>
      <c r="E114" s="75"/>
      <c r="F114" s="75"/>
      <c r="G114" s="75"/>
      <c r="H114" s="75"/>
      <c r="I114" s="75"/>
      <c r="J114" s="75"/>
      <c r="K114" s="75"/>
      <c r="L114" s="75"/>
      <c r="M114" s="75"/>
      <c r="N114" s="75"/>
      <c r="O114" s="75"/>
      <c r="P114" s="75"/>
      <c r="Q114" s="76"/>
      <c r="R114" s="76"/>
      <c r="T114" s="4107"/>
    </row>
    <row r="115" spans="4:20" s="68" customFormat="1" ht="15" customHeight="1">
      <c r="D115" s="75"/>
      <c r="E115" s="75"/>
      <c r="F115" s="75"/>
      <c r="G115" s="75"/>
      <c r="H115" s="75"/>
      <c r="I115" s="75"/>
      <c r="J115" s="75"/>
      <c r="K115" s="75"/>
      <c r="L115" s="75"/>
      <c r="M115" s="75"/>
      <c r="N115" s="75"/>
      <c r="O115" s="75"/>
      <c r="P115" s="75"/>
      <c r="Q115" s="76"/>
      <c r="R115" s="76"/>
      <c r="T115" s="4107"/>
    </row>
    <row r="116" spans="4:20" s="68" customFormat="1" ht="15" customHeight="1">
      <c r="D116" s="75"/>
      <c r="E116" s="75"/>
      <c r="F116" s="75"/>
      <c r="G116" s="75"/>
      <c r="H116" s="75"/>
      <c r="I116" s="75"/>
      <c r="J116" s="75"/>
      <c r="K116" s="75"/>
      <c r="L116" s="75"/>
      <c r="M116" s="75"/>
      <c r="N116" s="75"/>
      <c r="O116" s="75"/>
      <c r="P116" s="75"/>
      <c r="Q116" s="76"/>
      <c r="R116" s="76"/>
      <c r="T116" s="4107"/>
    </row>
    <row r="117" spans="4:20" s="68" customFormat="1" ht="15" customHeight="1">
      <c r="D117" s="75"/>
      <c r="E117" s="75"/>
      <c r="F117" s="75"/>
      <c r="G117" s="75"/>
      <c r="H117" s="75"/>
      <c r="I117" s="75"/>
      <c r="J117" s="75"/>
      <c r="K117" s="75"/>
      <c r="L117" s="75"/>
      <c r="M117" s="75"/>
      <c r="N117" s="75"/>
      <c r="O117" s="75"/>
      <c r="P117" s="75"/>
      <c r="Q117" s="76"/>
      <c r="R117" s="76"/>
      <c r="T117" s="4107"/>
    </row>
  </sheetData>
  <mergeCells count="6">
    <mergeCell ref="B81:Q81"/>
    <mergeCell ref="B1:T1"/>
    <mergeCell ref="B2:T2"/>
    <mergeCell ref="B3:T3"/>
    <mergeCell ref="B4:T4"/>
    <mergeCell ref="B5:T5"/>
  </mergeCells>
  <printOptions horizontalCentered="1" verticalCentered="1"/>
  <pageMargins left="0.25" right="0.25" top="0.75" bottom="0.75" header="0.3" footer="0.3"/>
  <pageSetup scale="21" firstPageNumber="103" orientation="landscape" useFirstPageNumber="1" r:id="rId1"/>
  <headerFooter scaleWithDoc="0" alignWithMargins="0">
    <oddFooter xml:space="preserve">&amp;C103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F0"/>
    <pageSetUpPr fitToPage="1"/>
  </sheetPr>
  <dimension ref="A2:W112"/>
  <sheetViews>
    <sheetView tabSelected="1" view="pageBreakPreview" topLeftCell="B1" zoomScale="40" zoomScaleSheetLayoutView="40" workbookViewId="0">
      <pane xSplit="1" topLeftCell="C1" activePane="topRight" state="frozen"/>
      <selection activeCell="B44" sqref="B44"/>
      <selection pane="topRight" activeCell="S7" sqref="S7"/>
    </sheetView>
  </sheetViews>
  <sheetFormatPr defaultColWidth="6.46484375" defaultRowHeight="15" customHeight="1"/>
  <cols>
    <col min="1" max="1" width="3.6640625" style="128" hidden="1" customWidth="1"/>
    <col min="2" max="2" width="178.6640625" style="128" customWidth="1"/>
    <col min="3" max="16" width="27.33203125" style="128" customWidth="1"/>
    <col min="17" max="18" width="27.33203125" style="1993" customWidth="1"/>
    <col min="19" max="19" width="27.33203125" style="128" bestFit="1" customWidth="1"/>
    <col min="20" max="20" width="26.46484375" style="4115" bestFit="1" customWidth="1"/>
    <col min="21" max="22" width="12.33203125" style="4447" bestFit="1" customWidth="1"/>
    <col min="23" max="23" width="17.33203125" style="128" bestFit="1" customWidth="1"/>
    <col min="24" max="16384" width="6.46484375" style="128"/>
  </cols>
  <sheetData>
    <row r="2" spans="2:23" s="1992" customFormat="1" ht="34.5" customHeight="1">
      <c r="B2" s="5633" t="s">
        <v>666</v>
      </c>
      <c r="C2" s="5633"/>
      <c r="D2" s="5633"/>
      <c r="E2" s="5633"/>
      <c r="F2" s="5633"/>
      <c r="G2" s="5633"/>
      <c r="H2" s="5633"/>
      <c r="I2" s="5633"/>
      <c r="J2" s="5633"/>
      <c r="K2" s="5633"/>
      <c r="L2" s="5633"/>
      <c r="M2" s="5633"/>
      <c r="N2" s="5633"/>
      <c r="O2" s="5633"/>
      <c r="P2" s="5633"/>
      <c r="Q2" s="5633"/>
      <c r="R2" s="5633"/>
      <c r="S2" s="5633"/>
      <c r="T2" s="5633"/>
      <c r="U2" s="4446"/>
      <c r="V2" s="4446"/>
    </row>
    <row r="3" spans="2:23" ht="33" customHeight="1">
      <c r="B3" s="5633" t="s">
        <v>876</v>
      </c>
      <c r="C3" s="5633"/>
      <c r="D3" s="5633"/>
      <c r="E3" s="5633"/>
      <c r="F3" s="5633"/>
      <c r="G3" s="5633"/>
      <c r="H3" s="5633"/>
      <c r="I3" s="5633"/>
      <c r="J3" s="5633"/>
      <c r="K3" s="5633"/>
      <c r="L3" s="5633"/>
      <c r="M3" s="5633"/>
      <c r="N3" s="5633"/>
      <c r="O3" s="5633"/>
      <c r="P3" s="5633"/>
      <c r="Q3" s="5633"/>
      <c r="R3" s="5633"/>
      <c r="S3" s="5633"/>
      <c r="T3" s="5633"/>
    </row>
    <row r="4" spans="2:23" ht="33" customHeight="1">
      <c r="B4" s="5633" t="s">
        <v>880</v>
      </c>
      <c r="C4" s="5633"/>
      <c r="D4" s="5633"/>
      <c r="E4" s="5633"/>
      <c r="F4" s="5633"/>
      <c r="G4" s="5633"/>
      <c r="H4" s="5633"/>
      <c r="I4" s="5633"/>
      <c r="J4" s="5633"/>
      <c r="K4" s="5633"/>
      <c r="L4" s="5633"/>
      <c r="M4" s="5633"/>
      <c r="N4" s="5633"/>
      <c r="O4" s="5633"/>
      <c r="P4" s="5633"/>
      <c r="Q4" s="5633"/>
      <c r="R4" s="5633"/>
      <c r="S4" s="5633"/>
      <c r="T4" s="5633"/>
    </row>
    <row r="5" spans="2:23" ht="39" customHeight="1">
      <c r="B5" s="5633" t="s">
        <v>513</v>
      </c>
      <c r="C5" s="5633"/>
      <c r="D5" s="5633"/>
      <c r="E5" s="5633"/>
      <c r="F5" s="5633"/>
      <c r="G5" s="5633"/>
      <c r="H5" s="5633"/>
      <c r="I5" s="5633"/>
      <c r="J5" s="5633"/>
      <c r="K5" s="5633"/>
      <c r="L5" s="5633"/>
      <c r="M5" s="5633"/>
      <c r="N5" s="5633"/>
      <c r="O5" s="5633"/>
      <c r="P5" s="5633"/>
      <c r="Q5" s="5633"/>
      <c r="R5" s="5633"/>
      <c r="S5" s="5633"/>
      <c r="T5" s="5633"/>
    </row>
    <row r="6" spans="2:23" ht="66.75" customHeight="1" thickBot="1">
      <c r="B6" s="1994"/>
      <c r="C6" s="1994"/>
      <c r="D6" s="1995"/>
      <c r="E6" s="1995"/>
      <c r="F6" s="1995"/>
      <c r="G6" s="1995"/>
      <c r="H6" s="1995"/>
      <c r="I6" s="1995"/>
      <c r="J6" s="1995"/>
      <c r="K6" s="1995"/>
      <c r="L6" s="1995"/>
      <c r="M6" s="1995"/>
      <c r="N6" s="1995"/>
      <c r="O6" s="1995"/>
      <c r="P6" s="1995"/>
      <c r="Q6" s="1996"/>
      <c r="R6" s="1996"/>
      <c r="S6" s="128">
        <f>0.75*S76+0.25*T76</f>
        <v>5646.213145099764</v>
      </c>
    </row>
    <row r="7" spans="2:23" ht="36" customHeight="1">
      <c r="B7" s="1997" t="s">
        <v>644</v>
      </c>
      <c r="C7" s="1998" t="s">
        <v>78</v>
      </c>
      <c r="D7" s="1999" t="s">
        <v>434</v>
      </c>
      <c r="E7" s="1999" t="s">
        <v>419</v>
      </c>
      <c r="F7" s="1999" t="s">
        <v>423</v>
      </c>
      <c r="G7" s="1999" t="s">
        <v>315</v>
      </c>
      <c r="H7" s="1999" t="s">
        <v>475</v>
      </c>
      <c r="I7" s="1999" t="s">
        <v>491</v>
      </c>
      <c r="J7" s="1999" t="s">
        <v>524</v>
      </c>
      <c r="K7" s="1999" t="s">
        <v>572</v>
      </c>
      <c r="L7" s="1999" t="s">
        <v>637</v>
      </c>
      <c r="M7" s="1999" t="s">
        <v>709</v>
      </c>
      <c r="N7" s="1999" t="s">
        <v>751</v>
      </c>
      <c r="O7" s="1999" t="s">
        <v>787</v>
      </c>
      <c r="P7" s="1999" t="s">
        <v>858</v>
      </c>
      <c r="Q7" s="1999" t="s">
        <v>1076</v>
      </c>
      <c r="R7" s="2560" t="s">
        <v>1533</v>
      </c>
      <c r="S7" s="2937" t="s">
        <v>1958</v>
      </c>
      <c r="T7" s="4116" t="s">
        <v>1959</v>
      </c>
      <c r="U7" s="4448"/>
      <c r="W7" s="4133"/>
    </row>
    <row r="8" spans="2:23" s="132" customFormat="1" ht="36.75" customHeight="1">
      <c r="B8" s="138" t="s">
        <v>645</v>
      </c>
      <c r="C8" s="2000">
        <f>(C9+C12+C13+C14)*0+78.7</f>
        <v>78.7</v>
      </c>
      <c r="D8" s="2000">
        <v>80.871015050069104</v>
      </c>
      <c r="E8" s="2000">
        <v>98.979183550573566</v>
      </c>
      <c r="F8" s="2000">
        <v>96.019998000121404</v>
      </c>
      <c r="G8" s="2000">
        <v>72.712213703039893</v>
      </c>
      <c r="H8" s="2000">
        <v>70.702045766405234</v>
      </c>
      <c r="I8" s="2000">
        <v>83.567865674115069</v>
      </c>
      <c r="J8" s="2000">
        <v>86.85070404584124</v>
      </c>
      <c r="K8" s="2000">
        <v>79.353111921125901</v>
      </c>
      <c r="L8" s="2000">
        <v>81.222455564438647</v>
      </c>
      <c r="M8" s="2000">
        <v>83.197164426516537</v>
      </c>
      <c r="N8" s="2000">
        <v>79.608431257701938</v>
      </c>
      <c r="O8" s="2000">
        <v>90.639285455342758</v>
      </c>
      <c r="P8" s="2000">
        <v>95.630859629756714</v>
      </c>
      <c r="Q8" s="2000">
        <v>82.983316416038136</v>
      </c>
      <c r="R8" s="2000">
        <v>90.56612614609206</v>
      </c>
      <c r="S8" s="3345">
        <v>94.647481189359681</v>
      </c>
      <c r="T8" s="4117">
        <v>78.559563190772934</v>
      </c>
      <c r="U8" s="4449"/>
      <c r="V8" s="4450"/>
      <c r="W8" s="4134"/>
    </row>
    <row r="9" spans="2:23" s="132" customFormat="1" ht="39.5" customHeight="1">
      <c r="B9" s="2002" t="s">
        <v>922</v>
      </c>
      <c r="C9" s="2009">
        <f>(C10+C11)*0+62.9</f>
        <v>62.9</v>
      </c>
      <c r="D9" s="2009">
        <f>(D10+D11)*0+63.4</f>
        <v>63.4</v>
      </c>
      <c r="E9" s="2009">
        <f>(E10+E11)*0+80.5</f>
        <v>80.5</v>
      </c>
      <c r="F9" s="2009">
        <f>(F10+F11)*0+76</f>
        <v>76</v>
      </c>
      <c r="G9" s="2009">
        <f>(G10+G11)*0+51.2</f>
        <v>51.2</v>
      </c>
      <c r="H9" s="2009">
        <f>(H10+H11)*0+48.3</f>
        <v>48.3</v>
      </c>
      <c r="I9" s="2009">
        <f>(I10+I11)*0+63</f>
        <v>63</v>
      </c>
      <c r="J9" s="2009">
        <f>(J10+J11)*0+68.5</f>
        <v>68.5</v>
      </c>
      <c r="K9" s="2009">
        <f>(K10+K11)*0+58.7</f>
        <v>58.7</v>
      </c>
      <c r="L9" s="2009">
        <f>(L10+L11)*0+61.2</f>
        <v>61.2</v>
      </c>
      <c r="M9" s="2009">
        <f t="shared" ref="M9:T9" si="0">M10+M11</f>
        <v>60.592300893665367</v>
      </c>
      <c r="N9" s="2009">
        <f t="shared" si="0"/>
        <v>56.092026982589609</v>
      </c>
      <c r="O9" s="2009">
        <f t="shared" si="0"/>
        <v>61.64206824418617</v>
      </c>
      <c r="P9" s="2009">
        <f t="shared" si="0"/>
        <v>67.336921800489776</v>
      </c>
      <c r="Q9" s="2009">
        <f t="shared" si="0"/>
        <v>59.041865373512849</v>
      </c>
      <c r="R9" s="2009">
        <f t="shared" si="0"/>
        <v>61.671996781306042</v>
      </c>
      <c r="S9" s="2009">
        <f t="shared" si="0"/>
        <v>66.581285226940537</v>
      </c>
      <c r="T9" s="2009">
        <f t="shared" si="0"/>
        <v>52.162004646927549</v>
      </c>
      <c r="U9" s="4449"/>
      <c r="V9" s="4450"/>
    </row>
    <row r="10" spans="2:23" s="132" customFormat="1" ht="39.5" customHeight="1">
      <c r="B10" s="4528" t="s">
        <v>1829</v>
      </c>
      <c r="C10" s="2009">
        <v>34.709092554631006</v>
      </c>
      <c r="D10" s="2009">
        <v>31.83913114780384</v>
      </c>
      <c r="E10" s="2009">
        <v>38.161239751858979</v>
      </c>
      <c r="F10" s="2009">
        <v>35.279191066519388</v>
      </c>
      <c r="G10" s="2009">
        <v>21.788297413849332</v>
      </c>
      <c r="H10" s="2009">
        <v>14.464776657627883</v>
      </c>
      <c r="I10" s="2009">
        <v>26.22024238183575</v>
      </c>
      <c r="J10" s="2009">
        <v>20.475465303958629</v>
      </c>
      <c r="K10" s="2009">
        <v>17.736608385140059</v>
      </c>
      <c r="L10" s="2009">
        <v>19.055081841542115</v>
      </c>
      <c r="M10" s="2009">
        <v>19.034488499992904</v>
      </c>
      <c r="N10" s="2009">
        <v>18.823198255217058</v>
      </c>
      <c r="O10" s="2009">
        <v>18.699340477076028</v>
      </c>
      <c r="P10" s="2009">
        <v>18.413752110997869</v>
      </c>
      <c r="Q10" s="2009">
        <v>19.579456276098302</v>
      </c>
      <c r="R10" s="2009">
        <v>24.028846096909007</v>
      </c>
      <c r="S10" s="3346">
        <v>25.138820516024076</v>
      </c>
      <c r="T10" s="4118">
        <v>18.600481616398248</v>
      </c>
      <c r="U10" s="4449"/>
      <c r="V10" s="4450"/>
    </row>
    <row r="11" spans="2:23" s="132" customFormat="1" ht="39.5" customHeight="1">
      <c r="B11" s="4528" t="s">
        <v>1828</v>
      </c>
      <c r="C11" s="2009">
        <v>10.816554441718401</v>
      </c>
      <c r="D11" s="2009">
        <v>17.66014839592464</v>
      </c>
      <c r="E11" s="2009">
        <v>32.790741307313901</v>
      </c>
      <c r="F11" s="2009">
        <v>31.688739428183577</v>
      </c>
      <c r="G11" s="2009">
        <v>20.067766053310113</v>
      </c>
      <c r="H11" s="2009">
        <v>28.548764930977871</v>
      </c>
      <c r="I11" s="2009">
        <v>32.571686644654754</v>
      </c>
      <c r="J11" s="2009">
        <v>48.942412742030143</v>
      </c>
      <c r="K11" s="2009">
        <v>43.88407525722134</v>
      </c>
      <c r="L11" s="2009">
        <v>44.791188826216313</v>
      </c>
      <c r="M11" s="2009">
        <v>41.557812393672464</v>
      </c>
      <c r="N11" s="2009">
        <v>37.268828727372551</v>
      </c>
      <c r="O11" s="2009">
        <v>42.942727767110142</v>
      </c>
      <c r="P11" s="2009">
        <v>48.923169689491907</v>
      </c>
      <c r="Q11" s="2009">
        <v>39.462409097414543</v>
      </c>
      <c r="R11" s="2009">
        <v>37.643150684397035</v>
      </c>
      <c r="S11" s="3346">
        <v>41.442464710916454</v>
      </c>
      <c r="T11" s="4118">
        <v>33.561523030529301</v>
      </c>
      <c r="U11" s="4449"/>
      <c r="V11" s="4450"/>
    </row>
    <row r="12" spans="2:23" s="132" customFormat="1" ht="39.5" customHeight="1">
      <c r="B12" s="2002" t="s">
        <v>831</v>
      </c>
      <c r="C12" s="2009">
        <v>5.7922968062816587</v>
      </c>
      <c r="D12" s="2009">
        <v>5.6650292382896748</v>
      </c>
      <c r="E12" s="2009">
        <v>5.9529281003934447</v>
      </c>
      <c r="F12" s="2009">
        <v>6.0177253453367845</v>
      </c>
      <c r="G12" s="2009">
        <v>6.2347218496970003</v>
      </c>
      <c r="H12" s="2009">
        <v>6.0498837825027074</v>
      </c>
      <c r="I12" s="2009">
        <v>6.298380432819128</v>
      </c>
      <c r="J12" s="2009">
        <v>5.7569337411060424</v>
      </c>
      <c r="K12" s="2009">
        <v>6.4235257060748712</v>
      </c>
      <c r="L12" s="2009">
        <v>6.6983567505609054</v>
      </c>
      <c r="M12" s="2009">
        <v>7.6449641522699192</v>
      </c>
      <c r="N12" s="2009">
        <v>7.0774712155940644</v>
      </c>
      <c r="O12" s="2009">
        <v>12.756097178477903</v>
      </c>
      <c r="P12" s="2009">
        <v>12.492559531167634</v>
      </c>
      <c r="Q12" s="2009">
        <v>11.164706011882274</v>
      </c>
      <c r="R12" s="2009">
        <v>15.046021777741826</v>
      </c>
      <c r="S12" s="3346">
        <v>13.669584438686005</v>
      </c>
      <c r="T12" s="4118">
        <v>12.514725126381508</v>
      </c>
      <c r="U12" s="4449"/>
      <c r="V12" s="4450"/>
    </row>
    <row r="13" spans="2:23" s="132" customFormat="1" ht="39.5" customHeight="1">
      <c r="B13" s="2002" t="s">
        <v>832</v>
      </c>
      <c r="C13" s="2009">
        <v>4.6023036845420293</v>
      </c>
      <c r="D13" s="2009">
        <v>5.3853409276986355</v>
      </c>
      <c r="E13" s="2009">
        <v>5.5207637812922883</v>
      </c>
      <c r="F13" s="2009">
        <v>5.609123245545117</v>
      </c>
      <c r="G13" s="2009">
        <v>2.972190695591749</v>
      </c>
      <c r="H13" s="2009">
        <v>3.5376874105921519</v>
      </c>
      <c r="I13" s="2009">
        <v>3.546614317195651</v>
      </c>
      <c r="J13" s="2009">
        <v>3.5680582245647723</v>
      </c>
      <c r="K13" s="2009">
        <v>3.5896600999118529</v>
      </c>
      <c r="L13" s="2009">
        <v>3.6386875095646487</v>
      </c>
      <c r="M13" s="2009">
        <v>3.6702428895907877</v>
      </c>
      <c r="N13" s="2009">
        <v>3.7867863139205316</v>
      </c>
      <c r="O13" s="2009">
        <v>3.8331557728481545</v>
      </c>
      <c r="P13" s="2009">
        <v>4.0043680944218103</v>
      </c>
      <c r="Q13" s="2009">
        <v>3.2554630131861582</v>
      </c>
      <c r="R13" s="2009">
        <v>3.4423123319817668</v>
      </c>
      <c r="S13" s="3346">
        <v>3.4660411164721978</v>
      </c>
      <c r="T13" s="4118">
        <v>3.4621482816221114</v>
      </c>
      <c r="U13" s="4449"/>
      <c r="V13" s="4450"/>
    </row>
    <row r="14" spans="2:23" s="132" customFormat="1" ht="39.5" customHeight="1">
      <c r="B14" s="2002" t="s">
        <v>638</v>
      </c>
      <c r="C14" s="2009">
        <v>8.3040249598982747</v>
      </c>
      <c r="D14" s="2009">
        <v>8.9523437377712547</v>
      </c>
      <c r="E14" s="2009">
        <v>10.466656937307173</v>
      </c>
      <c r="F14" s="2009">
        <v>10.877037174557376</v>
      </c>
      <c r="G14" s="2009">
        <v>11.045777705554642</v>
      </c>
      <c r="H14" s="2009">
        <v>11.23686862946337</v>
      </c>
      <c r="I14" s="2009">
        <v>11.031314043733079</v>
      </c>
      <c r="J14" s="2009">
        <v>10.459384939383634</v>
      </c>
      <c r="K14" s="2009">
        <v>10.739067488387574</v>
      </c>
      <c r="L14" s="2009">
        <v>10.439811640173838</v>
      </c>
      <c r="M14" s="2009">
        <v>11.289656490990453</v>
      </c>
      <c r="N14" s="2009">
        <v>12.652146745597737</v>
      </c>
      <c r="O14" s="2009">
        <v>12.407964259830532</v>
      </c>
      <c r="P14" s="2009">
        <v>11.797010203677482</v>
      </c>
      <c r="Q14" s="2009">
        <v>9.521282017456862</v>
      </c>
      <c r="R14" s="2009">
        <v>10.405795255062422</v>
      </c>
      <c r="S14" s="3346">
        <v>10.930570407260952</v>
      </c>
      <c r="T14" s="4118">
        <v>10.42068513584177</v>
      </c>
      <c r="U14" s="4449"/>
      <c r="V14" s="4450"/>
    </row>
    <row r="15" spans="2:23" s="132" customFormat="1" ht="15" customHeight="1">
      <c r="B15" s="139"/>
      <c r="C15" s="2006"/>
      <c r="D15" s="2005"/>
      <c r="E15" s="2005"/>
      <c r="F15" s="2005"/>
      <c r="G15" s="2005"/>
      <c r="H15" s="2005"/>
      <c r="I15" s="2005"/>
      <c r="J15" s="2005"/>
      <c r="K15" s="2005"/>
      <c r="L15" s="2005"/>
      <c r="M15" s="2005"/>
      <c r="N15" s="2005"/>
      <c r="O15" s="2005"/>
      <c r="P15" s="2005"/>
      <c r="Q15" s="2005"/>
      <c r="R15" s="2005"/>
      <c r="S15" s="3347"/>
      <c r="T15" s="4117"/>
      <c r="U15" s="4449"/>
      <c r="V15" s="4450"/>
    </row>
    <row r="16" spans="2:23" s="132" customFormat="1" ht="36.75" customHeight="1">
      <c r="B16" s="138" t="s">
        <v>646</v>
      </c>
      <c r="C16" s="2000">
        <v>1.5734922470284447</v>
      </c>
      <c r="D16" s="2000">
        <v>2.4935531940542539</v>
      </c>
      <c r="E16" s="2000">
        <v>1.8868994779569115</v>
      </c>
      <c r="F16" s="2000">
        <v>1.5495548242659338</v>
      </c>
      <c r="G16" s="2000">
        <v>1.715341366107674</v>
      </c>
      <c r="H16" s="2000">
        <v>1.6511333864249633</v>
      </c>
      <c r="I16" s="2000">
        <v>2.9297309272339698</v>
      </c>
      <c r="J16" s="2000">
        <v>5.5405875548894494</v>
      </c>
      <c r="K16" s="2000">
        <v>11.607343773371072</v>
      </c>
      <c r="L16" s="2000">
        <v>10.794394093585378</v>
      </c>
      <c r="M16" s="2000">
        <v>9.8299149913543111</v>
      </c>
      <c r="N16" s="2000">
        <v>9.4462575540394838</v>
      </c>
      <c r="O16" s="2000">
        <v>8.7700003310334864</v>
      </c>
      <c r="P16" s="2000">
        <v>8.4834733909312945</v>
      </c>
      <c r="Q16" s="2000">
        <v>14.676027014942843</v>
      </c>
      <c r="R16" s="2000">
        <v>12.262691847726078</v>
      </c>
      <c r="S16" s="3345">
        <v>8.3647474127710275</v>
      </c>
      <c r="T16" s="4117">
        <v>7.0542805522685565</v>
      </c>
      <c r="U16" s="4449"/>
      <c r="V16" s="4450"/>
    </row>
    <row r="17" spans="2:22" s="132" customFormat="1" ht="36.75" customHeight="1">
      <c r="B17" s="138"/>
      <c r="C17" s="2000"/>
      <c r="D17" s="2000"/>
      <c r="E17" s="2000"/>
      <c r="F17" s="2000"/>
      <c r="G17" s="2000"/>
      <c r="H17" s="2000"/>
      <c r="I17" s="2000"/>
      <c r="J17" s="2000"/>
      <c r="K17" s="2000"/>
      <c r="L17" s="2000"/>
      <c r="M17" s="2000"/>
      <c r="N17" s="2000"/>
      <c r="O17" s="2000"/>
      <c r="P17" s="2000"/>
      <c r="Q17" s="2000"/>
      <c r="R17" s="2000"/>
      <c r="S17" s="3345"/>
      <c r="T17" s="4117"/>
      <c r="U17" s="4449"/>
      <c r="V17" s="4450"/>
    </row>
    <row r="18" spans="2:22" s="132" customFormat="1" ht="36.75" customHeight="1">
      <c r="B18" s="138" t="s">
        <v>392</v>
      </c>
      <c r="C18" s="2000">
        <v>112.61964645296413</v>
      </c>
      <c r="D18" s="2000">
        <v>114.67969126421411</v>
      </c>
      <c r="E18" s="2000">
        <v>119.56653601427071</v>
      </c>
      <c r="F18" s="2000">
        <v>121.77867101248644</v>
      </c>
      <c r="G18" s="2000">
        <v>125.22801848843665</v>
      </c>
      <c r="H18" s="2000">
        <v>127.18523333391049</v>
      </c>
      <c r="I18" s="2000">
        <v>135.31194653715198</v>
      </c>
      <c r="J18" s="2000">
        <v>147.2566046162454</v>
      </c>
      <c r="K18" s="2000">
        <v>147.19131056533877</v>
      </c>
      <c r="L18" s="2000">
        <v>148.16377413973973</v>
      </c>
      <c r="M18" s="2000">
        <v>152.94169609049464</v>
      </c>
      <c r="N18" s="2000">
        <v>152.39830942673439</v>
      </c>
      <c r="O18" s="2000">
        <v>161.86326562057229</v>
      </c>
      <c r="P18" s="2000">
        <v>161.65178745330837</v>
      </c>
      <c r="Q18" s="2000">
        <v>161.31849587508583</v>
      </c>
      <c r="R18" s="2000">
        <v>168.03776104606621</v>
      </c>
      <c r="S18" s="3345">
        <v>174.801504392867</v>
      </c>
      <c r="T18" s="4117">
        <v>195.62840133898337</v>
      </c>
      <c r="U18" s="4449"/>
      <c r="V18" s="4450"/>
    </row>
    <row r="19" spans="2:22" s="132" customFormat="1" ht="36.75" customHeight="1">
      <c r="B19" s="138"/>
      <c r="C19" s="2000"/>
      <c r="D19" s="2000"/>
      <c r="E19" s="2000"/>
      <c r="F19" s="2000"/>
      <c r="G19" s="2000"/>
      <c r="H19" s="2000"/>
      <c r="I19" s="2000"/>
      <c r="J19" s="2000"/>
      <c r="K19" s="2000"/>
      <c r="L19" s="2000"/>
      <c r="M19" s="2000"/>
      <c r="N19" s="2000"/>
      <c r="O19" s="2000"/>
      <c r="P19" s="2000"/>
      <c r="Q19" s="2000"/>
      <c r="R19" s="2000"/>
      <c r="S19" s="3345"/>
      <c r="T19" s="4117"/>
      <c r="U19" s="4449"/>
      <c r="V19" s="4450"/>
    </row>
    <row r="20" spans="2:22" s="132" customFormat="1" ht="39.5" customHeight="1">
      <c r="B20" s="4132" t="s">
        <v>883</v>
      </c>
      <c r="C20" s="2000">
        <v>98.908728610710298</v>
      </c>
      <c r="D20" s="2000">
        <v>102.70240494181206</v>
      </c>
      <c r="E20" s="2000">
        <v>104.99584857557663</v>
      </c>
      <c r="F20" s="2000">
        <v>107.71884166574587</v>
      </c>
      <c r="G20" s="2000">
        <v>115.51465704036656</v>
      </c>
      <c r="H20" s="2000">
        <v>114.1724985744861</v>
      </c>
      <c r="I20" s="2000">
        <v>112.85330683717029</v>
      </c>
      <c r="J20" s="2000">
        <v>114.50889332547692</v>
      </c>
      <c r="K20" s="2000">
        <v>114.11518843149619</v>
      </c>
      <c r="L20" s="2000">
        <v>116.67188693249535</v>
      </c>
      <c r="M20" s="2000">
        <v>120.36096814891604</v>
      </c>
      <c r="N20" s="2000">
        <v>123.69165409202012</v>
      </c>
      <c r="O20" s="2000">
        <v>123.6689795561557</v>
      </c>
      <c r="P20" s="2000">
        <v>126.32554163956306</v>
      </c>
      <c r="Q20" s="2000">
        <v>113.37697076281181</v>
      </c>
      <c r="R20" s="2000">
        <v>119.51976804943608</v>
      </c>
      <c r="S20" s="3345">
        <v>126.3564005620624</v>
      </c>
      <c r="T20" s="4117">
        <v>133.73978099750383</v>
      </c>
      <c r="U20" s="4449"/>
      <c r="V20" s="4450"/>
    </row>
    <row r="21" spans="2:22" s="132" customFormat="1" ht="39.5" customHeight="1">
      <c r="B21" s="4132" t="s">
        <v>884</v>
      </c>
      <c r="C21" s="2000">
        <v>38.941757227434003</v>
      </c>
      <c r="D21" s="2000">
        <v>40.168119605332635</v>
      </c>
      <c r="E21" s="2000">
        <v>41.787396752963886</v>
      </c>
      <c r="F21" s="2000">
        <v>42.03071382122701</v>
      </c>
      <c r="G21" s="2000">
        <v>38.143662961213451</v>
      </c>
      <c r="H21" s="2000">
        <v>38.063883557502514</v>
      </c>
      <c r="I21" s="2000">
        <v>40.239129468494916</v>
      </c>
      <c r="J21" s="2000">
        <v>39.147853461703761</v>
      </c>
      <c r="K21" s="2000">
        <v>38.07907347991047</v>
      </c>
      <c r="L21" s="2000">
        <v>39.316663031564843</v>
      </c>
      <c r="M21" s="2000">
        <v>39.556192816388226</v>
      </c>
      <c r="N21" s="2000">
        <v>40.872217008672074</v>
      </c>
      <c r="O21" s="2000">
        <v>42.656786707910079</v>
      </c>
      <c r="P21" s="2000">
        <v>41.934864736251299</v>
      </c>
      <c r="Q21" s="2000">
        <v>39.755860782912464</v>
      </c>
      <c r="R21" s="2000">
        <v>52.686473154981044</v>
      </c>
      <c r="S21" s="3345">
        <v>54.57044586520928</v>
      </c>
      <c r="T21" s="4117">
        <v>54.999159817292394</v>
      </c>
      <c r="U21" s="4449"/>
      <c r="V21" s="4450"/>
    </row>
    <row r="22" spans="2:22" ht="15" customHeight="1">
      <c r="B22" s="139"/>
      <c r="C22" s="2000"/>
      <c r="D22" s="2000"/>
      <c r="E22" s="2000"/>
      <c r="F22" s="2000"/>
      <c r="G22" s="2000"/>
      <c r="H22" s="2000"/>
      <c r="I22" s="2000"/>
      <c r="J22" s="2000"/>
      <c r="K22" s="2000"/>
      <c r="L22" s="2000"/>
      <c r="M22" s="2000"/>
      <c r="N22" s="2000"/>
      <c r="O22" s="2000"/>
      <c r="P22" s="2000"/>
      <c r="Q22" s="2000"/>
      <c r="R22" s="2000"/>
      <c r="S22" s="3345"/>
      <c r="T22" s="4118"/>
      <c r="U22" s="4448"/>
    </row>
    <row r="23" spans="2:22" s="132" customFormat="1" ht="36.75" customHeight="1">
      <c r="B23" s="138" t="s">
        <v>393</v>
      </c>
      <c r="C23" s="2000">
        <v>215.65518506500916</v>
      </c>
      <c r="D23" s="2000">
        <v>165.53156866719087</v>
      </c>
      <c r="E23" s="2000">
        <v>255.32523779631714</v>
      </c>
      <c r="F23" s="2000">
        <v>236.41986194400175</v>
      </c>
      <c r="G23" s="2000">
        <v>232.43091737979879</v>
      </c>
      <c r="H23" s="2000">
        <v>240.40082346544591</v>
      </c>
      <c r="I23" s="2000">
        <v>232.00250655309904</v>
      </c>
      <c r="J23" s="2000">
        <v>197.7165621956816</v>
      </c>
      <c r="K23" s="2000">
        <v>195.94371433790423</v>
      </c>
      <c r="L23" s="2000">
        <v>227.65471559153178</v>
      </c>
      <c r="M23" s="2000">
        <v>225.91662081791276</v>
      </c>
      <c r="N23" s="2000">
        <v>243.4544225532747</v>
      </c>
      <c r="O23" s="2000">
        <v>211.54190875558515</v>
      </c>
      <c r="P23" s="2000">
        <v>217.14488515470748</v>
      </c>
      <c r="Q23" s="2000">
        <v>237.23741478993625</v>
      </c>
      <c r="R23" s="2000">
        <v>267.2627611620544</v>
      </c>
      <c r="S23" s="3345">
        <v>266.48564864370621</v>
      </c>
      <c r="T23" s="4117">
        <v>317.53585310417566</v>
      </c>
      <c r="U23" s="4449"/>
      <c r="V23" s="4450"/>
    </row>
    <row r="24" spans="2:22" s="132" customFormat="1" ht="36.75" customHeight="1">
      <c r="B24" s="138"/>
      <c r="C24" s="2000"/>
      <c r="D24" s="2000"/>
      <c r="E24" s="2000"/>
      <c r="F24" s="2000"/>
      <c r="G24" s="2000"/>
      <c r="H24" s="2000"/>
      <c r="I24" s="2000"/>
      <c r="J24" s="2000"/>
      <c r="K24" s="2000"/>
      <c r="L24" s="2000"/>
      <c r="M24" s="2000"/>
      <c r="N24" s="2000"/>
      <c r="O24" s="2000"/>
      <c r="P24" s="2000"/>
      <c r="Q24" s="2000"/>
      <c r="R24" s="2000"/>
      <c r="S24" s="3345"/>
      <c r="T24" s="4117"/>
      <c r="U24" s="4449"/>
      <c r="V24" s="4450"/>
    </row>
    <row r="25" spans="2:22" s="132" customFormat="1" ht="36.75" customHeight="1">
      <c r="B25" s="138" t="s">
        <v>647</v>
      </c>
      <c r="C25" s="2000">
        <v>539.41302286812561</v>
      </c>
      <c r="D25" s="2000">
        <v>562.32115092927506</v>
      </c>
      <c r="E25" s="2000">
        <v>578.68771371503431</v>
      </c>
      <c r="F25" s="2000">
        <v>534.38161250753899</v>
      </c>
      <c r="G25" s="2000">
        <v>517.16002775576487</v>
      </c>
      <c r="H25" s="2000">
        <v>602.53810392506716</v>
      </c>
      <c r="I25" s="2000">
        <v>566.74690100396242</v>
      </c>
      <c r="J25" s="2000">
        <v>521.07161516840847</v>
      </c>
      <c r="K25" s="2000">
        <v>517.57207128847813</v>
      </c>
      <c r="L25" s="2000">
        <v>469.44100641149919</v>
      </c>
      <c r="M25" s="2000">
        <v>545.26566665631219</v>
      </c>
      <c r="N25" s="2000">
        <v>550.04976780572281</v>
      </c>
      <c r="O25" s="2000">
        <v>563.92618331156859</v>
      </c>
      <c r="P25" s="2000">
        <v>515.18938637479289</v>
      </c>
      <c r="Q25" s="2000">
        <v>442.23077797804069</v>
      </c>
      <c r="R25" s="2000">
        <v>503.8363568781424</v>
      </c>
      <c r="S25" s="3345">
        <v>616.82615353041297</v>
      </c>
      <c r="T25" s="4117">
        <v>628.31987921342818</v>
      </c>
      <c r="U25" s="4449"/>
      <c r="V25" s="4450"/>
    </row>
    <row r="26" spans="2:22" s="132" customFormat="1" ht="15" customHeight="1">
      <c r="B26" s="139"/>
      <c r="C26" s="2000"/>
      <c r="D26" s="2000"/>
      <c r="E26" s="2000"/>
      <c r="F26" s="2000"/>
      <c r="G26" s="2000"/>
      <c r="H26" s="2000"/>
      <c r="I26" s="2000"/>
      <c r="J26" s="2000"/>
      <c r="K26" s="2000"/>
      <c r="L26" s="2000"/>
      <c r="M26" s="2000"/>
      <c r="N26" s="2000"/>
      <c r="O26" s="2000"/>
      <c r="P26" s="2000"/>
      <c r="Q26" s="2000"/>
      <c r="R26" s="2000"/>
      <c r="S26" s="3345"/>
      <c r="T26" s="4117"/>
      <c r="U26" s="4449"/>
      <c r="V26" s="4450"/>
    </row>
    <row r="27" spans="2:22" s="132" customFormat="1" ht="36.75" customHeight="1">
      <c r="B27" s="138" t="s">
        <v>833</v>
      </c>
      <c r="C27" s="2000">
        <v>884.43628390586355</v>
      </c>
      <c r="D27" s="2000">
        <f>D28+D29</f>
        <v>808.10709721281</v>
      </c>
      <c r="E27" s="2000">
        <f t="shared" ref="E27:T27" si="1">E28+E29</f>
        <v>833.08918160943222</v>
      </c>
      <c r="F27" s="2000">
        <f t="shared" si="1"/>
        <v>816.83331929886049</v>
      </c>
      <c r="G27" s="2000">
        <f t="shared" si="1"/>
        <v>929.73539381782223</v>
      </c>
      <c r="H27" s="2000">
        <f t="shared" si="1"/>
        <v>867.87819454860698</v>
      </c>
      <c r="I27" s="2000">
        <f t="shared" si="1"/>
        <v>938.5758811525177</v>
      </c>
      <c r="J27" s="2000">
        <f t="shared" si="1"/>
        <v>909.92298926241892</v>
      </c>
      <c r="K27" s="2000">
        <f t="shared" si="1"/>
        <v>1021.8416820937632</v>
      </c>
      <c r="L27" s="2000">
        <f t="shared" si="1"/>
        <v>1010.896984762948</v>
      </c>
      <c r="M27" s="2000">
        <f t="shared" si="1"/>
        <v>979.6296192861779</v>
      </c>
      <c r="N27" s="2000">
        <f t="shared" si="1"/>
        <v>1089.0038404862164</v>
      </c>
      <c r="O27" s="2000">
        <f t="shared" si="1"/>
        <v>1154.5821992760441</v>
      </c>
      <c r="P27" s="2000">
        <f t="shared" si="1"/>
        <v>1160.1492890363497</v>
      </c>
      <c r="Q27" s="2000">
        <f t="shared" si="1"/>
        <v>382.99626211782305</v>
      </c>
      <c r="R27" s="2000">
        <f t="shared" si="1"/>
        <v>612.78175823879144</v>
      </c>
      <c r="S27" s="2000">
        <f t="shared" si="1"/>
        <v>1064.8072952944945</v>
      </c>
      <c r="T27" s="2000">
        <f t="shared" si="1"/>
        <v>1077.078140689048</v>
      </c>
      <c r="U27" s="4449"/>
      <c r="V27" s="4450"/>
    </row>
    <row r="28" spans="2:22" s="132" customFormat="1" ht="39.5" customHeight="1">
      <c r="B28" s="2002" t="s">
        <v>1514</v>
      </c>
      <c r="C28" s="2009">
        <v>793.78786358476179</v>
      </c>
      <c r="D28" s="2009">
        <v>717.60547810466574</v>
      </c>
      <c r="E28" s="2009">
        <v>758.84638854130026</v>
      </c>
      <c r="F28" s="2009">
        <v>739.96065426454891</v>
      </c>
      <c r="G28" s="2009">
        <v>850.47125062784949</v>
      </c>
      <c r="H28" s="2009">
        <v>790.84566432720521</v>
      </c>
      <c r="I28" s="2009">
        <v>866.81474576689197</v>
      </c>
      <c r="J28" s="2009">
        <v>837.34984939255412</v>
      </c>
      <c r="K28" s="2009">
        <v>947.95232938358924</v>
      </c>
      <c r="L28" s="2009">
        <v>933.30717729440357</v>
      </c>
      <c r="M28" s="2009">
        <v>903.39815511828965</v>
      </c>
      <c r="N28" s="2009">
        <v>1009.0157774559209</v>
      </c>
      <c r="O28" s="2009">
        <v>1078.5516698037175</v>
      </c>
      <c r="P28" s="2009">
        <v>1076.5127667391907</v>
      </c>
      <c r="Q28" s="2009">
        <v>349.69005145037261</v>
      </c>
      <c r="R28" s="2009">
        <v>579.91795519831498</v>
      </c>
      <c r="S28" s="3346">
        <v>995.63171337710401</v>
      </c>
      <c r="T28" s="4118">
        <v>998.9717770859055</v>
      </c>
      <c r="U28" s="4449"/>
      <c r="V28" s="4450"/>
    </row>
    <row r="29" spans="2:22" s="132" customFormat="1" ht="39.5" customHeight="1">
      <c r="B29" s="2002" t="s">
        <v>1515</v>
      </c>
      <c r="C29" s="2009">
        <v>80.419284313005619</v>
      </c>
      <c r="D29" s="2009">
        <v>90.50161910814424</v>
      </c>
      <c r="E29" s="2009">
        <v>74.242793068131959</v>
      </c>
      <c r="F29" s="2009">
        <v>76.872665034311581</v>
      </c>
      <c r="G29" s="2009">
        <v>79.264143189972742</v>
      </c>
      <c r="H29" s="2009">
        <v>77.032530221401785</v>
      </c>
      <c r="I29" s="2009">
        <v>71.761135385625707</v>
      </c>
      <c r="J29" s="2009">
        <v>72.573139869864747</v>
      </c>
      <c r="K29" s="2009">
        <v>73.889352710173938</v>
      </c>
      <c r="L29" s="2009">
        <v>77.589807468544493</v>
      </c>
      <c r="M29" s="2009">
        <v>76.231464167888248</v>
      </c>
      <c r="N29" s="2009">
        <v>79.988063030295464</v>
      </c>
      <c r="O29" s="2009">
        <v>76.030529472326549</v>
      </c>
      <c r="P29" s="2009">
        <v>83.636522297158905</v>
      </c>
      <c r="Q29" s="2009">
        <v>33.306210667450422</v>
      </c>
      <c r="R29" s="2009">
        <v>32.86380304047649</v>
      </c>
      <c r="S29" s="3346">
        <v>69.175581917390446</v>
      </c>
      <c r="T29" s="4118">
        <v>78.106363603142441</v>
      </c>
      <c r="U29" s="4449"/>
      <c r="V29" s="4450"/>
    </row>
    <row r="30" spans="2:22" ht="15" customHeight="1">
      <c r="B30" s="139"/>
      <c r="C30" s="2009"/>
      <c r="D30" s="2009"/>
      <c r="E30" s="2005"/>
      <c r="F30" s="2005"/>
      <c r="G30" s="2005"/>
      <c r="H30" s="2005"/>
      <c r="I30" s="2005"/>
      <c r="J30" s="2005"/>
      <c r="K30" s="2005"/>
      <c r="L30" s="2005"/>
      <c r="M30" s="2005"/>
      <c r="N30" s="2005"/>
      <c r="O30" s="2005"/>
      <c r="P30" s="2005"/>
      <c r="Q30" s="2005"/>
      <c r="R30" s="2004"/>
      <c r="S30" s="3347"/>
      <c r="T30" s="4118"/>
      <c r="U30" s="4448"/>
    </row>
    <row r="31" spans="2:22" s="132" customFormat="1" ht="36.75" customHeight="1">
      <c r="B31" s="138" t="s">
        <v>834</v>
      </c>
      <c r="C31" s="2000">
        <f>C32+C33+C34+C35+C36+C37</f>
        <v>280.33646211777699</v>
      </c>
      <c r="D31" s="2000">
        <f t="shared" ref="D31:T31" si="2">D32+D33+D34+D35+D36+D37</f>
        <v>291.32384750689323</v>
      </c>
      <c r="E31" s="2000">
        <f t="shared" si="2"/>
        <v>296.48424288887492</v>
      </c>
      <c r="F31" s="2000">
        <f t="shared" si="2"/>
        <v>275.97263274857369</v>
      </c>
      <c r="G31" s="2000">
        <f t="shared" si="2"/>
        <v>267.53642666549473</v>
      </c>
      <c r="H31" s="2000">
        <f t="shared" si="2"/>
        <v>251.72804764092422</v>
      </c>
      <c r="I31" s="2000">
        <f t="shared" si="2"/>
        <v>262.89437242502993</v>
      </c>
      <c r="J31" s="2000">
        <f t="shared" si="2"/>
        <v>245.88676020086385</v>
      </c>
      <c r="K31" s="2000">
        <f t="shared" si="2"/>
        <v>280.87791494031546</v>
      </c>
      <c r="L31" s="2000">
        <f t="shared" si="2"/>
        <v>283.10772529002111</v>
      </c>
      <c r="M31" s="2000">
        <f t="shared" si="2"/>
        <v>249.00950270618728</v>
      </c>
      <c r="N31" s="2000">
        <f t="shared" si="2"/>
        <v>248.43226784022784</v>
      </c>
      <c r="O31" s="2000">
        <f t="shared" si="2"/>
        <v>256.14882389940664</v>
      </c>
      <c r="P31" s="2000">
        <f t="shared" si="2"/>
        <v>268.69714224296985</v>
      </c>
      <c r="Q31" s="2000">
        <f t="shared" si="2"/>
        <v>152.772493169743</v>
      </c>
      <c r="R31" s="2000">
        <f t="shared" si="2"/>
        <v>171.19976721802044</v>
      </c>
      <c r="S31" s="2000">
        <f t="shared" si="2"/>
        <v>236.47707287124823</v>
      </c>
      <c r="T31" s="2000">
        <f t="shared" si="2"/>
        <v>245.56700539011089</v>
      </c>
      <c r="U31" s="4449"/>
      <c r="V31" s="4450"/>
    </row>
    <row r="32" spans="2:22" s="132" customFormat="1" ht="39.5" customHeight="1">
      <c r="B32" s="2002" t="s">
        <v>835</v>
      </c>
      <c r="C32" s="2009">
        <v>158.35301568501984</v>
      </c>
      <c r="D32" s="2009">
        <v>170.87309627085563</v>
      </c>
      <c r="E32" s="2009">
        <v>173.93507380048013</v>
      </c>
      <c r="F32" s="2009">
        <v>171.3409265502282</v>
      </c>
      <c r="G32" s="2009">
        <v>154.37620377597446</v>
      </c>
      <c r="H32" s="2009">
        <v>147.10802956626378</v>
      </c>
      <c r="I32" s="2009">
        <v>151.39643144828111</v>
      </c>
      <c r="J32" s="2009">
        <v>146.64458394156586</v>
      </c>
      <c r="K32" s="2009">
        <v>160.97513149442946</v>
      </c>
      <c r="L32" s="2009">
        <v>162.66100114296995</v>
      </c>
      <c r="M32" s="2009">
        <v>150.79629982291797</v>
      </c>
      <c r="N32" s="2009">
        <v>154.9098816820929</v>
      </c>
      <c r="O32" s="2009">
        <v>161.07630089160421</v>
      </c>
      <c r="P32" s="2009">
        <v>167.20467242822917</v>
      </c>
      <c r="Q32" s="2009">
        <v>85.798508821363384</v>
      </c>
      <c r="R32" s="2009">
        <v>82.84709920181507</v>
      </c>
      <c r="S32" s="3346">
        <v>138.64152156752419</v>
      </c>
      <c r="T32" s="4118">
        <v>153.28413514717525</v>
      </c>
      <c r="U32" s="4449"/>
      <c r="V32" s="4450"/>
    </row>
    <row r="33" spans="2:22" s="132" customFormat="1" ht="39.5" customHeight="1">
      <c r="B33" s="2002" t="s">
        <v>836</v>
      </c>
      <c r="C33" s="2009">
        <v>10.120788268638297</v>
      </c>
      <c r="D33" s="2009">
        <v>10.327600648496917</v>
      </c>
      <c r="E33" s="2009">
        <v>10.595468690195975</v>
      </c>
      <c r="F33" s="2009">
        <v>9.9631091345245721</v>
      </c>
      <c r="G33" s="2009">
        <v>9.6525374951099767</v>
      </c>
      <c r="H33" s="2009">
        <v>9.3950793897770044</v>
      </c>
      <c r="I33" s="2009">
        <v>9.1089013590668273</v>
      </c>
      <c r="J33" s="2009">
        <v>9.5861043302500732</v>
      </c>
      <c r="K33" s="2009">
        <v>10.366487661814709</v>
      </c>
      <c r="L33" s="2009">
        <v>10.96926930864301</v>
      </c>
      <c r="M33" s="2009">
        <v>12.559655914606816</v>
      </c>
      <c r="N33" s="2009">
        <v>13.119717164500477</v>
      </c>
      <c r="O33" s="2009">
        <v>13.816430135771082</v>
      </c>
      <c r="P33" s="2009">
        <v>13.360261691236682</v>
      </c>
      <c r="Q33" s="2009">
        <v>10.262194889172921</v>
      </c>
      <c r="R33" s="2009">
        <v>8.254202904882586</v>
      </c>
      <c r="S33" s="3346">
        <v>16.269795881254147</v>
      </c>
      <c r="T33" s="4118">
        <v>19.376250024387197</v>
      </c>
      <c r="U33" s="4449"/>
      <c r="V33" s="4450"/>
    </row>
    <row r="34" spans="2:22" s="132" customFormat="1" ht="39.5" customHeight="1">
      <c r="B34" s="2002" t="s">
        <v>837</v>
      </c>
      <c r="C34" s="2009">
        <v>12.458234265357756</v>
      </c>
      <c r="D34" s="2009">
        <v>11.41469408929189</v>
      </c>
      <c r="E34" s="2009">
        <v>11.674516694691011</v>
      </c>
      <c r="F34" s="2009">
        <v>11.023377650859505</v>
      </c>
      <c r="G34" s="2009">
        <v>12.286829545072969</v>
      </c>
      <c r="H34" s="2009">
        <v>10.41424045455555</v>
      </c>
      <c r="I34" s="2009">
        <v>10.471738615651679</v>
      </c>
      <c r="J34" s="2009">
        <v>10.589146683306602</v>
      </c>
      <c r="K34" s="2009">
        <v>10.855685948367569</v>
      </c>
      <c r="L34" s="2009">
        <v>11.104893886731332</v>
      </c>
      <c r="M34" s="2009">
        <v>11.32812555989354</v>
      </c>
      <c r="N34" s="2009">
        <v>11.911926653349003</v>
      </c>
      <c r="O34" s="2009">
        <v>12.554441623208355</v>
      </c>
      <c r="P34" s="2009">
        <v>12.521897623575374</v>
      </c>
      <c r="Q34" s="2009">
        <v>8.4491058479872958</v>
      </c>
      <c r="R34" s="2009">
        <v>7.3376628361531822</v>
      </c>
      <c r="S34" s="3346">
        <v>10.018082598131391</v>
      </c>
      <c r="T34" s="4118">
        <v>11.373796224314274</v>
      </c>
      <c r="U34" s="4449"/>
      <c r="V34" s="4450"/>
    </row>
    <row r="35" spans="2:22" s="132" customFormat="1" ht="39.5" customHeight="1">
      <c r="B35" s="2002" t="s">
        <v>838</v>
      </c>
      <c r="C35" s="2009">
        <v>96.429688733132338</v>
      </c>
      <c r="D35" s="2009">
        <v>95.781660445634373</v>
      </c>
      <c r="E35" s="2009">
        <v>97.403491653251535</v>
      </c>
      <c r="F35" s="2009">
        <v>80.963477913805036</v>
      </c>
      <c r="G35" s="2009">
        <v>88.439155649491525</v>
      </c>
      <c r="H35" s="2009">
        <v>81.99077067023002</v>
      </c>
      <c r="I35" s="2009">
        <v>89.089599844227749</v>
      </c>
      <c r="J35" s="2009">
        <v>76.301695710420432</v>
      </c>
      <c r="K35" s="2009">
        <v>95.884827059723193</v>
      </c>
      <c r="L35" s="2009">
        <v>95.633611918321421</v>
      </c>
      <c r="M35" s="2009">
        <v>71.54535633247643</v>
      </c>
      <c r="N35" s="2009">
        <v>65.472091427305003</v>
      </c>
      <c r="O35" s="2009">
        <v>64.699100913335556</v>
      </c>
      <c r="P35" s="2009">
        <v>71.308955787575115</v>
      </c>
      <c r="Q35" s="2009">
        <v>44.056096028210241</v>
      </c>
      <c r="R35" s="2009">
        <v>68.368289567465908</v>
      </c>
      <c r="S35" s="3346">
        <v>67.095972945081925</v>
      </c>
      <c r="T35" s="4118">
        <v>56.893063689959639</v>
      </c>
      <c r="U35" s="4449"/>
      <c r="V35" s="4450"/>
    </row>
    <row r="36" spans="2:22" s="132" customFormat="1" ht="39.5" customHeight="1">
      <c r="B36" s="2002" t="s">
        <v>839</v>
      </c>
      <c r="C36" s="2009">
        <v>1.6430004464514285</v>
      </c>
      <c r="D36" s="2009">
        <v>1.6430004464514283</v>
      </c>
      <c r="E36" s="2009">
        <v>1.6430004464514285</v>
      </c>
      <c r="F36" s="2009">
        <v>1.6637979204571427</v>
      </c>
      <c r="G36" s="2009">
        <v>1.6430004464514285</v>
      </c>
      <c r="H36" s="2009">
        <v>1.6637979204571427</v>
      </c>
      <c r="I36" s="2009">
        <v>1.6637979204571423</v>
      </c>
      <c r="J36" s="2009">
        <v>1.6845953944628573</v>
      </c>
      <c r="K36" s="2009">
        <v>1.6845953944628576</v>
      </c>
      <c r="L36" s="2009">
        <v>1.7053928684685717</v>
      </c>
      <c r="M36" s="2009">
        <v>1.7469878164799999</v>
      </c>
      <c r="N36" s="2009">
        <v>1.7469878164799999</v>
      </c>
      <c r="O36" s="2009">
        <v>2.9116463607999998</v>
      </c>
      <c r="P36" s="2009">
        <v>3.1612160488685714</v>
      </c>
      <c r="Q36" s="2009">
        <v>3.161216048868571</v>
      </c>
      <c r="R36" s="2009">
        <v>3.2028109968800003</v>
      </c>
      <c r="S36" s="3346">
        <v>3.2028109968800003</v>
      </c>
      <c r="T36" s="4118">
        <v>2.9440232936376693</v>
      </c>
      <c r="U36" s="4449"/>
      <c r="V36" s="4450"/>
    </row>
    <row r="37" spans="2:22" s="132" customFormat="1" ht="39.5" customHeight="1">
      <c r="B37" s="2002" t="s">
        <v>840</v>
      </c>
      <c r="C37" s="2009">
        <v>1.3317347191773072</v>
      </c>
      <c r="D37" s="2009">
        <v>1.2837956061630189</v>
      </c>
      <c r="E37" s="2009">
        <v>1.2326916038048377</v>
      </c>
      <c r="F37" s="2009">
        <v>1.0179435786992228</v>
      </c>
      <c r="G37" s="2009">
        <v>1.1386997533943704</v>
      </c>
      <c r="H37" s="2009">
        <v>1.1561296396407277</v>
      </c>
      <c r="I37" s="2009">
        <v>1.1639032373453757</v>
      </c>
      <c r="J37" s="2009">
        <v>1.0806341408580282</v>
      </c>
      <c r="K37" s="2009">
        <v>1.1111873815176778</v>
      </c>
      <c r="L37" s="2009">
        <v>1.0335561648868057</v>
      </c>
      <c r="M37" s="2009">
        <v>1.0330772598124889</v>
      </c>
      <c r="N37" s="2009">
        <v>1.2716630965004467</v>
      </c>
      <c r="O37" s="2009">
        <v>1.0909039746874594</v>
      </c>
      <c r="P37" s="2009">
        <v>1.1401386634849686</v>
      </c>
      <c r="Q37" s="2009">
        <v>1.0453715341405965</v>
      </c>
      <c r="R37" s="2009">
        <v>1.1897017108237078</v>
      </c>
      <c r="S37" s="3346">
        <v>1.2488888823765554</v>
      </c>
      <c r="T37" s="4118">
        <v>1.6957370106368956</v>
      </c>
      <c r="U37" s="4449"/>
      <c r="V37" s="4450"/>
    </row>
    <row r="38" spans="2:22" s="132" customFormat="1" ht="15" customHeight="1">
      <c r="B38" s="139"/>
      <c r="C38" s="2094"/>
      <c r="D38" s="2010"/>
      <c r="E38" s="2007"/>
      <c r="F38" s="2007"/>
      <c r="G38" s="2007"/>
      <c r="H38" s="2007"/>
      <c r="I38" s="2094"/>
      <c r="J38" s="2007"/>
      <c r="K38" s="2007"/>
      <c r="L38" s="2094"/>
      <c r="M38" s="2007"/>
      <c r="N38" s="2010"/>
      <c r="O38" s="2010"/>
      <c r="P38" s="2007"/>
      <c r="Q38" s="2007"/>
      <c r="R38" s="2008"/>
      <c r="S38" s="3348"/>
      <c r="T38" s="4117"/>
      <c r="U38" s="4449"/>
      <c r="V38" s="4450"/>
    </row>
    <row r="39" spans="2:22" s="132" customFormat="1" ht="36.75" customHeight="1">
      <c r="B39" s="138" t="s">
        <v>885</v>
      </c>
      <c r="C39" s="2000">
        <f>C40+C41+C42+C43</f>
        <v>93.171991433069792</v>
      </c>
      <c r="D39" s="2000">
        <v>127.49537340929886</v>
      </c>
      <c r="E39" s="2000">
        <v>134.26898097720567</v>
      </c>
      <c r="F39" s="2000">
        <v>140.1415573416744</v>
      </c>
      <c r="G39" s="2000">
        <v>157.77269597763717</v>
      </c>
      <c r="H39" s="2000">
        <v>164.74698358651807</v>
      </c>
      <c r="I39" s="2000">
        <v>176.48779442068314</v>
      </c>
      <c r="J39" s="2000">
        <v>177.72844060035953</v>
      </c>
      <c r="K39" s="2000">
        <v>169.9643906941144</v>
      </c>
      <c r="L39" s="2000">
        <v>184.97261384744058</v>
      </c>
      <c r="M39" s="2000">
        <v>174.62966459955493</v>
      </c>
      <c r="N39" s="2000">
        <v>172.02625180596019</v>
      </c>
      <c r="O39" s="2000">
        <v>200.60066356462622</v>
      </c>
      <c r="P39" s="2000">
        <v>202.82854459290388</v>
      </c>
      <c r="Q39" s="2000">
        <v>168.19998787540791</v>
      </c>
      <c r="R39" s="2000">
        <v>187.51223613374282</v>
      </c>
      <c r="S39" s="3345">
        <v>252.4</v>
      </c>
      <c r="T39" s="4117">
        <v>260</v>
      </c>
      <c r="U39" s="4449"/>
      <c r="V39" s="4450"/>
    </row>
    <row r="40" spans="2:22" s="132" customFormat="1" ht="39.5" customHeight="1">
      <c r="B40" s="2002" t="s">
        <v>841</v>
      </c>
      <c r="C40" s="2009">
        <v>6.2989118123083383</v>
      </c>
      <c r="D40" s="2009">
        <v>6.2723682620468786</v>
      </c>
      <c r="E40" s="2009">
        <v>6.2231590459362067</v>
      </c>
      <c r="F40" s="2009">
        <v>6.1428507032947248</v>
      </c>
      <c r="G40" s="2009">
        <v>6.185530760163922</v>
      </c>
      <c r="H40" s="2009">
        <v>6.1882451855842771</v>
      </c>
      <c r="I40" s="2009">
        <v>6.1708966638579916</v>
      </c>
      <c r="J40" s="2009">
        <v>6.2749219407872427</v>
      </c>
      <c r="K40" s="2009">
        <v>6.2584072346820969</v>
      </c>
      <c r="L40" s="2009">
        <v>6.2238467581065251</v>
      </c>
      <c r="M40" s="2009">
        <v>6.1966277223489419</v>
      </c>
      <c r="N40" s="2009">
        <v>5.3448820609932088</v>
      </c>
      <c r="O40" s="2009">
        <v>5.4693705973281332</v>
      </c>
      <c r="P40" s="2009">
        <v>4.6992534403651591</v>
      </c>
      <c r="Q40" s="2009">
        <v>1.9024333694025033</v>
      </c>
      <c r="R40" s="2009">
        <v>1.4537210467866051</v>
      </c>
      <c r="S40" s="3346">
        <v>1.1376217224760536</v>
      </c>
      <c r="T40" s="4118">
        <v>1.0561393573087141</v>
      </c>
      <c r="U40" s="4449">
        <v>6.1708966638579916</v>
      </c>
      <c r="V40" s="4450"/>
    </row>
    <row r="41" spans="2:22" s="132" customFormat="1" ht="39.5" customHeight="1">
      <c r="B41" s="2002" t="s">
        <v>842</v>
      </c>
      <c r="C41" s="2009">
        <v>9.5300481514857367</v>
      </c>
      <c r="D41" s="2009">
        <v>9.58123932474866</v>
      </c>
      <c r="E41" s="2009">
        <v>10.815497235398626</v>
      </c>
      <c r="F41" s="2009">
        <v>11.406003455488047</v>
      </c>
      <c r="G41" s="2009">
        <v>13.872927697271747</v>
      </c>
      <c r="H41" s="2009">
        <v>14.38618391363762</v>
      </c>
      <c r="I41" s="2009">
        <v>12.962890978583033</v>
      </c>
      <c r="J41" s="2009">
        <v>13.057375692735627</v>
      </c>
      <c r="K41" s="2009">
        <v>12.844643258164448</v>
      </c>
      <c r="L41" s="2009">
        <v>12.93256268220664</v>
      </c>
      <c r="M41" s="2009">
        <v>12.232842781487699</v>
      </c>
      <c r="N41" s="2009">
        <v>11.282366310675032</v>
      </c>
      <c r="O41" s="2009">
        <v>10.690948887825588</v>
      </c>
      <c r="P41" s="2009">
        <v>8.1552081132605814</v>
      </c>
      <c r="Q41" s="2009">
        <v>6.1052750197986123</v>
      </c>
      <c r="R41" s="2009">
        <v>5.6523615608924951</v>
      </c>
      <c r="S41" s="3346">
        <v>6.3316201735024835</v>
      </c>
      <c r="T41" s="4118">
        <v>5.5826122386704302</v>
      </c>
      <c r="U41" s="4449">
        <v>12.962890978583033</v>
      </c>
      <c r="V41" s="4450"/>
    </row>
    <row r="42" spans="2:22" s="132" customFormat="1" ht="39.5" customHeight="1">
      <c r="B42" s="2002" t="s">
        <v>0</v>
      </c>
      <c r="C42" s="2009">
        <v>74.167776406234708</v>
      </c>
      <c r="D42" s="2009">
        <v>81.312549466690314</v>
      </c>
      <c r="E42" s="2009">
        <v>112.09071112509972</v>
      </c>
      <c r="F42" s="2009">
        <v>121.05438019136594</v>
      </c>
      <c r="G42" s="2009">
        <v>136.63798645066134</v>
      </c>
      <c r="H42" s="2009">
        <v>142.80472011526774</v>
      </c>
      <c r="I42" s="2009">
        <v>153.23239060416685</v>
      </c>
      <c r="J42" s="2009">
        <v>154.17285630117897</v>
      </c>
      <c r="K42" s="2009">
        <v>147.68023527719819</v>
      </c>
      <c r="L42" s="2009">
        <v>161.39227376576773</v>
      </c>
      <c r="M42" s="2009">
        <v>152.1758423326728</v>
      </c>
      <c r="N42" s="2009">
        <v>151.21482387098445</v>
      </c>
      <c r="O42" s="2009">
        <v>179.88899470160908</v>
      </c>
      <c r="P42" s="2009">
        <v>185.31920458003577</v>
      </c>
      <c r="Q42" s="2009">
        <v>156.59316266859608</v>
      </c>
      <c r="R42" s="2009">
        <v>176.41859420208129</v>
      </c>
      <c r="S42" s="3346">
        <v>240.92213894272319</v>
      </c>
      <c r="T42" s="4118">
        <v>248.5054345247006</v>
      </c>
      <c r="U42" s="4449">
        <v>153.23239060416685</v>
      </c>
      <c r="V42" s="4450"/>
    </row>
    <row r="43" spans="2:22" s="132" customFormat="1" ht="39.5" customHeight="1">
      <c r="B43" s="2002" t="s">
        <v>843</v>
      </c>
      <c r="C43" s="2009">
        <v>3.1752550630410132</v>
      </c>
      <c r="D43" s="2009">
        <v>3.8479855826980702</v>
      </c>
      <c r="E43" s="2009">
        <v>3.8344057949258761</v>
      </c>
      <c r="F43" s="2009">
        <v>3.7308745047535656</v>
      </c>
      <c r="G43" s="2009">
        <v>3.8747513873948582</v>
      </c>
      <c r="H43" s="2009">
        <v>4.1796390423538226</v>
      </c>
      <c r="I43" s="2009">
        <v>4.1108445587026896</v>
      </c>
      <c r="J43" s="2009">
        <v>4.0112517960839895</v>
      </c>
      <c r="K43" s="2009">
        <v>4.0392214049976394</v>
      </c>
      <c r="L43" s="2009">
        <v>3.9064889142737984</v>
      </c>
      <c r="M43" s="2009">
        <v>4.0229242998642256</v>
      </c>
      <c r="N43" s="2009">
        <v>4.1830168942253723</v>
      </c>
      <c r="O43" s="2009">
        <v>4.5500962627762078</v>
      </c>
      <c r="P43" s="2009">
        <v>4.6583318353658534</v>
      </c>
      <c r="Q43" s="2009">
        <v>3.6292939750027888</v>
      </c>
      <c r="R43" s="2009">
        <v>3.9598363132119099</v>
      </c>
      <c r="S43" s="3346">
        <v>4.0481330362071981</v>
      </c>
      <c r="T43" s="4118">
        <v>4.808705085657893</v>
      </c>
      <c r="U43" s="4449">
        <v>4.1108445587026896</v>
      </c>
      <c r="V43" s="4450"/>
    </row>
    <row r="44" spans="2:22" s="132" customFormat="1" ht="15" customHeight="1">
      <c r="B44" s="139"/>
      <c r="C44" s="2009"/>
      <c r="D44" s="2094"/>
      <c r="E44" s="2007"/>
      <c r="F44" s="2007"/>
      <c r="G44" s="2007"/>
      <c r="H44" s="2007"/>
      <c r="I44" s="2007"/>
      <c r="J44" s="2094"/>
      <c r="K44" s="2007"/>
      <c r="L44" s="2007"/>
      <c r="M44" s="2007"/>
      <c r="N44" s="2094"/>
      <c r="O44" s="2007"/>
      <c r="P44" s="2007"/>
      <c r="Q44" s="2007"/>
      <c r="R44" s="2008"/>
      <c r="S44" s="3348"/>
      <c r="T44" s="4117"/>
      <c r="U44" s="4449"/>
      <c r="V44" s="4450"/>
    </row>
    <row r="45" spans="2:22" s="132" customFormat="1" ht="36.75" customHeight="1">
      <c r="B45" s="138" t="s">
        <v>882</v>
      </c>
      <c r="C45" s="2000">
        <f>(C46+C47)*0+357</f>
        <v>357</v>
      </c>
      <c r="D45" s="2000">
        <f>(D46+D47)*0+399.5</f>
        <v>399.5</v>
      </c>
      <c r="E45" s="2000">
        <f>(E46+E47)*0+413.2</f>
        <v>413.2</v>
      </c>
      <c r="F45" s="2000">
        <f>(F46+F47)*0+409.4</f>
        <v>409.4</v>
      </c>
      <c r="G45" s="2000">
        <f>(G46+G47)*0+365.8</f>
        <v>365.8</v>
      </c>
      <c r="H45" s="2000">
        <f>(H46+H47)*0+368.2</f>
        <v>368.2</v>
      </c>
      <c r="I45" s="2000">
        <f>(I46+I47)*0+359.6</f>
        <v>359.6</v>
      </c>
      <c r="J45" s="2000">
        <f>(J46+J47)*0+358</f>
        <v>358</v>
      </c>
      <c r="K45" s="2000">
        <f>(K46+K47)*0+314.1</f>
        <v>314.10000000000002</v>
      </c>
      <c r="L45" s="2000">
        <f>(L46+L47)*0+325.1</f>
        <v>325.10000000000002</v>
      </c>
      <c r="M45" s="2000">
        <f t="shared" ref="M45:T45" si="3">M46+M47</f>
        <v>386.03688339112028</v>
      </c>
      <c r="N45" s="2000">
        <f t="shared" si="3"/>
        <v>386.92336873799559</v>
      </c>
      <c r="O45" s="2000">
        <f t="shared" si="3"/>
        <v>384.86793334390904</v>
      </c>
      <c r="P45" s="2000">
        <f t="shared" si="3"/>
        <v>402.20804426670981</v>
      </c>
      <c r="Q45" s="2000">
        <f t="shared" si="3"/>
        <v>363.47413931839156</v>
      </c>
      <c r="R45" s="2000">
        <f t="shared" si="3"/>
        <v>364.99012480189617</v>
      </c>
      <c r="S45" s="2000">
        <f t="shared" si="3"/>
        <v>353.52505054840378</v>
      </c>
      <c r="T45" s="2000">
        <f t="shared" si="3"/>
        <v>358.76716759135297</v>
      </c>
      <c r="U45" s="4449"/>
      <c r="V45" s="4450"/>
    </row>
    <row r="46" spans="2:22" s="132" customFormat="1" ht="39.5" customHeight="1">
      <c r="B46" s="2002" t="s">
        <v>648</v>
      </c>
      <c r="C46" s="2009">
        <v>293.26817013085781</v>
      </c>
      <c r="D46" s="2009">
        <v>325.19093367850303</v>
      </c>
      <c r="E46" s="2009">
        <v>341.38564729317068</v>
      </c>
      <c r="F46" s="2009">
        <v>331.60497271498599</v>
      </c>
      <c r="G46" s="2009">
        <v>309.02008450889065</v>
      </c>
      <c r="H46" s="2009">
        <v>314.57664659123793</v>
      </c>
      <c r="I46" s="2009">
        <v>313.04779433192613</v>
      </c>
      <c r="J46" s="2009">
        <v>316.0287765052388</v>
      </c>
      <c r="K46" s="2009">
        <v>286.47962516879608</v>
      </c>
      <c r="L46" s="2009">
        <v>286.56894048150838</v>
      </c>
      <c r="M46" s="2009">
        <v>337.07317123475133</v>
      </c>
      <c r="N46" s="2009">
        <v>337.08299839077119</v>
      </c>
      <c r="O46" s="2009">
        <v>334.2374892710796</v>
      </c>
      <c r="P46" s="2009">
        <v>349.27798086159083</v>
      </c>
      <c r="Q46" s="2009">
        <v>311.50686220428406</v>
      </c>
      <c r="R46" s="2009">
        <v>311.78752772201585</v>
      </c>
      <c r="S46" s="3346">
        <v>300.39866534532536</v>
      </c>
      <c r="T46" s="4118">
        <v>305.16677613108641</v>
      </c>
      <c r="U46" s="4449"/>
      <c r="V46" s="4450"/>
    </row>
    <row r="47" spans="2:22" s="132" customFormat="1" ht="39.5" customHeight="1">
      <c r="B47" s="2002" t="s">
        <v>1516</v>
      </c>
      <c r="C47" s="2009">
        <v>43.059966842387439</v>
      </c>
      <c r="D47" s="2009">
        <v>44.543531406141987</v>
      </c>
      <c r="E47" s="2009">
        <v>42.863857539890816</v>
      </c>
      <c r="F47" s="2009">
        <v>52.628731964970271</v>
      </c>
      <c r="G47" s="2009">
        <v>42.81762889250308</v>
      </c>
      <c r="H47" s="2009">
        <v>40.404622960291725</v>
      </c>
      <c r="I47" s="2009">
        <v>39.376140813677821</v>
      </c>
      <c r="J47" s="2009">
        <v>41.025494098276823</v>
      </c>
      <c r="K47" s="2009">
        <v>36.758327945174912</v>
      </c>
      <c r="L47" s="2009">
        <v>46.563361992019786</v>
      </c>
      <c r="M47" s="2009">
        <v>48.963712156368949</v>
      </c>
      <c r="N47" s="2009">
        <v>49.840370347224379</v>
      </c>
      <c r="O47" s="2009">
        <v>50.630444072829434</v>
      </c>
      <c r="P47" s="2009">
        <v>52.930063405118986</v>
      </c>
      <c r="Q47" s="2009">
        <v>51.967277114107517</v>
      </c>
      <c r="R47" s="2009">
        <v>53.202597079880327</v>
      </c>
      <c r="S47" s="3346">
        <v>53.126385203078456</v>
      </c>
      <c r="T47" s="4118">
        <v>53.60039146026655</v>
      </c>
      <c r="U47" s="4449"/>
      <c r="V47" s="4450"/>
    </row>
    <row r="48" spans="2:22" ht="15" customHeight="1">
      <c r="B48" s="139"/>
      <c r="C48" s="2006"/>
      <c r="D48" s="2005"/>
      <c r="E48" s="2005"/>
      <c r="F48" s="2005"/>
      <c r="G48" s="2005"/>
      <c r="H48" s="2004"/>
      <c r="I48" s="2005"/>
      <c r="J48" s="2005"/>
      <c r="K48" s="2005"/>
      <c r="L48" s="2005"/>
      <c r="M48" s="2005"/>
      <c r="N48" s="2005"/>
      <c r="O48" s="2005"/>
      <c r="P48" s="2005"/>
      <c r="Q48" s="2005"/>
      <c r="R48" s="2004"/>
      <c r="S48" s="3347"/>
      <c r="T48" s="4118"/>
      <c r="U48" s="4448"/>
    </row>
    <row r="49" spans="2:22" s="132" customFormat="1" ht="36.75" customHeight="1">
      <c r="B49" s="138" t="s">
        <v>844</v>
      </c>
      <c r="C49" s="2000">
        <v>521.38660628999969</v>
      </c>
      <c r="D49" s="2000">
        <v>528.777434811484</v>
      </c>
      <c r="E49" s="2000">
        <v>537.77569884892034</v>
      </c>
      <c r="F49" s="2000">
        <v>543.91979783171632</v>
      </c>
      <c r="G49" s="2000">
        <v>551.79591223777265</v>
      </c>
      <c r="H49" s="2000">
        <v>552.99700569054767</v>
      </c>
      <c r="I49" s="2000">
        <v>553.09354397904826</v>
      </c>
      <c r="J49" s="2000">
        <v>558.41621704919066</v>
      </c>
      <c r="K49" s="2000">
        <v>570.30820710928629</v>
      </c>
      <c r="L49" s="2000">
        <v>569.66186625978014</v>
      </c>
      <c r="M49" s="2000">
        <v>567.74932830405623</v>
      </c>
      <c r="N49" s="2000">
        <v>569.01145550887361</v>
      </c>
      <c r="O49" s="2000">
        <v>573.58702618937946</v>
      </c>
      <c r="P49" s="2000">
        <v>567.17996484040543</v>
      </c>
      <c r="Q49" s="2000">
        <v>583.34761974965284</v>
      </c>
      <c r="R49" s="2000">
        <v>587.22367053222285</v>
      </c>
      <c r="S49" s="3345">
        <v>593.27863286811021</v>
      </c>
      <c r="T49" s="4117">
        <v>599.7075284455052</v>
      </c>
      <c r="U49" s="4449"/>
      <c r="V49" s="4450"/>
    </row>
    <row r="50" spans="2:22" s="132" customFormat="1" ht="36.75" customHeight="1">
      <c r="B50" s="138" t="s">
        <v>845</v>
      </c>
      <c r="C50" s="2000">
        <v>51.232921191324401</v>
      </c>
      <c r="D50" s="2000">
        <v>46.985542853232154</v>
      </c>
      <c r="E50" s="2000">
        <v>50.657982960873944</v>
      </c>
      <c r="F50" s="2000">
        <v>52.459889409398279</v>
      </c>
      <c r="G50" s="2000">
        <v>54.971492481586864</v>
      </c>
      <c r="H50" s="2000">
        <v>54.537908465382728</v>
      </c>
      <c r="I50" s="2000">
        <v>54.829439117793584</v>
      </c>
      <c r="J50" s="2000">
        <v>53.637220554805566</v>
      </c>
      <c r="K50" s="2000">
        <v>53.510108970667197</v>
      </c>
      <c r="L50" s="2000">
        <v>54.846526591252299</v>
      </c>
      <c r="M50" s="2000">
        <v>56.101429061723131</v>
      </c>
      <c r="N50" s="2000">
        <v>53.812602799440036</v>
      </c>
      <c r="O50" s="2000">
        <v>52.942336584705117</v>
      </c>
      <c r="P50" s="2000">
        <v>46.440167050787934</v>
      </c>
      <c r="Q50" s="2000">
        <v>38.536782135713189</v>
      </c>
      <c r="R50" s="2000">
        <v>38.816729327761351</v>
      </c>
      <c r="S50" s="3345">
        <v>46.45046008665075</v>
      </c>
      <c r="T50" s="4117">
        <v>51.697118505497428</v>
      </c>
      <c r="U50" s="4449"/>
      <c r="V50" s="4450"/>
    </row>
    <row r="51" spans="2:22" s="132" customFormat="1" ht="36.75" customHeight="1">
      <c r="B51" s="138" t="s">
        <v>919</v>
      </c>
      <c r="C51" s="2000">
        <v>2.2342312404910691</v>
      </c>
      <c r="D51" s="2000">
        <v>3.1892306759595304</v>
      </c>
      <c r="E51" s="2000">
        <v>3.5419668804288231</v>
      </c>
      <c r="F51" s="2000">
        <v>3.1797802762327536</v>
      </c>
      <c r="G51" s="2000">
        <v>2.9900188892083568</v>
      </c>
      <c r="H51" s="2000">
        <v>3.0314473176729062</v>
      </c>
      <c r="I51" s="2000">
        <v>2.7535679264133037</v>
      </c>
      <c r="J51" s="2000">
        <v>2.3868618737075114</v>
      </c>
      <c r="K51" s="2000">
        <v>2.2441846889321773</v>
      </c>
      <c r="L51" s="2000">
        <v>2.5882169175395244</v>
      </c>
      <c r="M51" s="2000">
        <v>2.4964597608498464</v>
      </c>
      <c r="N51" s="2000">
        <v>2.288584561996883</v>
      </c>
      <c r="O51" s="2000">
        <v>2.9979784290163107</v>
      </c>
      <c r="P51" s="2000">
        <v>2.9236569605263028</v>
      </c>
      <c r="Q51" s="2000">
        <v>2.1678953412989213</v>
      </c>
      <c r="R51" s="2000">
        <v>2.2100158103865706</v>
      </c>
      <c r="S51" s="3345">
        <v>2.8575552556003054</v>
      </c>
      <c r="T51" s="4117">
        <v>2.7617956933407646</v>
      </c>
      <c r="U51" s="4449"/>
      <c r="V51" s="4450"/>
    </row>
    <row r="52" spans="2:22" s="132" customFormat="1" ht="36.75" customHeight="1">
      <c r="B52" s="138" t="s">
        <v>921</v>
      </c>
      <c r="C52" s="2000">
        <v>40.423624534764485</v>
      </c>
      <c r="D52" s="2000">
        <v>50.2117217625566</v>
      </c>
      <c r="E52" s="2000">
        <v>52.803965128319156</v>
      </c>
      <c r="F52" s="2000">
        <v>54.994746359706731</v>
      </c>
      <c r="G52" s="2000">
        <v>55.14568058540231</v>
      </c>
      <c r="H52" s="2000">
        <v>54.3721087318592</v>
      </c>
      <c r="I52" s="2000">
        <v>50.91323188542961</v>
      </c>
      <c r="J52" s="2000">
        <v>49.685165567082208</v>
      </c>
      <c r="K52" s="2000">
        <v>52.50202317826313</v>
      </c>
      <c r="L52" s="2000">
        <v>57.29942383616779</v>
      </c>
      <c r="M52" s="2000">
        <v>55.764094048760803</v>
      </c>
      <c r="N52" s="2000">
        <v>63.389829487530861</v>
      </c>
      <c r="O52" s="2000">
        <v>69.111309176217134</v>
      </c>
      <c r="P52" s="2000">
        <v>69.13128448317795</v>
      </c>
      <c r="Q52" s="2000">
        <v>24.856608222031323</v>
      </c>
      <c r="R52" s="2000">
        <v>21.593710545895522</v>
      </c>
      <c r="S52" s="3345">
        <v>48.503307448721756</v>
      </c>
      <c r="T52" s="4117">
        <v>56.337363260944684</v>
      </c>
      <c r="U52" s="4449"/>
      <c r="V52" s="4450"/>
    </row>
    <row r="53" spans="2:22" s="132" customFormat="1" ht="36.75" customHeight="1">
      <c r="B53" s="138" t="s">
        <v>920</v>
      </c>
      <c r="C53" s="2000">
        <v>63.516437858979614</v>
      </c>
      <c r="D53" s="2000">
        <v>74.239484647673862</v>
      </c>
      <c r="E53" s="2000">
        <v>84.262177389659456</v>
      </c>
      <c r="F53" s="2000">
        <v>88.197034998986936</v>
      </c>
      <c r="G53" s="2000">
        <v>89.186147505713677</v>
      </c>
      <c r="H53" s="2000">
        <v>95.195108641885355</v>
      </c>
      <c r="I53" s="2000">
        <v>95.652728242159696</v>
      </c>
      <c r="J53" s="2000">
        <v>95.722254097273861</v>
      </c>
      <c r="K53" s="2000">
        <v>99.279432445419587</v>
      </c>
      <c r="L53" s="2000">
        <v>107.53159035538226</v>
      </c>
      <c r="M53" s="2000">
        <v>119.2013737752779</v>
      </c>
      <c r="N53" s="2000">
        <v>120.89753063750138</v>
      </c>
      <c r="O53" s="2000">
        <v>127.12331657405397</v>
      </c>
      <c r="P53" s="2000">
        <v>124.35226561454073</v>
      </c>
      <c r="Q53" s="2000">
        <v>90.430099278970062</v>
      </c>
      <c r="R53" s="2000">
        <v>102.34194060762688</v>
      </c>
      <c r="S53" s="3345">
        <v>109.05999203225306</v>
      </c>
      <c r="T53" s="4117">
        <v>108.60727233472474</v>
      </c>
      <c r="U53" s="4449"/>
      <c r="V53" s="4450"/>
    </row>
    <row r="54" spans="2:22" ht="15" customHeight="1">
      <c r="B54" s="139"/>
      <c r="C54" s="2000"/>
      <c r="D54" s="2000"/>
      <c r="E54" s="2000"/>
      <c r="F54" s="2000"/>
      <c r="G54" s="2000"/>
      <c r="H54" s="2000"/>
      <c r="I54" s="2000"/>
      <c r="J54" s="2000"/>
      <c r="K54" s="2000"/>
      <c r="L54" s="2000"/>
      <c r="M54" s="2000"/>
      <c r="N54" s="2000"/>
      <c r="O54" s="2000"/>
      <c r="P54" s="2000"/>
      <c r="Q54" s="2000"/>
      <c r="R54" s="2000"/>
      <c r="S54" s="3345"/>
      <c r="T54" s="4118"/>
      <c r="U54" s="4448"/>
    </row>
    <row r="55" spans="2:22" s="132" customFormat="1" ht="36.75" customHeight="1">
      <c r="B55" s="138" t="s">
        <v>649</v>
      </c>
      <c r="C55" s="2000">
        <v>239.75471466388075</v>
      </c>
      <c r="D55" s="2000">
        <v>239.85892006682076</v>
      </c>
      <c r="E55" s="2000">
        <v>244.50440760939281</v>
      </c>
      <c r="F55" s="2000">
        <v>250.64458556660773</v>
      </c>
      <c r="G55" s="2000">
        <v>257.6256417763795</v>
      </c>
      <c r="H55" s="2000">
        <v>264.08747396663125</v>
      </c>
      <c r="I55" s="2000">
        <v>268.19077057734813</v>
      </c>
      <c r="J55" s="2000">
        <v>274.0562368257448</v>
      </c>
      <c r="K55" s="2000">
        <v>274.08815352016018</v>
      </c>
      <c r="L55" s="2000">
        <v>271.75980632066296</v>
      </c>
      <c r="M55" s="2000">
        <v>272.0653088144162</v>
      </c>
      <c r="N55" s="2000">
        <v>272.84924655071012</v>
      </c>
      <c r="O55" s="2000">
        <v>276.55817628837332</v>
      </c>
      <c r="P55" s="2000">
        <v>284.35245681913023</v>
      </c>
      <c r="Q55" s="2000">
        <v>294.50886403038015</v>
      </c>
      <c r="R55" s="2000">
        <v>300.74615115586369</v>
      </c>
      <c r="S55" s="3345">
        <v>306.59780126251809</v>
      </c>
      <c r="T55" s="4117">
        <v>283.12480450664481</v>
      </c>
      <c r="U55" s="4449"/>
      <c r="V55" s="4450"/>
    </row>
    <row r="56" spans="2:22" s="132" customFormat="1" ht="36.75" customHeight="1">
      <c r="B56" s="138"/>
      <c r="C56" s="2000"/>
      <c r="D56" s="2000"/>
      <c r="E56" s="2000"/>
      <c r="F56" s="2000"/>
      <c r="G56" s="2000"/>
      <c r="H56" s="2000"/>
      <c r="I56" s="2000"/>
      <c r="J56" s="2000"/>
      <c r="K56" s="2000"/>
      <c r="L56" s="2000"/>
      <c r="M56" s="2000"/>
      <c r="N56" s="2000"/>
      <c r="O56" s="2000"/>
      <c r="P56" s="2000"/>
      <c r="Q56" s="2000"/>
      <c r="R56" s="2000"/>
      <c r="S56" s="3345"/>
      <c r="T56" s="4117"/>
      <c r="U56" s="4449"/>
      <c r="V56" s="4450"/>
    </row>
    <row r="57" spans="2:22" s="132" customFormat="1" ht="36.75" customHeight="1">
      <c r="B57" s="138" t="s">
        <v>104</v>
      </c>
      <c r="C57" s="2000">
        <f>(C58+C59)*0+143.1</f>
        <v>143.1</v>
      </c>
      <c r="D57" s="2000">
        <f>(D58+D59)*0+144.7</f>
        <v>144.69999999999999</v>
      </c>
      <c r="E57" s="2000">
        <f>(E58+E59)*0+148.8</f>
        <v>148.80000000000001</v>
      </c>
      <c r="F57" s="2000">
        <f>(F58+F59)*0+153.8</f>
        <v>153.80000000000001</v>
      </c>
      <c r="G57" s="2000">
        <f>(G58+G59)*0+157.2</f>
        <v>157.19999999999999</v>
      </c>
      <c r="H57" s="2000">
        <f>(H58+H59)*0+161.1</f>
        <v>161.1</v>
      </c>
      <c r="I57" s="2000">
        <f>(I58+I59)*0+163.9</f>
        <v>163.9</v>
      </c>
      <c r="J57" s="2000">
        <f>(J58+J59)*0+166.5</f>
        <v>166.5</v>
      </c>
      <c r="K57" s="2000">
        <f>(K58+K59)*0+166.1</f>
        <v>166.1</v>
      </c>
      <c r="L57" s="2000">
        <f>(L58+L59)*0+163.9</f>
        <v>163.9</v>
      </c>
      <c r="M57" s="2000">
        <f t="shared" ref="M57" si="4">M58+M59</f>
        <v>165.03544205924175</v>
      </c>
      <c r="N57" s="2000">
        <f t="shared" ref="N57" si="5">N58+N59</f>
        <v>167.76274763639591</v>
      </c>
      <c r="O57" s="2000">
        <f t="shared" ref="O57" si="6">O58+O59</f>
        <v>169.15909638159638</v>
      </c>
      <c r="P57" s="2000">
        <f t="shared" ref="P57" si="7">P58+P59</f>
        <v>172.84364148079811</v>
      </c>
      <c r="Q57" s="2000">
        <f t="shared" ref="Q57" si="8">Q58+Q59</f>
        <v>168.76620037401594</v>
      </c>
      <c r="R57" s="2000">
        <f t="shared" ref="R57" si="9">R58+R59</f>
        <v>172.33599806528454</v>
      </c>
      <c r="S57" s="2000">
        <f t="shared" ref="S57" si="10">S58+S59</f>
        <v>180.63758776541502</v>
      </c>
      <c r="T57" s="2000">
        <f t="shared" ref="T57" si="11">T58+T59</f>
        <v>168.62871319201196</v>
      </c>
      <c r="U57" s="4449"/>
      <c r="V57" s="4450"/>
    </row>
    <row r="58" spans="2:22" s="132" customFormat="1" ht="39.5" customHeight="1">
      <c r="B58" s="2002" t="s">
        <v>1517</v>
      </c>
      <c r="C58" s="2009">
        <v>117.50609029401268</v>
      </c>
      <c r="D58" s="2009">
        <v>119.79054038115684</v>
      </c>
      <c r="E58" s="2009">
        <v>122.20688137747163</v>
      </c>
      <c r="F58" s="2009">
        <v>125.19557914943255</v>
      </c>
      <c r="G58" s="2009">
        <v>128.61727726470838</v>
      </c>
      <c r="H58" s="2009">
        <v>131.51016748944164</v>
      </c>
      <c r="I58" s="2009">
        <v>133.59802546668993</v>
      </c>
      <c r="J58" s="2009">
        <v>136.6489359316559</v>
      </c>
      <c r="K58" s="2009">
        <v>136.61907383901351</v>
      </c>
      <c r="L58" s="2009">
        <v>135.45445222595959</v>
      </c>
      <c r="M58" s="2009">
        <v>135.38104124821365</v>
      </c>
      <c r="N58" s="2009">
        <v>136.56183816144886</v>
      </c>
      <c r="O58" s="2009">
        <v>138.54517881444875</v>
      </c>
      <c r="P58" s="2009">
        <v>142.31153524897235</v>
      </c>
      <c r="Q58" s="2009">
        <v>146.4810299341685</v>
      </c>
      <c r="R58" s="2009">
        <v>149.62401518478185</v>
      </c>
      <c r="S58" s="3346">
        <v>152.00551707301383</v>
      </c>
      <c r="T58" s="4118">
        <v>140.23611994611437</v>
      </c>
      <c r="U58" s="4449"/>
      <c r="V58" s="4450"/>
    </row>
    <row r="59" spans="2:22" s="132" customFormat="1" ht="39.5" customHeight="1">
      <c r="B59" s="2002" t="s">
        <v>1518</v>
      </c>
      <c r="C59" s="2009">
        <v>25.768110337071953</v>
      </c>
      <c r="D59" s="2009">
        <v>24.787516192823141</v>
      </c>
      <c r="E59" s="2009">
        <v>26.511893222446762</v>
      </c>
      <c r="F59" s="2009">
        <v>28.43723003233913</v>
      </c>
      <c r="G59" s="2009">
        <v>28.432099674964554</v>
      </c>
      <c r="H59" s="2009">
        <v>29.505708407361126</v>
      </c>
      <c r="I59" s="2009">
        <v>30.235011687373607</v>
      </c>
      <c r="J59" s="2009">
        <v>29.631817607510989</v>
      </c>
      <c r="K59" s="2009">
        <v>29.315871448676205</v>
      </c>
      <c r="L59" s="2009">
        <v>28.386264541421916</v>
      </c>
      <c r="M59" s="2009">
        <v>29.654400811028111</v>
      </c>
      <c r="N59" s="2009">
        <v>31.200909474947046</v>
      </c>
      <c r="O59" s="2009">
        <v>30.613917567147631</v>
      </c>
      <c r="P59" s="2009">
        <v>30.532106231825779</v>
      </c>
      <c r="Q59" s="2009">
        <v>22.285170439847438</v>
      </c>
      <c r="R59" s="2009">
        <v>22.711982880502699</v>
      </c>
      <c r="S59" s="3346">
        <v>28.632070692401186</v>
      </c>
      <c r="T59" s="4118">
        <v>28.392593245897586</v>
      </c>
      <c r="U59" s="4449"/>
      <c r="V59" s="4450"/>
    </row>
    <row r="60" spans="2:22" ht="15" customHeight="1">
      <c r="B60" s="139"/>
      <c r="C60" s="2006"/>
      <c r="D60" s="2005"/>
      <c r="E60" s="2009"/>
      <c r="F60" s="2009"/>
      <c r="G60" s="2009"/>
      <c r="H60" s="2009"/>
      <c r="I60" s="2009"/>
      <c r="J60" s="2009"/>
      <c r="K60" s="2009"/>
      <c r="L60" s="2009"/>
      <c r="M60" s="2009"/>
      <c r="N60" s="2009"/>
      <c r="O60" s="2009"/>
      <c r="P60" s="2009"/>
      <c r="Q60" s="2009"/>
      <c r="R60" s="2009"/>
      <c r="S60" s="3349"/>
      <c r="T60" s="4118"/>
      <c r="U60" s="4448"/>
    </row>
    <row r="61" spans="2:22" s="132" customFormat="1" ht="36.75" customHeight="1">
      <c r="B61" s="138" t="s">
        <v>639</v>
      </c>
      <c r="C61" s="2000">
        <v>92.586943881983487</v>
      </c>
      <c r="D61" s="2000">
        <f>(D62+D63)*0+98.7</f>
        <v>98.7</v>
      </c>
      <c r="E61" s="2000">
        <f>(E62+E63)*0+103.8</f>
        <v>103.8</v>
      </c>
      <c r="F61" s="2000">
        <f>(F62+F63)*0+108.9</f>
        <v>108.9</v>
      </c>
      <c r="G61" s="2000">
        <f>(G62+G63)*0+114.8</f>
        <v>114.8</v>
      </c>
      <c r="H61" s="2000">
        <f>(H62+H63)*0+120.5</f>
        <v>120.5</v>
      </c>
      <c r="I61" s="2000">
        <f>(I62+I63)*0+123</f>
        <v>123</v>
      </c>
      <c r="J61" s="2000">
        <f>(J62+J63)*0+122.2</f>
        <v>122.2</v>
      </c>
      <c r="K61" s="2000">
        <f>(K62+K63)*0+126.1</f>
        <v>126.1</v>
      </c>
      <c r="L61" s="2000">
        <f>(L62+L63)*0+127.7</f>
        <v>127.7</v>
      </c>
      <c r="M61" s="2000">
        <f t="shared" ref="M61" si="12">M62+M63</f>
        <v>129.83831406460624</v>
      </c>
      <c r="N61" s="2000">
        <f t="shared" ref="N61" si="13">N62+N63</f>
        <v>132.84918747956419</v>
      </c>
      <c r="O61" s="2000">
        <f t="shared" ref="O61" si="14">O62+O63</f>
        <v>136.98317030982474</v>
      </c>
      <c r="P61" s="2000">
        <f t="shared" ref="P61" si="15">P62+P63</f>
        <v>146.45617491647045</v>
      </c>
      <c r="Q61" s="2000">
        <f t="shared" ref="Q61" si="16">Q62+Q63</f>
        <v>133.34853857316884</v>
      </c>
      <c r="R61" s="2000">
        <f t="shared" ref="R61" si="17">R62+R63</f>
        <v>137.2584293235015</v>
      </c>
      <c r="S61" s="2000">
        <f t="shared" ref="S61" si="18">S62+S63</f>
        <v>138.24112020263166</v>
      </c>
      <c r="T61" s="2000">
        <f t="shared" ref="T61" si="19">T62+T63</f>
        <v>132.02375284192604</v>
      </c>
      <c r="U61" s="4449"/>
      <c r="V61" s="4450"/>
    </row>
    <row r="62" spans="2:22" s="132" customFormat="1" ht="39.5" customHeight="1">
      <c r="B62" s="2002" t="s">
        <v>1517</v>
      </c>
      <c r="C62" s="2009">
        <v>73.495575214961193</v>
      </c>
      <c r="D62" s="2009">
        <v>74.924411565353154</v>
      </c>
      <c r="E62" s="2009">
        <v>76.435740646214384</v>
      </c>
      <c r="F62" s="2009">
        <v>78.305057047979943</v>
      </c>
      <c r="G62" s="2009">
        <v>80.445198640342682</v>
      </c>
      <c r="H62" s="2009">
        <v>82.254591077522079</v>
      </c>
      <c r="I62" s="2009">
        <v>83.560466565516521</v>
      </c>
      <c r="J62" s="2009">
        <v>85.468694632597732</v>
      </c>
      <c r="K62" s="2009">
        <v>85.450017033246212</v>
      </c>
      <c r="L62" s="2009">
        <v>84.721590658536584</v>
      </c>
      <c r="M62" s="2009">
        <v>84.675674893464048</v>
      </c>
      <c r="N62" s="2009">
        <v>85.414218301155785</v>
      </c>
      <c r="O62" s="2009">
        <v>86.654722191419836</v>
      </c>
      <c r="P62" s="2009">
        <v>89.010434409631472</v>
      </c>
      <c r="Q62" s="2009">
        <v>91.618294219088725</v>
      </c>
      <c r="R62" s="2009">
        <v>93.584111550837207</v>
      </c>
      <c r="S62" s="3346">
        <v>95.073650099121636</v>
      </c>
      <c r="T62" s="4118">
        <v>87.712341339616117</v>
      </c>
      <c r="U62" s="4449"/>
      <c r="V62" s="4450"/>
    </row>
    <row r="63" spans="2:22" s="132" customFormat="1" ht="39.5" customHeight="1">
      <c r="B63" s="2002" t="s">
        <v>1518</v>
      </c>
      <c r="C63" s="2009">
        <v>25.748245817446868</v>
      </c>
      <c r="D63" s="2009">
        <v>28.979536808835732</v>
      </c>
      <c r="E63" s="2009">
        <v>31.534805344141041</v>
      </c>
      <c r="F63" s="2009">
        <v>33.929023162247404</v>
      </c>
      <c r="G63" s="2009">
        <v>36.87006433981044</v>
      </c>
      <c r="H63" s="2009">
        <v>39.823399124215804</v>
      </c>
      <c r="I63" s="2009">
        <v>40.882815566774177</v>
      </c>
      <c r="J63" s="2009">
        <v>39.3059195907326</v>
      </c>
      <c r="K63" s="2009">
        <v>42.092089220319558</v>
      </c>
      <c r="L63" s="2009">
        <v>43.724315349247817</v>
      </c>
      <c r="M63" s="2009">
        <v>45.162639171142182</v>
      </c>
      <c r="N63" s="2009">
        <v>47.434969178408409</v>
      </c>
      <c r="O63" s="2009">
        <v>50.328448118404907</v>
      </c>
      <c r="P63" s="2009">
        <v>57.445740506838959</v>
      </c>
      <c r="Q63" s="2009">
        <v>41.730244354080114</v>
      </c>
      <c r="R63" s="2009">
        <v>43.674317772664281</v>
      </c>
      <c r="S63" s="3346">
        <v>43.167470103510034</v>
      </c>
      <c r="T63" s="4118">
        <v>44.31141150230993</v>
      </c>
      <c r="U63" s="4449"/>
      <c r="V63" s="4450"/>
    </row>
    <row r="64" spans="2:22" ht="15" customHeight="1">
      <c r="B64" s="139"/>
      <c r="C64" s="2094"/>
      <c r="D64" s="2010"/>
      <c r="E64" s="2010"/>
      <c r="F64" s="2010"/>
      <c r="G64" s="2007"/>
      <c r="H64" s="2094"/>
      <c r="I64" s="2010"/>
      <c r="J64" s="2007"/>
      <c r="K64" s="2010"/>
      <c r="L64" s="2010"/>
      <c r="M64" s="2007"/>
      <c r="N64" s="2094"/>
      <c r="O64" s="2010"/>
      <c r="P64" s="2010"/>
      <c r="Q64" s="2007"/>
      <c r="R64" s="2008"/>
      <c r="S64" s="3348"/>
      <c r="T64" s="4118"/>
      <c r="U64" s="4448"/>
    </row>
    <row r="65" spans="2:22" s="132" customFormat="1" ht="36.75" customHeight="1">
      <c r="B65" s="138" t="s">
        <v>848</v>
      </c>
      <c r="C65" s="2000">
        <v>86.122104943680313</v>
      </c>
      <c r="D65" s="2000">
        <v>101.13272724385273</v>
      </c>
      <c r="E65" s="2000">
        <v>100.58512964404494</v>
      </c>
      <c r="F65" s="2000">
        <v>99.093210867012914</v>
      </c>
      <c r="G65" s="2000">
        <v>100.72949938699767</v>
      </c>
      <c r="H65" s="2000">
        <v>176.39625219126199</v>
      </c>
      <c r="I65" s="2000">
        <v>172.82541989349372</v>
      </c>
      <c r="J65" s="2000">
        <v>169.92544728983876</v>
      </c>
      <c r="K65" s="2000">
        <v>161.66228611474145</v>
      </c>
      <c r="L65" s="2000">
        <v>147.26722394488036</v>
      </c>
      <c r="M65" s="2000">
        <v>148.97673747116707</v>
      </c>
      <c r="N65" s="2000">
        <v>165.05972729808323</v>
      </c>
      <c r="O65" s="2000">
        <v>181.21252274641131</v>
      </c>
      <c r="P65" s="2000">
        <v>178.03527725025276</v>
      </c>
      <c r="Q65" s="2000">
        <v>119.55479838189797</v>
      </c>
      <c r="R65" s="2000">
        <v>90.279188860034225</v>
      </c>
      <c r="S65" s="3345">
        <v>118.87200339246932</v>
      </c>
      <c r="T65" s="4117">
        <v>133.84753723964297</v>
      </c>
      <c r="U65" s="4449"/>
      <c r="V65" s="4450"/>
    </row>
    <row r="66" spans="2:22" s="132" customFormat="1" ht="36.75" customHeight="1">
      <c r="B66" s="138" t="s">
        <v>777</v>
      </c>
      <c r="C66" s="2000">
        <v>39.685110910076077</v>
      </c>
      <c r="D66" s="2000">
        <v>44.658952993914326</v>
      </c>
      <c r="E66" s="2000">
        <v>47.307509369992246</v>
      </c>
      <c r="F66" s="2000">
        <v>49.644547968723806</v>
      </c>
      <c r="G66" s="2000">
        <v>48.783244076843246</v>
      </c>
      <c r="H66" s="2000">
        <v>50.677868432353279</v>
      </c>
      <c r="I66" s="2000">
        <v>48.511435769569289</v>
      </c>
      <c r="J66" s="2000">
        <v>39.340301240740054</v>
      </c>
      <c r="K66" s="2000">
        <v>38.563167128890029</v>
      </c>
      <c r="L66" s="2000">
        <v>39.135260820075878</v>
      </c>
      <c r="M66" s="2000">
        <v>40.160394483883373</v>
      </c>
      <c r="N66" s="2000">
        <v>39.744571113427988</v>
      </c>
      <c r="O66" s="2000">
        <v>41.172970991874742</v>
      </c>
      <c r="P66" s="2000">
        <v>41.215671957714235</v>
      </c>
      <c r="Q66" s="2000">
        <v>27.998888263098369</v>
      </c>
      <c r="R66" s="2000">
        <v>28.486228728529458</v>
      </c>
      <c r="S66" s="3345">
        <v>34.939710372047088</v>
      </c>
      <c r="T66" s="4117">
        <v>35.673583681071378</v>
      </c>
      <c r="U66" s="4449"/>
      <c r="V66" s="4450"/>
    </row>
    <row r="67" spans="2:22" s="132" customFormat="1" ht="36.75" customHeight="1">
      <c r="B67" s="138" t="s">
        <v>849</v>
      </c>
      <c r="C67" s="2000">
        <v>7.6859999999999973</v>
      </c>
      <c r="D67" s="2000">
        <v>7.8029999999999964</v>
      </c>
      <c r="E67" s="2000">
        <v>8.1269999999999971</v>
      </c>
      <c r="F67" s="2000">
        <v>8.0879999999999974</v>
      </c>
      <c r="G67" s="2000">
        <v>8.6219999999999999</v>
      </c>
      <c r="H67" s="2000">
        <v>8.6489999999999974</v>
      </c>
      <c r="I67" s="2000">
        <v>8.570999999999998</v>
      </c>
      <c r="J67" s="2000">
        <v>8.3729999999999976</v>
      </c>
      <c r="K67" s="2000">
        <v>7.6919999999999984</v>
      </c>
      <c r="L67" s="2000">
        <v>8.0129999999999981</v>
      </c>
      <c r="M67" s="2000">
        <v>7.8449999999999998</v>
      </c>
      <c r="N67" s="2000">
        <v>7.8569999999999993</v>
      </c>
      <c r="O67" s="2000">
        <v>8.2380000000000013</v>
      </c>
      <c r="P67" s="2000">
        <v>8.2889999999999997</v>
      </c>
      <c r="Q67" s="2000">
        <v>6.702</v>
      </c>
      <c r="R67" s="2000">
        <v>6.8819999999999997</v>
      </c>
      <c r="S67" s="3345">
        <v>6.8819999999999997</v>
      </c>
      <c r="T67" s="4117">
        <v>6.7191604031327872</v>
      </c>
      <c r="U67" s="4449"/>
      <c r="V67" s="4450"/>
    </row>
    <row r="68" spans="2:22" ht="15" customHeight="1">
      <c r="B68" s="139"/>
      <c r="C68" s="2000"/>
      <c r="D68" s="2000"/>
      <c r="E68" s="2000"/>
      <c r="F68" s="2000"/>
      <c r="G68" s="2000"/>
      <c r="H68" s="2000"/>
      <c r="I68" s="2000"/>
      <c r="J68" s="2000"/>
      <c r="K68" s="2000"/>
      <c r="L68" s="2000"/>
      <c r="M68" s="2000"/>
      <c r="N68" s="2000"/>
      <c r="O68" s="2000"/>
      <c r="P68" s="2000"/>
      <c r="Q68" s="2000"/>
      <c r="R68" s="2000"/>
      <c r="S68" s="3345"/>
      <c r="T68" s="4118"/>
      <c r="U68" s="4448"/>
    </row>
    <row r="69" spans="2:22" ht="39" customHeight="1">
      <c r="B69" s="2708" t="s">
        <v>650</v>
      </c>
      <c r="C69" s="2707">
        <f>(C8+C16+C18+C20+C21+C23+C25+C27+C31+C39+C45+C49+C50+C51+C52+C53+C55+C57+C61+C65+C66+C67)*0+3953.3</f>
        <v>3953.3</v>
      </c>
      <c r="D69" s="2707">
        <f>(D8+D16+D18+D20+D21+D23+D25+D27+D31+D39+D45+D49+D50+D51+D52+D53+D55+D57+D61+D65+D66+D67)*0+4025.5</f>
        <v>4025.5</v>
      </c>
      <c r="E69" s="2707">
        <f>(E8+E16+E18+E20+E21+E23+E25+E27+E31+E39+E45+E49+E50+E51+E52+E53+E55+E57+E61+E65+E66+E67)*0+4230.5</f>
        <v>4230.5</v>
      </c>
      <c r="F69" s="2707">
        <f>(F8+F16+F18+F20+F21+F23+F25+F27+F31+F39+F45+F49+F50+F51+F52+F53+F55+F57+F61+F65+F66+F67)*0+4222.6</f>
        <v>4222.6000000000004</v>
      </c>
      <c r="G69" s="2707">
        <f>(G8+G16+G18+G20+G21+G23+G25+G27+G31+G39+G45+G49+G50+G51+G52+G53+G55+G57+G61+G65+G66+G67)*0+4232.9</f>
        <v>4232.8999999999996</v>
      </c>
      <c r="H69" s="2707">
        <f>(H8+H16+H18+H20+H21+H23+H25+H27+H31+H39+H45+H49+H50+H51+H52+H53+H55+H57+H61+H65+H66+H67)*0+4323.7</f>
        <v>4323.7</v>
      </c>
      <c r="I69" s="2707">
        <f>(I8+I16+I18+I20+I21+I23+I25+I27+I31+I39+I45+I49+I50+I51+I52+I53+I55+I57+I61+I65+I66+I67)*0+4367.8</f>
        <v>4367.8</v>
      </c>
      <c r="J69" s="2707">
        <f>(J8+J16+J18+J20+J21+J23+J25+J27+J31+J39+J45+J49+J50+J51+J52+J53+J55+J57+J61+J65+J66+J67)*0+4319.1</f>
        <v>4319.1000000000004</v>
      </c>
      <c r="K69" s="2707">
        <f>(K8+K16+K18+K20+K21+K23+K25+K27+K31+K39+K45+K49+K50+K51+K52+K53+K55+K57+K61+K65+K66+K67)*0+4380.9</f>
        <v>4380.8999999999996</v>
      </c>
      <c r="L69" s="2707">
        <f>(L8+L16+L18+L20+L21+L23+L25+L27+L31+L39+L45+L49+L50+L51+L52+L53+L55+L57+L61+L65+L66+L67)*0+4446.3</f>
        <v>4446.3</v>
      </c>
      <c r="M69" s="2707">
        <f t="shared" ref="M69:S69" si="20">M8+M16+M18+M20+M21+M23+M25+M27+M31+M39+M45+M49+M50+M51+M52+M53+M55+M57+M61+M65+M66+M67</f>
        <v>4531.607775774919</v>
      </c>
      <c r="N69" s="2707">
        <f t="shared" si="20"/>
        <v>4691.4292716420896</v>
      </c>
      <c r="O69" s="2707">
        <f t="shared" si="20"/>
        <v>4838.3519334936063</v>
      </c>
      <c r="P69" s="2707">
        <f t="shared" si="20"/>
        <v>4841.4633798920477</v>
      </c>
      <c r="Q69" s="2707">
        <f>(Q8+Q16+Q18+Q20+Q21+Q23+Q25+Q27+Q31+Q39+Q45+Q49+Q50+Q51+Q52+Q53+Q55+Q57+Q61+Q65+Q66+Q67)</f>
        <v>3649.2400404513614</v>
      </c>
      <c r="R69" s="2707">
        <f t="shared" si="20"/>
        <v>4038.8298876340559</v>
      </c>
      <c r="S69" s="2707">
        <f t="shared" si="20"/>
        <v>4835.581970996951</v>
      </c>
      <c r="T69" s="2707">
        <f>(T8+T16+T18+T20+T21+T23+T25+T27+T31+T39+T45+T49+T50+T51+T52+T53+T55+T57+T61+T65+T66+T67)*0+4936.3</f>
        <v>4936.3</v>
      </c>
      <c r="U69" s="4448"/>
    </row>
    <row r="70" spans="2:22" ht="15" hidden="1" customHeight="1">
      <c r="B70" s="139"/>
      <c r="C70" s="2006"/>
      <c r="D70" s="2005"/>
      <c r="E70" s="2005"/>
      <c r="F70" s="2005"/>
      <c r="G70" s="2005"/>
      <c r="H70" s="2005"/>
      <c r="I70" s="2005"/>
      <c r="J70" s="2005"/>
      <c r="K70" s="2005"/>
      <c r="L70" s="2005"/>
      <c r="M70" s="2005"/>
      <c r="N70" s="2005"/>
      <c r="O70" s="2005"/>
      <c r="P70" s="2005"/>
      <c r="Q70" s="2713"/>
      <c r="R70" s="2005"/>
      <c r="S70" s="3347"/>
      <c r="T70" s="4118"/>
      <c r="U70" s="4448"/>
    </row>
    <row r="71" spans="2:22" ht="33.5" hidden="1" customHeight="1">
      <c r="B71" s="2714" t="s">
        <v>651</v>
      </c>
      <c r="C71" s="2715"/>
      <c r="D71" s="2716">
        <v>1.8257093368156729E-2</v>
      </c>
      <c r="E71" s="2716">
        <v>5.0923132026374107E-2</v>
      </c>
      <c r="F71" s="2716">
        <v>-1.8618015101434793E-3</v>
      </c>
      <c r="G71" s="2716">
        <v>2.4273159745804573E-3</v>
      </c>
      <c r="H71" s="2716">
        <v>2.1468365287471425E-2</v>
      </c>
      <c r="I71" s="2716">
        <v>1.0195602141925608E-2</v>
      </c>
      <c r="J71" s="2716">
        <v>-1.1152254082483992E-2</v>
      </c>
      <c r="K71" s="2716">
        <v>1.4316334027249855E-2</v>
      </c>
      <c r="L71" s="2716">
        <v>1.491998101509151E-2</v>
      </c>
      <c r="M71" s="2716">
        <v>1.9186565272039324E-2</v>
      </c>
      <c r="N71" s="2716">
        <v>3.6486604641208231E-2</v>
      </c>
      <c r="O71" s="2716">
        <v>3.1675361102813326E-2</v>
      </c>
      <c r="P71" s="2716">
        <v>8.4298191809331069E-3</v>
      </c>
      <c r="Q71" s="2717">
        <v>-0.20303872513235499</v>
      </c>
      <c r="R71" s="2716"/>
      <c r="S71" s="3350"/>
      <c r="T71" s="4118"/>
      <c r="U71" s="4448"/>
    </row>
    <row r="72" spans="2:22" ht="15" customHeight="1">
      <c r="B72" s="2718"/>
      <c r="C72" s="2719"/>
      <c r="D72" s="2005"/>
      <c r="E72" s="2005"/>
      <c r="F72" s="2005"/>
      <c r="G72" s="2005"/>
      <c r="H72" s="2005"/>
      <c r="I72" s="2005"/>
      <c r="J72" s="2005"/>
      <c r="K72" s="2005"/>
      <c r="L72" s="2005"/>
      <c r="M72" s="2005"/>
      <c r="N72" s="2005"/>
      <c r="O72" s="2005"/>
      <c r="P72" s="2005"/>
      <c r="Q72" s="2720"/>
      <c r="R72" s="2004"/>
      <c r="S72" s="3347"/>
      <c r="T72" s="4118"/>
      <c r="U72" s="4448"/>
    </row>
    <row r="73" spans="2:22" s="132" customFormat="1" ht="39.5" customHeight="1">
      <c r="B73" s="2002" t="s">
        <v>652</v>
      </c>
      <c r="C73" s="2009">
        <v>687.08064740689667</v>
      </c>
      <c r="D73" s="2009">
        <v>705.10769471596132</v>
      </c>
      <c r="E73" s="2009">
        <v>730.91700251779503</v>
      </c>
      <c r="F73" s="2009">
        <v>643.92184440341612</v>
      </c>
      <c r="G73" s="2009">
        <v>658.482045048754</v>
      </c>
      <c r="H73" s="2009">
        <v>807.72095949101708</v>
      </c>
      <c r="I73" s="2009">
        <v>742.99902413228756</v>
      </c>
      <c r="J73" s="2009">
        <v>677.25804752779311</v>
      </c>
      <c r="K73" s="2009">
        <v>680.3920591697555</v>
      </c>
      <c r="L73" s="2009">
        <v>601.41487824263277</v>
      </c>
      <c r="M73" s="2009">
        <v>709.83122302759739</v>
      </c>
      <c r="N73" s="2009">
        <v>726.5948388799319</v>
      </c>
      <c r="O73" s="2009">
        <v>735.77631622000001</v>
      </c>
      <c r="P73" s="2009">
        <v>694.17732985261148</v>
      </c>
      <c r="Q73" s="2009">
        <v>536.17630122342098</v>
      </c>
      <c r="R73" s="2009">
        <v>635.14856884098401</v>
      </c>
      <c r="S73" s="3346">
        <v>788.90888500212156</v>
      </c>
      <c r="T73" s="4118">
        <v>811.59699977190849</v>
      </c>
      <c r="U73" s="4449"/>
      <c r="V73" s="4450"/>
    </row>
    <row r="74" spans="2:22" s="132" customFormat="1" ht="39.5" customHeight="1">
      <c r="B74" s="2002" t="s">
        <v>850</v>
      </c>
      <c r="C74" s="2009">
        <v>9.8696857773847579</v>
      </c>
      <c r="D74" s="2009">
        <v>10.076080698119494</v>
      </c>
      <c r="E74" s="2009">
        <v>10.476862725857536</v>
      </c>
      <c r="F74" s="2009">
        <v>8.9311753854172622</v>
      </c>
      <c r="G74" s="2009">
        <v>9.0424161741663482</v>
      </c>
      <c r="H74" s="2009">
        <v>11.671633826222457</v>
      </c>
      <c r="I74" s="2009">
        <v>10.456536745379747</v>
      </c>
      <c r="J74" s="2009">
        <v>9.3429339717238093</v>
      </c>
      <c r="K74" s="2009">
        <v>9.3315756293913275</v>
      </c>
      <c r="L74" s="2009">
        <v>7.8784309983691543</v>
      </c>
      <c r="M74" s="2009">
        <v>9.8072120527530604</v>
      </c>
      <c r="N74" s="2009">
        <v>9.5699405785173823</v>
      </c>
      <c r="O74" s="2009">
        <v>9.5511920292313697</v>
      </c>
      <c r="P74" s="2009">
        <v>10.034947860548355</v>
      </c>
      <c r="Q74" s="2009">
        <v>5.9551227013561867</v>
      </c>
      <c r="R74" s="2009">
        <v>9.6957050546711283</v>
      </c>
      <c r="S74" s="3346">
        <v>9.3045313064358108</v>
      </c>
      <c r="T74" s="4118">
        <v>8.6033934507620557</v>
      </c>
      <c r="U74" s="4449"/>
      <c r="V74" s="4450"/>
    </row>
    <row r="75" spans="2:22" ht="15" customHeight="1">
      <c r="B75" s="139"/>
      <c r="C75" s="2006"/>
      <c r="D75" s="2005"/>
      <c r="E75" s="2005"/>
      <c r="F75" s="2005"/>
      <c r="G75" s="2005"/>
      <c r="H75" s="2005"/>
      <c r="I75" s="2005"/>
      <c r="J75" s="2005"/>
      <c r="K75" s="2005"/>
      <c r="L75" s="2005"/>
      <c r="M75" s="2005"/>
      <c r="N75" s="2005"/>
      <c r="O75" s="2005"/>
      <c r="P75" s="2005"/>
      <c r="Q75" s="2005"/>
      <c r="R75" s="2004"/>
      <c r="S75" s="3347"/>
      <c r="T75" s="4118"/>
      <c r="U75" s="4448"/>
    </row>
    <row r="76" spans="2:22" ht="39" customHeight="1">
      <c r="B76" s="2708" t="s">
        <v>740</v>
      </c>
      <c r="C76" s="2707">
        <f>(C69+C73-C74)*0+4617.4</f>
        <v>4617.3999999999996</v>
      </c>
      <c r="D76" s="2707">
        <f>(D69+D73-D74)*0+4706.1</f>
        <v>4706.1000000000004</v>
      </c>
      <c r="E76" s="2707">
        <f>(E69+E73-E74)*0+4937.8</f>
        <v>4937.8</v>
      </c>
      <c r="F76" s="2707">
        <f>(F69+F73-F74)*0+4861.1</f>
        <v>4861.1000000000004</v>
      </c>
      <c r="G76" s="2707">
        <f>(G69+G73-G74)*0+4883.1</f>
        <v>4883.1000000000004</v>
      </c>
      <c r="H76" s="2707">
        <f>(H69+H73-H74)*0+5094.4</f>
        <v>5094.3999999999996</v>
      </c>
      <c r="I76" s="2707">
        <f>(I69+I73-I74)*0+5088.9</f>
        <v>5088.8999999999996</v>
      </c>
      <c r="J76" s="2707">
        <f>(J69+J73-J74)*0+4986.9</f>
        <v>4986.8999999999996</v>
      </c>
      <c r="K76" s="2707">
        <f>(K69+K73-K74)*0+5053.1</f>
        <v>5053.1000000000004</v>
      </c>
      <c r="L76" s="2707">
        <f>(L69+L73-L74)*0+5058.2</f>
        <v>5058.2</v>
      </c>
      <c r="M76" s="2707">
        <f t="shared" ref="M76:T76" si="21">M69+M73-M74</f>
        <v>5231.6317867497628</v>
      </c>
      <c r="N76" s="2707">
        <f t="shared" si="21"/>
        <v>5408.454169943504</v>
      </c>
      <c r="O76" s="2707">
        <f t="shared" si="21"/>
        <v>5564.5770576843752</v>
      </c>
      <c r="P76" s="2707">
        <f t="shared" si="21"/>
        <v>5525.6057618841105</v>
      </c>
      <c r="Q76" s="2707">
        <f t="shared" si="21"/>
        <v>4179.4612189734262</v>
      </c>
      <c r="R76" s="2707">
        <f t="shared" si="21"/>
        <v>4664.2827514203691</v>
      </c>
      <c r="S76" s="2707">
        <f t="shared" si="21"/>
        <v>5615.1863246926368</v>
      </c>
      <c r="T76" s="2707">
        <f t="shared" si="21"/>
        <v>5739.2936063211464</v>
      </c>
      <c r="U76" s="4448"/>
    </row>
    <row r="77" spans="2:22" ht="31.25" customHeight="1">
      <c r="B77" s="142"/>
      <c r="C77" s="2709"/>
      <c r="D77" s="2013"/>
      <c r="E77" s="2013"/>
      <c r="F77" s="2013"/>
      <c r="G77" s="2013"/>
      <c r="H77" s="2710"/>
      <c r="I77" s="2013"/>
      <c r="J77" s="2013"/>
      <c r="K77" s="2013"/>
      <c r="L77" s="2013"/>
      <c r="M77" s="2013"/>
      <c r="N77" s="2013"/>
      <c r="O77" s="2013"/>
      <c r="P77" s="2013"/>
      <c r="Q77" s="2711"/>
      <c r="R77" s="2712"/>
      <c r="S77" s="3351"/>
      <c r="T77" s="4118"/>
      <c r="U77" s="4448"/>
    </row>
    <row r="78" spans="2:22" ht="33.5" customHeight="1" thickBot="1">
      <c r="B78" s="2015" t="s">
        <v>651</v>
      </c>
      <c r="C78" s="2721"/>
      <c r="D78" s="2722">
        <f>+D76/C76-1</f>
        <v>1.9209944990687511E-2</v>
      </c>
      <c r="E78" s="2722">
        <f t="shared" ref="E78:T78" si="22">((E76/D76)-1)</f>
        <v>4.923397292875209E-2</v>
      </c>
      <c r="F78" s="2722">
        <f t="shared" si="22"/>
        <v>-1.5533233423791981E-2</v>
      </c>
      <c r="G78" s="2722">
        <f t="shared" si="22"/>
        <v>4.5257246302277121E-3</v>
      </c>
      <c r="H78" s="2722">
        <f t="shared" si="22"/>
        <v>4.3271692162765385E-2</v>
      </c>
      <c r="I78" s="2722">
        <f t="shared" si="22"/>
        <v>-1.0796168341709045E-3</v>
      </c>
      <c r="J78" s="2722">
        <f t="shared" si="22"/>
        <v>-2.0043624358898726E-2</v>
      </c>
      <c r="K78" s="2722">
        <f t="shared" si="22"/>
        <v>1.3274779923399427E-2</v>
      </c>
      <c r="L78" s="2722">
        <f t="shared" si="22"/>
        <v>1.0092814312006038E-3</v>
      </c>
      <c r="M78" s="2722">
        <f t="shared" si="22"/>
        <v>3.428725371669028E-2</v>
      </c>
      <c r="N78" s="2722">
        <f t="shared" si="22"/>
        <v>3.3798705719615407E-2</v>
      </c>
      <c r="O78" s="2722">
        <f t="shared" si="22"/>
        <v>2.8866452933722808E-2</v>
      </c>
      <c r="P78" s="2722">
        <f t="shared" si="22"/>
        <v>-7.0034605319100329E-3</v>
      </c>
      <c r="Q78" s="2722">
        <f t="shared" si="22"/>
        <v>-0.2436193606493704</v>
      </c>
      <c r="R78" s="2722">
        <f t="shared" si="22"/>
        <v>0.11600096448939579</v>
      </c>
      <c r="S78" s="3352">
        <f t="shared" si="22"/>
        <v>0.20386919574777029</v>
      </c>
      <c r="T78" s="3352">
        <f t="shared" si="22"/>
        <v>2.2102077197821757E-2</v>
      </c>
      <c r="U78" s="4448"/>
    </row>
    <row r="79" spans="2:22" s="2022" customFormat="1" ht="32.75" customHeight="1">
      <c r="B79" s="2018" t="str">
        <f>'GDP  nominal prices'!B79</f>
        <v>Source: Central Statistical Office</v>
      </c>
      <c r="C79" s="2018"/>
      <c r="D79" s="2019"/>
      <c r="E79" s="2019"/>
      <c r="F79" s="2019"/>
      <c r="G79" s="2019"/>
      <c r="H79" s="2019"/>
      <c r="I79" s="2019"/>
      <c r="J79" s="2020"/>
      <c r="K79" s="2019"/>
      <c r="L79" s="2019"/>
      <c r="M79" s="2019"/>
      <c r="N79" s="2021"/>
      <c r="O79" s="2019"/>
      <c r="P79" s="2019"/>
      <c r="Q79" s="2019"/>
      <c r="R79" s="2019"/>
      <c r="T79" s="4119"/>
      <c r="U79" s="4451"/>
      <c r="V79" s="4451"/>
    </row>
    <row r="80" spans="2:22" s="1992" customFormat="1" ht="32.75" customHeight="1">
      <c r="B80" s="2018" t="str">
        <f>'GDP  nominal prices'!B80</f>
        <v>r= revised; pre= preliminary</v>
      </c>
      <c r="C80" s="2018"/>
      <c r="D80" s="2023"/>
      <c r="E80" s="2023"/>
      <c r="F80" s="2023"/>
      <c r="G80" s="2023"/>
      <c r="H80" s="2023"/>
      <c r="I80" s="2023"/>
      <c r="J80" s="2023"/>
      <c r="K80" s="2023"/>
      <c r="L80" s="2023"/>
      <c r="M80" s="2023"/>
      <c r="N80" s="2023"/>
      <c r="O80" s="2023"/>
      <c r="P80" s="2023"/>
      <c r="Q80" s="2024"/>
      <c r="R80" s="2024"/>
      <c r="S80" s="207"/>
      <c r="T80" s="4120"/>
      <c r="U80" s="4446"/>
      <c r="V80" s="4446"/>
    </row>
    <row r="81" spans="2:22" s="1992" customFormat="1" ht="116" customHeight="1">
      <c r="B81" s="5632" t="s">
        <v>2313</v>
      </c>
      <c r="C81" s="5632"/>
      <c r="D81" s="5632"/>
      <c r="E81" s="5632"/>
      <c r="F81" s="5632"/>
      <c r="G81" s="5632"/>
      <c r="H81" s="5632"/>
      <c r="I81" s="5632"/>
      <c r="J81" s="5632"/>
      <c r="K81" s="5632"/>
      <c r="L81" s="5632"/>
      <c r="M81" s="5632"/>
      <c r="N81" s="5632"/>
      <c r="O81" s="5632"/>
      <c r="P81" s="5632"/>
      <c r="Q81" s="5632"/>
      <c r="R81" s="5632"/>
      <c r="S81" s="2726"/>
      <c r="T81" s="4120"/>
      <c r="U81" s="4446"/>
      <c r="V81" s="4446"/>
    </row>
    <row r="82" spans="2:22" s="1992" customFormat="1" ht="15" customHeight="1">
      <c r="B82" s="2025"/>
      <c r="C82" s="2025"/>
      <c r="D82" s="2026"/>
      <c r="E82" s="2026"/>
      <c r="F82" s="2026"/>
      <c r="G82" s="2026"/>
      <c r="H82" s="2026"/>
      <c r="I82" s="2026"/>
      <c r="J82" s="2026"/>
      <c r="K82" s="2026"/>
      <c r="L82" s="2026"/>
      <c r="M82" s="2027"/>
      <c r="N82" s="2027"/>
      <c r="O82" s="2027"/>
      <c r="P82" s="2027"/>
      <c r="Q82" s="1993"/>
      <c r="R82" s="1993"/>
      <c r="T82" s="4120"/>
      <c r="U82" s="4446"/>
      <c r="V82" s="4446"/>
    </row>
    <row r="83" spans="2:22" ht="28.5" customHeight="1">
      <c r="B83" s="2028"/>
      <c r="C83" s="2028"/>
      <c r="D83" s="2029"/>
      <c r="E83" s="2029"/>
      <c r="F83" s="2029"/>
      <c r="G83" s="2029"/>
      <c r="H83" s="2029"/>
      <c r="I83" s="2029"/>
      <c r="J83" s="2029"/>
      <c r="K83" s="2029"/>
      <c r="L83" s="2029"/>
      <c r="M83" s="2029"/>
      <c r="N83" s="2029"/>
      <c r="O83" s="2029"/>
      <c r="P83" s="2029"/>
    </row>
    <row r="84" spans="2:22" ht="27" customHeight="1"/>
    <row r="86" spans="2:22" ht="20" customHeight="1">
      <c r="D86" s="2030"/>
      <c r="E86" s="2030"/>
      <c r="F86" s="2030"/>
      <c r="G86" s="2030"/>
      <c r="H86" s="2030"/>
      <c r="I86" s="2030"/>
      <c r="J86" s="2030"/>
      <c r="K86" s="2030"/>
      <c r="L86" s="2030"/>
      <c r="M86" s="2030"/>
      <c r="N86" s="2030"/>
      <c r="O86" s="2030"/>
      <c r="P86" s="2030"/>
    </row>
    <row r="87" spans="2:22" ht="20" customHeight="1"/>
    <row r="88" spans="2:22" ht="20" customHeight="1">
      <c r="B88" s="2028"/>
      <c r="C88" s="2028"/>
      <c r="D88" s="2029"/>
      <c r="E88" s="2029"/>
      <c r="F88" s="2029"/>
      <c r="G88" s="2029"/>
      <c r="H88" s="2029"/>
      <c r="I88" s="2029"/>
      <c r="J88" s="2029"/>
      <c r="K88" s="2029"/>
      <c r="L88" s="2029"/>
      <c r="M88" s="2029"/>
      <c r="N88" s="2029"/>
      <c r="O88" s="2029"/>
      <c r="P88" s="2029"/>
    </row>
    <row r="89" spans="2:22" ht="20" customHeight="1"/>
    <row r="90" spans="2:22" ht="20" customHeight="1"/>
    <row r="91" spans="2:22" ht="20" customHeight="1">
      <c r="B91" s="2028"/>
      <c r="C91" s="2028"/>
    </row>
    <row r="92" spans="2:22" ht="20" customHeight="1"/>
    <row r="93" spans="2:22" ht="20" customHeight="1">
      <c r="D93" s="2031"/>
      <c r="E93" s="2031"/>
      <c r="F93" s="2031"/>
      <c r="G93" s="2031"/>
      <c r="H93" s="2031"/>
      <c r="I93" s="2031"/>
      <c r="J93" s="2031"/>
      <c r="K93" s="2031"/>
      <c r="L93" s="2031"/>
      <c r="M93" s="2031"/>
      <c r="N93" s="2031"/>
      <c r="O93" s="2031"/>
      <c r="P93" s="2031"/>
    </row>
    <row r="94" spans="2:22" ht="20" customHeight="1"/>
    <row r="95" spans="2:22" ht="20" customHeight="1">
      <c r="D95" s="2029"/>
      <c r="E95" s="2029"/>
      <c r="F95" s="2029"/>
      <c r="G95" s="2029"/>
      <c r="H95" s="2029"/>
      <c r="I95" s="2029"/>
      <c r="J95" s="2029"/>
      <c r="K95" s="2029"/>
      <c r="L95" s="2029"/>
      <c r="M95" s="2029"/>
      <c r="N95" s="2029"/>
      <c r="O95" s="2029"/>
      <c r="P95" s="2029"/>
    </row>
    <row r="96" spans="2:22" ht="20" customHeight="1"/>
    <row r="97" spans="2:16" ht="20" customHeight="1">
      <c r="D97" s="2030"/>
      <c r="E97" s="2030"/>
      <c r="F97" s="2030"/>
      <c r="G97" s="2030"/>
      <c r="H97" s="2030"/>
      <c r="I97" s="2030"/>
      <c r="J97" s="2030"/>
      <c r="K97" s="2030"/>
      <c r="L97" s="2030"/>
      <c r="M97" s="2030"/>
      <c r="N97" s="2030"/>
      <c r="O97" s="2030"/>
      <c r="P97" s="2030"/>
    </row>
    <row r="98" spans="2:16" ht="20" customHeight="1"/>
    <row r="99" spans="2:16" ht="20" customHeight="1"/>
    <row r="102" spans="2:16" ht="21" customHeight="1">
      <c r="B102" s="2028"/>
      <c r="C102" s="2028"/>
      <c r="D102" s="2029"/>
      <c r="E102" s="2029"/>
      <c r="F102" s="2029"/>
      <c r="G102" s="2029"/>
      <c r="H102" s="2029"/>
      <c r="I102" s="2029"/>
      <c r="J102" s="2029"/>
      <c r="K102" s="2029"/>
      <c r="L102" s="2029"/>
      <c r="M102" s="2029"/>
      <c r="N102" s="2029"/>
      <c r="O102" s="2029"/>
      <c r="P102" s="2029"/>
    </row>
    <row r="104" spans="2:16" ht="20" customHeight="1"/>
    <row r="105" spans="2:16" ht="20" customHeight="1"/>
    <row r="106" spans="2:16" ht="20" customHeight="1">
      <c r="B106" s="2028"/>
      <c r="C106" s="2028"/>
      <c r="D106" s="2029"/>
      <c r="E106" s="2029"/>
      <c r="F106" s="2029"/>
      <c r="G106" s="2029"/>
      <c r="H106" s="2029"/>
      <c r="I106" s="2029"/>
      <c r="J106" s="2029"/>
      <c r="K106" s="2029"/>
      <c r="L106" s="2029"/>
      <c r="M106" s="2029"/>
      <c r="N106" s="2032"/>
      <c r="O106" s="2033"/>
      <c r="P106" s="2034"/>
    </row>
    <row r="107" spans="2:16" ht="20" customHeight="1"/>
    <row r="108" spans="2:16" ht="20" customHeight="1">
      <c r="B108" s="2028"/>
      <c r="C108" s="2028"/>
      <c r="D108" s="2029"/>
      <c r="E108" s="2029"/>
      <c r="F108" s="2029"/>
      <c r="G108" s="2029"/>
      <c r="H108" s="2029"/>
      <c r="I108" s="2029"/>
      <c r="J108" s="2029"/>
      <c r="K108" s="2029"/>
      <c r="L108" s="2029"/>
      <c r="M108" s="2029"/>
      <c r="N108" s="2029"/>
      <c r="O108" s="2029"/>
      <c r="P108" s="2029"/>
    </row>
    <row r="109" spans="2:16" ht="20" customHeight="1"/>
    <row r="110" spans="2:16" ht="20" customHeight="1"/>
    <row r="111" spans="2:16" ht="20" customHeight="1"/>
    <row r="112" spans="2:16" ht="20" customHeight="1"/>
  </sheetData>
  <mergeCells count="5">
    <mergeCell ref="B81:R81"/>
    <mergeCell ref="B2:T2"/>
    <mergeCell ref="B3:T3"/>
    <mergeCell ref="B4:T4"/>
    <mergeCell ref="B5:T5"/>
  </mergeCells>
  <hyperlinks>
    <hyperlink ref="B71" r:id="rId1" display="http://www.govt.lc/ministries/finance-and-economic-affairs/statistics-department" xr:uid="{00000000-0004-0000-0100-000000000000}"/>
  </hyperlinks>
  <printOptions horizontalCentered="1" verticalCentered="1"/>
  <pageMargins left="0.25" right="0.25" top="0.75" bottom="0.75" header="0.3" footer="0.3"/>
  <pageSetup scale="18" firstPageNumber="103" orientation="landscape" useFirstPageNumber="1" r:id="rId2"/>
  <headerFooter scaleWithDoc="0" alignWithMargins="0">
    <oddFooter xml:space="preserve">&amp;C104
</oddFooter>
  </headerFooter>
  <colBreaks count="1" manualBreakCount="1">
    <brk id="20" max="8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0B0F0"/>
    <pageSetUpPr fitToPage="1"/>
  </sheetPr>
  <dimension ref="A1:U83"/>
  <sheetViews>
    <sheetView view="pageBreakPreview" topLeftCell="B1" zoomScale="30" zoomScaleSheetLayoutView="30" workbookViewId="0">
      <pane xSplit="1" topLeftCell="L1" activePane="topRight" state="frozen"/>
      <selection activeCell="B44" sqref="B44"/>
      <selection pane="topRight" activeCell="B44" sqref="B44"/>
    </sheetView>
  </sheetViews>
  <sheetFormatPr defaultColWidth="9.46484375" defaultRowHeight="15.75" customHeight="1"/>
  <cols>
    <col min="1" max="1" width="0" style="96" hidden="1" customWidth="1"/>
    <col min="2" max="2" width="159" style="96" customWidth="1"/>
    <col min="3" max="3" width="30.6640625" style="123" customWidth="1"/>
    <col min="4" max="6" width="27.6640625" style="123" customWidth="1"/>
    <col min="7" max="7" width="27.6640625" style="96" customWidth="1"/>
    <col min="8" max="8" width="29.46484375" style="96" customWidth="1"/>
    <col min="9" max="11" width="27.6640625" style="96" customWidth="1"/>
    <col min="12" max="13" width="27.6640625" style="100" customWidth="1"/>
    <col min="14" max="15" width="27.6640625" style="96" customWidth="1"/>
    <col min="16" max="16" width="26.33203125" style="101" customWidth="1"/>
    <col min="17" max="17" width="24.6640625" style="101" customWidth="1"/>
    <col min="18" max="18" width="25.6640625" style="96" customWidth="1"/>
    <col min="19" max="19" width="25.33203125" style="4122" bestFit="1" customWidth="1"/>
    <col min="20" max="16384" width="9.46484375" style="96"/>
  </cols>
  <sheetData>
    <row r="1" spans="2:19" s="99" customFormat="1" ht="30" customHeight="1">
      <c r="B1" s="5636" t="s">
        <v>667</v>
      </c>
      <c r="C1" s="5636"/>
      <c r="D1" s="5636"/>
      <c r="E1" s="5636"/>
      <c r="F1" s="5636"/>
      <c r="G1" s="5636"/>
      <c r="H1" s="5636"/>
      <c r="I1" s="5636"/>
      <c r="J1" s="5636"/>
      <c r="K1" s="5636"/>
      <c r="L1" s="5636"/>
      <c r="M1" s="5636"/>
      <c r="N1" s="5636"/>
      <c r="O1" s="5636"/>
      <c r="P1" s="5636"/>
      <c r="Q1" s="5636"/>
      <c r="R1" s="5636"/>
      <c r="S1" s="5636"/>
    </row>
    <row r="2" spans="2:19" ht="30" customHeight="1">
      <c r="B2" s="5637" t="s">
        <v>876</v>
      </c>
      <c r="C2" s="5637"/>
      <c r="D2" s="5637"/>
      <c r="E2" s="5637"/>
      <c r="F2" s="5637"/>
      <c r="G2" s="5637"/>
      <c r="H2" s="5637"/>
      <c r="I2" s="5637"/>
      <c r="J2" s="5637"/>
      <c r="K2" s="5637"/>
      <c r="L2" s="5637"/>
      <c r="M2" s="5637"/>
      <c r="N2" s="5637"/>
      <c r="O2" s="5637"/>
      <c r="P2" s="5637"/>
      <c r="Q2" s="5637"/>
      <c r="R2" s="5637"/>
      <c r="S2" s="5637"/>
    </row>
    <row r="3" spans="2:19" ht="30" customHeight="1">
      <c r="B3" s="5638" t="s">
        <v>880</v>
      </c>
      <c r="C3" s="5638"/>
      <c r="D3" s="5638"/>
      <c r="E3" s="5638"/>
      <c r="F3" s="5638"/>
      <c r="G3" s="5638"/>
      <c r="H3" s="5638"/>
      <c r="I3" s="5638"/>
      <c r="J3" s="5638"/>
      <c r="K3" s="5638"/>
      <c r="L3" s="5638"/>
      <c r="M3" s="5638"/>
      <c r="N3" s="5638"/>
      <c r="O3" s="5638"/>
      <c r="P3" s="5638"/>
      <c r="Q3" s="5638"/>
      <c r="R3" s="5638"/>
      <c r="S3" s="5638"/>
    </row>
    <row r="4" spans="2:19" ht="30" customHeight="1" thickBot="1">
      <c r="B4" s="5637" t="s">
        <v>514</v>
      </c>
      <c r="C4" s="5637"/>
      <c r="D4" s="5637"/>
      <c r="E4" s="5637"/>
      <c r="F4" s="5637"/>
      <c r="G4" s="5637"/>
      <c r="H4" s="5637"/>
      <c r="I4" s="5637"/>
      <c r="J4" s="5637"/>
      <c r="K4" s="5637"/>
      <c r="L4" s="5637"/>
      <c r="M4" s="5637"/>
      <c r="N4" s="5637"/>
      <c r="O4" s="5637"/>
      <c r="P4" s="5637"/>
      <c r="Q4" s="5637"/>
      <c r="R4" s="5637"/>
      <c r="S4" s="5637"/>
    </row>
    <row r="5" spans="2:19" ht="35.25" hidden="1" customHeight="1" thickBot="1">
      <c r="B5" s="5635"/>
      <c r="C5" s="5635"/>
      <c r="D5" s="5635"/>
      <c r="E5" s="5635"/>
      <c r="F5" s="5635"/>
      <c r="G5" s="5635"/>
      <c r="R5" s="2584" t="s">
        <v>857</v>
      </c>
    </row>
    <row r="6" spans="2:19" ht="37.25" customHeight="1">
      <c r="B6" s="102" t="s">
        <v>644</v>
      </c>
      <c r="C6" s="103">
        <v>2007</v>
      </c>
      <c r="D6" s="104" t="s">
        <v>419</v>
      </c>
      <c r="E6" s="105" t="s">
        <v>423</v>
      </c>
      <c r="F6" s="106" t="s">
        <v>315</v>
      </c>
      <c r="G6" s="103" t="s">
        <v>475</v>
      </c>
      <c r="H6" s="106" t="s">
        <v>491</v>
      </c>
      <c r="I6" s="103" t="s">
        <v>524</v>
      </c>
      <c r="J6" s="104" t="s">
        <v>572</v>
      </c>
      <c r="K6" s="103" t="s">
        <v>637</v>
      </c>
      <c r="L6" s="104" t="s">
        <v>709</v>
      </c>
      <c r="M6" s="107" t="s">
        <v>751</v>
      </c>
      <c r="N6" s="107" t="s">
        <v>787</v>
      </c>
      <c r="O6" s="107" t="s">
        <v>858</v>
      </c>
      <c r="P6" s="107" t="s">
        <v>1076</v>
      </c>
      <c r="Q6" s="107" t="s">
        <v>1533</v>
      </c>
      <c r="R6" s="3353" t="s">
        <v>1958</v>
      </c>
      <c r="S6" s="4121" t="s">
        <v>1959</v>
      </c>
    </row>
    <row r="7" spans="2:19" s="97" customFormat="1" ht="39.5" customHeight="1">
      <c r="B7" s="108" t="s">
        <v>645</v>
      </c>
      <c r="C7" s="109">
        <f>+'Constant Prices'!D8/'Constant Prices'!C8-1</f>
        <v>2.7585959975465091E-2</v>
      </c>
      <c r="D7" s="109">
        <f>+'Constant Prices'!E8/'Constant Prices'!D8-1</f>
        <v>0.2239141982982813</v>
      </c>
      <c r="E7" s="109">
        <f>+'Constant Prices'!F8/'Constant Prices'!E8-1</f>
        <v>-2.9897049503749051E-2</v>
      </c>
      <c r="F7" s="109">
        <f>+'Constant Prices'!G8/'Constant Prices'!F8-1</f>
        <v>-0.24273885422338837</v>
      </c>
      <c r="G7" s="109">
        <f>+'Constant Prices'!H8/'Constant Prices'!G8-1</f>
        <v>-2.7645533456652549E-2</v>
      </c>
      <c r="H7" s="109">
        <f>+'Constant Prices'!I8/'Constant Prices'!H8-1</f>
        <v>0.18197238521524017</v>
      </c>
      <c r="I7" s="109">
        <f>+'Constant Prices'!J8/'Constant Prices'!I8-1</f>
        <v>3.9283501442146207E-2</v>
      </c>
      <c r="J7" s="109">
        <f>+'Constant Prices'!K8/'Constant Prices'!J8-1</f>
        <v>-8.63273615002359E-2</v>
      </c>
      <c r="K7" s="109">
        <f>+'Constant Prices'!L8/'Constant Prices'!K8-1</f>
        <v>2.355728210345176E-2</v>
      </c>
      <c r="L7" s="109">
        <f>+'Constant Prices'!M8/'Constant Prices'!L8-1</f>
        <v>2.4312351163912282E-2</v>
      </c>
      <c r="M7" s="109">
        <f>+'Constant Prices'!N8/'Constant Prices'!M8-1</f>
        <v>-4.3135282236503758E-2</v>
      </c>
      <c r="N7" s="109">
        <f>+'Constant Prices'!O8/'Constant Prices'!N8-1</f>
        <v>0.13856389358977106</v>
      </c>
      <c r="O7" s="109">
        <f>+'Constant Prices'!P8/'Constant Prices'!O8-1</f>
        <v>5.5070758218557003E-2</v>
      </c>
      <c r="P7" s="2931">
        <f>+'Constant Prices'!Q8/'Constant Prices'!P8-1</f>
        <v>-0.13225378567843737</v>
      </c>
      <c r="Q7" s="2935">
        <f>+'Constant Prices'!R8/'Constant Prices'!Q8-1</f>
        <v>9.1377520898747733E-2</v>
      </c>
      <c r="R7" s="2935">
        <f>+'Constant Prices'!S8/'Constant Prices'!R8-1</f>
        <v>4.5064917943867799E-2</v>
      </c>
      <c r="S7" s="4452">
        <f>+'Constant Prices'!T8/'Constant Prices'!S8-1</f>
        <v>-0.16997724394165237</v>
      </c>
    </row>
    <row r="8" spans="2:19" ht="35" customHeight="1">
      <c r="B8" s="110" t="s">
        <v>922</v>
      </c>
      <c r="C8" s="111">
        <f>+'Constant Prices'!D9/'Constant Prices'!C9-1</f>
        <v>7.9491255961843255E-3</v>
      </c>
      <c r="D8" s="111">
        <f>+'Constant Prices'!E9/'Constant Prices'!D9-1</f>
        <v>0.26971608832807581</v>
      </c>
      <c r="E8" s="111">
        <f>+'Constant Prices'!F9/'Constant Prices'!E9-1</f>
        <v>-5.5900621118012417E-2</v>
      </c>
      <c r="F8" s="111">
        <f>+'Constant Prices'!G9/'Constant Prices'!F9-1</f>
        <v>-0.32631578947368423</v>
      </c>
      <c r="G8" s="111">
        <f>+'Constant Prices'!H9/'Constant Prices'!G9-1</f>
        <v>-5.6640625000000111E-2</v>
      </c>
      <c r="H8" s="111">
        <f>+'Constant Prices'!I9/'Constant Prices'!H9-1</f>
        <v>0.30434782608695654</v>
      </c>
      <c r="I8" s="111">
        <f>+'Constant Prices'!J9/'Constant Prices'!I9-1</f>
        <v>8.7301587301587213E-2</v>
      </c>
      <c r="J8" s="111">
        <f>+'Constant Prices'!K9/'Constant Prices'!J9-1</f>
        <v>-0.14306569343065689</v>
      </c>
      <c r="K8" s="111">
        <f>+'Constant Prices'!L9/'Constant Prices'!K9-1</f>
        <v>4.2589437819420706E-2</v>
      </c>
      <c r="L8" s="111">
        <f>+'Constant Prices'!M9/'Constant Prices'!L9-1</f>
        <v>-9.9297239597162523E-3</v>
      </c>
      <c r="M8" s="111">
        <f>+'Constant Prices'!N9/'Constant Prices'!M9-1</f>
        <v>-7.4271381754810406E-2</v>
      </c>
      <c r="N8" s="111">
        <f>+'Constant Prices'!O9/'Constant Prices'!N9-1</f>
        <v>9.894527903795014E-2</v>
      </c>
      <c r="O8" s="111">
        <f>+'Constant Prices'!P9/'Constant Prices'!O9-1</f>
        <v>9.2385828680249027E-2</v>
      </c>
      <c r="P8" s="2932">
        <f>+'Constant Prices'!Q9/'Constant Prices'!P9-1</f>
        <v>-0.12318734217691241</v>
      </c>
      <c r="Q8" s="4734">
        <f>+'Constant Prices'!R9/'Constant Prices'!Q9-1</f>
        <v>4.4546888739953605E-2</v>
      </c>
      <c r="R8" s="4734">
        <f>+'Constant Prices'!S9/'Constant Prices'!R9-1</f>
        <v>7.9603202455779565E-2</v>
      </c>
      <c r="S8" s="4126">
        <f>+'Constant Prices'!T9/'Constant Prices'!S9-1</f>
        <v>-0.21656657018357717</v>
      </c>
    </row>
    <row r="9" spans="2:19" ht="35" customHeight="1">
      <c r="B9" s="110" t="s">
        <v>830</v>
      </c>
      <c r="C9" s="111">
        <f>+'Constant Prices'!D10/'Constant Prices'!C10-1</f>
        <v>-8.2686154998432682E-2</v>
      </c>
      <c r="D9" s="111">
        <f>+'Constant Prices'!E10/'Constant Prices'!D10-1</f>
        <v>0.19856410574480199</v>
      </c>
      <c r="E9" s="111">
        <f>+'Constant Prices'!F10/'Constant Prices'!E10-1</f>
        <v>-7.5522931227599677E-2</v>
      </c>
      <c r="F9" s="111">
        <f>+'Constant Prices'!G10/'Constant Prices'!F10-1</f>
        <v>-0.3824037129205371</v>
      </c>
      <c r="G9" s="111">
        <f>+'Constant Prices'!H10/'Constant Prices'!G10-1</f>
        <v>-0.33612175458768923</v>
      </c>
      <c r="H9" s="111">
        <f>+'Constant Prices'!I10/'Constant Prices'!H10-1</f>
        <v>0.81269597190833331</v>
      </c>
      <c r="I9" s="111">
        <f>+'Constant Prices'!J10/'Constant Prices'!I10-1</f>
        <v>-0.2190970241318918</v>
      </c>
      <c r="J9" s="111">
        <f>+'Constant Prices'!K10/'Constant Prices'!J10-1</f>
        <v>-0.13376286585726838</v>
      </c>
      <c r="K9" s="111">
        <f>+'Constant Prices'!L10/'Constant Prices'!K10-1</f>
        <v>7.433627826539202E-2</v>
      </c>
      <c r="L9" s="111">
        <f>+'Constant Prices'!M10/'Constant Prices'!L10-1</f>
        <v>-1.0807270060796403E-3</v>
      </c>
      <c r="M9" s="111">
        <f>+'Constant Prices'!N10/'Constant Prices'!M10-1</f>
        <v>-1.1100389946171907E-2</v>
      </c>
      <c r="N9" s="111">
        <f>+'Constant Prices'!O10/'Constant Prices'!N10-1</f>
        <v>-6.5800602247124695E-3</v>
      </c>
      <c r="O9" s="111">
        <f>+'Constant Prices'!P10/'Constant Prices'!O10-1</f>
        <v>-1.5272643782718864E-2</v>
      </c>
      <c r="P9" s="2932">
        <f>+'Constant Prices'!Q10/'Constant Prices'!P10-1</f>
        <v>6.3306172369084868E-2</v>
      </c>
      <c r="Q9" s="4734">
        <f>+'Constant Prices'!R10/'Constant Prices'!Q10-1</f>
        <v>0.22724787440815275</v>
      </c>
      <c r="R9" s="4734">
        <f>+'Constant Prices'!S10/'Constant Prices'!R10-1</f>
        <v>4.6193413309923992E-2</v>
      </c>
      <c r="S9" s="4126">
        <f>+'Constant Prices'!T10/'Constant Prices'!S10-1</f>
        <v>-0.26008932660377349</v>
      </c>
    </row>
    <row r="10" spans="2:19" ht="35" customHeight="1">
      <c r="B10" s="110" t="s">
        <v>886</v>
      </c>
      <c r="C10" s="111">
        <f>+'Constant Prices'!D11/'Constant Prices'!C11-1</f>
        <v>0.63269629816784922</v>
      </c>
      <c r="D10" s="111">
        <f>+'Constant Prices'!E11/'Constant Prices'!D11-1</f>
        <v>0.85676476619420061</v>
      </c>
      <c r="E10" s="111">
        <f>+'Constant Prices'!F11/'Constant Prices'!E11-1</f>
        <v>-3.3607104786146591E-2</v>
      </c>
      <c r="F10" s="111">
        <f>+'Constant Prices'!G11/'Constant Prices'!F11-1</f>
        <v>-0.36672248832144816</v>
      </c>
      <c r="G10" s="111">
        <f>+'Constant Prices'!H11/'Constant Prices'!G11-1</f>
        <v>0.42261798623414015</v>
      </c>
      <c r="H10" s="111">
        <f>+'Constant Prices'!I11/'Constant Prices'!H11-1</f>
        <v>0.14091403685599246</v>
      </c>
      <c r="I10" s="111">
        <f>+'Constant Prices'!J11/'Constant Prices'!I11-1</f>
        <v>0.50260602946276789</v>
      </c>
      <c r="J10" s="111">
        <f>+'Constant Prices'!K11/'Constant Prices'!J11-1</f>
        <v>-0.10335284268617329</v>
      </c>
      <c r="K10" s="111">
        <f>+'Constant Prices'!L11/'Constant Prices'!K11-1</f>
        <v>2.0670677544827765E-2</v>
      </c>
      <c r="L10" s="111">
        <f>+'Constant Prices'!M11/'Constant Prices'!L11-1</f>
        <v>-7.2187778830539839E-2</v>
      </c>
      <c r="M10" s="111">
        <f>+'Constant Prices'!N11/'Constant Prices'!M11-1</f>
        <v>-0.10320523192296205</v>
      </c>
      <c r="N10" s="111">
        <f>+'Constant Prices'!O11/'Constant Prices'!N11-1</f>
        <v>0.15224248342342794</v>
      </c>
      <c r="O10" s="111">
        <f>+'Constant Prices'!P11/'Constant Prices'!O11-1</f>
        <v>0.13926553419743848</v>
      </c>
      <c r="P10" s="2932">
        <f>+'Constant Prices'!Q11/'Constant Prices'!P11-1</f>
        <v>-0.19337995988656098</v>
      </c>
      <c r="Q10" s="4734">
        <f>+'Constant Prices'!R11/'Constant Prices'!Q11-1</f>
        <v>-4.6101047924534844E-2</v>
      </c>
      <c r="R10" s="4734">
        <f>+'Constant Prices'!S11/'Constant Prices'!R11-1</f>
        <v>0.10092975634194779</v>
      </c>
      <c r="S10" s="4126">
        <f>+'Constant Prices'!T11/'Constant Prices'!S11-1</f>
        <v>-0.19016585368078298</v>
      </c>
    </row>
    <row r="11" spans="2:19" ht="35" customHeight="1">
      <c r="B11" s="110" t="s">
        <v>831</v>
      </c>
      <c r="C11" s="111">
        <f>+'Constant Prices'!D12/'Constant Prices'!C12-1</f>
        <v>-2.1971865781111988E-2</v>
      </c>
      <c r="D11" s="111">
        <f>+'Constant Prices'!E12/'Constant Prices'!D12-1</f>
        <v>5.0820366496588276E-2</v>
      </c>
      <c r="E11" s="111">
        <f>+'Constant Prices'!F12/'Constant Prices'!E12-1</f>
        <v>1.0884936597681527E-2</v>
      </c>
      <c r="F11" s="111">
        <f>+'Constant Prices'!G12/'Constant Prices'!F12-1</f>
        <v>3.6059556046101227E-2</v>
      </c>
      <c r="G11" s="111">
        <f>+'Constant Prices'!H12/'Constant Prices'!G12-1</f>
        <v>-2.9646561891654488E-2</v>
      </c>
      <c r="H11" s="111">
        <f>+'Constant Prices'!I12/'Constant Prices'!H12-1</f>
        <v>4.107461552156022E-2</v>
      </c>
      <c r="I11" s="111">
        <f>+'Constant Prices'!J12/'Constant Prices'!I12-1</f>
        <v>-8.5966018961280199E-2</v>
      </c>
      <c r="J11" s="111">
        <f>+'Constant Prices'!K12/'Constant Prices'!J12-1</f>
        <v>0.11578941063871984</v>
      </c>
      <c r="K11" s="111">
        <f>+'Constant Prices'!L12/'Constant Prices'!K12-1</f>
        <v>4.278507739544346E-2</v>
      </c>
      <c r="L11" s="111">
        <f>+'Constant Prices'!M12/'Constant Prices'!L12-1</f>
        <v>0.1413193469621854</v>
      </c>
      <c r="M11" s="111">
        <f>+'Constant Prices'!N12/'Constant Prices'!M12-1</f>
        <v>-7.4230948029672117E-2</v>
      </c>
      <c r="N11" s="111">
        <f>+'Constant Prices'!O12/'Constant Prices'!N12-1</f>
        <v>0.8023523925285494</v>
      </c>
      <c r="O11" s="111">
        <f>+'Constant Prices'!P12/'Constant Prices'!O12-1</f>
        <v>-2.0659739701176738E-2</v>
      </c>
      <c r="P11" s="2932">
        <f>+'Constant Prices'!Q12/'Constant Prices'!P12-1</f>
        <v>-0.10629155026017723</v>
      </c>
      <c r="Q11" s="4734">
        <f>+'Constant Prices'!R12/'Constant Prices'!Q12-1</f>
        <v>0.34764155560646026</v>
      </c>
      <c r="R11" s="4734">
        <f>+'Constant Prices'!S12/'Constant Prices'!R12-1</f>
        <v>-9.1481812228401682E-2</v>
      </c>
      <c r="S11" s="4126">
        <f>+'Constant Prices'!T12/'Constant Prices'!S12-1</f>
        <v>-8.448386397439811E-2</v>
      </c>
    </row>
    <row r="12" spans="2:19" ht="35" customHeight="1">
      <c r="B12" s="110" t="s">
        <v>832</v>
      </c>
      <c r="C12" s="111">
        <f>+'Constant Prices'!D13/'Constant Prices'!C13-1</f>
        <v>0.17014028122190838</v>
      </c>
      <c r="D12" s="111">
        <f>+'Constant Prices'!E13/'Constant Prices'!D13-1</f>
        <v>2.5146570182237982E-2</v>
      </c>
      <c r="E12" s="111">
        <f>+'Constant Prices'!F13/'Constant Prices'!E13-1</f>
        <v>1.6004934779539903E-2</v>
      </c>
      <c r="F12" s="111">
        <f>+'Constant Prices'!G13/'Constant Prices'!F13-1</f>
        <v>-0.47011492429724644</v>
      </c>
      <c r="G12" s="111">
        <f>+'Constant Prices'!H13/'Constant Prices'!G13-1</f>
        <v>0.19026259514207089</v>
      </c>
      <c r="H12" s="111">
        <f>+'Constant Prices'!I13/'Constant Prices'!H13-1</f>
        <v>2.5233734831322518E-3</v>
      </c>
      <c r="I12" s="111">
        <f>+'Constant Prices'!J13/'Constant Prices'!I13-1</f>
        <v>6.0463037283617904E-3</v>
      </c>
      <c r="J12" s="111">
        <f>+'Constant Prices'!K13/'Constant Prices'!J13-1</f>
        <v>6.0542384645967395E-3</v>
      </c>
      <c r="K12" s="111">
        <f>+'Constant Prices'!L13/'Constant Prices'!K13-1</f>
        <v>1.3657953201195783E-2</v>
      </c>
      <c r="L12" s="111">
        <f>+'Constant Prices'!M13/'Constant Prices'!L13-1</f>
        <v>8.67218741460829E-3</v>
      </c>
      <c r="M12" s="111">
        <f>+'Constant Prices'!N13/'Constant Prices'!M13-1</f>
        <v>3.1753599921213294E-2</v>
      </c>
      <c r="N12" s="111">
        <f>+'Constant Prices'!O13/'Constant Prices'!N13-1</f>
        <v>1.2245068795449399E-2</v>
      </c>
      <c r="O12" s="111">
        <f>+'Constant Prices'!P13/'Constant Prices'!O13-1</f>
        <v>4.4666152830632244E-2</v>
      </c>
      <c r="P12" s="2932">
        <f>+'Constant Prices'!Q13/'Constant Prices'!P13-1</f>
        <v>-0.18702203782886406</v>
      </c>
      <c r="Q12" s="4734">
        <f>+'Constant Prices'!R13/'Constant Prices'!Q13-1</f>
        <v>5.7395620235518141E-2</v>
      </c>
      <c r="R12" s="4734">
        <f>+'Constant Prices'!S13/'Constant Prices'!R13-1</f>
        <v>6.893268884979431E-3</v>
      </c>
      <c r="S12" s="4126">
        <f>+'Constant Prices'!T13/'Constant Prices'!S13-1</f>
        <v>-1.123135796510244E-3</v>
      </c>
    </row>
    <row r="13" spans="2:19" ht="30" customHeight="1">
      <c r="B13" s="110" t="s">
        <v>638</v>
      </c>
      <c r="C13" s="111">
        <f>+'Constant Prices'!D14/'Constant Prices'!C14-1</f>
        <v>7.8072835884265279E-2</v>
      </c>
      <c r="D13" s="111">
        <f>+'Constant Prices'!E14/'Constant Prices'!D14-1</f>
        <v>0.16915270949067884</v>
      </c>
      <c r="E13" s="111">
        <f>+'Constant Prices'!F14/'Constant Prices'!E14-1</f>
        <v>3.9208339368366207E-2</v>
      </c>
      <c r="F13" s="111">
        <f>+'Constant Prices'!G14/'Constant Prices'!F14-1</f>
        <v>1.5513464585003689E-2</v>
      </c>
      <c r="G13" s="111">
        <f>+'Constant Prices'!H14/'Constant Prices'!G14-1</f>
        <v>1.72999067157249E-2</v>
      </c>
      <c r="H13" s="111">
        <f>+'Constant Prices'!I14/'Constant Prices'!H14-1</f>
        <v>-1.8292870772852243E-2</v>
      </c>
      <c r="I13" s="111">
        <f>+'Constant Prices'!J14/'Constant Prices'!I14-1</f>
        <v>-5.1845963416693785E-2</v>
      </c>
      <c r="J13" s="111">
        <f>+'Constant Prices'!K14/'Constant Prices'!J14-1</f>
        <v>2.6739865740176283E-2</v>
      </c>
      <c r="K13" s="111">
        <f>+'Constant Prices'!L14/'Constant Prices'!K14-1</f>
        <v>-2.7866092520354213E-2</v>
      </c>
      <c r="L13" s="111">
        <f>+'Constant Prices'!M14/'Constant Prices'!L14-1</f>
        <v>8.1404232193835302E-2</v>
      </c>
      <c r="M13" s="111">
        <f>+'Constant Prices'!N14/'Constant Prices'!M14-1</f>
        <v>0.12068482824916771</v>
      </c>
      <c r="N13" s="111">
        <f>+'Constant Prices'!O14/'Constant Prices'!N14-1</f>
        <v>-1.9299688082749067E-2</v>
      </c>
      <c r="O13" s="111">
        <f>+'Constant Prices'!P14/'Constant Prices'!O14-1</f>
        <v>-4.9238863310635761E-2</v>
      </c>
      <c r="P13" s="2932">
        <f>+'Constant Prices'!Q14/'Constant Prices'!P14-1</f>
        <v>-0.19290719825869163</v>
      </c>
      <c r="Q13" s="4734">
        <f>+'Constant Prices'!R14/'Constant Prices'!Q14-1</f>
        <v>9.2898544122928417E-2</v>
      </c>
      <c r="R13" s="4734">
        <f>+'Constant Prices'!S14/'Constant Prices'!R14-1</f>
        <v>5.0431047251600081E-2</v>
      </c>
      <c r="S13" s="4126">
        <f>+'Constant Prices'!T14/'Constant Prices'!S14-1</f>
        <v>-4.66476361636603E-2</v>
      </c>
    </row>
    <row r="14" spans="2:19" s="97" customFormat="1" ht="15" customHeight="1">
      <c r="B14" s="112"/>
      <c r="C14" s="109"/>
      <c r="D14" s="109"/>
      <c r="E14" s="109"/>
      <c r="F14" s="109"/>
      <c r="G14" s="109"/>
      <c r="H14" s="109"/>
      <c r="I14" s="109"/>
      <c r="J14" s="109"/>
      <c r="K14" s="109"/>
      <c r="L14" s="109"/>
      <c r="M14" s="109"/>
      <c r="N14" s="109"/>
      <c r="O14" s="109"/>
      <c r="P14" s="2931"/>
      <c r="Q14" s="2935"/>
      <c r="R14" s="2935"/>
      <c r="S14" s="3356"/>
    </row>
    <row r="15" spans="2:19" s="97" customFormat="1" ht="35" customHeight="1">
      <c r="B15" s="108" t="s">
        <v>646</v>
      </c>
      <c r="C15" s="109">
        <f>+'Constant Prices'!D16/'Constant Prices'!C16-1</f>
        <v>0.5847254403466895</v>
      </c>
      <c r="D15" s="109">
        <f>+'Constant Prices'!E16/'Constant Prices'!D16-1</f>
        <v>-0.24328886086885015</v>
      </c>
      <c r="E15" s="109">
        <f>+'Constant Prices'!F16/'Constant Prices'!E16-1</f>
        <v>-0.17878252531833128</v>
      </c>
      <c r="F15" s="109">
        <f>+'Constant Prices'!G16/'Constant Prices'!F16-1</f>
        <v>0.10698978780584789</v>
      </c>
      <c r="G15" s="109">
        <f>+'Constant Prices'!H16/'Constant Prices'!G16-1</f>
        <v>-3.7431604549015618E-2</v>
      </c>
      <c r="H15" s="109">
        <f>+'Constant Prices'!I16/'Constant Prices'!H16-1</f>
        <v>0.77437568116615219</v>
      </c>
      <c r="I15" s="109">
        <f>+'Constant Prices'!J16/'Constant Prices'!I16-1</f>
        <v>0.89115918577562092</v>
      </c>
      <c r="J15" s="109">
        <f>+'Constant Prices'!K16/'Constant Prices'!J16-1</f>
        <v>1.0949662212499178</v>
      </c>
      <c r="K15" s="109">
        <f>+'Constant Prices'!L16/'Constant Prices'!K16-1</f>
        <v>-7.003752931404672E-2</v>
      </c>
      <c r="L15" s="109">
        <f>+'Constant Prices'!M16/'Constant Prices'!L16-1</f>
        <v>-8.9349999070741148E-2</v>
      </c>
      <c r="M15" s="109">
        <f>+'Constant Prices'!N16/'Constant Prices'!M16-1</f>
        <v>-3.9029578348568128E-2</v>
      </c>
      <c r="N15" s="109">
        <f>+'Constant Prices'!O16/'Constant Prices'!N16-1</f>
        <v>-7.1589962388523998E-2</v>
      </c>
      <c r="O15" s="109">
        <f>+'Constant Prices'!P16/'Constant Prices'!O16-1</f>
        <v>-3.2671257615383253E-2</v>
      </c>
      <c r="P15" s="2931">
        <f>+'Constant Prices'!Q16/'Constant Prices'!P16-1</f>
        <v>0.7299549770063869</v>
      </c>
      <c r="Q15" s="2935">
        <f>+'Constant Prices'!R16/'Constant Prices'!Q16-1</f>
        <v>-0.16444063265620557</v>
      </c>
      <c r="R15" s="2935">
        <f>+'Constant Prices'!S16/'Constant Prices'!R16-1</f>
        <v>-0.31787021017557926</v>
      </c>
      <c r="S15" s="3356">
        <f>+'Constant Prices'!T16/'Constant Prices'!S16-1</f>
        <v>-0.15666544317903641</v>
      </c>
    </row>
    <row r="16" spans="2:19" ht="15" customHeight="1">
      <c r="B16" s="110"/>
      <c r="C16" s="109"/>
      <c r="D16" s="109"/>
      <c r="E16" s="109"/>
      <c r="F16" s="109"/>
      <c r="G16" s="109"/>
      <c r="H16" s="109"/>
      <c r="I16" s="109"/>
      <c r="J16" s="109"/>
      <c r="K16" s="109"/>
      <c r="L16" s="109"/>
      <c r="M16" s="109"/>
      <c r="N16" s="109"/>
      <c r="O16" s="109"/>
      <c r="P16" s="2931"/>
      <c r="Q16" s="2935"/>
      <c r="R16" s="2935"/>
      <c r="S16" s="3356"/>
    </row>
    <row r="17" spans="1:21" s="97" customFormat="1" ht="35" customHeight="1">
      <c r="B17" s="108" t="s">
        <v>392</v>
      </c>
      <c r="C17" s="109">
        <v>1.829205539293155E-2</v>
      </c>
      <c r="D17" s="109">
        <v>4.2612991857447824E-2</v>
      </c>
      <c r="E17" s="109">
        <v>1.8501288671202376E-2</v>
      </c>
      <c r="F17" s="109">
        <v>2.8324725892242109E-2</v>
      </c>
      <c r="G17" s="109">
        <v>1.5629208775307379E-2</v>
      </c>
      <c r="H17" s="109">
        <v>6.3896672516263964E-2</v>
      </c>
      <c r="I17" s="109">
        <v>8.8274970427787203E-2</v>
      </c>
      <c r="J17" s="109">
        <v>-4.4340320813984757E-4</v>
      </c>
      <c r="K17" s="109">
        <v>6.6068001614081329E-3</v>
      </c>
      <c r="L17" s="109">
        <v>3.2247571840662292E-2</v>
      </c>
      <c r="M17" s="109">
        <v>-3.5529007304766491E-3</v>
      </c>
      <c r="N17" s="109">
        <v>6.2106700720247821E-2</v>
      </c>
      <c r="O17" s="109">
        <v>-1.3065235428998401E-3</v>
      </c>
      <c r="P17" s="2931">
        <v>-2.0617871504750029E-3</v>
      </c>
      <c r="Q17" s="2935">
        <v>4.1652168491475017E-2</v>
      </c>
      <c r="R17" s="2935">
        <v>4.0251329848096207E-2</v>
      </c>
      <c r="S17" s="3356">
        <v>0.1191459822869021</v>
      </c>
    </row>
    <row r="18" spans="1:21" ht="15" customHeight="1">
      <c r="B18" s="110"/>
      <c r="C18" s="109"/>
      <c r="D18" s="109"/>
      <c r="E18" s="109"/>
      <c r="F18" s="109"/>
      <c r="G18" s="109"/>
      <c r="H18" s="109"/>
      <c r="I18" s="109"/>
      <c r="J18" s="109"/>
      <c r="K18" s="109"/>
      <c r="L18" s="109"/>
      <c r="M18" s="109"/>
      <c r="N18" s="109"/>
      <c r="O18" s="109"/>
      <c r="P18" s="2931"/>
      <c r="Q18" s="2935"/>
      <c r="R18" s="2935"/>
      <c r="S18" s="3356"/>
    </row>
    <row r="19" spans="1:21" s="97" customFormat="1" ht="35" customHeight="1">
      <c r="B19" s="108" t="s">
        <v>883</v>
      </c>
      <c r="C19" s="109">
        <f>+'Constant Prices'!D20/'Constant Prices'!C20-1</f>
        <v>3.8355323987967704E-2</v>
      </c>
      <c r="D19" s="109">
        <f>+'Constant Prices'!E20/'Constant Prices'!D20-1</f>
        <v>2.2330963282349181E-2</v>
      </c>
      <c r="E19" s="109">
        <f>+'Constant Prices'!F20/'Constant Prices'!E20-1</f>
        <v>2.593429289929694E-2</v>
      </c>
      <c r="F19" s="109">
        <f>+'Constant Prices'!G20/'Constant Prices'!F20-1</f>
        <v>7.2371882709352686E-2</v>
      </c>
      <c r="G19" s="109">
        <f>+'Constant Prices'!H20/'Constant Prices'!G20-1</f>
        <v>-1.161894516478057E-2</v>
      </c>
      <c r="H19" s="109">
        <f>+'Constant Prices'!I20/'Constant Prices'!H20-1</f>
        <v>-1.1554373897275871E-2</v>
      </c>
      <c r="I19" s="109">
        <f>+'Constant Prices'!J20/'Constant Prices'!I20-1</f>
        <v>1.4670252336472345E-2</v>
      </c>
      <c r="J19" s="109">
        <f>+'Constant Prices'!K20/'Constant Prices'!J20-1</f>
        <v>-3.4382036411937378E-3</v>
      </c>
      <c r="K19" s="109">
        <f>+'Constant Prices'!L20/'Constant Prices'!K20-1</f>
        <v>2.2404541727887084E-2</v>
      </c>
      <c r="L19" s="109">
        <f>+'Constant Prices'!M20/'Constant Prices'!L20-1</f>
        <v>3.1619281331715543E-2</v>
      </c>
      <c r="M19" s="109">
        <f>+'Constant Prices'!N20/'Constant Prices'!M20-1</f>
        <v>2.7672475507036332E-2</v>
      </c>
      <c r="N19" s="109">
        <f>+'Constant Prices'!O20/'Constant Prices'!N20-1</f>
        <v>-1.8331500238122356E-4</v>
      </c>
      <c r="O19" s="109">
        <f>+'Constant Prices'!P20/'Constant Prices'!O20-1</f>
        <v>2.1481232342513756E-2</v>
      </c>
      <c r="P19" s="2931">
        <f>+'Constant Prices'!Q20/'Constant Prices'!P20-1</f>
        <v>-0.10250160584069856</v>
      </c>
      <c r="Q19" s="2935">
        <f>+'Constant Prices'!R20/'Constant Prices'!Q20-1</f>
        <v>5.4180291158732796E-2</v>
      </c>
      <c r="R19" s="2935">
        <f>+'Constant Prices'!S20/'Constant Prices'!R20-1</f>
        <v>5.7200851576272527E-2</v>
      </c>
      <c r="S19" s="3356">
        <f>+'Constant Prices'!T20/'Constant Prices'!S20-1</f>
        <v>5.8432975319006042E-2</v>
      </c>
    </row>
    <row r="20" spans="1:21" s="97" customFormat="1" ht="35" customHeight="1">
      <c r="B20" s="108" t="s">
        <v>884</v>
      </c>
      <c r="C20" s="109">
        <f>+'Constant Prices'!D21/'Constant Prices'!C21-1</f>
        <v>3.149221979727912E-2</v>
      </c>
      <c r="D20" s="109">
        <f>+'Constant Prices'!E21/'Constant Prices'!D21-1</f>
        <v>4.0312495669234227E-2</v>
      </c>
      <c r="E20" s="109">
        <f>+'Constant Prices'!F21/'Constant Prices'!E21-1</f>
        <v>5.8227381260802513E-3</v>
      </c>
      <c r="F20" s="109">
        <f>+'Constant Prices'!G21/'Constant Prices'!F21-1</f>
        <v>-9.2481200213412995E-2</v>
      </c>
      <c r="G20" s="109">
        <f>+'Constant Prices'!H21/'Constant Prices'!G21-1</f>
        <v>-2.0915506670677875E-3</v>
      </c>
      <c r="H20" s="109">
        <f>+'Constant Prices'!I21/'Constant Prices'!H21-1</f>
        <v>5.7147240577969161E-2</v>
      </c>
      <c r="I20" s="109">
        <f>+'Constant Prices'!J21/'Constant Prices'!I21-1</f>
        <v>-2.7119771754644084E-2</v>
      </c>
      <c r="J20" s="109">
        <f>+'Constant Prices'!K21/'Constant Prices'!J21-1</f>
        <v>-2.7301113274034838E-2</v>
      </c>
      <c r="K20" s="109">
        <f>+'Constant Prices'!L21/'Constant Prices'!K21-1</f>
        <v>3.2500516387492739E-2</v>
      </c>
      <c r="L20" s="109">
        <f>+'Constant Prices'!M21/'Constant Prices'!L21-1</f>
        <v>6.0923223476794242E-3</v>
      </c>
      <c r="M20" s="109">
        <f>+'Constant Prices'!N21/'Constant Prices'!M21-1</f>
        <v>3.326973853102011E-2</v>
      </c>
      <c r="N20" s="109">
        <f>+'Constant Prices'!O21/'Constant Prices'!N21-1</f>
        <v>4.3662170291848046E-2</v>
      </c>
      <c r="O20" s="109">
        <f>+'Constant Prices'!P21/'Constant Prices'!O21-1</f>
        <v>-1.6923965150073328E-2</v>
      </c>
      <c r="P20" s="2931">
        <f>+'Constant Prices'!Q21/'Constant Prices'!P21-1</f>
        <v>-5.1961630663259539E-2</v>
      </c>
      <c r="Q20" s="2935">
        <f>+'Constant Prices'!R21/'Constant Prices'!Q21-1</f>
        <v>0.32525046917425349</v>
      </c>
      <c r="R20" s="2935">
        <f>+'Constant Prices'!S21/'Constant Prices'!R21-1</f>
        <v>3.5758186065831143E-2</v>
      </c>
      <c r="S20" s="3356">
        <f>+'Constant Prices'!T21/'Constant Prices'!S21-1</f>
        <v>7.8561563000978385E-3</v>
      </c>
    </row>
    <row r="21" spans="1:21" s="113" customFormat="1" ht="15" customHeight="1">
      <c r="A21" s="96"/>
      <c r="B21" s="110"/>
      <c r="C21" s="109"/>
      <c r="D21" s="109"/>
      <c r="E21" s="109"/>
      <c r="F21" s="109"/>
      <c r="G21" s="109"/>
      <c r="H21" s="109"/>
      <c r="I21" s="109"/>
      <c r="J21" s="109"/>
      <c r="K21" s="109"/>
      <c r="L21" s="109"/>
      <c r="M21" s="109"/>
      <c r="N21" s="109"/>
      <c r="O21" s="109"/>
      <c r="P21" s="2931"/>
      <c r="Q21" s="2935"/>
      <c r="R21" s="2935"/>
      <c r="S21" s="3356"/>
      <c r="T21" s="96"/>
      <c r="U21" s="96"/>
    </row>
    <row r="22" spans="1:21" s="97" customFormat="1" ht="35" customHeight="1">
      <c r="A22" s="114"/>
      <c r="B22" s="108" t="s">
        <v>393</v>
      </c>
      <c r="C22" s="109">
        <f>+'Constant Prices'!D23/'Constant Prices'!C23-1</f>
        <v>-0.23242481456083963</v>
      </c>
      <c r="D22" s="109">
        <f>+'Constant Prices'!E23/'Constant Prices'!D23-1</f>
        <v>0.54245646224534205</v>
      </c>
      <c r="E22" s="109">
        <f>+'Constant Prices'!F23/'Constant Prices'!E23-1</f>
        <v>-7.4044289610715852E-2</v>
      </c>
      <c r="F22" s="109">
        <f>+'Constant Prices'!G23/'Constant Prices'!F23-1</f>
        <v>-1.6872290387970001E-2</v>
      </c>
      <c r="G22" s="109">
        <f>+'Constant Prices'!H23/'Constant Prices'!G23-1</f>
        <v>3.4289354340171885E-2</v>
      </c>
      <c r="H22" s="109">
        <f>+'Constant Prices'!I23/'Constant Prices'!H23-1</f>
        <v>-3.4934642865539156E-2</v>
      </c>
      <c r="I22" s="109">
        <f>+'Constant Prices'!J23/'Constant Prices'!I23-1</f>
        <v>-0.14778264626020465</v>
      </c>
      <c r="J22" s="109">
        <f>+'Constant Prices'!K23/'Constant Prices'!J23-1</f>
        <v>-8.9666128021322899E-3</v>
      </c>
      <c r="K22" s="109">
        <f>+'Constant Prices'!L23/'Constant Prices'!K23-1</f>
        <v>0.16183729782187384</v>
      </c>
      <c r="L22" s="109">
        <f>+'Constant Prices'!M23/'Constant Prices'!L23-1</f>
        <v>-7.6347848499549453E-3</v>
      </c>
      <c r="M22" s="109">
        <f>+'Constant Prices'!N23/'Constant Prices'!M23-1</f>
        <v>7.762953284210683E-2</v>
      </c>
      <c r="N22" s="109">
        <f>+'Constant Prices'!O23/'Constant Prices'!N23-1</f>
        <v>-0.13108208700010859</v>
      </c>
      <c r="O22" s="109">
        <f>+'Constant Prices'!P23/'Constant Prices'!O23-1</f>
        <v>2.6486365903013454E-2</v>
      </c>
      <c r="P22" s="2931">
        <f>+'Constant Prices'!Q23/'Constant Prices'!P23-1</f>
        <v>9.2530522286599526E-2</v>
      </c>
      <c r="Q22" s="2935">
        <f>+'Constant Prices'!R23/'Constant Prices'!Q23-1</f>
        <v>0.12656244125195992</v>
      </c>
      <c r="R22" s="2935">
        <f>+'Constant Prices'!S23/'Constant Prices'!R23-1</f>
        <v>-2.9076722659352461E-3</v>
      </c>
      <c r="S22" s="3356">
        <f>+'Constant Prices'!T23/'Constant Prices'!S23-1</f>
        <v>0.19156830666226243</v>
      </c>
    </row>
    <row r="23" spans="1:21" ht="15" customHeight="1">
      <c r="B23" s="110"/>
      <c r="C23" s="109"/>
      <c r="D23" s="109"/>
      <c r="E23" s="109"/>
      <c r="F23" s="109"/>
      <c r="G23" s="109"/>
      <c r="H23" s="109"/>
      <c r="I23" s="109"/>
      <c r="J23" s="109"/>
      <c r="K23" s="109"/>
      <c r="L23" s="109"/>
      <c r="M23" s="109"/>
      <c r="N23" s="109"/>
      <c r="O23" s="109"/>
      <c r="P23" s="2931"/>
      <c r="Q23" s="2935"/>
      <c r="R23" s="2935"/>
      <c r="S23" s="3356"/>
    </row>
    <row r="24" spans="1:21" s="97" customFormat="1" ht="35" customHeight="1">
      <c r="B24" s="108" t="s">
        <v>647</v>
      </c>
      <c r="C24" s="109">
        <f>+'Constant Prices'!D25/'Constant Prices'!C25-1</f>
        <v>4.2468622539634016E-2</v>
      </c>
      <c r="D24" s="109">
        <f>+'Constant Prices'!E25/'Constant Prices'!D25-1</f>
        <v>2.9105365783791637E-2</v>
      </c>
      <c r="E24" s="109">
        <f>+'Constant Prices'!F25/'Constant Prices'!E25-1</f>
        <v>-7.656305837748123E-2</v>
      </c>
      <c r="F24" s="109">
        <f>+'Constant Prices'!G25/'Constant Prices'!F25-1</f>
        <v>-3.2227128233255131E-2</v>
      </c>
      <c r="G24" s="109">
        <f>+'Constant Prices'!H25/'Constant Prices'!G25-1</f>
        <v>0.16509024593374622</v>
      </c>
      <c r="H24" s="109">
        <f>+'Constant Prices'!I25/'Constant Prices'!H25-1</f>
        <v>-5.9400729494040072E-2</v>
      </c>
      <c r="I24" s="109">
        <f>+'Constant Prices'!J25/'Constant Prices'!I25-1</f>
        <v>-8.0592034565416415E-2</v>
      </c>
      <c r="J24" s="109">
        <f>+'Constant Prices'!K25/'Constant Prices'!J25-1</f>
        <v>-6.716051648292698E-3</v>
      </c>
      <c r="K24" s="109">
        <f>+'Constant Prices'!L25/'Constant Prices'!K25-1</f>
        <v>-9.2993937553775385E-2</v>
      </c>
      <c r="L24" s="109">
        <f>+'Constant Prices'!M25/'Constant Prices'!L25-1</f>
        <v>0.161521169240054</v>
      </c>
      <c r="M24" s="109">
        <f>+'Constant Prices'!N25/'Constant Prices'!M25-1</f>
        <v>8.7738903106586719E-3</v>
      </c>
      <c r="N24" s="109">
        <f>+'Constant Prices'!O25/'Constant Prices'!N25-1</f>
        <v>2.522756360974765E-2</v>
      </c>
      <c r="O24" s="109">
        <f>+'Constant Prices'!P25/'Constant Prices'!O25-1</f>
        <v>-8.6424071765166977E-2</v>
      </c>
      <c r="P24" s="2931">
        <f>+'Constant Prices'!Q25/'Constant Prices'!P25-1</f>
        <v>-0.14161512314944291</v>
      </c>
      <c r="Q24" s="2935">
        <f>+'Constant Prices'!R25/'Constant Prices'!Q25-1</f>
        <v>0.13930640282834572</v>
      </c>
      <c r="R24" s="2935">
        <f>+'Constant Prices'!S25/'Constant Prices'!R25-1</f>
        <v>0.2242589188131936</v>
      </c>
      <c r="S24" s="3356">
        <f>+'Constant Prices'!T25/'Constant Prices'!S25-1</f>
        <v>1.8633654907838748E-2</v>
      </c>
    </row>
    <row r="25" spans="1:21" ht="15" customHeight="1">
      <c r="B25" s="110"/>
      <c r="C25" s="109"/>
      <c r="D25" s="109"/>
      <c r="E25" s="109"/>
      <c r="F25" s="109"/>
      <c r="G25" s="109"/>
      <c r="H25" s="109"/>
      <c r="I25" s="109"/>
      <c r="J25" s="109"/>
      <c r="K25" s="109"/>
      <c r="L25" s="109"/>
      <c r="M25" s="109"/>
      <c r="N25" s="109"/>
      <c r="O25" s="109"/>
      <c r="P25" s="2931"/>
      <c r="Q25" s="2935"/>
      <c r="R25" s="2935"/>
      <c r="S25" s="3356"/>
    </row>
    <row r="26" spans="1:21" s="97" customFormat="1" ht="34.5" customHeight="1">
      <c r="B26" s="108" t="s">
        <v>833</v>
      </c>
      <c r="C26" s="109">
        <v>-4.866967947205969E-2</v>
      </c>
      <c r="D26" s="109">
        <v>8.3984535771925994E-3</v>
      </c>
      <c r="E26" s="109">
        <v>-1.0906933065078617E-2</v>
      </c>
      <c r="F26" s="109">
        <v>0.12574129985115556</v>
      </c>
      <c r="G26" s="109">
        <v>-6.3297516759836414E-2</v>
      </c>
      <c r="H26" s="109">
        <v>6.5459401882821622E-2</v>
      </c>
      <c r="I26" s="109">
        <v>-2.5545757610721864E-2</v>
      </c>
      <c r="J26" s="109">
        <v>0.11007566271332014</v>
      </c>
      <c r="K26" s="109">
        <v>-9.2495051692027541E-3</v>
      </c>
      <c r="L26" s="109">
        <f>+'Constant Prices'!M27/'Constant Prices'!L27-1</f>
        <v>-3.0930318269870249E-2</v>
      </c>
      <c r="M26" s="109">
        <f>+'Constant Prices'!N27/'Constant Prices'!M27-1</f>
        <v>0.11164854455884643</v>
      </c>
      <c r="N26" s="109">
        <f>+'Constant Prices'!O27/'Constant Prices'!N27-1</f>
        <v>6.0218666226694362E-2</v>
      </c>
      <c r="O26" s="109">
        <f>+'Constant Prices'!P27/'Constant Prices'!O27-1</f>
        <v>4.8217353115234118E-3</v>
      </c>
      <c r="P26" s="2931">
        <f>+'Constant Prices'!Q27/'Constant Prices'!P27-1</f>
        <v>-0.66987329498262271</v>
      </c>
      <c r="Q26" s="2935">
        <f>+'Constant Prices'!R27/'Constant Prices'!Q27-1</f>
        <v>0.59996798624180392</v>
      </c>
      <c r="R26" s="2935">
        <f>+'Constant Prices'!S27/'Constant Prices'!R27-1</f>
        <v>0.7376615425936941</v>
      </c>
      <c r="S26" s="3356">
        <f>+'Constant Prices'!T27/'Constant Prices'!S27-1</f>
        <v>1.152400575088075E-2</v>
      </c>
    </row>
    <row r="27" spans="1:21" ht="35" customHeight="1">
      <c r="B27" s="110" t="s">
        <v>1514</v>
      </c>
      <c r="C27" s="111">
        <v>-9.5973230349044258E-2</v>
      </c>
      <c r="D27" s="111">
        <v>5.7470172253366369E-2</v>
      </c>
      <c r="E27" s="111">
        <v>-2.4887427234192461E-2</v>
      </c>
      <c r="F27" s="111">
        <v>0.14934658447905957</v>
      </c>
      <c r="G27" s="111">
        <v>-7.0108879349685793E-2</v>
      </c>
      <c r="H27" s="111">
        <v>9.6060565122166874E-2</v>
      </c>
      <c r="I27" s="111">
        <v>-3.3992149439347141E-2</v>
      </c>
      <c r="J27" s="111">
        <v>0.132086343684507</v>
      </c>
      <c r="K27" s="111">
        <v>-1.5449249540542609E-2</v>
      </c>
      <c r="L27" s="111">
        <v>-3.2046278978394072E-2</v>
      </c>
      <c r="M27" s="111">
        <f>+'Constant Prices'!N28/'Constant Prices'!M28-1</f>
        <v>0.11691148774130689</v>
      </c>
      <c r="N27" s="111">
        <f>+'Constant Prices'!O28/'Constant Prices'!N28-1</f>
        <v>6.8914573886169173E-2</v>
      </c>
      <c r="O27" s="111">
        <f>+'Constant Prices'!P28/'Constant Prices'!O28-1</f>
        <v>-1.8904083333325383E-3</v>
      </c>
      <c r="P27" s="2932">
        <f>+'Constant Prices'!Q28/'Constant Prices'!P28-1</f>
        <v>-0.67516404611753866</v>
      </c>
      <c r="Q27" s="4734">
        <f>+'Constant Prices'!R28/'Constant Prices'!Q28-1</f>
        <v>0.65837704788297624</v>
      </c>
      <c r="R27" s="4734">
        <f>+'Constant Prices'!S28/'Constant Prices'!R28-1</f>
        <v>0.7168492619557314</v>
      </c>
      <c r="S27" s="4126">
        <f>+'Constant Prices'!T28/'Constant Prices'!S28-1</f>
        <v>3.3547180789090802E-3</v>
      </c>
    </row>
    <row r="28" spans="1:21" ht="35" customHeight="1">
      <c r="B28" s="110" t="s">
        <v>1515</v>
      </c>
      <c r="C28" s="111">
        <v>0.12537210298833856</v>
      </c>
      <c r="D28" s="111">
        <v>-0.17965232224833372</v>
      </c>
      <c r="E28" s="111">
        <v>3.5422589284406447E-2</v>
      </c>
      <c r="F28" s="111">
        <v>3.110960384414585E-2</v>
      </c>
      <c r="G28" s="111">
        <v>-2.815412970808806E-2</v>
      </c>
      <c r="H28" s="111">
        <v>-6.8430763219452628E-2</v>
      </c>
      <c r="I28" s="111">
        <v>1.1315379555737692E-2</v>
      </c>
      <c r="J28" s="111">
        <v>1.8136363435141023E-2</v>
      </c>
      <c r="K28" s="111">
        <v>5.0081028221824253E-2</v>
      </c>
      <c r="L28" s="111">
        <v>-1.7506723434091875E-2</v>
      </c>
      <c r="M28" s="111">
        <f>+'Constant Prices'!N29/'Constant Prices'!M29-1</f>
        <v>4.9278849664147639E-2</v>
      </c>
      <c r="N28" s="111">
        <f>+'Constant Prices'!O29/'Constant Prices'!N29-1</f>
        <v>-4.947655197588674E-2</v>
      </c>
      <c r="O28" s="111">
        <f>+'Constant Prices'!P29/'Constant Prices'!O29-1</f>
        <v>0.10003866706729658</v>
      </c>
      <c r="P28" s="2932">
        <f>+'Constant Prices'!Q29/'Constant Prices'!P29-1</f>
        <v>-0.60177432355312299</v>
      </c>
      <c r="Q28" s="4734">
        <f>+'Constant Prices'!R29/'Constant Prices'!Q29-1</f>
        <v>-1.3283036950411442E-2</v>
      </c>
      <c r="R28" s="4734">
        <f>+'Constant Prices'!S29/'Constant Prices'!R29-1</f>
        <v>1.1049171281908787</v>
      </c>
      <c r="S28" s="4126">
        <f>+'Constant Prices'!T29/'Constant Prices'!S29-1</f>
        <v>0.12910309444764989</v>
      </c>
    </row>
    <row r="29" spans="1:21" ht="15" customHeight="1">
      <c r="B29" s="110"/>
      <c r="C29" s="109"/>
      <c r="D29" s="109"/>
      <c r="E29" s="109"/>
      <c r="F29" s="109"/>
      <c r="G29" s="109"/>
      <c r="H29" s="109"/>
      <c r="I29" s="109"/>
      <c r="J29" s="109"/>
      <c r="K29" s="109"/>
      <c r="L29" s="109"/>
      <c r="M29" s="109"/>
      <c r="N29" s="109"/>
      <c r="O29" s="109"/>
      <c r="P29" s="2931"/>
      <c r="Q29" s="2935"/>
      <c r="R29" s="2935"/>
      <c r="S29" s="3356"/>
    </row>
    <row r="30" spans="1:21" s="97" customFormat="1" ht="35" customHeight="1">
      <c r="B30" s="70" t="s">
        <v>834</v>
      </c>
      <c r="C30" s="109">
        <f>+'Constant Prices'!D31/'Constant Prices'!C31-1</f>
        <v>3.9193565139949982E-2</v>
      </c>
      <c r="D30" s="109">
        <f>+'Constant Prices'!E31/'Constant Prices'!D31-1</f>
        <v>1.7713604382695092E-2</v>
      </c>
      <c r="E30" s="109">
        <f>+'Constant Prices'!F31/'Constant Prices'!E31-1</f>
        <v>-6.9182800206988304E-2</v>
      </c>
      <c r="F30" s="109">
        <f>+'Constant Prices'!G31/'Constant Prices'!F31-1</f>
        <v>-3.0568995190058623E-2</v>
      </c>
      <c r="G30" s="109">
        <f>+'Constant Prices'!H31/'Constant Prices'!G31-1</f>
        <v>-5.9088697646156429E-2</v>
      </c>
      <c r="H30" s="109">
        <f>+'Constant Prices'!I31/'Constant Prices'!H31-1</f>
        <v>4.4358683463170623E-2</v>
      </c>
      <c r="I30" s="109">
        <f>+'Constant Prices'!J31/'Constant Prices'!I31-1</f>
        <v>-6.4693709748451012E-2</v>
      </c>
      <c r="J30" s="109">
        <f>+'Constant Prices'!K31/'Constant Prices'!J31-1</f>
        <v>0.1423059733304366</v>
      </c>
      <c r="K30" s="109">
        <f>+'Constant Prices'!L31/'Constant Prices'!K31-1</f>
        <v>7.9387172543610163E-3</v>
      </c>
      <c r="L30" s="109">
        <f>+'Constant Prices'!M31/'Constant Prices'!L31-1</f>
        <v>-0.1204425719888178</v>
      </c>
      <c r="M30" s="109">
        <f>+'Constant Prices'!N31/'Constant Prices'!M31-1</f>
        <v>-2.3181238454201836E-3</v>
      </c>
      <c r="N30" s="109">
        <f>+'Constant Prices'!O31/'Constant Prices'!N31-1</f>
        <v>3.1061005586204615E-2</v>
      </c>
      <c r="O30" s="109">
        <f>+'Constant Prices'!P31/'Constant Prices'!O31-1</f>
        <v>4.8988389454761361E-2</v>
      </c>
      <c r="P30" s="2931">
        <f>+'Constant Prices'!Q31/'Constant Prices'!P31-1</f>
        <v>-0.4314323855681419</v>
      </c>
      <c r="Q30" s="2935">
        <f>+'Constant Prices'!R31/'Constant Prices'!Q31-1</f>
        <v>0.12061905691231467</v>
      </c>
      <c r="R30" s="2935">
        <f>+'Constant Prices'!S31/'Constant Prices'!R31-1</f>
        <v>0.38129319165544229</v>
      </c>
      <c r="S30" s="3356">
        <f>+'Constant Prices'!T31/'Constant Prices'!S31-1</f>
        <v>3.8438959043660681E-2</v>
      </c>
    </row>
    <row r="31" spans="1:21" ht="35" customHeight="1">
      <c r="B31" s="71" t="s">
        <v>835</v>
      </c>
      <c r="C31" s="111">
        <f>+'Constant Prices'!D32/'Constant Prices'!C32-1</f>
        <v>7.9064364714970026E-2</v>
      </c>
      <c r="D31" s="111">
        <f>+'Constant Prices'!E32/'Constant Prices'!D32-1</f>
        <v>1.7919599963067689E-2</v>
      </c>
      <c r="E31" s="111">
        <f>+'Constant Prices'!F32/'Constant Prices'!E32-1</f>
        <v>-1.4914457409709425E-2</v>
      </c>
      <c r="F31" s="111">
        <f>+'Constant Prices'!G32/'Constant Prices'!F32-1</f>
        <v>-9.9011503648432586E-2</v>
      </c>
      <c r="G31" s="111">
        <f>+'Constant Prices'!H32/'Constant Prices'!G32-1</f>
        <v>-4.7080923302518896E-2</v>
      </c>
      <c r="H31" s="111">
        <f>+'Constant Prices'!I32/'Constant Prices'!H32-1</f>
        <v>2.9151378715773335E-2</v>
      </c>
      <c r="I31" s="111">
        <f>+'Constant Prices'!J32/'Constant Prices'!I32-1</f>
        <v>-3.1386786737694905E-2</v>
      </c>
      <c r="J31" s="111">
        <f>+'Constant Prices'!K32/'Constant Prices'!J32-1</f>
        <v>9.7722992337541559E-2</v>
      </c>
      <c r="K31" s="111">
        <f>+'Constant Prices'!L32/'Constant Prices'!K32-1</f>
        <v>1.0472857719633799E-2</v>
      </c>
      <c r="L31" s="111">
        <f>+'Constant Prices'!M32/'Constant Prices'!L32-1</f>
        <v>-7.2941278097898632E-2</v>
      </c>
      <c r="M31" s="111">
        <f>+'Constant Prices'!N32/'Constant Prices'!M32-1</f>
        <v>2.7279063637539958E-2</v>
      </c>
      <c r="N31" s="111">
        <f>+'Constant Prices'!O32/'Constant Prices'!N32-1</f>
        <v>3.9806493572605461E-2</v>
      </c>
      <c r="O31" s="111">
        <f>+'Constant Prices'!P32/'Constant Prices'!O32-1</f>
        <v>3.8046388591634228E-2</v>
      </c>
      <c r="P31" s="2932">
        <f>+'Constant Prices'!Q32/'Constant Prices'!P32-1</f>
        <v>-0.4868653634174519</v>
      </c>
      <c r="Q31" s="4734">
        <f>+'Constant Prices'!R32/'Constant Prices'!Q32-1</f>
        <v>-3.4399311364411878E-2</v>
      </c>
      <c r="R31" s="4734">
        <f>+'Constant Prices'!S32/'Constant Prices'!R32-1</f>
        <v>0.67346259438479827</v>
      </c>
      <c r="S31" s="4126">
        <f>+'Constant Prices'!T32/'Constant Prices'!S32-1</f>
        <v>0.10561492267321593</v>
      </c>
    </row>
    <row r="32" spans="1:21" ht="35" customHeight="1">
      <c r="B32" s="71" t="s">
        <v>836</v>
      </c>
      <c r="C32" s="111">
        <f>+'Constant Prices'!D33/'Constant Prices'!C33-1</f>
        <v>2.043441423426251E-2</v>
      </c>
      <c r="D32" s="111">
        <f>+'Constant Prices'!E33/'Constant Prices'!D33-1</f>
        <v>2.5937102993815353E-2</v>
      </c>
      <c r="E32" s="111">
        <f>+'Constant Prices'!F33/'Constant Prices'!E33-1</f>
        <v>-5.9682074871924007E-2</v>
      </c>
      <c r="F32" s="111">
        <f>+'Constant Prices'!G33/'Constant Prices'!F33-1</f>
        <v>-3.1172160740304489E-2</v>
      </c>
      <c r="G32" s="111">
        <f>+'Constant Prices'!H33/'Constant Prices'!G33-1</f>
        <v>-2.6672582775607134E-2</v>
      </c>
      <c r="H32" s="111">
        <f>+'Constant Prices'!I33/'Constant Prices'!H33-1</f>
        <v>-3.0460416441139837E-2</v>
      </c>
      <c r="I32" s="111">
        <f>+'Constant Prices'!J33/'Constant Prices'!I33-1</f>
        <v>5.2388641875921405E-2</v>
      </c>
      <c r="J32" s="111">
        <f>+'Constant Prices'!K33/'Constant Prices'!J33-1</f>
        <v>8.1407765311091396E-2</v>
      </c>
      <c r="K32" s="111">
        <f>+'Constant Prices'!L33/'Constant Prices'!K33-1</f>
        <v>5.8147143612456764E-2</v>
      </c>
      <c r="L32" s="111">
        <f>+'Constant Prices'!M33/'Constant Prices'!L33-1</f>
        <v>0.1449856468297932</v>
      </c>
      <c r="M32" s="111">
        <f>+'Constant Prices'!N33/'Constant Prices'!M33-1</f>
        <v>4.4592085460104958E-2</v>
      </c>
      <c r="N32" s="111">
        <f>+'Constant Prices'!O33/'Constant Prices'!N33-1</f>
        <v>5.3104267609958899E-2</v>
      </c>
      <c r="O32" s="111">
        <f>+'Constant Prices'!P33/'Constant Prices'!O33-1</f>
        <v>-3.3016375435024226E-2</v>
      </c>
      <c r="P32" s="2932">
        <f>+'Constant Prices'!Q33/'Constant Prices'!P33-1</f>
        <v>-0.23188668558010783</v>
      </c>
      <c r="Q32" s="4734">
        <f>+'Constant Prices'!R33/'Constant Prices'!Q33-1</f>
        <v>-0.19566886089922708</v>
      </c>
      <c r="R32" s="4734">
        <f>+'Constant Prices'!S33/'Constant Prices'!R33-1</f>
        <v>0.97109231124305406</v>
      </c>
      <c r="S32" s="4126">
        <f>+'Constant Prices'!T33/'Constant Prices'!S33-1</f>
        <v>0.19093381169657242</v>
      </c>
    </row>
    <row r="33" spans="2:19" ht="35" customHeight="1">
      <c r="B33" s="71" t="s">
        <v>837</v>
      </c>
      <c r="C33" s="111">
        <f>+'Constant Prices'!D34/'Constant Prices'!C34-1</f>
        <v>-8.3763088238564265E-2</v>
      </c>
      <c r="D33" s="111">
        <f>+'Constant Prices'!E34/'Constant Prices'!D34-1</f>
        <v>2.2762117264523152E-2</v>
      </c>
      <c r="E33" s="111">
        <f>+'Constant Prices'!F34/'Constant Prices'!E34-1</f>
        <v>-5.5774389712219263E-2</v>
      </c>
      <c r="F33" s="111">
        <f>+'Constant Prices'!G34/'Constant Prices'!F34-1</f>
        <v>0.114615677175403</v>
      </c>
      <c r="G33" s="111">
        <f>+'Constant Prices'!H34/'Constant Prices'!G34-1</f>
        <v>-0.15240620728463916</v>
      </c>
      <c r="H33" s="111">
        <f>+'Constant Prices'!I34/'Constant Prices'!H34-1</f>
        <v>5.5211094219529411E-3</v>
      </c>
      <c r="I33" s="111">
        <f>+'Constant Prices'!J34/'Constant Prices'!I34-1</f>
        <v>1.121189823048474E-2</v>
      </c>
      <c r="J33" s="111">
        <f>+'Constant Prices'!K34/'Constant Prices'!J34-1</f>
        <v>2.5170986202425194E-2</v>
      </c>
      <c r="K33" s="111">
        <f>+'Constant Prices'!L34/'Constant Prices'!K34-1</f>
        <v>2.2956443245416347E-2</v>
      </c>
      <c r="L33" s="111">
        <f>+'Constant Prices'!M34/'Constant Prices'!L34-1</f>
        <v>2.0102098717839523E-2</v>
      </c>
      <c r="M33" s="111">
        <f>+'Constant Prices'!N34/'Constant Prices'!M34-1</f>
        <v>5.1535542254437239E-2</v>
      </c>
      <c r="N33" s="111">
        <f>+'Constant Prices'!O34/'Constant Prices'!N34-1</f>
        <v>5.3938795004140783E-2</v>
      </c>
      <c r="O33" s="111">
        <f>+'Constant Prices'!P34/'Constant Prices'!O34-1</f>
        <v>-2.5922299541240035E-3</v>
      </c>
      <c r="P33" s="2932">
        <f>+'Constant Prices'!Q34/'Constant Prices'!P34-1</f>
        <v>-0.32525355964579228</v>
      </c>
      <c r="Q33" s="4734">
        <f>+'Constant Prices'!R34/'Constant Prices'!Q34-1</f>
        <v>-0.13154563711601219</v>
      </c>
      <c r="R33" s="4734">
        <f>+'Constant Prices'!S34/'Constant Prices'!R34-1</f>
        <v>0.36529611973605447</v>
      </c>
      <c r="S33" s="4126">
        <f>+'Constant Prices'!T34/'Constant Prices'!S34-1</f>
        <v>0.13532665686303647</v>
      </c>
    </row>
    <row r="34" spans="2:19" ht="35" customHeight="1">
      <c r="B34" s="71" t="s">
        <v>838</v>
      </c>
      <c r="C34" s="111">
        <f>+'Constant Prices'!D35/'Constant Prices'!C35-1</f>
        <v>-6.7202154856205176E-3</v>
      </c>
      <c r="D34" s="111">
        <f>+'Constant Prices'!E35/'Constant Prices'!D35-1</f>
        <v>1.6932586051144005E-2</v>
      </c>
      <c r="E34" s="111">
        <f>+'Constant Prices'!F35/'Constant Prices'!E35-1</f>
        <v>-0.16878259146983765</v>
      </c>
      <c r="F34" s="111">
        <f>+'Constant Prices'!G35/'Constant Prices'!F35-1</f>
        <v>9.2333950174981583E-2</v>
      </c>
      <c r="G34" s="111">
        <f>+'Constant Prices'!H35/'Constant Prices'!G35-1</f>
        <v>-7.29132354544203E-2</v>
      </c>
      <c r="H34" s="111">
        <f>+'Constant Prices'!I35/'Constant Prices'!H35-1</f>
        <v>8.6580832403069907E-2</v>
      </c>
      <c r="I34" s="111">
        <f>+'Constant Prices'!J35/'Constant Prices'!I35-1</f>
        <v>-0.14353980886845197</v>
      </c>
      <c r="J34" s="111">
        <f>+'Constant Prices'!K35/'Constant Prices'!J35-1</f>
        <v>0.25665394676973508</v>
      </c>
      <c r="K34" s="111">
        <f>+'Constant Prices'!L35/'Constant Prices'!K35-1</f>
        <v>-2.6199676122407034E-3</v>
      </c>
      <c r="L34" s="111">
        <f>+'Constant Prices'!M35/'Constant Prices'!L35-1</f>
        <v>-0.25188064219950457</v>
      </c>
      <c r="M34" s="111">
        <f>+'Constant Prices'!N35/'Constant Prices'!M35-1</f>
        <v>-8.4886919522051518E-2</v>
      </c>
      <c r="N34" s="111">
        <f>+'Constant Prices'!O35/'Constant Prices'!N35-1</f>
        <v>-1.1806412428839397E-2</v>
      </c>
      <c r="O34" s="111">
        <f>+'Constant Prices'!P35/'Constant Prices'!O35-1</f>
        <v>0.1021630097007602</v>
      </c>
      <c r="P34" s="2932">
        <f>+'Constant Prices'!Q35/'Constant Prices'!P35-1</f>
        <v>-0.38218004258188021</v>
      </c>
      <c r="Q34" s="4734">
        <f>+'Constant Prices'!R35/'Constant Prices'!Q35-1</f>
        <v>0.55184629894777659</v>
      </c>
      <c r="R34" s="4734">
        <f>+'Constant Prices'!S35/'Constant Prices'!R35-1</f>
        <v>-1.8609747741728411E-2</v>
      </c>
      <c r="S34" s="4126">
        <f>+'Constant Prices'!T35/'Constant Prices'!S35-1</f>
        <v>-0.15206440576505786</v>
      </c>
    </row>
    <row r="35" spans="2:19" ht="35" customHeight="1">
      <c r="B35" s="71" t="s">
        <v>839</v>
      </c>
      <c r="C35" s="111">
        <f>+'Constant Prices'!D36/'Constant Prices'!C36-1</f>
        <v>0</v>
      </c>
      <c r="D35" s="111">
        <f>+'Constant Prices'!E36/'Constant Prices'!D36-1</f>
        <v>0</v>
      </c>
      <c r="E35" s="111">
        <f>+'Constant Prices'!F36/'Constant Prices'!E36-1</f>
        <v>1.2658227848101111E-2</v>
      </c>
      <c r="F35" s="111">
        <f>+'Constant Prices'!G36/'Constant Prices'!F36-1</f>
        <v>-1.2499999999999956E-2</v>
      </c>
      <c r="G35" s="111">
        <f>+'Constant Prices'!H36/'Constant Prices'!G36-1</f>
        <v>1.2658227848101111E-2</v>
      </c>
      <c r="H35" s="111">
        <f>+'Constant Prices'!I36/'Constant Prices'!H36-1</f>
        <v>0</v>
      </c>
      <c r="I35" s="111">
        <f>+'Constant Prices'!J36/'Constant Prices'!I36-1</f>
        <v>1.25000000000004E-2</v>
      </c>
      <c r="J35" s="111">
        <f>+'Constant Prices'!K36/'Constant Prices'!J36-1</f>
        <v>0</v>
      </c>
      <c r="K35" s="111">
        <f>+'Constant Prices'!L36/'Constant Prices'!K36-1</f>
        <v>1.2345679012345512E-2</v>
      </c>
      <c r="L35" s="111">
        <f>+'Constant Prices'!M36/'Constant Prices'!L36-1</f>
        <v>2.4390243902438824E-2</v>
      </c>
      <c r="M35" s="111">
        <f>+'Constant Prices'!N36/'Constant Prices'!M36-1</f>
        <v>0</v>
      </c>
      <c r="N35" s="111">
        <f>+'Constant Prices'!O36/'Constant Prices'!N36-1</f>
        <v>0.66666666666666674</v>
      </c>
      <c r="O35" s="111">
        <f>+'Constant Prices'!P36/'Constant Prices'!O36-1</f>
        <v>8.5714285714285854E-2</v>
      </c>
      <c r="P35" s="2932">
        <f>+'Constant Prices'!Q36/'Constant Prices'!P36-1</f>
        <v>0</v>
      </c>
      <c r="Q35" s="4734">
        <f>+'Constant Prices'!R36/'Constant Prices'!Q36-1</f>
        <v>1.3157894736842257E-2</v>
      </c>
      <c r="R35" s="4734">
        <f>+'Constant Prices'!S36/'Constant Prices'!R36-1</f>
        <v>0</v>
      </c>
      <c r="S35" s="4126">
        <f>+'Constant Prices'!T36/'Constant Prices'!S36-1</f>
        <v>-8.0800179434386665E-2</v>
      </c>
    </row>
    <row r="36" spans="2:19" ht="35" customHeight="1">
      <c r="B36" s="71" t="s">
        <v>840</v>
      </c>
      <c r="C36" s="111">
        <f>+'Constant Prices'!D37/'Constant Prices'!C37-1</f>
        <v>-3.5997494338739777E-2</v>
      </c>
      <c r="D36" s="111">
        <f>+'Constant Prices'!E37/'Constant Prices'!D37-1</f>
        <v>-3.9806961569933907E-2</v>
      </c>
      <c r="E36" s="111">
        <f>+'Constant Prices'!F37/'Constant Prices'!E37-1</f>
        <v>-0.17421066586546996</v>
      </c>
      <c r="F36" s="111">
        <f>+'Constant Prices'!G37/'Constant Prices'!F37-1</f>
        <v>0.1186275715295102</v>
      </c>
      <c r="G36" s="111">
        <f>+'Constant Prices'!H37/'Constant Prices'!G37-1</f>
        <v>1.5306832371220214E-2</v>
      </c>
      <c r="H36" s="111">
        <f>+'Constant Prices'!I37/'Constant Prices'!H37-1</f>
        <v>6.7238114464946985E-3</v>
      </c>
      <c r="I36" s="111">
        <f>+'Constant Prices'!J37/'Constant Prices'!I37-1</f>
        <v>-7.1542971800015898E-2</v>
      </c>
      <c r="J36" s="111">
        <f>+'Constant Prices'!K37/'Constant Prices'!J37-1</f>
        <v>2.8273436405951591E-2</v>
      </c>
      <c r="K36" s="111">
        <f>+'Constant Prices'!L37/'Constant Prices'!K37-1</f>
        <v>-6.9863299315766292E-2</v>
      </c>
      <c r="L36" s="111">
        <f>+'Constant Prices'!M37/'Constant Prices'!L37-1</f>
        <v>-4.6335660372098797E-4</v>
      </c>
      <c r="M36" s="111">
        <f>+'Constant Prices'!N37/'Constant Prices'!M37-1</f>
        <v>0.23094675100220763</v>
      </c>
      <c r="N36" s="111">
        <f>+'Constant Prices'!O37/'Constant Prices'!N37-1</f>
        <v>-0.14214387624397329</v>
      </c>
      <c r="O36" s="111">
        <f>+'Constant Prices'!P37/'Constant Prices'!O37-1</f>
        <v>4.5132009727634204E-2</v>
      </c>
      <c r="P36" s="2932">
        <f>+'Constant Prices'!Q37/'Constant Prices'!P37-1</f>
        <v>-8.3118950685090565E-2</v>
      </c>
      <c r="Q36" s="4734">
        <f>+'Constant Prices'!R37/'Constant Prices'!Q37-1</f>
        <v>0.13806591433711235</v>
      </c>
      <c r="R36" s="4734">
        <f>+'Constant Prices'!S37/'Constant Prices'!R37-1</f>
        <v>4.9749589341910205E-2</v>
      </c>
      <c r="S36" s="4126">
        <f>+'Constant Prices'!T37/'Constant Prices'!S37-1</f>
        <v>0.35779654584643028</v>
      </c>
    </row>
    <row r="37" spans="2:19" ht="15" customHeight="1">
      <c r="B37" s="98"/>
      <c r="C37" s="109"/>
      <c r="D37" s="109"/>
      <c r="E37" s="109"/>
      <c r="F37" s="109"/>
      <c r="G37" s="109"/>
      <c r="H37" s="109"/>
      <c r="I37" s="109"/>
      <c r="J37" s="109"/>
      <c r="K37" s="109"/>
      <c r="L37" s="109"/>
      <c r="M37" s="109"/>
      <c r="N37" s="109"/>
      <c r="O37" s="109"/>
      <c r="P37" s="2931"/>
      <c r="Q37" s="4734"/>
      <c r="R37" s="4734"/>
      <c r="S37" s="4126"/>
    </row>
    <row r="38" spans="2:19" s="97" customFormat="1" ht="35" customHeight="1">
      <c r="B38" s="108" t="str">
        <f>'Constant Prices'!B39</f>
        <v>Communication and Information Services</v>
      </c>
      <c r="C38" s="109">
        <f>+'Constant Prices'!D39/'Constant Prices'!C39-1</f>
        <v>0.36838733881614316</v>
      </c>
      <c r="D38" s="109">
        <f>+'Constant Prices'!E39/'Constant Prices'!D39-1</f>
        <v>5.3128261730419624E-2</v>
      </c>
      <c r="E38" s="109">
        <f>+'Constant Prices'!F39/'Constant Prices'!E39-1</f>
        <v>4.3737401756744454E-2</v>
      </c>
      <c r="F38" s="109">
        <f>+'Constant Prices'!G39/'Constant Prices'!F39-1</f>
        <v>0.12580949555867216</v>
      </c>
      <c r="G38" s="109">
        <f>+'Constant Prices'!H39/'Constant Prices'!G39-1</f>
        <v>4.4204655093612821E-2</v>
      </c>
      <c r="H38" s="109">
        <f>+'Constant Prices'!I39/'Constant Prices'!H39-1</f>
        <v>7.1265710476570376E-2</v>
      </c>
      <c r="I38" s="109">
        <f>+'Constant Prices'!J39/'Constant Prices'!I39-1</f>
        <v>7.0296429492406887E-3</v>
      </c>
      <c r="J38" s="109">
        <f>+'Constant Prices'!K39/'Constant Prices'!J39-1</f>
        <v>-4.3684904228149857E-2</v>
      </c>
      <c r="K38" s="109">
        <f>+'Constant Prices'!L39/'Constant Prices'!K39-1</f>
        <v>8.8302161953067726E-2</v>
      </c>
      <c r="L38" s="109">
        <f>+'Constant Prices'!M39/'Constant Prices'!L39-1</f>
        <v>-5.5916111216421371E-2</v>
      </c>
      <c r="M38" s="109">
        <f>+'Constant Prices'!N39/'Constant Prices'!M39-1</f>
        <v>-1.4908193287576088E-2</v>
      </c>
      <c r="N38" s="109">
        <f>+'Constant Prices'!O39/'Constant Prices'!N39-1</f>
        <v>0.16610494885918348</v>
      </c>
      <c r="O38" s="109">
        <f>+'Constant Prices'!P39/'Constant Prices'!O39-1</f>
        <v>1.1106050143049107E-2</v>
      </c>
      <c r="P38" s="2931">
        <f>+'Constant Prices'!Q39/'Constant Prices'!P39-1</f>
        <v>-0.17072822164650825</v>
      </c>
      <c r="Q38" s="2935">
        <f>+'Constant Prices'!R39/'Constant Prices'!Q39-1</f>
        <v>0.11481717984807593</v>
      </c>
      <c r="R38" s="2935">
        <f>+'Constant Prices'!S39/'Constant Prices'!R39-1</f>
        <v>0.34604549123917483</v>
      </c>
      <c r="S38" s="3356">
        <f>+'Constant Prices'!T39/'Constant Prices'!S39-1</f>
        <v>3.0110935023771823E-2</v>
      </c>
    </row>
    <row r="39" spans="2:19" ht="35" customHeight="1">
      <c r="B39" s="71" t="s">
        <v>841</v>
      </c>
      <c r="C39" s="111">
        <f>+'Constant Prices'!D40/'Constant Prices'!C40-1</f>
        <v>-4.2139898211612792E-3</v>
      </c>
      <c r="D39" s="111">
        <f>+'Constant Prices'!E40/'Constant Prices'!D40-1</f>
        <v>-7.8453965160861783E-3</v>
      </c>
      <c r="E39" s="111">
        <f>+'Constant Prices'!F40/'Constant Prices'!E40-1</f>
        <v>-1.29047549723037E-2</v>
      </c>
      <c r="F39" s="111">
        <f>+'Constant Prices'!G40/'Constant Prices'!F40-1</f>
        <v>6.9479235180347487E-3</v>
      </c>
      <c r="G39" s="111">
        <f>+'Constant Prices'!H40/'Constant Prices'!G40-1</f>
        <v>4.3883468138838921E-4</v>
      </c>
      <c r="H39" s="111">
        <f>+'Constant Prices'!I40/'Constant Prices'!H40-1</f>
        <v>-2.8034638586557081E-3</v>
      </c>
      <c r="I39" s="111">
        <f>+'Constant Prices'!J40/'Constant Prices'!I40-1</f>
        <v>1.6857400568463854E-2</v>
      </c>
      <c r="J39" s="111">
        <f>+'Constant Prices'!K40/'Constant Prices'!J40-1</f>
        <v>-2.6318584136958423E-3</v>
      </c>
      <c r="K39" s="111">
        <f>+'Constant Prices'!L40/'Constant Prices'!K40-1</f>
        <v>-5.5222479585618212E-3</v>
      </c>
      <c r="L39" s="111">
        <f>+'Constant Prices'!M40/'Constant Prices'!L40-1</f>
        <v>-4.3733460696362414E-3</v>
      </c>
      <c r="M39" s="111">
        <f>+'Constant Prices'!N40/'Constant Prices'!M40-1</f>
        <v>-0.1374530953802181</v>
      </c>
      <c r="N39" s="111">
        <f>+'Constant Prices'!O40/'Constant Prices'!N40-1</f>
        <v>2.3291166187452195E-2</v>
      </c>
      <c r="O39" s="111">
        <f>+'Constant Prices'!P40/'Constant Prices'!O40-1</f>
        <v>-0.14080544429356967</v>
      </c>
      <c r="P39" s="2932">
        <f>+'Constant Prices'!Q40/'Constant Prices'!P40-1</f>
        <v>-0.59516263731145491</v>
      </c>
      <c r="Q39" s="4734">
        <f>+'Constant Prices'!R40/'Constant Prices'!Q40-1</f>
        <v>-0.23586230657677387</v>
      </c>
      <c r="R39" s="4734">
        <f>+'Constant Prices'!S40/'Constant Prices'!R40-1</f>
        <v>-0.21744152704487352</v>
      </c>
      <c r="S39" s="4126">
        <f>+'Constant Prices'!T40/'Constant Prices'!S40-1</f>
        <v>-7.1625183975910445E-2</v>
      </c>
    </row>
    <row r="40" spans="2:19" ht="35" customHeight="1">
      <c r="B40" s="71" t="s">
        <v>842</v>
      </c>
      <c r="C40" s="111">
        <f>+'Constant Prices'!D41/'Constant Prices'!C41-1</f>
        <v>5.3715545240915485E-3</v>
      </c>
      <c r="D40" s="111">
        <f>+'Constant Prices'!E41/'Constant Prices'!D41-1</f>
        <v>0.12882027771311755</v>
      </c>
      <c r="E40" s="111">
        <f>+'Constant Prices'!F41/'Constant Prices'!E41-1</f>
        <v>5.459815736966056E-2</v>
      </c>
      <c r="F40" s="111">
        <f>+'Constant Prices'!G41/'Constant Prices'!F41-1</f>
        <v>0.21628296461691221</v>
      </c>
      <c r="G40" s="111">
        <f>+'Constant Prices'!H41/'Constant Prices'!G41-1</f>
        <v>3.6996964704631985E-2</v>
      </c>
      <c r="H40" s="111">
        <f>+'Constant Prices'!I41/'Constant Prices'!H41-1</f>
        <v>-9.8934710107894008E-2</v>
      </c>
      <c r="I40" s="111">
        <f>+'Constant Prices'!J41/'Constant Prices'!I41-1</f>
        <v>7.2888612816923715E-3</v>
      </c>
      <c r="J40" s="111">
        <f>+'Constant Prices'!K41/'Constant Prices'!J41-1</f>
        <v>-1.6292127880607077E-2</v>
      </c>
      <c r="K40" s="111">
        <f>+'Constant Prices'!L41/'Constant Prices'!K41-1</f>
        <v>6.8448319096996446E-3</v>
      </c>
      <c r="L40" s="111">
        <f>+'Constant Prices'!M41/'Constant Prices'!L41-1</f>
        <v>-5.4105278119521927E-2</v>
      </c>
      <c r="M40" s="111">
        <f>+'Constant Prices'!N41/'Constant Prices'!M41-1</f>
        <v>-7.7698740005965661E-2</v>
      </c>
      <c r="N40" s="111">
        <f>+'Constant Prices'!O41/'Constant Prices'!N41-1</f>
        <v>-5.2419626039784117E-2</v>
      </c>
      <c r="O40" s="111">
        <f>+'Constant Prices'!P41/'Constant Prices'!O41-1</f>
        <v>-0.23718575415252463</v>
      </c>
      <c r="P40" s="2932">
        <f>+'Constant Prices'!Q41/'Constant Prices'!P41-1</f>
        <v>-0.25136490264776001</v>
      </c>
      <c r="Q40" s="4734">
        <f>+'Constant Prices'!R41/'Constant Prices'!Q41-1</f>
        <v>-7.4183956895860992E-2</v>
      </c>
      <c r="R40" s="4734">
        <f>+'Constant Prices'!S41/'Constant Prices'!R41-1</f>
        <v>0.12017253413327911</v>
      </c>
      <c r="S40" s="4126">
        <f>+'Constant Prices'!T41/'Constant Prices'!S41-1</f>
        <v>-0.11829640981412848</v>
      </c>
    </row>
    <row r="41" spans="2:19" ht="35" customHeight="1">
      <c r="B41" s="71" t="s">
        <v>0</v>
      </c>
      <c r="C41" s="111">
        <f>+'Constant Prices'!D42/'Constant Prices'!C42-1</f>
        <v>9.6332577389430796E-2</v>
      </c>
      <c r="D41" s="111">
        <f>+'Constant Prices'!E42/'Constant Prices'!D42-1</f>
        <v>0.37851674631131416</v>
      </c>
      <c r="E41" s="111">
        <f>+'Constant Prices'!F42/'Constant Prices'!E42-1</f>
        <v>7.9967991783567616E-2</v>
      </c>
      <c r="F41" s="111">
        <f>+'Constant Prices'!G42/'Constant Prices'!F42-1</f>
        <v>0.12873227911836338</v>
      </c>
      <c r="G41" s="111">
        <f>+'Constant Prices'!H42/'Constant Prices'!G42-1</f>
        <v>4.5131912616650949E-2</v>
      </c>
      <c r="H41" s="111">
        <f>+'Constant Prices'!I42/'Constant Prices'!H42-1</f>
        <v>7.302048896200497E-2</v>
      </c>
      <c r="I41" s="111">
        <f>+'Constant Prices'!J42/'Constant Prices'!I42-1</f>
        <v>6.1375123973725909E-3</v>
      </c>
      <c r="J41" s="111">
        <f>+'Constant Prices'!K42/'Constant Prices'!J42-1</f>
        <v>-4.2112607755656728E-2</v>
      </c>
      <c r="K41" s="111">
        <f>+'Constant Prices'!L42/'Constant Prices'!K42-1</f>
        <v>9.2849516814703215E-2</v>
      </c>
      <c r="L41" s="111">
        <f>+'Constant Prices'!M42/'Constant Prices'!L42-1</f>
        <v>-5.7105778474073277E-2</v>
      </c>
      <c r="M41" s="111">
        <f>+'Constant Prices'!N42/'Constant Prices'!M42-1</f>
        <v>-6.3151841117294882E-3</v>
      </c>
      <c r="N41" s="111">
        <f>+'Constant Prices'!O42/'Constant Prices'!N42-1</f>
        <v>0.18962539582157145</v>
      </c>
      <c r="O41" s="111">
        <f>+'Constant Prices'!P42/'Constant Prices'!O42-1</f>
        <v>3.0186448523068732E-2</v>
      </c>
      <c r="P41" s="2932">
        <f>+'Constant Prices'!Q42/'Constant Prices'!P42-1</f>
        <v>-0.1550084459758917</v>
      </c>
      <c r="Q41" s="4734">
        <f>+'Constant Prices'!R42/'Constant Prices'!Q42-1</f>
        <v>0.12660470735521523</v>
      </c>
      <c r="R41" s="4734">
        <f>+'Constant Prices'!S42/'Constant Prices'!R42-1</f>
        <v>0.36562781282995238</v>
      </c>
      <c r="S41" s="4126">
        <f>+'Constant Prices'!T42/'Constant Prices'!S42-1</f>
        <v>3.1476125918757036E-2</v>
      </c>
    </row>
    <row r="42" spans="2:19" ht="39.5" customHeight="1">
      <c r="B42" s="71" t="s">
        <v>843</v>
      </c>
      <c r="C42" s="111">
        <f>+'Constant Prices'!D43/'Constant Prices'!C43-1</f>
        <v>0.2118666079734608</v>
      </c>
      <c r="D42" s="111">
        <f>+'Constant Prices'!E43/'Constant Prices'!D43-1</f>
        <v>-3.5290640986945787E-3</v>
      </c>
      <c r="E42" s="111">
        <f>+'Constant Prices'!F43/'Constant Prices'!E43-1</f>
        <v>-2.7000608623457323E-2</v>
      </c>
      <c r="F42" s="111">
        <f>+'Constant Prices'!G43/'Constant Prices'!F43-1</f>
        <v>3.8563849429396946E-2</v>
      </c>
      <c r="G42" s="111">
        <f>+'Constant Prices'!H43/'Constant Prices'!G43-1</f>
        <v>7.8685733477200426E-2</v>
      </c>
      <c r="H42" s="111">
        <f>+'Constant Prices'!I43/'Constant Prices'!H43-1</f>
        <v>-1.6459431772460009E-2</v>
      </c>
      <c r="I42" s="111">
        <f>+'Constant Prices'!J43/'Constant Prices'!I43-1</f>
        <v>-2.4226837380134314E-2</v>
      </c>
      <c r="J42" s="111">
        <f>+'Constant Prices'!K43/'Constant Prices'!J43-1</f>
        <v>6.9727881308661033E-3</v>
      </c>
      <c r="K42" s="111">
        <f>+'Constant Prices'!L43/'Constant Prices'!K43-1</f>
        <v>-3.2860909916850312E-2</v>
      </c>
      <c r="L42" s="111">
        <f>+'Constant Prices'!M43/'Constant Prices'!L43-1</f>
        <v>2.9805635737244041E-2</v>
      </c>
      <c r="M42" s="111">
        <f>+'Constant Prices'!N43/'Constant Prices'!M43-1</f>
        <v>3.9795080003506289E-2</v>
      </c>
      <c r="N42" s="111">
        <f>+'Constant Prices'!O43/'Constant Prices'!N43-1</f>
        <v>8.7754694239362552E-2</v>
      </c>
      <c r="O42" s="111">
        <f>+'Constant Prices'!P43/'Constant Prices'!O43-1</f>
        <v>2.3787534667147003E-2</v>
      </c>
      <c r="P42" s="2932">
        <f>+'Constant Prices'!Q43/'Constant Prices'!P43-1</f>
        <v>-0.22090265286612987</v>
      </c>
      <c r="Q42" s="4734">
        <f>+'Constant Prices'!R43/'Constant Prices'!Q43-1</f>
        <v>9.107620944618211E-2</v>
      </c>
      <c r="R42" s="4734">
        <f>+'Constant Prices'!S43/'Constant Prices'!R43-1</f>
        <v>2.2298073963483711E-2</v>
      </c>
      <c r="S42" s="4126">
        <f>+'Constant Prices'!T43/'Constant Prices'!S43-1</f>
        <v>0.18788217745019931</v>
      </c>
    </row>
    <row r="43" spans="2:19" ht="15" customHeight="1">
      <c r="B43" s="71"/>
      <c r="C43" s="109"/>
      <c r="D43" s="109"/>
      <c r="E43" s="109"/>
      <c r="F43" s="109"/>
      <c r="G43" s="109"/>
      <c r="H43" s="109"/>
      <c r="I43" s="109"/>
      <c r="J43" s="109"/>
      <c r="K43" s="109"/>
      <c r="L43" s="109"/>
      <c r="M43" s="109"/>
      <c r="N43" s="109"/>
      <c r="O43" s="109"/>
      <c r="P43" s="2931"/>
      <c r="Q43" s="2935"/>
      <c r="R43" s="2935"/>
      <c r="S43" s="3356"/>
    </row>
    <row r="44" spans="2:19" ht="35" customHeight="1">
      <c r="B44" s="108" t="str">
        <f>'Constant Prices'!B45</f>
        <v>Financial Services</v>
      </c>
      <c r="C44" s="109">
        <f>+'Constant Prices'!D45/'Constant Prices'!C45-1</f>
        <v>0.11904761904761907</v>
      </c>
      <c r="D44" s="109">
        <f>+'Constant Prices'!E45/'Constant Prices'!D45-1</f>
        <v>3.4292866082603179E-2</v>
      </c>
      <c r="E44" s="109">
        <f>+'Constant Prices'!F45/'Constant Prices'!E45-1</f>
        <v>-9.196515004840311E-3</v>
      </c>
      <c r="F44" s="109">
        <f>+'Constant Prices'!G45/'Constant Prices'!F45-1</f>
        <v>-0.10649731314118216</v>
      </c>
      <c r="G44" s="109">
        <f>+'Constant Prices'!H45/'Constant Prices'!G45-1</f>
        <v>6.5609622744668972E-3</v>
      </c>
      <c r="H44" s="109">
        <f>+'Constant Prices'!I45/'Constant Prices'!H45-1</f>
        <v>-2.3356871265616475E-2</v>
      </c>
      <c r="I44" s="109">
        <f>+'Constant Prices'!J45/'Constant Prices'!I45-1</f>
        <v>-4.4493882091213299E-3</v>
      </c>
      <c r="J44" s="109">
        <f>+'Constant Prices'!K45/'Constant Prices'!J45-1</f>
        <v>-0.12262569832402226</v>
      </c>
      <c r="K44" s="109">
        <f>+'Constant Prices'!L45/'Constant Prices'!K45-1</f>
        <v>3.5020694046482115E-2</v>
      </c>
      <c r="L44" s="109">
        <f>+'Constant Prices'!M45/'Constant Prices'!L45-1</f>
        <v>0.18744042876382738</v>
      </c>
      <c r="M44" s="109">
        <f>+'Constant Prices'!N45/'Constant Prices'!M45-1</f>
        <v>2.2963747377919841E-3</v>
      </c>
      <c r="N44" s="109">
        <f>+'Constant Prices'!O45/'Constant Prices'!N45-1</f>
        <v>-5.3122544673138705E-3</v>
      </c>
      <c r="O44" s="109">
        <f>+'Constant Prices'!P45/'Constant Prices'!O45-1</f>
        <v>4.5054704277755597E-2</v>
      </c>
      <c r="P44" s="2931">
        <f>+'Constant Prices'!Q45/'Constant Prices'!P45-1</f>
        <v>-9.630315827953273E-2</v>
      </c>
      <c r="Q44" s="2935">
        <f>+'Constant Prices'!R45/'Constant Prices'!Q45-1</f>
        <v>4.1708207531558905E-3</v>
      </c>
      <c r="R44" s="2935">
        <f>+'Constant Prices'!S45/'Constant Prices'!R45-1</f>
        <v>-3.1412012200919714E-2</v>
      </c>
      <c r="S44" s="3356">
        <f>+'Constant Prices'!T45/'Constant Prices'!S45-1</f>
        <v>1.4828134625304079E-2</v>
      </c>
    </row>
    <row r="45" spans="2:19" ht="35" customHeight="1">
      <c r="B45" s="110" t="s">
        <v>648</v>
      </c>
      <c r="C45" s="111">
        <f>+'Constant Prices'!D46/'Constant Prices'!C46-1</f>
        <v>0.10885178413123087</v>
      </c>
      <c r="D45" s="111">
        <f>+'Constant Prices'!E46/'Constant Prices'!D46-1</f>
        <v>4.9800630760137965E-2</v>
      </c>
      <c r="E45" s="111">
        <f>+'Constant Prices'!F46/'Constant Prices'!E46-1</f>
        <v>-2.8649929063319313E-2</v>
      </c>
      <c r="F45" s="111">
        <f>+'Constant Prices'!G46/'Constant Prices'!F46-1</f>
        <v>-6.8107809183871937E-2</v>
      </c>
      <c r="G45" s="111">
        <f>+'Constant Prices'!H46/'Constant Prices'!G46-1</f>
        <v>1.7981232809440417E-2</v>
      </c>
      <c r="H45" s="111">
        <f>+'Constant Prices'!I46/'Constant Prices'!H46-1</f>
        <v>-4.8600310159018223E-3</v>
      </c>
      <c r="I45" s="111">
        <f>+'Constant Prices'!J46/'Constant Prices'!I46-1</f>
        <v>9.5224506522217922E-3</v>
      </c>
      <c r="J45" s="111">
        <f>+'Constant Prices'!K46/'Constant Prices'!J46-1</f>
        <v>-9.3501457883702788E-2</v>
      </c>
      <c r="K45" s="111">
        <f>+'Constant Prices'!L46/'Constant Prices'!K46-1</f>
        <v>3.1176846402147795E-4</v>
      </c>
      <c r="L45" s="111">
        <f>+'Constant Prices'!M46/'Constant Prices'!L46-1</f>
        <v>0.17623762948065158</v>
      </c>
      <c r="M45" s="111">
        <f>+'Constant Prices'!N46/'Constant Prices'!M46-1</f>
        <v>2.9154370203565705E-5</v>
      </c>
      <c r="N45" s="111">
        <f>+'Constant Prices'!O46/'Constant Prices'!N46-1</f>
        <v>-8.4415681991557578E-3</v>
      </c>
      <c r="O45" s="111">
        <f>+'Constant Prices'!P46/'Constant Prices'!O46-1</f>
        <v>4.4999415305901902E-2</v>
      </c>
      <c r="P45" s="2932">
        <f>+'Constant Prices'!Q46/'Constant Prices'!P46-1</f>
        <v>-0.10814056633096036</v>
      </c>
      <c r="Q45" s="4734">
        <f>+'Constant Prices'!R46/'Constant Prices'!Q46-1</f>
        <v>9.0099304954560644E-4</v>
      </c>
      <c r="R45" s="4734">
        <f>+'Constant Prices'!S46/'Constant Prices'!R46-1</f>
        <v>-3.652763938281911E-2</v>
      </c>
      <c r="S45" s="4126">
        <f>+'Constant Prices'!T46/'Constant Prices'!S46-1</f>
        <v>1.5872609754373768E-2</v>
      </c>
    </row>
    <row r="46" spans="2:19" ht="35" customHeight="1">
      <c r="B46" s="110" t="s">
        <v>1516</v>
      </c>
      <c r="C46" s="111">
        <f>+'Constant Prices'!D47/'Constant Prices'!C47-1</f>
        <v>3.4453453463743733E-2</v>
      </c>
      <c r="D46" s="111">
        <f>+'Constant Prices'!E47/'Constant Prices'!D47-1</f>
        <v>-3.7708592319188328E-2</v>
      </c>
      <c r="E46" s="111">
        <f>+'Constant Prices'!F47/'Constant Prices'!E47-1</f>
        <v>0.22781137735892942</v>
      </c>
      <c r="F46" s="111">
        <f>+'Constant Prices'!G47/'Constant Prices'!F47-1</f>
        <v>-0.18642104238797674</v>
      </c>
      <c r="G46" s="111">
        <f>+'Constant Prices'!H47/'Constant Prices'!G47-1</f>
        <v>-5.6355431036814063E-2</v>
      </c>
      <c r="H46" s="111">
        <f>+'Constant Prices'!I47/'Constant Prices'!H47-1</f>
        <v>-2.5454566117957822E-2</v>
      </c>
      <c r="I46" s="111">
        <f>+'Constant Prices'!J47/'Constant Prices'!I47-1</f>
        <v>4.1887123789085878E-2</v>
      </c>
      <c r="J46" s="111">
        <f>+'Constant Prices'!K47/'Constant Prices'!J47-1</f>
        <v>-0.10401254748766431</v>
      </c>
      <c r="K46" s="111">
        <f>+'Constant Prices'!L47/'Constant Prices'!K47-1</f>
        <v>0.26674320065561985</v>
      </c>
      <c r="L46" s="111">
        <f>+'Constant Prices'!M47/'Constant Prices'!L47-1</f>
        <v>5.155019014220974E-2</v>
      </c>
      <c r="M46" s="111">
        <f>+'Constant Prices'!N47/'Constant Prices'!M47-1</f>
        <v>1.7904242800377501E-2</v>
      </c>
      <c r="N46" s="111">
        <f>+'Constant Prices'!O47/'Constant Prices'!N47-1</f>
        <v>1.5852083764643421E-2</v>
      </c>
      <c r="O46" s="111">
        <f>+'Constant Prices'!P47/'Constant Prices'!O47-1</f>
        <v>4.5419695094549573E-2</v>
      </c>
      <c r="P46" s="2932">
        <f>+'Constant Prices'!Q47/'Constant Prices'!P47-1</f>
        <v>-1.8189781554623141E-2</v>
      </c>
      <c r="Q46" s="4734">
        <f>+'Constant Prices'!R47/'Constant Prices'!Q47-1</f>
        <v>2.3771112022289431E-2</v>
      </c>
      <c r="R46" s="4734">
        <f>+'Constant Prices'!S47/'Constant Prices'!R47-1</f>
        <v>-1.4324841452277859E-3</v>
      </c>
      <c r="S46" s="4126">
        <f>+'Constant Prices'!T47/'Constant Prices'!S47-1</f>
        <v>8.9222380814388824E-3</v>
      </c>
    </row>
    <row r="47" spans="2:19" ht="15" customHeight="1">
      <c r="B47" s="110"/>
      <c r="C47" s="109"/>
      <c r="D47" s="109"/>
      <c r="E47" s="109"/>
      <c r="F47" s="109"/>
      <c r="G47" s="109"/>
      <c r="H47" s="109"/>
      <c r="I47" s="109"/>
      <c r="J47" s="109"/>
      <c r="K47" s="109"/>
      <c r="L47" s="109"/>
      <c r="M47" s="109"/>
      <c r="N47" s="109"/>
      <c r="O47" s="109"/>
      <c r="P47" s="2931"/>
      <c r="Q47" s="4734"/>
      <c r="R47" s="4734"/>
      <c r="S47" s="4126"/>
    </row>
    <row r="48" spans="2:19" s="97" customFormat="1" ht="35" customHeight="1">
      <c r="B48" s="108" t="s">
        <v>844</v>
      </c>
      <c r="C48" s="109">
        <f>+'Constant Prices'!D49/'Constant Prices'!C49-1</f>
        <v>1.417533253121861E-2</v>
      </c>
      <c r="D48" s="109">
        <f>+'Constant Prices'!E49/'Constant Prices'!D49-1</f>
        <v>1.7017110498757093E-2</v>
      </c>
      <c r="E48" s="109">
        <f>+'Constant Prices'!F49/'Constant Prices'!E49-1</f>
        <v>1.142502161393133E-2</v>
      </c>
      <c r="F48" s="109">
        <f>+'Constant Prices'!G49/'Constant Prices'!F49-1</f>
        <v>1.4480286316941759E-2</v>
      </c>
      <c r="G48" s="109">
        <f>+'Constant Prices'!H49/'Constant Prices'!G49-1</f>
        <v>2.176698714392522E-3</v>
      </c>
      <c r="H48" s="109">
        <f>+'Constant Prices'!I49/'Constant Prices'!H49-1</f>
        <v>1.7457289552602617E-4</v>
      </c>
      <c r="I48" s="109">
        <f>+'Constant Prices'!J49/'Constant Prices'!I49-1</f>
        <v>9.6234590479038484E-3</v>
      </c>
      <c r="J48" s="109">
        <f>+'Constant Prices'!K49/'Constant Prices'!J49-1</f>
        <v>2.1295925327770471E-2</v>
      </c>
      <c r="K48" s="109">
        <f>+'Constant Prices'!L49/'Constant Prices'!K49-1</f>
        <v>-1.1333185134793089E-3</v>
      </c>
      <c r="L48" s="109">
        <f>+'Constant Prices'!M49/'Constant Prices'!L49-1</f>
        <v>-3.3573213672893898E-3</v>
      </c>
      <c r="M48" s="109">
        <f>+'Constant Prices'!N49/'Constant Prices'!M49-1</f>
        <v>2.2230360158901341E-3</v>
      </c>
      <c r="N48" s="109">
        <f>+'Constant Prices'!O49/'Constant Prices'!N49-1</f>
        <v>8.0412628536870034E-3</v>
      </c>
      <c r="O48" s="109">
        <f>+'Constant Prices'!P49/'Constant Prices'!O49-1</f>
        <v>-1.1170164345486122E-2</v>
      </c>
      <c r="P48" s="2931">
        <f>+'Constant Prices'!Q49/'Constant Prices'!P49-1</f>
        <v>2.8505335010902133E-2</v>
      </c>
      <c r="Q48" s="2935">
        <f>+'Constant Prices'!R49/'Constant Prices'!Q49-1</f>
        <v>6.644495754064117E-3</v>
      </c>
      <c r="R48" s="2935">
        <f>+'Constant Prices'!S49/'Constant Prices'!R49-1</f>
        <v>1.0311168707486829E-2</v>
      </c>
      <c r="S48" s="3356">
        <f>+'Constant Prices'!T49/'Constant Prices'!S49-1</f>
        <v>1.083621627550535E-2</v>
      </c>
    </row>
    <row r="49" spans="2:19" s="97" customFormat="1" ht="35" customHeight="1">
      <c r="B49" s="108" t="s">
        <v>845</v>
      </c>
      <c r="C49" s="109">
        <f>+'Constant Prices'!D50/'Constant Prices'!C50-1</f>
        <v>-8.2903302004404988E-2</v>
      </c>
      <c r="D49" s="109">
        <f>+'Constant Prices'!E50/'Constant Prices'!D50-1</f>
        <v>7.8161065822168307E-2</v>
      </c>
      <c r="E49" s="109">
        <f>+'Constant Prices'!F50/'Constant Prices'!E50-1</f>
        <v>3.557003937397285E-2</v>
      </c>
      <c r="F49" s="109">
        <f>+'Constant Prices'!G50/'Constant Prices'!F50-1</f>
        <v>4.7876636806989392E-2</v>
      </c>
      <c r="G49" s="109">
        <f>+'Constant Prices'!H50/'Constant Prices'!G50-1</f>
        <v>-7.8874339522320147E-3</v>
      </c>
      <c r="H49" s="109">
        <f>+'Constant Prices'!I50/'Constant Prices'!H50-1</f>
        <v>5.3454681452609343E-3</v>
      </c>
      <c r="I49" s="109">
        <f>+'Constant Prices'!J50/'Constant Prices'!I50-1</f>
        <v>-2.1744132024161256E-2</v>
      </c>
      <c r="J49" s="109">
        <f>+'Constant Prices'!K50/'Constant Prices'!J50-1</f>
        <v>-2.3698391308044631E-3</v>
      </c>
      <c r="K49" s="109">
        <f>+'Constant Prices'!L50/'Constant Prices'!K50-1</f>
        <v>2.4975049505462366E-2</v>
      </c>
      <c r="L49" s="109">
        <f>+'Constant Prices'!M50/'Constant Prices'!L50-1</f>
        <v>2.2880254201384176E-2</v>
      </c>
      <c r="M49" s="109">
        <f>+'Constant Prices'!N50/'Constant Prices'!M50-1</f>
        <v>-4.0798002841690773E-2</v>
      </c>
      <c r="N49" s="109">
        <f>+'Constant Prices'!O50/'Constant Prices'!N50-1</f>
        <v>-1.6172163572507503E-2</v>
      </c>
      <c r="O49" s="109">
        <f>+'Constant Prices'!P50/'Constant Prices'!O50-1</f>
        <v>-0.12281606656166433</v>
      </c>
      <c r="P49" s="2931">
        <f>+'Constant Prices'!Q50/'Constant Prices'!P50-1</f>
        <v>-0.17018424818393607</v>
      </c>
      <c r="Q49" s="2935">
        <f>+'Constant Prices'!R50/'Constant Prices'!Q50-1</f>
        <v>7.2644153593905969E-3</v>
      </c>
      <c r="R49" s="2935">
        <f>+'Constant Prices'!S50/'Constant Prices'!R50-1</f>
        <v>0.19666084420538299</v>
      </c>
      <c r="S49" s="3356">
        <f>+'Constant Prices'!T50/'Constant Prices'!S50-1</f>
        <v>0.11295169970457408</v>
      </c>
    </row>
    <row r="50" spans="2:19" s="97" customFormat="1" ht="35" customHeight="1">
      <c r="B50" s="108" t="s">
        <v>919</v>
      </c>
      <c r="C50" s="109">
        <f>+'Constant Prices'!D51/'Constant Prices'!C51-1</f>
        <v>0.42743983620001602</v>
      </c>
      <c r="D50" s="109">
        <f>+'Constant Prices'!E51/'Constant Prices'!D51-1</f>
        <v>0.11060228635332758</v>
      </c>
      <c r="E50" s="109">
        <f>+'Constant Prices'!F51/'Constant Prices'!E51-1</f>
        <v>-0.1022557851111866</v>
      </c>
      <c r="F50" s="109">
        <f>+'Constant Prices'!G51/'Constant Prices'!F51-1</f>
        <v>-5.967751559526524E-2</v>
      </c>
      <c r="G50" s="109">
        <f>+'Constant Prices'!H51/'Constant Prices'!G51-1</f>
        <v>1.3855574161780071E-2</v>
      </c>
      <c r="H50" s="109">
        <f>+'Constant Prices'!I51/'Constant Prices'!H51-1</f>
        <v>-9.1665584831247204E-2</v>
      </c>
      <c r="I50" s="109">
        <f>+'Constant Prices'!J51/'Constant Prices'!I51-1</f>
        <v>-0.13317487075158163</v>
      </c>
      <c r="J50" s="109">
        <f>+'Constant Prices'!K51/'Constant Prices'!J51-1</f>
        <v>-5.9776054218719232E-2</v>
      </c>
      <c r="K50" s="109">
        <f>+'Constant Prices'!L51/'Constant Prices'!K51-1</f>
        <v>0.15329942776280325</v>
      </c>
      <c r="L50" s="109">
        <f>+'Constant Prices'!M51/'Constant Prices'!L51-1</f>
        <v>-3.5451880430835914E-2</v>
      </c>
      <c r="M50" s="109">
        <f>+'Constant Prices'!N51/'Constant Prices'!M51-1</f>
        <v>-8.3267994987509253E-2</v>
      </c>
      <c r="N50" s="109">
        <f>+'Constant Prices'!O51/'Constant Prices'!N51-1</f>
        <v>0.30997057255356686</v>
      </c>
      <c r="O50" s="109">
        <f>+'Constant Prices'!P51/'Constant Prices'!O51-1</f>
        <v>-2.4790528100762321E-2</v>
      </c>
      <c r="P50" s="2931">
        <f>+'Constant Prices'!Q51/'Constant Prices'!P51-1</f>
        <v>-0.25849873272797808</v>
      </c>
      <c r="Q50" s="2935">
        <f>+'Constant Prices'!R51/'Constant Prices'!Q51-1</f>
        <v>1.9429198580413143E-2</v>
      </c>
      <c r="R50" s="2935">
        <f>+'Constant Prices'!S51/'Constant Prices'!R51-1</f>
        <v>0.29300217770861514</v>
      </c>
      <c r="S50" s="3356">
        <f>+'Constant Prices'!T51/'Constant Prices'!S51-1</f>
        <v>-3.3511009829772842E-2</v>
      </c>
    </row>
    <row r="51" spans="2:19" s="97" customFormat="1" ht="35" customHeight="1">
      <c r="B51" s="108" t="s">
        <v>921</v>
      </c>
      <c r="C51" s="109">
        <f>+'Constant Prices'!D52/'Constant Prices'!C52-1</f>
        <v>0.24213804032773734</v>
      </c>
      <c r="D51" s="109">
        <f>+'Constant Prices'!E52/'Constant Prices'!D52-1</f>
        <v>5.1626259263143126E-2</v>
      </c>
      <c r="E51" s="109">
        <f>+'Constant Prices'!F52/'Constant Prices'!E52-1</f>
        <v>4.148895307509104E-2</v>
      </c>
      <c r="F51" s="109">
        <f>+'Constant Prices'!G52/'Constant Prices'!F52-1</f>
        <v>2.7445208076486427E-3</v>
      </c>
      <c r="G51" s="109">
        <f>+'Constant Prices'!H52/'Constant Prices'!G52-1</f>
        <v>-1.4027786860751568E-2</v>
      </c>
      <c r="H51" s="109">
        <f>+'Constant Prices'!I52/'Constant Prices'!H52-1</f>
        <v>-6.3614910789782764E-2</v>
      </c>
      <c r="I51" s="109">
        <f>+'Constant Prices'!J52/'Constant Prices'!I52-1</f>
        <v>-2.412076925524842E-2</v>
      </c>
      <c r="J51" s="109">
        <f>+'Constant Prices'!K52/'Constant Prices'!J52-1</f>
        <v>5.669413755656616E-2</v>
      </c>
      <c r="K51" s="109">
        <f>+'Constant Prices'!L52/'Constant Prices'!K52-1</f>
        <v>9.1375538836203862E-2</v>
      </c>
      <c r="L51" s="109">
        <f>+'Constant Prices'!M52/'Constant Prices'!L52-1</f>
        <v>-2.679485559570105E-2</v>
      </c>
      <c r="M51" s="109">
        <f>+'Constant Prices'!N52/'Constant Prices'!M52-1</f>
        <v>0.13674992069452463</v>
      </c>
      <c r="N51" s="109">
        <f>+'Constant Prices'!O52/'Constant Prices'!N52-1</f>
        <v>9.0258638253818413E-2</v>
      </c>
      <c r="O51" s="109">
        <f>+'Constant Prices'!P52/'Constant Prices'!O52-1</f>
        <v>2.8903094441301569E-4</v>
      </c>
      <c r="P51" s="2931">
        <f>+'Constant Prices'!Q52/'Constant Prices'!P52-1</f>
        <v>-0.64044341996741283</v>
      </c>
      <c r="Q51" s="2935">
        <f>+'Constant Prices'!R52/'Constant Prices'!Q52-1</f>
        <v>-0.1312688218356266</v>
      </c>
      <c r="R51" s="2935">
        <f>+'Constant Prices'!S52/'Constant Prices'!R52-1</f>
        <v>1.2461775314451984</v>
      </c>
      <c r="S51" s="3356">
        <f>+'Constant Prices'!T52/'Constant Prices'!S52-1</f>
        <v>0.16151590941515037</v>
      </c>
    </row>
    <row r="52" spans="2:19" s="97" customFormat="1" ht="35" customHeight="1">
      <c r="B52" s="108" t="s">
        <v>920</v>
      </c>
      <c r="C52" s="109">
        <f>+'Constant Prices'!D53/'Constant Prices'!C53-1</f>
        <v>0.16882317633274324</v>
      </c>
      <c r="D52" s="109">
        <f>+'Constant Prices'!E53/'Constant Prices'!D53-1</f>
        <v>0.13500488034839342</v>
      </c>
      <c r="E52" s="109">
        <f>+'Constant Prices'!F53/'Constant Prices'!E53-1</f>
        <v>4.6697791716575843E-2</v>
      </c>
      <c r="F52" s="109">
        <f>+'Constant Prices'!G53/'Constant Prices'!F53-1</f>
        <v>1.1214804519654287E-2</v>
      </c>
      <c r="G52" s="109">
        <f>+'Constant Prices'!H53/'Constant Prices'!G53-1</f>
        <v>6.7375498373070997E-2</v>
      </c>
      <c r="H52" s="109">
        <f>+'Constant Prices'!I53/'Constant Prices'!H53-1</f>
        <v>4.8071755660876736E-3</v>
      </c>
      <c r="I52" s="109">
        <f>+'Constant Prices'!J53/'Constant Prices'!I53-1</f>
        <v>7.2685700023256139E-4</v>
      </c>
      <c r="J52" s="109">
        <f>+'Constant Prices'!K53/'Constant Prices'!J53-1</f>
        <v>3.7161456149276351E-2</v>
      </c>
      <c r="K52" s="109">
        <f>+'Constant Prices'!L53/'Constant Prices'!K53-1</f>
        <v>8.3120518587769254E-2</v>
      </c>
      <c r="L52" s="109">
        <f>+'Constant Prices'!M53/'Constant Prices'!L53-1</f>
        <v>0.10852423349573881</v>
      </c>
      <c r="M52" s="109">
        <f>+'Constant Prices'!N53/'Constant Prices'!M53-1</f>
        <v>1.4229339885135195E-2</v>
      </c>
      <c r="N52" s="109">
        <f>+'Constant Prices'!O53/'Constant Prices'!N53-1</f>
        <v>5.1496386267970706E-2</v>
      </c>
      <c r="O52" s="109">
        <f>+'Constant Prices'!P53/'Constant Prices'!O53-1</f>
        <v>-2.1798132979790608E-2</v>
      </c>
      <c r="P52" s="2931">
        <f>+'Constant Prices'!Q53/'Constant Prices'!P53-1</f>
        <v>-0.27279089904739207</v>
      </c>
      <c r="Q52" s="2935">
        <f>+'Constant Prices'!R53/'Constant Prices'!Q53-1</f>
        <v>0.13172429781271933</v>
      </c>
      <c r="R52" s="2935">
        <f>+'Constant Prices'!S53/'Constant Prices'!R53-1</f>
        <v>6.5643189729837292E-2</v>
      </c>
      <c r="S52" s="3356">
        <f>+'Constant Prices'!T53/'Constant Prices'!S53-1</f>
        <v>-4.1511070108499748E-3</v>
      </c>
    </row>
    <row r="53" spans="2:19" ht="15" customHeight="1">
      <c r="B53" s="110"/>
      <c r="C53" s="109"/>
      <c r="D53" s="109"/>
      <c r="E53" s="109"/>
      <c r="F53" s="109"/>
      <c r="G53" s="109"/>
      <c r="H53" s="109"/>
      <c r="I53" s="109"/>
      <c r="J53" s="109"/>
      <c r="K53" s="109"/>
      <c r="L53" s="109"/>
      <c r="M53" s="109"/>
      <c r="N53" s="109"/>
      <c r="O53" s="109"/>
      <c r="P53" s="2931"/>
      <c r="Q53" s="2935"/>
      <c r="R53" s="2935"/>
      <c r="S53" s="3356"/>
    </row>
    <row r="54" spans="2:19" s="97" customFormat="1" ht="35" customHeight="1">
      <c r="B54" s="108" t="s">
        <v>649</v>
      </c>
      <c r="C54" s="109">
        <f>+'Constant Prices'!D55/'Constant Prices'!C55-1</f>
        <v>4.346333838987082E-4</v>
      </c>
      <c r="D54" s="109">
        <f>+'Constant Prices'!E55/'Constant Prices'!D55-1</f>
        <v>1.936758299953123E-2</v>
      </c>
      <c r="E54" s="109">
        <f>+'Constant Prices'!F55/'Constant Prices'!E55-1</f>
        <v>2.5112749570650461E-2</v>
      </c>
      <c r="F54" s="109">
        <f>+'Constant Prices'!G55/'Constant Prices'!F55-1</f>
        <v>2.785241178855058E-2</v>
      </c>
      <c r="G54" s="109">
        <f>+'Constant Prices'!H55/'Constant Prices'!G55-1</f>
        <v>2.5082255577108414E-2</v>
      </c>
      <c r="H54" s="109">
        <f>+'Constant Prices'!I55/'Constant Prices'!H55-1</f>
        <v>1.5537641937668489E-2</v>
      </c>
      <c r="I54" s="109">
        <f>+'Constant Prices'!J55/'Constant Prices'!I55-1</f>
        <v>2.1870500001807569E-2</v>
      </c>
      <c r="J54" s="109">
        <f>+'Constant Prices'!K55/'Constant Prices'!J55-1</f>
        <v>1.1646038340540343E-4</v>
      </c>
      <c r="K54" s="109">
        <f>+'Constant Prices'!L55/'Constant Prices'!K55-1</f>
        <v>-8.4948844727283923E-3</v>
      </c>
      <c r="L54" s="109">
        <f>+'Constant Prices'!M55/'Constant Prices'!L55-1</f>
        <v>1.1241636424805801E-3</v>
      </c>
      <c r="M54" s="109">
        <f>+'Constant Prices'!N55/'Constant Prices'!M55-1</f>
        <v>2.881432181523147E-3</v>
      </c>
      <c r="N54" s="109">
        <f>+'Constant Prices'!O55/'Constant Prices'!N55-1</f>
        <v>1.3593329593357906E-2</v>
      </c>
      <c r="O54" s="109">
        <f>+'Constant Prices'!P55/'Constant Prices'!O55-1</f>
        <v>2.8183149872342383E-2</v>
      </c>
      <c r="P54" s="2931">
        <f>+'Constant Prices'!Q55/'Constant Prices'!P55-1</f>
        <v>3.5717669982046951E-2</v>
      </c>
      <c r="Q54" s="2935">
        <f>+'Constant Prices'!R55/'Constant Prices'!Q55-1</f>
        <v>2.1178605764613279E-2</v>
      </c>
      <c r="R54" s="2935">
        <f>+'Constant Prices'!S55/'Constant Prices'!R55-1</f>
        <v>1.9457107212061286E-2</v>
      </c>
      <c r="S54" s="3356">
        <f>+'Constant Prices'!T55/'Constant Prices'!S55-1</f>
        <v>-7.6559573027645489E-2</v>
      </c>
    </row>
    <row r="55" spans="2:19" ht="15" customHeight="1">
      <c r="B55" s="110"/>
      <c r="C55" s="109"/>
      <c r="D55" s="109"/>
      <c r="E55" s="109"/>
      <c r="F55" s="109"/>
      <c r="G55" s="109"/>
      <c r="H55" s="109"/>
      <c r="I55" s="109"/>
      <c r="J55" s="109"/>
      <c r="K55" s="109"/>
      <c r="L55" s="109"/>
      <c r="M55" s="109"/>
      <c r="N55" s="109"/>
      <c r="O55" s="109"/>
      <c r="P55" s="2931"/>
      <c r="Q55" s="2935"/>
      <c r="R55" s="2935"/>
      <c r="S55" s="3356"/>
    </row>
    <row r="56" spans="2:19" ht="35" customHeight="1">
      <c r="B56" s="108" t="s">
        <v>104</v>
      </c>
      <c r="C56" s="109">
        <f>+'Constant Prices'!D57/'Constant Prices'!C57-1</f>
        <v>1.1180992313067684E-2</v>
      </c>
      <c r="D56" s="109">
        <f>+'Constant Prices'!E57/'Constant Prices'!D57-1</f>
        <v>2.8334485141672694E-2</v>
      </c>
      <c r="E56" s="109">
        <f>+'Constant Prices'!F57/'Constant Prices'!E57-1</f>
        <v>3.360215053763449E-2</v>
      </c>
      <c r="F56" s="109">
        <f>+'Constant Prices'!G57/'Constant Prices'!F57-1</f>
        <v>2.2106631989596837E-2</v>
      </c>
      <c r="G56" s="109">
        <f>+'Constant Prices'!H57/'Constant Prices'!G57-1</f>
        <v>2.4809160305343525E-2</v>
      </c>
      <c r="H56" s="109">
        <f>+'Constant Prices'!I57/'Constant Prices'!H57-1</f>
        <v>1.7380509000620714E-2</v>
      </c>
      <c r="I56" s="109">
        <f>+'Constant Prices'!J57/'Constant Prices'!I57-1</f>
        <v>1.5863331299572847E-2</v>
      </c>
      <c r="J56" s="109">
        <f>+'Constant Prices'!K57/'Constant Prices'!J57-1</f>
        <v>-2.4024024024024149E-3</v>
      </c>
      <c r="K56" s="109">
        <f>+'Constant Prices'!L57/'Constant Prices'!K57-1</f>
        <v>-1.3245033112582738E-2</v>
      </c>
      <c r="L56" s="109">
        <f>+'Constant Prices'!M57/'Constant Prices'!L57-1</f>
        <v>6.92765136816198E-3</v>
      </c>
      <c r="M56" s="109">
        <f>+'Constant Prices'!N57/'Constant Prices'!M57-1</f>
        <v>1.6525575010579718E-2</v>
      </c>
      <c r="N56" s="109">
        <f>+'Constant Prices'!O57/'Constant Prices'!N57-1</f>
        <v>8.3233540513230064E-3</v>
      </c>
      <c r="O56" s="109">
        <f>+'Constant Prices'!P57/'Constant Prices'!O57-1</f>
        <v>2.1781536896425369E-2</v>
      </c>
      <c r="P56" s="2931">
        <f>+'Constant Prices'!Q57/'Constant Prices'!P57-1</f>
        <v>-2.359034484491096E-2</v>
      </c>
      <c r="Q56" s="2935">
        <f>+'Constant Prices'!R57/'Constant Prices'!Q57-1</f>
        <v>2.1152326018819556E-2</v>
      </c>
      <c r="R56" s="2935">
        <f>+'Constant Prices'!S57/'Constant Prices'!R57-1</f>
        <v>4.817095553643802E-2</v>
      </c>
      <c r="S56" s="3356">
        <f>+'Constant Prices'!T57/'Constant Prices'!S57-1</f>
        <v>-6.6480485717061222E-2</v>
      </c>
    </row>
    <row r="57" spans="2:19" ht="35" customHeight="1">
      <c r="B57" s="71" t="s">
        <v>1517</v>
      </c>
      <c r="C57" s="111">
        <f>+'Constant Prices'!D58/'Constant Prices'!C58-1</f>
        <v>1.9441120723429961E-2</v>
      </c>
      <c r="D57" s="111">
        <f>+'Constant Prices'!E58/'Constant Prices'!D58-1</f>
        <v>2.0171384056089314E-2</v>
      </c>
      <c r="E57" s="111">
        <f>+'Constant Prices'!F58/'Constant Prices'!E58-1</f>
        <v>2.4456051396397616E-2</v>
      </c>
      <c r="F57" s="111">
        <f>+'Constant Prices'!G58/'Constant Prices'!F58-1</f>
        <v>2.7330822210516859E-2</v>
      </c>
      <c r="G57" s="111">
        <f>+'Constant Prices'!H58/'Constant Prices'!G58-1</f>
        <v>2.2492236550610389E-2</v>
      </c>
      <c r="H57" s="111">
        <f>+'Constant Prices'!I58/'Constant Prices'!H58-1</f>
        <v>1.5876019452381263E-2</v>
      </c>
      <c r="I57" s="111">
        <f>+'Constant Prices'!J58/'Constant Prices'!I58-1</f>
        <v>2.2836493685504777E-2</v>
      </c>
      <c r="J57" s="111">
        <f>+'Constant Prices'!K58/'Constant Prices'!J58-1</f>
        <v>-2.1853146853134664E-4</v>
      </c>
      <c r="K57" s="111">
        <f>+'Constant Prices'!L58/'Constant Prices'!K58-1</f>
        <v>-8.5245901639346977E-3</v>
      </c>
      <c r="L57" s="111">
        <f>+'Constant Prices'!M58/'Constant Prices'!L58-1</f>
        <v>-5.4196061140521223E-4</v>
      </c>
      <c r="M57" s="111">
        <f>+'Constant Prices'!N58/'Constant Prices'!M58-1</f>
        <v>8.7220256422040343E-3</v>
      </c>
      <c r="N57" s="111">
        <f>+'Constant Prices'!O58/'Constant Prices'!N58-1</f>
        <v>1.4523388669205772E-2</v>
      </c>
      <c r="O57" s="111">
        <f>+'Constant Prices'!P58/'Constant Prices'!O58-1</f>
        <v>2.7185041491539774E-2</v>
      </c>
      <c r="P57" s="2932">
        <f>+'Constant Prices'!Q58/'Constant Prices'!P58-1</f>
        <v>2.9298360655737987E-2</v>
      </c>
      <c r="Q57" s="4734">
        <f>+'Constant Prices'!R58/'Constant Prices'!Q58-1</f>
        <v>2.1456602619642107E-2</v>
      </c>
      <c r="R57" s="4734">
        <f>+'Constant Prices'!S58/'Constant Prices'!R58-1</f>
        <v>1.591657519209666E-2</v>
      </c>
      <c r="S57" s="4126">
        <f>+'Constant Prices'!T58/'Constant Prices'!S58-1</f>
        <v>-7.7427433908508703E-2</v>
      </c>
    </row>
    <row r="58" spans="2:19" ht="35" customHeight="1">
      <c r="B58" s="71" t="s">
        <v>1518</v>
      </c>
      <c r="C58" s="111">
        <f>+'Constant Prices'!D59/'Constant Prices'!C59-1</f>
        <v>-3.8054561681927224E-2</v>
      </c>
      <c r="D58" s="111">
        <f>+'Constant Prices'!E59/'Constant Prices'!D59-1</f>
        <v>6.9566350101785801E-2</v>
      </c>
      <c r="E58" s="111">
        <f>+'Constant Prices'!F59/'Constant Prices'!E59-1</f>
        <v>7.2621626593692312E-2</v>
      </c>
      <c r="F58" s="111">
        <f>+'Constant Prices'!G59/'Constant Prices'!F59-1</f>
        <v>-1.8040988411116565E-4</v>
      </c>
      <c r="G58" s="111">
        <f>+'Constant Prices'!H59/'Constant Prices'!G59-1</f>
        <v>3.7760444872874555E-2</v>
      </c>
      <c r="H58" s="111">
        <f>+'Constant Prices'!I59/'Constant Prices'!H59-1</f>
        <v>2.471736214374487E-2</v>
      </c>
      <c r="I58" s="111">
        <f>+'Constant Prices'!J59/'Constant Prices'!I59-1</f>
        <v>-1.9950185106576868E-2</v>
      </c>
      <c r="J58" s="111">
        <f>+'Constant Prices'!K59/'Constant Prices'!J59-1</f>
        <v>-1.066239550403747E-2</v>
      </c>
      <c r="K58" s="111">
        <f>+'Constant Prices'!L59/'Constant Prices'!K59-1</f>
        <v>-3.1710021272325695E-2</v>
      </c>
      <c r="L58" s="111">
        <f>+'Constant Prices'!M59/'Constant Prices'!L59-1</f>
        <v>4.46742919539731E-2</v>
      </c>
      <c r="M58" s="111">
        <f>+'Constant Prices'!N59/'Constant Prices'!M59-1</f>
        <v>5.2151067687188135E-2</v>
      </c>
      <c r="N58" s="111">
        <f>+'Constant Prices'!O59/'Constant Prices'!N59-1</f>
        <v>-1.8813294794202795E-2</v>
      </c>
      <c r="O58" s="111">
        <f>+'Constant Prices'!P59/'Constant Prices'!O59-1</f>
        <v>-2.6723576014866524E-3</v>
      </c>
      <c r="P58" s="2932">
        <f>+'Constant Prices'!Q59/'Constant Prices'!P59-1</f>
        <v>-0.27010700569952739</v>
      </c>
      <c r="Q58" s="4734">
        <f>+'Constant Prices'!R59/'Constant Prices'!Q59-1</f>
        <v>1.9152307666092216E-2</v>
      </c>
      <c r="R58" s="4734">
        <f>+'Constant Prices'!S59/'Constant Prices'!R59-1</f>
        <v>0.2606592230650473</v>
      </c>
      <c r="S58" s="4126">
        <f>+'Constant Prices'!T59/'Constant Prices'!S59-1</f>
        <v>-8.3639583415514585E-3</v>
      </c>
    </row>
    <row r="59" spans="2:19" ht="15" customHeight="1">
      <c r="B59" s="110"/>
      <c r="C59" s="109"/>
      <c r="D59" s="109"/>
      <c r="E59" s="109"/>
      <c r="F59" s="109"/>
      <c r="G59" s="109"/>
      <c r="H59" s="109"/>
      <c r="I59" s="109"/>
      <c r="J59" s="109"/>
      <c r="K59" s="109"/>
      <c r="L59" s="109"/>
      <c r="M59" s="109"/>
      <c r="N59" s="109"/>
      <c r="O59" s="109"/>
      <c r="P59" s="2931"/>
      <c r="Q59" s="2935"/>
      <c r="R59" s="2935"/>
      <c r="S59" s="3356"/>
    </row>
    <row r="60" spans="2:19" s="97" customFormat="1" ht="35" customHeight="1">
      <c r="B60" s="108" t="s">
        <v>639</v>
      </c>
      <c r="C60" s="109">
        <f>+'Constant Prices'!D61/'Constant Prices'!C61-1</f>
        <v>6.6025034002726857E-2</v>
      </c>
      <c r="D60" s="109">
        <f>+'Constant Prices'!E61/'Constant Prices'!D61-1</f>
        <v>5.1671732522796221E-2</v>
      </c>
      <c r="E60" s="109">
        <f>+'Constant Prices'!F61/'Constant Prices'!E61-1</f>
        <v>4.9132947976878727E-2</v>
      </c>
      <c r="F60" s="109">
        <f>+'Constant Prices'!G61/'Constant Prices'!F61-1</f>
        <v>5.4178145087235841E-2</v>
      </c>
      <c r="G60" s="109">
        <f>+'Constant Prices'!H61/'Constant Prices'!G61-1</f>
        <v>4.9651567944250852E-2</v>
      </c>
      <c r="H60" s="109">
        <f>+'Constant Prices'!I61/'Constant Prices'!H61-1</f>
        <v>2.0746887966804906E-2</v>
      </c>
      <c r="I60" s="109">
        <f>+'Constant Prices'!J61/'Constant Prices'!I61-1</f>
        <v>-6.5040650406503753E-3</v>
      </c>
      <c r="J60" s="109">
        <f>+'Constant Prices'!K61/'Constant Prices'!J61-1</f>
        <v>3.1914893617021267E-2</v>
      </c>
      <c r="K60" s="109">
        <f>+'Constant Prices'!L61/'Constant Prices'!K61-1</f>
        <v>1.2688342585249979E-2</v>
      </c>
      <c r="L60" s="109">
        <f>+'Constant Prices'!M61/'Constant Prices'!L61-1</f>
        <v>1.6744824311716755E-2</v>
      </c>
      <c r="M60" s="109">
        <f>+'Constant Prices'!N61/'Constant Prices'!M61-1</f>
        <v>2.3189406275406332E-2</v>
      </c>
      <c r="N60" s="109">
        <f>+'Constant Prices'!O61/'Constant Prices'!N61-1</f>
        <v>3.1117863109975552E-2</v>
      </c>
      <c r="O60" s="109">
        <f>+'Constant Prices'!P61/'Constant Prices'!O61-1</f>
        <v>6.9154514275147294E-2</v>
      </c>
      <c r="P60" s="2931">
        <f>+'Constant Prices'!Q61/'Constant Prices'!P61-1</f>
        <v>-8.9498693727167122E-2</v>
      </c>
      <c r="Q60" s="2935">
        <f>+'Constant Prices'!R61/'Constant Prices'!Q61-1</f>
        <v>2.9320836899815683E-2</v>
      </c>
      <c r="R60" s="2935">
        <f>+'Constant Prices'!S61/'Constant Prices'!R61-1</f>
        <v>7.1594209840044609E-3</v>
      </c>
      <c r="S60" s="3356">
        <f>+'Constant Prices'!T61/'Constant Prices'!S61-1</f>
        <v>-4.4974804541458413E-2</v>
      </c>
    </row>
    <row r="61" spans="2:19" ht="35" customHeight="1">
      <c r="B61" s="71" t="s">
        <v>1517</v>
      </c>
      <c r="C61" s="111">
        <f>+'Constant Prices'!D62/'Constant Prices'!C62-1</f>
        <v>1.9441120723429517E-2</v>
      </c>
      <c r="D61" s="111">
        <f>+'Constant Prices'!E62/'Constant Prices'!D62-1</f>
        <v>2.0171384056089314E-2</v>
      </c>
      <c r="E61" s="111">
        <f>+'Constant Prices'!F62/'Constant Prices'!E62-1</f>
        <v>2.4456051396397838E-2</v>
      </c>
      <c r="F61" s="111">
        <f>+'Constant Prices'!G62/'Constant Prices'!F62-1</f>
        <v>2.7330822210517081E-2</v>
      </c>
      <c r="G61" s="111">
        <f>+'Constant Prices'!H62/'Constant Prices'!G62-1</f>
        <v>2.2492236550609945E-2</v>
      </c>
      <c r="H61" s="111">
        <f>+'Constant Prices'!I62/'Constant Prices'!H62-1</f>
        <v>1.5876019452381707E-2</v>
      </c>
      <c r="I61" s="111">
        <f>+'Constant Prices'!J62/'Constant Prices'!I62-1</f>
        <v>2.2836493685504333E-2</v>
      </c>
      <c r="J61" s="111">
        <f>+'Constant Prices'!K62/'Constant Prices'!J62-1</f>
        <v>-2.1853146853134664E-4</v>
      </c>
      <c r="K61" s="111">
        <f>+'Constant Prices'!L62/'Constant Prices'!K62-1</f>
        <v>-8.5245901639342536E-3</v>
      </c>
      <c r="L61" s="111">
        <f>+'Constant Prices'!M62/'Constant Prices'!L62-1</f>
        <v>-5.4196061140532326E-4</v>
      </c>
      <c r="M61" s="111">
        <f>+'Constant Prices'!N62/'Constant Prices'!M62-1</f>
        <v>8.7220256422042564E-3</v>
      </c>
      <c r="N61" s="111">
        <f>+'Constant Prices'!O62/'Constant Prices'!N62-1</f>
        <v>1.452338866920555E-2</v>
      </c>
      <c r="O61" s="111">
        <f>+'Constant Prices'!P62/'Constant Prices'!O62-1</f>
        <v>2.7185041491540218E-2</v>
      </c>
      <c r="P61" s="2932">
        <f>+'Constant Prices'!Q62/'Constant Prices'!P62-1</f>
        <v>2.9298360655737543E-2</v>
      </c>
      <c r="Q61" s="4734">
        <f>+'Constant Prices'!R62/'Constant Prices'!Q62-1</f>
        <v>2.1456602619642551E-2</v>
      </c>
      <c r="R61" s="4734">
        <f>+'Constant Prices'!S62/'Constant Prices'!R62-1</f>
        <v>1.5916575192096216E-2</v>
      </c>
      <c r="S61" s="4126">
        <f>+'Constant Prices'!T62/'Constant Prices'!S62-1</f>
        <v>-7.7427433908667465E-2</v>
      </c>
    </row>
    <row r="62" spans="2:19" ht="35" customHeight="1">
      <c r="B62" s="71" t="s">
        <v>1518</v>
      </c>
      <c r="C62" s="111">
        <f>+'Constant Prices'!D63/'Constant Prices'!C63-1</f>
        <v>0.12549557800164224</v>
      </c>
      <c r="D62" s="111">
        <f>+'Constant Prices'!E63/'Constant Prices'!D63-1</f>
        <v>8.8174926747836002E-2</v>
      </c>
      <c r="E62" s="111">
        <f>+'Constant Prices'!F63/'Constant Prices'!E63-1</f>
        <v>7.5923025113937781E-2</v>
      </c>
      <c r="F62" s="111">
        <f>+'Constant Prices'!G63/'Constant Prices'!F63-1</f>
        <v>8.6682164809139373E-2</v>
      </c>
      <c r="G62" s="111">
        <f>+'Constant Prices'!H63/'Constant Prices'!G63-1</f>
        <v>8.0101156243888028E-2</v>
      </c>
      <c r="H62" s="111">
        <f>+'Constant Prices'!I63/'Constant Prices'!H63-1</f>
        <v>2.6602863287834344E-2</v>
      </c>
      <c r="I62" s="111">
        <f>+'Constant Prices'!J63/'Constant Prices'!I63-1</f>
        <v>-3.8571119776866225E-2</v>
      </c>
      <c r="J62" s="111">
        <f>+'Constant Prices'!K63/'Constant Prices'!J63-1</f>
        <v>7.0884224528965589E-2</v>
      </c>
      <c r="K62" s="111">
        <f>+'Constant Prices'!L63/'Constant Prices'!K63-1</f>
        <v>3.8777503306733463E-2</v>
      </c>
      <c r="L62" s="111">
        <f>+'Constant Prices'!M63/'Constant Prices'!L63-1</f>
        <v>3.2895285161260057E-2</v>
      </c>
      <c r="M62" s="111">
        <f>+'Constant Prices'!N63/'Constant Prices'!M63-1</f>
        <v>5.0314375974692682E-2</v>
      </c>
      <c r="N62" s="111">
        <f>+'Constant Prices'!O63/'Constant Prices'!N63-1</f>
        <v>6.0998857807070372E-2</v>
      </c>
      <c r="O62" s="111">
        <f>+'Constant Prices'!P63/'Constant Prices'!O63-1</f>
        <v>0.14141688556916354</v>
      </c>
      <c r="P62" s="2932">
        <f>+'Constant Prices'!Q63/'Constant Prices'!P63-1</f>
        <v>-0.27357113014998746</v>
      </c>
      <c r="Q62" s="4734">
        <f>+'Constant Prices'!R63/'Constant Prices'!Q63-1</f>
        <v>4.6586677089373252E-2</v>
      </c>
      <c r="R62" s="4734">
        <f>+'Constant Prices'!S63/'Constant Prices'!R63-1</f>
        <v>-1.1605165117690386E-2</v>
      </c>
      <c r="S62" s="4126">
        <f>+'Constant Prices'!T63/'Constant Prices'!S63-1</f>
        <v>2.6500079714119718E-2</v>
      </c>
    </row>
    <row r="63" spans="2:19" ht="15" customHeight="1">
      <c r="B63" s="110"/>
      <c r="C63" s="109"/>
      <c r="D63" s="109"/>
      <c r="E63" s="109"/>
      <c r="F63" s="109"/>
      <c r="G63" s="109"/>
      <c r="H63" s="109"/>
      <c r="I63" s="109"/>
      <c r="J63" s="109"/>
      <c r="K63" s="109"/>
      <c r="L63" s="109"/>
      <c r="M63" s="109"/>
      <c r="N63" s="109"/>
      <c r="O63" s="109"/>
      <c r="P63" s="2931"/>
      <c r="Q63" s="2935"/>
      <c r="R63" s="2935"/>
      <c r="S63" s="3356"/>
    </row>
    <row r="64" spans="2:19" s="97" customFormat="1" ht="35" customHeight="1">
      <c r="B64" s="108" t="s">
        <v>848</v>
      </c>
      <c r="C64" s="109">
        <f>+'Constant Prices'!D65/'Constant Prices'!C65-1</f>
        <v>0.17429465187815185</v>
      </c>
      <c r="D64" s="109">
        <f>+'Constant Prices'!E65/'Constant Prices'!D65-1</f>
        <v>-5.4146428632090293E-3</v>
      </c>
      <c r="E64" s="109">
        <f>+'Constant Prices'!F65/'Constant Prices'!E65-1</f>
        <v>-1.4832399006808439E-2</v>
      </c>
      <c r="F64" s="109">
        <f>+'Constant Prices'!G65/'Constant Prices'!F65-1</f>
        <v>1.6512619842147691E-2</v>
      </c>
      <c r="G64" s="109">
        <f>+'Constant Prices'!H65/'Constant Prices'!G65-1</f>
        <v>0.75118761896707587</v>
      </c>
      <c r="H64" s="109">
        <f>+'Constant Prices'!I65/'Constant Prices'!H65-1</f>
        <v>-2.0243243569010305E-2</v>
      </c>
      <c r="I64" s="109">
        <f>+'Constant Prices'!J65/'Constant Prices'!I65-1</f>
        <v>-1.6779780459622806E-2</v>
      </c>
      <c r="J64" s="109">
        <f>+'Constant Prices'!K65/'Constant Prices'!J65-1</f>
        <v>-4.8628156093671993E-2</v>
      </c>
      <c r="K64" s="109">
        <f>+'Constant Prices'!L65/'Constant Prices'!K65-1</f>
        <v>-8.9044034423984675E-2</v>
      </c>
      <c r="L64" s="109">
        <f>+'Constant Prices'!M65/'Constant Prices'!L65-1</f>
        <v>1.1608241674512465E-2</v>
      </c>
      <c r="M64" s="109">
        <f>+'Constant Prices'!N65/'Constant Prices'!M65-1</f>
        <v>0.10795638366042803</v>
      </c>
      <c r="N64" s="109">
        <f>+'Constant Prices'!O65/'Constant Prices'!N65-1</f>
        <v>9.7860306161523969E-2</v>
      </c>
      <c r="O64" s="109">
        <f>+'Constant Prices'!P65/'Constant Prices'!O65-1</f>
        <v>-1.7533255693398142E-2</v>
      </c>
      <c r="P64" s="2931">
        <f>+'Constant Prices'!Q65/'Constant Prices'!P65-1</f>
        <v>-0.32847691632570397</v>
      </c>
      <c r="Q64" s="2935">
        <f>+'Constant Prices'!R65/'Constant Prices'!Q65-1</f>
        <v>-0.24487189069858717</v>
      </c>
      <c r="R64" s="2935">
        <f>+'Constant Prices'!S65/'Constant Prices'!R65-1</f>
        <v>0.31671545672352486</v>
      </c>
      <c r="S64" s="3356">
        <f>+'Constant Prices'!T65/'Constant Prices'!S65-1</f>
        <v>0.12598032690447925</v>
      </c>
    </row>
    <row r="65" spans="2:20" s="97" customFormat="1" ht="35" customHeight="1">
      <c r="B65" s="108" t="s">
        <v>777</v>
      </c>
      <c r="C65" s="109">
        <f>+'Constant Prices'!D66/'Constant Prices'!C66-1</f>
        <v>0.12533269958873627</v>
      </c>
      <c r="D65" s="109">
        <f>+'Constant Prices'!E66/'Constant Prices'!D66-1</f>
        <v>5.9306280118990751E-2</v>
      </c>
      <c r="E65" s="109">
        <f>+'Constant Prices'!F66/'Constant Prices'!E66-1</f>
        <v>4.9401006940643866E-2</v>
      </c>
      <c r="F65" s="109">
        <f>+'Constant Prices'!G66/'Constant Prices'!F66-1</f>
        <v>-1.734941553749636E-2</v>
      </c>
      <c r="G65" s="109">
        <f>+'Constant Prices'!H66/'Constant Prices'!G66-1</f>
        <v>3.8837604824427441E-2</v>
      </c>
      <c r="H65" s="109">
        <f>+'Constant Prices'!I66/'Constant Prices'!H66-1</f>
        <v>-4.2749088108862021E-2</v>
      </c>
      <c r="I65" s="109">
        <f>+'Constant Prices'!J66/'Constant Prices'!I66-1</f>
        <v>-0.18905098114169172</v>
      </c>
      <c r="J65" s="109">
        <f>+'Constant Prices'!K66/'Constant Prices'!J66-1</f>
        <v>-1.9754147460498861E-2</v>
      </c>
      <c r="K65" s="109">
        <f>+'Constant Prices'!L66/'Constant Prices'!K66-1</f>
        <v>1.4835236153548648E-2</v>
      </c>
      <c r="L65" s="109">
        <f>+'Constant Prices'!M66/'Constant Prices'!L66-1</f>
        <v>2.6194629659440416E-2</v>
      </c>
      <c r="M65" s="109">
        <f>+'Constant Prices'!N66/'Constant Prices'!M66-1</f>
        <v>-1.0354065885041508E-2</v>
      </c>
      <c r="N65" s="109">
        <f>+'Constant Prices'!O66/'Constant Prices'!N66-1</f>
        <v>3.5939496601188781E-2</v>
      </c>
      <c r="O65" s="109">
        <f>+'Constant Prices'!P66/'Constant Prices'!O66-1</f>
        <v>1.0371116004215253E-3</v>
      </c>
      <c r="P65" s="2931">
        <f>+'Constant Prices'!Q66/'Constant Prices'!P66-1</f>
        <v>-0.3206737405173401</v>
      </c>
      <c r="Q65" s="2935">
        <f>+'Constant Prices'!R66/'Constant Prices'!Q66-1</f>
        <v>1.740570771423755E-2</v>
      </c>
      <c r="R65" s="2935">
        <f>+'Constant Prices'!S66/'Constant Prices'!R66-1</f>
        <v>0.22654742068592437</v>
      </c>
      <c r="S65" s="3356">
        <f>+'Constant Prices'!T66/'Constant Prices'!S66-1</f>
        <v>2.1003989478155738E-2</v>
      </c>
    </row>
    <row r="66" spans="2:20" s="97" customFormat="1" ht="35" customHeight="1">
      <c r="B66" s="108" t="s">
        <v>849</v>
      </c>
      <c r="C66" s="109">
        <f>+'Constant Prices'!D67/'Constant Prices'!C67-1</f>
        <v>1.5222482435597096E-2</v>
      </c>
      <c r="D66" s="109">
        <f>+'Constant Prices'!E67/'Constant Prices'!D67-1</f>
        <v>4.1522491349481161E-2</v>
      </c>
      <c r="E66" s="109">
        <f>+'Constant Prices'!F67/'Constant Prices'!E67-1</f>
        <v>-4.7988187523071435E-3</v>
      </c>
      <c r="F66" s="109">
        <f>+'Constant Prices'!G67/'Constant Prices'!F67-1</f>
        <v>6.602373887240387E-2</v>
      </c>
      <c r="G66" s="109">
        <f>+'Constant Prices'!H67/'Constant Prices'!G67-1</f>
        <v>3.1315240083504836E-3</v>
      </c>
      <c r="H66" s="109">
        <f>+'Constant Prices'!I67/'Constant Prices'!H67-1</f>
        <v>-9.0183836281650942E-3</v>
      </c>
      <c r="I66" s="109">
        <f>+'Constant Prices'!J67/'Constant Prices'!I67-1</f>
        <v>-2.3101155057752898E-2</v>
      </c>
      <c r="J66" s="109">
        <f>+'Constant Prices'!K67/'Constant Prices'!J67-1</f>
        <v>-8.1332855607309185E-2</v>
      </c>
      <c r="K66" s="109">
        <f>+'Constant Prices'!L67/'Constant Prices'!K67-1</f>
        <v>4.1731669266770632E-2</v>
      </c>
      <c r="L66" s="109">
        <f>+'Constant Prices'!M67/'Constant Prices'!L67-1</f>
        <v>-2.0965930363159635E-2</v>
      </c>
      <c r="M66" s="109">
        <f>+'Constant Prices'!N67/'Constant Prices'!M67-1</f>
        <v>1.5296367112809239E-3</v>
      </c>
      <c r="N66" s="109">
        <f>+'Constant Prices'!O67/'Constant Prices'!N67-1</f>
        <v>4.8491790759832343E-2</v>
      </c>
      <c r="O66" s="109">
        <f>+'Constant Prices'!P67/'Constant Prices'!O67-1</f>
        <v>6.1908230152947219E-3</v>
      </c>
      <c r="P66" s="2931">
        <f>+'Constant Prices'!Q67/'Constant Prices'!P67-1</f>
        <v>-0.19145855953673541</v>
      </c>
      <c r="Q66" s="2935">
        <f>+'Constant Prices'!R67/'Constant Prices'!Q67-1</f>
        <v>2.685765443151289E-2</v>
      </c>
      <c r="R66" s="2935">
        <f>+'Constant Prices'!S67/'Constant Prices'!R67-1</f>
        <v>0</v>
      </c>
      <c r="S66" s="3356">
        <f>+'Constant Prices'!T67/'Constant Prices'!S67-1</f>
        <v>-2.3661667664517938E-2</v>
      </c>
    </row>
    <row r="67" spans="2:20" ht="15" customHeight="1">
      <c r="B67" s="110"/>
      <c r="C67" s="109"/>
      <c r="D67" s="109"/>
      <c r="E67" s="109"/>
      <c r="F67" s="109"/>
      <c r="G67" s="109"/>
      <c r="H67" s="109"/>
      <c r="I67" s="109"/>
      <c r="J67" s="109"/>
      <c r="K67" s="109"/>
      <c r="L67" s="109"/>
      <c r="M67" s="109"/>
      <c r="N67" s="109"/>
      <c r="O67" s="109"/>
      <c r="P67" s="2931"/>
      <c r="Q67" s="2935"/>
      <c r="R67" s="2935"/>
      <c r="S67" s="4131"/>
    </row>
    <row r="68" spans="2:20" ht="35" customHeight="1">
      <c r="B68" s="115" t="s">
        <v>650</v>
      </c>
      <c r="C68" s="116">
        <f>+'Constant Prices'!D69/'Constant Prices'!C69-1</f>
        <v>1.8263223130043249E-2</v>
      </c>
      <c r="D68" s="116">
        <f>+'Constant Prices'!E69/'Constant Prices'!D69-1</f>
        <v>5.0925350888088472E-2</v>
      </c>
      <c r="E68" s="116">
        <f>+'Constant Prices'!F69/'Constant Prices'!E69-1</f>
        <v>-1.8673915612811287E-3</v>
      </c>
      <c r="F68" s="116">
        <f>+'Constant Prices'!G69/'Constant Prices'!F69-1</f>
        <v>2.4392554350398665E-3</v>
      </c>
      <c r="G68" s="116">
        <f>+'Constant Prices'!H69/'Constant Prices'!G69-1</f>
        <v>2.1451014670793134E-2</v>
      </c>
      <c r="H68" s="116">
        <f>+'Constant Prices'!I69/'Constant Prices'!H69-1</f>
        <v>1.0199597566898699E-2</v>
      </c>
      <c r="I68" s="116">
        <f>+'Constant Prices'!J69/'Constant Prices'!I69-1</f>
        <v>-1.1149777920234416E-2</v>
      </c>
      <c r="J68" s="116">
        <f>+'Constant Prices'!K69/'Constant Prices'!J69-1</f>
        <v>1.4308536500659663E-2</v>
      </c>
      <c r="K68" s="116">
        <f>+'Constant Prices'!L69/'Constant Prices'!K69-1</f>
        <v>1.4928439361775014E-2</v>
      </c>
      <c r="L68" s="116">
        <f>+'Constant Prices'!M69/'Constant Prices'!L69-1</f>
        <v>1.9186239294451291E-2</v>
      </c>
      <c r="M68" s="116">
        <f>+'Constant Prices'!N69/'Constant Prices'!M69-1</f>
        <v>3.5268166128927803E-2</v>
      </c>
      <c r="N68" s="116">
        <f>+'Constant Prices'!O69/'Constant Prices'!N69-1</f>
        <v>3.1317249679028158E-2</v>
      </c>
      <c r="O68" s="116">
        <f>+'Constant Prices'!P69/'Constant Prices'!O69-1</f>
        <v>6.4307980097577655E-4</v>
      </c>
      <c r="P68" s="2933">
        <f>+'Constant Prices'!Q69/'Constant Prices'!P69-1</f>
        <v>-0.24625268145005974</v>
      </c>
      <c r="Q68" s="2936">
        <f>+'Constant Prices'!R69/'Constant Prices'!Q69-1</f>
        <v>0.10675917255761225</v>
      </c>
      <c r="R68" s="3354">
        <f>+'Constant Prices'!S69/'Constant Prices'!R69-1</f>
        <v>0.19727299874707827</v>
      </c>
      <c r="S68" s="4127">
        <f>+'Constant Prices'!T69/'Constant Prices'!S69-1</f>
        <v>2.0828522731522359E-2</v>
      </c>
    </row>
    <row r="69" spans="2:20" s="97" customFormat="1" ht="15" customHeight="1">
      <c r="B69" s="110"/>
      <c r="C69" s="109"/>
      <c r="D69" s="109"/>
      <c r="E69" s="109"/>
      <c r="F69" s="109"/>
      <c r="G69" s="109"/>
      <c r="H69" s="109"/>
      <c r="I69" s="109"/>
      <c r="J69" s="109"/>
      <c r="K69" s="109"/>
      <c r="L69" s="109"/>
      <c r="M69" s="109"/>
      <c r="N69" s="109"/>
      <c r="O69" s="109"/>
      <c r="P69" s="2931"/>
      <c r="Q69" s="2935"/>
      <c r="R69" s="2587"/>
      <c r="S69" s="4125"/>
    </row>
    <row r="70" spans="2:20" ht="35" customHeight="1">
      <c r="B70" s="110" t="s">
        <v>653</v>
      </c>
      <c r="C70" s="111">
        <f>+'Constant Prices'!D73/'Constant Prices'!C73-1</f>
        <v>2.6237163536915631E-2</v>
      </c>
      <c r="D70" s="111">
        <f>+'Constant Prices'!E73/'Constant Prices'!D73-1</f>
        <v>3.6603355764299961E-2</v>
      </c>
      <c r="E70" s="111">
        <f>+'Constant Prices'!F73/'Constant Prices'!E73-1</f>
        <v>-0.11902193794193605</v>
      </c>
      <c r="F70" s="111">
        <f>+'Constant Prices'!G73/'Constant Prices'!F73-1</f>
        <v>2.2611751366856891E-2</v>
      </c>
      <c r="G70" s="111">
        <f>+'Constant Prices'!H73/'Constant Prices'!G73-1</f>
        <v>0.2266408257664998</v>
      </c>
      <c r="H70" s="111">
        <f>+'Constant Prices'!I73/'Constant Prices'!H73-1</f>
        <v>-8.0129077496656542E-2</v>
      </c>
      <c r="I70" s="111">
        <f>+'Constant Prices'!J73/'Constant Prices'!I73-1</f>
        <v>-8.8480569246063512E-2</v>
      </c>
      <c r="J70" s="111">
        <f>+'Constant Prices'!K73/'Constant Prices'!J73-1</f>
        <v>4.6275000399071953E-3</v>
      </c>
      <c r="K70" s="111">
        <f>+'Constant Prices'!L73/'Constant Prices'!K73-1</f>
        <v>-0.11607598863439728</v>
      </c>
      <c r="L70" s="111">
        <f>+'Constant Prices'!M73/'Constant Prices'!L73-1</f>
        <v>0.18026881061167477</v>
      </c>
      <c r="M70" s="111">
        <f>+'Constant Prices'!N73/'Constant Prices'!M73-1</f>
        <v>2.3616340488424425E-2</v>
      </c>
      <c r="N70" s="111">
        <f>+'Constant Prices'!O73/'Constant Prices'!N73-1</f>
        <v>1.2636309603054174E-2</v>
      </c>
      <c r="O70" s="111">
        <f>+'Constant Prices'!P73/'Constant Prices'!O73-1</f>
        <v>-5.6537544699862607E-2</v>
      </c>
      <c r="P70" s="2932">
        <f>+'Constant Prices'!Q73/'Constant Prices'!P73-1</f>
        <v>-0.22760902990412757</v>
      </c>
      <c r="Q70" s="2932">
        <f>+'Constant Prices'!R73/'Constant Prices'!Q73-1</f>
        <v>0.18458903795586057</v>
      </c>
      <c r="R70" s="2932">
        <f>+'Constant Prices'!S73/'Constant Prices'!R73-1</f>
        <v>0.24208559021351284</v>
      </c>
      <c r="S70" s="2932">
        <f>+'Constant Prices'!T73/'Constant Prices'!S73-1</f>
        <v>2.8758853146553021E-2</v>
      </c>
      <c r="T70" s="4128"/>
    </row>
    <row r="71" spans="2:20" ht="35" customHeight="1">
      <c r="B71" s="117" t="s">
        <v>654</v>
      </c>
      <c r="C71" s="111">
        <f>+'Constant Prices'!D74/'Constant Prices'!C74-1</f>
        <v>2.091200524414516E-2</v>
      </c>
      <c r="D71" s="111">
        <f>+'Constant Prices'!E74/'Constant Prices'!D74-1</f>
        <v>3.9775587328596984E-2</v>
      </c>
      <c r="E71" s="111">
        <f>+'Constant Prices'!F74/'Constant Prices'!E74-1</f>
        <v>-0.14753341538258624</v>
      </c>
      <c r="F71" s="111">
        <f>+'Constant Prices'!G74/'Constant Prices'!F74-1</f>
        <v>1.2455335826314418E-2</v>
      </c>
      <c r="G71" s="111">
        <f>+'Constant Prices'!H74/'Constant Prices'!G74-1</f>
        <v>0.29076494616202586</v>
      </c>
      <c r="H71" s="111">
        <f>+'Constant Prices'!I74/'Constant Prices'!H74-1</f>
        <v>-0.10410685418461063</v>
      </c>
      <c r="I71" s="111">
        <f>+'Constant Prices'!J74/'Constant Prices'!I74-1</f>
        <v>-0.10649824131761276</v>
      </c>
      <c r="J71" s="111">
        <f>+'Constant Prices'!K74/'Constant Prices'!J74-1</f>
        <v>-1.2157147173316174E-3</v>
      </c>
      <c r="K71" s="111">
        <f>+'Constant Prices'!L74/'Constant Prices'!K74-1</f>
        <v>-0.155723394283518</v>
      </c>
      <c r="L71" s="111">
        <f>+'Constant Prices'!M74/'Constant Prices'!L74-1</f>
        <v>0.2448179154939818</v>
      </c>
      <c r="M71" s="111">
        <f>+'Constant Prices'!N74/'Constant Prices'!M74-1</f>
        <v>-2.4193570299020029E-2</v>
      </c>
      <c r="N71" s="111">
        <f>+'Constant Prices'!O74/'Constant Prices'!N74-1</f>
        <v>-1.9591082235242974E-3</v>
      </c>
      <c r="O71" s="111">
        <f>+'Constant Prices'!P74/'Constant Prices'!O74-1</f>
        <v>5.0648738904678359E-2</v>
      </c>
      <c r="P71" s="2932">
        <f>+'Constant Prices'!Q74/'Constant Prices'!P74-1</f>
        <v>-0.40656166986494224</v>
      </c>
      <c r="Q71" s="2932">
        <f>+'Constant Prices'!R74/'Constant Prices'!Q74-1</f>
        <v>0.62812851067923114</v>
      </c>
      <c r="R71" s="2932">
        <f>+'Constant Prices'!S74/'Constant Prices'!R74-1</f>
        <v>-4.0345054436949912E-2</v>
      </c>
      <c r="S71" s="4126">
        <f>+'Constant Prices'!T74/'Constant Prices'!S74-1</f>
        <v>-7.5354451780799359E-2</v>
      </c>
    </row>
    <row r="72" spans="2:20" s="97" customFormat="1" ht="15" customHeight="1">
      <c r="B72" s="118"/>
      <c r="C72" s="109"/>
      <c r="D72" s="119"/>
      <c r="E72" s="119"/>
      <c r="F72" s="119"/>
      <c r="G72" s="119"/>
      <c r="H72" s="119"/>
      <c r="I72" s="119"/>
      <c r="J72" s="119"/>
      <c r="K72" s="119"/>
      <c r="L72" s="119"/>
      <c r="M72" s="119"/>
      <c r="N72" s="119"/>
      <c r="O72" s="119"/>
      <c r="P72" s="2934"/>
      <c r="Q72" s="2935"/>
      <c r="R72" s="3355"/>
      <c r="S72" s="4123"/>
    </row>
    <row r="73" spans="2:20" s="97" customFormat="1" ht="35" customHeight="1" thickBot="1">
      <c r="B73" s="120" t="s">
        <v>740</v>
      </c>
      <c r="C73" s="4129">
        <f>('Constant Prices'!D76/'Constant Prices'!C76)-1</f>
        <v>1.9209944990687511E-2</v>
      </c>
      <c r="D73" s="4129">
        <f>('Constant Prices'!E76/'Constant Prices'!D76)-1</f>
        <v>4.923397292875209E-2</v>
      </c>
      <c r="E73" s="4129">
        <f>('Constant Prices'!F76/'Constant Prices'!E76)-1</f>
        <v>-1.5533233423791981E-2</v>
      </c>
      <c r="F73" s="4129">
        <f>('Constant Prices'!G76/'Constant Prices'!F76)-1</f>
        <v>4.5257246302277121E-3</v>
      </c>
      <c r="G73" s="4129">
        <f>('Constant Prices'!H76/'Constant Prices'!G76)-1</f>
        <v>4.3271692162765385E-2</v>
      </c>
      <c r="H73" s="4129">
        <f>('Constant Prices'!I76/'Constant Prices'!H76)-1</f>
        <v>-1.0796168341709045E-3</v>
      </c>
      <c r="I73" s="4129">
        <f>('Constant Prices'!J76/'Constant Prices'!I76)-1</f>
        <v>-2.0043624358898726E-2</v>
      </c>
      <c r="J73" s="4129">
        <f>('Constant Prices'!K76/'Constant Prices'!J76)-1</f>
        <v>1.3274779923399427E-2</v>
      </c>
      <c r="K73" s="4129">
        <f>('Constant Prices'!L76/'Constant Prices'!K76)-1</f>
        <v>1.0092814312006038E-3</v>
      </c>
      <c r="L73" s="4129">
        <f>('Constant Prices'!M76/'Constant Prices'!L76)-1</f>
        <v>3.428725371669028E-2</v>
      </c>
      <c r="M73" s="4129">
        <f>('Constant Prices'!N76/'Constant Prices'!M76)-1</f>
        <v>3.3798705719615407E-2</v>
      </c>
      <c r="N73" s="4129">
        <f>('Constant Prices'!O76/'Constant Prices'!N76)-1</f>
        <v>2.8866452933722808E-2</v>
      </c>
      <c r="O73" s="4129">
        <f>('Constant Prices'!P76/'Constant Prices'!O76)-1</f>
        <v>-7.0034605319100329E-3</v>
      </c>
      <c r="P73" s="4129">
        <f>('Constant Prices'!Q76/'Constant Prices'!P76)-1</f>
        <v>-0.2436193606493704</v>
      </c>
      <c r="Q73" s="4129">
        <f>('Constant Prices'!R76/'Constant Prices'!Q76)-1</f>
        <v>0.11600096448939579</v>
      </c>
      <c r="R73" s="4129">
        <f>('Constant Prices'!S76/'Constant Prices'!R76)-1</f>
        <v>0.20386919574777029</v>
      </c>
      <c r="S73" s="4129">
        <f>('Constant Prices'!T76/'Constant Prices'!S76)-1</f>
        <v>2.2102077197821757E-2</v>
      </c>
      <c r="T73" s="4130"/>
    </row>
    <row r="74" spans="2:20" ht="45.5" customHeight="1">
      <c r="B74" s="121" t="str">
        <f>'GDP  nominal prices'!B79</f>
        <v>Source: Central Statistical Office</v>
      </c>
      <c r="C74" s="122"/>
      <c r="D74" s="122"/>
      <c r="E74" s="122"/>
    </row>
    <row r="75" spans="2:20" ht="38" customHeight="1">
      <c r="B75" s="121" t="str">
        <f>'GDP  nominal prices'!B80</f>
        <v>r= revised; pre= preliminary</v>
      </c>
      <c r="C75" s="124"/>
      <c r="D75" s="124"/>
      <c r="E75" s="124"/>
    </row>
    <row r="76" spans="2:20" s="2097" customFormat="1" ht="127.25" customHeight="1">
      <c r="B76" s="5634" t="s">
        <v>2313</v>
      </c>
      <c r="C76" s="5634"/>
      <c r="D76" s="5634"/>
      <c r="E76" s="5634"/>
      <c r="F76" s="5634"/>
      <c r="G76" s="5634"/>
      <c r="H76" s="5634"/>
      <c r="I76" s="5634"/>
      <c r="J76" s="5634"/>
      <c r="K76" s="5634"/>
      <c r="L76" s="5634"/>
      <c r="M76" s="5634"/>
      <c r="N76" s="5634"/>
      <c r="O76" s="5634"/>
      <c r="P76" s="5634"/>
      <c r="Q76" s="5634"/>
      <c r="R76" s="5634"/>
      <c r="S76" s="4124"/>
    </row>
    <row r="77" spans="2:20" ht="20.25" customHeight="1"/>
    <row r="78" spans="2:20" ht="20.25" customHeight="1"/>
    <row r="79" spans="2:20" ht="20.25" customHeight="1"/>
    <row r="80" spans="2:20" ht="20.25" customHeight="1"/>
    <row r="81" ht="20.25" customHeight="1"/>
    <row r="82" ht="20.25" customHeight="1"/>
    <row r="83" ht="20.25" customHeight="1"/>
  </sheetData>
  <mergeCells count="6">
    <mergeCell ref="B76:R76"/>
    <mergeCell ref="B5:G5"/>
    <mergeCell ref="B1:S1"/>
    <mergeCell ref="B2:S2"/>
    <mergeCell ref="B3:S3"/>
    <mergeCell ref="B4:S4"/>
  </mergeCells>
  <printOptions horizontalCentered="1" verticalCentered="1"/>
  <pageMargins left="0.25" right="0.25" top="0.75" bottom="0.75" header="0.3" footer="0.3"/>
  <pageSetup scale="21" firstPageNumber="103" orientation="landscape" useFirstPageNumber="1" r:id="rId1"/>
  <headerFooter scaleWithDoc="0" alignWithMargins="0">
    <oddFooter xml:space="preserve">&amp;C105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pageSetUpPr fitToPage="1"/>
  </sheetPr>
  <dimension ref="A1:U79"/>
  <sheetViews>
    <sheetView view="pageBreakPreview" zoomScale="30" zoomScaleNormal="100" zoomScaleSheetLayoutView="30" workbookViewId="0">
      <selection activeCell="B44" sqref="B44"/>
    </sheetView>
  </sheetViews>
  <sheetFormatPr defaultColWidth="9.46484375" defaultRowHeight="36"/>
  <cols>
    <col min="1" max="1" width="9.46484375" style="128"/>
    <col min="2" max="2" width="175.33203125" style="128" customWidth="1"/>
    <col min="3" max="10" width="30.6640625" style="148" customWidth="1"/>
    <col min="11" max="12" width="30.6640625" style="128" customWidth="1"/>
    <col min="13" max="14" width="30.6640625" style="131" customWidth="1"/>
    <col min="15" max="16" width="30.6640625" style="128" customWidth="1"/>
    <col min="17" max="18" width="30.6640625" style="129" customWidth="1"/>
    <col min="19" max="19" width="28.33203125" style="128" customWidth="1"/>
    <col min="20" max="20" width="25.33203125" style="128" bestFit="1" customWidth="1"/>
    <col min="21" max="16384" width="9.46484375" style="128"/>
  </cols>
  <sheetData>
    <row r="1" spans="2:21" s="127" customFormat="1" ht="36" customHeight="1">
      <c r="B1" s="5633" t="s">
        <v>668</v>
      </c>
      <c r="C1" s="5633"/>
      <c r="D1" s="5633"/>
      <c r="E1" s="5633"/>
      <c r="F1" s="5633"/>
      <c r="G1" s="5633"/>
      <c r="H1" s="5633"/>
      <c r="I1" s="5633"/>
      <c r="J1" s="5633"/>
      <c r="K1" s="5633"/>
      <c r="L1" s="5633"/>
      <c r="M1" s="5633"/>
      <c r="N1" s="5633"/>
      <c r="O1" s="5633"/>
      <c r="P1" s="5633"/>
      <c r="Q1" s="5633"/>
      <c r="R1" s="5633"/>
      <c r="S1" s="5633"/>
      <c r="T1" s="5633"/>
    </row>
    <row r="2" spans="2:21" ht="30.5" customHeight="1">
      <c r="B2" s="5641" t="s">
        <v>879</v>
      </c>
      <c r="C2" s="5641"/>
      <c r="D2" s="5641"/>
      <c r="E2" s="5641"/>
      <c r="F2" s="5641"/>
      <c r="G2" s="5641"/>
      <c r="H2" s="5641"/>
      <c r="I2" s="5641"/>
      <c r="J2" s="5641"/>
      <c r="K2" s="5641"/>
      <c r="L2" s="5641"/>
      <c r="M2" s="5641"/>
      <c r="N2" s="5641"/>
      <c r="O2" s="5641"/>
      <c r="P2" s="5641"/>
      <c r="Q2" s="5641"/>
      <c r="R2" s="5641"/>
      <c r="S2" s="5641"/>
      <c r="T2" s="5641"/>
    </row>
    <row r="3" spans="2:21" ht="30.5" customHeight="1">
      <c r="B3" s="5642" t="s">
        <v>881</v>
      </c>
      <c r="C3" s="5642"/>
      <c r="D3" s="5642"/>
      <c r="E3" s="5642"/>
      <c r="F3" s="5642"/>
      <c r="G3" s="5642"/>
      <c r="H3" s="5642"/>
      <c r="I3" s="5642"/>
      <c r="J3" s="5642"/>
      <c r="K3" s="5642"/>
      <c r="L3" s="5642"/>
      <c r="M3" s="5642"/>
      <c r="N3" s="5642"/>
      <c r="O3" s="5642"/>
      <c r="P3" s="5642"/>
      <c r="Q3" s="5642"/>
      <c r="R3" s="5642"/>
      <c r="S3" s="5642"/>
      <c r="T3" s="5642"/>
    </row>
    <row r="4" spans="2:21" ht="42.5" customHeight="1" thickBot="1">
      <c r="B4" s="5640"/>
      <c r="C4" s="5640"/>
      <c r="D4" s="5640"/>
      <c r="E4" s="5640"/>
      <c r="F4" s="5640"/>
      <c r="G4" s="5640"/>
      <c r="H4" s="5640"/>
      <c r="I4" s="5640"/>
      <c r="J4" s="5640"/>
      <c r="K4" s="5640"/>
      <c r="L4" s="5640"/>
      <c r="M4" s="5640"/>
      <c r="N4" s="5640"/>
      <c r="O4" s="5640"/>
      <c r="P4" s="5640"/>
    </row>
    <row r="5" spans="2:21" ht="36.4" hidden="1" thickBot="1">
      <c r="B5" s="130"/>
      <c r="C5" s="130"/>
      <c r="D5" s="130"/>
      <c r="E5" s="130"/>
      <c r="F5" s="130"/>
      <c r="G5" s="130"/>
      <c r="H5" s="128"/>
      <c r="I5" s="128"/>
      <c r="J5" s="128"/>
      <c r="L5" s="131"/>
    </row>
    <row r="6" spans="2:21" s="132" customFormat="1" ht="41.75" customHeight="1" thickBot="1">
      <c r="B6" s="133" t="s">
        <v>644</v>
      </c>
      <c r="C6" s="2281" t="s">
        <v>78</v>
      </c>
      <c r="D6" s="2281">
        <v>2007</v>
      </c>
      <c r="E6" s="2282" t="s">
        <v>419</v>
      </c>
      <c r="F6" s="2281" t="s">
        <v>423</v>
      </c>
      <c r="G6" s="2282" t="s">
        <v>315</v>
      </c>
      <c r="H6" s="2281" t="s">
        <v>475</v>
      </c>
      <c r="I6" s="2282" t="s">
        <v>491</v>
      </c>
      <c r="J6" s="2281" t="s">
        <v>524</v>
      </c>
      <c r="K6" s="2282" t="s">
        <v>572</v>
      </c>
      <c r="L6" s="2281" t="s">
        <v>637</v>
      </c>
      <c r="M6" s="2282" t="s">
        <v>709</v>
      </c>
      <c r="N6" s="2282" t="s">
        <v>751</v>
      </c>
      <c r="O6" s="2282" t="s">
        <v>787</v>
      </c>
      <c r="P6" s="2283" t="s">
        <v>858</v>
      </c>
      <c r="Q6" s="2589" t="s">
        <v>1076</v>
      </c>
      <c r="R6" s="2588" t="s">
        <v>1533</v>
      </c>
      <c r="S6" s="4749" t="s">
        <v>1958</v>
      </c>
      <c r="T6" s="4750" t="s">
        <v>1959</v>
      </c>
      <c r="U6" s="137"/>
    </row>
    <row r="7" spans="2:21" ht="36.75">
      <c r="B7" s="134"/>
      <c r="C7" s="2284"/>
      <c r="D7" s="2285"/>
      <c r="E7" s="2286"/>
      <c r="F7" s="2286"/>
      <c r="G7" s="2287"/>
      <c r="H7" s="2286"/>
      <c r="I7" s="2286"/>
      <c r="J7" s="2286"/>
      <c r="K7" s="2286"/>
      <c r="L7" s="2286"/>
      <c r="M7" s="2286"/>
      <c r="N7" s="2287"/>
      <c r="O7" s="2287"/>
      <c r="P7" s="2287"/>
      <c r="Q7" s="2035"/>
      <c r="R7" s="2590"/>
      <c r="S7" s="3185"/>
      <c r="U7" s="1766"/>
    </row>
    <row r="8" spans="2:21" s="132" customFormat="1">
      <c r="B8" s="135" t="s">
        <v>645</v>
      </c>
      <c r="C8" s="2288">
        <f>'Constant Prices'!C8/'Constant Prices'!C$76</f>
        <v>1.7044224022176986E-2</v>
      </c>
      <c r="D8" s="2288">
        <f>'Constant Prices'!D8/'Constant Prices'!D$76</f>
        <v>1.7184295924453176E-2</v>
      </c>
      <c r="E8" s="2288">
        <f>'Constant Prices'!E8/'Constant Prices'!E$76</f>
        <v>2.0045198985494263E-2</v>
      </c>
      <c r="F8" s="2288">
        <f>'Constant Prices'!F8/'Constant Prices'!F$76</f>
        <v>1.9752730451980293E-2</v>
      </c>
      <c r="G8" s="2288">
        <f>'Constant Prices'!G8/'Constant Prices'!G$76</f>
        <v>1.4890584608760806E-2</v>
      </c>
      <c r="H8" s="2288">
        <f>'Constant Prices'!H8/'Constant Prices'!H$76</f>
        <v>1.3878385239950778E-2</v>
      </c>
      <c r="I8" s="2288">
        <f>'Constant Prices'!I8/'Constant Prices'!I$76</f>
        <v>1.6421597137714451E-2</v>
      </c>
      <c r="J8" s="2288">
        <f>'Constant Prices'!J8/'Constant Prices'!J$76</f>
        <v>1.741577012690073E-2</v>
      </c>
      <c r="K8" s="2288">
        <f>'Constant Prices'!K8/'Constant Prices'!K$76</f>
        <v>1.5703847523525341E-2</v>
      </c>
      <c r="L8" s="2288">
        <f>'Constant Prices'!L8/'Constant Prices'!L$76</f>
        <v>1.6057580871542968E-2</v>
      </c>
      <c r="M8" s="2288">
        <f>'Constant Prices'!M8/'Constant Prices'!M$76</f>
        <v>1.5902717893340912E-2</v>
      </c>
      <c r="N8" s="2288">
        <f>'Constant Prices'!N8/'Constant Prices'!N$76</f>
        <v>1.4719257805698207E-2</v>
      </c>
      <c r="O8" s="2288">
        <f>'Constant Prices'!O8/'Constant Prices'!O$76</f>
        <v>1.6288620773105278E-2</v>
      </c>
      <c r="P8" s="2288">
        <f>'Constant Prices'!P8/'Constant Prices'!P$76</f>
        <v>1.7306855347774337E-2</v>
      </c>
      <c r="Q8" s="2289">
        <f>'Constant Prices'!Q8/'Constant Prices'!Q$76</f>
        <v>1.9855027255503709E-2</v>
      </c>
      <c r="R8" s="2591">
        <f>'Constant Prices'!R8/'Constant Prices'!R$76</f>
        <v>1.9416945964202712E-2</v>
      </c>
      <c r="S8" s="3186">
        <f>'Constant Prices'!S8/'Constant Prices'!S$76</f>
        <v>1.6855626103295954E-2</v>
      </c>
      <c r="T8" s="3186">
        <f>'Constant Prices'!T8/'Constant Prices'!T$76</f>
        <v>1.3688019568165838E-2</v>
      </c>
      <c r="U8" s="137"/>
    </row>
    <row r="9" spans="2:21" ht="36.75">
      <c r="B9" s="136" t="s">
        <v>922</v>
      </c>
      <c r="C9" s="2290">
        <f>'Constant Prices'!C9/'Constant Prices'!C$76</f>
        <v>1.3622384891930524E-2</v>
      </c>
      <c r="D9" s="2290">
        <f>'Constant Prices'!D9/'Constant Prices'!D$76</f>
        <v>1.3471876925692185E-2</v>
      </c>
      <c r="E9" s="2290">
        <f>'Constant Prices'!E9/'Constant Prices'!E$76</f>
        <v>1.6302806918060676E-2</v>
      </c>
      <c r="F9" s="2290">
        <f>'Constant Prices'!F9/'Constant Prices'!F$76</f>
        <v>1.56343214498776E-2</v>
      </c>
      <c r="G9" s="2290">
        <f>'Constant Prices'!G9/'Constant Prices'!G$76</f>
        <v>1.0485142634801662E-2</v>
      </c>
      <c r="H9" s="2290">
        <f>'Constant Prices'!H9/'Constant Prices'!H$76</f>
        <v>9.4809987437185928E-3</v>
      </c>
      <c r="I9" s="2290">
        <f>'Constant Prices'!I9/'Constant Prices'!I$76</f>
        <v>1.2379885633437483E-2</v>
      </c>
      <c r="J9" s="2290">
        <f>'Constant Prices'!J9/'Constant Prices'!J$76</f>
        <v>1.3735988289318015E-2</v>
      </c>
      <c r="K9" s="2290">
        <f>'Constant Prices'!K9/'Constant Prices'!K$76</f>
        <v>1.1616631374799628E-2</v>
      </c>
      <c r="L9" s="2290">
        <f>'Constant Prices'!L9/'Constant Prices'!L$76</f>
        <v>1.2099165711122534E-2</v>
      </c>
      <c r="M9" s="2290">
        <f>'Constant Prices'!M9/'Constant Prices'!M$76</f>
        <v>1.1581912367595986E-2</v>
      </c>
      <c r="N9" s="2290">
        <f>'Constant Prices'!N9/'Constant Prices'!N$76</f>
        <v>1.0371175426485224E-2</v>
      </c>
      <c r="O9" s="2290">
        <f>'Constant Prices'!O9/'Constant Prices'!O$76</f>
        <v>1.1077583723827108E-2</v>
      </c>
      <c r="P9" s="2290">
        <f>'Constant Prices'!P9/'Constant Prices'!P$76</f>
        <v>1.2186342041443319E-2</v>
      </c>
      <c r="Q9" s="2291">
        <f>'Constant Prices'!Q9/'Constant Prices'!Q$76</f>
        <v>1.4126669032238304E-2</v>
      </c>
      <c r="R9" s="2592">
        <f>'Constant Prices'!R9/'Constant Prices'!R$76</f>
        <v>1.3222182287839574E-2</v>
      </c>
      <c r="S9" s="3187">
        <f>'Constant Prices'!S9/'Constant Prices'!S$76</f>
        <v>1.1857359912377449E-2</v>
      </c>
      <c r="T9" s="3187">
        <f>'Constant Prices'!T9/'Constant Prices'!T$76</f>
        <v>9.0885757420525286E-3</v>
      </c>
      <c r="U9" s="1766"/>
    </row>
    <row r="10" spans="2:21" ht="36.75">
      <c r="B10" s="136" t="s">
        <v>769</v>
      </c>
      <c r="C10" s="2290">
        <f>'Constant Prices'!C10/'Constant Prices'!C$76</f>
        <v>7.5170209543533179E-3</v>
      </c>
      <c r="D10" s="2290">
        <f>'Constant Prices'!D10/'Constant Prices'!D$76</f>
        <v>6.7655024644193359E-3</v>
      </c>
      <c r="E10" s="2290">
        <f>'Constant Prices'!E10/'Constant Prices'!E$76</f>
        <v>7.7283891109115347E-3</v>
      </c>
      <c r="F10" s="2290">
        <f>'Constant Prices'!F10/'Constant Prices'!F$76</f>
        <v>7.2574501792843976E-3</v>
      </c>
      <c r="G10" s="2290">
        <f>'Constant Prices'!G10/'Constant Prices'!G$76</f>
        <v>4.4619805889392662E-3</v>
      </c>
      <c r="H10" s="2290">
        <f>'Constant Prices'!H10/'Constant Prices'!H$76</f>
        <v>2.8393484331084885E-3</v>
      </c>
      <c r="I10" s="2290">
        <f>'Constant Prices'!I10/'Constant Prices'!I$76</f>
        <v>5.1524381264783647E-3</v>
      </c>
      <c r="J10" s="2290">
        <f>'Constant Prices'!J10/'Constant Prices'!J$76</f>
        <v>4.1058503888104095E-3</v>
      </c>
      <c r="K10" s="2290">
        <f>'Constant Prices'!K10/'Constant Prices'!K$76</f>
        <v>3.5100449991371748E-3</v>
      </c>
      <c r="L10" s="2290">
        <f>'Constant Prices'!L10/'Constant Prices'!L$76</f>
        <v>3.7671665496702613E-3</v>
      </c>
      <c r="M10" s="2290">
        <f>'Constant Prices'!M10/'Constant Prices'!M$76</f>
        <v>3.6383463660806283E-3</v>
      </c>
      <c r="N10" s="2290">
        <f>'Constant Prices'!N10/'Constant Prices'!N$76</f>
        <v>3.4803286972132524E-3</v>
      </c>
      <c r="O10" s="2290">
        <f>'Constant Prices'!O10/'Constant Prices'!O$76</f>
        <v>3.3604243922282047E-3</v>
      </c>
      <c r="P10" s="2290">
        <f>'Constant Prices'!P10/'Constant Prices'!P$76</f>
        <v>3.3324404426419273E-3</v>
      </c>
      <c r="Q10" s="2291">
        <f>'Constant Prices'!Q10/'Constant Prices'!Q$76</f>
        <v>4.684684281125469E-3</v>
      </c>
      <c r="R10" s="2592">
        <f>'Constant Prices'!R10/'Constant Prices'!R$76</f>
        <v>5.1516701232556571E-3</v>
      </c>
      <c r="S10" s="3187">
        <f>'Constant Prices'!S10/'Constant Prices'!S$76</f>
        <v>4.4769343459676062E-3</v>
      </c>
      <c r="T10" s="3187">
        <f>'Constant Prices'!T10/'Constant Prices'!T$76</f>
        <v>3.2409008655546112E-3</v>
      </c>
      <c r="U10" s="1766"/>
    </row>
    <row r="11" spans="2:21" ht="36.75">
      <c r="B11" s="136" t="s">
        <v>770</v>
      </c>
      <c r="C11" s="2290">
        <f>'Constant Prices'!C11/'Constant Prices'!C$76</f>
        <v>2.342563876146403E-3</v>
      </c>
      <c r="D11" s="2290">
        <f>'Constant Prices'!D11/'Constant Prices'!D$76</f>
        <v>3.752607976015095E-3</v>
      </c>
      <c r="E11" s="2290">
        <f>'Constant Prices'!E11/'Constant Prices'!E$76</f>
        <v>6.640759307244907E-3</v>
      </c>
      <c r="F11" s="2290">
        <f>'Constant Prices'!F11/'Constant Prices'!F$76</f>
        <v>6.5188412968635858E-3</v>
      </c>
      <c r="G11" s="2290">
        <f>'Constant Prices'!G11/'Constant Prices'!G$76</f>
        <v>4.1096365123200656E-3</v>
      </c>
      <c r="H11" s="2290">
        <f>'Constant Prices'!H11/'Constant Prices'!H$76</f>
        <v>5.6039504025945886E-3</v>
      </c>
      <c r="I11" s="2290">
        <f>'Constant Prices'!I11/'Constant Prices'!I$76</f>
        <v>6.4005358023649034E-3</v>
      </c>
      <c r="J11" s="2290">
        <f>'Constant Prices'!J11/'Constant Prices'!J$76</f>
        <v>9.8141957412480989E-3</v>
      </c>
      <c r="K11" s="2290">
        <f>'Constant Prices'!K11/'Constant Prices'!K$76</f>
        <v>8.6845847612794791E-3</v>
      </c>
      <c r="L11" s="2290">
        <f>'Constant Prices'!L11/'Constant Prices'!L$76</f>
        <v>8.8551636602380909E-3</v>
      </c>
      <c r="M11" s="2290">
        <f>'Constant Prices'!M11/'Constant Prices'!M$76</f>
        <v>7.9435660015153581E-3</v>
      </c>
      <c r="N11" s="2290">
        <f>'Constant Prices'!N11/'Constant Prices'!N$76</f>
        <v>6.8908467292719718E-3</v>
      </c>
      <c r="O11" s="2290">
        <f>'Constant Prices'!O11/'Constant Prices'!O$76</f>
        <v>7.7171593315989032E-3</v>
      </c>
      <c r="P11" s="2290">
        <f>'Constant Prices'!P11/'Constant Prices'!P$76</f>
        <v>8.8539015988013912E-3</v>
      </c>
      <c r="Q11" s="2291">
        <f>'Constant Prices'!Q11/'Constant Prices'!Q$76</f>
        <v>9.4419847511128339E-3</v>
      </c>
      <c r="R11" s="2592">
        <f>'Constant Prices'!R11/'Constant Prices'!R$76</f>
        <v>8.0705121645839178E-3</v>
      </c>
      <c r="S11" s="3187">
        <f>'Constant Prices'!S11/'Constant Prices'!S$76</f>
        <v>7.3804255664098421E-3</v>
      </c>
      <c r="T11" s="3187">
        <f>'Constant Prices'!T11/'Constant Prices'!T$76</f>
        <v>5.8476748764979183E-3</v>
      </c>
      <c r="U11" s="1766"/>
    </row>
    <row r="12" spans="2:21" ht="36.75">
      <c r="B12" s="136" t="s">
        <v>831</v>
      </c>
      <c r="C12" s="2290">
        <f>'Constant Prices'!C12/'Constant Prices'!C$76</f>
        <v>1.254449864920011E-3</v>
      </c>
      <c r="D12" s="2290">
        <f>'Constant Prices'!D12/'Constant Prices'!D$76</f>
        <v>1.2037630390959975E-3</v>
      </c>
      <c r="E12" s="2290">
        <f>'Constant Prices'!E12/'Constant Prices'!E$76</f>
        <v>1.205583073513193E-3</v>
      </c>
      <c r="F12" s="2290">
        <f>'Constant Prices'!F12/'Constant Prices'!F$76</f>
        <v>1.237934900606197E-3</v>
      </c>
      <c r="G12" s="2290">
        <f>'Constant Prices'!G12/'Constant Prices'!G$76</f>
        <v>1.2767958570778807E-3</v>
      </c>
      <c r="H12" s="2290">
        <f>'Constant Prices'!H12/'Constant Prices'!H$76</f>
        <v>1.1875557047940303E-3</v>
      </c>
      <c r="I12" s="2290">
        <f>'Constant Prices'!I12/'Constant Prices'!I$76</f>
        <v>1.2376703084790678E-3</v>
      </c>
      <c r="J12" s="2290">
        <f>'Constant Prices'!J12/'Constant Prices'!J$76</f>
        <v>1.154411305842516E-3</v>
      </c>
      <c r="K12" s="2290">
        <f>'Constant Prices'!K12/'Constant Prices'!K$76</f>
        <v>1.2712049447022363E-3</v>
      </c>
      <c r="L12" s="2290">
        <f>'Constant Prices'!L12/'Constant Prices'!L$76</f>
        <v>1.3242569986479194E-3</v>
      </c>
      <c r="M12" s="2290">
        <f>'Constant Prices'!M12/'Constant Prices'!M$76</f>
        <v>1.4612962960490533E-3</v>
      </c>
      <c r="N12" s="2290">
        <f>'Constant Prices'!N12/'Constant Prices'!N$76</f>
        <v>1.3085940997569726E-3</v>
      </c>
      <c r="O12" s="2290">
        <f>'Constant Prices'!O12/'Constant Prices'!O$76</f>
        <v>2.2923749723013421E-3</v>
      </c>
      <c r="P12" s="2290">
        <f>'Constant Prices'!P12/'Constant Prices'!P$76</f>
        <v>2.2608488678909923E-3</v>
      </c>
      <c r="Q12" s="2291">
        <f>'Constant Prices'!Q12/'Constant Prices'!Q$76</f>
        <v>2.6713266200911389E-3</v>
      </c>
      <c r="R12" s="2592">
        <f>'Constant Prices'!R12/'Constant Prices'!R$76</f>
        <v>3.2257953858307593E-3</v>
      </c>
      <c r="S12" s="3187">
        <f>'Constant Prices'!S12/'Constant Prices'!S$76</f>
        <v>2.4343955210487603E-3</v>
      </c>
      <c r="T12" s="3187">
        <f>'Constant Prices'!T12/'Constant Prices'!T$76</f>
        <v>2.1805340491028429E-3</v>
      </c>
      <c r="U12" s="1766"/>
    </row>
    <row r="13" spans="2:21" ht="36.75">
      <c r="B13" s="136" t="s">
        <v>832</v>
      </c>
      <c r="C13" s="2290">
        <f>'Constant Prices'!C13/'Constant Prices'!C$76</f>
        <v>9.9673055930654263E-4</v>
      </c>
      <c r="D13" s="2290">
        <f>'Constant Prices'!D13/'Constant Prices'!D$76</f>
        <v>1.1443320217799527E-3</v>
      </c>
      <c r="E13" s="2290">
        <f>'Constant Prices'!E13/'Constant Prices'!E$76</f>
        <v>1.1180614405792637E-3</v>
      </c>
      <c r="F13" s="2290">
        <f>'Constant Prices'!F13/'Constant Prices'!F$76</f>
        <v>1.1538794193793826E-3</v>
      </c>
      <c r="G13" s="2290">
        <f>'Constant Prices'!G13/'Constant Prices'!G$76</f>
        <v>6.0866881603730189E-4</v>
      </c>
      <c r="H13" s="2290">
        <f>'Constant Prices'!H13/'Constant Prices'!H$76</f>
        <v>6.9442670591083385E-4</v>
      </c>
      <c r="I13" s="2290">
        <f>'Constant Prices'!I13/'Constant Prices'!I$76</f>
        <v>6.9693142274276389E-4</v>
      </c>
      <c r="J13" s="2290">
        <f>'Constant Prices'!J13/'Constant Prices'!J$76</f>
        <v>7.1548621880622681E-4</v>
      </c>
      <c r="K13" s="2290">
        <f>'Constant Prices'!K13/'Constant Prices'!K$76</f>
        <v>7.1038770258096068E-4</v>
      </c>
      <c r="L13" s="2290">
        <f>'Constant Prices'!L13/'Constant Prices'!L$76</f>
        <v>7.1936410374533405E-4</v>
      </c>
      <c r="M13" s="2290">
        <f>'Constant Prices'!M13/'Constant Prices'!M$76</f>
        <v>7.0154839621673496E-4</v>
      </c>
      <c r="N13" s="2290">
        <f>'Constant Prices'!N13/'Constant Prices'!N$76</f>
        <v>7.0016056250691823E-4</v>
      </c>
      <c r="O13" s="2290">
        <f>'Constant Prices'!O13/'Constant Prices'!O$76</f>
        <v>6.8884943691358837E-4</v>
      </c>
      <c r="P13" s="2290">
        <f>'Constant Prices'!P13/'Constant Prices'!P$76</f>
        <v>7.2469305031570125E-4</v>
      </c>
      <c r="Q13" s="2291">
        <f>'Constant Prices'!Q13/'Constant Prices'!Q$76</f>
        <v>7.7891930146579426E-4</v>
      </c>
      <c r="R13" s="2592">
        <f>'Constant Prices'!R13/'Constant Prices'!R$76</f>
        <v>7.3801536386993534E-4</v>
      </c>
      <c r="S13" s="3187">
        <f>'Constant Prices'!S13/'Constant Prices'!S$76</f>
        <v>6.1726199560473561E-4</v>
      </c>
      <c r="T13" s="3187">
        <f>'Constant Prices'!T13/'Constant Prices'!T$76</f>
        <v>6.0323595883106048E-4</v>
      </c>
      <c r="U13" s="1766"/>
    </row>
    <row r="14" spans="2:21" ht="36.75">
      <c r="B14" s="136" t="s">
        <v>638</v>
      </c>
      <c r="C14" s="2290">
        <f>'Constant Prices'!C14/'Constant Prices'!C$76</f>
        <v>1.798420097868557E-3</v>
      </c>
      <c r="D14" s="2290">
        <f>'Constant Prices'!D14/'Constant Prices'!D$76</f>
        <v>1.9022850635922004E-3</v>
      </c>
      <c r="E14" s="2290">
        <f>'Constant Prices'!E14/'Constant Prices'!E$76</f>
        <v>2.1197004611987467E-3</v>
      </c>
      <c r="F14" s="2290">
        <f>'Constant Prices'!F14/'Constant Prices'!F$76</f>
        <v>2.2375670474907685E-3</v>
      </c>
      <c r="G14" s="2290">
        <f>'Constant Prices'!G14/'Constant Prices'!G$76</f>
        <v>2.2620420850596222E-3</v>
      </c>
      <c r="H14" s="2290">
        <f>'Constant Prices'!H14/'Constant Prices'!H$76</f>
        <v>2.2057295519518237E-3</v>
      </c>
      <c r="I14" s="2290">
        <f>'Constant Prices'!I14/'Constant Prices'!I$76</f>
        <v>2.1677207340944173E-3</v>
      </c>
      <c r="J14" s="2290">
        <f>'Constant Prices'!J14/'Constant Prices'!J$76</f>
        <v>2.0973721027860263E-3</v>
      </c>
      <c r="K14" s="2290">
        <f>'Constant Prices'!K14/'Constant Prices'!K$76</f>
        <v>2.1252434126353276E-3</v>
      </c>
      <c r="L14" s="2290">
        <f>'Constant Prices'!L14/'Constant Prices'!L$76</f>
        <v>2.0639380886825032E-3</v>
      </c>
      <c r="M14" s="2290">
        <f>'Constant Prices'!M14/'Constant Prices'!M$76</f>
        <v>2.1579608334791347E-3</v>
      </c>
      <c r="N14" s="2290">
        <f>'Constant Prices'!N14/'Constant Prices'!N$76</f>
        <v>2.3393277169490925E-3</v>
      </c>
      <c r="O14" s="2290">
        <f>'Constant Prices'!O14/'Constant Prices'!O$76</f>
        <v>2.2298126400632397E-3</v>
      </c>
      <c r="P14" s="2290">
        <f>'Constant Prices'!P14/'Constant Prices'!P$76</f>
        <v>2.1349713881243242E-3</v>
      </c>
      <c r="Q14" s="2291">
        <f>'Constant Prices'!Q14/'Constant Prices'!Q$76</f>
        <v>2.2781123017084751E-3</v>
      </c>
      <c r="R14" s="2592">
        <f>'Constant Prices'!R14/'Constant Prices'!R$76</f>
        <v>2.2309529266624425E-3</v>
      </c>
      <c r="S14" s="3187">
        <f>'Constant Prices'!S14/'Constant Prices'!S$76</f>
        <v>1.9466086742650106E-3</v>
      </c>
      <c r="T14" s="3187">
        <f>'Constant Prices'!T14/'Constant Prices'!T$76</f>
        <v>1.8156738181794062E-3</v>
      </c>
      <c r="U14" s="1766"/>
    </row>
    <row r="15" spans="2:21" s="132" customFormat="1">
      <c r="B15" s="137"/>
      <c r="C15" s="2288"/>
      <c r="D15" s="2288"/>
      <c r="E15" s="2288"/>
      <c r="F15" s="2288"/>
      <c r="G15" s="2288"/>
      <c r="H15" s="2288"/>
      <c r="I15" s="2288"/>
      <c r="J15" s="2288"/>
      <c r="K15" s="2288"/>
      <c r="L15" s="2288"/>
      <c r="M15" s="2288"/>
      <c r="N15" s="2288"/>
      <c r="O15" s="2288"/>
      <c r="P15" s="2288"/>
      <c r="Q15" s="2289"/>
      <c r="R15" s="2591"/>
      <c r="S15" s="3186"/>
      <c r="T15" s="3186"/>
      <c r="U15" s="137"/>
    </row>
    <row r="16" spans="2:21" ht="36.4">
      <c r="B16" s="135" t="s">
        <v>646</v>
      </c>
      <c r="C16" s="2288">
        <f>'Constant Prices'!C16/'Constant Prices'!C$76</f>
        <v>3.4077451531780759E-4</v>
      </c>
      <c r="D16" s="2288">
        <f>'Constant Prices'!D16/'Constant Prices'!D$76</f>
        <v>5.2985554791743774E-4</v>
      </c>
      <c r="E16" s="2288">
        <f>'Constant Prices'!E16/'Constant Prices'!E$76</f>
        <v>3.8213363804870821E-4</v>
      </c>
      <c r="F16" s="2288">
        <f>'Constant Prices'!F16/'Constant Prices'!F$76</f>
        <v>3.1876629245766058E-4</v>
      </c>
      <c r="G16" s="2288">
        <f>'Constant Prices'!G16/'Constant Prices'!G$76</f>
        <v>3.5128122834012692E-4</v>
      </c>
      <c r="H16" s="2288">
        <f>'Constant Prices'!H16/'Constant Prices'!H$76</f>
        <v>3.2410752717198561E-4</v>
      </c>
      <c r="I16" s="2288">
        <f>'Constant Prices'!I16/'Constant Prices'!I$76</f>
        <v>5.7571006056986185E-4</v>
      </c>
      <c r="J16" s="2288">
        <f>'Constant Prices'!J16/'Constant Prices'!J$76</f>
        <v>1.111028405400038E-3</v>
      </c>
      <c r="K16" s="2288">
        <f>'Constant Prices'!K16/'Constant Prices'!K$76</f>
        <v>2.2970738305933135E-3</v>
      </c>
      <c r="L16" s="2288">
        <f>'Constant Prices'!L16/'Constant Prices'!L$76</f>
        <v>2.1340386093047681E-3</v>
      </c>
      <c r="M16" s="2288">
        <f>'Constant Prices'!M16/'Constant Prices'!M$76</f>
        <v>1.8789386164849548E-3</v>
      </c>
      <c r="N16" s="2288">
        <f>'Constant Prices'!N16/'Constant Prices'!N$76</f>
        <v>1.7465725431372488E-3</v>
      </c>
      <c r="O16" s="2288">
        <f>'Constant Prices'!O16/'Constant Prices'!O$76</f>
        <v>1.5760407736509997E-3</v>
      </c>
      <c r="P16" s="2288">
        <f>'Constant Prices'!P16/'Constant Prices'!P$76</f>
        <v>1.5353019662478807E-3</v>
      </c>
      <c r="Q16" s="2288">
        <f>'Constant Prices'!Q16/'Constant Prices'!Q$76</f>
        <v>3.511463857666233E-3</v>
      </c>
      <c r="R16" s="2593">
        <f>'Constant Prices'!R16/'Constant Prices'!R$76</f>
        <v>2.6290627093719476E-3</v>
      </c>
      <c r="S16" s="3188">
        <f>'Constant Prices'!S16/'Constant Prices'!S$76</f>
        <v>1.4896651560763472E-3</v>
      </c>
      <c r="T16" s="3188">
        <f>'Constant Prices'!T16/'Constant Prices'!T$76</f>
        <v>1.2291199991056581E-3</v>
      </c>
      <c r="U16" s="1766"/>
    </row>
    <row r="17" spans="1:21" s="132" customFormat="1" ht="36.4">
      <c r="B17" s="136"/>
      <c r="C17" s="2288"/>
      <c r="D17" s="2288"/>
      <c r="E17" s="2288"/>
      <c r="F17" s="2288"/>
      <c r="G17" s="2288"/>
      <c r="H17" s="2288"/>
      <c r="I17" s="2288"/>
      <c r="J17" s="2288"/>
      <c r="K17" s="2288"/>
      <c r="L17" s="2288"/>
      <c r="M17" s="2288"/>
      <c r="N17" s="2288"/>
      <c r="O17" s="2288"/>
      <c r="P17" s="2288"/>
      <c r="Q17" s="2289"/>
      <c r="R17" s="2591"/>
      <c r="S17" s="3186"/>
      <c r="T17" s="3186"/>
      <c r="U17" s="137"/>
    </row>
    <row r="18" spans="1:21" ht="36.4">
      <c r="B18" s="135" t="s">
        <v>392</v>
      </c>
      <c r="C18" s="2288">
        <v>2.4390016138857395E-2</v>
      </c>
      <c r="D18" s="2288">
        <v>2.4368403875206987E-2</v>
      </c>
      <c r="E18" s="2288">
        <v>2.4214719235297309E-2</v>
      </c>
      <c r="F18" s="2288">
        <v>2.5051751188387802E-2</v>
      </c>
      <c r="G18" s="2288">
        <v>2.5644939820638511E-2</v>
      </c>
      <c r="H18" s="2288">
        <v>2.4965470109816285E-2</v>
      </c>
      <c r="I18" s="2288">
        <v>2.6589642299348955E-2</v>
      </c>
      <c r="J18" s="2288">
        <v>2.9528910837842037E-2</v>
      </c>
      <c r="K18" s="2288">
        <v>2.9128978420031384E-2</v>
      </c>
      <c r="L18" s="2288">
        <v>2.9291554095466174E-2</v>
      </c>
      <c r="M18" s="2288">
        <v>2.9234040936972995E-2</v>
      </c>
      <c r="N18" s="2288">
        <v>2.8177800421258569E-2</v>
      </c>
      <c r="O18" s="2288">
        <v>2.9088159178288782E-2</v>
      </c>
      <c r="P18" s="2288">
        <v>2.9255016262617693E-2</v>
      </c>
      <c r="Q18" s="2289">
        <v>3.8597637986389231E-2</v>
      </c>
      <c r="R18" s="2591">
        <v>3.6026709522219924E-2</v>
      </c>
      <c r="S18" s="3186">
        <v>3.1129915237293315E-2</v>
      </c>
      <c r="T18" s="3186">
        <v>3.4085615149907884E-2</v>
      </c>
      <c r="U18" s="1766"/>
    </row>
    <row r="19" spans="1:21" s="132" customFormat="1" ht="36.4">
      <c r="B19" s="136"/>
      <c r="C19" s="2288"/>
      <c r="D19" s="2288"/>
      <c r="E19" s="2288"/>
      <c r="F19" s="2288"/>
      <c r="G19" s="2288"/>
      <c r="H19" s="2288"/>
      <c r="I19" s="2288"/>
      <c r="J19" s="2288"/>
      <c r="K19" s="2288"/>
      <c r="L19" s="2288"/>
      <c r="M19" s="2288"/>
      <c r="N19" s="2288"/>
      <c r="O19" s="2288"/>
      <c r="P19" s="2288"/>
      <c r="Q19" s="2289"/>
      <c r="R19" s="2591"/>
      <c r="S19" s="3186"/>
      <c r="T19" s="3186"/>
      <c r="U19" s="137"/>
    </row>
    <row r="20" spans="1:21" s="132" customFormat="1">
      <c r="B20" s="135" t="s">
        <v>883</v>
      </c>
      <c r="C20" s="2288">
        <f>'Constant Prices'!C20/'Constant Prices'!C$76</f>
        <v>2.1420870752092154E-2</v>
      </c>
      <c r="D20" s="2288">
        <f>'Constant Prices'!D20/'Constant Prices'!D$76</f>
        <v>2.1823251724742792E-2</v>
      </c>
      <c r="E20" s="2288">
        <f>'Constant Prices'!E20/'Constant Prices'!E$76</f>
        <v>2.1263690018951075E-2</v>
      </c>
      <c r="F20" s="2288">
        <f>'Constant Prices'!F20/'Constant Prices'!F$76</f>
        <v>2.215935522119394E-2</v>
      </c>
      <c r="G20" s="2288">
        <f>'Constant Prices'!G20/'Constant Prices'!G$76</f>
        <v>2.3656008896063268E-2</v>
      </c>
      <c r="H20" s="2288">
        <f>'Constant Prices'!H20/'Constant Prices'!H$76</f>
        <v>2.2411372992793284E-2</v>
      </c>
      <c r="I20" s="2288">
        <f>'Constant Prices'!I20/'Constant Prices'!I$76</f>
        <v>2.217636558729201E-2</v>
      </c>
      <c r="J20" s="2288">
        <f>'Constant Prices'!J20/'Constant Prices'!J$76</f>
        <v>2.296193894513163E-2</v>
      </c>
      <c r="K20" s="2288">
        <f>'Constant Prices'!K20/'Constant Prices'!K$76</f>
        <v>2.2583204059190634E-2</v>
      </c>
      <c r="L20" s="2288">
        <f>'Constant Prices'!L20/'Constant Prices'!L$76</f>
        <v>2.3065890421987142E-2</v>
      </c>
      <c r="M20" s="2288">
        <f>'Constant Prices'!M20/'Constant Prices'!M$76</f>
        <v>2.3006391323975854E-2</v>
      </c>
      <c r="N20" s="2288">
        <f>'Constant Prices'!N20/'Constant Prices'!N$76</f>
        <v>2.2870056804662205E-2</v>
      </c>
      <c r="O20" s="2288">
        <f>'Constant Prices'!O20/'Constant Prices'!O$76</f>
        <v>2.2224326893878779E-2</v>
      </c>
      <c r="P20" s="2288">
        <f>'Constant Prices'!P20/'Constant Prices'!P$76</f>
        <v>2.2861844851647328E-2</v>
      </c>
      <c r="Q20" s="2288">
        <f>'Constant Prices'!Q20/'Constant Prices'!Q$76</f>
        <v>2.7127173772570585E-2</v>
      </c>
      <c r="R20" s="2593">
        <f>'Constant Prices'!R20/'Constant Prices'!R$76</f>
        <v>2.5624468845298856E-2</v>
      </c>
      <c r="S20" s="3188">
        <f>'Constant Prices'!S20/'Constant Prices'!S$76</f>
        <v>2.2502619371046226E-2</v>
      </c>
      <c r="T20" s="3188">
        <f>'Constant Prices'!T20/'Constant Prices'!T$76</f>
        <v>2.3302481136390274E-2</v>
      </c>
      <c r="U20" s="137"/>
    </row>
    <row r="21" spans="1:21" s="132" customFormat="1">
      <c r="B21" s="135" t="s">
        <v>884</v>
      </c>
      <c r="C21" s="2288">
        <f>'Constant Prices'!C21/'Constant Prices'!C$76</f>
        <v>8.4336980178095905E-3</v>
      </c>
      <c r="D21" s="2288">
        <f>'Constant Prices'!D21/'Constant Prices'!D$76</f>
        <v>8.5353306570902943E-3</v>
      </c>
      <c r="E21" s="2288">
        <f>'Constant Prices'!E21/'Constant Prices'!E$76</f>
        <v>8.4627560356765937E-3</v>
      </c>
      <c r="F21" s="2288">
        <f>'Constant Prices'!F21/'Constant Prices'!F$76</f>
        <v>8.6463380348536355E-3</v>
      </c>
      <c r="G21" s="2288">
        <f>'Constant Prices'!G21/'Constant Prices'!G$76</f>
        <v>7.8113622414477373E-3</v>
      </c>
      <c r="H21" s="2288">
        <f>'Constant Prices'!H21/'Constant Prices'!H$76</f>
        <v>7.4717108113816185E-3</v>
      </c>
      <c r="I21" s="2288">
        <f>'Constant Prices'!I21/'Constant Prices'!I$76</f>
        <v>7.9072352509373181E-3</v>
      </c>
      <c r="J21" s="2288">
        <f>'Constant Prices'!J21/'Constant Prices'!J$76</f>
        <v>7.8501380540423431E-3</v>
      </c>
      <c r="K21" s="2288">
        <f>'Constant Prices'!K21/'Constant Prices'!K$76</f>
        <v>7.5357846628624934E-3</v>
      </c>
      <c r="L21" s="2288">
        <f>'Constant Prices'!L21/'Constant Prices'!L$76</f>
        <v>7.7728565560011157E-3</v>
      </c>
      <c r="M21" s="2288">
        <f>'Constant Prices'!M21/'Constant Prices'!M$76</f>
        <v>7.5609665260794583E-3</v>
      </c>
      <c r="N21" s="2288">
        <f>'Constant Prices'!N21/'Constant Prices'!N$76</f>
        <v>7.5570977814348418E-3</v>
      </c>
      <c r="O21" s="2288">
        <f>'Constant Prices'!O21/'Constant Prices'!O$76</f>
        <v>7.6657733850595891E-3</v>
      </c>
      <c r="P21" s="2288">
        <f>'Constant Prices'!P21/'Constant Prices'!P$76</f>
        <v>7.5891886868802647E-3</v>
      </c>
      <c r="Q21" s="2288">
        <f>'Constant Prices'!Q21/'Constant Prices'!Q$76</f>
        <v>9.5121975537022542E-3</v>
      </c>
      <c r="R21" s="2593">
        <f>'Constant Prices'!R21/'Constant Prices'!R$76</f>
        <v>1.129572883182027E-2</v>
      </c>
      <c r="S21" s="3188">
        <f>'Constant Prices'!S21/'Constant Prices'!S$76</f>
        <v>9.7183677815350766E-3</v>
      </c>
      <c r="T21" s="3188">
        <f>'Constant Prices'!T21/'Constant Prices'!T$76</f>
        <v>9.5829144821441767E-3</v>
      </c>
      <c r="U21" s="137"/>
    </row>
    <row r="22" spans="1:21" ht="36.4">
      <c r="B22" s="136"/>
      <c r="C22" s="2288"/>
      <c r="D22" s="2288"/>
      <c r="E22" s="2288"/>
      <c r="F22" s="2288"/>
      <c r="G22" s="2288"/>
      <c r="H22" s="2288"/>
      <c r="I22" s="2288"/>
      <c r="J22" s="2288"/>
      <c r="K22" s="2288"/>
      <c r="L22" s="2288"/>
      <c r="M22" s="2288"/>
      <c r="N22" s="2288"/>
      <c r="O22" s="2288"/>
      <c r="P22" s="2288"/>
      <c r="Q22" s="2289"/>
      <c r="R22" s="2591"/>
      <c r="S22" s="3186"/>
      <c r="T22" s="3186"/>
      <c r="U22" s="1766"/>
    </row>
    <row r="23" spans="1:21" ht="36.4">
      <c r="B23" s="135" t="s">
        <v>393</v>
      </c>
      <c r="C23" s="2288">
        <f>'Constant Prices'!C23/'Constant Prices'!C$76</f>
        <v>4.6704895626328492E-2</v>
      </c>
      <c r="D23" s="2288">
        <f>'Constant Prices'!D23/'Constant Prices'!D$76</f>
        <v>3.5173831552068775E-2</v>
      </c>
      <c r="E23" s="2288">
        <f>'Constant Prices'!E23/'Constant Prices'!E$76</f>
        <v>5.1708298796289263E-2</v>
      </c>
      <c r="F23" s="2288">
        <f>'Constant Prices'!F23/'Constant Prices'!F$76</f>
        <v>4.8635054194318517E-2</v>
      </c>
      <c r="G23" s="2288">
        <f>'Constant Prices'!G23/'Constant Prices'!G$76</f>
        <v>4.75990492473631E-2</v>
      </c>
      <c r="H23" s="2288">
        <f>'Constant Prices'!H23/'Constant Prices'!H$76</f>
        <v>4.7189231993060209E-2</v>
      </c>
      <c r="I23" s="2288">
        <f>'Constant Prices'!I23/'Constant Prices'!I$76</f>
        <v>4.5589912663463433E-2</v>
      </c>
      <c r="J23" s="2288">
        <f>'Constant Prices'!J23/'Constant Prices'!J$76</f>
        <v>3.9647188071884665E-2</v>
      </c>
      <c r="K23" s="2288">
        <f>'Constant Prices'!K23/'Constant Prices'!K$76</f>
        <v>3.8776931851319828E-2</v>
      </c>
      <c r="L23" s="2288">
        <f>'Constant Prices'!L23/'Constant Prices'!L$76</f>
        <v>4.5007060929091729E-2</v>
      </c>
      <c r="M23" s="2288">
        <f>'Constant Prices'!M23/'Constant Prices'!M$76</f>
        <v>4.3182821350328089E-2</v>
      </c>
      <c r="N23" s="2288">
        <f>'Constant Prices'!N23/'Constant Prices'!N$76</f>
        <v>4.5013679492049354E-2</v>
      </c>
      <c r="O23" s="2288">
        <f>'Constant Prices'!O23/'Constant Prices'!O$76</f>
        <v>3.8015810826710975E-2</v>
      </c>
      <c r="P23" s="2288">
        <f>'Constant Prices'!P23/'Constant Prices'!P$76</f>
        <v>3.929793302529528E-2</v>
      </c>
      <c r="Q23" s="2288">
        <f>'Constant Prices'!Q23/'Constant Prices'!Q$76</f>
        <v>5.6762678814425593E-2</v>
      </c>
      <c r="R23" s="2593">
        <f>'Constant Prices'!R23/'Constant Prices'!R$76</f>
        <v>5.729986268106655E-2</v>
      </c>
      <c r="S23" s="3188">
        <f>'Constant Prices'!S23/'Constant Prices'!S$76</f>
        <v>4.7458024228304314E-2</v>
      </c>
      <c r="T23" s="3188">
        <f>'Constant Prices'!T23/'Constant Prices'!T$76</f>
        <v>5.5326643814571162E-2</v>
      </c>
      <c r="U23" s="1766"/>
    </row>
    <row r="24" spans="1:21" s="132" customFormat="1" ht="36.4">
      <c r="B24" s="136"/>
      <c r="C24" s="2288"/>
      <c r="D24" s="2288"/>
      <c r="E24" s="2288"/>
      <c r="F24" s="2288"/>
      <c r="G24" s="2288"/>
      <c r="H24" s="2288"/>
      <c r="I24" s="2288"/>
      <c r="J24" s="2288"/>
      <c r="K24" s="2288"/>
      <c r="L24" s="2288"/>
      <c r="M24" s="2288"/>
      <c r="N24" s="2288"/>
      <c r="O24" s="2288"/>
      <c r="P24" s="2288"/>
      <c r="Q24" s="2289"/>
      <c r="R24" s="2591"/>
      <c r="S24" s="3186"/>
      <c r="T24" s="3186"/>
      <c r="U24" s="137"/>
    </row>
    <row r="25" spans="1:21" ht="36.4">
      <c r="B25" s="135" t="s">
        <v>647</v>
      </c>
      <c r="C25" s="2288">
        <f>'Constant Prices'!C25/'Constant Prices'!C$76</f>
        <v>0.11682180943130889</v>
      </c>
      <c r="D25" s="2288">
        <f>'Constant Prices'!D25/'Constant Prices'!D$76</f>
        <v>0.11948771826550116</v>
      </c>
      <c r="E25" s="2288">
        <f>'Constant Prices'!E25/'Constant Prices'!E$76</f>
        <v>0.11719545419316989</v>
      </c>
      <c r="F25" s="2288">
        <f>'Constant Prices'!F25/'Constant Prices'!F$76</f>
        <v>0.10993018298482626</v>
      </c>
      <c r="G25" s="2288">
        <f>'Constant Prices'!G25/'Constant Prices'!G$76</f>
        <v>0.10590813781322619</v>
      </c>
      <c r="H25" s="2288">
        <f>'Constant Prices'!H25/'Constant Prices'!H$76</f>
        <v>0.11827459640488913</v>
      </c>
      <c r="I25" s="2288">
        <f>'Constant Prices'!I25/'Constant Prices'!I$76</f>
        <v>0.11136923519895507</v>
      </c>
      <c r="J25" s="2288">
        <f>'Constant Prices'!J25/'Constant Prices'!J$76</f>
        <v>0.1044880818080187</v>
      </c>
      <c r="K25" s="2288">
        <f>'Constant Prices'!K25/'Constant Prices'!K$76</f>
        <v>0.10242664330578814</v>
      </c>
      <c r="L25" s="2288">
        <f>'Constant Prices'!L25/'Constant Prices'!L$76</f>
        <v>9.2807917126942238E-2</v>
      </c>
      <c r="M25" s="2288">
        <f>'Constant Prices'!M25/'Constant Prices'!M$76</f>
        <v>0.10422477897571371</v>
      </c>
      <c r="N25" s="2288">
        <f>'Constant Prices'!N25/'Constant Prices'!N$76</f>
        <v>0.10170184502302412</v>
      </c>
      <c r="O25" s="2288">
        <f>'Constant Prices'!O25/'Constant Prices'!O$76</f>
        <v>0.10134214648583535</v>
      </c>
      <c r="P25" s="2288">
        <f>'Constant Prices'!P25/'Constant Prices'!P$76</f>
        <v>9.3236725270665094E-2</v>
      </c>
      <c r="Q25" s="2288">
        <f>'Constant Prices'!Q25/'Constant Prices'!Q$76</f>
        <v>0.10581047527620389</v>
      </c>
      <c r="R25" s="2593">
        <f>'Constant Prices'!R25/'Constant Prices'!R$76</f>
        <v>0.10802011450200226</v>
      </c>
      <c r="S25" s="3188">
        <f>'Constant Prices'!S25/'Constant Prices'!S$76</f>
        <v>0.10984963238315636</v>
      </c>
      <c r="T25" s="3188">
        <f>'Constant Prices'!T25/'Constant Prices'!T$76</f>
        <v>0.10947686637279</v>
      </c>
      <c r="U25" s="1766"/>
    </row>
    <row r="26" spans="1:21" s="132" customFormat="1" ht="36.4">
      <c r="A26" s="3191"/>
      <c r="B26" s="3194"/>
      <c r="C26" s="3190"/>
      <c r="D26" s="2288"/>
      <c r="E26" s="2288"/>
      <c r="F26" s="2288"/>
      <c r="G26" s="2288"/>
      <c r="H26" s="2288"/>
      <c r="I26" s="2288"/>
      <c r="J26" s="2288"/>
      <c r="K26" s="2288"/>
      <c r="L26" s="2288"/>
      <c r="M26" s="2288"/>
      <c r="N26" s="2288"/>
      <c r="O26" s="2288"/>
      <c r="P26" s="2288"/>
      <c r="Q26" s="2289"/>
      <c r="R26" s="2591"/>
      <c r="S26" s="3186"/>
      <c r="T26" s="3186"/>
      <c r="U26" s="137"/>
    </row>
    <row r="27" spans="1:21" ht="36.4">
      <c r="A27" s="3192"/>
      <c r="B27" s="3195" t="s">
        <v>833</v>
      </c>
      <c r="C27" s="3190">
        <v>0.19154041191464094</v>
      </c>
      <c r="D27" s="2288">
        <v>0.17878636578624432</v>
      </c>
      <c r="E27" s="2288">
        <v>0.17182873353019709</v>
      </c>
      <c r="F27" s="2288">
        <v>0.17263546376118802</v>
      </c>
      <c r="G27" s="2288">
        <v>0.19346478772675343</v>
      </c>
      <c r="H27" s="2288">
        <v>0.17370266616671068</v>
      </c>
      <c r="I27" s="2288">
        <v>0.18527494224067037</v>
      </c>
      <c r="J27" s="2288">
        <v>0.18423597199012937</v>
      </c>
      <c r="K27" s="2288">
        <v>0.20183544978738557</v>
      </c>
      <c r="L27" s="2288">
        <v>0.19976483699622416</v>
      </c>
      <c r="M27" s="2288">
        <v>0.18725130638238871</v>
      </c>
      <c r="N27" s="2288">
        <v>0.20135218684927017</v>
      </c>
      <c r="O27" s="2288">
        <v>0.20748791066459121</v>
      </c>
      <c r="P27" s="2288">
        <v>0.20995862064083937</v>
      </c>
      <c r="Q27" s="2288">
        <v>9.1637050018187227E-2</v>
      </c>
      <c r="R27" s="2593">
        <v>0.13137827037895389</v>
      </c>
      <c r="S27" s="3188">
        <v>0.18962857877967887</v>
      </c>
      <c r="T27" s="3188">
        <v>0.18766636510150414</v>
      </c>
      <c r="U27" s="1766"/>
    </row>
    <row r="28" spans="1:21" s="132" customFormat="1" ht="36.75">
      <c r="B28" s="139" t="s">
        <v>1514</v>
      </c>
      <c r="C28" s="2290">
        <v>0.17191049176084416</v>
      </c>
      <c r="D28" s="2290">
        <v>0.1524847156522848</v>
      </c>
      <c r="E28" s="2290">
        <v>0.15368223295399111</v>
      </c>
      <c r="F28" s="2290">
        <v>0.152221321235567</v>
      </c>
      <c r="G28" s="2290">
        <v>0.17416457039562833</v>
      </c>
      <c r="H28" s="2290">
        <v>0.1552368406039987</v>
      </c>
      <c r="I28" s="2290">
        <v>0.17033450940279318</v>
      </c>
      <c r="J28" s="2290">
        <v>0.16791117184339457</v>
      </c>
      <c r="K28" s="2290">
        <v>0.1875985942361427</v>
      </c>
      <c r="L28" s="2290">
        <v>0.18451215778036392</v>
      </c>
      <c r="M28" s="2290">
        <v>0.1726800429458252</v>
      </c>
      <c r="N28" s="2290">
        <v>0.18656273357627123</v>
      </c>
      <c r="O28" s="2290">
        <v>0.19382459962720708</v>
      </c>
      <c r="P28" s="2290">
        <v>0.19482245754298988</v>
      </c>
      <c r="Q28" s="2290">
        <v>8.3668087407501215E-2</v>
      </c>
      <c r="R28" s="2594">
        <v>0.12433238570062784</v>
      </c>
      <c r="S28" s="3189">
        <v>0.17730929120227357</v>
      </c>
      <c r="T28" s="3189">
        <v>0.17405738280489849</v>
      </c>
      <c r="U28" s="137"/>
    </row>
    <row r="29" spans="1:21" ht="36.75">
      <c r="B29" s="139" t="s">
        <v>1515</v>
      </c>
      <c r="C29" s="2290">
        <v>1.7416389626909043E-2</v>
      </c>
      <c r="D29" s="2290">
        <v>1.923078080761802E-2</v>
      </c>
      <c r="E29" s="2290">
        <v>1.5035715253760653E-2</v>
      </c>
      <c r="F29" s="2290">
        <v>1.5813893037397275E-2</v>
      </c>
      <c r="G29" s="2290">
        <v>1.6232183552668953E-2</v>
      </c>
      <c r="H29" s="2290">
        <v>1.5120885344267159E-2</v>
      </c>
      <c r="I29" s="2290">
        <v>1.4101511135789044E-2</v>
      </c>
      <c r="J29" s="2290">
        <v>1.4552866963245587E-2</v>
      </c>
      <c r="K29" s="2290">
        <v>1.4622611567884101E-2</v>
      </c>
      <c r="L29" s="2290">
        <v>1.5339282870711495E-2</v>
      </c>
      <c r="M29" s="2290">
        <v>1.4571263436563524E-2</v>
      </c>
      <c r="N29" s="2290">
        <v>1.4789453272998904E-2</v>
      </c>
      <c r="O29" s="2290">
        <v>1.3663311037384171E-2</v>
      </c>
      <c r="P29" s="2290">
        <v>1.5136163097849464E-2</v>
      </c>
      <c r="Q29" s="2290">
        <v>7.9689626106860239E-3</v>
      </c>
      <c r="R29" s="2594">
        <v>7.0458846783260651E-3</v>
      </c>
      <c r="S29" s="3189">
        <v>1.2319287577405301E-2</v>
      </c>
      <c r="T29" s="3189">
        <v>1.3608982296605631E-2</v>
      </c>
      <c r="U29" s="1766"/>
    </row>
    <row r="30" spans="1:21" ht="36.4">
      <c r="B30" s="136"/>
      <c r="C30" s="2288"/>
      <c r="D30" s="2288"/>
      <c r="E30" s="2288"/>
      <c r="F30" s="2288"/>
      <c r="G30" s="2288"/>
      <c r="H30" s="2288"/>
      <c r="I30" s="2288"/>
      <c r="J30" s="2288"/>
      <c r="K30" s="2288"/>
      <c r="L30" s="2288"/>
      <c r="M30" s="2288"/>
      <c r="N30" s="2288"/>
      <c r="O30" s="2288"/>
      <c r="P30" s="2288"/>
      <c r="Q30" s="2289"/>
      <c r="R30" s="2591"/>
      <c r="S30" s="3186"/>
      <c r="T30" s="3186"/>
      <c r="U30" s="1766"/>
    </row>
    <row r="31" spans="1:21" ht="36.4">
      <c r="B31" s="140" t="s">
        <v>834</v>
      </c>
      <c r="C31" s="2288">
        <f>'Constant Prices'!C31/'Constant Prices'!C$76</f>
        <v>6.0713055424649588E-2</v>
      </c>
      <c r="D31" s="2288">
        <f>'Constant Prices'!D31/'Constant Prices'!D$76</f>
        <v>6.1903454560441384E-2</v>
      </c>
      <c r="E31" s="2288">
        <f>'Constant Prices'!E31/'Constant Prices'!E$76</f>
        <v>6.0043793367263745E-2</v>
      </c>
      <c r="F31" s="2288">
        <f>'Constant Prices'!F31/'Constant Prices'!F$76</f>
        <v>5.6771642786318667E-2</v>
      </c>
      <c r="G31" s="2288">
        <f>'Constant Prices'!G31/'Constant Prices'!G$76</f>
        <v>5.4788234249860686E-2</v>
      </c>
      <c r="H31" s="2288">
        <f>'Constant Prices'!H31/'Constant Prices'!H$76</f>
        <v>4.9412697793837203E-2</v>
      </c>
      <c r="I31" s="2288">
        <f>'Constant Prices'!I31/'Constant Prices'!I$76</f>
        <v>5.1660353401526846E-2</v>
      </c>
      <c r="J31" s="2288">
        <f>'Constant Prices'!J31/'Constant Prices'!J$76</f>
        <v>4.9306535162297993E-2</v>
      </c>
      <c r="K31" s="2288">
        <f>'Constant Prices'!K31/'Constant Prices'!K$76</f>
        <v>5.5585267447767796E-2</v>
      </c>
      <c r="L31" s="2288">
        <f>'Constant Prices'!L31/'Constant Prices'!L$76</f>
        <v>5.5970053633707863E-2</v>
      </c>
      <c r="M31" s="2288">
        <f>'Constant Prices'!M31/'Constant Prices'!M$76</f>
        <v>4.7596909120564947E-2</v>
      </c>
      <c r="N31" s="2288">
        <f>'Constant Prices'!N31/'Constant Prices'!N$76</f>
        <v>4.5934061754806903E-2</v>
      </c>
      <c r="O31" s="2288">
        <f>'Constant Prices'!O31/'Constant Prices'!O$76</f>
        <v>4.6032038238320229E-2</v>
      </c>
      <c r="P31" s="2288">
        <f>'Constant Prices'!P31/'Constant Prices'!P$76</f>
        <v>4.8627635380080032E-2</v>
      </c>
      <c r="Q31" s="2288">
        <f>'Constant Prices'!Q31/'Constant Prices'!Q$76</f>
        <v>3.65531548602974E-2</v>
      </c>
      <c r="R31" s="2593">
        <f>'Constant Prices'!R31/'Constant Prices'!R$76</f>
        <v>3.6704414449549957E-2</v>
      </c>
      <c r="S31" s="3188">
        <f>'Constant Prices'!S31/'Constant Prices'!S$76</f>
        <v>4.2113842568562043E-2</v>
      </c>
      <c r="T31" s="3188">
        <f>'Constant Prices'!T31/'Constant Prices'!T$76</f>
        <v>4.2786973839367297E-2</v>
      </c>
      <c r="U31" s="1766"/>
    </row>
    <row r="32" spans="1:21" s="132" customFormat="1" ht="36.75">
      <c r="B32" s="141" t="s">
        <v>835</v>
      </c>
      <c r="C32" s="2290">
        <f>'Constant Prices'!C32/'Constant Prices'!C$76</f>
        <v>3.429484464959065E-2</v>
      </c>
      <c r="D32" s="2290">
        <f>'Constant Prices'!D32/'Constant Prices'!D$76</f>
        <v>3.6308853673074439E-2</v>
      </c>
      <c r="E32" s="2290">
        <f>'Constant Prices'!E32/'Constant Prices'!E$76</f>
        <v>3.5225216452768465E-2</v>
      </c>
      <c r="F32" s="2290">
        <f>'Constant Prices'!F32/'Constant Prices'!F$76</f>
        <v>3.5247356884291252E-2</v>
      </c>
      <c r="G32" s="2290">
        <f>'Constant Prices'!G32/'Constant Prices'!G$76</f>
        <v>3.1614385078326153E-2</v>
      </c>
      <c r="H32" s="2290">
        <f>'Constant Prices'!H32/'Constant Prices'!H$76</f>
        <v>2.8876419120262207E-2</v>
      </c>
      <c r="I32" s="2290">
        <f>'Constant Prices'!I32/'Constant Prices'!I$76</f>
        <v>2.9750325502226633E-2</v>
      </c>
      <c r="J32" s="2290">
        <f>'Constant Prices'!J32/'Constant Prices'!J$76</f>
        <v>2.9405960404573155E-2</v>
      </c>
      <c r="K32" s="2290">
        <f>'Constant Prices'!K32/'Constant Prices'!K$76</f>
        <v>3.1856708059296163E-2</v>
      </c>
      <c r="L32" s="2290">
        <f>'Constant Prices'!L32/'Constant Prices'!L$76</f>
        <v>3.2157882476566757E-2</v>
      </c>
      <c r="M32" s="2290">
        <f>'Constant Prices'!M32/'Constant Prices'!M$76</f>
        <v>2.8823951296580573E-2</v>
      </c>
      <c r="N32" s="2290">
        <f>'Constant Prices'!N32/'Constant Prices'!N$76</f>
        <v>2.864217331136432E-2</v>
      </c>
      <c r="O32" s="2290">
        <f>'Constant Prices'!O32/'Constant Prices'!O$76</f>
        <v>2.8946728425508401E-2</v>
      </c>
      <c r="P32" s="2290">
        <f>'Constant Prices'!P32/'Constant Prices'!P$76</f>
        <v>3.02599714191727E-2</v>
      </c>
      <c r="Q32" s="2290">
        <f>'Constant Prices'!Q32/'Constant Prices'!Q$76</f>
        <v>2.0528605082364544E-2</v>
      </c>
      <c r="R32" s="2594">
        <f>'Constant Prices'!R32/'Constant Prices'!R$76</f>
        <v>1.7762023362881772E-2</v>
      </c>
      <c r="S32" s="3189">
        <f>'Constant Prices'!S32/'Constant Prices'!S$76</f>
        <v>2.4690457903035503E-2</v>
      </c>
      <c r="T32" s="3189">
        <f>'Constant Prices'!T32/'Constant Prices'!T$76</f>
        <v>2.6707839964547394E-2</v>
      </c>
      <c r="U32" s="137"/>
    </row>
    <row r="33" spans="2:21" s="132" customFormat="1" ht="36.75">
      <c r="B33" s="141" t="s">
        <v>836</v>
      </c>
      <c r="C33" s="2290">
        <f>'Constant Prices'!C33/'Constant Prices'!C$76</f>
        <v>2.1918803371244202E-3</v>
      </c>
      <c r="D33" s="2290">
        <f>'Constant Prices'!D33/'Constant Prices'!D$76</f>
        <v>2.1945136415496731E-3</v>
      </c>
      <c r="E33" s="2290">
        <f>'Constant Prices'!E33/'Constant Prices'!E$76</f>
        <v>2.1457873324549344E-3</v>
      </c>
      <c r="F33" s="2290">
        <f>'Constant Prices'!F33/'Constant Prices'!F$76</f>
        <v>2.0495585638074863E-3</v>
      </c>
      <c r="G33" s="2290">
        <f>'Constant Prices'!G33/'Constant Prices'!G$76</f>
        <v>1.9767232895312355E-3</v>
      </c>
      <c r="H33" s="2290">
        <f>'Constant Prices'!H33/'Constant Prices'!H$76</f>
        <v>1.8441974304681621E-3</v>
      </c>
      <c r="I33" s="2290">
        <f>'Constant Prices'!I33/'Constant Prices'!I$76</f>
        <v>1.7899548741509615E-3</v>
      </c>
      <c r="J33" s="2290">
        <f>'Constant Prices'!J33/'Constant Prices'!J$76</f>
        <v>1.9222571798612512E-3</v>
      </c>
      <c r="K33" s="2290">
        <f>'Constant Prices'!K33/'Constant Prices'!K$76</f>
        <v>2.0515104909490625E-3</v>
      </c>
      <c r="L33" s="2290">
        <f>'Constant Prices'!L33/'Constant Prices'!L$76</f>
        <v>2.1686112270457893E-3</v>
      </c>
      <c r="M33" s="2290">
        <f>'Constant Prices'!M33/'Constant Prices'!M$76</f>
        <v>2.4007148107053054E-3</v>
      </c>
      <c r="N33" s="2290">
        <f>'Constant Prices'!N33/'Constant Prices'!N$76</f>
        <v>2.4257794837961111E-3</v>
      </c>
      <c r="O33" s="2290">
        <f>'Constant Prices'!O33/'Constant Prices'!O$76</f>
        <v>2.4829254752958001E-3</v>
      </c>
      <c r="P33" s="2290">
        <f>'Constant Prices'!P33/'Constant Prices'!P$76</f>
        <v>2.4178818154918682E-3</v>
      </c>
      <c r="Q33" s="2290">
        <f>'Constant Prices'!Q33/'Constant Prices'!Q$76</f>
        <v>2.4553870347177324E-3</v>
      </c>
      <c r="R33" s="2594">
        <f>'Constant Prices'!R33/'Constant Prices'!R$76</f>
        <v>1.7696617775517605E-3</v>
      </c>
      <c r="S33" s="3189">
        <f>'Constant Prices'!S33/'Constant Prices'!S$76</f>
        <v>2.8974632257006577E-3</v>
      </c>
      <c r="T33" s="3189">
        <f>'Constant Prices'!T33/'Constant Prices'!T$76</f>
        <v>3.3760687905993467E-3</v>
      </c>
      <c r="U33" s="137"/>
    </row>
    <row r="34" spans="2:21" ht="36.75">
      <c r="B34" s="141" t="s">
        <v>837</v>
      </c>
      <c r="C34" s="2290">
        <f>'Constant Prices'!C34/'Constant Prices'!C$76</f>
        <v>2.6981059179100268E-3</v>
      </c>
      <c r="D34" s="2290">
        <f>'Constant Prices'!D34/'Constant Prices'!D$76</f>
        <v>2.4255103141224985E-3</v>
      </c>
      <c r="E34" s="2290">
        <f>'Constant Prices'!E34/'Constant Prices'!E$76</f>
        <v>2.3643154227978068E-3</v>
      </c>
      <c r="F34" s="2290">
        <f>'Constant Prices'!F34/'Constant Prices'!F$76</f>
        <v>2.2676714428543961E-3</v>
      </c>
      <c r="G34" s="2290">
        <f>'Constant Prices'!G34/'Constant Prices'!G$76</f>
        <v>2.5161945372965877E-3</v>
      </c>
      <c r="H34" s="2290">
        <f>'Constant Prices'!H34/'Constant Prices'!H$76</f>
        <v>2.0442526017893274E-3</v>
      </c>
      <c r="I34" s="2290">
        <f>'Constant Prices'!I34/'Constant Prices'!I$76</f>
        <v>2.0577607372225196E-3</v>
      </c>
      <c r="J34" s="2290">
        <f>'Constant Prices'!J34/'Constant Prices'!J$76</f>
        <v>2.1233926253397106E-3</v>
      </c>
      <c r="K34" s="2290">
        <f>'Constant Prices'!K34/'Constant Prices'!K$76</f>
        <v>2.1483220099280773E-3</v>
      </c>
      <c r="L34" s="2290">
        <f>'Constant Prices'!L34/'Constant Prices'!L$76</f>
        <v>2.1954240415031699E-3</v>
      </c>
      <c r="M34" s="2290">
        <f>'Constant Prices'!M34/'Constant Prices'!M$76</f>
        <v>2.1653140017583927E-3</v>
      </c>
      <c r="N34" s="2290">
        <f>'Constant Prices'!N34/'Constant Prices'!N$76</f>
        <v>2.2024641938444001E-3</v>
      </c>
      <c r="O34" s="2290">
        <f>'Constant Prices'!O34/'Constant Prices'!O$76</f>
        <v>2.2561358200388943E-3</v>
      </c>
      <c r="P34" s="2290">
        <f>'Constant Prices'!P34/'Constant Prices'!P$76</f>
        <v>2.2661583477330241E-3</v>
      </c>
      <c r="Q34" s="2290">
        <f>'Constant Prices'!Q34/'Constant Prices'!Q$76</f>
        <v>2.0215777597435381E-3</v>
      </c>
      <c r="R34" s="2594">
        <f>'Constant Prices'!R34/'Constant Prices'!R$76</f>
        <v>1.5731599534609506E-3</v>
      </c>
      <c r="S34" s="3189">
        <f>'Constant Prices'!S34/'Constant Prices'!S$76</f>
        <v>1.7841051069092991E-3</v>
      </c>
      <c r="T34" s="3189">
        <f>'Constant Prices'!T34/'Constant Prices'!T$76</f>
        <v>1.9817414832702402E-3</v>
      </c>
      <c r="U34" s="1766"/>
    </row>
    <row r="35" spans="2:21" ht="36.75">
      <c r="B35" s="141" t="s">
        <v>838</v>
      </c>
      <c r="C35" s="2290">
        <f>'Constant Prices'!C35/'Constant Prices'!C$76</f>
        <v>2.0883979887627743E-2</v>
      </c>
      <c r="D35" s="2290">
        <f>'Constant Prices'!D35/'Constant Prices'!D$76</f>
        <v>2.0352661534101351E-2</v>
      </c>
      <c r="E35" s="2290">
        <f>'Constant Prices'!E35/'Constant Prices'!E$76</f>
        <v>1.9726090901464526E-2</v>
      </c>
      <c r="F35" s="2290">
        <f>'Constant Prices'!F35/'Constant Prices'!F$76</f>
        <v>1.6655382097427542E-2</v>
      </c>
      <c r="G35" s="2290">
        <f>'Constant Prices'!G35/'Constant Prices'!G$76</f>
        <v>1.8111272685280153E-2</v>
      </c>
      <c r="H35" s="2290">
        <f>'Constant Prices'!H35/'Constant Prices'!H$76</f>
        <v>1.6094293865858596E-2</v>
      </c>
      <c r="I35" s="2290">
        <f>'Constant Prices'!I35/'Constant Prices'!I$76</f>
        <v>1.7506651701591259E-2</v>
      </c>
      <c r="J35" s="2290">
        <f>'Constant Prices'!J35/'Constant Prices'!J$76</f>
        <v>1.5300426258882359E-2</v>
      </c>
      <c r="K35" s="2290">
        <f>'Constant Prices'!K35/'Constant Prices'!K$76</f>
        <v>1.8975446173581205E-2</v>
      </c>
      <c r="L35" s="2290">
        <f>'Constant Prices'!L35/'Constant Prices'!L$76</f>
        <v>1.8906648989427351E-2</v>
      </c>
      <c r="M35" s="2290">
        <f>'Constant Prices'!M35/'Constant Prices'!M$76</f>
        <v>1.3675533609548075E-2</v>
      </c>
      <c r="N35" s="2290">
        <f>'Constant Prices'!N35/'Constant Prices'!N$76</f>
        <v>1.210550914735567E-2</v>
      </c>
      <c r="O35" s="2290">
        <f>'Constant Prices'!O35/'Constant Prices'!O$76</f>
        <v>1.1626957492481778E-2</v>
      </c>
      <c r="P35" s="2290">
        <f>'Constant Prices'!P35/'Constant Prices'!P$76</f>
        <v>1.2905183406219036E-2</v>
      </c>
      <c r="Q35" s="2290">
        <f>'Constant Prices'!Q35/'Constant Prices'!Q$76</f>
        <v>1.0541094586117837E-2</v>
      </c>
      <c r="R35" s="2594">
        <f>'Constant Prices'!R35/'Constant Prices'!R$76</f>
        <v>1.4657835558242341E-2</v>
      </c>
      <c r="S35" s="3189">
        <f>'Constant Prices'!S35/'Constant Prices'!S$76</f>
        <v>1.1949019866006782E-2</v>
      </c>
      <c r="T35" s="3189">
        <f>'Constant Prices'!T35/'Constant Prices'!T$76</f>
        <v>9.9129035021485439E-3</v>
      </c>
      <c r="U35" s="1766"/>
    </row>
    <row r="36" spans="2:21" ht="36.75">
      <c r="B36" s="141" t="s">
        <v>839</v>
      </c>
      <c r="C36" s="2290">
        <f>'Constant Prices'!C36/'Constant Prices'!C$76</f>
        <v>3.5582805181518358E-4</v>
      </c>
      <c r="D36" s="2290">
        <f>'Constant Prices'!D36/'Constant Prices'!D$76</f>
        <v>3.4912144800395829E-4</v>
      </c>
      <c r="E36" s="2290">
        <f>'Constant Prices'!E36/'Constant Prices'!E$76</f>
        <v>3.3273936701596431E-4</v>
      </c>
      <c r="F36" s="2290">
        <f>'Constant Prices'!F36/'Constant Prices'!F$76</f>
        <v>3.4226778310611641E-4</v>
      </c>
      <c r="G36" s="2290">
        <f>'Constant Prices'!G36/'Constant Prices'!G$76</f>
        <v>3.3646668027511792E-4</v>
      </c>
      <c r="H36" s="2290">
        <f>'Constant Prices'!H36/'Constant Prices'!H$76</f>
        <v>3.2659349883345297E-4</v>
      </c>
      <c r="I36" s="2290">
        <f>'Constant Prices'!I36/'Constant Prices'!I$76</f>
        <v>3.2694647575254819E-4</v>
      </c>
      <c r="J36" s="2290">
        <f>'Constant Prices'!J36/'Constant Prices'!J$76</f>
        <v>3.378041257019105E-4</v>
      </c>
      <c r="K36" s="2290">
        <f>'Constant Prices'!K36/'Constant Prices'!K$76</f>
        <v>3.3337859817990096E-4</v>
      </c>
      <c r="L36" s="2290">
        <f>'Constant Prices'!L36/'Constant Prices'!L$76</f>
        <v>3.3715409997006282E-4</v>
      </c>
      <c r="M36" s="2290">
        <f>'Constant Prices'!M36/'Constant Prices'!M$76</f>
        <v>3.3392790006831592E-4</v>
      </c>
      <c r="N36" s="2290">
        <f>'Constant Prices'!N36/'Constant Prices'!N$76</f>
        <v>3.2301056116710122E-4</v>
      </c>
      <c r="O36" s="2290">
        <f>'Constant Prices'!O36/'Constant Prices'!O$76</f>
        <v>5.2324666018941659E-4</v>
      </c>
      <c r="P36" s="2290">
        <f>'Constant Prices'!P36/'Constant Prices'!P$76</f>
        <v>5.7210307522747802E-4</v>
      </c>
      <c r="Q36" s="2290">
        <f>'Constant Prices'!Q36/'Constant Prices'!Q$76</f>
        <v>7.5636927423028942E-4</v>
      </c>
      <c r="R36" s="2594">
        <f>'Constant Prices'!R36/'Constant Prices'!R$76</f>
        <v>6.8666741867325239E-4</v>
      </c>
      <c r="S36" s="3189">
        <f>'Constant Prices'!S36/'Constant Prices'!S$76</f>
        <v>5.7038374359827057E-4</v>
      </c>
      <c r="T36" s="3189">
        <f>'Constant Prices'!T36/'Constant Prices'!T$76</f>
        <v>5.1295917155992491E-4</v>
      </c>
      <c r="U36" s="1766"/>
    </row>
    <row r="37" spans="2:21" ht="36.75">
      <c r="B37" s="141" t="s">
        <v>840</v>
      </c>
      <c r="C37" s="2290">
        <f>'Constant Prices'!C37/'Constant Prices'!C$76</f>
        <v>2.8841658058156264E-4</v>
      </c>
      <c r="D37" s="2290">
        <f>'Constant Prices'!D37/'Constant Prices'!D$76</f>
        <v>2.7279394958947299E-4</v>
      </c>
      <c r="E37" s="2290">
        <f>'Constant Prices'!E37/'Constant Prices'!E$76</f>
        <v>2.4964389076204737E-4</v>
      </c>
      <c r="F37" s="2290">
        <f>'Constant Prices'!F37/'Constant Prices'!F$76</f>
        <v>2.0940601483187402E-4</v>
      </c>
      <c r="G37" s="2290">
        <f>'Constant Prices'!G37/'Constant Prices'!G$76</f>
        <v>2.331919791514346E-4</v>
      </c>
      <c r="H37" s="2290">
        <f>'Constant Prices'!H37/'Constant Prices'!H$76</f>
        <v>2.2694127662545692E-4</v>
      </c>
      <c r="I37" s="2290">
        <f>'Constant Prices'!I37/'Constant Prices'!I$76</f>
        <v>2.28714110582911E-4</v>
      </c>
      <c r="J37" s="2290">
        <f>'Constant Prices'!J37/'Constant Prices'!J$76</f>
        <v>2.1669456793960742E-4</v>
      </c>
      <c r="K37" s="2290">
        <f>'Constant Prices'!K37/'Constant Prices'!K$76</f>
        <v>2.1990211583338499E-4</v>
      </c>
      <c r="L37" s="2290">
        <f>'Constant Prices'!L37/'Constant Prices'!L$76</f>
        <v>2.0433279919473445E-4</v>
      </c>
      <c r="M37" s="2290">
        <f>'Constant Prices'!M37/'Constant Prices'!M$76</f>
        <v>1.9746750190427777E-4</v>
      </c>
      <c r="N37" s="2290">
        <f>'Constant Prices'!N37/'Constant Prices'!N$76</f>
        <v>2.3512505727930211E-4</v>
      </c>
      <c r="O37" s="2290">
        <f>'Constant Prices'!O37/'Constant Prices'!O$76</f>
        <v>1.9604436480594349E-4</v>
      </c>
      <c r="P37" s="2290">
        <f>'Constant Prices'!P37/'Constant Prices'!P$76</f>
        <v>2.063373162359318E-4</v>
      </c>
      <c r="Q37" s="2290">
        <f>'Constant Prices'!Q37/'Constant Prices'!Q$76</f>
        <v>2.5012112312346429E-4</v>
      </c>
      <c r="R37" s="2594">
        <f>'Constant Prices'!R37/'Constant Prices'!R$76</f>
        <v>2.5506637873988649E-4</v>
      </c>
      <c r="S37" s="3189">
        <f>'Constant Prices'!S37/'Constant Prices'!S$76</f>
        <v>2.2241272331153088E-4</v>
      </c>
      <c r="T37" s="3189">
        <f>'Constant Prices'!T37/'Constant Prices'!T$76</f>
        <v>2.9546092724185496E-4</v>
      </c>
      <c r="U37" s="1766"/>
    </row>
    <row r="38" spans="2:21" s="132" customFormat="1" ht="36.4">
      <c r="B38" s="141"/>
      <c r="C38" s="2288"/>
      <c r="D38" s="2288"/>
      <c r="E38" s="2288"/>
      <c r="F38" s="2288"/>
      <c r="G38" s="2288"/>
      <c r="H38" s="2288"/>
      <c r="I38" s="2288"/>
      <c r="J38" s="2288"/>
      <c r="K38" s="2288"/>
      <c r="L38" s="2288"/>
      <c r="M38" s="2288"/>
      <c r="N38" s="2288"/>
      <c r="O38" s="2288"/>
      <c r="P38" s="2288"/>
      <c r="Q38" s="2036"/>
      <c r="R38" s="2591"/>
      <c r="S38" s="3186"/>
      <c r="T38" s="3186"/>
      <c r="U38" s="137"/>
    </row>
    <row r="39" spans="2:21" ht="36.4">
      <c r="B39" s="138" t="s">
        <v>885</v>
      </c>
      <c r="C39" s="2288">
        <f>'Constant Prices'!C39/'Constant Prices'!C$76</f>
        <v>2.0178453552447222E-2</v>
      </c>
      <c r="D39" s="2288">
        <f>'Constant Prices'!D39/'Constant Prices'!D$76</f>
        <v>2.7091513866959658E-2</v>
      </c>
      <c r="E39" s="2288">
        <f>'Constant Prices'!E39/'Constant Prices'!E$76</f>
        <v>2.7192065490138456E-2</v>
      </c>
      <c r="F39" s="2288">
        <f>'Constant Prices'!F39/'Constant Prices'!F$76</f>
        <v>2.8829186262713045E-2</v>
      </c>
      <c r="G39" s="2288">
        <f>'Constant Prices'!G39/'Constant Prices'!G$76</f>
        <v>3.2309945726615705E-2</v>
      </c>
      <c r="H39" s="2288">
        <f>'Constant Prices'!H39/'Constant Prices'!H$76</f>
        <v>3.2338839428886247E-2</v>
      </c>
      <c r="I39" s="2288">
        <f>'Constant Prices'!I39/'Constant Prices'!I$76</f>
        <v>3.4680931914693382E-2</v>
      </c>
      <c r="J39" s="2288">
        <f>'Constant Prices'!J39/'Constant Prices'!J$76</f>
        <v>3.5639062463726875E-2</v>
      </c>
      <c r="K39" s="2288">
        <f>'Constant Prices'!K39/'Constant Prices'!K$76</f>
        <v>3.3635667351549423E-2</v>
      </c>
      <c r="L39" s="2288">
        <f>'Constant Prices'!L39/'Constant Prices'!L$76</f>
        <v>3.6568861224831085E-2</v>
      </c>
      <c r="M39" s="2288">
        <f>'Constant Prices'!M39/'Constant Prices'!M$76</f>
        <v>3.337957863201349E-2</v>
      </c>
      <c r="N39" s="2288">
        <f>'Constant Prices'!N39/'Constant Prices'!N$76</f>
        <v>3.1806916801100885E-2</v>
      </c>
      <c r="O39" s="2288">
        <f>'Constant Prices'!O39/'Constant Prices'!O$76</f>
        <v>3.6049579596998789E-2</v>
      </c>
      <c r="P39" s="2288">
        <f>'Constant Prices'!P39/'Constant Prices'!P$76</f>
        <v>3.670702423108517E-2</v>
      </c>
      <c r="Q39" s="2288">
        <f>'Constant Prices'!Q39/'Constant Prices'!Q$76</f>
        <v>4.0244418852801743E-2</v>
      </c>
      <c r="R39" s="2593">
        <f>'Constant Prices'!R39/'Constant Prices'!R$76</f>
        <v>4.0201730068067064E-2</v>
      </c>
      <c r="S39" s="3188">
        <f>'Constant Prices'!S39/'Constant Prices'!S$76</f>
        <v>4.4949532465214471E-2</v>
      </c>
      <c r="T39" s="3188">
        <f>'Constant Prices'!T39/'Constant Prices'!T$76</f>
        <v>4.5301742310872729E-2</v>
      </c>
      <c r="U39" s="1766"/>
    </row>
    <row r="40" spans="2:21" s="132" customFormat="1" ht="36.75">
      <c r="B40" s="142" t="s">
        <v>841</v>
      </c>
      <c r="C40" s="2290">
        <f>'Constant Prices'!C40/'Constant Prices'!C$76</f>
        <v>1.3641685390714123E-3</v>
      </c>
      <c r="D40" s="2290">
        <f>'Constant Prices'!D40/'Constant Prices'!D$76</f>
        <v>1.3328166129166143E-3</v>
      </c>
      <c r="E40" s="2290">
        <f>'Constant Prices'!E40/'Constant Prices'!E$76</f>
        <v>1.2603100664134244E-3</v>
      </c>
      <c r="F40" s="2290">
        <f>'Constant Prices'!F40/'Constant Prices'!F$76</f>
        <v>1.2636750330778474E-3</v>
      </c>
      <c r="G40" s="2290">
        <f>'Constant Prices'!G40/'Constant Prices'!G$76</f>
        <v>1.266722115083435E-3</v>
      </c>
      <c r="H40" s="2290">
        <f>'Constant Prices'!H40/'Constant Prices'!H$76</f>
        <v>1.2147152138788234E-3</v>
      </c>
      <c r="I40" s="2290">
        <f>'Constant Prices'!I40/'Constant Prices'!I$76</f>
        <v>1.2126189675289339E-3</v>
      </c>
      <c r="J40" s="2290">
        <f>'Constant Prices'!J40/'Constant Prices'!J$76</f>
        <v>1.2582810845990983E-3</v>
      </c>
      <c r="K40" s="2290">
        <f>'Constant Prices'!K40/'Constant Prices'!K$76</f>
        <v>1.2385282766385183E-3</v>
      </c>
      <c r="L40" s="2290">
        <f>'Constant Prices'!L40/'Constant Prices'!L$76</f>
        <v>1.2304469491333924E-3</v>
      </c>
      <c r="M40" s="2290">
        <f>'Constant Prices'!M40/'Constant Prices'!M$76</f>
        <v>1.1844541005433982E-3</v>
      </c>
      <c r="N40" s="2290">
        <f>'Constant Prices'!N40/'Constant Prices'!N$76</f>
        <v>9.8824578947093872E-4</v>
      </c>
      <c r="O40" s="2290">
        <f>'Constant Prices'!O40/'Constant Prices'!O$76</f>
        <v>9.8289062055043931E-4</v>
      </c>
      <c r="P40" s="2290">
        <f>'Constant Prices'!P40/'Constant Prices'!P$76</f>
        <v>8.5045036560169225E-4</v>
      </c>
      <c r="Q40" s="2290">
        <f>'Constant Prices'!Q40/'Constant Prices'!Q$76</f>
        <v>4.5518627156200428E-4</v>
      </c>
      <c r="R40" s="2594">
        <f>'Constant Prices'!R40/'Constant Prices'!R$76</f>
        <v>3.1167086651080864E-4</v>
      </c>
      <c r="S40" s="3189">
        <f>'Constant Prices'!S40/'Constant Prices'!S$76</f>
        <v>2.0259732388102448E-4</v>
      </c>
      <c r="T40" s="3189">
        <f>'Constant Prices'!T40/'Constant Prices'!T$76</f>
        <v>1.8401905003526963E-4</v>
      </c>
      <c r="U40" s="137"/>
    </row>
    <row r="41" spans="2:21" ht="36.75">
      <c r="B41" s="142" t="s">
        <v>842</v>
      </c>
      <c r="C41" s="2290">
        <f>'Constant Prices'!C41/'Constant Prices'!C$76</f>
        <v>2.06394251125866E-3</v>
      </c>
      <c r="D41" s="2290">
        <f>'Constant Prices'!D41/'Constant Prices'!D$76</f>
        <v>2.0359191952463098E-3</v>
      </c>
      <c r="E41" s="2290">
        <f>'Constant Prices'!E41/'Constant Prices'!E$76</f>
        <v>2.1903473683418983E-3</v>
      </c>
      <c r="F41" s="2290">
        <f>'Constant Prices'!F41/'Constant Prices'!F$76</f>
        <v>2.3463832168620366E-3</v>
      </c>
      <c r="G41" s="2290">
        <f>'Constant Prices'!G41/'Constant Prices'!G$76</f>
        <v>2.8410083138317352E-3</v>
      </c>
      <c r="H41" s="2290">
        <f>'Constant Prices'!H41/'Constant Prices'!H$76</f>
        <v>2.8239211513892944E-3</v>
      </c>
      <c r="I41" s="2290">
        <f>'Constant Prices'!I41/'Constant Prices'!I$76</f>
        <v>2.5472874252948641E-3</v>
      </c>
      <c r="J41" s="2290">
        <f>'Constant Prices'!J41/'Constant Prices'!J$76</f>
        <v>2.618335176710106E-3</v>
      </c>
      <c r="K41" s="2290">
        <f>'Constant Prices'!K41/'Constant Prices'!K$76</f>
        <v>2.5419333197768592E-3</v>
      </c>
      <c r="L41" s="2290">
        <f>'Constant Prices'!L41/'Constant Prices'!L$76</f>
        <v>2.5567519438153179E-3</v>
      </c>
      <c r="M41" s="2290">
        <f>'Constant Prices'!M41/'Constant Prices'!M$76</f>
        <v>2.338246130484568E-3</v>
      </c>
      <c r="N41" s="2290">
        <f>'Constant Prices'!N41/'Constant Prices'!N$76</f>
        <v>2.0860611842427588E-3</v>
      </c>
      <c r="O41" s="2290">
        <f>'Constant Prices'!O41/'Constant Prices'!O$76</f>
        <v>1.9212509373128322E-3</v>
      </c>
      <c r="P41" s="2290">
        <f>'Constant Prices'!P41/'Constant Prices'!P$76</f>
        <v>1.4758939498571526E-3</v>
      </c>
      <c r="Q41" s="2290">
        <f>'Constant Prices'!Q41/'Constant Prices'!Q$76</f>
        <v>1.460780397263313E-3</v>
      </c>
      <c r="R41" s="2594">
        <f>'Constant Prices'!R41/'Constant Prices'!R$76</f>
        <v>1.2118393892761403E-3</v>
      </c>
      <c r="S41" s="3189">
        <f>'Constant Prices'!S41/'Constant Prices'!S$76</f>
        <v>1.1275886154764531E-3</v>
      </c>
      <c r="T41" s="3189">
        <f>'Constant Prices'!T41/'Constant Prices'!T$76</f>
        <v>9.727002348375852E-4</v>
      </c>
      <c r="U41" s="1766"/>
    </row>
    <row r="42" spans="2:21" ht="36.75">
      <c r="B42" s="142" t="s">
        <v>0</v>
      </c>
      <c r="C42" s="2290">
        <f>'Constant Prices'!C42/'Constant Prices'!C$76</f>
        <v>1.6062670855077472E-2</v>
      </c>
      <c r="D42" s="2290">
        <f>'Constant Prices'!D42/'Constant Prices'!D$76</f>
        <v>1.7278117648730437E-2</v>
      </c>
      <c r="E42" s="2290">
        <f>'Constant Prices'!E42/'Constant Prices'!E$76</f>
        <v>2.2700536904107033E-2</v>
      </c>
      <c r="F42" s="2290">
        <f>'Constant Prices'!F42/'Constant Prices'!F$76</f>
        <v>2.4902672274046189E-2</v>
      </c>
      <c r="G42" s="2290">
        <f>'Constant Prices'!G42/'Constant Prices'!G$76</f>
        <v>2.7981812056001584E-2</v>
      </c>
      <c r="H42" s="2290">
        <f>'Constant Prices'!H42/'Constant Prices'!H$76</f>
        <v>2.8031705424636413E-2</v>
      </c>
      <c r="I42" s="2290">
        <f>'Constant Prices'!I42/'Constant Prices'!I$76</f>
        <v>3.0111102714568346E-2</v>
      </c>
      <c r="J42" s="2290">
        <f>'Constant Prices'!J42/'Constant Prices'!J$76</f>
        <v>3.0915570053776691E-2</v>
      </c>
      <c r="K42" s="2290">
        <f>'Constant Prices'!K42/'Constant Prices'!K$76</f>
        <v>2.9225670435415525E-2</v>
      </c>
      <c r="L42" s="2290">
        <f>'Constant Prices'!L42/'Constant Prices'!L$76</f>
        <v>3.1907056614164667E-2</v>
      </c>
      <c r="M42" s="2290">
        <f>'Constant Prices'!M42/'Constant Prices'!M$76</f>
        <v>2.9087643881607068E-2</v>
      </c>
      <c r="N42" s="2290">
        <f>'Constant Prices'!N42/'Constant Prices'!N$76</f>
        <v>2.7958972955957215E-2</v>
      </c>
      <c r="O42" s="2290">
        <f>'Constant Prices'!O42/'Constant Prices'!O$76</f>
        <v>3.2327523338578315E-2</v>
      </c>
      <c r="P42" s="2290">
        <f>'Constant Prices'!P42/'Constant Prices'!P$76</f>
        <v>3.3538260340318954E-2</v>
      </c>
      <c r="Q42" s="2290">
        <f>'Constant Prices'!Q42/'Constant Prices'!Q$76</f>
        <v>3.7467308455384839E-2</v>
      </c>
      <c r="R42" s="2594">
        <f>'Constant Prices'!R42/'Constant Prices'!R$76</f>
        <v>3.7823306091029373E-2</v>
      </c>
      <c r="S42" s="3189">
        <f>'Constant Prices'!S42/'Constant Prices'!S$76</f>
        <v>4.2905457630724439E-2</v>
      </c>
      <c r="T42" s="3189">
        <f>'Constant Prices'!T42/'Constant Prices'!T$76</f>
        <v>4.3298958298805541E-2</v>
      </c>
      <c r="U42" s="1766"/>
    </row>
    <row r="43" spans="2:21" ht="36.75">
      <c r="B43" s="142" t="s">
        <v>843</v>
      </c>
      <c r="C43" s="2290">
        <f>'Constant Prices'!C43/'Constant Prices'!C$76</f>
        <v>6.8767164703967894E-4</v>
      </c>
      <c r="D43" s="2290">
        <f>'Constant Prices'!D43/'Constant Prices'!D$76</f>
        <v>8.1765911958905891E-4</v>
      </c>
      <c r="E43" s="2290">
        <f>'Constant Prices'!E43/'Constant Prices'!E$76</f>
        <v>7.7654133316980756E-4</v>
      </c>
      <c r="F43" s="2290">
        <f>'Constant Prices'!F43/'Constant Prices'!F$76</f>
        <v>7.6749593811144907E-4</v>
      </c>
      <c r="G43" s="2290">
        <f>'Constant Prices'!G43/'Constant Prices'!G$76</f>
        <v>7.9350236271934996E-4</v>
      </c>
      <c r="H43" s="2290">
        <f>'Constant Prices'!H43/'Constant Prices'!H$76</f>
        <v>8.2043794016053366E-4</v>
      </c>
      <c r="I43" s="2290">
        <f>'Constant Prices'!I43/'Constant Prices'!I$76</f>
        <v>8.078061189456837E-4</v>
      </c>
      <c r="J43" s="2290">
        <f>'Constant Prices'!J43/'Constant Prices'!J$76</f>
        <v>8.0435777659146758E-4</v>
      </c>
      <c r="K43" s="2290">
        <f>'Constant Prices'!K43/'Constant Prices'!K$76</f>
        <v>7.9935512952398308E-4</v>
      </c>
      <c r="L43" s="2290">
        <f>'Constant Prices'!L43/'Constant Prices'!L$76</f>
        <v>7.7230811638009543E-4</v>
      </c>
      <c r="M43" s="2290">
        <f>'Constant Prices'!M43/'Constant Prices'!M$76</f>
        <v>7.6896166699903269E-4</v>
      </c>
      <c r="N43" s="2290">
        <f>'Constant Prices'!N43/'Constant Prices'!N$76</f>
        <v>7.7342189889889883E-4</v>
      </c>
      <c r="O43" s="2290">
        <f>'Constant Prices'!O43/'Constant Prices'!O$76</f>
        <v>8.1768950552904552E-4</v>
      </c>
      <c r="P43" s="2290">
        <f>'Constant Prices'!P43/'Constant Prices'!P$76</f>
        <v>8.4304455223701375E-4</v>
      </c>
      <c r="Q43" s="2290">
        <f>'Constant Prices'!Q43/'Constant Prices'!Q$76</f>
        <v>8.6836407490203449E-4</v>
      </c>
      <c r="R43" s="2594">
        <f>'Constant Prices'!R43/'Constant Prices'!R$76</f>
        <v>8.4897003982146221E-4</v>
      </c>
      <c r="S43" s="3189">
        <f>'Constant Prices'!S43/'Constant Prices'!S$76</f>
        <v>7.2092586107172214E-4</v>
      </c>
      <c r="T43" s="3189">
        <f>'Constant Prices'!T43/'Constant Prices'!T$76</f>
        <v>8.3785661015175778E-4</v>
      </c>
      <c r="U43" s="1766"/>
    </row>
    <row r="44" spans="2:21" s="132" customFormat="1" ht="36.4">
      <c r="B44" s="142"/>
      <c r="C44" s="2288"/>
      <c r="D44" s="2288"/>
      <c r="E44" s="2288"/>
      <c r="F44" s="2288"/>
      <c r="G44" s="2288"/>
      <c r="H44" s="2288"/>
      <c r="I44" s="2288"/>
      <c r="J44" s="2288"/>
      <c r="K44" s="2288"/>
      <c r="L44" s="2288"/>
      <c r="M44" s="2288"/>
      <c r="N44" s="2288"/>
      <c r="O44" s="2288"/>
      <c r="P44" s="2288"/>
      <c r="Q44" s="2036"/>
      <c r="R44" s="2591"/>
      <c r="S44" s="3186"/>
      <c r="T44" s="3186"/>
      <c r="U44" s="137"/>
    </row>
    <row r="45" spans="2:21" ht="34.25" customHeight="1">
      <c r="B45" s="135" t="str">
        <f>'GDP  nominal prices'!B45</f>
        <v>Financial Services</v>
      </c>
      <c r="C45" s="2288">
        <f>'Constant Prices'!C45/'Constant Prices'!C$76</f>
        <v>7.73162385758219E-2</v>
      </c>
      <c r="D45" s="2288">
        <f>'Constant Prices'!D45/'Constant Prices'!D$76</f>
        <v>8.4889823845647139E-2</v>
      </c>
      <c r="E45" s="2288">
        <f>'Constant Prices'!E45/'Constant Prices'!E$76</f>
        <v>8.3680991534691551E-2</v>
      </c>
      <c r="F45" s="2288">
        <f>'Constant Prices'!F45/'Constant Prices'!F$76</f>
        <v>8.4219621073419584E-2</v>
      </c>
      <c r="G45" s="2288">
        <f>'Constant Prices'!G45/'Constant Prices'!G$76</f>
        <v>7.4911429215047814E-2</v>
      </c>
      <c r="H45" s="2288">
        <f>'Constant Prices'!H45/'Constant Prices'!H$76</f>
        <v>7.2275439698492469E-2</v>
      </c>
      <c r="I45" s="2288">
        <f>'Constant Prices'!I45/'Constant Prices'!I$76</f>
        <v>7.0663601171176496E-2</v>
      </c>
      <c r="J45" s="2288">
        <f>'Constant Prices'!J45/'Constant Prices'!J$76</f>
        <v>7.1788084782129183E-2</v>
      </c>
      <c r="K45" s="2288">
        <f>'Constant Prices'!K45/'Constant Prices'!K$76</f>
        <v>6.2159862262769386E-2</v>
      </c>
      <c r="L45" s="2288">
        <f>'Constant Prices'!L45/'Constant Prices'!L$76</f>
        <v>6.4271875370685225E-2</v>
      </c>
      <c r="M45" s="2288">
        <f>'Constant Prices'!M45/'Constant Prices'!M$76</f>
        <v>7.3789001047214767E-2</v>
      </c>
      <c r="N45" s="2288">
        <f>'Constant Prices'!N45/'Constant Prices'!N$76</f>
        <v>7.1540472856042953E-2</v>
      </c>
      <c r="O45" s="2288">
        <f>'Constant Prices'!O45/'Constant Prices'!O$76</f>
        <v>6.9163914769124743E-2</v>
      </c>
      <c r="P45" s="2288">
        <f>'Constant Prices'!P45/'Constant Prices'!P$76</f>
        <v>7.2789855374981671E-2</v>
      </c>
      <c r="Q45" s="2288">
        <f>'Constant Prices'!Q45/'Constant Prices'!Q$76</f>
        <v>8.6966745299210918E-2</v>
      </c>
      <c r="R45" s="2593">
        <f>'Constant Prices'!R45/'Constant Prices'!R$76</f>
        <v>7.825214384585695E-2</v>
      </c>
      <c r="S45" s="3188">
        <f>'Constant Prices'!S45/'Constant Prices'!S$76</f>
        <v>6.2958739052662693E-2</v>
      </c>
      <c r="T45" s="3188">
        <f>'Constant Prices'!T45/'Constant Prices'!T$76</f>
        <v>6.2510683753173701E-2</v>
      </c>
      <c r="U45" s="1766"/>
    </row>
    <row r="46" spans="2:21" ht="36.75">
      <c r="B46" s="143" t="str">
        <f>'Constant Prices'!B46</f>
        <v>Financial Intermediation</v>
      </c>
      <c r="C46" s="2290">
        <f>'Constant Prices'!C46/'Constant Prices'!C$76</f>
        <v>6.3513702544907916E-2</v>
      </c>
      <c r="D46" s="2290">
        <f>'Constant Prices'!D46/'Constant Prices'!D$76</f>
        <v>6.9099877537345783E-2</v>
      </c>
      <c r="E46" s="2290">
        <f>'Constant Prices'!E46/'Constant Prices'!E$76</f>
        <v>6.9137196179102162E-2</v>
      </c>
      <c r="F46" s="2290">
        <f>'Constant Prices'!F46/'Constant Prices'!F$76</f>
        <v>6.821603602373659E-2</v>
      </c>
      <c r="G46" s="2290">
        <f>'Constant Prices'!G46/'Constant Prices'!G$76</f>
        <v>6.3283587169808239E-2</v>
      </c>
      <c r="H46" s="2290">
        <f>'Constant Prices'!H46/'Constant Prices'!H$76</f>
        <v>6.1749498781257448E-2</v>
      </c>
      <c r="I46" s="2290">
        <f>'Constant Prices'!I46/'Constant Prices'!I$76</f>
        <v>6.1515807803636573E-2</v>
      </c>
      <c r="J46" s="2290">
        <f>'Constant Prices'!J46/'Constant Prices'!J$76</f>
        <v>6.337178938924759E-2</v>
      </c>
      <c r="K46" s="2290">
        <f>'Constant Prices'!K46/'Constant Prices'!K$76</f>
        <v>5.6693836490232935E-2</v>
      </c>
      <c r="L46" s="2290">
        <f>'Constant Prices'!L46/'Constant Prices'!L$76</f>
        <v>5.6654331675597719E-2</v>
      </c>
      <c r="M46" s="2290">
        <f>'Constant Prices'!M46/'Constant Prices'!M$76</f>
        <v>6.4429834700611366E-2</v>
      </c>
      <c r="N46" s="2290">
        <f>'Constant Prices'!N46/'Constant Prices'!N$76</f>
        <v>6.2325201952167474E-2</v>
      </c>
      <c r="O46" s="2290">
        <f>'Constant Prices'!O46/'Constant Prices'!O$76</f>
        <v>6.0065209953291239E-2</v>
      </c>
      <c r="P46" s="2290">
        <f>'Constant Prices'!P46/'Constant Prices'!P$76</f>
        <v>6.321080364996845E-2</v>
      </c>
      <c r="Q46" s="2290">
        <f>'Constant Prices'!Q46/'Constant Prices'!Q$76</f>
        <v>7.4532779677471794E-2</v>
      </c>
      <c r="R46" s="2594">
        <f>'Constant Prices'!R46/'Constant Prices'!R$76</f>
        <v>6.6845760503492252E-2</v>
      </c>
      <c r="S46" s="3189">
        <f>'Constant Prices'!S46/'Constant Prices'!S$76</f>
        <v>5.3497541840122023E-2</v>
      </c>
      <c r="T46" s="3189">
        <f>'Constant Prices'!T46/'Constant Prices'!T$76</f>
        <v>5.3171487131270241E-2</v>
      </c>
      <c r="U46" s="1766"/>
    </row>
    <row r="47" spans="2:21" ht="36.75">
      <c r="B47" s="144" t="str">
        <f>'Constant Prices'!B47</f>
        <v xml:space="preserve">Insurance </v>
      </c>
      <c r="C47" s="2290">
        <f>'Constant Prices'!C47/'Constant Prices'!C$76</f>
        <v>9.3255873093921783E-3</v>
      </c>
      <c r="D47" s="2290">
        <f>'Constant Prices'!D47/'Constant Prices'!D$76</f>
        <v>9.4650626646569317E-3</v>
      </c>
      <c r="E47" s="2290">
        <f>'Constant Prices'!E47/'Constant Prices'!E$76</f>
        <v>8.680760164423592E-3</v>
      </c>
      <c r="F47" s="2290">
        <f>'Constant Prices'!F47/'Constant Prices'!F$76</f>
        <v>1.0826506750523599E-2</v>
      </c>
      <c r="G47" s="2290">
        <f>'Constant Prices'!G47/'Constant Prices'!G$76</f>
        <v>8.7685341058964753E-3</v>
      </c>
      <c r="H47" s="2290">
        <f>'Constant Prices'!H47/'Constant Prices'!H$76</f>
        <v>7.9311838411376661E-3</v>
      </c>
      <c r="I47" s="2290">
        <f>'Constant Prices'!I47/'Constant Prices'!I$76</f>
        <v>7.7376526977692281E-3</v>
      </c>
      <c r="J47" s="2290">
        <f>'Constant Prices'!J47/'Constant Prices'!J$76</f>
        <v>8.2266526495973109E-3</v>
      </c>
      <c r="K47" s="2290">
        <f>'Constant Prices'!K47/'Constant Prices'!K$76</f>
        <v>7.2744113405978326E-3</v>
      </c>
      <c r="L47" s="2290">
        <f>'Constant Prices'!L47/'Constant Prices'!L$76</f>
        <v>9.2055201439286277E-3</v>
      </c>
      <c r="M47" s="2290">
        <f>'Constant Prices'!M47/'Constant Prices'!M$76</f>
        <v>9.3591663466033904E-3</v>
      </c>
      <c r="N47" s="2290">
        <f>'Constant Prices'!N47/'Constant Prices'!N$76</f>
        <v>9.215270903875479E-3</v>
      </c>
      <c r="O47" s="2290">
        <f>'Constant Prices'!O47/'Constant Prices'!O$76</f>
        <v>9.0987048158335006E-3</v>
      </c>
      <c r="P47" s="2290">
        <f>'Constant Prices'!P47/'Constant Prices'!P$76</f>
        <v>9.5790517250132212E-3</v>
      </c>
      <c r="Q47" s="2290">
        <f>'Constant Prices'!Q47/'Constant Prices'!Q$76</f>
        <v>1.2433965621739134E-2</v>
      </c>
      <c r="R47" s="2594">
        <f>'Constant Prices'!R47/'Constant Prices'!R$76</f>
        <v>1.1406383342364709E-2</v>
      </c>
      <c r="S47" s="3189">
        <f>'Constant Prices'!S47/'Constant Prices'!S$76</f>
        <v>9.4611972125406684E-3</v>
      </c>
      <c r="T47" s="3189">
        <f>'Constant Prices'!T47/'Constant Prices'!T$76</f>
        <v>9.3391966219034551E-3</v>
      </c>
      <c r="U47" s="1766"/>
    </row>
    <row r="48" spans="2:21" ht="36.4">
      <c r="B48" s="136"/>
      <c r="C48" s="2288"/>
      <c r="D48" s="2288"/>
      <c r="E48" s="2288"/>
      <c r="F48" s="2288"/>
      <c r="G48" s="2288"/>
      <c r="H48" s="2288"/>
      <c r="I48" s="2288"/>
      <c r="J48" s="2288"/>
      <c r="K48" s="2288"/>
      <c r="L48" s="2288"/>
      <c r="M48" s="2288"/>
      <c r="N48" s="2288"/>
      <c r="O48" s="2288"/>
      <c r="P48" s="2288"/>
      <c r="Q48" s="2289"/>
      <c r="R48" s="2591"/>
      <c r="S48" s="3186"/>
      <c r="T48" s="3186"/>
      <c r="U48" s="1766"/>
    </row>
    <row r="49" spans="2:21" s="132" customFormat="1">
      <c r="B49" s="140" t="s">
        <v>844</v>
      </c>
      <c r="C49" s="2288">
        <f>'Constant Prices'!C49/'Constant Prices'!C$76</f>
        <v>0.11291779059427377</v>
      </c>
      <c r="D49" s="2288">
        <f>'Constant Prices'!D49/'Constant Prices'!D$76</f>
        <v>0.11236000824705891</v>
      </c>
      <c r="E49" s="2288">
        <f>'Constant Prices'!E49/'Constant Prices'!E$76</f>
        <v>0.10890997991998873</v>
      </c>
      <c r="F49" s="2288">
        <f>'Constant Prices'!F49/'Constant Prices'!F$76</f>
        <v>0.11189232845070381</v>
      </c>
      <c r="G49" s="2288">
        <f>'Constant Prices'!G49/'Constant Prices'!G$76</f>
        <v>0.11300114931862396</v>
      </c>
      <c r="H49" s="2288">
        <f>'Constant Prices'!H49/'Constant Prices'!H$76</f>
        <v>0.10854997756174382</v>
      </c>
      <c r="I49" s="2288">
        <f>'Constant Prices'!I49/'Constant Prices'!I$76</f>
        <v>0.10868626696909908</v>
      </c>
      <c r="J49" s="2288">
        <f>'Constant Prices'!J49/'Constant Prices'!J$76</f>
        <v>0.11197662215989707</v>
      </c>
      <c r="K49" s="2288">
        <f>'Constant Prices'!K49/'Constant Prices'!K$76</f>
        <v>0.11286303597975228</v>
      </c>
      <c r="L49" s="2288">
        <f>'Constant Prices'!L49/'Constant Prices'!L$76</f>
        <v>0.11262145946379742</v>
      </c>
      <c r="M49" s="2288">
        <f>'Constant Prices'!M49/'Constant Prices'!M$76</f>
        <v>0.10852241737310413</v>
      </c>
      <c r="N49" s="2288">
        <f>'Constant Prices'!N49/'Constant Prices'!N$76</f>
        <v>0.10520777982571265</v>
      </c>
      <c r="O49" s="2288">
        <f>'Constant Prices'!O49/'Constant Prices'!O$76</f>
        <v>0.10307827894975186</v>
      </c>
      <c r="P49" s="2288">
        <f>'Constant Prices'!P49/'Constant Prices'!P$76</f>
        <v>0.1026457531141363</v>
      </c>
      <c r="Q49" s="2289">
        <f>'Constant Prices'!Q49/'Constant Prices'!Q$76</f>
        <v>0.13957483732626588</v>
      </c>
      <c r="R49" s="2591">
        <f>'Constant Prices'!R49/'Constant Prices'!R$76</f>
        <v>0.12589795726972197</v>
      </c>
      <c r="S49" s="3186">
        <f>'Constant Prices'!S49/'Constant Prices'!S$76</f>
        <v>0.10565609021007598</v>
      </c>
      <c r="T49" s="3186">
        <f>'Constant Prices'!T49/'Constant Prices'!T$76</f>
        <v>0.10449152275203329</v>
      </c>
      <c r="U49" s="137"/>
    </row>
    <row r="50" spans="2:21" s="132" customFormat="1">
      <c r="B50" s="140" t="s">
        <v>845</v>
      </c>
      <c r="C50" s="2288">
        <f>'Constant Prices'!C50/'Constant Prices'!C$76</f>
        <v>1.1095621170209296E-2</v>
      </c>
      <c r="D50" s="2288">
        <f>'Constant Prices'!D50/'Constant Prices'!D$76</f>
        <v>9.9839660978798053E-3</v>
      </c>
      <c r="E50" s="2288">
        <f>'Constant Prices'!E50/'Constant Prices'!E$76</f>
        <v>1.0259221305211621E-2</v>
      </c>
      <c r="F50" s="2288">
        <f>'Constant Prices'!F50/'Constant Prices'!F$76</f>
        <v>1.0791773345415291E-2</v>
      </c>
      <c r="G50" s="2288">
        <f>'Constant Prices'!G50/'Constant Prices'!G$76</f>
        <v>1.1257498818698544E-2</v>
      </c>
      <c r="H50" s="2288">
        <f>'Constant Prices'!H50/'Constant Prices'!H$76</f>
        <v>1.0705462559944789E-2</v>
      </c>
      <c r="I50" s="2288">
        <f>'Constant Prices'!I50/'Constant Prices'!I$76</f>
        <v>1.0774320406727109E-2</v>
      </c>
      <c r="J50" s="2288">
        <f>'Constant Prices'!J50/'Constant Prices'!J$76</f>
        <v>1.0755623845436157E-2</v>
      </c>
      <c r="K50" s="2288">
        <f>'Constant Prices'!K50/'Constant Prices'!K$76</f>
        <v>1.0589560659925034E-2</v>
      </c>
      <c r="L50" s="2288">
        <f>'Constant Prices'!L50/'Constant Prices'!L$76</f>
        <v>1.0843091730507355E-2</v>
      </c>
      <c r="M50" s="2288">
        <f>'Constant Prices'!M50/'Constant Prices'!M$76</f>
        <v>1.0723504892644033E-2</v>
      </c>
      <c r="N50" s="2288">
        <f>'Constant Prices'!N50/'Constant Prices'!N$76</f>
        <v>9.9497196626891545E-3</v>
      </c>
      <c r="O50" s="2288">
        <f>'Constant Prices'!O50/'Constant Prices'!O$76</f>
        <v>9.5141708050560034E-3</v>
      </c>
      <c r="P50" s="2288">
        <f>'Constant Prices'!P50/'Constant Prices'!P$76</f>
        <v>8.4045386247304146E-3</v>
      </c>
      <c r="Q50" s="2288">
        <f>'Constant Prices'!Q50/'Constant Prices'!Q$76</f>
        <v>9.2205143478227385E-3</v>
      </c>
      <c r="R50" s="2593">
        <f>'Constant Prices'!R50/'Constant Prices'!R$76</f>
        <v>8.3221218344751643E-3</v>
      </c>
      <c r="S50" s="3188">
        <f>'Constant Prices'!S50/'Constant Prices'!S$76</f>
        <v>8.2722918529677374E-3</v>
      </c>
      <c r="T50" s="3188">
        <f>'Constant Prices'!T50/'Constant Prices'!T$76</f>
        <v>9.007575156733439E-3</v>
      </c>
      <c r="U50" s="137"/>
    </row>
    <row r="51" spans="2:21" s="132" customFormat="1">
      <c r="B51" s="140" t="s">
        <v>919</v>
      </c>
      <c r="C51" s="2288">
        <f>'Constant Prices'!C51/'Constant Prices'!C$76</f>
        <v>4.8387214460325493E-4</v>
      </c>
      <c r="D51" s="2288">
        <f>'Constant Prices'!D51/'Constant Prices'!D$76</f>
        <v>6.7768017593326324E-4</v>
      </c>
      <c r="E51" s="2288">
        <f>'Constant Prices'!E51/'Constant Prices'!E$76</f>
        <v>7.1731679704095403E-4</v>
      </c>
      <c r="F51" s="2288">
        <f>'Constant Prices'!F51/'Constant Prices'!F$76</f>
        <v>6.5412772340267707E-4</v>
      </c>
      <c r="G51" s="2288">
        <f>'Constant Prices'!G51/'Constant Prices'!G$76</f>
        <v>6.1231981511915723E-4</v>
      </c>
      <c r="H51" s="2288">
        <f>'Constant Prices'!H51/'Constant Prices'!H$76</f>
        <v>5.9505482837486385E-4</v>
      </c>
      <c r="I51" s="2288">
        <f>'Constant Prices'!I51/'Constant Prices'!I$76</f>
        <v>5.4109295258568727E-4</v>
      </c>
      <c r="J51" s="2288">
        <f>'Constant Prices'!J51/'Constant Prices'!J$76</f>
        <v>4.7862637584621939E-4</v>
      </c>
      <c r="K51" s="2288">
        <f>'Constant Prices'!K51/'Constant Prices'!K$76</f>
        <v>4.441203793576571E-4</v>
      </c>
      <c r="L51" s="2288">
        <f>'Constant Prices'!L51/'Constant Prices'!L$76</f>
        <v>5.11687342837279E-4</v>
      </c>
      <c r="M51" s="2288">
        <f>'Constant Prices'!M51/'Constant Prices'!M$76</f>
        <v>4.7718567793182041E-4</v>
      </c>
      <c r="N51" s="2288">
        <f>'Constant Prices'!N51/'Constant Prices'!N$76</f>
        <v>4.2314947859136418E-4</v>
      </c>
      <c r="O51" s="2288">
        <f>'Constant Prices'!O51/'Constant Prices'!O$76</f>
        <v>5.3876123880363324E-4</v>
      </c>
      <c r="P51" s="2288">
        <f>'Constant Prices'!P51/'Constant Prices'!P$76</f>
        <v>5.2911066885984279E-4</v>
      </c>
      <c r="Q51" s="2288">
        <f>'Constant Prices'!Q51/'Constant Prices'!Q$76</f>
        <v>5.1870210721357223E-4</v>
      </c>
      <c r="R51" s="2593">
        <f>'Constant Prices'!R51/'Constant Prices'!R$76</f>
        <v>4.738168606338404E-4</v>
      </c>
      <c r="S51" s="3188">
        <f>'Constant Prices'!S51/'Constant Prices'!S$76</f>
        <v>5.0889767326763133E-4</v>
      </c>
      <c r="T51" s="3188">
        <f>'Constant Prices'!T51/'Constant Prices'!T$76</f>
        <v>4.8120829544231303E-4</v>
      </c>
      <c r="U51" s="137"/>
    </row>
    <row r="52" spans="2:21" s="132" customFormat="1">
      <c r="B52" s="140" t="s">
        <v>921</v>
      </c>
      <c r="C52" s="2288">
        <f>'Constant Prices'!C52/'Constant Prices'!C$76</f>
        <v>8.754629127813161E-3</v>
      </c>
      <c r="D52" s="2288">
        <f>'Constant Prices'!D52/'Constant Prices'!D$76</f>
        <v>1.066949741028805E-2</v>
      </c>
      <c r="E52" s="2288">
        <f>'Constant Prices'!E52/'Constant Prices'!E$76</f>
        <v>1.0693824198695604E-2</v>
      </c>
      <c r="F52" s="2288">
        <f>'Constant Prices'!F52/'Constant Prices'!F$76</f>
        <v>1.1313230824238697E-2</v>
      </c>
      <c r="G52" s="2288">
        <f>'Constant Prices'!G52/'Constant Prices'!G$76</f>
        <v>1.1293170442014767E-2</v>
      </c>
      <c r="H52" s="2288">
        <f>'Constant Prices'!H52/'Constant Prices'!H$76</f>
        <v>1.0672917072051508E-2</v>
      </c>
      <c r="I52" s="2288">
        <f>'Constant Prices'!I52/'Constant Prices'!I$76</f>
        <v>1.0004761713814304E-2</v>
      </c>
      <c r="J52" s="2288">
        <f>'Constant Prices'!J52/'Constant Prices'!J$76</f>
        <v>9.9631365311279984E-3</v>
      </c>
      <c r="K52" s="2288">
        <f>'Constant Prices'!K52/'Constant Prices'!K$76</f>
        <v>1.0390062175350405E-2</v>
      </c>
      <c r="L52" s="2288">
        <f>'Constant Prices'!L52/'Constant Prices'!L$76</f>
        <v>1.1328026538327427E-2</v>
      </c>
      <c r="M52" s="2288">
        <f>'Constant Prices'!M52/'Constant Prices'!M$76</f>
        <v>1.0659025008219311E-2</v>
      </c>
      <c r="N52" s="2288">
        <f>'Constant Prices'!N52/'Constant Prices'!N$76</f>
        <v>1.1720507837490471E-2</v>
      </c>
      <c r="O52" s="2288">
        <f>'Constant Prices'!O52/'Constant Prices'!O$76</f>
        <v>1.2419867396890157E-2</v>
      </c>
      <c r="P52" s="2288">
        <f>'Constant Prices'!P52/'Constant Prices'!P$76</f>
        <v>1.251107796362325E-2</v>
      </c>
      <c r="Q52" s="2288">
        <f>'Constant Prices'!Q52/'Constant Prices'!Q$76</f>
        <v>5.9473235710838079E-3</v>
      </c>
      <c r="R52" s="2593">
        <f>'Constant Prices'!R52/'Constant Prices'!R$76</f>
        <v>4.6295886627627358E-3</v>
      </c>
      <c r="S52" s="3188">
        <f>'Constant Prices'!S52/'Constant Prices'!S$76</f>
        <v>8.6378803202717801E-3</v>
      </c>
      <c r="T52" s="3188">
        <f>'Constant Prices'!T52/'Constant Prices'!T$76</f>
        <v>9.8160796650820937E-3</v>
      </c>
      <c r="U52" s="137"/>
    </row>
    <row r="53" spans="2:21" s="132" customFormat="1">
      <c r="B53" s="140" t="s">
        <v>920</v>
      </c>
      <c r="C53" s="2288">
        <f>'Constant Prices'!C53/'Constant Prices'!C$76</f>
        <v>1.3755888131628107E-2</v>
      </c>
      <c r="D53" s="2288">
        <f>'Constant Prices'!D53/'Constant Prices'!D$76</f>
        <v>1.5775160886439696E-2</v>
      </c>
      <c r="E53" s="2288">
        <f>'Constant Prices'!E53/'Constant Prices'!E$76</f>
        <v>1.7064720602223551E-2</v>
      </c>
      <c r="F53" s="2288">
        <f>'Constant Prices'!F53/'Constant Prices'!F$76</f>
        <v>1.814343152763509E-2</v>
      </c>
      <c r="G53" s="2288">
        <f>'Constant Prices'!G53/'Constant Prices'!G$76</f>
        <v>1.8264247610270866E-2</v>
      </c>
      <c r="H53" s="2288">
        <f>'Constant Prices'!H53/'Constant Prices'!H$76</f>
        <v>1.8686225785545966E-2</v>
      </c>
      <c r="I53" s="2288">
        <f>'Constant Prices'!I53/'Constant Prices'!I$76</f>
        <v>1.8796346605781153E-2</v>
      </c>
      <c r="J53" s="2288">
        <f>'Constant Prices'!J53/'Constant Prices'!J$76</f>
        <v>1.9194741040982146E-2</v>
      </c>
      <c r="K53" s="2288">
        <f>'Constant Prices'!K53/'Constant Prices'!K$76</f>
        <v>1.9647232875941417E-2</v>
      </c>
      <c r="L53" s="2288">
        <f>'Constant Prices'!L53/'Constant Prices'!L$76</f>
        <v>2.1258864883828686E-2</v>
      </c>
      <c r="M53" s="2288">
        <f>'Constant Prices'!M53/'Constant Prices'!M$76</f>
        <v>2.278474071458567E-2</v>
      </c>
      <c r="N53" s="2288">
        <f>'Constant Prices'!N53/'Constant Prices'!N$76</f>
        <v>2.235343535115215E-2</v>
      </c>
      <c r="O53" s="2288">
        <f>'Constant Prices'!O53/'Constant Prices'!O$76</f>
        <v>2.2845099502846071E-2</v>
      </c>
      <c r="P53" s="2288">
        <f>'Constant Prices'!P53/'Constant Prices'!P$76</f>
        <v>2.2504729974101398E-2</v>
      </c>
      <c r="Q53" s="2288">
        <f>'Constant Prices'!Q53/'Constant Prices'!Q$76</f>
        <v>2.1636783915698544E-2</v>
      </c>
      <c r="R53" s="2593">
        <f>'Constant Prices'!R53/'Constant Prices'!R$76</f>
        <v>2.1941624481590802E-2</v>
      </c>
      <c r="S53" s="3188">
        <f>'Constant Prices'!S53/'Constant Prices'!S$76</f>
        <v>1.9422328258755114E-2</v>
      </c>
      <c r="T53" s="3188">
        <f>'Constant Prices'!T53/'Constant Prices'!T$76</f>
        <v>1.8923456401517217E-2</v>
      </c>
      <c r="U53" s="137"/>
    </row>
    <row r="54" spans="2:21" ht="36.4">
      <c r="B54" s="136"/>
      <c r="C54" s="2288"/>
      <c r="D54" s="2288"/>
      <c r="E54" s="2288"/>
      <c r="F54" s="2288"/>
      <c r="G54" s="2288"/>
      <c r="H54" s="2288"/>
      <c r="I54" s="2288"/>
      <c r="J54" s="2288"/>
      <c r="K54" s="2288"/>
      <c r="L54" s="2288"/>
      <c r="M54" s="2288"/>
      <c r="N54" s="2288"/>
      <c r="O54" s="2288"/>
      <c r="P54" s="2288"/>
      <c r="Q54" s="2037"/>
      <c r="R54" s="2591"/>
      <c r="S54" s="3186"/>
      <c r="T54" s="3186"/>
      <c r="U54" s="1766"/>
    </row>
    <row r="55" spans="2:21" ht="36.4">
      <c r="B55" s="135" t="s">
        <v>649</v>
      </c>
      <c r="C55" s="2288">
        <f>'Constant Prices'!C55/'Constant Prices'!C$76</f>
        <v>5.1924181284679856E-2</v>
      </c>
      <c r="D55" s="2288">
        <f>'Constant Prices'!D55/'Constant Prices'!D$76</f>
        <v>5.0967663259773643E-2</v>
      </c>
      <c r="E55" s="2288">
        <f>'Constant Prices'!E55/'Constant Prices'!E$76</f>
        <v>4.9516871402120945E-2</v>
      </c>
      <c r="F55" s="2288">
        <f>'Constant Prices'!F55/'Constant Prices'!F$76</f>
        <v>5.1561289742364423E-2</v>
      </c>
      <c r="G55" s="2288">
        <f>'Constant Prices'!G55/'Constant Prices'!G$76</f>
        <v>5.2758625007962051E-2</v>
      </c>
      <c r="H55" s="2288">
        <f>'Constant Prices'!H55/'Constant Prices'!H$76</f>
        <v>5.1838778652369515E-2</v>
      </c>
      <c r="I55" s="2288">
        <f>'Constant Prices'!I55/'Constant Prices'!I$76</f>
        <v>5.270112805858794E-2</v>
      </c>
      <c r="J55" s="2288">
        <f>'Constant Prices'!J55/'Constant Prices'!J$76</f>
        <v>5.4955230067926936E-2</v>
      </c>
      <c r="K55" s="2288">
        <f>'Constant Prices'!K55/'Constant Prices'!K$76</f>
        <v>5.4241585070582445E-2</v>
      </c>
      <c r="L55" s="2288">
        <f>'Constant Prices'!L55/'Constant Prices'!L$76</f>
        <v>5.372658382837036E-2</v>
      </c>
      <c r="M55" s="2288">
        <f>'Constant Prices'!M55/'Constant Prices'!M$76</f>
        <v>5.2003910042652535E-2</v>
      </c>
      <c r="N55" s="2288">
        <f>'Constant Prices'!N55/'Constant Prices'!N$76</f>
        <v>5.0448656488025719E-2</v>
      </c>
      <c r="O55" s="2288">
        <f>'Constant Prices'!O55/'Constant Prices'!O$76</f>
        <v>4.9699765754247519E-2</v>
      </c>
      <c r="P55" s="2288">
        <f>'Constant Prices'!P55/'Constant Prices'!P$76</f>
        <v>5.1460865843996131E-2</v>
      </c>
      <c r="Q55" s="2288">
        <f>'Constant Prices'!Q55/'Constant Prices'!Q$76</f>
        <v>7.0465748717419244E-2</v>
      </c>
      <c r="R55" s="2593">
        <f>'Constant Prices'!R55/'Constant Prices'!R$76</f>
        <v>6.4478541971813422E-2</v>
      </c>
      <c r="S55" s="3188">
        <f>'Constant Prices'!S55/'Constant Prices'!S$76</f>
        <v>5.4601536535708921E-2</v>
      </c>
      <c r="T55" s="3188">
        <f>'Constant Prices'!T55/'Constant Prices'!T$76</f>
        <v>4.9330949752216309E-2</v>
      </c>
      <c r="U55" s="1766"/>
    </row>
    <row r="56" spans="2:21" ht="36.4">
      <c r="B56" s="136"/>
      <c r="C56" s="2288"/>
      <c r="D56" s="2288"/>
      <c r="E56" s="2288"/>
      <c r="F56" s="2288"/>
      <c r="G56" s="2288"/>
      <c r="H56" s="2288"/>
      <c r="I56" s="2288"/>
      <c r="J56" s="2288"/>
      <c r="K56" s="2288"/>
      <c r="L56" s="2288"/>
      <c r="M56" s="2288"/>
      <c r="N56" s="2288"/>
      <c r="O56" s="2288"/>
      <c r="P56" s="2288"/>
      <c r="Q56" s="2289"/>
      <c r="R56" s="2591"/>
      <c r="S56" s="3186"/>
      <c r="T56" s="3186"/>
      <c r="U56" s="1766"/>
    </row>
    <row r="57" spans="2:21" s="132" customFormat="1">
      <c r="B57" s="135" t="s">
        <v>104</v>
      </c>
      <c r="C57" s="2288">
        <f>'Constant Prices'!C57/'Constant Prices'!C$76</f>
        <v>3.0991467059384069E-2</v>
      </c>
      <c r="D57" s="2288">
        <f>'Constant Prices'!D57/'Constant Prices'!D$76</f>
        <v>3.0747327936082952E-2</v>
      </c>
      <c r="E57" s="2288">
        <f>'Constant Prices'!E57/'Constant Prices'!E$76</f>
        <v>3.0134877880837622E-2</v>
      </c>
      <c r="F57" s="2288">
        <f>'Constant Prices'!F57/'Constant Prices'!F$76</f>
        <v>3.1638929460410192E-2</v>
      </c>
      <c r="G57" s="2288">
        <f>'Constant Prices'!G57/'Constant Prices'!G$76</f>
        <v>3.2192664495914479E-2</v>
      </c>
      <c r="H57" s="2288">
        <f>'Constant Prices'!H57/'Constant Prices'!H$76</f>
        <v>3.1622958542713568E-2</v>
      </c>
      <c r="I57" s="2288">
        <f>'Constant Prices'!I57/'Constant Prices'!I$76</f>
        <v>3.2207353259054022E-2</v>
      </c>
      <c r="J57" s="2288">
        <f>'Constant Prices'!J57/'Constant Prices'!J$76</f>
        <v>3.3387475184984659E-2</v>
      </c>
      <c r="K57" s="2288">
        <f>'Constant Prices'!K57/'Constant Prices'!K$76</f>
        <v>3.2870910925966237E-2</v>
      </c>
      <c r="L57" s="2288">
        <f>'Constant Prices'!L57/'Constant Prices'!L$76</f>
        <v>3.2402831046617377E-2</v>
      </c>
      <c r="M57" s="2288">
        <f>'Constant Prices'!M57/'Constant Prices'!M$76</f>
        <v>3.1545691437465009E-2</v>
      </c>
      <c r="N57" s="2288">
        <f>'Constant Prices'!N57/'Constant Prices'!N$76</f>
        <v>3.1018613149891652E-2</v>
      </c>
      <c r="O57" s="2288">
        <f>'Constant Prices'!O57/'Constant Prices'!O$76</f>
        <v>3.039927286980364E-2</v>
      </c>
      <c r="P57" s="2288">
        <f>'Constant Prices'!P57/'Constant Prices'!P$76</f>
        <v>3.1280487412453803E-2</v>
      </c>
      <c r="Q57" s="2288">
        <f>'Constant Prices'!Q57/'Constant Prices'!Q$76</f>
        <v>4.037989385040134E-2</v>
      </c>
      <c r="R57" s="2593">
        <f>'Constant Prices'!R57/'Constant Prices'!R$76</f>
        <v>3.6948016929892323E-2</v>
      </c>
      <c r="S57" s="3188">
        <f>'Constant Prices'!S57/'Constant Prices'!S$76</f>
        <v>3.2169473517034669E-2</v>
      </c>
      <c r="T57" s="3188">
        <f>'Constant Prices'!T57/'Constant Prices'!T$76</f>
        <v>2.938144042784073E-2</v>
      </c>
      <c r="U57" s="137"/>
    </row>
    <row r="58" spans="2:21" ht="36.75">
      <c r="B58" s="136" t="s">
        <v>1517</v>
      </c>
      <c r="C58" s="2290">
        <f>'Constant Prices'!C58/'Constant Prices'!C$76</f>
        <v>2.5448540367742169E-2</v>
      </c>
      <c r="D58" s="2290">
        <f>'Constant Prices'!D58/'Constant Prices'!D$76</f>
        <v>2.545431256903951E-2</v>
      </c>
      <c r="E58" s="2290">
        <f>'Constant Prices'!E58/'Constant Prices'!E$76</f>
        <v>2.4749257032984653E-2</v>
      </c>
      <c r="F58" s="2290">
        <f>'Constant Prices'!F58/'Constant Prices'!F$76</f>
        <v>2.5754578006918709E-2</v>
      </c>
      <c r="G58" s="2290">
        <f>'Constant Prices'!G58/'Constant Prices'!G$76</f>
        <v>2.633926752774024E-2</v>
      </c>
      <c r="H58" s="2290">
        <f>'Constant Prices'!H58/'Constant Prices'!H$76</f>
        <v>2.5814652852041781E-2</v>
      </c>
      <c r="I58" s="2290">
        <f>'Constant Prices'!I58/'Constant Prices'!I$76</f>
        <v>2.6252829779852216E-2</v>
      </c>
      <c r="J58" s="2290">
        <f>'Constant Prices'!J58/'Constant Prices'!J$76</f>
        <v>2.7401579324160482E-2</v>
      </c>
      <c r="K58" s="2290">
        <f>'Constant Prices'!K58/'Constant Prices'!K$76</f>
        <v>2.7036685171283669E-2</v>
      </c>
      <c r="L58" s="2290">
        <f>'Constant Prices'!L58/'Constant Prices'!L$76</f>
        <v>2.6779180780902218E-2</v>
      </c>
      <c r="M58" s="2290">
        <f>'Constant Prices'!M58/'Constant Prices'!M$76</f>
        <v>2.5877402456169672E-2</v>
      </c>
      <c r="N58" s="2290">
        <f>'Constant Prices'!N58/'Constant Prices'!N$76</f>
        <v>2.5249698688465612E-2</v>
      </c>
      <c r="O58" s="2290">
        <f>'Constant Prices'!O58/'Constant Prices'!O$76</f>
        <v>2.4897701546450053E-2</v>
      </c>
      <c r="P58" s="2290">
        <f>'Constant Prices'!P58/'Constant Prices'!P$76</f>
        <v>2.575492016289762E-2</v>
      </c>
      <c r="Q58" s="2290">
        <f>'Constant Prices'!Q58/'Constant Prices'!Q$76</f>
        <v>3.5047826085618683E-2</v>
      </c>
      <c r="R58" s="2594">
        <f>'Constant Prices'!R58/'Constant Prices'!R$76</f>
        <v>3.2078676006341657E-2</v>
      </c>
      <c r="S58" s="3189">
        <f>'Constant Prices'!S58/'Constant Prices'!S$76</f>
        <v>2.7070431555329427E-2</v>
      </c>
      <c r="T58" s="3189">
        <f>'Constant Prices'!T58/'Constant Prices'!T$76</f>
        <v>2.4434386801828894E-2</v>
      </c>
      <c r="U58" s="1766"/>
    </row>
    <row r="59" spans="2:21" ht="36.75">
      <c r="B59" s="136" t="s">
        <v>1518</v>
      </c>
      <c r="C59" s="2290">
        <f>'Constant Prices'!C59/'Constant Prices'!C$76</f>
        <v>5.5806536875886766E-3</v>
      </c>
      <c r="D59" s="2290">
        <f>'Constant Prices'!D59/'Constant Prices'!D$76</f>
        <v>5.2671035874339986E-3</v>
      </c>
      <c r="E59" s="2290">
        <f>'Constant Prices'!E59/'Constant Prices'!E$76</f>
        <v>5.3691711333887079E-3</v>
      </c>
      <c r="F59" s="2290">
        <f>'Constant Prices'!F59/'Constant Prices'!F$76</f>
        <v>5.8499578351276721E-3</v>
      </c>
      <c r="G59" s="2290">
        <f>'Constant Prices'!G59/'Constant Prices'!G$76</f>
        <v>5.8225511816191663E-3</v>
      </c>
      <c r="H59" s="2290">
        <f>'Constant Prices'!H59/'Constant Prices'!H$76</f>
        <v>5.7917926364951964E-3</v>
      </c>
      <c r="I59" s="2290">
        <f>'Constant Prices'!I59/'Constant Prices'!I$76</f>
        <v>5.9413648700846174E-3</v>
      </c>
      <c r="J59" s="2290">
        <f>'Constant Prices'!J59/'Constant Prices'!J$76</f>
        <v>5.941931381722311E-3</v>
      </c>
      <c r="K59" s="2290">
        <f>'Constant Prices'!K59/'Constant Prices'!K$76</f>
        <v>5.8015617044341501E-3</v>
      </c>
      <c r="L59" s="2290">
        <f>'Constant Prices'!L59/'Constant Prices'!L$76</f>
        <v>5.6119300425886516E-3</v>
      </c>
      <c r="M59" s="2290">
        <f>'Constant Prices'!M59/'Constant Prices'!M$76</f>
        <v>5.6682889812953363E-3</v>
      </c>
      <c r="N59" s="2290">
        <f>'Constant Prices'!N59/'Constant Prices'!N$76</f>
        <v>5.7689144614260397E-3</v>
      </c>
      <c r="O59" s="2290">
        <f>'Constant Prices'!O59/'Constant Prices'!O$76</f>
        <v>5.5015713233535855E-3</v>
      </c>
      <c r="P59" s="2290">
        <f>'Constant Prices'!P59/'Constant Prices'!P$76</f>
        <v>5.5255672495561825E-3</v>
      </c>
      <c r="Q59" s="2290">
        <f>'Constant Prices'!Q59/'Constant Prices'!Q$76</f>
        <v>5.3320677647826576E-3</v>
      </c>
      <c r="R59" s="2594">
        <f>'Constant Prices'!R59/'Constant Prices'!R$76</f>
        <v>4.8693409235506654E-3</v>
      </c>
      <c r="S59" s="3189">
        <f>'Constant Prices'!S59/'Constant Prices'!S$76</f>
        <v>5.099041961705241E-3</v>
      </c>
      <c r="T59" s="3189">
        <f>'Constant Prices'!T59/'Constant Prices'!T$76</f>
        <v>4.9470536260118386E-3</v>
      </c>
      <c r="U59" s="1766"/>
    </row>
    <row r="60" spans="2:21" ht="36.4">
      <c r="B60" s="136"/>
      <c r="C60" s="2288"/>
      <c r="D60" s="2288"/>
      <c r="E60" s="2288"/>
      <c r="F60" s="2288"/>
      <c r="G60" s="2288"/>
      <c r="H60" s="2288"/>
      <c r="I60" s="2288"/>
      <c r="J60" s="2288"/>
      <c r="K60" s="2288"/>
      <c r="L60" s="2288"/>
      <c r="M60" s="2288"/>
      <c r="N60" s="2288"/>
      <c r="O60" s="2288"/>
      <c r="P60" s="2288"/>
      <c r="Q60" s="2289"/>
      <c r="R60" s="2591"/>
      <c r="S60" s="3186"/>
      <c r="T60" s="3186"/>
      <c r="U60" s="1766"/>
    </row>
    <row r="61" spans="2:21" s="132" customFormat="1">
      <c r="B61" s="135" t="s">
        <v>639</v>
      </c>
      <c r="C61" s="2288">
        <f>'Constant Prices'!C61/'Constant Prices'!C$76</f>
        <v>2.0051748577550894E-2</v>
      </c>
      <c r="D61" s="2288">
        <f>'Constant Prices'!D61/'Constant Prices'!D$76</f>
        <v>2.0972780008924587E-2</v>
      </c>
      <c r="E61" s="2288">
        <f>'Constant Prices'!E61/'Constant Prices'!E$76</f>
        <v>2.1021507553971402E-2</v>
      </c>
      <c r="F61" s="2288">
        <f>'Constant Prices'!F61/'Constant Prices'!F$76</f>
        <v>2.2402336919627244E-2</v>
      </c>
      <c r="G61" s="2288">
        <f>'Constant Prices'!G61/'Constant Prices'!G$76</f>
        <v>2.3509655751469353E-2</v>
      </c>
      <c r="H61" s="2288">
        <f>'Constant Prices'!H61/'Constant Prices'!H$76</f>
        <v>2.3653423366834174E-2</v>
      </c>
      <c r="I61" s="2288">
        <f>'Constant Prices'!I61/'Constant Prices'!I$76</f>
        <v>2.4170252903377942E-2</v>
      </c>
      <c r="J61" s="2288">
        <f>'Constant Prices'!J61/'Constant Prices'!J$76</f>
        <v>2.4504201006637392E-2</v>
      </c>
      <c r="K61" s="2288">
        <f>'Constant Prices'!K61/'Constant Prices'!K$76</f>
        <v>2.4954978132235656E-2</v>
      </c>
      <c r="L61" s="2288">
        <f>'Constant Prices'!L61/'Constant Prices'!L$76</f>
        <v>2.524613498873117E-2</v>
      </c>
      <c r="M61" s="2288">
        <f>'Constant Prices'!M61/'Constant Prices'!M$76</f>
        <v>2.4817938141871873E-2</v>
      </c>
      <c r="N61" s="2288">
        <f>'Constant Prices'!N61/'Constant Prices'!N$76</f>
        <v>2.4563245486640024E-2</v>
      </c>
      <c r="O61" s="2288">
        <f>'Constant Prices'!O61/'Constant Prices'!O$76</f>
        <v>2.4616995845292235E-2</v>
      </c>
      <c r="P61" s="2288">
        <f>'Constant Prices'!P61/'Constant Prices'!P$76</f>
        <v>2.6504998949930893E-2</v>
      </c>
      <c r="Q61" s="2289">
        <f>'Constant Prices'!Q61/'Constant Prices'!Q$76</f>
        <v>3.1905676733596386E-2</v>
      </c>
      <c r="R61" s="2591">
        <f>'Constant Prices'!R61/'Constant Prices'!R$76</f>
        <v>2.9427553310678586E-2</v>
      </c>
      <c r="S61" s="3186">
        <f>'Constant Prices'!S61/'Constant Prices'!S$76</f>
        <v>2.4619151032392265E-2</v>
      </c>
      <c r="T61" s="3186">
        <f>'Constant Prices'!T61/'Constant Prices'!T$76</f>
        <v>2.3003484731381862E-2</v>
      </c>
      <c r="U61" s="137"/>
    </row>
    <row r="62" spans="2:21" ht="36.75">
      <c r="B62" s="136" t="s">
        <v>1517</v>
      </c>
      <c r="C62" s="2290">
        <f>'Constant Prices'!C62/'Constant Prices'!C$76</f>
        <v>1.5917090833577598E-2</v>
      </c>
      <c r="D62" s="2290">
        <f>'Constant Prices'!D62/'Constant Prices'!D$76</f>
        <v>1.5920701125210504E-2</v>
      </c>
      <c r="E62" s="2290">
        <f>'Constant Prices'!E62/'Constant Prices'!E$76</f>
        <v>1.5479715793716712E-2</v>
      </c>
      <c r="F62" s="2290">
        <f>'Constant Prices'!F62/'Constant Prices'!F$76</f>
        <v>1.6108505697883184E-2</v>
      </c>
      <c r="G62" s="2290">
        <f>'Constant Prices'!G62/'Constant Prices'!G$76</f>
        <v>1.6474206680252845E-2</v>
      </c>
      <c r="H62" s="2290">
        <f>'Constant Prices'!H62/'Constant Prices'!H$76</f>
        <v>1.6146080220933199E-2</v>
      </c>
      <c r="I62" s="2290">
        <f>'Constant Prices'!I62/'Constant Prices'!I$76</f>
        <v>1.6420143167583667E-2</v>
      </c>
      <c r="J62" s="2290">
        <f>'Constant Prices'!J62/'Constant Prices'!J$76</f>
        <v>1.7138642169002332E-2</v>
      </c>
      <c r="K62" s="2290">
        <f>'Constant Prices'!K62/'Constant Prices'!K$76</f>
        <v>1.691041480145776E-2</v>
      </c>
      <c r="L62" s="2290">
        <f>'Constant Prices'!L62/'Constant Prices'!L$76</f>
        <v>1.6749355632149101E-2</v>
      </c>
      <c r="M62" s="2290">
        <f>'Constant Prices'!M62/'Constant Prices'!M$76</f>
        <v>1.6185327703666662E-2</v>
      </c>
      <c r="N62" s="2290">
        <f>'Constant Prices'!N62/'Constant Prices'!N$76</f>
        <v>1.5792722951380397E-2</v>
      </c>
      <c r="O62" s="2290">
        <f>'Constant Prices'!O62/'Constant Prices'!O$76</f>
        <v>1.5572562171954187E-2</v>
      </c>
      <c r="P62" s="2290">
        <f>'Constant Prices'!P62/'Constant Prices'!P$76</f>
        <v>1.6108719703390648E-2</v>
      </c>
      <c r="Q62" s="2290">
        <f>'Constant Prices'!Q62/'Constant Prices'!Q$76</f>
        <v>2.1921077722451585E-2</v>
      </c>
      <c r="R62" s="2594">
        <f>'Constant Prices'!R62/'Constant Prices'!R$76</f>
        <v>2.0063987656481361E-2</v>
      </c>
      <c r="S62" s="3189">
        <f>'Constant Prices'!S62/'Constant Prices'!S$76</f>
        <v>1.6931521876849875E-2</v>
      </c>
      <c r="T62" s="3189">
        <f>'Constant Prices'!T62/'Constant Prices'!T$76</f>
        <v>1.5282776480194609E-2</v>
      </c>
      <c r="U62" s="1766"/>
    </row>
    <row r="63" spans="2:21" s="132" customFormat="1" ht="36.75">
      <c r="B63" s="136" t="s">
        <v>1518</v>
      </c>
      <c r="C63" s="2290">
        <f>'Constant Prices'!C63/'Constant Prices'!C$76</f>
        <v>5.5763515869205332E-3</v>
      </c>
      <c r="D63" s="2290">
        <f>'Constant Prices'!D63/'Constant Prices'!D$76</f>
        <v>6.1578667705394548E-3</v>
      </c>
      <c r="E63" s="2290">
        <f>'Constant Prices'!E63/'Constant Prices'!E$76</f>
        <v>6.3864079841510473E-3</v>
      </c>
      <c r="F63" s="2290">
        <f>'Constant Prices'!F63/'Constant Prices'!F$76</f>
        <v>6.979700718406822E-3</v>
      </c>
      <c r="G63" s="2290">
        <f>'Constant Prices'!G63/'Constant Prices'!G$76</f>
        <v>7.5505446007270872E-3</v>
      </c>
      <c r="H63" s="2290">
        <f>'Constant Prices'!H63/'Constant Prices'!H$76</f>
        <v>7.817093106983317E-3</v>
      </c>
      <c r="I63" s="2290">
        <f>'Constant Prices'!I63/'Constant Prices'!I$76</f>
        <v>8.0337235093584421E-3</v>
      </c>
      <c r="J63" s="2290">
        <f>'Constant Prices'!J63/'Constant Prices'!J$76</f>
        <v>7.8818343240755987E-3</v>
      </c>
      <c r="K63" s="2290">
        <f>'Constant Prices'!K63/'Constant Prices'!K$76</f>
        <v>8.3299537353940262E-3</v>
      </c>
      <c r="L63" s="2290">
        <f>'Constant Prices'!L63/'Constant Prices'!L$76</f>
        <v>8.6442440688877104E-3</v>
      </c>
      <c r="M63" s="2290">
        <f>'Constant Prices'!M63/'Constant Prices'!M$76</f>
        <v>8.6326104382052106E-3</v>
      </c>
      <c r="N63" s="2290">
        <f>'Constant Prices'!N63/'Constant Prices'!N$76</f>
        <v>8.7705225352596276E-3</v>
      </c>
      <c r="O63" s="2290">
        <f>'Constant Prices'!O63/'Constant Prices'!O$76</f>
        <v>9.0444336733380461E-3</v>
      </c>
      <c r="P63" s="2290">
        <f>'Constant Prices'!P63/'Constant Prices'!P$76</f>
        <v>1.0396279246540241E-2</v>
      </c>
      <c r="Q63" s="2290">
        <f>'Constant Prices'!Q63/'Constant Prices'!Q$76</f>
        <v>9.9845990111448006E-3</v>
      </c>
      <c r="R63" s="2594">
        <f>'Constant Prices'!R63/'Constant Prices'!R$76</f>
        <v>9.3635656541972215E-3</v>
      </c>
      <c r="S63" s="3189">
        <f>'Constant Prices'!S63/'Constant Prices'!S$76</f>
        <v>7.6876291555423902E-3</v>
      </c>
      <c r="T63" s="3189">
        <f>'Constant Prices'!T63/'Constant Prices'!T$76</f>
        <v>7.7207082511872548E-3</v>
      </c>
      <c r="U63" s="137"/>
    </row>
    <row r="64" spans="2:21" ht="36.4">
      <c r="B64" s="136"/>
      <c r="C64" s="2288"/>
      <c r="D64" s="2288"/>
      <c r="E64" s="2288"/>
      <c r="F64" s="2288"/>
      <c r="G64" s="2288"/>
      <c r="H64" s="2288"/>
      <c r="I64" s="2288"/>
      <c r="J64" s="2288"/>
      <c r="K64" s="2288"/>
      <c r="L64" s="2288"/>
      <c r="M64" s="2288"/>
      <c r="N64" s="2288"/>
      <c r="O64" s="2288"/>
      <c r="P64" s="2288"/>
      <c r="Q64" s="2289"/>
      <c r="R64" s="2591"/>
      <c r="S64" s="3186"/>
      <c r="T64" s="3186"/>
      <c r="U64" s="1766"/>
    </row>
    <row r="65" spans="2:21" ht="36.4">
      <c r="B65" s="140" t="s">
        <v>848</v>
      </c>
      <c r="C65" s="2288">
        <f>'Constant Prices'!C65/'Constant Prices'!C$76</f>
        <v>1.8651644852878312E-2</v>
      </c>
      <c r="D65" s="2288">
        <f>'Constant Prices'!D65/'Constant Prices'!D$76</f>
        <v>2.1489710640201595E-2</v>
      </c>
      <c r="E65" s="2288">
        <f>'Constant Prices'!E65/'Constant Prices'!E$76</f>
        <v>2.0370434129378456E-2</v>
      </c>
      <c r="F65" s="2288">
        <f>'Constant Prices'!F65/'Constant Prices'!F$76</f>
        <v>2.0384935686781368E-2</v>
      </c>
      <c r="G65" s="2288">
        <f>'Constant Prices'!G65/'Constant Prices'!G$76</f>
        <v>2.0628186886813227E-2</v>
      </c>
      <c r="H65" s="2288">
        <f>'Constant Prices'!H65/'Constant Prices'!H$76</f>
        <v>3.4625520609151618E-2</v>
      </c>
      <c r="I65" s="2288">
        <f>'Constant Prices'!I65/'Constant Prices'!I$76</f>
        <v>3.396125290209942E-2</v>
      </c>
      <c r="J65" s="2288">
        <f>'Constant Prices'!J65/'Constant Prices'!J$76</f>
        <v>3.4074364292413881E-2</v>
      </c>
      <c r="K65" s="2288">
        <f>'Constant Prices'!K65/'Constant Prices'!K$76</f>
        <v>3.1992694804128446E-2</v>
      </c>
      <c r="L65" s="2288">
        <f>'Constant Prices'!L65/'Constant Prices'!L$76</f>
        <v>2.9114551410557188E-2</v>
      </c>
      <c r="M65" s="2288">
        <f>'Constant Prices'!M65/'Constant Prices'!M$76</f>
        <v>2.8476151140545254E-2</v>
      </c>
      <c r="N65" s="2288">
        <f>'Constant Prices'!N65/'Constant Prices'!N$76</f>
        <v>3.0518836272177826E-2</v>
      </c>
      <c r="O65" s="2288">
        <f>'Constant Prices'!O65/'Constant Prices'!O$76</f>
        <v>3.2565372151000548E-2</v>
      </c>
      <c r="P65" s="2288">
        <f>'Constant Prices'!P65/'Constant Prices'!P$76</f>
        <v>3.2220046981699002E-2</v>
      </c>
      <c r="Q65" s="2288">
        <f>'Constant Prices'!Q65/'Constant Prices'!Q$76</f>
        <v>2.8605313488532246E-2</v>
      </c>
      <c r="R65" s="2593">
        <f>'Constant Prices'!R65/'Constant Prices'!R$76</f>
        <v>1.9355427977118748E-2</v>
      </c>
      <c r="S65" s="3188">
        <f>'Constant Prices'!S65/'Constant Prices'!S$76</f>
        <v>2.1169734452039953E-2</v>
      </c>
      <c r="T65" s="3188">
        <f>'Constant Prices'!T65/'Constant Prices'!T$76</f>
        <v>2.3321256311443259E-2</v>
      </c>
      <c r="U65" s="1766"/>
    </row>
    <row r="66" spans="2:21" ht="36.4">
      <c r="B66" s="140" t="s">
        <v>777</v>
      </c>
      <c r="C66" s="2288">
        <f>'Constant Prices'!C66/'Constant Prices'!C$76</f>
        <v>8.5946876835613292E-3</v>
      </c>
      <c r="D66" s="2288">
        <f>'Constant Prices'!D66/'Constant Prices'!D$76</f>
        <v>9.4895886177332241E-3</v>
      </c>
      <c r="E66" s="2288">
        <f>'Constant Prices'!E66/'Constant Prices'!E$76</f>
        <v>9.5806856028985057E-3</v>
      </c>
      <c r="F66" s="2288">
        <f>'Constant Prices'!F66/'Constant Prices'!F$76</f>
        <v>1.0212616068117053E-2</v>
      </c>
      <c r="G66" s="2288">
        <f>'Constant Prices'!G66/'Constant Prices'!G$76</f>
        <v>9.9902201627743124E-3</v>
      </c>
      <c r="H66" s="2288">
        <f>'Constant Prices'!H66/'Constant Prices'!H$76</f>
        <v>9.9477599780844229E-3</v>
      </c>
      <c r="I66" s="2288">
        <f>'Constant Prices'!I66/'Constant Prices'!I$76</f>
        <v>9.5327940752558109E-3</v>
      </c>
      <c r="J66" s="2288">
        <f>'Constant Prices'!J66/'Constant Prices'!J$76</f>
        <v>7.8887287173875671E-3</v>
      </c>
      <c r="K66" s="2288">
        <f>'Constant Prices'!K66/'Constant Prices'!K$76</f>
        <v>7.631585982642344E-3</v>
      </c>
      <c r="L66" s="2288">
        <f>'Constant Prices'!L66/'Constant Prices'!L$76</f>
        <v>7.7369935589885492E-3</v>
      </c>
      <c r="M66" s="2288">
        <f>'Constant Prices'!M66/'Constant Prices'!M$76</f>
        <v>7.6764566240304305E-3</v>
      </c>
      <c r="N66" s="2288">
        <f>'Constant Prices'!N66/'Constant Prices'!N$76</f>
        <v>7.3486008875329259E-3</v>
      </c>
      <c r="O66" s="2288">
        <f>'Constant Prices'!O66/'Constant Prices'!O$76</f>
        <v>7.3991195674102724E-3</v>
      </c>
      <c r="P66" s="2288">
        <f>'Constant Prices'!P66/'Constant Prices'!P$76</f>
        <v>7.4590323185960688E-3</v>
      </c>
      <c r="Q66" s="2288">
        <f>'Constant Prices'!Q66/'Constant Prices'!Q$76</f>
        <v>6.6991621159187484E-3</v>
      </c>
      <c r="R66" s="2593">
        <f>'Constant Prices'!R66/'Constant Prices'!R$76</f>
        <v>6.1073117232986829E-3</v>
      </c>
      <c r="S66" s="3188">
        <f>'Constant Prices'!S66/'Constant Prices'!S$76</f>
        <v>6.2223599274703698E-3</v>
      </c>
      <c r="T66" s="3188">
        <f>'Constant Prices'!T66/'Constant Prices'!T$76</f>
        <v>6.2156749816355775E-3</v>
      </c>
      <c r="U66" s="1766"/>
    </row>
    <row r="67" spans="2:21" ht="36.4">
      <c r="B67" s="140" t="s">
        <v>849</v>
      </c>
      <c r="C67" s="2288">
        <f>'Constant Prices'!C67/'Constant Prices'!C$76</f>
        <v>1.6645731363971062E-3</v>
      </c>
      <c r="D67" s="2288">
        <f>'Constant Prices'!D67/'Constant Prices'!D$76</f>
        <v>1.6580608146873198E-3</v>
      </c>
      <c r="E67" s="2288">
        <f>'Constant Prices'!E67/'Constant Prices'!E$76</f>
        <v>1.6458746810320379E-3</v>
      </c>
      <c r="F67" s="2288">
        <f>'Constant Prices'!F67/'Constant Prices'!F$76</f>
        <v>1.6638209458764471E-3</v>
      </c>
      <c r="G67" s="2288">
        <f>'Constant Prices'!G67/'Constant Prices'!G$76</f>
        <v>1.765681636665233E-3</v>
      </c>
      <c r="H67" s="2288">
        <f>'Constant Prices'!H67/'Constant Prices'!H$76</f>
        <v>1.6977465452261303E-3</v>
      </c>
      <c r="I67" s="2288">
        <f>'Constant Prices'!I67/'Constant Prices'!I$76</f>
        <v>1.6842539645109942E-3</v>
      </c>
      <c r="J67" s="2288">
        <f>'Constant Prices'!J67/'Constant Prices'!J$76</f>
        <v>1.6789989773205796E-3</v>
      </c>
      <c r="K67" s="2288">
        <f>'Constant Prices'!K67/'Constant Prices'!K$76</f>
        <v>1.5222338762343904E-3</v>
      </c>
      <c r="L67" s="2288">
        <f>'Constant Prices'!L67/'Constant Prices'!L$76</f>
        <v>1.584160373255308E-3</v>
      </c>
      <c r="M67" s="2288">
        <f>'Constant Prices'!M67/'Constant Prices'!M$76</f>
        <v>1.4995321383032261E-3</v>
      </c>
      <c r="N67" s="2288">
        <f>'Constant Prices'!N67/'Constant Prices'!N$76</f>
        <v>1.4527256315979974E-3</v>
      </c>
      <c r="O67" s="2288">
        <f>'Constant Prices'!O67/'Constant Prices'!O$76</f>
        <v>1.4804359638840433E-3</v>
      </c>
      <c r="P67" s="2288">
        <f>'Constant Prices'!P67/'Constant Prices'!P$76</f>
        <v>1.500107021238814E-3</v>
      </c>
      <c r="Q67" s="2288">
        <f>'Constant Prices'!Q67/'Constant Prices'!Q$76</f>
        <v>1.6035559726155727E-3</v>
      </c>
      <c r="R67" s="2593">
        <f>'Constant Prices'!R67/'Constant Prices'!R$76</f>
        <v>1.4754680122906979E-3</v>
      </c>
      <c r="S67" s="3188">
        <f>'Constant Prices'!S67/'Constant Prices'!S$76</f>
        <v>1.2256049224469332E-3</v>
      </c>
      <c r="T67" s="3188">
        <f>'Constant Prices'!T67/'Constant Prices'!T$76</f>
        <v>1.1707295120313124E-3</v>
      </c>
      <c r="U67" s="1766"/>
    </row>
    <row r="68" spans="2:21" ht="36.4">
      <c r="B68" s="2292"/>
      <c r="C68" s="2288"/>
      <c r="D68" s="2288"/>
      <c r="E68" s="2288"/>
      <c r="F68" s="2288"/>
      <c r="G68" s="2288"/>
      <c r="H68" s="2288"/>
      <c r="I68" s="2288"/>
      <c r="J68" s="2288"/>
      <c r="K68" s="2288"/>
      <c r="L68" s="2288"/>
      <c r="M68" s="2288"/>
      <c r="N68" s="2288"/>
      <c r="O68" s="2288"/>
      <c r="P68" s="2288"/>
      <c r="Q68" s="2038"/>
      <c r="R68" s="2591"/>
      <c r="S68" s="2038"/>
      <c r="U68" s="1766"/>
    </row>
    <row r="69" spans="2:21" ht="36.4">
      <c r="B69" s="145" t="s">
        <v>650</v>
      </c>
      <c r="C69" s="2293">
        <f>'Constant Prices'!C69/'Constant Prices'!C$76</f>
        <v>0.8561744704812233</v>
      </c>
      <c r="D69" s="2293">
        <f>'Constant Prices'!D69/'Constant Prices'!D$76</f>
        <v>0.85537918871252194</v>
      </c>
      <c r="E69" s="2293">
        <f>'Constant Prices'!E69/'Constant Prices'!E$76</f>
        <v>0.85675807039572272</v>
      </c>
      <c r="F69" s="2293">
        <f>'Constant Prices'!F69/'Constant Prices'!F$76</f>
        <v>0.86865112834543623</v>
      </c>
      <c r="G69" s="2293">
        <f>'Constant Prices'!G69/'Constant Prices'!G$76</f>
        <v>0.86684688005570221</v>
      </c>
      <c r="H69" s="2293">
        <f>'Constant Prices'!H69/'Constant Prices'!H$76</f>
        <v>0.84871623743718594</v>
      </c>
      <c r="I69" s="2293">
        <f>'Constant Prices'!I69/'Constant Prices'!I$76</f>
        <v>0.85829943602743231</v>
      </c>
      <c r="J69" s="2293">
        <f>'Constant Prices'!J69/'Constant Prices'!J$76</f>
        <v>0.86608915358238603</v>
      </c>
      <c r="K69" s="2293">
        <f>'Constant Prices'!K69/'Constant Prices'!K$76</f>
        <v>0.86697274940135749</v>
      </c>
      <c r="L69" s="2293">
        <f>'Constant Prices'!L69/'Constant Prices'!L$76</f>
        <v>0.87902811276738768</v>
      </c>
      <c r="M69" s="2293">
        <f>'Constant Prices'!M69/'Constant Prices'!M$76</f>
        <v>0.86619394492788926</v>
      </c>
      <c r="N69" s="2293">
        <f>'Constant Prices'!N69/'Constant Prices'!N$76</f>
        <v>0.86742516886134502</v>
      </c>
      <c r="O69" s="2293">
        <f>'Constant Prices'!O69/'Constant Prices'!O$76</f>
        <v>0.86949140668509717</v>
      </c>
      <c r="P69" s="2293">
        <f>'Constant Prices'!P69/'Constant Prices'!P$76</f>
        <v>0.87618689941448424</v>
      </c>
      <c r="Q69" s="2293">
        <f>'Constant Prices'!Q69/'Constant Prices'!Q$76</f>
        <v>0.87313647603307598</v>
      </c>
      <c r="R69" s="2595">
        <f>'Constant Prices'!R69/'Constant Prices'!R$76</f>
        <v>0.86590588583081718</v>
      </c>
      <c r="S69" s="3184">
        <f>'Constant Prices'!S69/'Constant Prices'!S$76</f>
        <v>0.86116144529925998</v>
      </c>
      <c r="T69" s="3184">
        <f>'Constant Prices'!T69/'Constant Prices'!T$76</f>
        <v>0.86008842526600404</v>
      </c>
      <c r="U69" s="1766"/>
    </row>
    <row r="70" spans="2:21" ht="36.4">
      <c r="B70" s="135"/>
      <c r="C70" s="2288"/>
      <c r="D70" s="2288"/>
      <c r="E70" s="2288"/>
      <c r="F70" s="2288"/>
      <c r="G70" s="2288"/>
      <c r="H70" s="2288"/>
      <c r="I70" s="2288"/>
      <c r="J70" s="2288"/>
      <c r="K70" s="2288"/>
      <c r="L70" s="2288"/>
      <c r="M70" s="2288"/>
      <c r="N70" s="2288"/>
      <c r="O70" s="2288"/>
      <c r="P70" s="2288"/>
      <c r="Q70" s="2294"/>
      <c r="R70" s="2591"/>
      <c r="S70" s="3193"/>
      <c r="T70" s="3193"/>
      <c r="U70" s="1766"/>
    </row>
    <row r="71" spans="2:21" ht="36.75">
      <c r="B71" s="142" t="s">
        <v>652</v>
      </c>
      <c r="C71" s="2290">
        <f>'Constant Prices'!C73/'Constant Prices'!C$76</f>
        <v>0.14880249651468289</v>
      </c>
      <c r="D71" s="2290">
        <f>'Constant Prices'!D73/'Constant Prices'!D$76</f>
        <v>0.14982845556107208</v>
      </c>
      <c r="E71" s="2290">
        <f>'Constant Prices'!E73/'Constant Prices'!E$76</f>
        <v>0.14802482938105938</v>
      </c>
      <c r="F71" s="2290">
        <f>'Constant Prices'!F73/'Constant Prices'!F$76</f>
        <v>0.13246422505264571</v>
      </c>
      <c r="G71" s="2290">
        <f>'Constant Prices'!G73/'Constant Prices'!G$76</f>
        <v>0.13484918290609529</v>
      </c>
      <c r="H71" s="2290">
        <f>'Constant Prices'!H73/'Constant Prices'!H$76</f>
        <v>0.15855075366893395</v>
      </c>
      <c r="I71" s="2290">
        <f>'Constant Prices'!I73/'Constant Prices'!I$76</f>
        <v>0.14600385626211709</v>
      </c>
      <c r="J71" s="2290">
        <f>'Constant Prices'!J73/'Constant Prices'!J$76</f>
        <v>0.1358074249589511</v>
      </c>
      <c r="K71" s="2290">
        <f>'Constant Prices'!K73/'Constant Prices'!K$76</f>
        <v>0.13464844534439363</v>
      </c>
      <c r="L71" s="2290">
        <f>'Constant Prices'!L73/'Constant Prices'!L$76</f>
        <v>0.11889899138876138</v>
      </c>
      <c r="M71" s="2290">
        <f>'Constant Prices'!M73/'Constant Prices'!M$76</f>
        <v>0.13568065413651592</v>
      </c>
      <c r="N71" s="2290">
        <f>'Constant Prices'!N73/'Constant Prices'!N$76</f>
        <v>0.13434427214301822</v>
      </c>
      <c r="O71" s="2290">
        <f>'Constant Prices'!O73/'Constant Prices'!O$76</f>
        <v>0.13222502062469121</v>
      </c>
      <c r="P71" s="2290">
        <f>'Constant Prices'!P73/'Constant Prices'!P$76</f>
        <v>0.12562918162585529</v>
      </c>
      <c r="Q71" s="2290">
        <f>'Constant Prices'!Q73/'Constant Prices'!Q$76</f>
        <v>0.12828837812619265</v>
      </c>
      <c r="R71" s="2594">
        <f>'Constant Prices'!R73/'Constant Prices'!R$76</f>
        <v>0.13617282713994308</v>
      </c>
      <c r="S71" s="3189">
        <f>'Constant Prices'!S73/'Constant Prices'!S$76</f>
        <v>0.14049558454238911</v>
      </c>
      <c r="T71" s="3189">
        <f>'Constant Prices'!T73/'Constant Prices'!T$76</f>
        <v>0.14141060824594012</v>
      </c>
      <c r="U71" s="1766"/>
    </row>
    <row r="72" spans="2:21" ht="36.75">
      <c r="B72" s="142" t="s">
        <v>850</v>
      </c>
      <c r="C72" s="2290">
        <f>'Constant Prices'!C74/'Constant Prices'!C$76</f>
        <v>2.1374985440691207E-3</v>
      </c>
      <c r="D72" s="2290">
        <f>'Constant Prices'!D74/'Constant Prices'!D$76</f>
        <v>2.1410681239496594E-3</v>
      </c>
      <c r="E72" s="2290">
        <f>'Constant Prices'!E74/'Constant Prices'!E$76</f>
        <v>2.1217673307662391E-3</v>
      </c>
      <c r="F72" s="2290">
        <f>'Constant Prices'!F74/'Constant Prices'!F$76</f>
        <v>1.8372745644848411E-3</v>
      </c>
      <c r="G72" s="2290">
        <f>'Constant Prices'!G74/'Constant Prices'!G$76</f>
        <v>1.8517777997924163E-3</v>
      </c>
      <c r="H72" s="2290">
        <f>'Constant Prices'!H74/'Constant Prices'!H$76</f>
        <v>2.2910713383759536E-3</v>
      </c>
      <c r="I72" s="2290">
        <f>'Constant Prices'!I74/'Constant Prices'!I$76</f>
        <v>2.0547734766609184E-3</v>
      </c>
      <c r="J72" s="2290">
        <f>'Constant Prices'!J74/'Constant Prices'!J$76</f>
        <v>1.8734953521674408E-3</v>
      </c>
      <c r="K72" s="2290">
        <f>'Constant Prices'!K74/'Constant Prices'!K$76</f>
        <v>1.8467031385468974E-3</v>
      </c>
      <c r="L72" s="2290">
        <f>'Constant Prices'!L74/'Constant Prices'!L$76</f>
        <v>1.5575562449822377E-3</v>
      </c>
      <c r="M72" s="2290">
        <f>'Constant Prices'!M74/'Constant Prices'!M$76</f>
        <v>1.874599064405095E-3</v>
      </c>
      <c r="N72" s="2290">
        <f>'Constant Prices'!N74/'Constant Prices'!N$76</f>
        <v>1.769441004363239E-3</v>
      </c>
      <c r="O72" s="2290">
        <f>'Constant Prices'!O74/'Constant Prices'!O$76</f>
        <v>1.716427309788387E-3</v>
      </c>
      <c r="P72" s="2290">
        <f>'Constant Prices'!P74/'Constant Prices'!P$76</f>
        <v>1.8160810403394863E-3</v>
      </c>
      <c r="Q72" s="2290">
        <f>'Constant Prices'!Q74/'Constant Prices'!Q$76</f>
        <v>1.424854159268621E-3</v>
      </c>
      <c r="R72" s="2594">
        <f>'Constant Prices'!R74/'Constant Prices'!R$76</f>
        <v>2.0787129707603145E-3</v>
      </c>
      <c r="S72" s="3189">
        <f>'Constant Prices'!S74/'Constant Prices'!S$76</f>
        <v>1.6570298416491319E-3</v>
      </c>
      <c r="T72" s="3189">
        <f>'Constant Prices'!T74/'Constant Prices'!T$76</f>
        <v>1.4990335119441259E-3</v>
      </c>
      <c r="U72" s="1766"/>
    </row>
    <row r="73" spans="2:21" ht="36.4">
      <c r="B73" s="142"/>
      <c r="C73" s="2288"/>
      <c r="D73" s="2288"/>
      <c r="E73" s="2288"/>
      <c r="F73" s="2288"/>
      <c r="G73" s="2288"/>
      <c r="H73" s="2288"/>
      <c r="I73" s="2288"/>
      <c r="J73" s="2288"/>
      <c r="K73" s="2288"/>
      <c r="L73" s="2288"/>
      <c r="M73" s="2288"/>
      <c r="N73" s="2288"/>
      <c r="O73" s="2288"/>
      <c r="P73" s="2288"/>
      <c r="Q73" s="2289"/>
      <c r="R73" s="2591"/>
      <c r="S73" s="3186"/>
      <c r="T73" s="3186"/>
      <c r="U73" s="1766"/>
    </row>
    <row r="74" spans="2:21" s="132" customFormat="1" ht="36.4" thickBot="1">
      <c r="B74" s="146" t="s">
        <v>740</v>
      </c>
      <c r="C74" s="2039">
        <f>'Constant Prices'!C76/'Constant Prices'!C$76</f>
        <v>1</v>
      </c>
      <c r="D74" s="2039">
        <f>'Constant Prices'!D76/'Constant Prices'!D$76</f>
        <v>1</v>
      </c>
      <c r="E74" s="2039">
        <f>'Constant Prices'!E76/'Constant Prices'!E$76</f>
        <v>1</v>
      </c>
      <c r="F74" s="2039">
        <f>'Constant Prices'!F76/'Constant Prices'!F$76</f>
        <v>1</v>
      </c>
      <c r="G74" s="2039">
        <f>'Constant Prices'!G76/'Constant Prices'!G$76</f>
        <v>1</v>
      </c>
      <c r="H74" s="2039">
        <f>'Constant Prices'!H76/'Constant Prices'!H$76</f>
        <v>1</v>
      </c>
      <c r="I74" s="2039">
        <f>'Constant Prices'!I76/'Constant Prices'!I$76</f>
        <v>1</v>
      </c>
      <c r="J74" s="2039">
        <f>'Constant Prices'!J76/'Constant Prices'!J$76</f>
        <v>1</v>
      </c>
      <c r="K74" s="2039">
        <f>'Constant Prices'!K76/'Constant Prices'!K$76</f>
        <v>1</v>
      </c>
      <c r="L74" s="2039">
        <f>'Constant Prices'!L76/'Constant Prices'!L$76</f>
        <v>1</v>
      </c>
      <c r="M74" s="2039">
        <f>'Constant Prices'!M76/'Constant Prices'!M$76</f>
        <v>1</v>
      </c>
      <c r="N74" s="2039">
        <f>'Constant Prices'!N76/'Constant Prices'!N$76</f>
        <v>1</v>
      </c>
      <c r="O74" s="2039">
        <f>'Constant Prices'!O76/'Constant Prices'!O$76</f>
        <v>1</v>
      </c>
      <c r="P74" s="2039">
        <f>'Constant Prices'!P76/'Constant Prices'!P$76</f>
        <v>1</v>
      </c>
      <c r="Q74" s="2039">
        <f>'Constant Prices'!Q76/'Constant Prices'!Q$76</f>
        <v>1</v>
      </c>
      <c r="R74" s="2039">
        <f>'Constant Prices'!R76/'Constant Prices'!R$76</f>
        <v>1</v>
      </c>
      <c r="S74" s="2039">
        <f>'Constant Prices'!S76/'Constant Prices'!S$76</f>
        <v>1</v>
      </c>
      <c r="T74" s="2039">
        <f>'Constant Prices'!T76/'Constant Prices'!T$76</f>
        <v>1</v>
      </c>
      <c r="U74" s="137"/>
    </row>
    <row r="75" spans="2:21" ht="36.4">
      <c r="B75" s="147" t="str">
        <f>'GDP  nominal prices'!B79</f>
        <v>Source: Central Statistical Office</v>
      </c>
      <c r="C75" s="150"/>
      <c r="D75" s="151"/>
    </row>
    <row r="76" spans="2:21" ht="36.4">
      <c r="B76" s="147" t="str">
        <f>'GDP  nominal prices'!B80</f>
        <v>r= revised; pre= preliminary</v>
      </c>
      <c r="C76" s="149"/>
    </row>
    <row r="77" spans="2:21" ht="109.25" customHeight="1">
      <c r="B77" s="5639" t="s">
        <v>2322</v>
      </c>
      <c r="C77" s="5639"/>
      <c r="D77" s="5639"/>
      <c r="E77" s="5639"/>
      <c r="F77" s="5639"/>
      <c r="G77" s="5639"/>
      <c r="H77" s="5639"/>
      <c r="I77" s="5639"/>
      <c r="J77" s="5639"/>
      <c r="K77" s="5639"/>
      <c r="L77" s="5639"/>
      <c r="M77" s="5639"/>
      <c r="N77" s="5639"/>
      <c r="O77" s="5639"/>
      <c r="P77" s="5639"/>
      <c r="Q77" s="5639"/>
      <c r="R77" s="1755"/>
    </row>
    <row r="78" spans="2:21">
      <c r="C78" s="149"/>
    </row>
    <row r="79" spans="2:21">
      <c r="C79" s="149"/>
    </row>
  </sheetData>
  <mergeCells count="5">
    <mergeCell ref="B77:Q77"/>
    <mergeCell ref="B4:P4"/>
    <mergeCell ref="B1:T1"/>
    <mergeCell ref="B2:T2"/>
    <mergeCell ref="B3:T3"/>
  </mergeCells>
  <hyperlinks>
    <hyperlink ref="B74" r:id="rId1" display="http://www.govt.lc/ministries/finance-and-economic-affairs/statistics-department" xr:uid="{00000000-0004-0000-0300-000000000000}"/>
  </hyperlinks>
  <printOptions horizontalCentered="1" verticalCentered="1"/>
  <pageMargins left="0.25" right="0.25" top="0.75" bottom="0.75" header="0.3" footer="0.3"/>
  <pageSetup scale="18" firstPageNumber="103" orientation="landscape" useFirstPageNumber="1" r:id="rId2"/>
  <headerFooter scaleWithDoc="0" alignWithMargins="0">
    <oddFooter xml:space="preserve">&amp;C106
</oddFooter>
  </headerFooter>
  <colBreaks count="1" manualBreakCount="1">
    <brk id="20" max="76"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rgb="FF00B0F0"/>
    <pageSetUpPr fitToPage="1"/>
  </sheetPr>
  <dimension ref="B1:AI46"/>
  <sheetViews>
    <sheetView view="pageBreakPreview" zoomScale="30" zoomScaleNormal="70" zoomScaleSheetLayoutView="30" workbookViewId="0">
      <pane xSplit="17" ySplit="5" topLeftCell="R6" activePane="bottomRight" state="frozen"/>
      <selection activeCell="B44" sqref="B44"/>
      <selection pane="topRight" activeCell="B44" sqref="B44"/>
      <selection pane="bottomLeft" activeCell="B44" sqref="B44"/>
      <selection pane="bottomRight" activeCell="B44" sqref="B44"/>
    </sheetView>
  </sheetViews>
  <sheetFormatPr defaultColWidth="19.46484375" defaultRowHeight="15" customHeight="1"/>
  <cols>
    <col min="1" max="1" width="5.33203125" style="153" customWidth="1"/>
    <col min="2" max="2" width="86.6640625" style="153" customWidth="1"/>
    <col min="3" max="15" width="0" style="153" hidden="1" customWidth="1"/>
    <col min="16" max="16" width="0" style="156" hidden="1" customWidth="1"/>
    <col min="17" max="17" width="37.1328125" style="156" hidden="1" customWidth="1"/>
    <col min="18" max="20" width="30.46484375" style="156" customWidth="1"/>
    <col min="21" max="21" width="34.6640625" style="157" bestFit="1" customWidth="1"/>
    <col min="22" max="22" width="33.33203125" style="157" customWidth="1"/>
    <col min="23" max="23" width="32.6640625" style="157" customWidth="1"/>
    <col min="24" max="24" width="36.6640625" style="157" customWidth="1"/>
    <col min="25" max="25" width="37.33203125" style="157" customWidth="1"/>
    <col min="26" max="26" width="37.33203125" style="153" customWidth="1"/>
    <col min="27" max="27" width="30.46484375" style="153" customWidth="1"/>
    <col min="28" max="29" width="31.33203125" style="153" customWidth="1"/>
    <col min="30" max="30" width="36.33203125" style="153" customWidth="1"/>
    <col min="31" max="31" width="46.46484375" style="153" customWidth="1"/>
    <col min="32" max="32" width="6.33203125" style="152" customWidth="1"/>
    <col min="33" max="33" width="22.46484375" style="153" bestFit="1" customWidth="1"/>
    <col min="34" max="34" width="19.46484375" style="153"/>
    <col min="35" max="35" width="25.33203125" style="153" bestFit="1" customWidth="1"/>
    <col min="36" max="16384" width="19.46484375" style="153"/>
  </cols>
  <sheetData>
    <row r="1" spans="2:35" ht="36" customHeight="1">
      <c r="B1" s="5643" t="s">
        <v>829</v>
      </c>
      <c r="C1" s="5643"/>
      <c r="D1" s="5643"/>
      <c r="E1" s="5643"/>
      <c r="F1" s="5643"/>
      <c r="G1" s="5643"/>
      <c r="H1" s="5643"/>
      <c r="I1" s="5643"/>
      <c r="J1" s="5643"/>
      <c r="K1" s="5643"/>
      <c r="L1" s="5643"/>
      <c r="M1" s="5643"/>
      <c r="N1" s="5643"/>
      <c r="O1" s="5643"/>
      <c r="P1" s="5643"/>
      <c r="Q1" s="5643"/>
      <c r="R1" s="5643"/>
      <c r="S1" s="5643"/>
      <c r="T1" s="5643"/>
      <c r="U1" s="5643"/>
      <c r="V1" s="5643"/>
      <c r="W1" s="5643"/>
      <c r="X1" s="5643"/>
      <c r="Y1" s="5643"/>
      <c r="Z1" s="5643"/>
      <c r="AA1" s="5643"/>
      <c r="AB1" s="5643"/>
      <c r="AC1" s="5643"/>
      <c r="AD1" s="5643"/>
      <c r="AE1" s="5643"/>
    </row>
    <row r="2" spans="2:35" ht="36" customHeight="1">
      <c r="B2" s="5643" t="s">
        <v>48</v>
      </c>
      <c r="C2" s="5643"/>
      <c r="D2" s="5643"/>
      <c r="E2" s="5643"/>
      <c r="F2" s="5643"/>
      <c r="G2" s="5643"/>
      <c r="H2" s="5643"/>
      <c r="I2" s="5643"/>
      <c r="J2" s="5643"/>
      <c r="K2" s="5643"/>
      <c r="L2" s="5643"/>
      <c r="M2" s="5643"/>
      <c r="N2" s="5643"/>
      <c r="O2" s="5643"/>
      <c r="P2" s="5643"/>
      <c r="Q2" s="5643"/>
      <c r="R2" s="5643"/>
      <c r="S2" s="5643"/>
      <c r="T2" s="5643"/>
      <c r="U2" s="5643"/>
      <c r="V2" s="5643"/>
      <c r="W2" s="5643"/>
      <c r="X2" s="5643"/>
      <c r="Y2" s="5643"/>
      <c r="Z2" s="5643"/>
      <c r="AA2" s="5643"/>
      <c r="AB2" s="5643"/>
      <c r="AC2" s="5643"/>
      <c r="AD2" s="5643"/>
      <c r="AE2" s="5643"/>
    </row>
    <row r="3" spans="2:35" ht="24.5" customHeight="1" thickBot="1">
      <c r="B3" s="154"/>
      <c r="C3" s="154"/>
      <c r="D3" s="154"/>
      <c r="E3" s="154"/>
      <c r="F3" s="154"/>
      <c r="G3" s="154"/>
      <c r="H3" s="154"/>
      <c r="I3" s="154"/>
      <c r="J3" s="154"/>
      <c r="K3" s="154"/>
      <c r="L3" s="154"/>
      <c r="M3" s="155"/>
      <c r="N3" s="154"/>
      <c r="O3" s="154"/>
    </row>
    <row r="4" spans="2:35" s="167" customFormat="1" ht="44" customHeight="1" thickBot="1">
      <c r="B4" s="158"/>
      <c r="C4" s="159">
        <v>1998</v>
      </c>
      <c r="D4" s="159">
        <v>1993</v>
      </c>
      <c r="E4" s="159">
        <v>1992</v>
      </c>
      <c r="F4" s="159">
        <v>1999</v>
      </c>
      <c r="G4" s="160">
        <v>2000</v>
      </c>
      <c r="H4" s="160">
        <v>2001</v>
      </c>
      <c r="I4" s="160">
        <v>2002</v>
      </c>
      <c r="J4" s="160">
        <v>2003</v>
      </c>
      <c r="K4" s="160">
        <v>2004</v>
      </c>
      <c r="L4" s="160">
        <v>2005</v>
      </c>
      <c r="M4" s="160">
        <v>2006</v>
      </c>
      <c r="N4" s="160">
        <v>2007</v>
      </c>
      <c r="O4" s="160">
        <v>2008</v>
      </c>
      <c r="P4" s="160">
        <v>2009</v>
      </c>
      <c r="Q4" s="160">
        <v>2010</v>
      </c>
      <c r="R4" s="160">
        <v>2011</v>
      </c>
      <c r="S4" s="160">
        <v>2012</v>
      </c>
      <c r="T4" s="160">
        <v>2013</v>
      </c>
      <c r="U4" s="160">
        <v>2014</v>
      </c>
      <c r="V4" s="161">
        <v>2015</v>
      </c>
      <c r="W4" s="161">
        <v>2016</v>
      </c>
      <c r="X4" s="162">
        <v>2017</v>
      </c>
      <c r="Y4" s="163">
        <v>2018</v>
      </c>
      <c r="Z4" s="163" t="s">
        <v>1513</v>
      </c>
      <c r="AA4" s="164">
        <v>2020</v>
      </c>
      <c r="AB4" s="419" t="s">
        <v>1533</v>
      </c>
      <c r="AC4" s="419" t="s">
        <v>1958</v>
      </c>
      <c r="AD4" s="2938" t="s">
        <v>1959</v>
      </c>
      <c r="AE4" s="165" t="s">
        <v>1960</v>
      </c>
      <c r="AF4" s="166"/>
    </row>
    <row r="5" spans="2:35" ht="24.5" customHeight="1">
      <c r="B5" s="168"/>
      <c r="C5" s="169"/>
      <c r="D5" s="169"/>
      <c r="E5" s="169"/>
      <c r="F5" s="169"/>
      <c r="G5" s="170"/>
      <c r="H5" s="170"/>
      <c r="I5" s="170"/>
      <c r="J5" s="170"/>
      <c r="K5" s="170"/>
      <c r="L5" s="170"/>
      <c r="M5" s="170"/>
      <c r="N5" s="170"/>
      <c r="O5" s="171"/>
      <c r="P5" s="170"/>
      <c r="Q5" s="170"/>
      <c r="R5" s="170"/>
      <c r="S5" s="170"/>
      <c r="T5" s="172"/>
      <c r="U5" s="173"/>
      <c r="V5" s="174"/>
      <c r="W5" s="175"/>
      <c r="X5" s="176"/>
      <c r="Y5" s="177"/>
      <c r="Z5" s="177"/>
      <c r="AA5" s="178"/>
      <c r="AB5" s="420"/>
      <c r="AC5" s="420"/>
      <c r="AD5" s="2939"/>
      <c r="AE5" s="179"/>
    </row>
    <row r="6" spans="2:35" ht="44" customHeight="1">
      <c r="B6" s="180" t="s">
        <v>49</v>
      </c>
      <c r="C6" s="181">
        <v>629598</v>
      </c>
      <c r="D6" s="181">
        <v>355692</v>
      </c>
      <c r="E6" s="181">
        <v>348869</v>
      </c>
      <c r="F6" s="181">
        <v>625269</v>
      </c>
      <c r="G6" s="182">
        <v>742323</v>
      </c>
      <c r="H6" s="182">
        <f t="shared" ref="H6:V6" si="0">SUM(H9:H15)</f>
        <v>766283</v>
      </c>
      <c r="I6" s="182">
        <f t="shared" si="0"/>
        <v>673880</v>
      </c>
      <c r="J6" s="182">
        <f t="shared" si="0"/>
        <v>700998</v>
      </c>
      <c r="K6" s="182">
        <f t="shared" si="0"/>
        <v>815963</v>
      </c>
      <c r="L6" s="182">
        <f t="shared" si="0"/>
        <v>725571</v>
      </c>
      <c r="M6" s="182">
        <f t="shared" si="0"/>
        <v>695299</v>
      </c>
      <c r="N6" s="182">
        <f t="shared" si="0"/>
        <v>931803</v>
      </c>
      <c r="O6" s="182">
        <f t="shared" si="0"/>
        <v>946743</v>
      </c>
      <c r="P6" s="182">
        <f t="shared" si="0"/>
        <v>1014761</v>
      </c>
      <c r="Q6" s="301">
        <f t="shared" si="0"/>
        <v>1015645</v>
      </c>
      <c r="R6" s="301">
        <f>SUM(R9:R15)</f>
        <v>986370</v>
      </c>
      <c r="S6" s="301">
        <f t="shared" si="0"/>
        <v>931239</v>
      </c>
      <c r="T6" s="301">
        <f t="shared" si="0"/>
        <v>960617</v>
      </c>
      <c r="U6" s="301">
        <f t="shared" si="0"/>
        <v>1034332</v>
      </c>
      <c r="V6" s="301">
        <f t="shared" si="0"/>
        <v>1097213</v>
      </c>
      <c r="W6" s="301">
        <f>SUM(W9:W15)</f>
        <v>1011019</v>
      </c>
      <c r="X6" s="301">
        <f t="shared" ref="X6:AD6" si="1">SUM(X9:X15)</f>
        <v>1114756</v>
      </c>
      <c r="Y6" s="301">
        <f t="shared" si="1"/>
        <v>1228663</v>
      </c>
      <c r="Z6" s="301">
        <f t="shared" si="1"/>
        <v>1295128</v>
      </c>
      <c r="AA6" s="301">
        <f t="shared" si="1"/>
        <v>454945</v>
      </c>
      <c r="AB6" s="301">
        <f t="shared" si="1"/>
        <v>301675</v>
      </c>
      <c r="AC6" s="301">
        <f t="shared" si="1"/>
        <v>736955</v>
      </c>
      <c r="AD6" s="301">
        <f t="shared" si="1"/>
        <v>1047293</v>
      </c>
      <c r="AE6" s="302">
        <f>+AD6/AC6-1</f>
        <v>0.42110848016500335</v>
      </c>
      <c r="AF6" s="303"/>
    </row>
    <row r="7" spans="2:35" ht="44" customHeight="1">
      <c r="B7" s="168" t="s">
        <v>50</v>
      </c>
      <c r="C7" s="169"/>
      <c r="D7" s="169"/>
      <c r="E7" s="169"/>
      <c r="F7" s="183"/>
      <c r="G7" s="184"/>
      <c r="H7" s="184"/>
      <c r="I7" s="170"/>
      <c r="J7" s="170"/>
      <c r="K7" s="185"/>
      <c r="L7" s="185"/>
      <c r="M7" s="185"/>
      <c r="N7" s="185"/>
      <c r="O7" s="171"/>
      <c r="P7" s="186"/>
      <c r="Q7" s="4677"/>
      <c r="R7" s="304"/>
      <c r="S7" s="305"/>
      <c r="T7" s="306"/>
      <c r="U7" s="305"/>
      <c r="V7" s="306"/>
      <c r="W7" s="307"/>
      <c r="X7" s="307"/>
      <c r="Y7" s="307"/>
      <c r="Z7" s="307"/>
      <c r="AA7" s="308"/>
      <c r="AB7" s="421"/>
      <c r="AC7" s="421"/>
      <c r="AD7" s="2940"/>
      <c r="AE7" s="302"/>
      <c r="AF7" s="303"/>
    </row>
    <row r="8" spans="2:35" ht="44" customHeight="1">
      <c r="B8" s="168"/>
      <c r="C8" s="169"/>
      <c r="D8" s="169"/>
      <c r="E8" s="169"/>
      <c r="F8" s="183"/>
      <c r="G8" s="184"/>
      <c r="H8" s="170"/>
      <c r="I8" s="170"/>
      <c r="J8" s="170"/>
      <c r="K8" s="170"/>
      <c r="L8" s="170"/>
      <c r="M8" s="170"/>
      <c r="N8" s="170"/>
      <c r="O8" s="171"/>
      <c r="P8" s="186"/>
      <c r="Q8" s="4677"/>
      <c r="R8" s="304"/>
      <c r="S8" s="305"/>
      <c r="T8" s="306"/>
      <c r="U8" s="305"/>
      <c r="V8" s="306"/>
      <c r="W8" s="309"/>
      <c r="X8" s="310"/>
      <c r="Y8" s="310"/>
      <c r="Z8" s="310"/>
      <c r="AA8" s="308"/>
      <c r="AB8" s="421"/>
      <c r="AC8" s="421"/>
      <c r="AD8" s="2940"/>
      <c r="AE8" s="2073"/>
      <c r="AF8" s="303"/>
    </row>
    <row r="9" spans="2:35" ht="44" customHeight="1">
      <c r="B9" s="168" t="s">
        <v>51</v>
      </c>
      <c r="C9" s="169">
        <v>372068</v>
      </c>
      <c r="D9" s="169">
        <v>154379</v>
      </c>
      <c r="E9" s="169">
        <v>164932</v>
      </c>
      <c r="F9" s="183">
        <v>351233</v>
      </c>
      <c r="G9" s="184">
        <v>443551</v>
      </c>
      <c r="H9" s="184">
        <v>489912</v>
      </c>
      <c r="I9" s="184">
        <v>387180</v>
      </c>
      <c r="J9" s="184">
        <v>393240</v>
      </c>
      <c r="K9" s="184">
        <v>481279</v>
      </c>
      <c r="L9" s="184">
        <v>394364</v>
      </c>
      <c r="M9" s="184">
        <v>359593</v>
      </c>
      <c r="N9" s="184">
        <v>610345</v>
      </c>
      <c r="O9" s="184">
        <v>619680</v>
      </c>
      <c r="P9" s="186">
        <v>699306</v>
      </c>
      <c r="Q9" s="4677">
        <v>670043</v>
      </c>
      <c r="R9" s="305">
        <v>630304</v>
      </c>
      <c r="S9" s="305">
        <v>571894</v>
      </c>
      <c r="T9" s="306">
        <v>594118</v>
      </c>
      <c r="U9" s="305">
        <v>641452</v>
      </c>
      <c r="V9" s="306">
        <v>677394</v>
      </c>
      <c r="W9" s="309">
        <f>+'Visitor Category'!CL36+587953*0</f>
        <v>587421</v>
      </c>
      <c r="X9" s="311">
        <f>'Visitor Category'!CQ36</f>
        <v>669217</v>
      </c>
      <c r="Y9" s="312">
        <f>'Visitor Category'!CV36</f>
        <v>760306</v>
      </c>
      <c r="Z9" s="312">
        <f>'Visitor Category'!DA36</f>
        <v>796211</v>
      </c>
      <c r="AA9" s="308">
        <f>'Visitor Category'!DF36</f>
        <v>297885</v>
      </c>
      <c r="AB9" s="421">
        <f>'Visitor Category'!DK36</f>
        <v>93610</v>
      </c>
      <c r="AC9" s="421">
        <f>'Visitor Category'!DP36</f>
        <v>349922</v>
      </c>
      <c r="AD9" s="2940">
        <f>'Visitor Category'!DU36</f>
        <v>614980</v>
      </c>
      <c r="AE9" s="2073">
        <f>+AD9/AC9-1</f>
        <v>0.7574773806734072</v>
      </c>
      <c r="AF9" s="303"/>
      <c r="AG9" s="2726"/>
      <c r="AI9" s="206"/>
    </row>
    <row r="10" spans="2:35" ht="44" customHeight="1">
      <c r="B10" s="168"/>
      <c r="C10" s="169"/>
      <c r="D10" s="169"/>
      <c r="E10" s="169"/>
      <c r="F10" s="183"/>
      <c r="G10" s="184"/>
      <c r="H10" s="184"/>
      <c r="I10" s="184"/>
      <c r="J10" s="184"/>
      <c r="K10" s="185"/>
      <c r="L10" s="185"/>
      <c r="M10" s="185"/>
      <c r="N10" s="185"/>
      <c r="O10" s="171"/>
      <c r="P10" s="186"/>
      <c r="Q10" s="4677"/>
      <c r="R10" s="304"/>
      <c r="S10" s="305"/>
      <c r="T10" s="313"/>
      <c r="U10" s="313"/>
      <c r="V10" s="313"/>
      <c r="W10" s="313"/>
      <c r="X10" s="310"/>
      <c r="Y10" s="310"/>
      <c r="Z10" s="310"/>
      <c r="AA10" s="252"/>
      <c r="AB10" s="422"/>
      <c r="AC10" s="422"/>
      <c r="AD10" s="2941"/>
      <c r="AE10" s="2073"/>
      <c r="AF10" s="303"/>
      <c r="AI10" s="206"/>
    </row>
    <row r="11" spans="2:35" ht="44" customHeight="1">
      <c r="B11" s="168" t="s">
        <v>52</v>
      </c>
      <c r="C11" s="169">
        <v>252237</v>
      </c>
      <c r="D11" s="169">
        <v>194623</v>
      </c>
      <c r="E11" s="169">
        <v>177488</v>
      </c>
      <c r="F11" s="183">
        <v>263793</v>
      </c>
      <c r="G11" s="184">
        <v>269850</v>
      </c>
      <c r="H11" s="184">
        <v>250132</v>
      </c>
      <c r="I11" s="184">
        <v>253463</v>
      </c>
      <c r="J11" s="184">
        <v>276948</v>
      </c>
      <c r="K11" s="184">
        <v>298431</v>
      </c>
      <c r="L11" s="184">
        <v>296678</v>
      </c>
      <c r="M11" s="184">
        <v>302510</v>
      </c>
      <c r="N11" s="184">
        <v>287518</v>
      </c>
      <c r="O11" s="184">
        <v>295761</v>
      </c>
      <c r="P11" s="186">
        <v>278491</v>
      </c>
      <c r="Q11" s="4677">
        <v>305937</v>
      </c>
      <c r="R11" s="305">
        <v>312404</v>
      </c>
      <c r="S11" s="305">
        <v>306801</v>
      </c>
      <c r="T11" s="306">
        <v>318626</v>
      </c>
      <c r="U11" s="305">
        <v>338158</v>
      </c>
      <c r="V11" s="306">
        <v>344908</v>
      </c>
      <c r="W11" s="309">
        <f>+'Visitor Category'!CI36</f>
        <v>347872</v>
      </c>
      <c r="X11" s="311">
        <f>'Visitor Category'!CN36</f>
        <v>386127</v>
      </c>
      <c r="Y11" s="312">
        <f>'Visitor Category'!CS36</f>
        <v>394780</v>
      </c>
      <c r="Z11" s="312">
        <f>'Visitor Category'!CX36</f>
        <v>423736</v>
      </c>
      <c r="AA11" s="308">
        <f>'Visitor Category'!DC36</f>
        <v>130781</v>
      </c>
      <c r="AB11" s="423">
        <f>'Visitor Category'!DH36</f>
        <v>199347</v>
      </c>
      <c r="AC11" s="421">
        <f>'Visitor Category'!DM36</f>
        <v>356237</v>
      </c>
      <c r="AD11" s="2940">
        <f>'Visitor Category'!DR36</f>
        <v>380791</v>
      </c>
      <c r="AE11" s="2073">
        <f>+AD11/AC11-1</f>
        <v>6.8926023967190275E-2</v>
      </c>
      <c r="AF11" s="303"/>
      <c r="AG11" s="207"/>
      <c r="AI11" s="206"/>
    </row>
    <row r="12" spans="2:35" ht="44" customHeight="1">
      <c r="B12" s="168"/>
      <c r="C12" s="169"/>
      <c r="D12" s="169"/>
      <c r="E12" s="169"/>
      <c r="F12" s="183"/>
      <c r="G12" s="184"/>
      <c r="H12" s="184"/>
      <c r="I12" s="184"/>
      <c r="J12" s="184"/>
      <c r="K12" s="185"/>
      <c r="L12" s="185"/>
      <c r="M12" s="185"/>
      <c r="N12" s="185"/>
      <c r="O12" s="185"/>
      <c r="P12" s="186"/>
      <c r="Q12" s="4677"/>
      <c r="R12" s="304"/>
      <c r="S12" s="305"/>
      <c r="T12" s="306"/>
      <c r="U12" s="305"/>
      <c r="V12" s="306"/>
      <c r="W12" s="309"/>
      <c r="X12" s="314"/>
      <c r="Y12" s="314"/>
      <c r="Z12" s="314"/>
      <c r="AA12" s="308"/>
      <c r="AB12" s="423"/>
      <c r="AC12" s="421"/>
      <c r="AD12" s="2940"/>
      <c r="AE12" s="2073"/>
      <c r="AF12" s="315"/>
      <c r="AI12" s="206"/>
    </row>
    <row r="13" spans="2:35" ht="44" customHeight="1">
      <c r="B13" s="168" t="s">
        <v>53</v>
      </c>
      <c r="C13" s="169" t="s">
        <v>54</v>
      </c>
      <c r="D13" s="169"/>
      <c r="E13" s="169"/>
      <c r="F13" s="183" t="s">
        <v>54</v>
      </c>
      <c r="G13" s="184">
        <v>16069</v>
      </c>
      <c r="H13" s="184">
        <v>19817</v>
      </c>
      <c r="I13" s="184">
        <v>25516</v>
      </c>
      <c r="J13" s="184">
        <v>17993</v>
      </c>
      <c r="K13" s="184">
        <v>24812</v>
      </c>
      <c r="L13" s="184">
        <v>26988</v>
      </c>
      <c r="M13" s="184">
        <v>26145</v>
      </c>
      <c r="N13" s="184">
        <v>26163</v>
      </c>
      <c r="O13" s="184">
        <v>22422</v>
      </c>
      <c r="P13" s="186">
        <v>31997</v>
      </c>
      <c r="Q13" s="4677">
        <v>32052</v>
      </c>
      <c r="R13" s="305">
        <v>33139</v>
      </c>
      <c r="S13" s="305">
        <v>42173</v>
      </c>
      <c r="T13" s="306">
        <v>39646</v>
      </c>
      <c r="U13" s="305">
        <v>47196</v>
      </c>
      <c r="V13" s="306">
        <v>65831</v>
      </c>
      <c r="W13" s="309">
        <f>+'Visitor Category'!CK36+56268*0</f>
        <v>63243</v>
      </c>
      <c r="X13" s="311">
        <f>'Visitor Category'!CP36</f>
        <v>50197</v>
      </c>
      <c r="Y13" s="312">
        <f>'Visitor Category'!CU36</f>
        <v>63596</v>
      </c>
      <c r="Z13" s="312">
        <f>'Visitor Category'!CZ36</f>
        <v>66202</v>
      </c>
      <c r="AA13" s="308">
        <f>'Visitor Category'!DE36</f>
        <v>22323</v>
      </c>
      <c r="AB13" s="423">
        <f>'Visitor Category'!DJ36</f>
        <v>4666</v>
      </c>
      <c r="AC13" s="421">
        <f>'Visitor Category'!DO36</f>
        <v>22904</v>
      </c>
      <c r="AD13" s="2940">
        <f>'Visitor Category'!DT36</f>
        <v>40295</v>
      </c>
      <c r="AE13" s="2073">
        <f>+AD13/AC13-1</f>
        <v>0.75929968564442896</v>
      </c>
      <c r="AF13" s="315"/>
      <c r="AG13" s="207"/>
      <c r="AH13" s="187"/>
      <c r="AI13" s="206"/>
    </row>
    <row r="14" spans="2:35" ht="44" customHeight="1">
      <c r="B14" s="168"/>
      <c r="C14" s="169"/>
      <c r="D14" s="169"/>
      <c r="E14" s="169"/>
      <c r="F14" s="183"/>
      <c r="G14" s="184"/>
      <c r="H14" s="184"/>
      <c r="I14" s="184"/>
      <c r="J14" s="188"/>
      <c r="K14" s="185"/>
      <c r="L14" s="185"/>
      <c r="M14" s="185"/>
      <c r="N14" s="185"/>
      <c r="O14" s="171"/>
      <c r="P14" s="186"/>
      <c r="Q14" s="4677"/>
      <c r="R14" s="304"/>
      <c r="S14" s="305"/>
      <c r="T14" s="306"/>
      <c r="U14" s="305"/>
      <c r="V14" s="306"/>
      <c r="W14" s="309"/>
      <c r="X14" s="311"/>
      <c r="Y14" s="312"/>
      <c r="Z14" s="312"/>
      <c r="AA14" s="308"/>
      <c r="AB14" s="423"/>
      <c r="AC14" s="421"/>
      <c r="AD14" s="2940"/>
      <c r="AE14" s="2073"/>
      <c r="AF14" s="315"/>
      <c r="AG14" s="187"/>
      <c r="AH14" s="187"/>
      <c r="AI14" s="206"/>
    </row>
    <row r="15" spans="2:35" ht="44" customHeight="1">
      <c r="B15" s="168" t="s">
        <v>55</v>
      </c>
      <c r="C15" s="169">
        <v>5293</v>
      </c>
      <c r="D15" s="169">
        <v>6690</v>
      </c>
      <c r="E15" s="169">
        <v>6449</v>
      </c>
      <c r="F15" s="183">
        <v>10243</v>
      </c>
      <c r="G15" s="184">
        <v>12853</v>
      </c>
      <c r="H15" s="184">
        <v>6422</v>
      </c>
      <c r="I15" s="184">
        <v>7721</v>
      </c>
      <c r="J15" s="184">
        <v>12817</v>
      </c>
      <c r="K15" s="184">
        <v>11441</v>
      </c>
      <c r="L15" s="184">
        <v>7541</v>
      </c>
      <c r="M15" s="184">
        <v>7051</v>
      </c>
      <c r="N15" s="184">
        <v>7777</v>
      </c>
      <c r="O15" s="184">
        <v>8880</v>
      </c>
      <c r="P15" s="186">
        <v>4967</v>
      </c>
      <c r="Q15" s="4677">
        <v>7613</v>
      </c>
      <c r="R15" s="305">
        <v>10523</v>
      </c>
      <c r="S15" s="305">
        <v>10371</v>
      </c>
      <c r="T15" s="306">
        <v>8227</v>
      </c>
      <c r="U15" s="305">
        <v>7526</v>
      </c>
      <c r="V15" s="306">
        <v>9080</v>
      </c>
      <c r="W15" s="309">
        <f>+'Visitor Category'!CJ36</f>
        <v>12483</v>
      </c>
      <c r="X15" s="311">
        <f>'Visitor Category'!CO36</f>
        <v>9215</v>
      </c>
      <c r="Y15" s="312">
        <f>'Visitor Category'!CT36</f>
        <v>9981</v>
      </c>
      <c r="Z15" s="312">
        <f>'Visitor Category'!CY36</f>
        <v>8979</v>
      </c>
      <c r="AA15" s="308">
        <f>'Visitor Category'!DD36</f>
        <v>3956</v>
      </c>
      <c r="AB15" s="423">
        <f>'Visitor Category'!DI36</f>
        <v>4052</v>
      </c>
      <c r="AC15" s="421">
        <f>'Visitor Category'!DN36</f>
        <v>7892</v>
      </c>
      <c r="AD15" s="2940">
        <f>'Visitor Category'!DS36</f>
        <v>11227</v>
      </c>
      <c r="AE15" s="2073">
        <f>+AD15/AC15-1</f>
        <v>0.42257982767359348</v>
      </c>
      <c r="AF15" s="315"/>
      <c r="AI15" s="206"/>
    </row>
    <row r="16" spans="2:35" ht="44" customHeight="1">
      <c r="B16" s="168"/>
      <c r="C16" s="169"/>
      <c r="D16" s="169"/>
      <c r="E16" s="169"/>
      <c r="F16" s="183"/>
      <c r="G16" s="184"/>
      <c r="H16" s="170"/>
      <c r="I16" s="170"/>
      <c r="J16" s="185"/>
      <c r="K16" s="185"/>
      <c r="L16" s="185"/>
      <c r="M16" s="185"/>
      <c r="N16" s="185"/>
      <c r="O16" s="171"/>
      <c r="P16" s="186"/>
      <c r="Q16" s="4677"/>
      <c r="R16" s="316"/>
      <c r="S16" s="316"/>
      <c r="T16" s="316"/>
      <c r="U16" s="316"/>
      <c r="V16" s="317"/>
      <c r="W16" s="307"/>
      <c r="X16" s="318"/>
      <c r="Y16" s="319"/>
      <c r="Z16" s="319"/>
      <c r="AA16" s="252"/>
      <c r="AB16" s="424"/>
      <c r="AC16" s="422"/>
      <c r="AD16" s="2941"/>
      <c r="AE16" s="2073"/>
      <c r="AF16" s="320"/>
    </row>
    <row r="17" spans="2:32" s="208" customFormat="1" ht="44" customHeight="1">
      <c r="B17" s="180" t="s">
        <v>748</v>
      </c>
      <c r="C17" s="4616"/>
      <c r="D17" s="4616"/>
      <c r="E17" s="4616"/>
      <c r="F17" s="4616"/>
      <c r="G17" s="4617">
        <v>1.9943230000000001</v>
      </c>
      <c r="H17" s="4617">
        <v>1.7839531910000002</v>
      </c>
      <c r="I17" s="4617">
        <v>1.773075</v>
      </c>
      <c r="J17" s="4617">
        <v>2.0679699999999999</v>
      </c>
      <c r="K17" s="4617">
        <v>2.1897377999999996</v>
      </c>
      <c r="L17" s="4617">
        <v>2.3282630758652174</v>
      </c>
      <c r="M17" s="4617">
        <v>2.2645713486930585</v>
      </c>
      <c r="N17" s="4617">
        <v>2.097178</v>
      </c>
      <c r="O17" s="4617">
        <v>2.14422304</v>
      </c>
      <c r="P17" s="4618">
        <v>2.0888320400000002</v>
      </c>
      <c r="Q17" s="4678">
        <v>2.26028429</v>
      </c>
      <c r="R17" s="4602">
        <v>2.1317750000000002</v>
      </c>
      <c r="S17" s="4602">
        <v>2.221349</v>
      </c>
      <c r="T17" s="4619">
        <f>S17*1.057</f>
        <v>2.347965893</v>
      </c>
      <c r="U17" s="4602">
        <v>2.46</v>
      </c>
      <c r="V17" s="4619">
        <v>2.4</v>
      </c>
      <c r="W17" s="4620">
        <v>2.31</v>
      </c>
      <c r="X17" s="4621">
        <v>2.5647950000000002</v>
      </c>
      <c r="Y17" s="4622">
        <v>2.6824780000000001</v>
      </c>
      <c r="Z17" s="4622">
        <v>2.7896939999999999</v>
      </c>
      <c r="AA17" s="4623">
        <v>1.0361050000000001</v>
      </c>
      <c r="AB17" s="4624">
        <v>1.6024989999999999</v>
      </c>
      <c r="AC17" s="4625">
        <v>2.57</v>
      </c>
      <c r="AD17" s="4626">
        <v>2.52</v>
      </c>
      <c r="AE17" s="302">
        <f>+AD17/AC17-1</f>
        <v>-1.9455252918287869E-2</v>
      </c>
      <c r="AF17" s="320"/>
    </row>
    <row r="18" spans="2:32" ht="44" customHeight="1">
      <c r="B18" s="168"/>
      <c r="C18" s="169"/>
      <c r="D18" s="169"/>
      <c r="E18" s="169"/>
      <c r="F18" s="191"/>
      <c r="G18" s="192"/>
      <c r="H18" s="170"/>
      <c r="I18" s="170"/>
      <c r="J18" s="189"/>
      <c r="K18" s="189"/>
      <c r="L18" s="189"/>
      <c r="M18" s="189"/>
      <c r="N18" s="189"/>
      <c r="O18" s="189"/>
      <c r="P18" s="189"/>
      <c r="Q18" s="316"/>
      <c r="R18" s="304"/>
      <c r="S18" s="323"/>
      <c r="T18" s="324"/>
      <c r="U18" s="323"/>
      <c r="V18" s="324"/>
      <c r="W18" s="325"/>
      <c r="X18" s="326"/>
      <c r="Y18" s="327"/>
      <c r="Z18" s="327"/>
      <c r="AA18" s="328"/>
      <c r="AB18" s="426"/>
      <c r="AC18" s="2332"/>
      <c r="AD18" s="2943"/>
      <c r="AE18" s="302"/>
      <c r="AF18" s="320"/>
    </row>
    <row r="19" spans="2:32" s="208" customFormat="1" ht="48" customHeight="1">
      <c r="B19" s="180" t="s">
        <v>774</v>
      </c>
      <c r="C19" s="4594">
        <v>765</v>
      </c>
      <c r="D19" s="4594">
        <v>585.29999999999995</v>
      </c>
      <c r="E19" s="4594">
        <v>565.19000000000005</v>
      </c>
      <c r="F19" s="4594">
        <v>740</v>
      </c>
      <c r="G19" s="4595">
        <v>752.3</v>
      </c>
      <c r="H19" s="4606">
        <f>+H20+H21</f>
        <v>629</v>
      </c>
      <c r="I19" s="4595">
        <f>+I20+I21</f>
        <v>567</v>
      </c>
      <c r="J19" s="4595">
        <f>+J20+J21</f>
        <v>761</v>
      </c>
      <c r="K19" s="4595">
        <f>+K20+K21</f>
        <v>879</v>
      </c>
      <c r="L19" s="4595">
        <f t="shared" ref="L19:R19" si="2">L20+L21</f>
        <v>919</v>
      </c>
      <c r="M19" s="4595">
        <f t="shared" si="2"/>
        <v>768</v>
      </c>
      <c r="N19" s="4607">
        <f t="shared" si="2"/>
        <v>1439</v>
      </c>
      <c r="O19" s="4607">
        <f t="shared" si="2"/>
        <v>1233</v>
      </c>
      <c r="P19" s="4607">
        <f t="shared" si="2"/>
        <v>1122</v>
      </c>
      <c r="Q19" s="4608">
        <f t="shared" si="2"/>
        <v>1500</v>
      </c>
      <c r="R19" s="4608">
        <f t="shared" si="2"/>
        <v>1554</v>
      </c>
      <c r="S19" s="4608">
        <f>S20+S21</f>
        <v>1602.4</v>
      </c>
      <c r="T19" s="4608">
        <f>T20+T21</f>
        <v>1763.73</v>
      </c>
      <c r="U19" s="4608">
        <f>U20+U21</f>
        <v>2015.33</v>
      </c>
      <c r="V19" s="4609">
        <v>2070.9</v>
      </c>
      <c r="W19" s="4610">
        <v>1970.96</v>
      </c>
      <c r="X19" s="4611">
        <v>2196.31990890931</v>
      </c>
      <c r="Y19" s="4611">
        <v>2342.9006584216199</v>
      </c>
      <c r="Z19" s="4611">
        <v>2604.4973772131698</v>
      </c>
      <c r="AA19" s="4612" t="s">
        <v>54</v>
      </c>
      <c r="AB19" s="4613">
        <v>1524.1</v>
      </c>
      <c r="AC19" s="4614">
        <v>2841.4208234916778</v>
      </c>
      <c r="AD19" s="4615">
        <v>3067.5528732542293</v>
      </c>
      <c r="AE19" s="302">
        <f>AD19/AC19-1</f>
        <v>7.9584146034612946E-2</v>
      </c>
      <c r="AF19" s="320"/>
    </row>
    <row r="20" spans="2:32" ht="48" customHeight="1">
      <c r="B20" s="168" t="s">
        <v>15</v>
      </c>
      <c r="C20" s="194"/>
      <c r="D20" s="194"/>
      <c r="E20" s="194"/>
      <c r="F20" s="194"/>
      <c r="G20" s="195"/>
      <c r="H20" s="195">
        <v>560</v>
      </c>
      <c r="I20" s="195">
        <v>522</v>
      </c>
      <c r="J20" s="195">
        <v>706</v>
      </c>
      <c r="K20" s="195">
        <v>817</v>
      </c>
      <c r="L20" s="195">
        <v>864</v>
      </c>
      <c r="M20" s="195">
        <v>724</v>
      </c>
      <c r="N20" s="196">
        <v>1364</v>
      </c>
      <c r="O20" s="196">
        <v>1175</v>
      </c>
      <c r="P20" s="196">
        <v>1059</v>
      </c>
      <c r="Q20" s="329">
        <v>1442</v>
      </c>
      <c r="R20" s="329">
        <v>1500</v>
      </c>
      <c r="S20" s="329">
        <v>1553.4</v>
      </c>
      <c r="T20" s="330">
        <v>1712.73</v>
      </c>
      <c r="U20" s="329">
        <v>1960.23</v>
      </c>
      <c r="V20" s="330">
        <v>2012.7</v>
      </c>
      <c r="W20" s="331">
        <v>1914.5</v>
      </c>
      <c r="X20" s="332">
        <f>+X19-X21</f>
        <v>2134.8229514598493</v>
      </c>
      <c r="Y20" s="332">
        <v>2342.9006584216199</v>
      </c>
      <c r="Z20" s="332">
        <v>2604.4973772131698</v>
      </c>
      <c r="AA20" s="333" t="s">
        <v>54</v>
      </c>
      <c r="AB20" s="358">
        <v>1524.1</v>
      </c>
      <c r="AC20" s="2333">
        <v>2841.4208234916778</v>
      </c>
      <c r="AD20" s="2944">
        <v>3067.5528732542293</v>
      </c>
      <c r="AE20" s="2073">
        <f>AD20/AC20-1</f>
        <v>7.9584146034612946E-2</v>
      </c>
      <c r="AF20" s="320"/>
    </row>
    <row r="21" spans="2:32" ht="48" customHeight="1">
      <c r="B21" s="168" t="s">
        <v>16</v>
      </c>
      <c r="C21" s="194"/>
      <c r="D21" s="194"/>
      <c r="E21" s="194"/>
      <c r="F21" s="194"/>
      <c r="G21" s="195"/>
      <c r="H21" s="195">
        <v>69</v>
      </c>
      <c r="I21" s="195">
        <v>45</v>
      </c>
      <c r="J21" s="195">
        <v>55</v>
      </c>
      <c r="K21" s="195">
        <v>62</v>
      </c>
      <c r="L21" s="195">
        <v>55</v>
      </c>
      <c r="M21" s="195">
        <v>44</v>
      </c>
      <c r="N21" s="196">
        <v>75</v>
      </c>
      <c r="O21" s="196">
        <v>58</v>
      </c>
      <c r="P21" s="196">
        <v>63</v>
      </c>
      <c r="Q21" s="329">
        <v>58</v>
      </c>
      <c r="R21" s="329">
        <v>54</v>
      </c>
      <c r="S21" s="329">
        <v>49</v>
      </c>
      <c r="T21" s="330">
        <v>51</v>
      </c>
      <c r="U21" s="329">
        <v>55.1</v>
      </c>
      <c r="V21" s="330">
        <v>58.2</v>
      </c>
      <c r="W21" s="331">
        <v>56.455199999999998</v>
      </c>
      <c r="X21" s="332">
        <f>0.028*X19</f>
        <v>61.49695744946068</v>
      </c>
      <c r="Y21" s="321" t="s">
        <v>54</v>
      </c>
      <c r="Z21" s="321" t="s">
        <v>54</v>
      </c>
      <c r="AA21" s="334" t="s">
        <v>54</v>
      </c>
      <c r="AB21" s="334" t="s">
        <v>54</v>
      </c>
      <c r="AC21" s="2333" t="s">
        <v>54</v>
      </c>
      <c r="AD21" s="2944" t="s">
        <v>54</v>
      </c>
      <c r="AE21" s="302"/>
      <c r="AF21" s="320"/>
    </row>
    <row r="22" spans="2:32" ht="44" customHeight="1">
      <c r="B22" s="168"/>
      <c r="C22" s="194"/>
      <c r="D22" s="194"/>
      <c r="E22" s="194"/>
      <c r="F22" s="194"/>
      <c r="G22" s="195"/>
      <c r="H22" s="195"/>
      <c r="I22" s="196"/>
      <c r="J22" s="196"/>
      <c r="K22" s="196"/>
      <c r="L22" s="196"/>
      <c r="M22" s="196"/>
      <c r="N22" s="196"/>
      <c r="O22" s="196"/>
      <c r="P22" s="196"/>
      <c r="Q22" s="329"/>
      <c r="R22" s="335"/>
      <c r="S22" s="336"/>
      <c r="T22" s="337"/>
      <c r="U22" s="338"/>
      <c r="V22" s="339"/>
      <c r="W22" s="339"/>
      <c r="X22" s="2723"/>
      <c r="Y22" s="321"/>
      <c r="Z22" s="321"/>
      <c r="AA22" s="322"/>
      <c r="AB22" s="425"/>
      <c r="AC22" s="2331"/>
      <c r="AD22" s="2942"/>
      <c r="AE22" s="302"/>
      <c r="AF22" s="320"/>
    </row>
    <row r="23" spans="2:32" s="208" customFormat="1" ht="44" customHeight="1">
      <c r="B23" s="180" t="s">
        <v>2329</v>
      </c>
      <c r="C23" s="4594">
        <v>75.3</v>
      </c>
      <c r="D23" s="4594">
        <v>67.900000000000006</v>
      </c>
      <c r="E23" s="4594">
        <v>73.7</v>
      </c>
      <c r="F23" s="4594">
        <v>72.5</v>
      </c>
      <c r="G23" s="4595">
        <v>63.8</v>
      </c>
      <c r="H23" s="4595">
        <v>57</v>
      </c>
      <c r="I23" s="4596">
        <v>56.1</v>
      </c>
      <c r="J23" s="4596">
        <v>62.7</v>
      </c>
      <c r="K23" s="4596">
        <v>61.9</v>
      </c>
      <c r="L23" s="4596">
        <v>68.7</v>
      </c>
      <c r="M23" s="4596">
        <v>64.900000000000006</v>
      </c>
      <c r="N23" s="4596">
        <v>64.900000000000006</v>
      </c>
      <c r="O23" s="4595">
        <v>61.63</v>
      </c>
      <c r="P23" s="4597">
        <f t="shared" ref="P23:U23" si="3">AVERAGE(P25:P31)</f>
        <v>53.333333333333336</v>
      </c>
      <c r="Q23" s="4598">
        <f t="shared" si="3"/>
        <v>58.666666666666664</v>
      </c>
      <c r="R23" s="4598">
        <f t="shared" si="3"/>
        <v>58.333333333333336</v>
      </c>
      <c r="S23" s="4599">
        <f t="shared" si="3"/>
        <v>62.333333333333336</v>
      </c>
      <c r="T23" s="4599">
        <f t="shared" si="3"/>
        <v>64.576666666666668</v>
      </c>
      <c r="U23" s="4599">
        <f t="shared" si="3"/>
        <v>68.350000000000009</v>
      </c>
      <c r="V23" s="4600">
        <v>70</v>
      </c>
      <c r="W23" s="4601">
        <v>61.7</v>
      </c>
      <c r="X23" s="4602" t="s">
        <v>54</v>
      </c>
      <c r="Y23" s="4602" t="s">
        <v>54</v>
      </c>
      <c r="Z23" s="4603">
        <v>71.099999999999994</v>
      </c>
      <c r="AA23" s="4604">
        <v>37.299999999999997</v>
      </c>
      <c r="AB23" s="4604">
        <v>48.8</v>
      </c>
      <c r="AC23" s="4604">
        <v>70.400000000000006</v>
      </c>
      <c r="AD23" s="4605">
        <v>69.099999999999994</v>
      </c>
      <c r="AE23" s="302">
        <f>+AD23/AC23-1</f>
        <v>-1.8465909090909283E-2</v>
      </c>
      <c r="AF23" s="320"/>
    </row>
    <row r="24" spans="2:32" ht="44" customHeight="1">
      <c r="B24" s="168"/>
      <c r="C24" s="194"/>
      <c r="D24" s="194"/>
      <c r="E24" s="194"/>
      <c r="F24" s="194"/>
      <c r="G24" s="195"/>
      <c r="H24" s="195"/>
      <c r="I24" s="170"/>
      <c r="J24" s="170"/>
      <c r="K24" s="170"/>
      <c r="L24" s="170"/>
      <c r="M24" s="170"/>
      <c r="N24" s="170"/>
      <c r="O24" s="171"/>
      <c r="P24" s="193"/>
      <c r="Q24" s="323"/>
      <c r="R24" s="304"/>
      <c r="S24" s="323"/>
      <c r="T24" s="324"/>
      <c r="U24" s="340"/>
      <c r="V24" s="341"/>
      <c r="W24" s="342"/>
      <c r="X24" s="343"/>
      <c r="Y24" s="343"/>
      <c r="Z24" s="343"/>
      <c r="AA24" s="2724"/>
      <c r="AB24" s="2724"/>
      <c r="AC24" s="4526"/>
      <c r="AD24" s="2945"/>
      <c r="AE24" s="302"/>
      <c r="AF24" s="320"/>
    </row>
    <row r="25" spans="2:32" s="4573" customFormat="1" ht="44" customHeight="1">
      <c r="B25" s="4561" t="s">
        <v>559</v>
      </c>
      <c r="C25" s="4562">
        <v>81.991666666666674</v>
      </c>
      <c r="D25" s="4563"/>
      <c r="E25" s="4563"/>
      <c r="F25" s="4562">
        <v>79.466666666666669</v>
      </c>
      <c r="G25" s="4564">
        <v>77.95</v>
      </c>
      <c r="H25" s="4564">
        <v>79.2</v>
      </c>
      <c r="I25" s="4565">
        <v>72.5</v>
      </c>
      <c r="J25" s="4565">
        <v>73.8</v>
      </c>
      <c r="K25" s="4565">
        <v>73.599999999999994</v>
      </c>
      <c r="L25" s="4564">
        <v>74</v>
      </c>
      <c r="M25" s="4564">
        <v>67.400000000000006</v>
      </c>
      <c r="N25" s="4564">
        <v>62.8</v>
      </c>
      <c r="O25" s="4565">
        <v>67.2</v>
      </c>
      <c r="P25" s="4566">
        <v>54</v>
      </c>
      <c r="Q25" s="323">
        <v>67</v>
      </c>
      <c r="R25" s="4567">
        <v>63</v>
      </c>
      <c r="S25" s="346">
        <v>74</v>
      </c>
      <c r="T25" s="345">
        <v>78.55</v>
      </c>
      <c r="U25" s="346">
        <v>77.790000000000006</v>
      </c>
      <c r="V25" s="4568">
        <v>78</v>
      </c>
      <c r="W25" s="4569">
        <v>74.599999999999994</v>
      </c>
      <c r="X25" s="4570" t="s">
        <v>54</v>
      </c>
      <c r="Y25" s="4570" t="s">
        <v>54</v>
      </c>
      <c r="Z25" s="4567">
        <v>73.3</v>
      </c>
      <c r="AA25" s="4716" t="s">
        <v>54</v>
      </c>
      <c r="AB25" s="4716" t="s">
        <v>54</v>
      </c>
      <c r="AC25" s="4716">
        <v>75</v>
      </c>
      <c r="AD25" s="4716">
        <v>72.2</v>
      </c>
      <c r="AE25" s="4571">
        <f>+AD25/AC25-1</f>
        <v>-3.7333333333333329E-2</v>
      </c>
      <c r="AF25" s="4572"/>
    </row>
    <row r="26" spans="2:32" s="4573" customFormat="1" ht="44" customHeight="1">
      <c r="B26" s="4561"/>
      <c r="C26" s="4562"/>
      <c r="D26" s="4563"/>
      <c r="E26" s="4563"/>
      <c r="F26" s="4562"/>
      <c r="G26" s="4564"/>
      <c r="H26" s="4564"/>
      <c r="I26" s="4565"/>
      <c r="J26" s="4565"/>
      <c r="K26" s="4574"/>
      <c r="L26" s="4574"/>
      <c r="M26" s="4574"/>
      <c r="N26" s="4574"/>
      <c r="O26" s="4575"/>
      <c r="P26" s="4566"/>
      <c r="Q26" s="323"/>
      <c r="R26" s="4567"/>
      <c r="S26" s="346"/>
      <c r="T26" s="345"/>
      <c r="U26" s="346"/>
      <c r="V26" s="4568"/>
      <c r="W26" s="4569"/>
      <c r="X26" s="4576"/>
      <c r="Y26" s="4576"/>
      <c r="Z26" s="4576"/>
      <c r="AA26" s="4716"/>
      <c r="AB26" s="4716"/>
      <c r="AC26" s="4716"/>
      <c r="AD26" s="4716"/>
      <c r="AE26" s="4577"/>
      <c r="AF26" s="4572"/>
    </row>
    <row r="27" spans="2:32" s="4573" customFormat="1" ht="44" customHeight="1">
      <c r="B27" s="4561" t="s">
        <v>2328</v>
      </c>
      <c r="C27" s="4562" t="s">
        <v>54</v>
      </c>
      <c r="D27" s="4563"/>
      <c r="E27" s="4563"/>
      <c r="F27" s="4562" t="s">
        <v>54</v>
      </c>
      <c r="G27" s="4564" t="s">
        <v>54</v>
      </c>
      <c r="H27" s="4564" t="s">
        <v>54</v>
      </c>
      <c r="I27" s="4565" t="s">
        <v>54</v>
      </c>
      <c r="J27" s="4565">
        <v>61.8</v>
      </c>
      <c r="K27" s="4565">
        <v>69.900000000000006</v>
      </c>
      <c r="L27" s="4565" t="s">
        <v>54</v>
      </c>
      <c r="M27" s="4565" t="s">
        <v>54</v>
      </c>
      <c r="N27" s="4565" t="s">
        <v>54</v>
      </c>
      <c r="O27" s="4575" t="s">
        <v>54</v>
      </c>
      <c r="P27" s="4575" t="s">
        <v>54</v>
      </c>
      <c r="Q27" s="321" t="s">
        <v>54</v>
      </c>
      <c r="R27" s="4570" t="s">
        <v>54</v>
      </c>
      <c r="S27" s="4570" t="s">
        <v>54</v>
      </c>
      <c r="T27" s="4570" t="s">
        <v>54</v>
      </c>
      <c r="U27" s="4570" t="s">
        <v>54</v>
      </c>
      <c r="V27" s="4570" t="s">
        <v>54</v>
      </c>
      <c r="W27" s="4570" t="s">
        <v>54</v>
      </c>
      <c r="X27" s="4570" t="s">
        <v>54</v>
      </c>
      <c r="Y27" s="4570" t="s">
        <v>54</v>
      </c>
      <c r="Z27" s="4567" t="s">
        <v>54</v>
      </c>
      <c r="AA27" s="4716" t="s">
        <v>54</v>
      </c>
      <c r="AB27" s="4716" t="s">
        <v>54</v>
      </c>
      <c r="AC27" s="4716" t="s">
        <v>54</v>
      </c>
      <c r="AD27" s="4716" t="s">
        <v>54</v>
      </c>
      <c r="AE27" s="4577"/>
      <c r="AF27" s="4578"/>
    </row>
    <row r="28" spans="2:32" s="4573" customFormat="1" ht="44" customHeight="1">
      <c r="B28" s="4561"/>
      <c r="C28" s="4562"/>
      <c r="D28" s="4563"/>
      <c r="E28" s="4563"/>
      <c r="F28" s="4562"/>
      <c r="G28" s="4564"/>
      <c r="H28" s="4564"/>
      <c r="I28" s="4565"/>
      <c r="J28" s="4565"/>
      <c r="K28" s="4565"/>
      <c r="L28" s="4565"/>
      <c r="M28" s="4565"/>
      <c r="N28" s="4565"/>
      <c r="O28" s="4575"/>
      <c r="P28" s="4566"/>
      <c r="Q28" s="323"/>
      <c r="R28" s="4567"/>
      <c r="S28" s="346"/>
      <c r="T28" s="345"/>
      <c r="U28" s="346"/>
      <c r="V28" s="4568"/>
      <c r="W28" s="4569"/>
      <c r="X28" s="4576"/>
      <c r="Y28" s="4576"/>
      <c r="Z28" s="4576"/>
      <c r="AA28" s="4716"/>
      <c r="AB28" s="4716"/>
      <c r="AC28" s="4716"/>
      <c r="AD28" s="4716"/>
      <c r="AE28" s="4577"/>
      <c r="AF28" s="4578"/>
    </row>
    <row r="29" spans="2:32" s="4573" customFormat="1" ht="44" customHeight="1">
      <c r="B29" s="4561" t="s">
        <v>476</v>
      </c>
      <c r="C29" s="4562">
        <v>70.38333333333334</v>
      </c>
      <c r="D29" s="4563"/>
      <c r="E29" s="4563"/>
      <c r="F29" s="4562">
        <v>65.091666666666669</v>
      </c>
      <c r="G29" s="4564">
        <v>46.241666666666674</v>
      </c>
      <c r="H29" s="4564">
        <v>48.8</v>
      </c>
      <c r="I29" s="4565">
        <v>45.4</v>
      </c>
      <c r="J29" s="4565">
        <v>54.7</v>
      </c>
      <c r="K29" s="4565">
        <v>51.8</v>
      </c>
      <c r="L29" s="4564">
        <v>66</v>
      </c>
      <c r="M29" s="4564">
        <v>61.8</v>
      </c>
      <c r="N29" s="4564">
        <v>59.9</v>
      </c>
      <c r="O29" s="4564">
        <v>60.2</v>
      </c>
      <c r="P29" s="4566">
        <v>55</v>
      </c>
      <c r="Q29" s="323">
        <v>55</v>
      </c>
      <c r="R29" s="4567">
        <v>57</v>
      </c>
      <c r="S29" s="346">
        <v>59</v>
      </c>
      <c r="T29" s="345">
        <v>63.13</v>
      </c>
      <c r="U29" s="346">
        <v>68.8</v>
      </c>
      <c r="V29" s="4568">
        <v>72</v>
      </c>
      <c r="W29" s="4569">
        <v>60.2</v>
      </c>
      <c r="X29" s="4570" t="s">
        <v>54</v>
      </c>
      <c r="Y29" s="4570" t="s">
        <v>54</v>
      </c>
      <c r="Z29" s="4567" t="s">
        <v>54</v>
      </c>
      <c r="AA29" s="4716" t="s">
        <v>54</v>
      </c>
      <c r="AB29" s="4716" t="s">
        <v>54</v>
      </c>
      <c r="AC29" s="4716" t="s">
        <v>54</v>
      </c>
      <c r="AD29" s="4716" t="s">
        <v>54</v>
      </c>
      <c r="AE29" s="4577"/>
      <c r="AF29" s="4578"/>
    </row>
    <row r="30" spans="2:32" s="4573" customFormat="1" ht="44" customHeight="1">
      <c r="B30" s="4561"/>
      <c r="C30" s="4562"/>
      <c r="D30" s="4563"/>
      <c r="E30" s="4563"/>
      <c r="F30" s="4562"/>
      <c r="G30" s="4564"/>
      <c r="H30" s="4564"/>
      <c r="I30" s="4565"/>
      <c r="J30" s="4565"/>
      <c r="K30" s="4574"/>
      <c r="L30" s="4574"/>
      <c r="M30" s="4574"/>
      <c r="N30" s="4574"/>
      <c r="O30" s="4575"/>
      <c r="P30" s="4566"/>
      <c r="Q30" s="323"/>
      <c r="R30" s="4567"/>
      <c r="S30" s="346"/>
      <c r="T30" s="345"/>
      <c r="U30" s="346"/>
      <c r="V30" s="4568"/>
      <c r="W30" s="4569"/>
      <c r="X30" s="4576"/>
      <c r="Y30" s="4576"/>
      <c r="Z30" s="4576"/>
      <c r="AA30" s="4716"/>
      <c r="AB30" s="4716"/>
      <c r="AC30" s="4716"/>
      <c r="AD30" s="4716"/>
      <c r="AE30" s="4577"/>
      <c r="AF30" s="4578"/>
    </row>
    <row r="31" spans="2:32" s="4573" customFormat="1" ht="44" customHeight="1">
      <c r="B31" s="4561" t="s">
        <v>477</v>
      </c>
      <c r="C31" s="4562">
        <v>59.524999999999999</v>
      </c>
      <c r="D31" s="4563"/>
      <c r="E31" s="4563"/>
      <c r="F31" s="4562">
        <v>62.633333333333333</v>
      </c>
      <c r="G31" s="4564">
        <v>60.30833333333333</v>
      </c>
      <c r="H31" s="4564">
        <v>50.4</v>
      </c>
      <c r="I31" s="4565">
        <v>50.4</v>
      </c>
      <c r="J31" s="4565">
        <v>59.6</v>
      </c>
      <c r="K31" s="4565">
        <v>60.4</v>
      </c>
      <c r="L31" s="4565">
        <v>66.2</v>
      </c>
      <c r="M31" s="4565">
        <v>65.599999999999994</v>
      </c>
      <c r="N31" s="4565">
        <v>72.099999999999994</v>
      </c>
      <c r="O31" s="4564">
        <v>57.4</v>
      </c>
      <c r="P31" s="4566">
        <v>51</v>
      </c>
      <c r="Q31" s="323">
        <v>54</v>
      </c>
      <c r="R31" s="4567">
        <v>55</v>
      </c>
      <c r="S31" s="346">
        <v>54</v>
      </c>
      <c r="T31" s="345">
        <v>52.05</v>
      </c>
      <c r="U31" s="346">
        <v>58.46</v>
      </c>
      <c r="V31" s="4568">
        <v>60</v>
      </c>
      <c r="W31" s="4569">
        <v>59.9</v>
      </c>
      <c r="X31" s="4570" t="s">
        <v>54</v>
      </c>
      <c r="Y31" s="4570" t="s">
        <v>54</v>
      </c>
      <c r="Z31" s="4567" t="s">
        <v>54</v>
      </c>
      <c r="AA31" s="4716" t="s">
        <v>54</v>
      </c>
      <c r="AB31" s="4716" t="s">
        <v>54</v>
      </c>
      <c r="AC31" s="4716" t="s">
        <v>54</v>
      </c>
      <c r="AD31" s="4716" t="s">
        <v>54</v>
      </c>
      <c r="AE31" s="4577"/>
      <c r="AF31" s="4578"/>
    </row>
    <row r="32" spans="2:32" s="429" customFormat="1" ht="44" customHeight="1">
      <c r="B32" s="4543"/>
      <c r="C32" s="4545"/>
      <c r="D32" s="4546"/>
      <c r="E32" s="4546"/>
      <c r="F32" s="4545"/>
      <c r="G32" s="4547"/>
      <c r="H32" s="4547"/>
      <c r="I32" s="4548"/>
      <c r="J32" s="4548"/>
      <c r="K32" s="4548"/>
      <c r="L32" s="4548"/>
      <c r="M32" s="4548"/>
      <c r="N32" s="4548"/>
      <c r="O32" s="4547"/>
      <c r="P32" s="4549"/>
      <c r="Q32" s="4520"/>
      <c r="R32" s="4551"/>
      <c r="S32" s="4550"/>
      <c r="T32" s="4552"/>
      <c r="U32" s="4550"/>
      <c r="V32" s="4553"/>
      <c r="W32" s="4553"/>
      <c r="X32" s="4554"/>
      <c r="Y32" s="4554"/>
      <c r="Z32" s="4553"/>
      <c r="AA32" s="4551"/>
      <c r="AB32" s="4551"/>
      <c r="AC32" s="4553"/>
      <c r="AD32" s="4553"/>
      <c r="AE32" s="4555"/>
      <c r="AF32" s="4544"/>
    </row>
    <row r="33" spans="2:34" s="4573" customFormat="1" ht="44" customHeight="1">
      <c r="B33" s="4579" t="s">
        <v>2323</v>
      </c>
      <c r="C33" s="4580"/>
      <c r="D33" s="4581"/>
      <c r="E33" s="4581"/>
      <c r="F33" s="4580"/>
      <c r="G33" s="4582"/>
      <c r="H33" s="4582"/>
      <c r="I33" s="4583"/>
      <c r="J33" s="4583"/>
      <c r="K33" s="4583"/>
      <c r="L33" s="4583"/>
      <c r="M33" s="4583"/>
      <c r="N33" s="4583"/>
      <c r="O33" s="4582"/>
      <c r="P33" s="4584"/>
      <c r="Q33" s="4570" t="s">
        <v>54</v>
      </c>
      <c r="R33" s="4570" t="s">
        <v>54</v>
      </c>
      <c r="S33" s="4570" t="s">
        <v>54</v>
      </c>
      <c r="T33" s="4570" t="s">
        <v>54</v>
      </c>
      <c r="U33" s="4570" t="s">
        <v>54</v>
      </c>
      <c r="V33" s="4570" t="s">
        <v>54</v>
      </c>
      <c r="W33" s="4570" t="s">
        <v>54</v>
      </c>
      <c r="X33" s="4570" t="s">
        <v>54</v>
      </c>
      <c r="Y33" s="4570" t="s">
        <v>54</v>
      </c>
      <c r="Z33" s="4585">
        <v>72</v>
      </c>
      <c r="AA33" s="4716" t="s">
        <v>54</v>
      </c>
      <c r="AB33" s="4716" t="s">
        <v>54</v>
      </c>
      <c r="AC33" s="4585">
        <v>74</v>
      </c>
      <c r="AD33" s="4585">
        <v>73.400000000000006</v>
      </c>
      <c r="AE33" s="4571">
        <f>+AD33/AC33-1</f>
        <v>-8.1081081081080253E-3</v>
      </c>
      <c r="AF33" s="4578"/>
    </row>
    <row r="34" spans="2:34" s="4573" customFormat="1" ht="44" customHeight="1">
      <c r="B34" s="4561"/>
      <c r="C34" s="4586"/>
      <c r="D34" s="4586"/>
      <c r="E34" s="4586"/>
      <c r="F34" s="4563"/>
      <c r="G34" s="4575"/>
      <c r="H34" s="4564"/>
      <c r="I34" s="4565"/>
      <c r="J34" s="4565"/>
      <c r="K34" s="4574"/>
      <c r="L34" s="4574"/>
      <c r="M34" s="4574"/>
      <c r="N34" s="4574"/>
      <c r="O34" s="4575"/>
      <c r="P34" s="4566"/>
      <c r="Q34" s="323"/>
      <c r="R34" s="4587"/>
      <c r="S34" s="346"/>
      <c r="T34" s="345"/>
      <c r="U34" s="346"/>
      <c r="V34" s="345"/>
      <c r="W34" s="347"/>
      <c r="X34" s="4588"/>
      <c r="Y34" s="4589"/>
      <c r="Z34" s="4590"/>
      <c r="AA34" s="4716"/>
      <c r="AB34" s="4717"/>
      <c r="AC34" s="4718"/>
      <c r="AD34" s="4719"/>
      <c r="AE34" s="4571"/>
      <c r="AF34" s="4578"/>
    </row>
    <row r="35" spans="2:34" s="4573" customFormat="1" ht="44" customHeight="1">
      <c r="B35" s="4579" t="s">
        <v>2324</v>
      </c>
      <c r="C35" s="4591"/>
      <c r="D35" s="4591"/>
      <c r="E35" s="4591"/>
      <c r="F35" s="4581"/>
      <c r="G35" s="4592"/>
      <c r="H35" s="4582"/>
      <c r="I35" s="4583"/>
      <c r="J35" s="4583"/>
      <c r="K35" s="4593"/>
      <c r="L35" s="4593"/>
      <c r="M35" s="4593"/>
      <c r="N35" s="4593"/>
      <c r="O35" s="4592"/>
      <c r="P35" s="4584"/>
      <c r="Q35" s="4570" t="s">
        <v>54</v>
      </c>
      <c r="R35" s="4570" t="s">
        <v>54</v>
      </c>
      <c r="S35" s="4570" t="s">
        <v>54</v>
      </c>
      <c r="T35" s="4570" t="s">
        <v>54</v>
      </c>
      <c r="U35" s="4570" t="s">
        <v>54</v>
      </c>
      <c r="V35" s="4570" t="s">
        <v>54</v>
      </c>
      <c r="W35" s="4570" t="s">
        <v>54</v>
      </c>
      <c r="X35" s="4570" t="s">
        <v>54</v>
      </c>
      <c r="Y35" s="4570" t="s">
        <v>54</v>
      </c>
      <c r="Z35" s="4585">
        <v>64.2</v>
      </c>
      <c r="AA35" s="4716" t="s">
        <v>54</v>
      </c>
      <c r="AB35" s="4716" t="s">
        <v>54</v>
      </c>
      <c r="AC35" s="4585">
        <v>66</v>
      </c>
      <c r="AD35" s="4585">
        <v>64</v>
      </c>
      <c r="AE35" s="4571">
        <f>+AD35/AC35-1</f>
        <v>-3.0303030303030276E-2</v>
      </c>
      <c r="AF35" s="4578"/>
    </row>
    <row r="36" spans="2:34" s="429" customFormat="1" ht="44" customHeight="1">
      <c r="B36" s="4543"/>
      <c r="C36" s="4556"/>
      <c r="D36" s="4556"/>
      <c r="E36" s="4556"/>
      <c r="F36" s="4546"/>
      <c r="G36" s="4557"/>
      <c r="H36" s="4547"/>
      <c r="I36" s="4548"/>
      <c r="J36" s="4548"/>
      <c r="K36" s="4558"/>
      <c r="L36" s="4558"/>
      <c r="M36" s="4558"/>
      <c r="N36" s="4558"/>
      <c r="O36" s="4557"/>
      <c r="P36" s="4549"/>
      <c r="Q36" s="4520"/>
      <c r="R36" s="4559"/>
      <c r="S36" s="4559"/>
      <c r="T36" s="4554"/>
      <c r="U36" s="4559"/>
      <c r="V36" s="4554"/>
      <c r="W36" s="4554"/>
      <c r="X36" s="4554"/>
      <c r="Y36" s="4554"/>
      <c r="Z36" s="4553"/>
      <c r="AA36" s="4551"/>
      <c r="AB36" s="4551"/>
      <c r="AC36" s="4553"/>
      <c r="AD36" s="4553"/>
      <c r="AE36" s="4560"/>
      <c r="AF36" s="4544"/>
    </row>
    <row r="37" spans="2:34" ht="44" hidden="1" customHeight="1">
      <c r="B37" s="168"/>
      <c r="C37" s="4513"/>
      <c r="D37" s="4513"/>
      <c r="E37" s="4513"/>
      <c r="F37" s="4514"/>
      <c r="G37" s="4515"/>
      <c r="H37" s="4516"/>
      <c r="I37" s="4517"/>
      <c r="J37" s="4517"/>
      <c r="K37" s="4518"/>
      <c r="L37" s="4518"/>
      <c r="M37" s="4518"/>
      <c r="N37" s="4518"/>
      <c r="O37" s="4515"/>
      <c r="P37" s="4519"/>
      <c r="Q37" s="4520"/>
      <c r="R37" s="4521"/>
      <c r="S37" s="4520"/>
      <c r="T37" s="4522"/>
      <c r="U37" s="4520"/>
      <c r="V37" s="4522"/>
      <c r="W37" s="4522"/>
      <c r="X37" s="4522"/>
      <c r="Y37" s="4522"/>
      <c r="Z37" s="4525"/>
      <c r="AA37" s="4524"/>
      <c r="AB37" s="4524"/>
      <c r="AC37" s="4525"/>
      <c r="AD37" s="4525"/>
      <c r="AE37" s="4523"/>
      <c r="AF37" s="344"/>
    </row>
    <row r="38" spans="2:34" s="208" customFormat="1" ht="44" customHeight="1">
      <c r="B38" s="180" t="s">
        <v>464</v>
      </c>
      <c r="C38" s="4594">
        <v>9.1999999999999993</v>
      </c>
      <c r="D38" s="4594">
        <v>10.6</v>
      </c>
      <c r="E38" s="4594">
        <v>12.7</v>
      </c>
      <c r="F38" s="4594">
        <v>9.1</v>
      </c>
      <c r="G38" s="4595">
        <v>9.6</v>
      </c>
      <c r="H38" s="4595">
        <v>9.6999999999999993</v>
      </c>
      <c r="I38" s="4596">
        <v>9.4</v>
      </c>
      <c r="J38" s="4595">
        <v>10</v>
      </c>
      <c r="K38" s="4596">
        <v>9.3000000000000007</v>
      </c>
      <c r="L38" s="4596">
        <v>10.1</v>
      </c>
      <c r="M38" s="4596">
        <v>10.5</v>
      </c>
      <c r="N38" s="4595">
        <v>9</v>
      </c>
      <c r="O38" s="4595">
        <v>8.9</v>
      </c>
      <c r="P38" s="4597">
        <v>8.9</v>
      </c>
      <c r="Q38" s="4598">
        <v>8.6</v>
      </c>
      <c r="R38" s="4627">
        <v>8.9</v>
      </c>
      <c r="S38" s="4598">
        <v>8.5</v>
      </c>
      <c r="T38" s="4628">
        <v>8.9</v>
      </c>
      <c r="U38" s="4629">
        <v>8.8000000000000007</v>
      </c>
      <c r="V38" s="4628">
        <v>8.66</v>
      </c>
      <c r="W38" s="4630">
        <v>8.48</v>
      </c>
      <c r="X38" s="4631">
        <v>8.3000000000000007</v>
      </c>
      <c r="Y38" s="4632">
        <v>8.3800000000000008</v>
      </c>
      <c r="Z38" s="4633">
        <v>8</v>
      </c>
      <c r="AA38" s="4604">
        <v>8.8000000000000007</v>
      </c>
      <c r="AB38" s="4634">
        <v>8.6999999999999993</v>
      </c>
      <c r="AC38" s="4635">
        <v>8.6999999999999993</v>
      </c>
      <c r="AD38" s="4605">
        <v>7.9</v>
      </c>
      <c r="AE38" s="302">
        <f>+AD38/AC38-1</f>
        <v>-9.1954022988505635E-2</v>
      </c>
      <c r="AF38" s="344"/>
    </row>
    <row r="39" spans="2:34" ht="44" customHeight="1">
      <c r="B39" s="168"/>
      <c r="C39" s="169"/>
      <c r="D39" s="169"/>
      <c r="E39" s="169"/>
      <c r="F39" s="190"/>
      <c r="G39" s="171"/>
      <c r="H39" s="170"/>
      <c r="I39" s="170"/>
      <c r="J39" s="170"/>
      <c r="K39" s="170"/>
      <c r="L39" s="170"/>
      <c r="M39" s="170"/>
      <c r="N39" s="170"/>
      <c r="O39" s="171"/>
      <c r="P39" s="184"/>
      <c r="Q39" s="305"/>
      <c r="R39" s="304"/>
      <c r="S39" s="323"/>
      <c r="T39" s="324"/>
      <c r="U39" s="340"/>
      <c r="V39" s="348"/>
      <c r="W39" s="349"/>
      <c r="X39" s="350"/>
      <c r="Y39" s="351"/>
      <c r="Z39" s="351"/>
      <c r="AA39" s="328"/>
      <c r="AB39" s="426"/>
      <c r="AC39" s="2332"/>
      <c r="AD39" s="2943"/>
      <c r="AE39" s="2073"/>
      <c r="AF39" s="344"/>
    </row>
    <row r="40" spans="2:34" s="208" customFormat="1" ht="44" customHeight="1" thickBot="1">
      <c r="B40" s="4636" t="s">
        <v>465</v>
      </c>
      <c r="C40" s="4637">
        <v>345</v>
      </c>
      <c r="D40" s="4637">
        <v>411</v>
      </c>
      <c r="E40" s="4637">
        <v>319</v>
      </c>
      <c r="F40" s="4638">
        <v>356</v>
      </c>
      <c r="G40" s="4639">
        <v>389</v>
      </c>
      <c r="H40" s="4640">
        <v>378</v>
      </c>
      <c r="I40" s="4640">
        <v>245</v>
      </c>
      <c r="J40" s="4640">
        <v>262</v>
      </c>
      <c r="K40" s="4640">
        <v>328</v>
      </c>
      <c r="L40" s="4640">
        <v>258</v>
      </c>
      <c r="M40" s="4640">
        <v>267</v>
      </c>
      <c r="N40" s="4640">
        <v>314</v>
      </c>
      <c r="O40" s="4641">
        <v>315</v>
      </c>
      <c r="P40" s="4639">
        <v>397</v>
      </c>
      <c r="Q40" s="4642">
        <v>380</v>
      </c>
      <c r="R40" s="4643">
        <v>351</v>
      </c>
      <c r="S40" s="4642">
        <v>336</v>
      </c>
      <c r="T40" s="4644">
        <v>341</v>
      </c>
      <c r="U40" s="4642">
        <v>386</v>
      </c>
      <c r="V40" s="4644">
        <v>388</v>
      </c>
      <c r="W40" s="4645">
        <v>383</v>
      </c>
      <c r="X40" s="4646">
        <v>423</v>
      </c>
      <c r="Y40" s="4646">
        <v>370</v>
      </c>
      <c r="Z40" s="4646">
        <v>431</v>
      </c>
      <c r="AA40" s="4647">
        <v>174</v>
      </c>
      <c r="AB40" s="4648">
        <v>134</v>
      </c>
      <c r="AC40" s="4649">
        <v>275</v>
      </c>
      <c r="AD40" s="4650">
        <v>264</v>
      </c>
      <c r="AE40" s="302">
        <f>+AD40/AC40-1</f>
        <v>-4.0000000000000036E-2</v>
      </c>
      <c r="AF40" s="344"/>
    </row>
    <row r="41" spans="2:34" ht="36.4">
      <c r="B41" s="197" t="s">
        <v>1512</v>
      </c>
      <c r="O41" s="198"/>
      <c r="U41" s="156"/>
      <c r="V41" s="156"/>
      <c r="W41" s="156"/>
      <c r="X41" s="156"/>
      <c r="Y41" s="156"/>
      <c r="AC41" s="2335"/>
      <c r="AD41" s="2946"/>
      <c r="AE41" s="199"/>
      <c r="AF41" s="201"/>
      <c r="AG41" s="200"/>
      <c r="AH41" s="200"/>
    </row>
    <row r="42" spans="2:34" ht="36.4">
      <c r="B42" s="197" t="s">
        <v>2327</v>
      </c>
      <c r="K42" s="198"/>
      <c r="L42" s="198"/>
      <c r="M42" s="198"/>
      <c r="N42" s="198"/>
      <c r="O42" s="198"/>
      <c r="AF42" s="203"/>
      <c r="AG42" s="202"/>
      <c r="AH42" s="204"/>
    </row>
    <row r="43" spans="2:34" ht="36.4">
      <c r="B43" s="197" t="s">
        <v>421</v>
      </c>
      <c r="K43" s="198"/>
      <c r="L43" s="198"/>
      <c r="M43" s="198"/>
      <c r="N43" s="198"/>
      <c r="O43" s="198"/>
      <c r="AF43" s="203"/>
      <c r="AG43" s="202"/>
      <c r="AH43" s="204"/>
    </row>
    <row r="44" spans="2:34" ht="36.4">
      <c r="B44" s="197" t="s">
        <v>1511</v>
      </c>
      <c r="K44" s="198"/>
      <c r="L44" s="198"/>
      <c r="M44" s="198"/>
      <c r="N44" s="198"/>
      <c r="O44" s="198"/>
      <c r="R44" s="5645" t="s">
        <v>2360</v>
      </c>
      <c r="S44" s="5645"/>
      <c r="T44" s="5645"/>
      <c r="U44" s="5645"/>
      <c r="V44" s="5645"/>
      <c r="W44" s="5645"/>
      <c r="X44" s="5645"/>
      <c r="Y44" s="5645"/>
      <c r="Z44" s="5645"/>
      <c r="AF44" s="203"/>
      <c r="AG44" s="202"/>
      <c r="AH44" s="204"/>
    </row>
    <row r="45" spans="2:34" ht="36.4">
      <c r="B45" s="197" t="s">
        <v>775</v>
      </c>
      <c r="C45" s="197"/>
      <c r="D45" s="197"/>
      <c r="E45" s="197"/>
      <c r="F45" s="197"/>
      <c r="G45" s="197"/>
      <c r="H45" s="197"/>
      <c r="I45" s="197"/>
      <c r="J45" s="197"/>
      <c r="K45" s="197"/>
      <c r="L45" s="197"/>
      <c r="M45" s="197"/>
      <c r="N45" s="197"/>
      <c r="O45" s="197"/>
      <c r="P45" s="205"/>
      <c r="Q45" s="205"/>
      <c r="AF45" s="203"/>
      <c r="AG45" s="202"/>
      <c r="AH45" s="204"/>
    </row>
    <row r="46" spans="2:34" ht="36.4">
      <c r="B46" s="5644" t="s">
        <v>875</v>
      </c>
      <c r="C46" s="5644"/>
      <c r="D46" s="5644"/>
      <c r="E46" s="5644"/>
      <c r="F46" s="5644"/>
      <c r="G46" s="5644"/>
      <c r="H46" s="5644"/>
      <c r="I46" s="5644"/>
      <c r="J46" s="5644"/>
      <c r="K46" s="5644"/>
      <c r="L46" s="5644"/>
      <c r="M46" s="5644"/>
      <c r="N46" s="5644"/>
      <c r="O46" s="5644"/>
      <c r="P46" s="5644"/>
      <c r="Q46" s="5644"/>
      <c r="R46" s="5644"/>
      <c r="S46" s="5644"/>
      <c r="T46" s="5644"/>
      <c r="U46" s="5644"/>
      <c r="V46" s="5644"/>
      <c r="W46" s="156"/>
      <c r="X46" s="156"/>
      <c r="Y46" s="156"/>
      <c r="AF46" s="203"/>
      <c r="AG46" s="202"/>
      <c r="AH46" s="198"/>
    </row>
  </sheetData>
  <mergeCells count="4">
    <mergeCell ref="B1:AE1"/>
    <mergeCell ref="B2:AE2"/>
    <mergeCell ref="B46:V46"/>
    <mergeCell ref="R44:Z44"/>
  </mergeCells>
  <hyperlinks>
    <hyperlink ref="B41" r:id="rId1" display="http://www.govt.lc/other/st-lucia-tourist-board" xr:uid="{00000000-0004-0000-0400-000000000000}"/>
  </hyperlinks>
  <printOptions horizontalCentered="1" verticalCentered="1"/>
  <pageMargins left="0.25" right="0.25" top="0.75" bottom="0.75" header="0.3" footer="0.3"/>
  <pageSetup scale="23" firstPageNumber="103" orientation="landscape" useFirstPageNumber="1" r:id="rId2"/>
  <headerFooter scaleWithDoc="0" alignWithMargins="0">
    <oddFooter xml:space="preserve">&amp;C107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2EF9C-B223-4B91-84E2-38B04385822A}">
  <sheetPr>
    <tabColor rgb="FF00B0F0"/>
  </sheetPr>
  <dimension ref="A1:S2"/>
  <sheetViews>
    <sheetView topLeftCell="I1" workbookViewId="0"/>
  </sheetViews>
  <sheetFormatPr defaultRowHeight="12.75"/>
  <cols>
    <col min="1" max="1" width="6.6640625" bestFit="1" customWidth="1"/>
    <col min="2" max="2" width="9.6640625" bestFit="1" customWidth="1"/>
    <col min="3" max="3" width="6.06640625" bestFit="1" customWidth="1"/>
    <col min="4" max="4" width="10.06640625" bestFit="1" customWidth="1"/>
    <col min="5" max="5" width="16.59765625" bestFit="1" customWidth="1"/>
    <col min="6" max="6" width="12.73046875" bestFit="1" customWidth="1"/>
    <col min="7" max="7" width="17.9296875" bestFit="1" customWidth="1"/>
    <col min="8" max="8" width="10.3984375" bestFit="1" customWidth="1"/>
    <col min="9" max="9" width="17.53125" bestFit="1" customWidth="1"/>
    <col min="10" max="10" width="18.53125" bestFit="1" customWidth="1"/>
    <col min="11" max="11" width="17.53125" bestFit="1" customWidth="1"/>
    <col min="12" max="12" width="13.1328125" bestFit="1" customWidth="1"/>
    <col min="13" max="13" width="13.3984375" bestFit="1" customWidth="1"/>
    <col min="14" max="14" width="13" bestFit="1" customWidth="1"/>
    <col min="15" max="15" width="20.1328125" bestFit="1" customWidth="1"/>
    <col min="16" max="16" width="18.6640625" bestFit="1" customWidth="1"/>
    <col min="17" max="17" width="11.53125" bestFit="1" customWidth="1"/>
    <col min="18" max="18" width="10.73046875" bestFit="1" customWidth="1"/>
    <col min="19" max="19" width="12.6640625" bestFit="1" customWidth="1"/>
  </cols>
  <sheetData>
    <row r="1" spans="1:19">
      <c r="A1" t="s">
        <v>2368</v>
      </c>
      <c r="B1" t="s">
        <v>2369</v>
      </c>
      <c r="C1" t="s">
        <v>2370</v>
      </c>
      <c r="D1" t="s">
        <v>2371</v>
      </c>
      <c r="E1" t="s">
        <v>2372</v>
      </c>
      <c r="F1" t="s">
        <v>2373</v>
      </c>
      <c r="G1" t="s">
        <v>2374</v>
      </c>
      <c r="H1" t="s">
        <v>2375</v>
      </c>
      <c r="I1" t="s">
        <v>2376</v>
      </c>
      <c r="J1" t="s">
        <v>2377</v>
      </c>
      <c r="K1" t="s">
        <v>2378</v>
      </c>
      <c r="L1" t="s">
        <v>2379</v>
      </c>
      <c r="M1" t="s">
        <v>2380</v>
      </c>
      <c r="N1" t="s">
        <v>2381</v>
      </c>
      <c r="O1" t="s">
        <v>2382</v>
      </c>
      <c r="P1" t="s">
        <v>2383</v>
      </c>
      <c r="Q1" t="s">
        <v>2384</v>
      </c>
      <c r="R1" t="s">
        <v>2385</v>
      </c>
      <c r="S1" t="s">
        <v>2386</v>
      </c>
    </row>
    <row r="2" spans="1:19">
      <c r="A2" s="5629"/>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06653-1A53-4E11-9270-59647329EFA0}">
  <sheetPr>
    <tabColor rgb="FF00B0F0"/>
  </sheetPr>
  <dimension ref="A1"/>
  <sheetViews>
    <sheetView workbookViewId="0"/>
  </sheetViews>
  <sheetFormatPr defaultRowHeight="12.7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pageSetUpPr fitToPage="1"/>
  </sheetPr>
  <dimension ref="B1:DW74"/>
  <sheetViews>
    <sheetView view="pageBreakPreview" zoomScale="30" zoomScaleNormal="90" zoomScaleSheetLayoutView="30" workbookViewId="0">
      <pane xSplit="96" ySplit="6" topLeftCell="CS7" activePane="bottomRight" state="frozen"/>
      <selection activeCell="B44" sqref="B44"/>
      <selection pane="topRight" activeCell="B44" sqref="B44"/>
      <selection pane="bottomLeft" activeCell="B44" sqref="B44"/>
      <selection pane="bottomRight" activeCell="AF17" sqref="AF17"/>
    </sheetView>
  </sheetViews>
  <sheetFormatPr defaultColWidth="9.46484375" defaultRowHeight="36"/>
  <cols>
    <col min="1" max="1" width="9.46484375" style="153"/>
    <col min="2" max="2" width="49.33203125" style="153" customWidth="1"/>
    <col min="3" max="7" width="9.46484375" style="153" customWidth="1"/>
    <col min="8" max="40" width="23.46484375" style="153" customWidth="1"/>
    <col min="41" max="41" width="9.46484375" style="153" customWidth="1"/>
    <col min="42" max="42" width="11" style="153" customWidth="1"/>
    <col min="43" max="52" width="12.46484375" style="156" customWidth="1"/>
    <col min="53" max="53" width="11.46484375" style="156" customWidth="1"/>
    <col min="54" max="54" width="13.46484375" style="156" customWidth="1"/>
    <col min="55" max="57" width="11.46484375" style="156" customWidth="1"/>
    <col min="58" max="67" width="13.46484375" style="153" customWidth="1"/>
    <col min="68" max="71" width="14.46484375" style="153" customWidth="1"/>
    <col min="72" max="72" width="14.46484375" style="208" customWidth="1"/>
    <col min="73" max="79" width="14.46484375" style="153" customWidth="1"/>
    <col min="80" max="80" width="10.46484375" style="153" customWidth="1"/>
    <col min="81" max="81" width="12.46484375" style="153" customWidth="1"/>
    <col min="82" max="82" width="14.46484375" style="153" customWidth="1"/>
    <col min="83" max="83" width="10.46484375" style="153" customWidth="1"/>
    <col min="84" max="84" width="12.46484375" style="153" customWidth="1"/>
    <col min="85" max="86" width="3" style="153" customWidth="1"/>
    <col min="87" max="87" width="30.46484375" style="153" customWidth="1"/>
    <col min="88" max="91" width="30.46484375" style="156" customWidth="1"/>
    <col min="92" max="92" width="28.33203125" style="156" customWidth="1"/>
    <col min="93" max="93" width="30.46484375" style="156" customWidth="1"/>
    <col min="94" max="94" width="29.46484375" style="156" customWidth="1"/>
    <col min="95" max="95" width="29.33203125" style="156" customWidth="1"/>
    <col min="96" max="96" width="31.6640625" style="156" customWidth="1"/>
    <col min="97" max="97" width="37.46484375" style="153" customWidth="1"/>
    <col min="98" max="98" width="49" style="153" customWidth="1"/>
    <col min="99" max="99" width="45.46484375" style="153" customWidth="1"/>
    <col min="100" max="100" width="33.33203125" style="153" customWidth="1"/>
    <col min="101" max="101" width="40.46484375" style="153" customWidth="1"/>
    <col min="102" max="102" width="37.46484375" style="153" bestFit="1" customWidth="1"/>
    <col min="103" max="103" width="45.6640625" style="153" customWidth="1"/>
    <col min="104" max="104" width="45.46484375" style="153" bestFit="1" customWidth="1"/>
    <col min="105" max="105" width="33.33203125" style="153" bestFit="1" customWidth="1"/>
    <col min="106" max="106" width="40.46484375" style="153" customWidth="1"/>
    <col min="107" max="107" width="33.6640625" style="153" customWidth="1"/>
    <col min="108" max="108" width="44.33203125" style="153" customWidth="1"/>
    <col min="109" max="109" width="42.6640625" style="153" customWidth="1"/>
    <col min="110" max="110" width="32.46484375" style="153" customWidth="1"/>
    <col min="111" max="111" width="33.46484375" style="153" customWidth="1"/>
    <col min="112" max="112" width="37.46484375" style="153" bestFit="1" customWidth="1"/>
    <col min="113" max="113" width="45.6640625" style="153" customWidth="1"/>
    <col min="114" max="114" width="45.46484375" style="153" bestFit="1" customWidth="1"/>
    <col min="115" max="115" width="28.6640625" style="153" bestFit="1" customWidth="1"/>
    <col min="116" max="116" width="33.33203125" style="153" bestFit="1" customWidth="1"/>
    <col min="117" max="117" width="38" style="153" bestFit="1" customWidth="1"/>
    <col min="118" max="118" width="44.46484375" style="153" customWidth="1"/>
    <col min="119" max="119" width="46.33203125" style="153" bestFit="1" customWidth="1"/>
    <col min="120" max="120" width="34" style="153" customWidth="1"/>
    <col min="121" max="121" width="32.33203125" style="153" customWidth="1"/>
    <col min="122" max="122" width="37.33203125" style="153" bestFit="1" customWidth="1"/>
    <col min="123" max="123" width="45.46484375" style="153" customWidth="1"/>
    <col min="124" max="124" width="44.6640625" style="153" bestFit="1" customWidth="1"/>
    <col min="125" max="125" width="33.46484375" style="153" bestFit="1" customWidth="1"/>
    <col min="126" max="126" width="43.33203125" style="153" bestFit="1" customWidth="1"/>
    <col min="127" max="16384" width="9.46484375" style="153"/>
  </cols>
  <sheetData>
    <row r="1" spans="2:127" ht="47" customHeight="1">
      <c r="B1" s="5662" t="s">
        <v>1830</v>
      </c>
      <c r="C1" s="5662"/>
      <c r="D1" s="5662"/>
      <c r="E1" s="5662"/>
      <c r="F1" s="5662"/>
      <c r="G1" s="5662"/>
      <c r="H1" s="5662"/>
      <c r="I1" s="5662"/>
      <c r="J1" s="5662"/>
      <c r="K1" s="5662"/>
      <c r="L1" s="5662"/>
      <c r="M1" s="5662"/>
      <c r="N1" s="5662"/>
      <c r="O1" s="5662"/>
      <c r="P1" s="5662"/>
      <c r="Q1" s="5662"/>
      <c r="R1" s="5662"/>
      <c r="S1" s="5662"/>
      <c r="T1" s="5662"/>
      <c r="U1" s="5662"/>
      <c r="V1" s="5662"/>
      <c r="W1" s="5662"/>
      <c r="X1" s="5662"/>
      <c r="Y1" s="5662"/>
      <c r="Z1" s="5662"/>
      <c r="AA1" s="5662"/>
      <c r="AB1" s="5662"/>
      <c r="AC1" s="5662"/>
      <c r="AD1" s="5662"/>
      <c r="AE1" s="5662"/>
      <c r="AF1" s="5662"/>
      <c r="AG1" s="5662"/>
      <c r="AH1" s="5662"/>
      <c r="AI1" s="5662"/>
      <c r="AJ1" s="5662"/>
      <c r="AK1" s="5662"/>
      <c r="AL1" s="5662"/>
      <c r="AM1" s="5662"/>
      <c r="AN1" s="5662"/>
      <c r="AO1" s="5662"/>
      <c r="AP1" s="5662"/>
      <c r="AQ1" s="5662"/>
      <c r="AR1" s="5662"/>
      <c r="AS1" s="5662"/>
      <c r="AT1" s="5662"/>
      <c r="AU1" s="5662"/>
      <c r="AV1" s="5662"/>
      <c r="AW1" s="5662"/>
      <c r="AX1" s="5662"/>
      <c r="AY1" s="5662"/>
      <c r="AZ1" s="5662"/>
      <c r="BA1" s="5662"/>
      <c r="BB1" s="5662"/>
      <c r="BC1" s="5662"/>
      <c r="BD1" s="5662"/>
      <c r="BE1" s="5662"/>
      <c r="BF1" s="5662"/>
      <c r="BG1" s="5662"/>
      <c r="BH1" s="5662"/>
      <c r="BI1" s="5662"/>
      <c r="BJ1" s="5662"/>
      <c r="BK1" s="5662"/>
      <c r="BL1" s="5662"/>
      <c r="BM1" s="5662"/>
      <c r="BN1" s="5662"/>
      <c r="BO1" s="5662"/>
      <c r="BP1" s="5662"/>
      <c r="BQ1" s="5662"/>
      <c r="BR1" s="5662"/>
      <c r="BS1" s="5662"/>
      <c r="BT1" s="5662"/>
      <c r="BU1" s="5662"/>
      <c r="BV1" s="5662"/>
      <c r="BW1" s="5662"/>
      <c r="BX1" s="5662"/>
      <c r="BY1" s="5662"/>
      <c r="BZ1" s="5662"/>
      <c r="CA1" s="5662"/>
      <c r="CB1" s="5662"/>
      <c r="CC1" s="5662"/>
      <c r="CD1" s="5662"/>
      <c r="CE1" s="5662"/>
      <c r="CF1" s="5662"/>
      <c r="CG1" s="5662"/>
      <c r="CH1" s="5662"/>
      <c r="CI1" s="5662"/>
      <c r="CJ1" s="5662"/>
      <c r="CK1" s="5662"/>
      <c r="CL1" s="5662"/>
      <c r="CM1" s="5662"/>
      <c r="CN1" s="5662"/>
      <c r="CO1" s="5662"/>
      <c r="CP1" s="5662"/>
      <c r="CQ1" s="5662"/>
      <c r="CR1" s="5662"/>
      <c r="CS1" s="5662"/>
      <c r="CT1" s="5662"/>
      <c r="CU1" s="5662"/>
      <c r="CV1" s="5662"/>
      <c r="CW1" s="5662"/>
      <c r="CX1" s="5662"/>
      <c r="CY1" s="5662"/>
      <c r="CZ1" s="5662"/>
      <c r="DA1" s="5662"/>
      <c r="DB1" s="5662"/>
      <c r="DC1" s="5662"/>
      <c r="DD1" s="5662"/>
      <c r="DE1" s="5662"/>
      <c r="DF1" s="5662"/>
      <c r="DG1" s="5662"/>
      <c r="DH1" s="5662"/>
      <c r="DI1" s="5662"/>
      <c r="DJ1" s="5662"/>
      <c r="DK1" s="5662"/>
      <c r="DL1" s="5662"/>
      <c r="DM1" s="5662"/>
      <c r="DN1" s="5662"/>
      <c r="DO1" s="5662"/>
      <c r="DP1" s="5662"/>
      <c r="DQ1" s="5662"/>
      <c r="DR1" s="5662"/>
      <c r="DS1" s="5662"/>
      <c r="DT1" s="5662"/>
      <c r="DU1" s="5662"/>
      <c r="DV1" s="5662"/>
    </row>
    <row r="2" spans="2:127" ht="47" customHeight="1">
      <c r="B2" s="5662" t="s">
        <v>64</v>
      </c>
      <c r="C2" s="5662"/>
      <c r="D2" s="5662"/>
      <c r="E2" s="5662"/>
      <c r="F2" s="5662"/>
      <c r="G2" s="5662"/>
      <c r="H2" s="5662"/>
      <c r="I2" s="5662"/>
      <c r="J2" s="5662"/>
      <c r="K2" s="5662"/>
      <c r="L2" s="5662"/>
      <c r="M2" s="5662"/>
      <c r="N2" s="5662"/>
      <c r="O2" s="5662"/>
      <c r="P2" s="5662"/>
      <c r="Q2" s="5662"/>
      <c r="R2" s="5662"/>
      <c r="S2" s="5662"/>
      <c r="T2" s="5662"/>
      <c r="U2" s="5662"/>
      <c r="V2" s="5662"/>
      <c r="W2" s="5662"/>
      <c r="X2" s="5662"/>
      <c r="Y2" s="5662"/>
      <c r="Z2" s="5662"/>
      <c r="AA2" s="5662"/>
      <c r="AB2" s="5662"/>
      <c r="AC2" s="5662"/>
      <c r="AD2" s="5662"/>
      <c r="AE2" s="5662"/>
      <c r="AF2" s="5662"/>
      <c r="AG2" s="5662"/>
      <c r="AH2" s="5662"/>
      <c r="AI2" s="5662"/>
      <c r="AJ2" s="5662"/>
      <c r="AK2" s="5662"/>
      <c r="AL2" s="5662"/>
      <c r="AM2" s="5662"/>
      <c r="AN2" s="5662"/>
      <c r="AO2" s="5662"/>
      <c r="AP2" s="5662"/>
      <c r="AQ2" s="5662"/>
      <c r="AR2" s="5662"/>
      <c r="AS2" s="5662"/>
      <c r="AT2" s="5662"/>
      <c r="AU2" s="5662"/>
      <c r="AV2" s="5662"/>
      <c r="AW2" s="5662"/>
      <c r="AX2" s="5662"/>
      <c r="AY2" s="5662"/>
      <c r="AZ2" s="5662"/>
      <c r="BA2" s="5662"/>
      <c r="BB2" s="5662"/>
      <c r="BC2" s="5662"/>
      <c r="BD2" s="5662"/>
      <c r="BE2" s="5662"/>
      <c r="BF2" s="5662"/>
      <c r="BG2" s="5662"/>
      <c r="BH2" s="5662"/>
      <c r="BI2" s="5662"/>
      <c r="BJ2" s="5662"/>
      <c r="BK2" s="5662"/>
      <c r="BL2" s="5662"/>
      <c r="BM2" s="5662"/>
      <c r="BN2" s="5662"/>
      <c r="BO2" s="5662"/>
      <c r="BP2" s="5662"/>
      <c r="BQ2" s="5662"/>
      <c r="BR2" s="5662"/>
      <c r="BS2" s="5662"/>
      <c r="BT2" s="5662"/>
      <c r="BU2" s="5662"/>
      <c r="BV2" s="5662"/>
      <c r="BW2" s="5662"/>
      <c r="BX2" s="5662"/>
      <c r="BY2" s="5662"/>
      <c r="BZ2" s="5662"/>
      <c r="CA2" s="5662"/>
      <c r="CB2" s="5662"/>
      <c r="CC2" s="5662"/>
      <c r="CD2" s="5662"/>
      <c r="CE2" s="5662"/>
      <c r="CF2" s="5662"/>
      <c r="CG2" s="5662"/>
      <c r="CH2" s="5662"/>
      <c r="CI2" s="5662"/>
      <c r="CJ2" s="5662"/>
      <c r="CK2" s="5662"/>
      <c r="CL2" s="5662"/>
      <c r="CM2" s="5662"/>
      <c r="CN2" s="5662"/>
      <c r="CO2" s="5662"/>
      <c r="CP2" s="5662"/>
      <c r="CQ2" s="5662"/>
      <c r="CR2" s="5662"/>
      <c r="CS2" s="5662"/>
      <c r="CT2" s="5662"/>
      <c r="CU2" s="5662"/>
      <c r="CV2" s="5662"/>
      <c r="CW2" s="5662"/>
      <c r="CX2" s="5662"/>
      <c r="CY2" s="5662"/>
      <c r="CZ2" s="5662"/>
      <c r="DA2" s="5662"/>
      <c r="DB2" s="5662"/>
      <c r="DC2" s="5662"/>
      <c r="DD2" s="5662"/>
      <c r="DE2" s="5662"/>
      <c r="DF2" s="5662"/>
      <c r="DG2" s="5662"/>
      <c r="DH2" s="5662"/>
      <c r="DI2" s="5662"/>
      <c r="DJ2" s="5662"/>
      <c r="DK2" s="5662"/>
      <c r="DL2" s="5662"/>
      <c r="DM2" s="5662"/>
      <c r="DN2" s="5662"/>
      <c r="DO2" s="5662"/>
      <c r="DP2" s="5662"/>
      <c r="DQ2" s="5662"/>
      <c r="DR2" s="5662"/>
      <c r="DS2" s="5662"/>
      <c r="DT2" s="5662"/>
      <c r="DU2" s="5662"/>
      <c r="DV2" s="5662"/>
    </row>
    <row r="3" spans="2:127" s="429" customFormat="1" ht="36.4" thickBot="1">
      <c r="B3" s="454"/>
      <c r="C3" s="454"/>
      <c r="D3" s="454"/>
      <c r="E3" s="454"/>
      <c r="F3" s="454"/>
      <c r="G3" s="454"/>
      <c r="H3" s="454"/>
      <c r="I3" s="454"/>
      <c r="J3" s="454"/>
      <c r="K3" s="454"/>
      <c r="L3" s="454"/>
      <c r="M3" s="454"/>
      <c r="N3" s="454"/>
      <c r="O3" s="454"/>
      <c r="P3" s="454"/>
      <c r="Q3" s="454"/>
      <c r="R3" s="454"/>
      <c r="S3" s="454"/>
      <c r="T3" s="454"/>
      <c r="U3" s="454"/>
      <c r="V3" s="454"/>
      <c r="W3" s="454"/>
      <c r="X3" s="454"/>
      <c r="Y3" s="454"/>
      <c r="Z3" s="454"/>
      <c r="AA3" s="454"/>
      <c r="AB3" s="454"/>
      <c r="AC3" s="454"/>
      <c r="AD3" s="454"/>
      <c r="AE3" s="454"/>
      <c r="AF3" s="454"/>
      <c r="AG3" s="454"/>
      <c r="AH3" s="454"/>
      <c r="AI3" s="454"/>
      <c r="AJ3" s="454"/>
      <c r="AK3" s="454"/>
      <c r="AL3" s="454"/>
      <c r="AM3" s="454"/>
      <c r="AN3" s="454"/>
      <c r="AO3" s="454"/>
      <c r="AP3" s="454"/>
      <c r="AQ3" s="455"/>
      <c r="AR3" s="455"/>
      <c r="AS3" s="455"/>
      <c r="AT3" s="455"/>
      <c r="AU3" s="455"/>
      <c r="AV3" s="157"/>
      <c r="AW3" s="157"/>
      <c r="AX3" s="157"/>
      <c r="AY3" s="157"/>
      <c r="AZ3" s="157"/>
      <c r="BA3" s="157"/>
      <c r="BB3" s="157"/>
      <c r="BC3" s="157"/>
      <c r="BD3" s="157"/>
      <c r="BE3" s="157"/>
      <c r="BT3" s="456"/>
      <c r="CJ3" s="157"/>
      <c r="CK3" s="157"/>
      <c r="CL3" s="157"/>
      <c r="CM3" s="457"/>
      <c r="CN3" s="157"/>
      <c r="CO3" s="157"/>
      <c r="CP3" s="157"/>
      <c r="CQ3" s="157"/>
      <c r="CR3" s="457"/>
      <c r="CW3" s="457"/>
      <c r="DA3" s="458"/>
      <c r="DB3" s="457"/>
      <c r="DG3" s="457"/>
    </row>
    <row r="4" spans="2:127" ht="44.65">
      <c r="B4" s="2115"/>
      <c r="C4" s="2116">
        <v>2002</v>
      </c>
      <c r="D4" s="2116"/>
      <c r="E4" s="2116"/>
      <c r="F4" s="2116"/>
      <c r="G4" s="2116"/>
      <c r="H4" s="2116">
        <v>2003</v>
      </c>
      <c r="I4" s="2116"/>
      <c r="J4" s="2116"/>
      <c r="K4" s="2116"/>
      <c r="L4" s="2116"/>
      <c r="M4" s="2116">
        <v>2004</v>
      </c>
      <c r="N4" s="2116"/>
      <c r="O4" s="2116"/>
      <c r="P4" s="2116"/>
      <c r="Q4" s="2116"/>
      <c r="R4" s="2116">
        <v>2001</v>
      </c>
      <c r="S4" s="2116"/>
      <c r="T4" s="2116"/>
      <c r="U4" s="2116"/>
      <c r="V4" s="2116"/>
      <c r="W4" s="2116"/>
      <c r="X4" s="2116">
        <v>2000</v>
      </c>
      <c r="Y4" s="2116"/>
      <c r="Z4" s="2116"/>
      <c r="AA4" s="2116"/>
      <c r="AB4" s="2116"/>
      <c r="AC4" s="2116">
        <v>1999</v>
      </c>
      <c r="AD4" s="2116"/>
      <c r="AE4" s="2116"/>
      <c r="AF4" s="2116"/>
      <c r="AG4" s="2116">
        <v>2006</v>
      </c>
      <c r="AH4" s="2116"/>
      <c r="AI4" s="2116"/>
      <c r="AJ4" s="2117"/>
      <c r="AK4" s="2117"/>
      <c r="AL4" s="5658">
        <v>2007</v>
      </c>
      <c r="AM4" s="5659"/>
      <c r="AN4" s="5659"/>
      <c r="AO4" s="5659"/>
      <c r="AP4" s="5660"/>
      <c r="AQ4" s="5655">
        <v>2008</v>
      </c>
      <c r="AR4" s="5656"/>
      <c r="AS4" s="5656"/>
      <c r="AT4" s="5656"/>
      <c r="AU4" s="5657"/>
      <c r="AV4" s="5655">
        <v>2009</v>
      </c>
      <c r="AW4" s="5656"/>
      <c r="AX4" s="5656"/>
      <c r="AY4" s="5656"/>
      <c r="AZ4" s="5656"/>
      <c r="BA4" s="5655">
        <v>2010</v>
      </c>
      <c r="BB4" s="5656"/>
      <c r="BC4" s="5656"/>
      <c r="BD4" s="5656"/>
      <c r="BE4" s="5656"/>
      <c r="BF4" s="5655" t="s">
        <v>475</v>
      </c>
      <c r="BG4" s="5656"/>
      <c r="BH4" s="5656"/>
      <c r="BI4" s="5656"/>
      <c r="BJ4" s="5656"/>
      <c r="BK4" s="5655" t="s">
        <v>491</v>
      </c>
      <c r="BL4" s="5656"/>
      <c r="BM4" s="5656"/>
      <c r="BN4" s="5656"/>
      <c r="BO4" s="5656"/>
      <c r="BP4" s="5655">
        <v>2013</v>
      </c>
      <c r="BQ4" s="5656"/>
      <c r="BR4" s="5656"/>
      <c r="BS4" s="5656"/>
      <c r="BT4" s="5656"/>
      <c r="BU4" s="5655">
        <v>2014</v>
      </c>
      <c r="BV4" s="5656"/>
      <c r="BW4" s="5656"/>
      <c r="BX4" s="5656"/>
      <c r="BY4" s="5656"/>
      <c r="BZ4" s="5656"/>
      <c r="CA4" s="5657"/>
      <c r="CB4" s="5655">
        <v>2015</v>
      </c>
      <c r="CC4" s="5656"/>
      <c r="CD4" s="5656"/>
      <c r="CE4" s="5656"/>
      <c r="CF4" s="5656"/>
      <c r="CG4" s="5656"/>
      <c r="CH4" s="5656"/>
      <c r="CI4" s="5646">
        <v>2016</v>
      </c>
      <c r="CJ4" s="5647"/>
      <c r="CK4" s="5647"/>
      <c r="CL4" s="5647"/>
      <c r="CM4" s="5661"/>
      <c r="CN4" s="5646">
        <v>2017</v>
      </c>
      <c r="CO4" s="5647"/>
      <c r="CP4" s="5647"/>
      <c r="CQ4" s="5647"/>
      <c r="CR4" s="5661"/>
      <c r="CS4" s="5646">
        <v>2018</v>
      </c>
      <c r="CT4" s="5647"/>
      <c r="CU4" s="5647"/>
      <c r="CV4" s="5647"/>
      <c r="CW4" s="5648"/>
      <c r="CX4" s="5646">
        <v>2019</v>
      </c>
      <c r="CY4" s="5647"/>
      <c r="CZ4" s="5647"/>
      <c r="DA4" s="5647"/>
      <c r="DB4" s="5648"/>
      <c r="DC4" s="5646">
        <v>2020</v>
      </c>
      <c r="DD4" s="5647"/>
      <c r="DE4" s="5647"/>
      <c r="DF4" s="5647"/>
      <c r="DG4" s="5648"/>
      <c r="DH4" s="5646" t="s">
        <v>1533</v>
      </c>
      <c r="DI4" s="5647"/>
      <c r="DJ4" s="5647"/>
      <c r="DK4" s="5647"/>
      <c r="DL4" s="5648"/>
      <c r="DM4" s="5646" t="s">
        <v>1958</v>
      </c>
      <c r="DN4" s="5647"/>
      <c r="DO4" s="5647"/>
      <c r="DP4" s="5647"/>
      <c r="DQ4" s="5648"/>
      <c r="DR4" s="5646" t="s">
        <v>1959</v>
      </c>
      <c r="DS4" s="5647"/>
      <c r="DT4" s="5647"/>
      <c r="DU4" s="5647"/>
      <c r="DV4" s="5648"/>
    </row>
    <row r="5" spans="2:127" ht="44.65">
      <c r="B5" s="2118" t="s">
        <v>398</v>
      </c>
      <c r="C5" s="2119" t="s">
        <v>65</v>
      </c>
      <c r="D5" s="2119" t="s">
        <v>66</v>
      </c>
      <c r="E5" s="2119" t="s">
        <v>67</v>
      </c>
      <c r="F5" s="2119" t="s">
        <v>68</v>
      </c>
      <c r="G5" s="2119" t="s">
        <v>412</v>
      </c>
      <c r="H5" s="2119" t="s">
        <v>65</v>
      </c>
      <c r="I5" s="2119" t="s">
        <v>66</v>
      </c>
      <c r="J5" s="2119" t="s">
        <v>67</v>
      </c>
      <c r="K5" s="2119" t="s">
        <v>68</v>
      </c>
      <c r="L5" s="2119" t="s">
        <v>412</v>
      </c>
      <c r="M5" s="2119" t="s">
        <v>65</v>
      </c>
      <c r="N5" s="2119" t="s">
        <v>66</v>
      </c>
      <c r="O5" s="2119" t="s">
        <v>67</v>
      </c>
      <c r="P5" s="2119" t="s">
        <v>68</v>
      </c>
      <c r="Q5" s="2119" t="s">
        <v>412</v>
      </c>
      <c r="R5" s="2119" t="s">
        <v>65</v>
      </c>
      <c r="S5" s="2119" t="s">
        <v>66</v>
      </c>
      <c r="T5" s="2119" t="s">
        <v>67</v>
      </c>
      <c r="U5" s="2119" t="s">
        <v>68</v>
      </c>
      <c r="V5" s="2119" t="s">
        <v>412</v>
      </c>
      <c r="W5" s="2119" t="s">
        <v>65</v>
      </c>
      <c r="X5" s="2119" t="s">
        <v>66</v>
      </c>
      <c r="Y5" s="2119" t="s">
        <v>67</v>
      </c>
      <c r="Z5" s="2119" t="s">
        <v>68</v>
      </c>
      <c r="AA5" s="2119" t="s">
        <v>412</v>
      </c>
      <c r="AB5" s="2119" t="s">
        <v>65</v>
      </c>
      <c r="AC5" s="2119" t="s">
        <v>66</v>
      </c>
      <c r="AD5" s="2119" t="s">
        <v>69</v>
      </c>
      <c r="AE5" s="2119" t="s">
        <v>68</v>
      </c>
      <c r="AF5" s="2119" t="s">
        <v>412</v>
      </c>
      <c r="AG5" s="2119" t="s">
        <v>65</v>
      </c>
      <c r="AH5" s="2119" t="s">
        <v>66</v>
      </c>
      <c r="AI5" s="2119" t="s">
        <v>67</v>
      </c>
      <c r="AJ5" s="2119" t="s">
        <v>68</v>
      </c>
      <c r="AK5" s="2119" t="s">
        <v>412</v>
      </c>
      <c r="AL5" s="2120" t="s">
        <v>65</v>
      </c>
      <c r="AM5" s="2121" t="s">
        <v>66</v>
      </c>
      <c r="AN5" s="2122" t="s">
        <v>67</v>
      </c>
      <c r="AO5" s="2121" t="s">
        <v>68</v>
      </c>
      <c r="AP5" s="2123" t="s">
        <v>412</v>
      </c>
      <c r="AQ5" s="2124" t="s">
        <v>65</v>
      </c>
      <c r="AR5" s="2125" t="s">
        <v>66</v>
      </c>
      <c r="AS5" s="2126" t="s">
        <v>67</v>
      </c>
      <c r="AT5" s="2125" t="s">
        <v>68</v>
      </c>
      <c r="AU5" s="2127" t="s">
        <v>412</v>
      </c>
      <c r="AV5" s="2124" t="s">
        <v>65</v>
      </c>
      <c r="AW5" s="2125" t="s">
        <v>66</v>
      </c>
      <c r="AX5" s="2126" t="s">
        <v>67</v>
      </c>
      <c r="AY5" s="2125" t="s">
        <v>68</v>
      </c>
      <c r="AZ5" s="2126" t="s">
        <v>412</v>
      </c>
      <c r="BA5" s="2124" t="s">
        <v>65</v>
      </c>
      <c r="BB5" s="2125" t="s">
        <v>66</v>
      </c>
      <c r="BC5" s="2125" t="s">
        <v>67</v>
      </c>
      <c r="BD5" s="2128" t="s">
        <v>68</v>
      </c>
      <c r="BE5" s="2128" t="s">
        <v>412</v>
      </c>
      <c r="BF5" s="2129" t="s">
        <v>65</v>
      </c>
      <c r="BG5" s="2125" t="s">
        <v>66</v>
      </c>
      <c r="BH5" s="2125" t="s">
        <v>67</v>
      </c>
      <c r="BI5" s="2125" t="s">
        <v>68</v>
      </c>
      <c r="BJ5" s="2130" t="s">
        <v>412</v>
      </c>
      <c r="BK5" s="2129" t="s">
        <v>65</v>
      </c>
      <c r="BL5" s="2125" t="s">
        <v>66</v>
      </c>
      <c r="BM5" s="2125" t="s">
        <v>67</v>
      </c>
      <c r="BN5" s="2125" t="s">
        <v>68</v>
      </c>
      <c r="BO5" s="2130" t="s">
        <v>412</v>
      </c>
      <c r="BP5" s="2129" t="s">
        <v>65</v>
      </c>
      <c r="BQ5" s="2125" t="s">
        <v>66</v>
      </c>
      <c r="BR5" s="2125" t="s">
        <v>67</v>
      </c>
      <c r="BS5" s="2125" t="s">
        <v>68</v>
      </c>
      <c r="BT5" s="2130" t="s">
        <v>412</v>
      </c>
      <c r="BU5" s="2129" t="s">
        <v>65</v>
      </c>
      <c r="BV5" s="2125" t="s">
        <v>66</v>
      </c>
      <c r="BW5" s="2125" t="s">
        <v>521</v>
      </c>
      <c r="BX5" s="2125" t="s">
        <v>522</v>
      </c>
      <c r="BY5" s="2130" t="s">
        <v>523</v>
      </c>
      <c r="BZ5" s="2125" t="s">
        <v>68</v>
      </c>
      <c r="CA5" s="2128" t="s">
        <v>412</v>
      </c>
      <c r="CB5" s="2129" t="s">
        <v>65</v>
      </c>
      <c r="CC5" s="2125" t="s">
        <v>66</v>
      </c>
      <c r="CD5" s="2125" t="s">
        <v>521</v>
      </c>
      <c r="CE5" s="2125" t="s">
        <v>522</v>
      </c>
      <c r="CF5" s="2130" t="s">
        <v>523</v>
      </c>
      <c r="CG5" s="2125" t="s">
        <v>68</v>
      </c>
      <c r="CH5" s="2128" t="s">
        <v>412</v>
      </c>
      <c r="CI5" s="5649" t="s">
        <v>65</v>
      </c>
      <c r="CJ5" s="5651" t="s">
        <v>66</v>
      </c>
      <c r="CK5" s="5651" t="s">
        <v>523</v>
      </c>
      <c r="CL5" s="5651" t="s">
        <v>68</v>
      </c>
      <c r="CM5" s="5653" t="s">
        <v>412</v>
      </c>
      <c r="CN5" s="5649" t="s">
        <v>65</v>
      </c>
      <c r="CO5" s="5651" t="s">
        <v>66</v>
      </c>
      <c r="CP5" s="5651" t="s">
        <v>523</v>
      </c>
      <c r="CQ5" s="5651" t="s">
        <v>68</v>
      </c>
      <c r="CR5" s="5653" t="s">
        <v>412</v>
      </c>
      <c r="CS5" s="5649" t="s">
        <v>65</v>
      </c>
      <c r="CT5" s="5651" t="s">
        <v>66</v>
      </c>
      <c r="CU5" s="5651" t="s">
        <v>523</v>
      </c>
      <c r="CV5" s="5651" t="s">
        <v>68</v>
      </c>
      <c r="CW5" s="5653" t="s">
        <v>412</v>
      </c>
      <c r="CX5" s="5649" t="s">
        <v>65</v>
      </c>
      <c r="CY5" s="5651" t="s">
        <v>66</v>
      </c>
      <c r="CZ5" s="5651" t="s">
        <v>523</v>
      </c>
      <c r="DA5" s="5651" t="s">
        <v>874</v>
      </c>
      <c r="DB5" s="5653" t="s">
        <v>412</v>
      </c>
      <c r="DC5" s="5649" t="s">
        <v>65</v>
      </c>
      <c r="DD5" s="5651" t="s">
        <v>66</v>
      </c>
      <c r="DE5" s="5651" t="s">
        <v>523</v>
      </c>
      <c r="DF5" s="5651" t="s">
        <v>68</v>
      </c>
      <c r="DG5" s="5653" t="s">
        <v>412</v>
      </c>
      <c r="DH5" s="5649" t="s">
        <v>65</v>
      </c>
      <c r="DI5" s="5651" t="s">
        <v>66</v>
      </c>
      <c r="DJ5" s="5651" t="s">
        <v>523</v>
      </c>
      <c r="DK5" s="5651" t="s">
        <v>68</v>
      </c>
      <c r="DL5" s="5653" t="s">
        <v>412</v>
      </c>
      <c r="DM5" s="5649" t="s">
        <v>65</v>
      </c>
      <c r="DN5" s="5651" t="s">
        <v>66</v>
      </c>
      <c r="DO5" s="5651" t="s">
        <v>523</v>
      </c>
      <c r="DP5" s="5651" t="s">
        <v>68</v>
      </c>
      <c r="DQ5" s="5653" t="s">
        <v>412</v>
      </c>
      <c r="DR5" s="5649" t="s">
        <v>65</v>
      </c>
      <c r="DS5" s="5651" t="s">
        <v>66</v>
      </c>
      <c r="DT5" s="5651" t="s">
        <v>523</v>
      </c>
      <c r="DU5" s="5651" t="s">
        <v>68</v>
      </c>
      <c r="DV5" s="5653" t="s">
        <v>412</v>
      </c>
    </row>
    <row r="6" spans="2:127" ht="31.25" customHeight="1" thickBot="1">
      <c r="B6" s="2131"/>
      <c r="C6" s="2132"/>
      <c r="D6" s="2132"/>
      <c r="E6" s="2132"/>
      <c r="F6" s="2132"/>
      <c r="G6" s="2132"/>
      <c r="H6" s="2132"/>
      <c r="I6" s="2132"/>
      <c r="J6" s="2132"/>
      <c r="K6" s="2132"/>
      <c r="L6" s="2132"/>
      <c r="M6" s="2132"/>
      <c r="N6" s="2132"/>
      <c r="O6" s="2132"/>
      <c r="P6" s="2132"/>
      <c r="Q6" s="2132"/>
      <c r="R6" s="2132"/>
      <c r="S6" s="2132"/>
      <c r="T6" s="2132"/>
      <c r="U6" s="2132"/>
      <c r="V6" s="2132"/>
      <c r="W6" s="2132"/>
      <c r="X6" s="2132"/>
      <c r="Y6" s="2132"/>
      <c r="Z6" s="2132"/>
      <c r="AA6" s="2132"/>
      <c r="AB6" s="2133"/>
      <c r="AC6" s="2133"/>
      <c r="AD6" s="2133"/>
      <c r="AE6" s="2133"/>
      <c r="AF6" s="2133"/>
      <c r="AG6" s="2132"/>
      <c r="AH6" s="2132"/>
      <c r="AI6" s="2132"/>
      <c r="AJ6" s="2132"/>
      <c r="AK6" s="2132"/>
      <c r="AL6" s="2134"/>
      <c r="AM6" s="2135"/>
      <c r="AN6" s="2136"/>
      <c r="AO6" s="2135"/>
      <c r="AP6" s="2137"/>
      <c r="AQ6" s="2138"/>
      <c r="AR6" s="2139"/>
      <c r="AS6" s="2140"/>
      <c r="AT6" s="2139"/>
      <c r="AU6" s="2141"/>
      <c r="AV6" s="2138"/>
      <c r="AW6" s="2139"/>
      <c r="AX6" s="2140"/>
      <c r="AY6" s="2139"/>
      <c r="AZ6" s="2140"/>
      <c r="BA6" s="2138"/>
      <c r="BB6" s="2139"/>
      <c r="BC6" s="2139"/>
      <c r="BD6" s="2142"/>
      <c r="BE6" s="2142"/>
      <c r="BF6" s="2143"/>
      <c r="BG6" s="2139"/>
      <c r="BH6" s="2139"/>
      <c r="BI6" s="2139"/>
      <c r="BJ6" s="2142"/>
      <c r="BK6" s="2143"/>
      <c r="BL6" s="2139"/>
      <c r="BM6" s="2139"/>
      <c r="BN6" s="2139"/>
      <c r="BO6" s="2142"/>
      <c r="BP6" s="2143"/>
      <c r="BQ6" s="2139"/>
      <c r="BR6" s="2139"/>
      <c r="BS6" s="2139"/>
      <c r="BT6" s="2144"/>
      <c r="BU6" s="2143"/>
      <c r="BV6" s="2139"/>
      <c r="BW6" s="2139"/>
      <c r="BX6" s="2139"/>
      <c r="BY6" s="2144"/>
      <c r="BZ6" s="2139"/>
      <c r="CA6" s="2142"/>
      <c r="CB6" s="2143"/>
      <c r="CC6" s="2139"/>
      <c r="CD6" s="2139"/>
      <c r="CE6" s="2139"/>
      <c r="CF6" s="2144"/>
      <c r="CG6" s="2139"/>
      <c r="CH6" s="2142"/>
      <c r="CI6" s="5650"/>
      <c r="CJ6" s="5652"/>
      <c r="CK6" s="5652"/>
      <c r="CL6" s="5652"/>
      <c r="CM6" s="5654"/>
      <c r="CN6" s="5650"/>
      <c r="CO6" s="5652"/>
      <c r="CP6" s="5652"/>
      <c r="CQ6" s="5652"/>
      <c r="CR6" s="5654"/>
      <c r="CS6" s="5650"/>
      <c r="CT6" s="5652"/>
      <c r="CU6" s="5652"/>
      <c r="CV6" s="5652"/>
      <c r="CW6" s="5654"/>
      <c r="CX6" s="5650"/>
      <c r="CY6" s="5652"/>
      <c r="CZ6" s="5652"/>
      <c r="DA6" s="5652"/>
      <c r="DB6" s="5654"/>
      <c r="DC6" s="5650"/>
      <c r="DD6" s="5652"/>
      <c r="DE6" s="5652"/>
      <c r="DF6" s="5652"/>
      <c r="DG6" s="5654"/>
      <c r="DH6" s="5650"/>
      <c r="DI6" s="5652"/>
      <c r="DJ6" s="5652"/>
      <c r="DK6" s="5652"/>
      <c r="DL6" s="5654"/>
      <c r="DM6" s="5650"/>
      <c r="DN6" s="5652"/>
      <c r="DO6" s="5652"/>
      <c r="DP6" s="5652"/>
      <c r="DQ6" s="5654"/>
      <c r="DR6" s="5650"/>
      <c r="DS6" s="5652"/>
      <c r="DT6" s="5652"/>
      <c r="DU6" s="5652"/>
      <c r="DV6" s="5654"/>
    </row>
    <row r="7" spans="2:127" ht="25.5" customHeight="1">
      <c r="B7" s="2145"/>
      <c r="C7" s="1247"/>
      <c r="D7" s="1247"/>
      <c r="E7" s="1247"/>
      <c r="F7" s="1247"/>
      <c r="G7" s="1247"/>
      <c r="H7" s="1247"/>
      <c r="I7" s="1247"/>
      <c r="J7" s="1247"/>
      <c r="K7" s="1247"/>
      <c r="L7" s="1247"/>
      <c r="M7" s="1247"/>
      <c r="N7" s="1247"/>
      <c r="O7" s="1247"/>
      <c r="P7" s="1247"/>
      <c r="Q7" s="1247"/>
      <c r="R7" s="1247"/>
      <c r="S7" s="1247"/>
      <c r="T7" s="1247"/>
      <c r="U7" s="1247"/>
      <c r="V7" s="1247"/>
      <c r="W7" s="1247"/>
      <c r="X7" s="1247"/>
      <c r="Y7" s="1247"/>
      <c r="Z7" s="1247"/>
      <c r="AA7" s="1247"/>
      <c r="AB7" s="2146"/>
      <c r="AC7" s="2146"/>
      <c r="AD7" s="2146"/>
      <c r="AE7" s="2146"/>
      <c r="AF7" s="2146"/>
      <c r="AG7" s="1247"/>
      <c r="AH7" s="1247"/>
      <c r="AI7" s="1247"/>
      <c r="AJ7" s="1247"/>
      <c r="AK7" s="1247"/>
      <c r="AL7" s="2147"/>
      <c r="AM7" s="2148"/>
      <c r="AN7" s="2149"/>
      <c r="AO7" s="2148"/>
      <c r="AP7" s="2150"/>
      <c r="AQ7" s="2151"/>
      <c r="AR7" s="2152"/>
      <c r="AS7" s="2153"/>
      <c r="AT7" s="2152"/>
      <c r="AU7" s="2154"/>
      <c r="AV7" s="2151"/>
      <c r="AW7" s="2152"/>
      <c r="AX7" s="2153"/>
      <c r="AY7" s="2152"/>
      <c r="AZ7" s="2153"/>
      <c r="BA7" s="2151"/>
      <c r="BB7" s="2152"/>
      <c r="BC7" s="2152"/>
      <c r="BD7" s="2155"/>
      <c r="BE7" s="2155"/>
      <c r="BF7" s="2156"/>
      <c r="BG7" s="2157"/>
      <c r="BH7" s="2157"/>
      <c r="BI7" s="2157"/>
      <c r="BJ7" s="2158"/>
      <c r="BK7" s="2156"/>
      <c r="BL7" s="2157"/>
      <c r="BM7" s="2157"/>
      <c r="BN7" s="2157"/>
      <c r="BO7" s="2158"/>
      <c r="BP7" s="2156"/>
      <c r="BQ7" s="2157"/>
      <c r="BR7" s="2157"/>
      <c r="BS7" s="2157"/>
      <c r="BT7" s="2159"/>
      <c r="BU7" s="2160"/>
      <c r="BV7" s="2161"/>
      <c r="BW7" s="2161"/>
      <c r="BX7" s="2161"/>
      <c r="BY7" s="2161"/>
      <c r="BZ7" s="2161"/>
      <c r="CA7" s="2162"/>
      <c r="CB7" s="2160"/>
      <c r="CC7" s="2161"/>
      <c r="CD7" s="2161"/>
      <c r="CE7" s="2161"/>
      <c r="CF7" s="2161"/>
      <c r="CG7" s="2161"/>
      <c r="CH7" s="2162"/>
      <c r="CI7" s="2163"/>
      <c r="CJ7" s="2164"/>
      <c r="CK7" s="2164"/>
      <c r="CL7" s="2164"/>
      <c r="CM7" s="2165"/>
      <c r="CN7" s="2166"/>
      <c r="CO7" s="2167"/>
      <c r="CP7" s="2164"/>
      <c r="CQ7" s="2164"/>
      <c r="CR7" s="2165"/>
      <c r="CS7" s="2168"/>
      <c r="CT7" s="2167"/>
      <c r="CU7" s="2169"/>
      <c r="CV7" s="2169"/>
      <c r="CW7" s="2165"/>
      <c r="CX7" s="2163"/>
      <c r="CY7" s="2170"/>
      <c r="CZ7" s="2170"/>
      <c r="DA7" s="2170"/>
      <c r="DB7" s="2171"/>
      <c r="DC7" s="2163"/>
      <c r="DD7" s="2170"/>
      <c r="DE7" s="2172"/>
      <c r="DF7" s="2173"/>
      <c r="DG7" s="2171"/>
      <c r="DH7" s="2163"/>
      <c r="DI7" s="2170"/>
      <c r="DJ7" s="2172"/>
      <c r="DK7" s="2173"/>
      <c r="DL7" s="2171"/>
      <c r="DM7" s="2163"/>
      <c r="DN7" s="2170"/>
      <c r="DO7" s="2172"/>
      <c r="DP7" s="2173"/>
      <c r="DQ7" s="2171"/>
      <c r="DS7" s="2948"/>
      <c r="DT7" s="2948"/>
      <c r="DU7" s="2949"/>
      <c r="DW7" s="2947"/>
    </row>
    <row r="8" spans="2:127" ht="81" customHeight="1">
      <c r="B8" s="2174" t="s">
        <v>399</v>
      </c>
      <c r="C8" s="2146">
        <v>25448</v>
      </c>
      <c r="D8" s="2146">
        <v>684</v>
      </c>
      <c r="E8" s="2146">
        <v>2269</v>
      </c>
      <c r="F8" s="2146">
        <v>66742</v>
      </c>
      <c r="G8" s="2146">
        <v>95143</v>
      </c>
      <c r="H8" s="2146">
        <v>24930</v>
      </c>
      <c r="I8" s="2146">
        <v>1573</v>
      </c>
      <c r="J8" s="2146">
        <v>2927</v>
      </c>
      <c r="K8" s="2146">
        <v>53410</v>
      </c>
      <c r="L8" s="2146">
        <v>82840</v>
      </c>
      <c r="M8" s="2146">
        <v>21532</v>
      </c>
      <c r="N8" s="2146">
        <v>1128</v>
      </c>
      <c r="O8" s="2146">
        <v>2540</v>
      </c>
      <c r="P8" s="2146">
        <v>65462</v>
      </c>
      <c r="Q8" s="2146">
        <v>90662</v>
      </c>
      <c r="R8" s="2146">
        <v>30578</v>
      </c>
      <c r="S8" s="2146">
        <v>643</v>
      </c>
      <c r="T8" s="2146">
        <v>1822</v>
      </c>
      <c r="U8" s="2146">
        <v>68839</v>
      </c>
      <c r="V8" s="2146">
        <v>101882</v>
      </c>
      <c r="W8" s="2146">
        <v>22556</v>
      </c>
      <c r="X8" s="2146">
        <v>1586</v>
      </c>
      <c r="Y8" s="2146">
        <v>1003</v>
      </c>
      <c r="Z8" s="2146">
        <v>53903</v>
      </c>
      <c r="AA8" s="2146">
        <v>79048</v>
      </c>
      <c r="AB8" s="2146">
        <v>22878</v>
      </c>
      <c r="AC8" s="2146">
        <v>517</v>
      </c>
      <c r="AD8" s="2146">
        <v>23395</v>
      </c>
      <c r="AE8" s="2146">
        <v>54131</v>
      </c>
      <c r="AF8" s="2146">
        <v>77526</v>
      </c>
      <c r="AG8" s="2146">
        <v>25215</v>
      </c>
      <c r="AH8" s="2146">
        <v>568</v>
      </c>
      <c r="AI8" s="2146">
        <v>3110</v>
      </c>
      <c r="AJ8" s="2146">
        <v>54532</v>
      </c>
      <c r="AK8" s="2146">
        <v>83425</v>
      </c>
      <c r="AL8" s="2175">
        <v>21887</v>
      </c>
      <c r="AM8" s="2176">
        <v>409</v>
      </c>
      <c r="AN8" s="2177">
        <v>2871</v>
      </c>
      <c r="AO8" s="2176">
        <v>81536</v>
      </c>
      <c r="AP8" s="2178">
        <v>106703</v>
      </c>
      <c r="AQ8" s="2175">
        <v>24958</v>
      </c>
      <c r="AR8" s="2176">
        <v>991</v>
      </c>
      <c r="AS8" s="2177">
        <v>2901</v>
      </c>
      <c r="AT8" s="2176">
        <v>102286</v>
      </c>
      <c r="AU8" s="2178">
        <v>131136</v>
      </c>
      <c r="AV8" s="2175">
        <v>23051</v>
      </c>
      <c r="AW8" s="2176">
        <v>490</v>
      </c>
      <c r="AX8" s="2177">
        <v>2918</v>
      </c>
      <c r="AY8" s="2176">
        <v>100131</v>
      </c>
      <c r="AZ8" s="2177">
        <v>126590</v>
      </c>
      <c r="BA8" s="2175">
        <v>26083</v>
      </c>
      <c r="BB8" s="2176">
        <v>409</v>
      </c>
      <c r="BC8" s="2176">
        <v>2941</v>
      </c>
      <c r="BD8" s="2179">
        <v>99811</v>
      </c>
      <c r="BE8" s="2179">
        <v>129244</v>
      </c>
      <c r="BF8" s="2175">
        <v>26993</v>
      </c>
      <c r="BG8" s="2176">
        <v>777</v>
      </c>
      <c r="BH8" s="2176">
        <v>4582</v>
      </c>
      <c r="BI8" s="2176">
        <v>88371</v>
      </c>
      <c r="BJ8" s="2179">
        <f>SUM(BF8:BH8,)+BI8</f>
        <v>120723</v>
      </c>
      <c r="BK8" s="2180">
        <f>'[172]Visitor category'!$BS$10</f>
        <v>25605</v>
      </c>
      <c r="BL8" s="2176">
        <f>'[172]Visitor category'!$BT$10</f>
        <v>948</v>
      </c>
      <c r="BM8" s="2176">
        <v>3809</v>
      </c>
      <c r="BN8" s="2176">
        <f>'[172]Visitor category'!$BX$10</f>
        <v>94070</v>
      </c>
      <c r="BO8" s="2179">
        <f>SUM(BK8:BN8)</f>
        <v>124432</v>
      </c>
      <c r="BP8" s="2180">
        <v>25899</v>
      </c>
      <c r="BQ8" s="2176">
        <v>465</v>
      </c>
      <c r="BR8" s="2176">
        <v>4013</v>
      </c>
      <c r="BS8" s="2176">
        <v>96587</v>
      </c>
      <c r="BT8" s="2179">
        <f>SUM(BP8:BS8)</f>
        <v>126964</v>
      </c>
      <c r="BU8" s="2180">
        <v>27643</v>
      </c>
      <c r="BV8" s="2176">
        <v>547</v>
      </c>
      <c r="BW8" s="2176">
        <v>3663</v>
      </c>
      <c r="BX8" s="2176">
        <v>1134</v>
      </c>
      <c r="BY8" s="2176">
        <f>+BW8+BX8</f>
        <v>4797</v>
      </c>
      <c r="BZ8" s="2176">
        <v>102901</v>
      </c>
      <c r="CA8" s="2179">
        <f>+BU8+BV8+BY8+BZ8</f>
        <v>135888</v>
      </c>
      <c r="CB8" s="2180">
        <v>31541</v>
      </c>
      <c r="CC8" s="2176">
        <v>688</v>
      </c>
      <c r="CD8" s="2176"/>
      <c r="CE8" s="2176"/>
      <c r="CF8" s="2181">
        <v>7457</v>
      </c>
      <c r="CG8" s="2176">
        <v>109361</v>
      </c>
      <c r="CH8" s="2179">
        <f>+CB8+CC8+CF8+CG8</f>
        <v>149047</v>
      </c>
      <c r="CI8" s="2163">
        <v>30661</v>
      </c>
      <c r="CJ8" s="2164">
        <v>1003</v>
      </c>
      <c r="CK8" s="2164">
        <v>7083</v>
      </c>
      <c r="CL8" s="2164">
        <v>99544</v>
      </c>
      <c r="CM8" s="2165">
        <f>SUM(CI8:CL8)</f>
        <v>138291</v>
      </c>
      <c r="CN8" s="2182">
        <v>31649</v>
      </c>
      <c r="CO8" s="2183">
        <v>870</v>
      </c>
      <c r="CP8" s="2183">
        <v>7912</v>
      </c>
      <c r="CQ8" s="2183">
        <v>119593</v>
      </c>
      <c r="CR8" s="2165">
        <f>SUM(CN8:CQ8)</f>
        <v>160024</v>
      </c>
      <c r="CS8" s="2163">
        <v>32755</v>
      </c>
      <c r="CT8" s="2169">
        <v>1048</v>
      </c>
      <c r="CU8" s="2169">
        <v>9663</v>
      </c>
      <c r="CV8" s="2169">
        <v>134380</v>
      </c>
      <c r="CW8" s="2165">
        <v>177846</v>
      </c>
      <c r="CX8" s="2163">
        <v>34546</v>
      </c>
      <c r="CY8" s="2170">
        <v>810</v>
      </c>
      <c r="CZ8" s="2170">
        <v>7297</v>
      </c>
      <c r="DA8" s="2170">
        <v>130717</v>
      </c>
      <c r="DB8" s="2184">
        <f>SUM(CX8:DA8)</f>
        <v>173370</v>
      </c>
      <c r="DC8" s="2163">
        <v>33675</v>
      </c>
      <c r="DD8" s="2170">
        <v>567</v>
      </c>
      <c r="DE8" s="2172">
        <v>9506</v>
      </c>
      <c r="DF8" s="2170">
        <v>149068</v>
      </c>
      <c r="DG8" s="2184">
        <v>194239</v>
      </c>
      <c r="DH8" s="2163">
        <v>6357</v>
      </c>
      <c r="DI8" s="2170">
        <v>367</v>
      </c>
      <c r="DJ8" s="2172">
        <v>102</v>
      </c>
      <c r="DK8" s="2170">
        <v>0</v>
      </c>
      <c r="DL8" s="2184">
        <f>SUM(DH8:DK8)</f>
        <v>6826</v>
      </c>
      <c r="DM8" s="2163">
        <v>21864</v>
      </c>
      <c r="DN8" s="2170">
        <v>481</v>
      </c>
      <c r="DO8" s="2172">
        <v>1085</v>
      </c>
      <c r="DP8" s="2170">
        <v>32937</v>
      </c>
      <c r="DQ8" s="2184">
        <f>SUM(DM8:DP8)</f>
        <v>56367</v>
      </c>
      <c r="DR8" s="2180">
        <v>34066</v>
      </c>
      <c r="DS8" s="3044">
        <v>546</v>
      </c>
      <c r="DT8" s="3049">
        <v>5323</v>
      </c>
      <c r="DU8" s="3044">
        <v>115183</v>
      </c>
      <c r="DV8" s="2184">
        <f>SUM(DR8:DU8)</f>
        <v>155118</v>
      </c>
      <c r="DW8" s="2947"/>
    </row>
    <row r="9" spans="2:127" ht="81" customHeight="1">
      <c r="B9" s="2174" t="s">
        <v>400</v>
      </c>
      <c r="C9" s="2146">
        <v>23627</v>
      </c>
      <c r="D9" s="2146">
        <v>731</v>
      </c>
      <c r="E9" s="2146">
        <v>2277</v>
      </c>
      <c r="F9" s="2146">
        <v>56352</v>
      </c>
      <c r="G9" s="2146">
        <v>82987</v>
      </c>
      <c r="H9" s="2146">
        <v>21875</v>
      </c>
      <c r="I9" s="2146">
        <v>1286</v>
      </c>
      <c r="J9" s="2146">
        <v>2243</v>
      </c>
      <c r="K9" s="2146">
        <v>48736</v>
      </c>
      <c r="L9" s="2146">
        <v>74140</v>
      </c>
      <c r="M9" s="2146">
        <v>25766</v>
      </c>
      <c r="N9" s="2146">
        <v>1154</v>
      </c>
      <c r="O9" s="2146">
        <v>2427</v>
      </c>
      <c r="P9" s="2146">
        <v>59660</v>
      </c>
      <c r="Q9" s="2146">
        <v>89007</v>
      </c>
      <c r="R9" s="2146">
        <v>26019</v>
      </c>
      <c r="S9" s="2146">
        <v>807</v>
      </c>
      <c r="T9" s="2146">
        <v>2147</v>
      </c>
      <c r="U9" s="2146">
        <v>60216</v>
      </c>
      <c r="V9" s="2146">
        <v>89189</v>
      </c>
      <c r="W9" s="2146">
        <v>24493</v>
      </c>
      <c r="X9" s="2146">
        <v>1596</v>
      </c>
      <c r="Y9" s="2146">
        <v>2399</v>
      </c>
      <c r="Z9" s="2146">
        <v>53305</v>
      </c>
      <c r="AA9" s="2146">
        <v>81793</v>
      </c>
      <c r="AB9" s="2146">
        <v>23818</v>
      </c>
      <c r="AC9" s="2146">
        <v>383</v>
      </c>
      <c r="AD9" s="2146">
        <v>24201</v>
      </c>
      <c r="AE9" s="2146">
        <v>47620</v>
      </c>
      <c r="AF9" s="2146">
        <v>71821</v>
      </c>
      <c r="AG9" s="2146">
        <v>28619</v>
      </c>
      <c r="AH9" s="2146">
        <v>1078</v>
      </c>
      <c r="AI9" s="2146">
        <v>2584</v>
      </c>
      <c r="AJ9" s="2146">
        <v>51877</v>
      </c>
      <c r="AK9" s="2146">
        <v>84158</v>
      </c>
      <c r="AL9" s="2175">
        <v>24610</v>
      </c>
      <c r="AM9" s="2176">
        <v>508</v>
      </c>
      <c r="AN9" s="2177">
        <v>3213</v>
      </c>
      <c r="AO9" s="2176">
        <v>79152</v>
      </c>
      <c r="AP9" s="2178">
        <v>107483</v>
      </c>
      <c r="AQ9" s="2175">
        <v>29088</v>
      </c>
      <c r="AR9" s="2176">
        <v>858</v>
      </c>
      <c r="AS9" s="2177">
        <v>3104</v>
      </c>
      <c r="AT9" s="2176">
        <v>76574</v>
      </c>
      <c r="AU9" s="2178">
        <v>109624</v>
      </c>
      <c r="AV9" s="2175">
        <v>25262</v>
      </c>
      <c r="AW9" s="2176">
        <v>484</v>
      </c>
      <c r="AX9" s="2149">
        <v>3631</v>
      </c>
      <c r="AY9" s="2176">
        <v>89658</v>
      </c>
      <c r="AZ9" s="2177">
        <v>119035</v>
      </c>
      <c r="BA9" s="2175">
        <v>27867</v>
      </c>
      <c r="BB9" s="2176">
        <v>370</v>
      </c>
      <c r="BC9" s="2164">
        <v>3442</v>
      </c>
      <c r="BD9" s="2179">
        <v>103585</v>
      </c>
      <c r="BE9" s="2179">
        <v>135264</v>
      </c>
      <c r="BF9" s="2175">
        <v>26142</v>
      </c>
      <c r="BG9" s="2176">
        <v>718</v>
      </c>
      <c r="BH9" s="2176">
        <v>4145</v>
      </c>
      <c r="BI9" s="2164">
        <v>78253</v>
      </c>
      <c r="BJ9" s="2179">
        <f>SUM(BF9:BH9,)+BI9</f>
        <v>109258</v>
      </c>
      <c r="BK9" s="2180">
        <f>'[172]Visitor category'!$BS$11</f>
        <v>28947</v>
      </c>
      <c r="BL9" s="2176">
        <f>'[172]Visitor category'!$BT$11</f>
        <v>879</v>
      </c>
      <c r="BM9" s="2176">
        <v>4191</v>
      </c>
      <c r="BN9" s="2176">
        <f>'[172]Visitor category'!$BX$11</f>
        <v>90844</v>
      </c>
      <c r="BO9" s="2179">
        <f>SUM(BK9:BN9)</f>
        <v>124861</v>
      </c>
      <c r="BP9" s="2180">
        <v>27853</v>
      </c>
      <c r="BQ9" s="2176">
        <v>626</v>
      </c>
      <c r="BR9" s="2176">
        <v>4472</v>
      </c>
      <c r="BS9" s="2176">
        <v>81507</v>
      </c>
      <c r="BT9" s="2179">
        <f>SUM(BP9:BS9)</f>
        <v>114458</v>
      </c>
      <c r="BU9" s="2180">
        <v>30135</v>
      </c>
      <c r="BV9" s="2176">
        <v>736</v>
      </c>
      <c r="BW9" s="2176">
        <v>3620</v>
      </c>
      <c r="BX9" s="2176">
        <v>1317</v>
      </c>
      <c r="BY9" s="2176">
        <f>+BW9+BX9</f>
        <v>4937</v>
      </c>
      <c r="BZ9" s="2176">
        <v>88053</v>
      </c>
      <c r="CA9" s="2179">
        <f>+BU9+BV9+BY9+BZ9</f>
        <v>123861</v>
      </c>
      <c r="CB9" s="2180">
        <v>32083</v>
      </c>
      <c r="CC9" s="2176">
        <v>590</v>
      </c>
      <c r="CD9" s="2176"/>
      <c r="CE9" s="2176"/>
      <c r="CF9" s="2181">
        <v>8106</v>
      </c>
      <c r="CG9" s="2176">
        <v>95435</v>
      </c>
      <c r="CH9" s="2179">
        <f>+CB9+CC9+CF9+CG9</f>
        <v>136214</v>
      </c>
      <c r="CI9" s="2163">
        <v>31637</v>
      </c>
      <c r="CJ9" s="2164">
        <v>1058</v>
      </c>
      <c r="CK9" s="2164">
        <v>7859</v>
      </c>
      <c r="CL9" s="2164">
        <v>77415</v>
      </c>
      <c r="CM9" s="2165">
        <f>SUM(CI9:CL9)</f>
        <v>117969</v>
      </c>
      <c r="CN9" s="2163">
        <v>33402</v>
      </c>
      <c r="CO9" s="2185">
        <v>653</v>
      </c>
      <c r="CP9" s="2164">
        <v>6384</v>
      </c>
      <c r="CQ9" s="2164">
        <v>95326</v>
      </c>
      <c r="CR9" s="2165">
        <f>SUM(CN9:CQ9)</f>
        <v>135765</v>
      </c>
      <c r="CS9" s="2163">
        <v>35536</v>
      </c>
      <c r="CT9" s="2169">
        <v>978</v>
      </c>
      <c r="CU9" s="2169">
        <v>9021</v>
      </c>
      <c r="CV9" s="2169">
        <v>95845</v>
      </c>
      <c r="CW9" s="2165">
        <v>141380</v>
      </c>
      <c r="CX9" s="2163">
        <v>38166</v>
      </c>
      <c r="CY9" s="2170">
        <v>854</v>
      </c>
      <c r="CZ9" s="2170">
        <v>7944</v>
      </c>
      <c r="DA9" s="2170">
        <v>99338</v>
      </c>
      <c r="DB9" s="2184">
        <f>SUM(CX9:DA9)</f>
        <v>146302</v>
      </c>
      <c r="DC9" s="2163">
        <v>39638</v>
      </c>
      <c r="DD9" s="2170">
        <v>592</v>
      </c>
      <c r="DE9" s="2172">
        <v>5415</v>
      </c>
      <c r="DF9" s="2170">
        <v>110518</v>
      </c>
      <c r="DG9" s="2184">
        <v>158279</v>
      </c>
      <c r="DH9" s="2163">
        <v>4870</v>
      </c>
      <c r="DI9" s="2170">
        <v>201</v>
      </c>
      <c r="DJ9" s="2172">
        <v>57</v>
      </c>
      <c r="DK9" s="2170">
        <v>0</v>
      </c>
      <c r="DL9" s="2184">
        <f t="shared" ref="DL9:DL30" si="0">SUM(DH9:DK9)</f>
        <v>5128</v>
      </c>
      <c r="DM9" s="2163">
        <v>26828</v>
      </c>
      <c r="DN9" s="2170">
        <v>539</v>
      </c>
      <c r="DO9" s="2172">
        <v>1415</v>
      </c>
      <c r="DP9" s="2170">
        <v>40447</v>
      </c>
      <c r="DQ9" s="2184">
        <f>SUM(DM9:DP9)</f>
        <v>69229</v>
      </c>
      <c r="DR9" s="2180">
        <v>34638</v>
      </c>
      <c r="DS9" s="3044">
        <v>558</v>
      </c>
      <c r="DT9" s="3049">
        <v>4706</v>
      </c>
      <c r="DU9" s="3044">
        <v>115446</v>
      </c>
      <c r="DV9" s="2184">
        <f>SUM(DR9:DU9)</f>
        <v>155348</v>
      </c>
      <c r="DW9" s="2947"/>
    </row>
    <row r="10" spans="2:127" ht="81" customHeight="1">
      <c r="B10" s="2174" t="s">
        <v>401</v>
      </c>
      <c r="C10" s="2146">
        <v>23123</v>
      </c>
      <c r="D10" s="2146">
        <v>526</v>
      </c>
      <c r="E10" s="2146">
        <v>3045</v>
      </c>
      <c r="F10" s="2146">
        <v>58120</v>
      </c>
      <c r="G10" s="2146">
        <v>84814</v>
      </c>
      <c r="H10" s="2146">
        <v>23387</v>
      </c>
      <c r="I10" s="2146">
        <v>1013</v>
      </c>
      <c r="J10" s="2146">
        <v>2436</v>
      </c>
      <c r="K10" s="2146">
        <v>52224</v>
      </c>
      <c r="L10" s="2146">
        <v>79060</v>
      </c>
      <c r="M10" s="2146">
        <v>24977</v>
      </c>
      <c r="N10" s="2146">
        <v>1294</v>
      </c>
      <c r="O10" s="2146">
        <v>1573</v>
      </c>
      <c r="P10" s="2146">
        <v>67887</v>
      </c>
      <c r="Q10" s="2146">
        <v>95731</v>
      </c>
      <c r="R10" s="2146">
        <v>26563</v>
      </c>
      <c r="S10" s="2146">
        <v>834</v>
      </c>
      <c r="T10" s="2146">
        <v>1874</v>
      </c>
      <c r="U10" s="2146">
        <v>75798</v>
      </c>
      <c r="V10" s="2146">
        <v>105069</v>
      </c>
      <c r="W10" s="2146">
        <v>25167</v>
      </c>
      <c r="X10" s="2146">
        <v>1663</v>
      </c>
      <c r="Y10" s="2146">
        <v>2036</v>
      </c>
      <c r="Z10" s="2146">
        <v>47303</v>
      </c>
      <c r="AA10" s="2146">
        <v>76169</v>
      </c>
      <c r="AB10" s="2146">
        <v>24530</v>
      </c>
      <c r="AC10" s="2146">
        <v>757</v>
      </c>
      <c r="AD10" s="2146">
        <v>25287</v>
      </c>
      <c r="AE10" s="2146">
        <v>55914</v>
      </c>
      <c r="AF10" s="2146">
        <v>81201</v>
      </c>
      <c r="AG10" s="2146">
        <v>27832</v>
      </c>
      <c r="AH10" s="2146">
        <v>785</v>
      </c>
      <c r="AI10" s="2146">
        <v>2714</v>
      </c>
      <c r="AJ10" s="2146">
        <v>59119</v>
      </c>
      <c r="AK10" s="2146">
        <v>90450</v>
      </c>
      <c r="AL10" s="2175">
        <v>26573</v>
      </c>
      <c r="AM10" s="2176">
        <v>365</v>
      </c>
      <c r="AN10" s="2177">
        <v>2502</v>
      </c>
      <c r="AO10" s="2176">
        <v>77679</v>
      </c>
      <c r="AP10" s="2178">
        <v>107119</v>
      </c>
      <c r="AQ10" s="2175">
        <v>31982</v>
      </c>
      <c r="AR10" s="2176">
        <v>1026</v>
      </c>
      <c r="AS10" s="2177">
        <v>2378</v>
      </c>
      <c r="AT10" s="2176">
        <v>92312</v>
      </c>
      <c r="AU10" s="2178">
        <v>127698</v>
      </c>
      <c r="AV10" s="2175">
        <v>25938</v>
      </c>
      <c r="AW10" s="2176">
        <v>454</v>
      </c>
      <c r="AX10" s="2177">
        <v>2722</v>
      </c>
      <c r="AY10" s="2176">
        <v>108392</v>
      </c>
      <c r="AZ10" s="2177">
        <v>137506</v>
      </c>
      <c r="BA10" s="2175">
        <v>29580</v>
      </c>
      <c r="BB10" s="2176">
        <v>406</v>
      </c>
      <c r="BC10" s="2176">
        <v>3306</v>
      </c>
      <c r="BD10" s="2179">
        <v>106854</v>
      </c>
      <c r="BE10" s="2179">
        <v>140146</v>
      </c>
      <c r="BF10" s="2175">
        <v>29536</v>
      </c>
      <c r="BG10" s="2176">
        <v>1101</v>
      </c>
      <c r="BH10" s="2176">
        <v>5194</v>
      </c>
      <c r="BI10" s="2176">
        <v>94581</v>
      </c>
      <c r="BJ10" s="2179">
        <f>SUM(BF10:BH10,)+BI10</f>
        <v>130412</v>
      </c>
      <c r="BK10" s="2180">
        <f>'[172]Visitor category'!$BS$12</f>
        <v>30885</v>
      </c>
      <c r="BL10" s="2176">
        <f>'[172]Visitor category'!$BT$12</f>
        <v>1355</v>
      </c>
      <c r="BM10" s="2176">
        <v>4430</v>
      </c>
      <c r="BN10" s="2176">
        <f>'[172]Visitor category'!$BX$12</f>
        <v>84637</v>
      </c>
      <c r="BO10" s="2179">
        <f>SUM(BK10:BN10)</f>
        <v>121307</v>
      </c>
      <c r="BP10" s="2180">
        <v>33842</v>
      </c>
      <c r="BQ10" s="2176">
        <v>910</v>
      </c>
      <c r="BR10" s="2176">
        <v>4526</v>
      </c>
      <c r="BS10" s="2176">
        <v>83915</v>
      </c>
      <c r="BT10" s="2179">
        <f>SUM(BP10:BS10)</f>
        <v>123193</v>
      </c>
      <c r="BU10" s="2180">
        <v>34538</v>
      </c>
      <c r="BV10" s="2176">
        <v>676</v>
      </c>
      <c r="BW10" s="2176">
        <v>4203</v>
      </c>
      <c r="BX10" s="2176">
        <v>1443</v>
      </c>
      <c r="BY10" s="2176">
        <f>+BW10+BX10</f>
        <v>5646</v>
      </c>
      <c r="BZ10" s="2176">
        <v>83833</v>
      </c>
      <c r="CA10" s="2179">
        <f>+BU10+BV10+BY10+BZ10</f>
        <v>124693</v>
      </c>
      <c r="CB10" s="2180">
        <v>34595</v>
      </c>
      <c r="CC10" s="2176">
        <v>648</v>
      </c>
      <c r="CD10" s="2176"/>
      <c r="CE10" s="2176"/>
      <c r="CF10" s="2181">
        <v>7362</v>
      </c>
      <c r="CG10" s="2176">
        <v>87422</v>
      </c>
      <c r="CH10" s="2179">
        <f>+CB10+CC10+CF10+CG10</f>
        <v>130027</v>
      </c>
      <c r="CI10" s="2163">
        <v>35069</v>
      </c>
      <c r="CJ10" s="2164">
        <v>1331</v>
      </c>
      <c r="CK10" s="2164">
        <v>5862</v>
      </c>
      <c r="CL10" s="2164">
        <v>68473</v>
      </c>
      <c r="CM10" s="2165">
        <f>SUM(CI10:CL10)</f>
        <v>110735</v>
      </c>
      <c r="CN10" s="2163">
        <v>35427</v>
      </c>
      <c r="CO10" s="2185">
        <v>999</v>
      </c>
      <c r="CP10" s="2164">
        <v>6743</v>
      </c>
      <c r="CQ10" s="2164">
        <v>98633</v>
      </c>
      <c r="CR10" s="2165">
        <f>SUM(CN10:CQ10)</f>
        <v>141802</v>
      </c>
      <c r="CS10" s="2163">
        <v>41741</v>
      </c>
      <c r="CT10" s="2169">
        <v>1231</v>
      </c>
      <c r="CU10" s="2169">
        <v>7616</v>
      </c>
      <c r="CV10" s="2169">
        <v>125596</v>
      </c>
      <c r="CW10" s="2165">
        <v>176184</v>
      </c>
      <c r="CX10" s="2163">
        <v>41674</v>
      </c>
      <c r="CY10" s="2170">
        <v>1183</v>
      </c>
      <c r="CZ10" s="2170">
        <v>8119</v>
      </c>
      <c r="DA10" s="2170">
        <v>131991</v>
      </c>
      <c r="DB10" s="2184">
        <f>SUM(CX10:DA10)</f>
        <v>182967</v>
      </c>
      <c r="DC10" s="2163">
        <v>18086</v>
      </c>
      <c r="DD10" s="2170">
        <v>501</v>
      </c>
      <c r="DE10" s="2172">
        <v>6201</v>
      </c>
      <c r="DF10" s="2170">
        <v>38299</v>
      </c>
      <c r="DG10" s="2184">
        <v>63980</v>
      </c>
      <c r="DH10" s="2163">
        <v>8004</v>
      </c>
      <c r="DI10" s="2170">
        <v>367</v>
      </c>
      <c r="DJ10" s="2172">
        <v>82</v>
      </c>
      <c r="DK10" s="2170">
        <v>0</v>
      </c>
      <c r="DL10" s="2184">
        <f t="shared" si="0"/>
        <v>8453</v>
      </c>
      <c r="DM10" s="2163">
        <v>32119</v>
      </c>
      <c r="DN10" s="2170">
        <v>857</v>
      </c>
      <c r="DO10" s="2172">
        <v>1202</v>
      </c>
      <c r="DP10" s="2170">
        <v>64561</v>
      </c>
      <c r="DQ10" s="2184">
        <f>SUM(DM10:DP10)</f>
        <v>98739</v>
      </c>
      <c r="DR10" s="2180">
        <v>39318</v>
      </c>
      <c r="DS10" s="3044">
        <v>979</v>
      </c>
      <c r="DT10" s="3049">
        <v>4476</v>
      </c>
      <c r="DU10" s="3044">
        <v>129750</v>
      </c>
      <c r="DV10" s="2184">
        <f>SUM(DR10:DU10)</f>
        <v>174523</v>
      </c>
      <c r="DW10" s="2947"/>
    </row>
    <row r="11" spans="2:127" ht="25.5" customHeight="1">
      <c r="B11" s="2118"/>
      <c r="C11" s="2146"/>
      <c r="D11" s="2146"/>
      <c r="E11" s="2146"/>
      <c r="F11" s="2146"/>
      <c r="G11" s="2146"/>
      <c r="H11" s="2146"/>
      <c r="I11" s="2146"/>
      <c r="J11" s="2146"/>
      <c r="K11" s="2146"/>
      <c r="L11" s="2146"/>
      <c r="M11" s="1247"/>
      <c r="N11" s="1247"/>
      <c r="O11" s="1247"/>
      <c r="P11" s="1247"/>
      <c r="Q11" s="1247"/>
      <c r="R11" s="2146"/>
      <c r="S11" s="2146"/>
      <c r="T11" s="2146"/>
      <c r="U11" s="2146"/>
      <c r="V11" s="2146"/>
      <c r="W11" s="2146"/>
      <c r="X11" s="2146"/>
      <c r="Y11" s="2146"/>
      <c r="Z11" s="2146"/>
      <c r="AA11" s="2146"/>
      <c r="AB11" s="2146"/>
      <c r="AC11" s="2146"/>
      <c r="AD11" s="2146"/>
      <c r="AE11" s="2146"/>
      <c r="AF11" s="2146"/>
      <c r="AG11" s="1247"/>
      <c r="AH11" s="1247"/>
      <c r="AI11" s="1247"/>
      <c r="AJ11" s="1247"/>
      <c r="AK11" s="1247"/>
      <c r="AL11" s="2147"/>
      <c r="AM11" s="2148"/>
      <c r="AN11" s="2149"/>
      <c r="AO11" s="2148"/>
      <c r="AP11" s="2150"/>
      <c r="AQ11" s="2151"/>
      <c r="AR11" s="2152"/>
      <c r="AS11" s="2153"/>
      <c r="AT11" s="2152"/>
      <c r="AU11" s="2154"/>
      <c r="AV11" s="2147"/>
      <c r="AW11" s="2148"/>
      <c r="AX11" s="2149"/>
      <c r="AY11" s="2148"/>
      <c r="AZ11" s="2149"/>
      <c r="BA11" s="2147"/>
      <c r="BB11" s="2148"/>
      <c r="BC11" s="2186"/>
      <c r="BD11" s="2187"/>
      <c r="BE11" s="2187"/>
      <c r="BF11" s="2188"/>
      <c r="BG11" s="2148"/>
      <c r="BH11" s="2186"/>
      <c r="BI11" s="2148"/>
      <c r="BJ11" s="2187"/>
      <c r="BK11" s="2188"/>
      <c r="BL11" s="2148"/>
      <c r="BM11" s="2186"/>
      <c r="BN11" s="2148"/>
      <c r="BO11" s="2187"/>
      <c r="BP11" s="2188"/>
      <c r="BQ11" s="2148"/>
      <c r="BR11" s="2186"/>
      <c r="BS11" s="2148"/>
      <c r="BT11" s="2189"/>
      <c r="BU11" s="2180"/>
      <c r="BV11" s="2176"/>
      <c r="BW11" s="2176"/>
      <c r="BX11" s="2176"/>
      <c r="BY11" s="2176"/>
      <c r="BZ11" s="2176"/>
      <c r="CA11" s="2179"/>
      <c r="CB11" s="2180"/>
      <c r="CC11" s="2176"/>
      <c r="CD11" s="2176"/>
      <c r="CE11" s="2176"/>
      <c r="CF11" s="2181"/>
      <c r="CG11" s="2176"/>
      <c r="CH11" s="2179"/>
      <c r="CI11" s="2163"/>
      <c r="CJ11" s="2164"/>
      <c r="CK11" s="2164"/>
      <c r="CL11" s="2164"/>
      <c r="CM11" s="2165"/>
      <c r="CN11" s="2163"/>
      <c r="CO11" s="2185"/>
      <c r="CP11" s="2164"/>
      <c r="CQ11" s="2164"/>
      <c r="CR11" s="2165"/>
      <c r="CS11" s="2163"/>
      <c r="CT11" s="2185"/>
      <c r="CU11" s="2169"/>
      <c r="CV11" s="2169"/>
      <c r="CW11" s="2165"/>
      <c r="CX11" s="2163"/>
      <c r="CY11" s="2170"/>
      <c r="CZ11" s="2170"/>
      <c r="DA11" s="2170"/>
      <c r="DB11" s="2184"/>
      <c r="DC11" s="2163"/>
      <c r="DD11" s="2170"/>
      <c r="DE11" s="2172"/>
      <c r="DF11" s="2170"/>
      <c r="DG11" s="2184"/>
      <c r="DH11" s="2163"/>
      <c r="DI11" s="2170"/>
      <c r="DJ11" s="2172"/>
      <c r="DK11" s="2170"/>
      <c r="DL11" s="2184"/>
      <c r="DM11" s="2163"/>
      <c r="DN11" s="2170"/>
      <c r="DO11" s="2172"/>
      <c r="DP11" s="2170"/>
      <c r="DQ11" s="2184"/>
      <c r="DR11" s="3035"/>
      <c r="DS11" s="3038"/>
      <c r="DT11" s="3050"/>
      <c r="DU11" s="3038"/>
      <c r="DV11" s="206"/>
      <c r="DW11" s="2947"/>
    </row>
    <row r="12" spans="2:127" s="208" customFormat="1" ht="81" customHeight="1">
      <c r="B12" s="2118" t="s">
        <v>414</v>
      </c>
      <c r="C12" s="2190">
        <v>72198</v>
      </c>
      <c r="D12" s="2190">
        <v>1941</v>
      </c>
      <c r="E12" s="2190">
        <v>7591</v>
      </c>
      <c r="F12" s="2190">
        <v>181214</v>
      </c>
      <c r="G12" s="2190">
        <v>262944</v>
      </c>
      <c r="H12" s="2190">
        <v>70192</v>
      </c>
      <c r="I12" s="2190">
        <v>3872</v>
      </c>
      <c r="J12" s="2190">
        <v>7606</v>
      </c>
      <c r="K12" s="2190">
        <v>154370</v>
      </c>
      <c r="L12" s="2190">
        <v>236040</v>
      </c>
      <c r="M12" s="2190">
        <v>72275</v>
      </c>
      <c r="N12" s="2190">
        <v>3576</v>
      </c>
      <c r="O12" s="2190">
        <v>6540</v>
      </c>
      <c r="P12" s="2190">
        <v>193009</v>
      </c>
      <c r="Q12" s="2190">
        <v>275400</v>
      </c>
      <c r="R12" s="2190">
        <v>83160</v>
      </c>
      <c r="S12" s="2190">
        <v>2284</v>
      </c>
      <c r="T12" s="2190">
        <v>5843</v>
      </c>
      <c r="U12" s="2190">
        <v>204853</v>
      </c>
      <c r="V12" s="2190">
        <v>296140</v>
      </c>
      <c r="W12" s="2190">
        <v>72216</v>
      </c>
      <c r="X12" s="2190">
        <v>4845</v>
      </c>
      <c r="Y12" s="2190">
        <v>5438</v>
      </c>
      <c r="Z12" s="2190">
        <v>154511</v>
      </c>
      <c r="AA12" s="2190">
        <v>237010</v>
      </c>
      <c r="AB12" s="2190">
        <v>71226</v>
      </c>
      <c r="AC12" s="2190">
        <v>1657</v>
      </c>
      <c r="AD12" s="2190">
        <v>72883</v>
      </c>
      <c r="AE12" s="2190">
        <v>157665</v>
      </c>
      <c r="AF12" s="2190">
        <v>230548</v>
      </c>
      <c r="AG12" s="2190">
        <v>81666</v>
      </c>
      <c r="AH12" s="2190">
        <v>2431</v>
      </c>
      <c r="AI12" s="2190">
        <v>8408</v>
      </c>
      <c r="AJ12" s="2190">
        <v>165528</v>
      </c>
      <c r="AK12" s="2190">
        <v>258033</v>
      </c>
      <c r="AL12" s="2191">
        <v>73070</v>
      </c>
      <c r="AM12" s="2192">
        <v>1282</v>
      </c>
      <c r="AN12" s="2193">
        <v>8586</v>
      </c>
      <c r="AO12" s="2192">
        <v>238367</v>
      </c>
      <c r="AP12" s="2194">
        <v>321305</v>
      </c>
      <c r="AQ12" s="2191">
        <v>86028</v>
      </c>
      <c r="AR12" s="2192">
        <v>2875</v>
      </c>
      <c r="AS12" s="2193">
        <v>8383</v>
      </c>
      <c r="AT12" s="2192">
        <v>271172</v>
      </c>
      <c r="AU12" s="2194">
        <v>368458</v>
      </c>
      <c r="AV12" s="2191">
        <v>74251</v>
      </c>
      <c r="AW12" s="2192">
        <v>1428</v>
      </c>
      <c r="AX12" s="2193">
        <v>9271</v>
      </c>
      <c r="AY12" s="2192">
        <v>298181</v>
      </c>
      <c r="AZ12" s="2193">
        <v>383131</v>
      </c>
      <c r="BA12" s="2191">
        <v>83530</v>
      </c>
      <c r="BB12" s="2192">
        <v>1185</v>
      </c>
      <c r="BC12" s="2192">
        <v>9689</v>
      </c>
      <c r="BD12" s="2195">
        <v>310250</v>
      </c>
      <c r="BE12" s="2195">
        <v>404654</v>
      </c>
      <c r="BF12" s="2196">
        <f>SUM(BF8:BF10)</f>
        <v>82671</v>
      </c>
      <c r="BG12" s="2192">
        <f>SUM(BG8:BG11)</f>
        <v>2596</v>
      </c>
      <c r="BH12" s="2192">
        <f>SUM(BH8:BH11)</f>
        <v>13921</v>
      </c>
      <c r="BI12" s="2192">
        <f>SUM(BI8:BI10)</f>
        <v>261205</v>
      </c>
      <c r="BJ12" s="2195">
        <f>SUM(BJ8:BJ10)</f>
        <v>360393</v>
      </c>
      <c r="BK12" s="2196">
        <f>SUM(BK8:BK10)</f>
        <v>85437</v>
      </c>
      <c r="BL12" s="2192">
        <f>SUM(BL8:BL11)</f>
        <v>3182</v>
      </c>
      <c r="BM12" s="2192">
        <f>SUM(BM8:BM11)</f>
        <v>12430</v>
      </c>
      <c r="BN12" s="2192">
        <f>SUM(BN8:BN10)</f>
        <v>269551</v>
      </c>
      <c r="BO12" s="2195">
        <f>SUM(BO8:BO10)</f>
        <v>370600</v>
      </c>
      <c r="BP12" s="2196">
        <f>SUM(BP8:BP10)</f>
        <v>87594</v>
      </c>
      <c r="BQ12" s="2192">
        <f>SUM(BQ8:BQ11)</f>
        <v>2001</v>
      </c>
      <c r="BR12" s="2192">
        <f>SUM(BR8:BR11)</f>
        <v>13011</v>
      </c>
      <c r="BS12" s="2192">
        <f t="shared" ref="BS12:DA12" si="1">SUM(BS8:BS10)</f>
        <v>262009</v>
      </c>
      <c r="BT12" s="2195">
        <f t="shared" si="1"/>
        <v>364615</v>
      </c>
      <c r="BU12" s="2196">
        <f t="shared" si="1"/>
        <v>92316</v>
      </c>
      <c r="BV12" s="2192">
        <f t="shared" si="1"/>
        <v>1959</v>
      </c>
      <c r="BW12" s="2192">
        <f t="shared" si="1"/>
        <v>11486</v>
      </c>
      <c r="BX12" s="2192">
        <f t="shared" si="1"/>
        <v>3894</v>
      </c>
      <c r="BY12" s="2192">
        <f t="shared" si="1"/>
        <v>15380</v>
      </c>
      <c r="BZ12" s="2192">
        <f t="shared" si="1"/>
        <v>274787</v>
      </c>
      <c r="CA12" s="2195">
        <f t="shared" si="1"/>
        <v>384442</v>
      </c>
      <c r="CB12" s="2196">
        <f t="shared" si="1"/>
        <v>98219</v>
      </c>
      <c r="CC12" s="2192">
        <f t="shared" si="1"/>
        <v>1926</v>
      </c>
      <c r="CD12" s="2192">
        <f t="shared" si="1"/>
        <v>0</v>
      </c>
      <c r="CE12" s="2192">
        <f t="shared" si="1"/>
        <v>0</v>
      </c>
      <c r="CF12" s="2197">
        <f t="shared" si="1"/>
        <v>22925</v>
      </c>
      <c r="CG12" s="2192">
        <f t="shared" si="1"/>
        <v>292218</v>
      </c>
      <c r="CH12" s="2195">
        <f t="shared" si="1"/>
        <v>415288</v>
      </c>
      <c r="CI12" s="2198">
        <f t="shared" si="1"/>
        <v>97367</v>
      </c>
      <c r="CJ12" s="2199">
        <f t="shared" si="1"/>
        <v>3392</v>
      </c>
      <c r="CK12" s="2200">
        <f t="shared" si="1"/>
        <v>20804</v>
      </c>
      <c r="CL12" s="2199">
        <f t="shared" si="1"/>
        <v>245432</v>
      </c>
      <c r="CM12" s="2201">
        <f t="shared" si="1"/>
        <v>366995</v>
      </c>
      <c r="CN12" s="2198">
        <f t="shared" si="1"/>
        <v>100478</v>
      </c>
      <c r="CO12" s="2199">
        <f t="shared" si="1"/>
        <v>2522</v>
      </c>
      <c r="CP12" s="2200">
        <f t="shared" si="1"/>
        <v>21039</v>
      </c>
      <c r="CQ12" s="2199">
        <f t="shared" si="1"/>
        <v>313552</v>
      </c>
      <c r="CR12" s="2201">
        <f t="shared" si="1"/>
        <v>437591</v>
      </c>
      <c r="CS12" s="2198">
        <f t="shared" si="1"/>
        <v>110032</v>
      </c>
      <c r="CT12" s="2199">
        <f t="shared" si="1"/>
        <v>3257</v>
      </c>
      <c r="CU12" s="2202">
        <f t="shared" si="1"/>
        <v>26300</v>
      </c>
      <c r="CV12" s="2199">
        <f t="shared" si="1"/>
        <v>355821</v>
      </c>
      <c r="CW12" s="2201">
        <f t="shared" si="1"/>
        <v>495410</v>
      </c>
      <c r="CX12" s="2198">
        <f t="shared" si="1"/>
        <v>114386</v>
      </c>
      <c r="CY12" s="2203">
        <f t="shared" si="1"/>
        <v>2847</v>
      </c>
      <c r="CZ12" s="2203">
        <f t="shared" si="1"/>
        <v>23360</v>
      </c>
      <c r="DA12" s="2203">
        <f t="shared" si="1"/>
        <v>362046</v>
      </c>
      <c r="DB12" s="2201">
        <f>SUM(CX12:DA12)</f>
        <v>502639</v>
      </c>
      <c r="DC12" s="2198">
        <f>SUM(DC8:DC10)</f>
        <v>91399</v>
      </c>
      <c r="DD12" s="2203">
        <f>SUM(DD8:DD10)</f>
        <v>1660</v>
      </c>
      <c r="DE12" s="2204">
        <f>SUM(DE8:DE10)</f>
        <v>21122</v>
      </c>
      <c r="DF12" s="2203">
        <f>SUM(DF8:DF10)</f>
        <v>297885</v>
      </c>
      <c r="DG12" s="2205">
        <f>SUM(DC12:DF12)</f>
        <v>412066</v>
      </c>
      <c r="DH12" s="2198">
        <f>SUM(DH8:DH10)</f>
        <v>19231</v>
      </c>
      <c r="DI12" s="2203">
        <f>SUM(DI8:DI10)</f>
        <v>935</v>
      </c>
      <c r="DJ12" s="2204">
        <f>SUM(DJ8:DJ10)</f>
        <v>241</v>
      </c>
      <c r="DK12" s="2203">
        <f>SUM(DK8:DK10)</f>
        <v>0</v>
      </c>
      <c r="DL12" s="2205">
        <f>SUM(DH12:DK12)</f>
        <v>20407</v>
      </c>
      <c r="DM12" s="2203">
        <f t="shared" ref="DM12:DT12" si="2">SUM(DM8:DM10)</f>
        <v>80811</v>
      </c>
      <c r="DN12" s="2203">
        <f t="shared" si="2"/>
        <v>1877</v>
      </c>
      <c r="DO12" s="2203">
        <f t="shared" si="2"/>
        <v>3702</v>
      </c>
      <c r="DP12" s="2203">
        <f t="shared" si="2"/>
        <v>137945</v>
      </c>
      <c r="DQ12" s="3358">
        <f t="shared" si="2"/>
        <v>224335</v>
      </c>
      <c r="DR12" s="2199">
        <f t="shared" si="2"/>
        <v>108022</v>
      </c>
      <c r="DS12" s="2334">
        <f t="shared" si="2"/>
        <v>2083</v>
      </c>
      <c r="DT12" s="2334">
        <f t="shared" si="2"/>
        <v>14505</v>
      </c>
      <c r="DU12" s="2334">
        <f>SUM(DU8:DU10)</f>
        <v>360379</v>
      </c>
      <c r="DV12" s="2334">
        <f>SUM(DV8:DV10)</f>
        <v>484989</v>
      </c>
      <c r="DW12" s="2947"/>
    </row>
    <row r="13" spans="2:127" ht="25.5" customHeight="1">
      <c r="B13" s="2174"/>
      <c r="C13" s="2146"/>
      <c r="D13" s="2146"/>
      <c r="E13" s="2146"/>
      <c r="F13" s="2146"/>
      <c r="G13" s="2146"/>
      <c r="H13" s="2146"/>
      <c r="I13" s="2146"/>
      <c r="J13" s="2146"/>
      <c r="K13" s="2146"/>
      <c r="L13" s="2146"/>
      <c r="M13" s="1247"/>
      <c r="N13" s="1247"/>
      <c r="O13" s="1247"/>
      <c r="P13" s="1247"/>
      <c r="Q13" s="1247"/>
      <c r="R13" s="2146"/>
      <c r="S13" s="2146"/>
      <c r="T13" s="2146"/>
      <c r="U13" s="2146"/>
      <c r="V13" s="2146"/>
      <c r="W13" s="2146"/>
      <c r="X13" s="2146"/>
      <c r="Y13" s="2146"/>
      <c r="Z13" s="2146"/>
      <c r="AA13" s="2146"/>
      <c r="AB13" s="2146"/>
      <c r="AC13" s="2146"/>
      <c r="AD13" s="2146"/>
      <c r="AE13" s="2146"/>
      <c r="AF13" s="2146"/>
      <c r="AG13" s="1247"/>
      <c r="AH13" s="1247"/>
      <c r="AI13" s="1247"/>
      <c r="AJ13" s="1247"/>
      <c r="AK13" s="1247"/>
      <c r="AL13" s="2147"/>
      <c r="AM13" s="2148"/>
      <c r="AN13" s="2149"/>
      <c r="AO13" s="2148"/>
      <c r="AP13" s="2150"/>
      <c r="AQ13" s="2151"/>
      <c r="AR13" s="2152"/>
      <c r="AS13" s="2153"/>
      <c r="AT13" s="2176"/>
      <c r="AU13" s="2154"/>
      <c r="AV13" s="2147"/>
      <c r="AW13" s="2148"/>
      <c r="AX13" s="2149"/>
      <c r="AY13" s="2176"/>
      <c r="AZ13" s="2149"/>
      <c r="BA13" s="2147"/>
      <c r="BB13" s="2148"/>
      <c r="BC13" s="2186"/>
      <c r="BD13" s="2179"/>
      <c r="BE13" s="2187"/>
      <c r="BF13" s="2188"/>
      <c r="BG13" s="2148"/>
      <c r="BH13" s="2186"/>
      <c r="BI13" s="2148"/>
      <c r="BJ13" s="2187"/>
      <c r="BK13" s="2188"/>
      <c r="BL13" s="2148"/>
      <c r="BM13" s="2186"/>
      <c r="BN13" s="2148"/>
      <c r="BO13" s="2195"/>
      <c r="BP13" s="2188"/>
      <c r="BQ13" s="2148"/>
      <c r="BR13" s="2186"/>
      <c r="BS13" s="2148"/>
      <c r="BT13" s="2195"/>
      <c r="BU13" s="2180"/>
      <c r="BV13" s="2176"/>
      <c r="BW13" s="2176"/>
      <c r="BX13" s="2176"/>
      <c r="BY13" s="2176"/>
      <c r="BZ13" s="2176"/>
      <c r="CA13" s="2179"/>
      <c r="CB13" s="2180"/>
      <c r="CC13" s="2176"/>
      <c r="CD13" s="2176"/>
      <c r="CE13" s="2176"/>
      <c r="CF13" s="2181"/>
      <c r="CG13" s="2176"/>
      <c r="CH13" s="2179"/>
      <c r="CI13" s="2163"/>
      <c r="CJ13" s="2164"/>
      <c r="CK13" s="2164"/>
      <c r="CL13" s="2164"/>
      <c r="CM13" s="2165"/>
      <c r="CN13" s="2163"/>
      <c r="CO13" s="2185"/>
      <c r="CP13" s="2164"/>
      <c r="CQ13" s="2164"/>
      <c r="CR13" s="2165"/>
      <c r="CS13" s="2163"/>
      <c r="CT13" s="2185"/>
      <c r="CU13" s="2169"/>
      <c r="CV13" s="2169"/>
      <c r="CW13" s="2165"/>
      <c r="CX13" s="2163"/>
      <c r="CY13" s="2170"/>
      <c r="CZ13" s="2170"/>
      <c r="DA13" s="2170"/>
      <c r="DB13" s="2184"/>
      <c r="DC13" s="2163"/>
      <c r="DD13" s="2170"/>
      <c r="DE13" s="2172"/>
      <c r="DF13" s="2170"/>
      <c r="DG13" s="2184"/>
      <c r="DH13" s="2163"/>
      <c r="DI13" s="2170"/>
      <c r="DJ13" s="2172"/>
      <c r="DK13" s="2170"/>
      <c r="DL13" s="2184"/>
      <c r="DM13" s="2163"/>
      <c r="DN13" s="2170"/>
      <c r="DO13" s="2172"/>
      <c r="DP13" s="2170"/>
      <c r="DQ13" s="2184"/>
      <c r="DR13" s="3035"/>
      <c r="DS13" s="3036"/>
      <c r="DT13" s="3037"/>
      <c r="DU13" s="3038"/>
      <c r="DV13" s="206"/>
      <c r="DW13" s="2947"/>
    </row>
    <row r="14" spans="2:127" ht="81" customHeight="1">
      <c r="B14" s="2174" t="s">
        <v>402</v>
      </c>
      <c r="C14" s="2146">
        <v>27661</v>
      </c>
      <c r="D14" s="2146">
        <v>667</v>
      </c>
      <c r="E14" s="2146">
        <v>1920</v>
      </c>
      <c r="F14" s="2146">
        <v>41787</v>
      </c>
      <c r="G14" s="2146">
        <v>72035</v>
      </c>
      <c r="H14" s="2146">
        <v>27993</v>
      </c>
      <c r="I14" s="2146">
        <v>758</v>
      </c>
      <c r="J14" s="2146">
        <v>1645</v>
      </c>
      <c r="K14" s="2146">
        <v>44738</v>
      </c>
      <c r="L14" s="2146">
        <v>75134</v>
      </c>
      <c r="M14" s="2146">
        <v>30131</v>
      </c>
      <c r="N14" s="2146">
        <v>1590</v>
      </c>
      <c r="O14" s="2146">
        <v>2260</v>
      </c>
      <c r="P14" s="2146">
        <v>55354</v>
      </c>
      <c r="Q14" s="2146">
        <v>89335</v>
      </c>
      <c r="R14" s="2146">
        <v>27504</v>
      </c>
      <c r="S14" s="2146">
        <v>706</v>
      </c>
      <c r="T14" s="2146">
        <v>1991</v>
      </c>
      <c r="U14" s="2146">
        <v>61742</v>
      </c>
      <c r="V14" s="2146">
        <v>91943</v>
      </c>
      <c r="W14" s="2146">
        <v>26437</v>
      </c>
      <c r="X14" s="2146">
        <v>1416</v>
      </c>
      <c r="Y14" s="2146">
        <v>1818</v>
      </c>
      <c r="Z14" s="2146">
        <v>51995</v>
      </c>
      <c r="AA14" s="2146">
        <v>81666</v>
      </c>
      <c r="AB14" s="2146">
        <v>23960</v>
      </c>
      <c r="AC14" s="2146">
        <v>350</v>
      </c>
      <c r="AD14" s="2146">
        <v>24310</v>
      </c>
      <c r="AE14" s="2146">
        <v>48521</v>
      </c>
      <c r="AF14" s="2146">
        <v>72831</v>
      </c>
      <c r="AG14" s="2146">
        <v>29024</v>
      </c>
      <c r="AH14" s="2146">
        <v>879</v>
      </c>
      <c r="AI14" s="2146">
        <v>2747</v>
      </c>
      <c r="AJ14" s="2146">
        <v>39384</v>
      </c>
      <c r="AK14" s="2146">
        <v>72034</v>
      </c>
      <c r="AL14" s="2175">
        <v>27716</v>
      </c>
      <c r="AM14" s="2176">
        <v>814</v>
      </c>
      <c r="AN14" s="2177">
        <v>1963</v>
      </c>
      <c r="AO14" s="2176">
        <v>57864</v>
      </c>
      <c r="AP14" s="2178">
        <v>88357</v>
      </c>
      <c r="AQ14" s="2175">
        <v>24197</v>
      </c>
      <c r="AR14" s="2176">
        <v>704</v>
      </c>
      <c r="AS14" s="2177">
        <v>1779</v>
      </c>
      <c r="AT14" s="2176">
        <v>61622</v>
      </c>
      <c r="AU14" s="2178">
        <v>88302</v>
      </c>
      <c r="AV14" s="2175">
        <v>26326</v>
      </c>
      <c r="AW14" s="2176">
        <v>533</v>
      </c>
      <c r="AX14" s="2177">
        <v>2804</v>
      </c>
      <c r="AY14" s="2176">
        <v>61213</v>
      </c>
      <c r="AZ14" s="2177">
        <v>90876</v>
      </c>
      <c r="BA14" s="2175">
        <v>25984</v>
      </c>
      <c r="BB14" s="2176">
        <v>522</v>
      </c>
      <c r="BC14" s="2176">
        <v>2989</v>
      </c>
      <c r="BD14" s="2179">
        <v>66874</v>
      </c>
      <c r="BE14" s="2179">
        <v>96369</v>
      </c>
      <c r="BF14" s="2175">
        <v>29122</v>
      </c>
      <c r="BG14" s="2176">
        <v>1204</v>
      </c>
      <c r="BH14" s="2176">
        <v>4275</v>
      </c>
      <c r="BI14" s="2176">
        <v>72861</v>
      </c>
      <c r="BJ14" s="2179">
        <f>SUM(BF14:BH14,)+BI14</f>
        <v>107462</v>
      </c>
      <c r="BK14" s="2180">
        <f>'[172]Visitor category'!$BS$16</f>
        <v>27399</v>
      </c>
      <c r="BL14" s="2176">
        <f>'[172]Visitor category'!$BT$16</f>
        <v>1022</v>
      </c>
      <c r="BM14" s="2176">
        <v>4178</v>
      </c>
      <c r="BN14" s="2176">
        <f>'[172]Visitor category'!$BX$16</f>
        <v>52281</v>
      </c>
      <c r="BO14" s="2179">
        <f>SUM(BK14:BN14)</f>
        <v>84880</v>
      </c>
      <c r="BP14" s="2180">
        <v>27772</v>
      </c>
      <c r="BQ14" s="2176">
        <v>619</v>
      </c>
      <c r="BR14" s="2176">
        <v>2945</v>
      </c>
      <c r="BS14" s="2176">
        <v>41831</v>
      </c>
      <c r="BT14" s="2179">
        <f>SUM(BP14:BS14)</f>
        <v>73167</v>
      </c>
      <c r="BU14" s="2180">
        <v>30757</v>
      </c>
      <c r="BV14" s="2176">
        <v>736</v>
      </c>
      <c r="BW14" s="2176">
        <v>3618</v>
      </c>
      <c r="BX14" s="2176">
        <v>962</v>
      </c>
      <c r="BY14" s="2176">
        <v>4580</v>
      </c>
      <c r="BZ14" s="2176">
        <v>48186</v>
      </c>
      <c r="CA14" s="2179">
        <f>+BU14+BV14+BY14+BZ14</f>
        <v>84259</v>
      </c>
      <c r="CB14" s="2180">
        <v>31200</v>
      </c>
      <c r="CC14" s="2176">
        <v>525</v>
      </c>
      <c r="CD14" s="2176"/>
      <c r="CE14" s="2176"/>
      <c r="CF14" s="2181">
        <v>6561</v>
      </c>
      <c r="CG14" s="2176">
        <v>59499</v>
      </c>
      <c r="CH14" s="2179">
        <f>+CB14+CC14+CF14+CG14</f>
        <v>97785</v>
      </c>
      <c r="CI14" s="2163">
        <v>30104</v>
      </c>
      <c r="CJ14" s="2164">
        <v>897</v>
      </c>
      <c r="CK14" s="2164">
        <v>4455</v>
      </c>
      <c r="CL14" s="2164">
        <v>35939</v>
      </c>
      <c r="CM14" s="2165">
        <f>SUM(CI14:CL14)</f>
        <v>71395</v>
      </c>
      <c r="CN14" s="2163">
        <v>34322</v>
      </c>
      <c r="CO14" s="2185">
        <v>863</v>
      </c>
      <c r="CP14" s="2164">
        <v>3921</v>
      </c>
      <c r="CQ14" s="2164">
        <v>62508</v>
      </c>
      <c r="CR14" s="2165">
        <f>SUM(CN14:CQ14)</f>
        <v>101614</v>
      </c>
      <c r="CS14" s="2163">
        <v>32555</v>
      </c>
      <c r="CT14" s="2169">
        <v>741</v>
      </c>
      <c r="CU14" s="2169">
        <v>5268</v>
      </c>
      <c r="CV14" s="2169">
        <v>55224</v>
      </c>
      <c r="CW14" s="2165">
        <v>93788</v>
      </c>
      <c r="CX14" s="2163">
        <v>36828</v>
      </c>
      <c r="CY14" s="2170">
        <v>592</v>
      </c>
      <c r="CZ14" s="2170">
        <v>5193</v>
      </c>
      <c r="DA14" s="2170">
        <v>64035</v>
      </c>
      <c r="DB14" s="2184">
        <f t="shared" ref="DB14:DB34" si="3">SUM(CX14:DA14)</f>
        <v>106648</v>
      </c>
      <c r="DC14" s="2163">
        <v>0</v>
      </c>
      <c r="DD14" s="2170">
        <v>0</v>
      </c>
      <c r="DE14" s="2172">
        <v>0</v>
      </c>
      <c r="DF14" s="2170">
        <v>0</v>
      </c>
      <c r="DG14" s="2184">
        <f>SUM(DC14:DF14)</f>
        <v>0</v>
      </c>
      <c r="DH14" s="2163">
        <v>9555</v>
      </c>
      <c r="DI14" s="2170">
        <v>116</v>
      </c>
      <c r="DJ14" s="2172">
        <v>142</v>
      </c>
      <c r="DK14" s="2170">
        <v>0</v>
      </c>
      <c r="DL14" s="2184">
        <f t="shared" si="0"/>
        <v>9813</v>
      </c>
      <c r="DM14" s="2163">
        <v>30661</v>
      </c>
      <c r="DN14" s="2170">
        <v>495</v>
      </c>
      <c r="DO14" s="2172">
        <v>1760</v>
      </c>
      <c r="DP14" s="2170">
        <v>27321</v>
      </c>
      <c r="DQ14" s="2184">
        <f>SUM(DM14:DP14)</f>
        <v>60237</v>
      </c>
      <c r="DR14" s="2180">
        <v>34539</v>
      </c>
      <c r="DS14" s="3044">
        <v>1029</v>
      </c>
      <c r="DT14" s="3049">
        <v>3617</v>
      </c>
      <c r="DU14" s="3044">
        <v>65547</v>
      </c>
      <c r="DV14" s="2184">
        <f>SUM(DR14:DU14)</f>
        <v>104732</v>
      </c>
      <c r="DW14" s="2947"/>
    </row>
    <row r="15" spans="2:127" ht="81" customHeight="1">
      <c r="B15" s="2174" t="s">
        <v>403</v>
      </c>
      <c r="C15" s="2146">
        <v>23001</v>
      </c>
      <c r="D15" s="2146">
        <v>318</v>
      </c>
      <c r="E15" s="2146">
        <v>2800</v>
      </c>
      <c r="F15" s="2146">
        <v>17238</v>
      </c>
      <c r="G15" s="2146">
        <v>43357</v>
      </c>
      <c r="H15" s="2146">
        <v>25372</v>
      </c>
      <c r="I15" s="2146">
        <v>803</v>
      </c>
      <c r="J15" s="2146">
        <v>2283</v>
      </c>
      <c r="K15" s="2146">
        <v>13073</v>
      </c>
      <c r="L15" s="2146">
        <v>41531</v>
      </c>
      <c r="M15" s="2146">
        <v>26196</v>
      </c>
      <c r="N15" s="2146">
        <v>561</v>
      </c>
      <c r="O15" s="2146">
        <v>2615</v>
      </c>
      <c r="P15" s="2146">
        <v>18456</v>
      </c>
      <c r="Q15" s="2146">
        <v>47828</v>
      </c>
      <c r="R15" s="2146">
        <v>22881</v>
      </c>
      <c r="S15" s="2146">
        <v>558</v>
      </c>
      <c r="T15" s="2146">
        <v>1708</v>
      </c>
      <c r="U15" s="2146">
        <v>23040</v>
      </c>
      <c r="V15" s="2146">
        <v>48187</v>
      </c>
      <c r="W15" s="2146">
        <v>24112</v>
      </c>
      <c r="X15" s="2146">
        <v>771</v>
      </c>
      <c r="Y15" s="2146">
        <v>1644</v>
      </c>
      <c r="Z15" s="2146">
        <v>17942</v>
      </c>
      <c r="AA15" s="2146">
        <v>44469</v>
      </c>
      <c r="AB15" s="2146">
        <v>24733</v>
      </c>
      <c r="AC15" s="2146">
        <v>353</v>
      </c>
      <c r="AD15" s="2146">
        <v>25086</v>
      </c>
      <c r="AE15" s="2146">
        <v>12841</v>
      </c>
      <c r="AF15" s="2146">
        <v>37927</v>
      </c>
      <c r="AG15" s="2146">
        <v>28055</v>
      </c>
      <c r="AH15" s="2146">
        <v>543</v>
      </c>
      <c r="AI15" s="2146">
        <v>2755</v>
      </c>
      <c r="AJ15" s="2146">
        <v>5412</v>
      </c>
      <c r="AK15" s="2146">
        <v>36765</v>
      </c>
      <c r="AL15" s="2175">
        <v>25212</v>
      </c>
      <c r="AM15" s="2176">
        <v>900</v>
      </c>
      <c r="AN15" s="2177">
        <v>2917</v>
      </c>
      <c r="AO15" s="2176">
        <v>24336</v>
      </c>
      <c r="AP15" s="2178">
        <v>53365</v>
      </c>
      <c r="AQ15" s="2175">
        <v>27782</v>
      </c>
      <c r="AR15" s="2176">
        <v>1129</v>
      </c>
      <c r="AS15" s="2177">
        <v>2826</v>
      </c>
      <c r="AT15" s="2176">
        <v>21748</v>
      </c>
      <c r="AU15" s="2178">
        <v>53485</v>
      </c>
      <c r="AV15" s="2175">
        <v>25292</v>
      </c>
      <c r="AW15" s="2176">
        <v>354</v>
      </c>
      <c r="AX15" s="2177">
        <v>4075</v>
      </c>
      <c r="AY15" s="2176">
        <v>26489</v>
      </c>
      <c r="AZ15" s="2177">
        <v>56210</v>
      </c>
      <c r="BA15" s="2175">
        <v>30349</v>
      </c>
      <c r="BB15" s="2176">
        <v>524</v>
      </c>
      <c r="BC15" s="2176">
        <v>4015</v>
      </c>
      <c r="BD15" s="2179">
        <v>19384</v>
      </c>
      <c r="BE15" s="2179">
        <v>54272</v>
      </c>
      <c r="BF15" s="2175">
        <v>24786</v>
      </c>
      <c r="BG15" s="2176">
        <v>895</v>
      </c>
      <c r="BH15" s="2176">
        <v>3957</v>
      </c>
      <c r="BI15" s="2164">
        <v>19506</v>
      </c>
      <c r="BJ15" s="2179">
        <f>SUM(BF15:BH15,)+BI15</f>
        <v>49144</v>
      </c>
      <c r="BK15" s="2180">
        <f>'[172]Visitor category'!$BS$17</f>
        <v>24257</v>
      </c>
      <c r="BL15" s="2176">
        <f>'[172]Visitor category'!$BT$17</f>
        <v>1241</v>
      </c>
      <c r="BM15" s="2176">
        <v>3417</v>
      </c>
      <c r="BN15" s="2176">
        <f>'[172]Visitor category'!$BX$17</f>
        <v>17419</v>
      </c>
      <c r="BO15" s="2179">
        <f>SUM(BK15:BN15)</f>
        <v>46334</v>
      </c>
      <c r="BP15" s="2180">
        <v>26679</v>
      </c>
      <c r="BQ15" s="2176">
        <v>531</v>
      </c>
      <c r="BR15" s="2176">
        <v>3760</v>
      </c>
      <c r="BS15" s="2176">
        <v>22545</v>
      </c>
      <c r="BT15" s="2179">
        <f>SUM(BP15:BS15)</f>
        <v>53515</v>
      </c>
      <c r="BU15" s="2180">
        <v>27676</v>
      </c>
      <c r="BV15" s="2176">
        <v>433</v>
      </c>
      <c r="BW15" s="2176">
        <v>2957</v>
      </c>
      <c r="BX15" s="2176">
        <v>515</v>
      </c>
      <c r="BY15" s="2176">
        <v>3472</v>
      </c>
      <c r="BZ15" s="2176">
        <v>22681</v>
      </c>
      <c r="CA15" s="2179">
        <f>+BU15+BV15+BY15+BZ15</f>
        <v>54262</v>
      </c>
      <c r="CB15" s="2180">
        <v>29658</v>
      </c>
      <c r="CC15" s="2176">
        <v>331</v>
      </c>
      <c r="CD15" s="2176"/>
      <c r="CE15" s="2176"/>
      <c r="CF15" s="2181">
        <v>5842</v>
      </c>
      <c r="CG15" s="2176">
        <v>23514</v>
      </c>
      <c r="CH15" s="2179">
        <f>+CB15+CC15+CF15+CG15</f>
        <v>59345</v>
      </c>
      <c r="CI15" s="2163">
        <v>29813</v>
      </c>
      <c r="CJ15" s="2164">
        <v>813</v>
      </c>
      <c r="CK15" s="2164">
        <v>4136</v>
      </c>
      <c r="CL15" s="2164">
        <v>23808</v>
      </c>
      <c r="CM15" s="2165">
        <f>SUM(CI15:CL15)</f>
        <v>58570</v>
      </c>
      <c r="CN15" s="2163">
        <v>31436</v>
      </c>
      <c r="CO15" s="2185">
        <v>450</v>
      </c>
      <c r="CP15" s="2164">
        <v>2680</v>
      </c>
      <c r="CQ15" s="2164">
        <v>16223</v>
      </c>
      <c r="CR15" s="2165">
        <f>SUM(CN15:CQ15)</f>
        <v>50789</v>
      </c>
      <c r="CS15" s="2163">
        <v>32277</v>
      </c>
      <c r="CT15" s="2169">
        <v>572</v>
      </c>
      <c r="CU15" s="2169">
        <v>4901</v>
      </c>
      <c r="CV15" s="2169">
        <v>22802</v>
      </c>
      <c r="CW15" s="2165">
        <v>60552</v>
      </c>
      <c r="CX15" s="2163">
        <v>34354</v>
      </c>
      <c r="CY15" s="2170">
        <v>476</v>
      </c>
      <c r="CZ15" s="2170">
        <v>5043</v>
      </c>
      <c r="DA15" s="2170">
        <v>21326</v>
      </c>
      <c r="DB15" s="2184">
        <f t="shared" si="3"/>
        <v>61199</v>
      </c>
      <c r="DC15" s="2163">
        <v>0</v>
      </c>
      <c r="DD15" s="2170">
        <v>0</v>
      </c>
      <c r="DE15" s="2172">
        <v>0</v>
      </c>
      <c r="DF15" s="2170">
        <v>0</v>
      </c>
      <c r="DG15" s="2184">
        <f>SUM(DC15:DF15)</f>
        <v>0</v>
      </c>
      <c r="DH15" s="2163">
        <v>14339</v>
      </c>
      <c r="DI15" s="2170">
        <v>186</v>
      </c>
      <c r="DJ15" s="2172">
        <v>76</v>
      </c>
      <c r="DK15" s="2170">
        <v>0</v>
      </c>
      <c r="DL15" s="2184">
        <f t="shared" si="0"/>
        <v>14601</v>
      </c>
      <c r="DM15" s="2163">
        <v>28618</v>
      </c>
      <c r="DN15" s="2170">
        <v>549</v>
      </c>
      <c r="DO15" s="2172">
        <v>1486</v>
      </c>
      <c r="DP15" s="2170">
        <v>0</v>
      </c>
      <c r="DQ15" s="2184">
        <f>SUM(DM15:DP15)</f>
        <v>30653</v>
      </c>
      <c r="DR15" s="2180">
        <v>33339</v>
      </c>
      <c r="DS15" s="3044">
        <v>733</v>
      </c>
      <c r="DT15" s="3049">
        <v>4745</v>
      </c>
      <c r="DU15" s="3044">
        <v>8417</v>
      </c>
      <c r="DV15" s="2184">
        <f>SUM(DR15:DU15)</f>
        <v>47234</v>
      </c>
      <c r="DW15" s="2947"/>
    </row>
    <row r="16" spans="2:127" ht="81" customHeight="1">
      <c r="B16" s="2174" t="s">
        <v>404</v>
      </c>
      <c r="C16" s="2146">
        <v>16662</v>
      </c>
      <c r="D16" s="2146">
        <v>612</v>
      </c>
      <c r="E16" s="2146">
        <v>1724</v>
      </c>
      <c r="F16" s="2146">
        <v>11072</v>
      </c>
      <c r="G16" s="2146">
        <v>30070</v>
      </c>
      <c r="H16" s="2146">
        <v>22504</v>
      </c>
      <c r="I16" s="2146">
        <v>881</v>
      </c>
      <c r="J16" s="2146">
        <v>1392</v>
      </c>
      <c r="K16" s="2146">
        <v>6786</v>
      </c>
      <c r="L16" s="2146">
        <v>31563</v>
      </c>
      <c r="M16" s="2146">
        <v>21991</v>
      </c>
      <c r="N16" s="1247">
        <v>610</v>
      </c>
      <c r="O16" s="2146">
        <v>2184</v>
      </c>
      <c r="P16" s="2146">
        <v>17667</v>
      </c>
      <c r="Q16" s="2146">
        <v>42452</v>
      </c>
      <c r="R16" s="2146">
        <v>16637</v>
      </c>
      <c r="S16" s="2146">
        <v>517</v>
      </c>
      <c r="T16" s="2146">
        <v>1339</v>
      </c>
      <c r="U16" s="2146">
        <v>16870</v>
      </c>
      <c r="V16" s="2146">
        <v>35363</v>
      </c>
      <c r="W16" s="2146">
        <v>20533</v>
      </c>
      <c r="X16" s="2146">
        <v>854</v>
      </c>
      <c r="Y16" s="2146">
        <v>988</v>
      </c>
      <c r="Z16" s="2146">
        <v>18060</v>
      </c>
      <c r="AA16" s="2146">
        <v>40435</v>
      </c>
      <c r="AB16" s="2146">
        <v>18240</v>
      </c>
      <c r="AC16" s="2146">
        <v>212</v>
      </c>
      <c r="AD16" s="2146">
        <v>18452</v>
      </c>
      <c r="AE16" s="2146">
        <v>14314</v>
      </c>
      <c r="AF16" s="2146">
        <v>32766</v>
      </c>
      <c r="AG16" s="2146">
        <v>21760</v>
      </c>
      <c r="AH16" s="1247">
        <v>395</v>
      </c>
      <c r="AI16" s="2146">
        <v>1427</v>
      </c>
      <c r="AJ16" s="2146">
        <v>11069</v>
      </c>
      <c r="AK16" s="2146">
        <v>34651</v>
      </c>
      <c r="AL16" s="2175">
        <v>21823</v>
      </c>
      <c r="AM16" s="2148">
        <v>285</v>
      </c>
      <c r="AN16" s="2177">
        <v>1602</v>
      </c>
      <c r="AO16" s="2176">
        <v>19538</v>
      </c>
      <c r="AP16" s="2178">
        <v>43248</v>
      </c>
      <c r="AQ16" s="2175">
        <v>23223</v>
      </c>
      <c r="AR16" s="2206">
        <v>684</v>
      </c>
      <c r="AS16" s="2177">
        <v>996</v>
      </c>
      <c r="AT16" s="2176">
        <v>19619</v>
      </c>
      <c r="AU16" s="2178">
        <v>44522</v>
      </c>
      <c r="AV16" s="2175">
        <v>19706</v>
      </c>
      <c r="AW16" s="2148">
        <v>344</v>
      </c>
      <c r="AX16" s="2177">
        <v>3121</v>
      </c>
      <c r="AY16" s="2176">
        <v>17792</v>
      </c>
      <c r="AZ16" s="2177">
        <v>40963</v>
      </c>
      <c r="BA16" s="2175">
        <v>22993</v>
      </c>
      <c r="BB16" s="2148">
        <v>539</v>
      </c>
      <c r="BC16" s="2176">
        <v>1538</v>
      </c>
      <c r="BD16" s="2179">
        <v>18339</v>
      </c>
      <c r="BE16" s="2179">
        <v>43409</v>
      </c>
      <c r="BF16" s="2175">
        <v>22404</v>
      </c>
      <c r="BG16" s="2176">
        <v>651</v>
      </c>
      <c r="BH16" s="2176">
        <v>2788</v>
      </c>
      <c r="BI16" s="2176">
        <v>21659</v>
      </c>
      <c r="BJ16" s="2179">
        <f>SUM(BF16:BH16,)+BI16</f>
        <v>47502</v>
      </c>
      <c r="BK16" s="2180">
        <f>'[172]Visitor category'!$BS$18</f>
        <v>21151</v>
      </c>
      <c r="BL16" s="2176">
        <f>'[172]Visitor category'!$BT$18</f>
        <v>562</v>
      </c>
      <c r="BM16" s="2176">
        <v>2469</v>
      </c>
      <c r="BN16" s="2176">
        <f>'[172]Visitor category'!$BX$18</f>
        <v>13520</v>
      </c>
      <c r="BO16" s="2179">
        <f>SUM(BK16:BN16)</f>
        <v>37702</v>
      </c>
      <c r="BP16" s="2180">
        <v>24071</v>
      </c>
      <c r="BQ16" s="2176">
        <v>538</v>
      </c>
      <c r="BR16" s="2176">
        <v>1849</v>
      </c>
      <c r="BS16" s="2176">
        <v>19204</v>
      </c>
      <c r="BT16" s="2179">
        <f>SUM(BP16:BS16)</f>
        <v>45662</v>
      </c>
      <c r="BU16" s="2180">
        <v>25268</v>
      </c>
      <c r="BV16" s="2176">
        <v>338</v>
      </c>
      <c r="BW16" s="2176">
        <v>2160</v>
      </c>
      <c r="BX16" s="2176">
        <v>188</v>
      </c>
      <c r="BY16" s="2176">
        <v>2348</v>
      </c>
      <c r="BZ16" s="2176">
        <v>18574</v>
      </c>
      <c r="CA16" s="2179">
        <f>+BU16+BV16+BY16+BZ16</f>
        <v>46528</v>
      </c>
      <c r="CB16" s="2180">
        <v>26347</v>
      </c>
      <c r="CC16" s="2176">
        <v>358</v>
      </c>
      <c r="CD16" s="2176"/>
      <c r="CE16" s="2176"/>
      <c r="CF16" s="2181">
        <v>2803</v>
      </c>
      <c r="CG16" s="2176">
        <v>24515</v>
      </c>
      <c r="CH16" s="2179">
        <f>+CB16+CC16+CF16+CG16</f>
        <v>54023</v>
      </c>
      <c r="CI16" s="2163">
        <v>25855</v>
      </c>
      <c r="CJ16" s="2164">
        <v>831</v>
      </c>
      <c r="CK16" s="2164">
        <v>2302</v>
      </c>
      <c r="CL16" s="2164">
        <v>20988</v>
      </c>
      <c r="CM16" s="2165">
        <f>SUM(CI16:CL16)</f>
        <v>49976</v>
      </c>
      <c r="CN16" s="2163">
        <v>31312</v>
      </c>
      <c r="CO16" s="2185">
        <v>533</v>
      </c>
      <c r="CP16" s="2164">
        <v>2066</v>
      </c>
      <c r="CQ16" s="2164">
        <v>13743</v>
      </c>
      <c r="CR16" s="2165">
        <f>SUM(CN16:CQ16)</f>
        <v>47654</v>
      </c>
      <c r="CS16" s="2163">
        <v>31318</v>
      </c>
      <c r="CT16" s="2169">
        <v>784</v>
      </c>
      <c r="CU16" s="2169">
        <v>3836</v>
      </c>
      <c r="CV16" s="2169">
        <v>20451</v>
      </c>
      <c r="CW16" s="2165">
        <v>56389</v>
      </c>
      <c r="CX16" s="2163">
        <v>34040</v>
      </c>
      <c r="CY16" s="2170">
        <v>413</v>
      </c>
      <c r="CZ16" s="2170">
        <v>3492</v>
      </c>
      <c r="DA16" s="2170">
        <v>19715</v>
      </c>
      <c r="DB16" s="2184">
        <f t="shared" si="3"/>
        <v>57660</v>
      </c>
      <c r="DC16" s="2163">
        <v>0</v>
      </c>
      <c r="DD16" s="2170">
        <v>0</v>
      </c>
      <c r="DE16" s="2172">
        <v>1</v>
      </c>
      <c r="DF16" s="2170">
        <v>0</v>
      </c>
      <c r="DG16" s="2184">
        <f>SUM(DC16:DF16)</f>
        <v>1</v>
      </c>
      <c r="DH16" s="2163">
        <v>21357</v>
      </c>
      <c r="DI16" s="2170">
        <v>312</v>
      </c>
      <c r="DJ16" s="2172">
        <v>88</v>
      </c>
      <c r="DK16" s="2170">
        <v>414</v>
      </c>
      <c r="DL16" s="2184">
        <f t="shared" si="0"/>
        <v>22171</v>
      </c>
      <c r="DM16" s="2163">
        <v>30694</v>
      </c>
      <c r="DN16" s="2170">
        <v>510</v>
      </c>
      <c r="DO16" s="2172">
        <v>1177</v>
      </c>
      <c r="DP16" s="2170">
        <v>0</v>
      </c>
      <c r="DQ16" s="2184">
        <f>SUM(DM16:DP16)</f>
        <v>32381</v>
      </c>
      <c r="DR16" s="2180">
        <v>27028</v>
      </c>
      <c r="DS16" s="3044">
        <v>786</v>
      </c>
      <c r="DT16" s="3049">
        <v>1728</v>
      </c>
      <c r="DU16" s="3044">
        <v>0</v>
      </c>
      <c r="DV16" s="2184">
        <f>SUM(DR16:DU16)</f>
        <v>29542</v>
      </c>
      <c r="DW16" s="2947"/>
    </row>
    <row r="17" spans="2:127" ht="25.5" customHeight="1">
      <c r="B17" s="2118"/>
      <c r="C17" s="2146"/>
      <c r="D17" s="2146"/>
      <c r="E17" s="2146"/>
      <c r="F17" s="2146"/>
      <c r="G17" s="2146"/>
      <c r="H17" s="2146"/>
      <c r="I17" s="2146"/>
      <c r="J17" s="2146"/>
      <c r="K17" s="2146"/>
      <c r="L17" s="2146"/>
      <c r="M17" s="1247"/>
      <c r="N17" s="1247"/>
      <c r="O17" s="1247"/>
      <c r="P17" s="1247"/>
      <c r="Q17" s="2146"/>
      <c r="R17" s="2146"/>
      <c r="S17" s="2146"/>
      <c r="T17" s="2146"/>
      <c r="U17" s="2146"/>
      <c r="V17" s="2146"/>
      <c r="W17" s="2146"/>
      <c r="X17" s="2146"/>
      <c r="Y17" s="2146"/>
      <c r="Z17" s="2146"/>
      <c r="AA17" s="2146"/>
      <c r="AB17" s="2146"/>
      <c r="AC17" s="2146"/>
      <c r="AD17" s="2146"/>
      <c r="AE17" s="2146"/>
      <c r="AF17" s="2146"/>
      <c r="AG17" s="1247"/>
      <c r="AH17" s="1247"/>
      <c r="AI17" s="1247"/>
      <c r="AJ17" s="1247"/>
      <c r="AK17" s="2146"/>
      <c r="AL17" s="2147"/>
      <c r="AM17" s="2148"/>
      <c r="AN17" s="2149"/>
      <c r="AO17" s="2148"/>
      <c r="AP17" s="2178"/>
      <c r="AQ17" s="2151"/>
      <c r="AR17" s="2152"/>
      <c r="AS17" s="2153"/>
      <c r="AT17" s="2152"/>
      <c r="AU17" s="2178"/>
      <c r="AV17" s="2147"/>
      <c r="AW17" s="2148"/>
      <c r="AX17" s="2149"/>
      <c r="AY17" s="2148"/>
      <c r="AZ17" s="2177"/>
      <c r="BA17" s="2147"/>
      <c r="BB17" s="2148"/>
      <c r="BC17" s="2148"/>
      <c r="BD17" s="2187"/>
      <c r="BE17" s="2179"/>
      <c r="BF17" s="2188"/>
      <c r="BG17" s="2148"/>
      <c r="BH17" s="2148"/>
      <c r="BI17" s="2176"/>
      <c r="BJ17" s="2187"/>
      <c r="BK17" s="2188"/>
      <c r="BL17" s="2148"/>
      <c r="BM17" s="2148"/>
      <c r="BN17" s="2176"/>
      <c r="BO17" s="2187"/>
      <c r="BP17" s="2188"/>
      <c r="BQ17" s="2148"/>
      <c r="BR17" s="2148"/>
      <c r="BS17" s="2176"/>
      <c r="BT17" s="2189"/>
      <c r="BU17" s="2180"/>
      <c r="BV17" s="2176"/>
      <c r="BW17" s="2176"/>
      <c r="BX17" s="2176"/>
      <c r="BY17" s="2176"/>
      <c r="BZ17" s="2176"/>
      <c r="CA17" s="2179"/>
      <c r="CB17" s="2180"/>
      <c r="CC17" s="2176"/>
      <c r="CD17" s="2176"/>
      <c r="CE17" s="2176"/>
      <c r="CF17" s="2181"/>
      <c r="CG17" s="2176"/>
      <c r="CH17" s="2179"/>
      <c r="CI17" s="2163"/>
      <c r="CJ17" s="2164"/>
      <c r="CK17" s="2164"/>
      <c r="CL17" s="2164"/>
      <c r="CM17" s="2165"/>
      <c r="CN17" s="2163"/>
      <c r="CO17" s="2185"/>
      <c r="CP17" s="2164"/>
      <c r="CQ17" s="2164"/>
      <c r="CR17" s="2165"/>
      <c r="CS17" s="2163"/>
      <c r="CT17" s="2185"/>
      <c r="CU17" s="2169"/>
      <c r="CV17" s="2169"/>
      <c r="CW17" s="2165"/>
      <c r="CX17" s="2163"/>
      <c r="CY17" s="2170"/>
      <c r="CZ17" s="2170"/>
      <c r="DA17" s="2170"/>
      <c r="DB17" s="2184"/>
      <c r="DC17" s="2163"/>
      <c r="DD17" s="2170"/>
      <c r="DE17" s="2172"/>
      <c r="DF17" s="2170"/>
      <c r="DG17" s="2184"/>
      <c r="DH17" s="2163"/>
      <c r="DI17" s="2170"/>
      <c r="DJ17" s="2172"/>
      <c r="DK17" s="2170"/>
      <c r="DL17" s="2184"/>
      <c r="DM17" s="2163"/>
      <c r="DN17" s="2170"/>
      <c r="DO17" s="2172"/>
      <c r="DP17" s="2170"/>
      <c r="DQ17" s="2184"/>
      <c r="DR17" s="3046"/>
      <c r="DS17" s="3045"/>
      <c r="DT17" s="3047"/>
      <c r="DU17" s="3038"/>
      <c r="DV17" s="206"/>
      <c r="DW17" s="2947"/>
    </row>
    <row r="18" spans="2:127" s="208" customFormat="1" ht="81" customHeight="1">
      <c r="B18" s="2118" t="s">
        <v>415</v>
      </c>
      <c r="C18" s="2190">
        <v>67324</v>
      </c>
      <c r="D18" s="2190">
        <v>1597</v>
      </c>
      <c r="E18" s="2190">
        <v>6444</v>
      </c>
      <c r="F18" s="2190">
        <v>70097</v>
      </c>
      <c r="G18" s="2190">
        <v>145462</v>
      </c>
      <c r="H18" s="2190">
        <v>75869</v>
      </c>
      <c r="I18" s="2190">
        <v>2442</v>
      </c>
      <c r="J18" s="2190">
        <v>5320</v>
      </c>
      <c r="K18" s="2190">
        <v>64597</v>
      </c>
      <c r="L18" s="2190">
        <v>148228</v>
      </c>
      <c r="M18" s="2190">
        <v>78318</v>
      </c>
      <c r="N18" s="2190">
        <v>2761</v>
      </c>
      <c r="O18" s="2190">
        <v>7059</v>
      </c>
      <c r="P18" s="2190">
        <v>91477</v>
      </c>
      <c r="Q18" s="2190">
        <v>179615</v>
      </c>
      <c r="R18" s="2190">
        <v>67022</v>
      </c>
      <c r="S18" s="2190">
        <v>1781</v>
      </c>
      <c r="T18" s="2190">
        <v>5038</v>
      </c>
      <c r="U18" s="2190">
        <v>101652</v>
      </c>
      <c r="V18" s="2190">
        <v>175493</v>
      </c>
      <c r="W18" s="2190">
        <v>71082</v>
      </c>
      <c r="X18" s="2190">
        <v>3041</v>
      </c>
      <c r="Y18" s="2190">
        <v>4450</v>
      </c>
      <c r="Z18" s="2190">
        <v>87997</v>
      </c>
      <c r="AA18" s="2190">
        <v>166570</v>
      </c>
      <c r="AB18" s="2190">
        <v>66933</v>
      </c>
      <c r="AC18" s="2190">
        <v>915</v>
      </c>
      <c r="AD18" s="2190">
        <v>67848</v>
      </c>
      <c r="AE18" s="2190">
        <v>75676</v>
      </c>
      <c r="AF18" s="2190">
        <v>143524</v>
      </c>
      <c r="AG18" s="2190">
        <v>78839</v>
      </c>
      <c r="AH18" s="2190">
        <v>1817</v>
      </c>
      <c r="AI18" s="2190">
        <v>6929</v>
      </c>
      <c r="AJ18" s="2190">
        <v>55865</v>
      </c>
      <c r="AK18" s="2190">
        <v>143450</v>
      </c>
      <c r="AL18" s="2191">
        <v>74751</v>
      </c>
      <c r="AM18" s="2192">
        <v>1999</v>
      </c>
      <c r="AN18" s="2193">
        <v>6482</v>
      </c>
      <c r="AO18" s="2192">
        <v>101738</v>
      </c>
      <c r="AP18" s="2194">
        <v>184970</v>
      </c>
      <c r="AQ18" s="2191">
        <v>75202</v>
      </c>
      <c r="AR18" s="2192">
        <v>2517</v>
      </c>
      <c r="AS18" s="2193">
        <v>5601</v>
      </c>
      <c r="AT18" s="2192">
        <v>102989</v>
      </c>
      <c r="AU18" s="2194">
        <v>186309</v>
      </c>
      <c r="AV18" s="2191">
        <v>71324</v>
      </c>
      <c r="AW18" s="2192">
        <v>1231</v>
      </c>
      <c r="AX18" s="2193">
        <v>10000</v>
      </c>
      <c r="AY18" s="2192">
        <v>105494</v>
      </c>
      <c r="AZ18" s="2193">
        <v>188049</v>
      </c>
      <c r="BA18" s="2191">
        <v>79326</v>
      </c>
      <c r="BB18" s="2192">
        <v>1585</v>
      </c>
      <c r="BC18" s="2192">
        <v>8542</v>
      </c>
      <c r="BD18" s="2195">
        <v>104597</v>
      </c>
      <c r="BE18" s="2195">
        <v>194050</v>
      </c>
      <c r="BF18" s="2196">
        <f>SUM(BF14:BF17)</f>
        <v>76312</v>
      </c>
      <c r="BG18" s="2192">
        <f>SUM(BG14:BG17)</f>
        <v>2750</v>
      </c>
      <c r="BH18" s="2192">
        <f>SUM(BH14:BH16)</f>
        <v>11020</v>
      </c>
      <c r="BI18" s="2192">
        <f>SUM(BI14:BI16)</f>
        <v>114026</v>
      </c>
      <c r="BJ18" s="2195">
        <f>SUM(BJ14:BJ16)</f>
        <v>204108</v>
      </c>
      <c r="BK18" s="2196">
        <f>SUM(BK14:BK17)</f>
        <v>72807</v>
      </c>
      <c r="BL18" s="2192">
        <f>SUM(BL14:BL17)</f>
        <v>2825</v>
      </c>
      <c r="BM18" s="2192">
        <f>SUM(BM14:BM16)</f>
        <v>10064</v>
      </c>
      <c r="BN18" s="2192">
        <f>SUM(BN14:BN16)</f>
        <v>83220</v>
      </c>
      <c r="BO18" s="2195">
        <f>SUM(BO14:BO16)</f>
        <v>168916</v>
      </c>
      <c r="BP18" s="2196">
        <f>SUM(BP14:BP17)</f>
        <v>78522</v>
      </c>
      <c r="BQ18" s="2192">
        <f>SUM(BQ14:BQ17)</f>
        <v>1688</v>
      </c>
      <c r="BR18" s="2192">
        <f>SUM(BR14:BR16)</f>
        <v>8554</v>
      </c>
      <c r="BS18" s="2192">
        <f>SUM(BS14:BS16)</f>
        <v>83580</v>
      </c>
      <c r="BT18" s="2195">
        <f>SUM(BT14:BT16)</f>
        <v>172344</v>
      </c>
      <c r="BU18" s="2196">
        <f t="shared" ref="BU18:CA18" si="4">SUM(BU14:BU16)</f>
        <v>83701</v>
      </c>
      <c r="BV18" s="2192">
        <f t="shared" si="4"/>
        <v>1507</v>
      </c>
      <c r="BW18" s="2192">
        <f t="shared" si="4"/>
        <v>8735</v>
      </c>
      <c r="BX18" s="2192">
        <f t="shared" si="4"/>
        <v>1665</v>
      </c>
      <c r="BY18" s="2192">
        <f t="shared" si="4"/>
        <v>10400</v>
      </c>
      <c r="BZ18" s="2192">
        <f t="shared" si="4"/>
        <v>89441</v>
      </c>
      <c r="CA18" s="2195">
        <f t="shared" si="4"/>
        <v>185049</v>
      </c>
      <c r="CB18" s="2196">
        <f t="shared" ref="CB18:CH18" si="5">SUM(CB14:CB16)</f>
        <v>87205</v>
      </c>
      <c r="CC18" s="2192">
        <f t="shared" si="5"/>
        <v>1214</v>
      </c>
      <c r="CD18" s="2192">
        <f t="shared" si="5"/>
        <v>0</v>
      </c>
      <c r="CE18" s="2192">
        <f t="shared" si="5"/>
        <v>0</v>
      </c>
      <c r="CF18" s="2197">
        <f t="shared" si="5"/>
        <v>15206</v>
      </c>
      <c r="CG18" s="2192">
        <f t="shared" si="5"/>
        <v>107528</v>
      </c>
      <c r="CH18" s="2195">
        <f t="shared" si="5"/>
        <v>211153</v>
      </c>
      <c r="CI18" s="2198">
        <f t="shared" ref="CI18:CR18" si="6">SUM(CI14:CI16)</f>
        <v>85772</v>
      </c>
      <c r="CJ18" s="2199">
        <f t="shared" si="6"/>
        <v>2541</v>
      </c>
      <c r="CK18" s="2200">
        <f t="shared" si="6"/>
        <v>10893</v>
      </c>
      <c r="CL18" s="2199">
        <f t="shared" si="6"/>
        <v>80735</v>
      </c>
      <c r="CM18" s="2201">
        <f t="shared" si="6"/>
        <v>179941</v>
      </c>
      <c r="CN18" s="2198">
        <f t="shared" si="6"/>
        <v>97070</v>
      </c>
      <c r="CO18" s="2199">
        <f t="shared" si="6"/>
        <v>1846</v>
      </c>
      <c r="CP18" s="2200">
        <f t="shared" si="6"/>
        <v>8667</v>
      </c>
      <c r="CQ18" s="2199">
        <f t="shared" si="6"/>
        <v>92474</v>
      </c>
      <c r="CR18" s="2201">
        <f t="shared" si="6"/>
        <v>200057</v>
      </c>
      <c r="CS18" s="2198">
        <f t="shared" ref="CS18:DA18" si="7">SUM(CS14:CS16)</f>
        <v>96150</v>
      </c>
      <c r="CT18" s="2199">
        <f t="shared" si="7"/>
        <v>2097</v>
      </c>
      <c r="CU18" s="2202">
        <f t="shared" si="7"/>
        <v>14005</v>
      </c>
      <c r="CV18" s="2199">
        <f t="shared" si="7"/>
        <v>98477</v>
      </c>
      <c r="CW18" s="2201">
        <f t="shared" si="7"/>
        <v>210729</v>
      </c>
      <c r="CX18" s="2198">
        <f t="shared" si="7"/>
        <v>105222</v>
      </c>
      <c r="CY18" s="2203">
        <f t="shared" si="7"/>
        <v>1481</v>
      </c>
      <c r="CZ18" s="2203">
        <f t="shared" si="7"/>
        <v>13728</v>
      </c>
      <c r="DA18" s="2203">
        <f t="shared" si="7"/>
        <v>105076</v>
      </c>
      <c r="DB18" s="2201">
        <f t="shared" si="3"/>
        <v>225507</v>
      </c>
      <c r="DC18" s="2198">
        <f>SUM(DC14:DC16)</f>
        <v>0</v>
      </c>
      <c r="DD18" s="2203">
        <f>SUM(DD14:DD16)</f>
        <v>0</v>
      </c>
      <c r="DE18" s="2204">
        <f>SUM(DE14:DE16)</f>
        <v>1</v>
      </c>
      <c r="DF18" s="2203">
        <f>SUM(DF14:DF16)</f>
        <v>0</v>
      </c>
      <c r="DG18" s="2205">
        <f>SUM(DC18:DF18)</f>
        <v>1</v>
      </c>
      <c r="DH18" s="2198">
        <f>SUM(DH14:DH16)</f>
        <v>45251</v>
      </c>
      <c r="DI18" s="2203">
        <f>SUM(DI14:DI16)</f>
        <v>614</v>
      </c>
      <c r="DJ18" s="2204">
        <f>SUM(DJ14:DJ16)</f>
        <v>306</v>
      </c>
      <c r="DK18" s="2203">
        <f>SUM(DK14:DK16)</f>
        <v>414</v>
      </c>
      <c r="DL18" s="2205">
        <f>SUM(DH18:DK18)</f>
        <v>46585</v>
      </c>
      <c r="DM18" s="2203">
        <f>SUM(DM14:DM16)</f>
        <v>89973</v>
      </c>
      <c r="DN18" s="2203">
        <f>SUM(DN14:DN16)</f>
        <v>1554</v>
      </c>
      <c r="DO18" s="2203">
        <f>SUM(DO14:DO16)</f>
        <v>4423</v>
      </c>
      <c r="DP18" s="2203">
        <f>SUM(DP14:DP16)</f>
        <v>27321</v>
      </c>
      <c r="DQ18" s="2205">
        <f>SUM(DM18:DP18)</f>
        <v>123271</v>
      </c>
      <c r="DR18" s="2199">
        <f>DR14+DR15+DR16</f>
        <v>94906</v>
      </c>
      <c r="DS18" s="3357">
        <f>DS14+DS15+DS16</f>
        <v>2548</v>
      </c>
      <c r="DT18" s="3357">
        <f>DT14+DT15+DT16</f>
        <v>10090</v>
      </c>
      <c r="DU18" s="3357">
        <f>DU14+DU15+DU16</f>
        <v>73964</v>
      </c>
      <c r="DV18" s="2205">
        <f>SUM(DR18:DU18)</f>
        <v>181508</v>
      </c>
      <c r="DW18" s="2947"/>
    </row>
    <row r="19" spans="2:127" ht="25.5" customHeight="1">
      <c r="B19" s="2118"/>
      <c r="C19" s="2146"/>
      <c r="D19" s="2146"/>
      <c r="E19" s="2146"/>
      <c r="F19" s="2146"/>
      <c r="G19" s="2146"/>
      <c r="H19" s="2146"/>
      <c r="I19" s="2146"/>
      <c r="J19" s="2146"/>
      <c r="K19" s="2146"/>
      <c r="L19" s="2146"/>
      <c r="M19" s="1247"/>
      <c r="N19" s="1247"/>
      <c r="O19" s="1247"/>
      <c r="P19" s="1247"/>
      <c r="Q19" s="1247"/>
      <c r="R19" s="2146"/>
      <c r="S19" s="2146"/>
      <c r="T19" s="2146"/>
      <c r="U19" s="2146"/>
      <c r="V19" s="2146"/>
      <c r="W19" s="2146"/>
      <c r="X19" s="2146"/>
      <c r="Y19" s="2146"/>
      <c r="Z19" s="2146"/>
      <c r="AA19" s="2146"/>
      <c r="AB19" s="2146"/>
      <c r="AC19" s="2146"/>
      <c r="AD19" s="2146"/>
      <c r="AE19" s="2146"/>
      <c r="AF19" s="2146"/>
      <c r="AG19" s="1247"/>
      <c r="AH19" s="1247"/>
      <c r="AI19" s="1247"/>
      <c r="AJ19" s="1247"/>
      <c r="AK19" s="1247"/>
      <c r="AL19" s="2147"/>
      <c r="AM19" s="2148"/>
      <c r="AN19" s="2149"/>
      <c r="AO19" s="2148"/>
      <c r="AP19" s="2150"/>
      <c r="AQ19" s="2175"/>
      <c r="AR19" s="2176"/>
      <c r="AS19" s="2177"/>
      <c r="AT19" s="2176"/>
      <c r="AU19" s="2154"/>
      <c r="AV19" s="2175"/>
      <c r="AW19" s="2176"/>
      <c r="AX19" s="2177"/>
      <c r="AY19" s="2176"/>
      <c r="AZ19" s="2149"/>
      <c r="BA19" s="2175"/>
      <c r="BB19" s="2176"/>
      <c r="BC19" s="2176"/>
      <c r="BD19" s="2179"/>
      <c r="BE19" s="2187"/>
      <c r="BF19" s="2180"/>
      <c r="BG19" s="2176"/>
      <c r="BH19" s="2176"/>
      <c r="BI19" s="2148"/>
      <c r="BJ19" s="2179"/>
      <c r="BK19" s="2180"/>
      <c r="BL19" s="2176"/>
      <c r="BM19" s="2176"/>
      <c r="BN19" s="2148"/>
      <c r="BO19" s="2179"/>
      <c r="BP19" s="2180"/>
      <c r="BQ19" s="2176"/>
      <c r="BR19" s="2176"/>
      <c r="BS19" s="2148"/>
      <c r="BT19" s="2195"/>
      <c r="BU19" s="2180"/>
      <c r="BV19" s="2176"/>
      <c r="BW19" s="2176"/>
      <c r="BX19" s="2176"/>
      <c r="BY19" s="2176"/>
      <c r="BZ19" s="2176"/>
      <c r="CA19" s="2179"/>
      <c r="CB19" s="2180"/>
      <c r="CC19" s="2176"/>
      <c r="CD19" s="2176"/>
      <c r="CE19" s="2176"/>
      <c r="CF19" s="2181"/>
      <c r="CG19" s="2176"/>
      <c r="CH19" s="2179"/>
      <c r="CI19" s="2163"/>
      <c r="CJ19" s="2185"/>
      <c r="CK19" s="2164"/>
      <c r="CL19" s="2164"/>
      <c r="CM19" s="2165"/>
      <c r="CN19" s="2163"/>
      <c r="CO19" s="2185"/>
      <c r="CP19" s="2164"/>
      <c r="CQ19" s="2164"/>
      <c r="CR19" s="2165"/>
      <c r="CS19" s="2163"/>
      <c r="CT19" s="2185"/>
      <c r="CU19" s="2169"/>
      <c r="CV19" s="2169"/>
      <c r="CW19" s="2165"/>
      <c r="CX19" s="2163"/>
      <c r="CY19" s="2170"/>
      <c r="CZ19" s="2170"/>
      <c r="DA19" s="2170"/>
      <c r="DB19" s="2184"/>
      <c r="DC19" s="2163"/>
      <c r="DD19" s="2170"/>
      <c r="DE19" s="2172"/>
      <c r="DF19" s="2170"/>
      <c r="DG19" s="2184"/>
      <c r="DH19" s="2163"/>
      <c r="DI19" s="2170"/>
      <c r="DJ19" s="2172"/>
      <c r="DK19" s="2170"/>
      <c r="DL19" s="2184"/>
      <c r="DM19" s="2163"/>
      <c r="DN19" s="2170"/>
      <c r="DO19" s="2172"/>
      <c r="DP19" s="2170"/>
      <c r="DQ19" s="2184"/>
      <c r="DR19" s="3046"/>
      <c r="DS19" s="3036"/>
      <c r="DT19" s="3037"/>
      <c r="DU19" s="3038"/>
      <c r="DV19" s="206"/>
      <c r="DW19" s="2947"/>
    </row>
    <row r="20" spans="2:127" s="209" customFormat="1" ht="81" customHeight="1">
      <c r="B20" s="2118" t="s">
        <v>70</v>
      </c>
      <c r="C20" s="2190">
        <v>139522</v>
      </c>
      <c r="D20" s="2190">
        <v>3538</v>
      </c>
      <c r="E20" s="2190">
        <v>14035</v>
      </c>
      <c r="F20" s="2190">
        <v>251311</v>
      </c>
      <c r="G20" s="2190">
        <v>408406</v>
      </c>
      <c r="H20" s="2190">
        <v>146061</v>
      </c>
      <c r="I20" s="2190">
        <v>6314</v>
      </c>
      <c r="J20" s="2190">
        <v>12926</v>
      </c>
      <c r="K20" s="2190">
        <v>218967</v>
      </c>
      <c r="L20" s="2190">
        <v>384268</v>
      </c>
      <c r="M20" s="2190">
        <v>150593</v>
      </c>
      <c r="N20" s="2190">
        <v>6337</v>
      </c>
      <c r="O20" s="2190">
        <v>13599</v>
      </c>
      <c r="P20" s="2190">
        <v>284486</v>
      </c>
      <c r="Q20" s="2190">
        <v>455015</v>
      </c>
      <c r="R20" s="2190">
        <v>150182</v>
      </c>
      <c r="S20" s="2190">
        <v>4065</v>
      </c>
      <c r="T20" s="2190">
        <v>10881</v>
      </c>
      <c r="U20" s="2190">
        <v>306505</v>
      </c>
      <c r="V20" s="2190">
        <v>471633</v>
      </c>
      <c r="W20" s="2190">
        <v>143298</v>
      </c>
      <c r="X20" s="2190">
        <v>7886</v>
      </c>
      <c r="Y20" s="2190">
        <v>9888</v>
      </c>
      <c r="Z20" s="2190">
        <v>242508</v>
      </c>
      <c r="AA20" s="2190">
        <v>403580</v>
      </c>
      <c r="AB20" s="2190">
        <v>138159</v>
      </c>
      <c r="AC20" s="2190">
        <v>2572</v>
      </c>
      <c r="AD20" s="2190">
        <v>140731</v>
      </c>
      <c r="AE20" s="2190">
        <v>233341</v>
      </c>
      <c r="AF20" s="2190">
        <v>374072</v>
      </c>
      <c r="AG20" s="2190">
        <v>160505</v>
      </c>
      <c r="AH20" s="2190">
        <v>4248</v>
      </c>
      <c r="AI20" s="2190">
        <v>15337</v>
      </c>
      <c r="AJ20" s="2190">
        <v>221393</v>
      </c>
      <c r="AK20" s="2190">
        <v>401483</v>
      </c>
      <c r="AL20" s="2191">
        <v>147821</v>
      </c>
      <c r="AM20" s="2192">
        <v>3281</v>
      </c>
      <c r="AN20" s="2193">
        <v>15068</v>
      </c>
      <c r="AO20" s="2192">
        <v>340105</v>
      </c>
      <c r="AP20" s="2194">
        <v>506275</v>
      </c>
      <c r="AQ20" s="2191">
        <v>161230</v>
      </c>
      <c r="AR20" s="2192">
        <v>5392</v>
      </c>
      <c r="AS20" s="2193">
        <v>13984</v>
      </c>
      <c r="AT20" s="2192">
        <v>374161</v>
      </c>
      <c r="AU20" s="2194">
        <v>554767</v>
      </c>
      <c r="AV20" s="2191">
        <v>145575</v>
      </c>
      <c r="AW20" s="2192">
        <v>2659</v>
      </c>
      <c r="AX20" s="2193">
        <v>19271</v>
      </c>
      <c r="AY20" s="2192">
        <v>403675</v>
      </c>
      <c r="AZ20" s="2193">
        <v>571180</v>
      </c>
      <c r="BA20" s="2207">
        <v>162856</v>
      </c>
      <c r="BB20" s="2208">
        <v>2770</v>
      </c>
      <c r="BC20" s="2192">
        <v>18231</v>
      </c>
      <c r="BD20" s="2195">
        <v>414847</v>
      </c>
      <c r="BE20" s="2195">
        <v>598704</v>
      </c>
      <c r="BF20" s="2209">
        <f t="shared" ref="BF20:BO20" si="8">BF18+BF12</f>
        <v>158983</v>
      </c>
      <c r="BG20" s="2208">
        <f t="shared" si="8"/>
        <v>5346</v>
      </c>
      <c r="BH20" s="2192">
        <f t="shared" si="8"/>
        <v>24941</v>
      </c>
      <c r="BI20" s="2192">
        <f t="shared" si="8"/>
        <v>375231</v>
      </c>
      <c r="BJ20" s="2210">
        <f t="shared" si="8"/>
        <v>564501</v>
      </c>
      <c r="BK20" s="2209">
        <f t="shared" si="8"/>
        <v>158244</v>
      </c>
      <c r="BL20" s="2208">
        <f t="shared" si="8"/>
        <v>6007</v>
      </c>
      <c r="BM20" s="2192">
        <f t="shared" si="8"/>
        <v>22494</v>
      </c>
      <c r="BN20" s="2192">
        <f t="shared" si="8"/>
        <v>352771</v>
      </c>
      <c r="BO20" s="2210">
        <f t="shared" si="8"/>
        <v>539516</v>
      </c>
      <c r="BP20" s="2209">
        <f>BP18+BP12</f>
        <v>166116</v>
      </c>
      <c r="BQ20" s="2208">
        <f>BQ18+BQ12</f>
        <v>3689</v>
      </c>
      <c r="BR20" s="2192">
        <f>BR18+BR12</f>
        <v>21565</v>
      </c>
      <c r="BS20" s="2192">
        <f>BS18+BS12</f>
        <v>345589</v>
      </c>
      <c r="BT20" s="2210">
        <f>BT18+BT12</f>
        <v>536959</v>
      </c>
      <c r="BU20" s="2196">
        <f t="shared" ref="BU20:CA20" si="9">BU18+BU12</f>
        <v>176017</v>
      </c>
      <c r="BV20" s="2192">
        <f t="shared" si="9"/>
        <v>3466</v>
      </c>
      <c r="BW20" s="2192">
        <f t="shared" si="9"/>
        <v>20221</v>
      </c>
      <c r="BX20" s="2192">
        <f t="shared" si="9"/>
        <v>5559</v>
      </c>
      <c r="BY20" s="2192">
        <f t="shared" si="9"/>
        <v>25780</v>
      </c>
      <c r="BZ20" s="2192">
        <f t="shared" si="9"/>
        <v>364228</v>
      </c>
      <c r="CA20" s="2195">
        <f t="shared" si="9"/>
        <v>569491</v>
      </c>
      <c r="CB20" s="2196">
        <f t="shared" ref="CB20:CH20" si="10">CB18+CB12</f>
        <v>185424</v>
      </c>
      <c r="CC20" s="2192">
        <f t="shared" si="10"/>
        <v>3140</v>
      </c>
      <c r="CD20" s="2192">
        <f t="shared" si="10"/>
        <v>0</v>
      </c>
      <c r="CE20" s="2192">
        <f t="shared" si="10"/>
        <v>0</v>
      </c>
      <c r="CF20" s="2197">
        <f t="shared" si="10"/>
        <v>38131</v>
      </c>
      <c r="CG20" s="2192">
        <f t="shared" si="10"/>
        <v>399746</v>
      </c>
      <c r="CH20" s="2195">
        <f t="shared" si="10"/>
        <v>626441</v>
      </c>
      <c r="CI20" s="2198">
        <f t="shared" ref="CI20:CR20" si="11">SUM(CI18,CI12)</f>
        <v>183139</v>
      </c>
      <c r="CJ20" s="2199">
        <f t="shared" si="11"/>
        <v>5933</v>
      </c>
      <c r="CK20" s="2200">
        <f t="shared" si="11"/>
        <v>31697</v>
      </c>
      <c r="CL20" s="2199">
        <f t="shared" si="11"/>
        <v>326167</v>
      </c>
      <c r="CM20" s="2201">
        <f t="shared" si="11"/>
        <v>546936</v>
      </c>
      <c r="CN20" s="2198">
        <f t="shared" si="11"/>
        <v>197548</v>
      </c>
      <c r="CO20" s="2199">
        <f t="shared" si="11"/>
        <v>4368</v>
      </c>
      <c r="CP20" s="2200">
        <f t="shared" si="11"/>
        <v>29706</v>
      </c>
      <c r="CQ20" s="2199">
        <f t="shared" si="11"/>
        <v>406026</v>
      </c>
      <c r="CR20" s="2201">
        <f t="shared" si="11"/>
        <v>637648</v>
      </c>
      <c r="CS20" s="2198">
        <f t="shared" ref="CS20:DA20" si="12">SUM(CS18,CS12)</f>
        <v>206182</v>
      </c>
      <c r="CT20" s="2199">
        <f t="shared" si="12"/>
        <v>5354</v>
      </c>
      <c r="CU20" s="2202">
        <f t="shared" si="12"/>
        <v>40305</v>
      </c>
      <c r="CV20" s="2199">
        <f t="shared" si="12"/>
        <v>454298</v>
      </c>
      <c r="CW20" s="2201">
        <f t="shared" si="12"/>
        <v>706139</v>
      </c>
      <c r="CX20" s="2198">
        <f t="shared" si="12"/>
        <v>219608</v>
      </c>
      <c r="CY20" s="2203">
        <f t="shared" si="12"/>
        <v>4328</v>
      </c>
      <c r="CZ20" s="2203">
        <f t="shared" si="12"/>
        <v>37088</v>
      </c>
      <c r="DA20" s="2203">
        <f t="shared" si="12"/>
        <v>467122</v>
      </c>
      <c r="DB20" s="2201">
        <f t="shared" si="3"/>
        <v>728146</v>
      </c>
      <c r="DC20" s="2198">
        <f>SUM(DC18,DC12)</f>
        <v>91399</v>
      </c>
      <c r="DD20" s="2203">
        <f>SUM(DD18,DD12)</f>
        <v>1660</v>
      </c>
      <c r="DE20" s="2204">
        <f>SUM(DE18,DE12)</f>
        <v>21123</v>
      </c>
      <c r="DF20" s="2203">
        <f>SUM(DF18,DF12)</f>
        <v>297885</v>
      </c>
      <c r="DG20" s="2205">
        <f>SUM(DC20:DF20)</f>
        <v>412067</v>
      </c>
      <c r="DH20" s="2198">
        <f>SUM(DH18,DH12)</f>
        <v>64482</v>
      </c>
      <c r="DI20" s="2203">
        <f>SUM(DI18,DI12)</f>
        <v>1549</v>
      </c>
      <c r="DJ20" s="2204">
        <f>SUM(DJ18,DJ12)</f>
        <v>547</v>
      </c>
      <c r="DK20" s="2203">
        <f>SUM(DK18,DK12)</f>
        <v>414</v>
      </c>
      <c r="DL20" s="2205">
        <f>SUM(DH20:DK20)</f>
        <v>66992</v>
      </c>
      <c r="DM20" s="2203">
        <f>SUM(DM18,DM12)</f>
        <v>170784</v>
      </c>
      <c r="DN20" s="2203">
        <f>SUM(DN18,DN12)</f>
        <v>3431</v>
      </c>
      <c r="DO20" s="2203">
        <f>SUM(DO18,DO12)</f>
        <v>8125</v>
      </c>
      <c r="DP20" s="2203">
        <f>SUM(DP18,DP12)</f>
        <v>165266</v>
      </c>
      <c r="DQ20" s="2205">
        <f>SUM(DM20:DP20)</f>
        <v>347606</v>
      </c>
      <c r="DR20" s="2196">
        <f>DR12+DR18</f>
        <v>202928</v>
      </c>
      <c r="DS20" s="3042">
        <f>DS12+DS18</f>
        <v>4631</v>
      </c>
      <c r="DT20" s="3043">
        <f>DT12+DT18</f>
        <v>24595</v>
      </c>
      <c r="DU20" s="3042">
        <f>DU12+DU18</f>
        <v>434343</v>
      </c>
      <c r="DV20" s="2205">
        <f>SUM(DR20:DU20)</f>
        <v>666497</v>
      </c>
      <c r="DW20" s="2947"/>
    </row>
    <row r="21" spans="2:127" ht="25.5" customHeight="1">
      <c r="B21" s="2118"/>
      <c r="C21" s="2146"/>
      <c r="D21" s="2146"/>
      <c r="E21" s="2146"/>
      <c r="F21" s="2146"/>
      <c r="G21" s="2146"/>
      <c r="H21" s="2146"/>
      <c r="I21" s="2146"/>
      <c r="J21" s="2146"/>
      <c r="K21" s="2146"/>
      <c r="L21" s="2146"/>
      <c r="M21" s="1247"/>
      <c r="N21" s="1247"/>
      <c r="O21" s="1247"/>
      <c r="P21" s="1247"/>
      <c r="Q21" s="1247"/>
      <c r="R21" s="2146"/>
      <c r="S21" s="2146"/>
      <c r="T21" s="2146"/>
      <c r="U21" s="2146"/>
      <c r="V21" s="2146"/>
      <c r="W21" s="2146"/>
      <c r="X21" s="2146"/>
      <c r="Y21" s="2146"/>
      <c r="Z21" s="2146"/>
      <c r="AA21" s="2146"/>
      <c r="AB21" s="2146"/>
      <c r="AC21" s="2146"/>
      <c r="AD21" s="2146"/>
      <c r="AE21" s="2146"/>
      <c r="AF21" s="2146"/>
      <c r="AG21" s="1247"/>
      <c r="AH21" s="1247"/>
      <c r="AI21" s="1247"/>
      <c r="AJ21" s="1247"/>
      <c r="AK21" s="1247"/>
      <c r="AL21" s="2147"/>
      <c r="AM21" s="2148"/>
      <c r="AN21" s="2149"/>
      <c r="AO21" s="2148"/>
      <c r="AP21" s="2150"/>
      <c r="AQ21" s="2211"/>
      <c r="AR21" s="2176"/>
      <c r="AS21" s="2177"/>
      <c r="AT21" s="2176"/>
      <c r="AU21" s="2154"/>
      <c r="AV21" s="2211"/>
      <c r="AW21" s="2176"/>
      <c r="AX21" s="2177"/>
      <c r="AY21" s="2176"/>
      <c r="AZ21" s="2149"/>
      <c r="BA21" s="2211"/>
      <c r="BB21" s="2176"/>
      <c r="BC21" s="2176"/>
      <c r="BD21" s="2179"/>
      <c r="BE21" s="2187"/>
      <c r="BF21" s="2212"/>
      <c r="BG21" s="2176"/>
      <c r="BH21" s="2176"/>
      <c r="BI21" s="2148"/>
      <c r="BJ21" s="2213"/>
      <c r="BK21" s="2212"/>
      <c r="BL21" s="2176"/>
      <c r="BM21" s="2176"/>
      <c r="BN21" s="2148"/>
      <c r="BO21" s="2213"/>
      <c r="BP21" s="2212"/>
      <c r="BQ21" s="2176"/>
      <c r="BR21" s="2176"/>
      <c r="BS21" s="2148"/>
      <c r="BT21" s="2214"/>
      <c r="BU21" s="2180"/>
      <c r="BV21" s="2176"/>
      <c r="BW21" s="2176"/>
      <c r="BX21" s="2176"/>
      <c r="BY21" s="2176"/>
      <c r="BZ21" s="2176"/>
      <c r="CA21" s="2179"/>
      <c r="CB21" s="2180"/>
      <c r="CC21" s="2176"/>
      <c r="CD21" s="2176"/>
      <c r="CE21" s="2176"/>
      <c r="CF21" s="2181"/>
      <c r="CG21" s="2176"/>
      <c r="CH21" s="2179"/>
      <c r="CI21" s="2163"/>
      <c r="CJ21" s="2164"/>
      <c r="CK21" s="2164"/>
      <c r="CL21" s="2164"/>
      <c r="CM21" s="2165"/>
      <c r="CN21" s="2163"/>
      <c r="CO21" s="2185"/>
      <c r="CP21" s="2164"/>
      <c r="CQ21" s="2164"/>
      <c r="CR21" s="2165"/>
      <c r="CS21" s="2163"/>
      <c r="CT21" s="2185"/>
      <c r="CU21" s="2169"/>
      <c r="CV21" s="2169"/>
      <c r="CW21" s="2165"/>
      <c r="CX21" s="2163"/>
      <c r="CY21" s="2170"/>
      <c r="CZ21" s="2170"/>
      <c r="DA21" s="2170"/>
      <c r="DB21" s="2184"/>
      <c r="DC21" s="2163"/>
      <c r="DD21" s="2170"/>
      <c r="DE21" s="2172"/>
      <c r="DF21" s="2170"/>
      <c r="DG21" s="2184"/>
      <c r="DH21" s="2163"/>
      <c r="DI21" s="2170"/>
      <c r="DJ21" s="2172"/>
      <c r="DK21" s="2170"/>
      <c r="DL21" s="2184"/>
      <c r="DM21" s="2163"/>
      <c r="DN21" s="2170"/>
      <c r="DO21" s="2172"/>
      <c r="DP21" s="2170"/>
      <c r="DQ21" s="2184"/>
      <c r="DR21" s="3046"/>
      <c r="DS21" s="3036"/>
      <c r="DT21" s="3037"/>
      <c r="DU21" s="3038"/>
      <c r="DV21" s="206"/>
      <c r="DW21" s="2947"/>
    </row>
    <row r="22" spans="2:127" ht="81" customHeight="1">
      <c r="B22" s="2174" t="s">
        <v>405</v>
      </c>
      <c r="C22" s="2146">
        <v>21920</v>
      </c>
      <c r="D22" s="2146">
        <v>835</v>
      </c>
      <c r="E22" s="2146">
        <v>2025</v>
      </c>
      <c r="F22" s="2215">
        <v>9509</v>
      </c>
      <c r="G22" s="2146">
        <v>34289</v>
      </c>
      <c r="H22" s="2146">
        <v>26228</v>
      </c>
      <c r="I22" s="2146">
        <v>1427</v>
      </c>
      <c r="J22" s="2146">
        <v>1353</v>
      </c>
      <c r="K22" s="2146">
        <v>6756</v>
      </c>
      <c r="L22" s="2146">
        <v>35764</v>
      </c>
      <c r="M22" s="2146">
        <v>29926</v>
      </c>
      <c r="N22" s="2146">
        <v>2530</v>
      </c>
      <c r="O22" s="2146">
        <v>1151</v>
      </c>
      <c r="P22" s="2146">
        <v>15099</v>
      </c>
      <c r="Q22" s="2146">
        <v>48706</v>
      </c>
      <c r="R22" s="2146">
        <v>20840</v>
      </c>
      <c r="S22" s="2146">
        <v>697</v>
      </c>
      <c r="T22" s="2146">
        <v>1567</v>
      </c>
      <c r="U22" s="2146">
        <v>17143</v>
      </c>
      <c r="V22" s="2146">
        <v>40247</v>
      </c>
      <c r="W22" s="2146">
        <v>26067</v>
      </c>
      <c r="X22" s="2146">
        <v>885</v>
      </c>
      <c r="Y22" s="2146">
        <v>1539</v>
      </c>
      <c r="Z22" s="2146">
        <v>15851</v>
      </c>
      <c r="AA22" s="2146">
        <v>44342</v>
      </c>
      <c r="AB22" s="2146">
        <v>25552</v>
      </c>
      <c r="AC22" s="2146">
        <v>687</v>
      </c>
      <c r="AD22" s="2146">
        <v>26239</v>
      </c>
      <c r="AE22" s="2146">
        <v>12584</v>
      </c>
      <c r="AF22" s="2146">
        <v>38823</v>
      </c>
      <c r="AG22" s="2146">
        <v>30453</v>
      </c>
      <c r="AH22" s="2146">
        <v>493</v>
      </c>
      <c r="AI22" s="2146">
        <v>1732</v>
      </c>
      <c r="AJ22" s="2146">
        <v>10410</v>
      </c>
      <c r="AK22" s="2146">
        <v>43088</v>
      </c>
      <c r="AL22" s="2175">
        <v>29825</v>
      </c>
      <c r="AM22" s="2176">
        <v>360</v>
      </c>
      <c r="AN22" s="2177">
        <v>1862</v>
      </c>
      <c r="AO22" s="2176">
        <v>20024</v>
      </c>
      <c r="AP22" s="2178">
        <v>52071</v>
      </c>
      <c r="AQ22" s="2175">
        <v>29095</v>
      </c>
      <c r="AR22" s="2176">
        <v>1055</v>
      </c>
      <c r="AS22" s="2177">
        <v>1507</v>
      </c>
      <c r="AT22" s="2176">
        <v>22954</v>
      </c>
      <c r="AU22" s="2178">
        <v>54611</v>
      </c>
      <c r="AV22" s="2175">
        <v>26794</v>
      </c>
      <c r="AW22" s="2176">
        <v>551</v>
      </c>
      <c r="AX22" s="2177">
        <v>2268</v>
      </c>
      <c r="AY22" s="2176">
        <v>27007</v>
      </c>
      <c r="AZ22" s="2177">
        <v>56620</v>
      </c>
      <c r="BA22" s="2175">
        <v>34186</v>
      </c>
      <c r="BB22" s="2176">
        <v>1031</v>
      </c>
      <c r="BC22" s="2176">
        <v>2763</v>
      </c>
      <c r="BD22" s="2179">
        <v>21910</v>
      </c>
      <c r="BE22" s="2179">
        <v>59890</v>
      </c>
      <c r="BF22" s="2182">
        <v>32835</v>
      </c>
      <c r="BG22" s="2176">
        <v>872</v>
      </c>
      <c r="BH22" s="2176">
        <v>3315</v>
      </c>
      <c r="BI22" s="2176">
        <v>18698</v>
      </c>
      <c r="BJ22" s="2179">
        <f>SUM(BF22:BH22,)+BI22</f>
        <v>55720</v>
      </c>
      <c r="BK22" s="2182">
        <v>29416</v>
      </c>
      <c r="BL22" s="2176">
        <v>949</v>
      </c>
      <c r="BM22" s="2176">
        <v>3449</v>
      </c>
      <c r="BN22" s="2176">
        <v>14396</v>
      </c>
      <c r="BO22" s="2179">
        <f>SUM(BK22:BN22)</f>
        <v>48210</v>
      </c>
      <c r="BP22" s="2182">
        <v>28428</v>
      </c>
      <c r="BQ22" s="2176">
        <v>1120</v>
      </c>
      <c r="BR22" s="2176">
        <v>2771</v>
      </c>
      <c r="BS22" s="2176">
        <v>24409</v>
      </c>
      <c r="BT22" s="2179">
        <f>SUM(BP22:BS22)</f>
        <v>56728</v>
      </c>
      <c r="BU22" s="2180">
        <v>32100</v>
      </c>
      <c r="BV22" s="2176">
        <v>809</v>
      </c>
      <c r="BW22" s="2176">
        <v>2504</v>
      </c>
      <c r="BX22" s="2176">
        <v>275</v>
      </c>
      <c r="BY22" s="2176">
        <v>2779</v>
      </c>
      <c r="BZ22" s="2176">
        <v>25777</v>
      </c>
      <c r="CA22" s="2179">
        <f>+BU22+BV22+BY22+BZ22</f>
        <v>61465</v>
      </c>
      <c r="CB22" s="2180">
        <v>32481</v>
      </c>
      <c r="CC22" s="2176">
        <v>946</v>
      </c>
      <c r="CD22" s="2176"/>
      <c r="CE22" s="2176"/>
      <c r="CF22" s="2181">
        <v>3848</v>
      </c>
      <c r="CG22" s="2176">
        <v>25237</v>
      </c>
      <c r="CH22" s="2179">
        <f>+CB22+CC22+CF22+CG22</f>
        <v>62512</v>
      </c>
      <c r="CI22" s="2163">
        <v>33381</v>
      </c>
      <c r="CJ22" s="2164">
        <v>1030</v>
      </c>
      <c r="CK22" s="2164">
        <v>4050</v>
      </c>
      <c r="CL22" s="2164">
        <v>18033</v>
      </c>
      <c r="CM22" s="2165">
        <f>SUM(CI22:CL22)</f>
        <v>56494</v>
      </c>
      <c r="CN22" s="2163">
        <v>38291</v>
      </c>
      <c r="CO22" s="2185">
        <v>715</v>
      </c>
      <c r="CP22" s="2164">
        <v>1893</v>
      </c>
      <c r="CQ22" s="2164">
        <v>14397</v>
      </c>
      <c r="CR22" s="2165">
        <f>SUM(CN22:CQ22)</f>
        <v>55296</v>
      </c>
      <c r="CS22" s="2163">
        <v>37844</v>
      </c>
      <c r="CT22" s="2169">
        <v>1098</v>
      </c>
      <c r="CU22" s="2169">
        <v>3447</v>
      </c>
      <c r="CV22" s="2169">
        <v>16848</v>
      </c>
      <c r="CW22" s="2165">
        <v>59237</v>
      </c>
      <c r="CX22" s="2163">
        <v>42773</v>
      </c>
      <c r="CY22" s="2170">
        <v>687</v>
      </c>
      <c r="CZ22" s="2170">
        <v>4431</v>
      </c>
      <c r="DA22" s="2170">
        <v>20440</v>
      </c>
      <c r="DB22" s="2184">
        <f t="shared" si="3"/>
        <v>68331</v>
      </c>
      <c r="DC22" s="2163">
        <v>1959</v>
      </c>
      <c r="DD22" s="2170">
        <v>236</v>
      </c>
      <c r="DE22" s="2185">
        <v>142</v>
      </c>
      <c r="DF22" s="2170">
        <v>0</v>
      </c>
      <c r="DG22" s="2184">
        <v>2334</v>
      </c>
      <c r="DH22" s="2163">
        <v>25440</v>
      </c>
      <c r="DI22" s="2170">
        <v>393</v>
      </c>
      <c r="DJ22" s="2185">
        <v>237</v>
      </c>
      <c r="DK22" s="2170">
        <v>1222</v>
      </c>
      <c r="DL22" s="2184">
        <f t="shared" si="0"/>
        <v>27292</v>
      </c>
      <c r="DM22" s="2163">
        <v>39145</v>
      </c>
      <c r="DN22" s="2170">
        <v>1077</v>
      </c>
      <c r="DO22" s="2185">
        <v>1679</v>
      </c>
      <c r="DP22" s="2170">
        <v>0</v>
      </c>
      <c r="DQ22" s="2184">
        <f>SUM(DM22:DP22)</f>
        <v>41901</v>
      </c>
      <c r="DR22" s="2180">
        <v>31496</v>
      </c>
      <c r="DS22" s="3044">
        <v>1284</v>
      </c>
      <c r="DT22" s="3049">
        <v>2682</v>
      </c>
      <c r="DU22" s="3044">
        <v>0</v>
      </c>
      <c r="DV22" s="2184">
        <f>SUM(DR22:DU22)</f>
        <v>35462</v>
      </c>
      <c r="DW22" s="2947"/>
    </row>
    <row r="23" spans="2:127" ht="81" customHeight="1">
      <c r="B23" s="2174" t="s">
        <v>406</v>
      </c>
      <c r="C23" s="2146">
        <v>19968</v>
      </c>
      <c r="D23" s="2146">
        <v>896</v>
      </c>
      <c r="E23" s="2146">
        <v>2156</v>
      </c>
      <c r="F23" s="2215">
        <v>11706</v>
      </c>
      <c r="G23" s="2146">
        <v>34726</v>
      </c>
      <c r="H23" s="2146">
        <v>24632</v>
      </c>
      <c r="I23" s="2146">
        <v>1323</v>
      </c>
      <c r="J23" s="2146">
        <v>1285</v>
      </c>
      <c r="K23" s="2146">
        <v>6790</v>
      </c>
      <c r="L23" s="2146">
        <v>34030</v>
      </c>
      <c r="M23" s="2146">
        <v>28079</v>
      </c>
      <c r="N23" s="2146">
        <v>620</v>
      </c>
      <c r="O23" s="2146">
        <v>1558</v>
      </c>
      <c r="P23" s="2146">
        <v>14574</v>
      </c>
      <c r="Q23" s="2146">
        <v>44831</v>
      </c>
      <c r="R23" s="2146">
        <v>17454</v>
      </c>
      <c r="S23" s="2146">
        <v>623</v>
      </c>
      <c r="T23" s="2146">
        <v>1419</v>
      </c>
      <c r="U23" s="2146">
        <v>19227</v>
      </c>
      <c r="V23" s="2146">
        <v>38723</v>
      </c>
      <c r="W23" s="2146">
        <v>22617</v>
      </c>
      <c r="X23" s="2146">
        <v>758</v>
      </c>
      <c r="Y23" s="2146">
        <v>1211</v>
      </c>
      <c r="Z23" s="2146">
        <v>22723</v>
      </c>
      <c r="AA23" s="2146">
        <v>47309</v>
      </c>
      <c r="AB23" s="2146">
        <v>28225</v>
      </c>
      <c r="AC23" s="2146">
        <v>839</v>
      </c>
      <c r="AD23" s="2146">
        <v>29064</v>
      </c>
      <c r="AE23" s="2146">
        <v>12163</v>
      </c>
      <c r="AF23" s="2146">
        <v>41227</v>
      </c>
      <c r="AG23" s="2146">
        <v>26538</v>
      </c>
      <c r="AH23" s="2146">
        <v>496</v>
      </c>
      <c r="AI23" s="2146">
        <v>1583</v>
      </c>
      <c r="AJ23" s="2146">
        <v>7000</v>
      </c>
      <c r="AK23" s="2146">
        <v>35617</v>
      </c>
      <c r="AL23" s="2175">
        <v>23249</v>
      </c>
      <c r="AM23" s="2176">
        <v>517</v>
      </c>
      <c r="AN23" s="2177">
        <v>1614</v>
      </c>
      <c r="AO23" s="2176">
        <v>26555</v>
      </c>
      <c r="AP23" s="2178">
        <v>51935</v>
      </c>
      <c r="AQ23" s="2175">
        <v>25315</v>
      </c>
      <c r="AR23" s="2176">
        <v>626</v>
      </c>
      <c r="AS23" s="2177">
        <v>1944</v>
      </c>
      <c r="AT23" s="2176">
        <v>19659</v>
      </c>
      <c r="AU23" s="2178">
        <v>47544</v>
      </c>
      <c r="AV23" s="2175">
        <v>23304</v>
      </c>
      <c r="AW23" s="2176">
        <v>455</v>
      </c>
      <c r="AX23" s="2177">
        <v>2181</v>
      </c>
      <c r="AY23" s="2176">
        <v>20890</v>
      </c>
      <c r="AZ23" s="2177">
        <v>46830</v>
      </c>
      <c r="BA23" s="2175">
        <v>29589</v>
      </c>
      <c r="BB23" s="2176">
        <v>1113</v>
      </c>
      <c r="BC23" s="2176">
        <v>2903</v>
      </c>
      <c r="BD23" s="2179">
        <v>21729</v>
      </c>
      <c r="BE23" s="2179">
        <v>55334</v>
      </c>
      <c r="BF23" s="2182">
        <v>28429</v>
      </c>
      <c r="BG23" s="2216">
        <v>968</v>
      </c>
      <c r="BH23" s="2176">
        <v>3730</v>
      </c>
      <c r="BI23" s="2176">
        <v>20731</v>
      </c>
      <c r="BJ23" s="2179">
        <f>SUM(BF23:BH23,)+BI23</f>
        <v>53858</v>
      </c>
      <c r="BK23" s="2182">
        <v>27866</v>
      </c>
      <c r="BL23" s="2216">
        <v>1124</v>
      </c>
      <c r="BM23" s="2176">
        <v>3292</v>
      </c>
      <c r="BN23" s="2176">
        <v>16354</v>
      </c>
      <c r="BO23" s="2179">
        <f>SUM(BK23:BN23)</f>
        <v>48636</v>
      </c>
      <c r="BP23" s="2182">
        <v>27536</v>
      </c>
      <c r="BQ23" s="2216">
        <v>1353</v>
      </c>
      <c r="BR23" s="2176">
        <v>3277</v>
      </c>
      <c r="BS23" s="2176">
        <v>22962</v>
      </c>
      <c r="BT23" s="2179">
        <f>SUM(BP23:BS23)</f>
        <v>55128</v>
      </c>
      <c r="BU23" s="2180">
        <v>28646</v>
      </c>
      <c r="BV23" s="2176">
        <v>1062</v>
      </c>
      <c r="BW23" s="2176">
        <v>4786</v>
      </c>
      <c r="BX23" s="2176">
        <v>296</v>
      </c>
      <c r="BY23" s="2176">
        <v>5082</v>
      </c>
      <c r="BZ23" s="2176">
        <v>18775</v>
      </c>
      <c r="CA23" s="2179">
        <f>+BU23+BV23+BY23+BZ23</f>
        <v>53565</v>
      </c>
      <c r="CB23" s="2180">
        <v>27822</v>
      </c>
      <c r="CC23" s="2176">
        <v>1340</v>
      </c>
      <c r="CD23" s="2176"/>
      <c r="CE23" s="2176"/>
      <c r="CF23" s="2181">
        <v>6767</v>
      </c>
      <c r="CG23" s="2176">
        <v>21407</v>
      </c>
      <c r="CH23" s="2179">
        <f>+CB23+CC23+CF23+CG23</f>
        <v>57336</v>
      </c>
      <c r="CI23" s="2163">
        <v>29991</v>
      </c>
      <c r="CJ23" s="2164">
        <v>1379</v>
      </c>
      <c r="CK23" s="2164">
        <v>8036</v>
      </c>
      <c r="CL23" s="2164">
        <v>19137</v>
      </c>
      <c r="CM23" s="2165">
        <f>SUM(CI23:CL23)</f>
        <v>58543</v>
      </c>
      <c r="CN23" s="2163">
        <v>33400</v>
      </c>
      <c r="CO23" s="2185">
        <v>895</v>
      </c>
      <c r="CP23" s="2164">
        <v>3732</v>
      </c>
      <c r="CQ23" s="2164">
        <v>20341</v>
      </c>
      <c r="CR23" s="2165">
        <f>SUM(CN23:CQ23)</f>
        <v>58368</v>
      </c>
      <c r="CS23" s="2163">
        <v>34168</v>
      </c>
      <c r="CT23" s="2169">
        <v>820</v>
      </c>
      <c r="CU23" s="2169">
        <v>2801</v>
      </c>
      <c r="CV23" s="2169">
        <v>21881</v>
      </c>
      <c r="CW23" s="2165">
        <v>59670</v>
      </c>
      <c r="CX23" s="2163">
        <v>36342</v>
      </c>
      <c r="CY23" s="2170">
        <v>1159</v>
      </c>
      <c r="CZ23" s="2170">
        <v>5174</v>
      </c>
      <c r="DA23" s="2170">
        <v>22662</v>
      </c>
      <c r="DB23" s="2184">
        <f t="shared" si="3"/>
        <v>65337</v>
      </c>
      <c r="DC23" s="2163">
        <v>3261</v>
      </c>
      <c r="DD23" s="2170">
        <v>375</v>
      </c>
      <c r="DE23" s="2185">
        <v>121</v>
      </c>
      <c r="DF23" s="2170">
        <v>0</v>
      </c>
      <c r="DG23" s="2184">
        <v>3757</v>
      </c>
      <c r="DH23" s="2163">
        <v>20569</v>
      </c>
      <c r="DI23" s="2170">
        <v>317</v>
      </c>
      <c r="DJ23" s="2185">
        <v>284</v>
      </c>
      <c r="DK23" s="2170">
        <v>2331</v>
      </c>
      <c r="DL23" s="2184">
        <f t="shared" si="0"/>
        <v>23501</v>
      </c>
      <c r="DM23" s="2163">
        <v>32618</v>
      </c>
      <c r="DN23" s="2170">
        <v>965</v>
      </c>
      <c r="DO23" s="2185">
        <v>1637</v>
      </c>
      <c r="DP23" s="2170">
        <v>0</v>
      </c>
      <c r="DQ23" s="2184">
        <f>SUM(DM23:DP23)</f>
        <v>35220</v>
      </c>
      <c r="DR23" s="2180">
        <v>27366</v>
      </c>
      <c r="DS23" s="3044">
        <v>1296</v>
      </c>
      <c r="DT23" s="3049">
        <v>2346</v>
      </c>
      <c r="DU23" s="3044">
        <v>0</v>
      </c>
      <c r="DV23" s="2184">
        <f>SUM(DR23:DU23)</f>
        <v>31008</v>
      </c>
      <c r="DW23" s="2947"/>
    </row>
    <row r="24" spans="2:127" ht="81" customHeight="1">
      <c r="B24" s="2174" t="s">
        <v>407</v>
      </c>
      <c r="C24" s="2146">
        <v>14185</v>
      </c>
      <c r="D24" s="2146">
        <v>668</v>
      </c>
      <c r="E24" s="2146">
        <v>576</v>
      </c>
      <c r="F24" s="2146">
        <v>8202</v>
      </c>
      <c r="G24" s="2146">
        <v>23631</v>
      </c>
      <c r="H24" s="2146">
        <v>17392</v>
      </c>
      <c r="I24" s="2146">
        <v>858</v>
      </c>
      <c r="J24" s="2146">
        <v>399</v>
      </c>
      <c r="K24" s="2146">
        <v>8184</v>
      </c>
      <c r="L24" s="2146">
        <v>26833</v>
      </c>
      <c r="M24" s="2146">
        <v>17748</v>
      </c>
      <c r="N24" s="2146">
        <v>959</v>
      </c>
      <c r="O24" s="2146">
        <v>645</v>
      </c>
      <c r="P24" s="2146">
        <v>20777</v>
      </c>
      <c r="Q24" s="2146">
        <v>40129</v>
      </c>
      <c r="R24" s="2146">
        <v>12677</v>
      </c>
      <c r="S24" s="2146">
        <v>325</v>
      </c>
      <c r="T24" s="2146">
        <v>659</v>
      </c>
      <c r="U24" s="2146">
        <v>11247</v>
      </c>
      <c r="V24" s="2146">
        <v>24908</v>
      </c>
      <c r="W24" s="2146">
        <v>14500</v>
      </c>
      <c r="X24" s="2146">
        <v>659</v>
      </c>
      <c r="Y24" s="2146">
        <v>291</v>
      </c>
      <c r="Z24" s="2146">
        <v>14891</v>
      </c>
      <c r="AA24" s="2146">
        <v>30341</v>
      </c>
      <c r="AB24" s="2146">
        <v>14539</v>
      </c>
      <c r="AC24" s="2146">
        <v>1820</v>
      </c>
      <c r="AD24" s="2146">
        <v>16359</v>
      </c>
      <c r="AE24" s="2146">
        <v>5203</v>
      </c>
      <c r="AF24" s="2146">
        <v>21562</v>
      </c>
      <c r="AG24" s="2146">
        <v>16347</v>
      </c>
      <c r="AH24" s="2146">
        <v>408</v>
      </c>
      <c r="AI24" s="2146">
        <v>1007</v>
      </c>
      <c r="AJ24" s="2146">
        <v>10735</v>
      </c>
      <c r="AK24" s="2146">
        <v>28497</v>
      </c>
      <c r="AL24" s="2175">
        <v>17064</v>
      </c>
      <c r="AM24" s="2176">
        <v>556</v>
      </c>
      <c r="AN24" s="2177">
        <v>817</v>
      </c>
      <c r="AO24" s="2176">
        <v>18940</v>
      </c>
      <c r="AP24" s="2178">
        <v>37377</v>
      </c>
      <c r="AQ24" s="2175">
        <v>15149</v>
      </c>
      <c r="AR24" s="2176">
        <v>371</v>
      </c>
      <c r="AS24" s="2177">
        <v>522</v>
      </c>
      <c r="AT24" s="2176">
        <v>9323</v>
      </c>
      <c r="AU24" s="2178">
        <v>25365</v>
      </c>
      <c r="AV24" s="2175">
        <v>14675</v>
      </c>
      <c r="AW24" s="2176">
        <v>217</v>
      </c>
      <c r="AX24" s="2177">
        <v>1213</v>
      </c>
      <c r="AY24" s="2176">
        <v>26774</v>
      </c>
      <c r="AZ24" s="2177">
        <v>42879</v>
      </c>
      <c r="BA24" s="2175">
        <v>17393</v>
      </c>
      <c r="BB24" s="2176">
        <v>538</v>
      </c>
      <c r="BC24" s="2176">
        <v>1246</v>
      </c>
      <c r="BD24" s="2179">
        <v>18875</v>
      </c>
      <c r="BE24" s="2179">
        <v>38052</v>
      </c>
      <c r="BF24" s="2182">
        <v>16844</v>
      </c>
      <c r="BG24" s="2216">
        <v>652</v>
      </c>
      <c r="BH24" s="2176">
        <v>1036</v>
      </c>
      <c r="BI24" s="2176">
        <v>19658</v>
      </c>
      <c r="BJ24" s="2179">
        <f>SUM(BF24:BH24,)+BI24</f>
        <v>38190</v>
      </c>
      <c r="BK24" s="2182">
        <v>16687</v>
      </c>
      <c r="BL24" s="2216">
        <v>515</v>
      </c>
      <c r="BM24" s="2176">
        <v>1635</v>
      </c>
      <c r="BN24" s="2176">
        <v>12210</v>
      </c>
      <c r="BO24" s="2179">
        <f>SUM(BK24:BN24)</f>
        <v>31047</v>
      </c>
      <c r="BP24" s="2182">
        <v>18391</v>
      </c>
      <c r="BQ24" s="2216">
        <v>306</v>
      </c>
      <c r="BR24" s="2176">
        <v>1519</v>
      </c>
      <c r="BS24" s="2176">
        <v>19733</v>
      </c>
      <c r="BT24" s="2179">
        <f>SUM(BP24:BS24)</f>
        <v>39949</v>
      </c>
      <c r="BU24" s="2180">
        <v>18247</v>
      </c>
      <c r="BV24" s="2176">
        <v>306</v>
      </c>
      <c r="BW24" s="2176">
        <v>1572</v>
      </c>
      <c r="BX24" s="2176">
        <v>75</v>
      </c>
      <c r="BY24" s="2176">
        <v>1647</v>
      </c>
      <c r="BZ24" s="2176">
        <v>24036</v>
      </c>
      <c r="CA24" s="2179">
        <f>+BU24+BV24+BY24+BZ24</f>
        <v>44236</v>
      </c>
      <c r="CB24" s="2180">
        <v>17468</v>
      </c>
      <c r="CC24" s="2176">
        <v>550</v>
      </c>
      <c r="CD24" s="2176"/>
      <c r="CE24" s="2176"/>
      <c r="CF24" s="2181">
        <v>2007</v>
      </c>
      <c r="CG24" s="2176">
        <v>24831</v>
      </c>
      <c r="CH24" s="2179">
        <f>+CB24+CC24+CF24+CG24</f>
        <v>44856</v>
      </c>
      <c r="CI24" s="2163">
        <v>18169</v>
      </c>
      <c r="CJ24" s="2164">
        <v>732</v>
      </c>
      <c r="CK24" s="2164">
        <v>2312</v>
      </c>
      <c r="CL24" s="2164">
        <v>15005</v>
      </c>
      <c r="CM24" s="2165">
        <f>SUM(CI24:CL24)</f>
        <v>36218</v>
      </c>
      <c r="CN24" s="2163">
        <v>20049</v>
      </c>
      <c r="CO24" s="2185">
        <v>379</v>
      </c>
      <c r="CP24" s="2164">
        <v>849</v>
      </c>
      <c r="CQ24" s="2164">
        <v>9120</v>
      </c>
      <c r="CR24" s="2165">
        <f>SUM(CN24:CQ24)</f>
        <v>30397</v>
      </c>
      <c r="CS24" s="2163">
        <v>18745</v>
      </c>
      <c r="CT24" s="2169">
        <v>291</v>
      </c>
      <c r="CU24" s="2169">
        <v>1691</v>
      </c>
      <c r="CV24" s="2169">
        <v>16373</v>
      </c>
      <c r="CW24" s="2165">
        <v>37100</v>
      </c>
      <c r="CX24" s="2163">
        <v>21608</v>
      </c>
      <c r="CY24" s="2170">
        <v>350</v>
      </c>
      <c r="CZ24" s="2170">
        <v>1882</v>
      </c>
      <c r="DA24" s="2170">
        <v>21120</v>
      </c>
      <c r="DB24" s="2184">
        <f t="shared" si="3"/>
        <v>44960</v>
      </c>
      <c r="DC24" s="2163">
        <v>4122</v>
      </c>
      <c r="DD24" s="2170">
        <v>203</v>
      </c>
      <c r="DE24" s="2185">
        <v>59</v>
      </c>
      <c r="DF24" s="2170">
        <v>0</v>
      </c>
      <c r="DG24" s="2184">
        <v>4384</v>
      </c>
      <c r="DH24" s="2163">
        <v>14896</v>
      </c>
      <c r="DI24" s="2170">
        <v>82</v>
      </c>
      <c r="DJ24" s="2185">
        <v>102</v>
      </c>
      <c r="DK24" s="2170">
        <v>1433</v>
      </c>
      <c r="DL24" s="2184">
        <f t="shared" si="0"/>
        <v>16513</v>
      </c>
      <c r="DM24" s="2163">
        <v>19527</v>
      </c>
      <c r="DN24" s="2170">
        <v>288</v>
      </c>
      <c r="DO24" s="2185">
        <v>935</v>
      </c>
      <c r="DP24" s="2170">
        <v>4902</v>
      </c>
      <c r="DQ24" s="2184">
        <f>SUM(DM24:DP24)</f>
        <v>25652</v>
      </c>
      <c r="DR24" s="2180">
        <v>21142</v>
      </c>
      <c r="DS24" s="3044">
        <v>718</v>
      </c>
      <c r="DT24" s="3049">
        <v>1475</v>
      </c>
      <c r="DU24" s="3044">
        <v>0</v>
      </c>
      <c r="DV24" s="2184">
        <f>SUM(DR24:DU24)</f>
        <v>23335</v>
      </c>
      <c r="DW24" s="2947"/>
    </row>
    <row r="25" spans="2:127" ht="25.5" customHeight="1">
      <c r="B25" s="2118"/>
      <c r="C25" s="2146"/>
      <c r="D25" s="2146"/>
      <c r="E25" s="2146"/>
      <c r="F25" s="2146"/>
      <c r="G25" s="2146"/>
      <c r="H25" s="2146"/>
      <c r="I25" s="2146"/>
      <c r="J25" s="2146"/>
      <c r="K25" s="2146"/>
      <c r="L25" s="2146"/>
      <c r="M25" s="2146"/>
      <c r="N25" s="2146"/>
      <c r="O25" s="2146"/>
      <c r="P25" s="2146"/>
      <c r="Q25" s="2146"/>
      <c r="R25" s="2146"/>
      <c r="S25" s="2146"/>
      <c r="T25" s="2146"/>
      <c r="U25" s="2146"/>
      <c r="V25" s="2146"/>
      <c r="W25" s="2146"/>
      <c r="X25" s="2146"/>
      <c r="Y25" s="2146"/>
      <c r="Z25" s="2146"/>
      <c r="AA25" s="2146"/>
      <c r="AB25" s="2146"/>
      <c r="AC25" s="2146"/>
      <c r="AD25" s="2146"/>
      <c r="AE25" s="2146"/>
      <c r="AF25" s="2146"/>
      <c r="AG25" s="2146"/>
      <c r="AH25" s="2146"/>
      <c r="AI25" s="2146"/>
      <c r="AJ25" s="2146"/>
      <c r="AK25" s="2146"/>
      <c r="AL25" s="2175"/>
      <c r="AM25" s="2176"/>
      <c r="AN25" s="2177"/>
      <c r="AO25" s="2176"/>
      <c r="AP25" s="2178"/>
      <c r="AQ25" s="2175"/>
      <c r="AR25" s="2176"/>
      <c r="AS25" s="2177"/>
      <c r="AT25" s="2176"/>
      <c r="AU25" s="2217"/>
      <c r="AV25" s="2175"/>
      <c r="AW25" s="2176"/>
      <c r="AX25" s="2177"/>
      <c r="AY25" s="2176"/>
      <c r="AZ25" s="2218"/>
      <c r="BA25" s="2175"/>
      <c r="BB25" s="2176"/>
      <c r="BC25" s="2176"/>
      <c r="BD25" s="2179"/>
      <c r="BE25" s="2219"/>
      <c r="BF25" s="2180"/>
      <c r="BG25" s="2176"/>
      <c r="BH25" s="2176"/>
      <c r="BI25" s="2220"/>
      <c r="BJ25" s="2179"/>
      <c r="BK25" s="2180"/>
      <c r="BL25" s="2176"/>
      <c r="BM25" s="2176"/>
      <c r="BN25" s="2220"/>
      <c r="BO25" s="2179"/>
      <c r="BP25" s="2180"/>
      <c r="BQ25" s="2176"/>
      <c r="BR25" s="2176"/>
      <c r="BS25" s="2220"/>
      <c r="BT25" s="2195"/>
      <c r="BU25" s="2180"/>
      <c r="BV25" s="2176"/>
      <c r="BW25" s="2176"/>
      <c r="BX25" s="2176"/>
      <c r="BY25" s="2176"/>
      <c r="BZ25" s="2176"/>
      <c r="CA25" s="2179"/>
      <c r="CB25" s="2180"/>
      <c r="CC25" s="2176"/>
      <c r="CD25" s="2176"/>
      <c r="CE25" s="2176"/>
      <c r="CF25" s="2181"/>
      <c r="CG25" s="2176"/>
      <c r="CH25" s="2179"/>
      <c r="CI25" s="2163"/>
      <c r="CJ25" s="2164"/>
      <c r="CK25" s="2164"/>
      <c r="CL25" s="2164"/>
      <c r="CM25" s="2165"/>
      <c r="CN25" s="2163"/>
      <c r="CO25" s="2185"/>
      <c r="CP25" s="2164"/>
      <c r="CQ25" s="2164"/>
      <c r="CR25" s="2165"/>
      <c r="CS25" s="2163"/>
      <c r="CT25" s="2185"/>
      <c r="CU25" s="2169"/>
      <c r="CV25" s="2169"/>
      <c r="CW25" s="2165"/>
      <c r="CX25" s="2163"/>
      <c r="CY25" s="2170"/>
      <c r="CZ25" s="2170"/>
      <c r="DA25" s="2170"/>
      <c r="DB25" s="2184"/>
      <c r="DC25" s="2163"/>
      <c r="DD25" s="2170"/>
      <c r="DE25" s="2172"/>
      <c r="DF25" s="2170"/>
      <c r="DG25" s="2184"/>
      <c r="DH25" s="2163"/>
      <c r="DI25" s="2170"/>
      <c r="DJ25" s="2172"/>
      <c r="DK25" s="2170"/>
      <c r="DL25" s="2184"/>
      <c r="DM25" s="2163"/>
      <c r="DN25" s="2170"/>
      <c r="DO25" s="2172"/>
      <c r="DP25" s="2170"/>
      <c r="DQ25" s="2184"/>
      <c r="DR25" s="3046"/>
      <c r="DS25" s="3036"/>
      <c r="DT25" s="3051"/>
      <c r="DU25" s="3038"/>
      <c r="DV25" s="206"/>
      <c r="DW25" s="2947"/>
    </row>
    <row r="26" spans="2:127" s="208" customFormat="1" ht="81" customHeight="1">
      <c r="B26" s="2118" t="s">
        <v>416</v>
      </c>
      <c r="C26" s="2190">
        <v>56073</v>
      </c>
      <c r="D26" s="2190">
        <v>2399</v>
      </c>
      <c r="E26" s="2190">
        <v>4757</v>
      </c>
      <c r="F26" s="2190">
        <v>29417</v>
      </c>
      <c r="G26" s="2190">
        <v>92646</v>
      </c>
      <c r="H26" s="2190">
        <v>68252</v>
      </c>
      <c r="I26" s="2190">
        <v>3608</v>
      </c>
      <c r="J26" s="2190">
        <v>3037</v>
      </c>
      <c r="K26" s="2190">
        <v>21730</v>
      </c>
      <c r="L26" s="2190">
        <v>96627</v>
      </c>
      <c r="M26" s="2190">
        <v>75753</v>
      </c>
      <c r="N26" s="2190">
        <v>4109</v>
      </c>
      <c r="O26" s="2190">
        <v>3354</v>
      </c>
      <c r="P26" s="2190">
        <v>50450</v>
      </c>
      <c r="Q26" s="2190">
        <v>133666</v>
      </c>
      <c r="R26" s="2190">
        <v>50971</v>
      </c>
      <c r="S26" s="2190">
        <v>1645</v>
      </c>
      <c r="T26" s="2190">
        <v>3645</v>
      </c>
      <c r="U26" s="2190">
        <v>47617</v>
      </c>
      <c r="V26" s="2190">
        <v>103878</v>
      </c>
      <c r="W26" s="2190">
        <v>63184</v>
      </c>
      <c r="X26" s="2190">
        <v>2302</v>
      </c>
      <c r="Y26" s="2190">
        <v>3041</v>
      </c>
      <c r="Z26" s="2190">
        <v>53465</v>
      </c>
      <c r="AA26" s="2190">
        <v>121992</v>
      </c>
      <c r="AB26" s="2190">
        <v>68316</v>
      </c>
      <c r="AC26" s="2190">
        <v>3346</v>
      </c>
      <c r="AD26" s="2190">
        <v>71662</v>
      </c>
      <c r="AE26" s="2190">
        <v>29950</v>
      </c>
      <c r="AF26" s="2190">
        <v>101612</v>
      </c>
      <c r="AG26" s="2190">
        <v>73338</v>
      </c>
      <c r="AH26" s="2190">
        <v>1397</v>
      </c>
      <c r="AI26" s="2190">
        <v>4322</v>
      </c>
      <c r="AJ26" s="2190">
        <v>28145</v>
      </c>
      <c r="AK26" s="2190">
        <v>107202</v>
      </c>
      <c r="AL26" s="2191">
        <v>70138</v>
      </c>
      <c r="AM26" s="2192">
        <v>1433</v>
      </c>
      <c r="AN26" s="2193">
        <v>4293</v>
      </c>
      <c r="AO26" s="2192">
        <v>65519</v>
      </c>
      <c r="AP26" s="2194">
        <v>141383</v>
      </c>
      <c r="AQ26" s="2191">
        <v>69559</v>
      </c>
      <c r="AR26" s="2192">
        <v>2052</v>
      </c>
      <c r="AS26" s="2193">
        <v>3973</v>
      </c>
      <c r="AT26" s="2192">
        <v>51936</v>
      </c>
      <c r="AU26" s="2194">
        <v>127520</v>
      </c>
      <c r="AV26" s="2191">
        <v>64773</v>
      </c>
      <c r="AW26" s="2192">
        <v>1223</v>
      </c>
      <c r="AX26" s="2193">
        <v>5662</v>
      </c>
      <c r="AY26" s="2192">
        <v>74671</v>
      </c>
      <c r="AZ26" s="2193">
        <v>146329</v>
      </c>
      <c r="BA26" s="2191">
        <v>81168</v>
      </c>
      <c r="BB26" s="2192">
        <v>2682</v>
      </c>
      <c r="BC26" s="2192">
        <v>6912</v>
      </c>
      <c r="BD26" s="2195">
        <v>62514</v>
      </c>
      <c r="BE26" s="2195">
        <v>153276</v>
      </c>
      <c r="BF26" s="2196">
        <f>SUM(BF22:BF24)</f>
        <v>78108</v>
      </c>
      <c r="BG26" s="2192">
        <f>SUM(BG22:BG25)</f>
        <v>2492</v>
      </c>
      <c r="BH26" s="2192">
        <f>SUM(BH22:BH25)</f>
        <v>8081</v>
      </c>
      <c r="BI26" s="2192">
        <f>SUM(BI22:BI24)</f>
        <v>59087</v>
      </c>
      <c r="BJ26" s="2195">
        <f>SUM(BJ22:BJ24)</f>
        <v>147768</v>
      </c>
      <c r="BK26" s="2196">
        <f>SUM(BK22:BK24)</f>
        <v>73969</v>
      </c>
      <c r="BL26" s="2192">
        <f>SUM(BL22:BL25)</f>
        <v>2588</v>
      </c>
      <c r="BM26" s="2192">
        <f>SUM(BM22:BM25)</f>
        <v>8376</v>
      </c>
      <c r="BN26" s="2192">
        <f>SUM(BN22:BN24)</f>
        <v>42960</v>
      </c>
      <c r="BO26" s="2195">
        <f>SUM(BO22:BO24)</f>
        <v>127893</v>
      </c>
      <c r="BP26" s="2196">
        <f>SUM(BP22:BP24)</f>
        <v>74355</v>
      </c>
      <c r="BQ26" s="2192">
        <f>SUM(BQ22:BQ25)</f>
        <v>2779</v>
      </c>
      <c r="BR26" s="2192">
        <f>SUM(BR22:BR25)</f>
        <v>7567</v>
      </c>
      <c r="BS26" s="2192">
        <f>SUM(BS22:BS24)</f>
        <v>67104</v>
      </c>
      <c r="BT26" s="2195">
        <f>SUM(BT22:BT24)</f>
        <v>151805</v>
      </c>
      <c r="BU26" s="2196">
        <f t="shared" ref="BU26:CA26" si="13">SUM(BU22:BU24)</f>
        <v>78993</v>
      </c>
      <c r="BV26" s="2192">
        <f t="shared" si="13"/>
        <v>2177</v>
      </c>
      <c r="BW26" s="2192">
        <f t="shared" si="13"/>
        <v>8862</v>
      </c>
      <c r="BX26" s="2192">
        <f t="shared" si="13"/>
        <v>646</v>
      </c>
      <c r="BY26" s="2192">
        <f t="shared" si="13"/>
        <v>9508</v>
      </c>
      <c r="BZ26" s="2192">
        <f t="shared" si="13"/>
        <v>68588</v>
      </c>
      <c r="CA26" s="2195">
        <f t="shared" si="13"/>
        <v>159266</v>
      </c>
      <c r="CB26" s="2196">
        <f t="shared" ref="CB26:CH26" si="14">SUM(CB22:CB24)</f>
        <v>77771</v>
      </c>
      <c r="CC26" s="2192">
        <f t="shared" si="14"/>
        <v>2836</v>
      </c>
      <c r="CD26" s="2192">
        <f t="shared" si="14"/>
        <v>0</v>
      </c>
      <c r="CE26" s="2192">
        <f t="shared" si="14"/>
        <v>0</v>
      </c>
      <c r="CF26" s="2197">
        <f t="shared" si="14"/>
        <v>12622</v>
      </c>
      <c r="CG26" s="2192">
        <f t="shared" si="14"/>
        <v>71475</v>
      </c>
      <c r="CH26" s="2195">
        <f t="shared" si="14"/>
        <v>164704</v>
      </c>
      <c r="CI26" s="2198">
        <f t="shared" ref="CI26:CW26" si="15">SUM(CI22:CI24)</f>
        <v>81541</v>
      </c>
      <c r="CJ26" s="2199">
        <f t="shared" si="15"/>
        <v>3141</v>
      </c>
      <c r="CK26" s="2200">
        <f t="shared" si="15"/>
        <v>14398</v>
      </c>
      <c r="CL26" s="2199">
        <f t="shared" si="15"/>
        <v>52175</v>
      </c>
      <c r="CM26" s="2201">
        <f t="shared" si="15"/>
        <v>151255</v>
      </c>
      <c r="CN26" s="2198">
        <f t="shared" si="15"/>
        <v>91740</v>
      </c>
      <c r="CO26" s="2199">
        <f t="shared" si="15"/>
        <v>1989</v>
      </c>
      <c r="CP26" s="2200">
        <f t="shared" si="15"/>
        <v>6474</v>
      </c>
      <c r="CQ26" s="2199">
        <f t="shared" si="15"/>
        <v>43858</v>
      </c>
      <c r="CR26" s="2201">
        <f t="shared" si="15"/>
        <v>144061</v>
      </c>
      <c r="CS26" s="2198">
        <f t="shared" si="15"/>
        <v>90757</v>
      </c>
      <c r="CT26" s="2199">
        <f t="shared" si="15"/>
        <v>2209</v>
      </c>
      <c r="CU26" s="2202">
        <f t="shared" si="15"/>
        <v>7939</v>
      </c>
      <c r="CV26" s="2199">
        <f t="shared" si="15"/>
        <v>55102</v>
      </c>
      <c r="CW26" s="2201">
        <f t="shared" si="15"/>
        <v>156007</v>
      </c>
      <c r="CX26" s="2198">
        <f>SUM(CX22:CX24)</f>
        <v>100723</v>
      </c>
      <c r="CY26" s="2203">
        <f>SUM(CY22:CY24)</f>
        <v>2196</v>
      </c>
      <c r="CZ26" s="2203">
        <f>SUM(CZ22:CZ24)</f>
        <v>11487</v>
      </c>
      <c r="DA26" s="2203">
        <f>SUM(DA22:DA24)</f>
        <v>64222</v>
      </c>
      <c r="DB26" s="2201">
        <f t="shared" si="3"/>
        <v>178628</v>
      </c>
      <c r="DC26" s="2198">
        <f>SUM(DC22:DC24)</f>
        <v>9342</v>
      </c>
      <c r="DD26" s="2203">
        <f>SUM(DD22:DD24)</f>
        <v>814</v>
      </c>
      <c r="DE26" s="2204">
        <f>SUM(DE22:DE24)</f>
        <v>322</v>
      </c>
      <c r="DF26" s="2203">
        <f>SUM(DF22:DF24)</f>
        <v>0</v>
      </c>
      <c r="DG26" s="2205">
        <f>SUM(DC26:DF26)</f>
        <v>10478</v>
      </c>
      <c r="DH26" s="2198">
        <f>SUM(DH22:DH24)</f>
        <v>60905</v>
      </c>
      <c r="DI26" s="2203">
        <f>SUM(DI22:DI24)</f>
        <v>792</v>
      </c>
      <c r="DJ26" s="2204">
        <f>SUM(DJ22:DJ25)</f>
        <v>623</v>
      </c>
      <c r="DK26" s="2203">
        <f>SUM(DK22:DK24)</f>
        <v>4986</v>
      </c>
      <c r="DL26" s="2205">
        <f>SUM(DH26:DK26)</f>
        <v>67306</v>
      </c>
      <c r="DM26" s="2203">
        <f>SUM(DM22:DM24)</f>
        <v>91290</v>
      </c>
      <c r="DN26" s="2203">
        <f>SUM(DN22:DN24)</f>
        <v>2330</v>
      </c>
      <c r="DO26" s="2203">
        <f>SUM(DO22:DO24)</f>
        <v>4251</v>
      </c>
      <c r="DP26" s="2203">
        <f>SUM(DP22:DP24)</f>
        <v>4902</v>
      </c>
      <c r="DQ26" s="2334">
        <f>SUM(DQ22:DQ24)</f>
        <v>102773</v>
      </c>
      <c r="DR26" s="2196">
        <f>DR22+DR23+DR24</f>
        <v>80004</v>
      </c>
      <c r="DS26" s="3042">
        <f>DS22+DS23+DS24</f>
        <v>3298</v>
      </c>
      <c r="DT26" s="3111">
        <f>DT22+DT23+DT24</f>
        <v>6503</v>
      </c>
      <c r="DU26" s="3042">
        <f>DU22+DU23+DU24</f>
        <v>0</v>
      </c>
      <c r="DV26" s="2334">
        <f>SUM(DV22:DV24)</f>
        <v>89805</v>
      </c>
      <c r="DW26" s="2947"/>
    </row>
    <row r="27" spans="2:127" ht="25.5" customHeight="1">
      <c r="B27" s="2118"/>
      <c r="C27" s="2146"/>
      <c r="D27" s="2146"/>
      <c r="E27" s="2146"/>
      <c r="F27" s="2146"/>
      <c r="G27" s="2146"/>
      <c r="H27" s="2146"/>
      <c r="I27" s="2146"/>
      <c r="J27" s="2146"/>
      <c r="K27" s="2146"/>
      <c r="L27" s="2146"/>
      <c r="M27" s="2146"/>
      <c r="N27" s="2146"/>
      <c r="O27" s="2146"/>
      <c r="P27" s="2146"/>
      <c r="Q27" s="2146"/>
      <c r="R27" s="2146"/>
      <c r="S27" s="2146"/>
      <c r="T27" s="2146"/>
      <c r="U27" s="2146"/>
      <c r="V27" s="2146"/>
      <c r="W27" s="2146"/>
      <c r="X27" s="2146"/>
      <c r="Y27" s="2146"/>
      <c r="Z27" s="2146"/>
      <c r="AA27" s="2146"/>
      <c r="AB27" s="2146"/>
      <c r="AC27" s="2146"/>
      <c r="AD27" s="2146"/>
      <c r="AE27" s="2146"/>
      <c r="AF27" s="2146"/>
      <c r="AG27" s="2146"/>
      <c r="AH27" s="2146"/>
      <c r="AI27" s="2146"/>
      <c r="AJ27" s="2146"/>
      <c r="AK27" s="2146"/>
      <c r="AL27" s="2175"/>
      <c r="AM27" s="2176"/>
      <c r="AN27" s="2177"/>
      <c r="AO27" s="2176"/>
      <c r="AP27" s="2178"/>
      <c r="AQ27" s="2175"/>
      <c r="AR27" s="2176"/>
      <c r="AS27" s="2177"/>
      <c r="AT27" s="2176"/>
      <c r="AU27" s="2178"/>
      <c r="AV27" s="2175"/>
      <c r="AW27" s="2176"/>
      <c r="AX27" s="2177"/>
      <c r="AY27" s="2176"/>
      <c r="AZ27" s="2177"/>
      <c r="BA27" s="2175"/>
      <c r="BB27" s="2176"/>
      <c r="BC27" s="2192"/>
      <c r="BD27" s="2179"/>
      <c r="BE27" s="2179"/>
      <c r="BF27" s="2180"/>
      <c r="BG27" s="2176"/>
      <c r="BH27" s="2192"/>
      <c r="BI27" s="2176"/>
      <c r="BJ27" s="2179"/>
      <c r="BK27" s="2180"/>
      <c r="BL27" s="2176"/>
      <c r="BM27" s="2192"/>
      <c r="BN27" s="2176"/>
      <c r="BO27" s="2179"/>
      <c r="BP27" s="2180"/>
      <c r="BQ27" s="2176"/>
      <c r="BR27" s="2192"/>
      <c r="BS27" s="2176"/>
      <c r="BT27" s="2195"/>
      <c r="BU27" s="2180"/>
      <c r="BV27" s="2176"/>
      <c r="BW27" s="2176"/>
      <c r="BX27" s="2176"/>
      <c r="BY27" s="2176"/>
      <c r="BZ27" s="2176"/>
      <c r="CA27" s="2179"/>
      <c r="CB27" s="2180"/>
      <c r="CC27" s="2176"/>
      <c r="CD27" s="2176"/>
      <c r="CE27" s="2176"/>
      <c r="CF27" s="2181"/>
      <c r="CG27" s="2176"/>
      <c r="CH27" s="2179"/>
      <c r="CI27" s="2163"/>
      <c r="CJ27" s="2164"/>
      <c r="CK27" s="2164"/>
      <c r="CL27" s="2164"/>
      <c r="CM27" s="2165"/>
      <c r="CN27" s="2221"/>
      <c r="CO27" s="2222"/>
      <c r="CP27" s="2164"/>
      <c r="CQ27" s="2164"/>
      <c r="CR27" s="2165"/>
      <c r="CS27" s="2221"/>
      <c r="CT27" s="2222"/>
      <c r="CU27" s="2169"/>
      <c r="CV27" s="2169"/>
      <c r="CW27" s="2165"/>
      <c r="CX27" s="2163"/>
      <c r="CY27" s="2170"/>
      <c r="CZ27" s="2170"/>
      <c r="DA27" s="2170"/>
      <c r="DB27" s="2184"/>
      <c r="DC27" s="2163"/>
      <c r="DD27" s="2170"/>
      <c r="DE27" s="2172"/>
      <c r="DF27" s="2170"/>
      <c r="DG27" s="2184"/>
      <c r="DH27" s="2163"/>
      <c r="DI27" s="2170"/>
      <c r="DJ27" s="2172"/>
      <c r="DK27" s="2170"/>
      <c r="DL27" s="2184"/>
      <c r="DM27" s="2163"/>
      <c r="DN27" s="2170"/>
      <c r="DO27" s="2172"/>
      <c r="DP27" s="2170"/>
      <c r="DQ27" s="2184"/>
      <c r="DR27" s="3046"/>
      <c r="DS27" s="3036"/>
      <c r="DT27" s="3037"/>
      <c r="DU27" s="3038"/>
      <c r="DV27" s="206"/>
      <c r="DW27" s="2947"/>
    </row>
    <row r="28" spans="2:127" ht="81" customHeight="1">
      <c r="B28" s="2174" t="s">
        <v>408</v>
      </c>
      <c r="C28" s="2146">
        <v>18859</v>
      </c>
      <c r="D28" s="2146">
        <v>770</v>
      </c>
      <c r="E28" s="2146">
        <v>1373</v>
      </c>
      <c r="F28" s="2146">
        <v>18587</v>
      </c>
      <c r="G28" s="2146">
        <v>39589</v>
      </c>
      <c r="H28" s="2146">
        <v>19448</v>
      </c>
      <c r="I28" s="2146">
        <v>885</v>
      </c>
      <c r="J28" s="2146">
        <v>648</v>
      </c>
      <c r="K28" s="2146">
        <v>25984</v>
      </c>
      <c r="L28" s="2146">
        <v>46965</v>
      </c>
      <c r="M28" s="2146">
        <v>22065</v>
      </c>
      <c r="N28" s="2146">
        <v>262</v>
      </c>
      <c r="O28" s="2146">
        <v>1185</v>
      </c>
      <c r="P28" s="2146">
        <v>18376</v>
      </c>
      <c r="Q28" s="2146">
        <v>41888</v>
      </c>
      <c r="R28" s="2146">
        <v>13837</v>
      </c>
      <c r="S28" s="2146">
        <v>326</v>
      </c>
      <c r="T28" s="2146">
        <v>819</v>
      </c>
      <c r="U28" s="2146">
        <v>24289</v>
      </c>
      <c r="V28" s="2146">
        <v>39271</v>
      </c>
      <c r="W28" s="2146">
        <v>21173</v>
      </c>
      <c r="X28" s="2146">
        <v>714</v>
      </c>
      <c r="Y28" s="2146">
        <v>305</v>
      </c>
      <c r="Z28" s="2146">
        <v>25861</v>
      </c>
      <c r="AA28" s="2146">
        <v>48053</v>
      </c>
      <c r="AB28" s="2146">
        <v>20285</v>
      </c>
      <c r="AC28" s="2146">
        <v>1687</v>
      </c>
      <c r="AD28" s="2146">
        <v>21972</v>
      </c>
      <c r="AE28" s="2146">
        <v>17564</v>
      </c>
      <c r="AF28" s="2146">
        <v>39536</v>
      </c>
      <c r="AG28" s="2146">
        <v>20453</v>
      </c>
      <c r="AH28" s="2146">
        <v>374</v>
      </c>
      <c r="AI28" s="2146">
        <v>1173</v>
      </c>
      <c r="AJ28" s="2146">
        <v>11187</v>
      </c>
      <c r="AK28" s="2146">
        <v>33187</v>
      </c>
      <c r="AL28" s="2175">
        <v>19598</v>
      </c>
      <c r="AM28" s="2176">
        <v>692</v>
      </c>
      <c r="AN28" s="2177">
        <v>1268</v>
      </c>
      <c r="AO28" s="2176">
        <v>29332</v>
      </c>
      <c r="AP28" s="2178">
        <v>50890</v>
      </c>
      <c r="AQ28" s="2175">
        <v>18996</v>
      </c>
      <c r="AR28" s="2176">
        <v>604</v>
      </c>
      <c r="AS28" s="2177">
        <v>846</v>
      </c>
      <c r="AT28" s="2176">
        <v>16261</v>
      </c>
      <c r="AU28" s="2178">
        <v>36707</v>
      </c>
      <c r="AV28" s="2175">
        <v>19031</v>
      </c>
      <c r="AW28" s="2176">
        <v>294</v>
      </c>
      <c r="AX28" s="2177">
        <v>1864</v>
      </c>
      <c r="AY28" s="2176">
        <v>32892</v>
      </c>
      <c r="AZ28" s="2177">
        <v>54081</v>
      </c>
      <c r="BA28" s="2175">
        <v>20624</v>
      </c>
      <c r="BB28" s="2176">
        <v>553</v>
      </c>
      <c r="BC28" s="2176">
        <v>1748</v>
      </c>
      <c r="BD28" s="2179">
        <v>32795</v>
      </c>
      <c r="BE28" s="2179">
        <v>55720</v>
      </c>
      <c r="BF28" s="2182">
        <v>22431</v>
      </c>
      <c r="BG28" s="2176">
        <v>656</v>
      </c>
      <c r="BH28" s="2176">
        <v>2048</v>
      </c>
      <c r="BI28" s="2176">
        <v>22832</v>
      </c>
      <c r="BJ28" s="2179">
        <f>SUM(BF28:BH28,)+BI28</f>
        <v>47967</v>
      </c>
      <c r="BK28" s="2182">
        <v>22248</v>
      </c>
      <c r="BL28" s="2176">
        <v>571</v>
      </c>
      <c r="BM28" s="2176">
        <v>1659</v>
      </c>
      <c r="BN28" s="2176">
        <v>21838</v>
      </c>
      <c r="BO28" s="2179">
        <f>SUM(BK28:BN28)</f>
        <v>46316</v>
      </c>
      <c r="BP28" s="2182">
        <v>22385</v>
      </c>
      <c r="BQ28" s="2176">
        <v>470</v>
      </c>
      <c r="BR28" s="2176">
        <v>2264</v>
      </c>
      <c r="BS28" s="2176">
        <v>27164</v>
      </c>
      <c r="BT28" s="2179">
        <f>SUM(BP28:BS28)</f>
        <v>52283</v>
      </c>
      <c r="BU28" s="2180">
        <v>22805</v>
      </c>
      <c r="BV28" s="2176">
        <v>311</v>
      </c>
      <c r="BW28" s="2176">
        <v>2793</v>
      </c>
      <c r="BX28" s="2176">
        <v>195</v>
      </c>
      <c r="BY28" s="2176">
        <v>2988</v>
      </c>
      <c r="BZ28" s="2176">
        <v>31056</v>
      </c>
      <c r="CA28" s="2179">
        <f>+BU28+BV28+BY28+BZ28</f>
        <v>57160</v>
      </c>
      <c r="CB28" s="2180">
        <v>23745</v>
      </c>
      <c r="CC28" s="2176">
        <v>576</v>
      </c>
      <c r="CD28" s="2176"/>
      <c r="CE28" s="2176"/>
      <c r="CF28" s="2181">
        <v>2880</v>
      </c>
      <c r="CG28" s="2176">
        <v>34908</v>
      </c>
      <c r="CH28" s="2179">
        <f>+CB28+CC28+CF28+CG28</f>
        <v>62109</v>
      </c>
      <c r="CI28" s="2163">
        <v>24251</v>
      </c>
      <c r="CJ28" s="2164">
        <v>749</v>
      </c>
      <c r="CK28" s="2164">
        <v>3322</v>
      </c>
      <c r="CL28" s="2164">
        <v>13274</v>
      </c>
      <c r="CM28" s="2165">
        <f>SUM(CI28:CL28)</f>
        <v>41596</v>
      </c>
      <c r="CN28" s="2163">
        <v>27967</v>
      </c>
      <c r="CO28" s="2185">
        <v>673</v>
      </c>
      <c r="CP28" s="2164">
        <v>1706</v>
      </c>
      <c r="CQ28" s="2164">
        <v>18365</v>
      </c>
      <c r="CR28" s="2165">
        <f>SUM(CN28:CQ28)</f>
        <v>48711</v>
      </c>
      <c r="CS28" s="2163">
        <v>25991</v>
      </c>
      <c r="CT28" s="2169">
        <v>559</v>
      </c>
      <c r="CU28" s="2169">
        <v>2359</v>
      </c>
      <c r="CV28" s="2169">
        <v>26892</v>
      </c>
      <c r="CW28" s="2165">
        <v>55801</v>
      </c>
      <c r="CX28" s="2163">
        <v>26923</v>
      </c>
      <c r="CY28" s="2170">
        <v>689</v>
      </c>
      <c r="CZ28" s="2170">
        <v>2400</v>
      </c>
      <c r="DA28" s="2170">
        <v>37857</v>
      </c>
      <c r="DB28" s="2184">
        <f t="shared" si="3"/>
        <v>67869</v>
      </c>
      <c r="DC28" s="2163">
        <v>7890</v>
      </c>
      <c r="DD28" s="2170">
        <v>363</v>
      </c>
      <c r="DE28" s="2172">
        <v>62</v>
      </c>
      <c r="DF28" s="2170">
        <v>0</v>
      </c>
      <c r="DG28" s="2184">
        <v>8233</v>
      </c>
      <c r="DH28" s="2163">
        <v>20545</v>
      </c>
      <c r="DI28" s="2170">
        <v>435</v>
      </c>
      <c r="DJ28" s="2172">
        <v>267</v>
      </c>
      <c r="DK28" s="2170">
        <v>3414</v>
      </c>
      <c r="DL28" s="2184">
        <f t="shared" si="0"/>
        <v>24661</v>
      </c>
      <c r="DM28" s="2163">
        <v>25382</v>
      </c>
      <c r="DN28" s="2170">
        <v>575</v>
      </c>
      <c r="DO28" s="2172">
        <v>2552</v>
      </c>
      <c r="DP28" s="2170">
        <v>8946</v>
      </c>
      <c r="DQ28" s="2184">
        <f>SUM(DM28:DP28)</f>
        <v>37455</v>
      </c>
      <c r="DR28" s="2180">
        <v>26475</v>
      </c>
      <c r="DS28" s="3044">
        <v>849</v>
      </c>
      <c r="DT28" s="3049">
        <v>1693</v>
      </c>
      <c r="DU28" s="3044">
        <v>3893</v>
      </c>
      <c r="DV28" s="2184">
        <f>SUM(DR28:DU28)</f>
        <v>32910</v>
      </c>
      <c r="DW28" s="2947"/>
    </row>
    <row r="29" spans="2:127" ht="81" customHeight="1">
      <c r="B29" s="2174" t="s">
        <v>409</v>
      </c>
      <c r="C29" s="2146">
        <v>19612</v>
      </c>
      <c r="D29" s="2146">
        <v>661</v>
      </c>
      <c r="E29" s="2146">
        <v>1734</v>
      </c>
      <c r="F29" s="2146">
        <v>29860</v>
      </c>
      <c r="G29" s="2146">
        <v>51867</v>
      </c>
      <c r="H29" s="2146">
        <v>20665</v>
      </c>
      <c r="I29" s="2146">
        <v>942</v>
      </c>
      <c r="J29" s="2146">
        <v>527</v>
      </c>
      <c r="K29" s="2146">
        <v>54666</v>
      </c>
      <c r="L29" s="2146">
        <v>76800</v>
      </c>
      <c r="M29" s="2146">
        <v>23214</v>
      </c>
      <c r="N29" s="2146">
        <v>327</v>
      </c>
      <c r="O29" s="2146">
        <v>1321</v>
      </c>
      <c r="P29" s="2146">
        <v>54618</v>
      </c>
      <c r="Q29" s="2146">
        <v>79480</v>
      </c>
      <c r="R29" s="2146">
        <v>16936</v>
      </c>
      <c r="S29" s="2146">
        <v>386</v>
      </c>
      <c r="T29" s="2146">
        <v>1737</v>
      </c>
      <c r="U29" s="2146">
        <v>47091</v>
      </c>
      <c r="V29" s="2146">
        <v>66150</v>
      </c>
      <c r="W29" s="2146">
        <v>20364</v>
      </c>
      <c r="X29" s="2146">
        <v>980</v>
      </c>
      <c r="Y29" s="2146">
        <v>1412</v>
      </c>
      <c r="Z29" s="2146">
        <v>55474</v>
      </c>
      <c r="AA29" s="2146">
        <v>78230</v>
      </c>
      <c r="AB29" s="2146">
        <v>19064</v>
      </c>
      <c r="AC29" s="2146">
        <v>1512</v>
      </c>
      <c r="AD29" s="2146">
        <v>20576</v>
      </c>
      <c r="AE29" s="2146">
        <v>39447</v>
      </c>
      <c r="AF29" s="2146">
        <v>60023</v>
      </c>
      <c r="AG29" s="2146">
        <v>21153</v>
      </c>
      <c r="AH29" s="2146">
        <v>893</v>
      </c>
      <c r="AI29" s="2146">
        <v>1795</v>
      </c>
      <c r="AJ29" s="2146">
        <v>40503</v>
      </c>
      <c r="AK29" s="2146">
        <v>64344</v>
      </c>
      <c r="AL29" s="2175">
        <v>22163</v>
      </c>
      <c r="AM29" s="2176">
        <v>960</v>
      </c>
      <c r="AN29" s="2177">
        <v>1972</v>
      </c>
      <c r="AO29" s="2176">
        <v>84639</v>
      </c>
      <c r="AP29" s="2178">
        <v>109734</v>
      </c>
      <c r="AQ29" s="2175">
        <v>19803</v>
      </c>
      <c r="AR29" s="2176">
        <v>953</v>
      </c>
      <c r="AS29" s="2177">
        <v>1414</v>
      </c>
      <c r="AT29" s="2176">
        <v>70242</v>
      </c>
      <c r="AU29" s="2178">
        <v>92412</v>
      </c>
      <c r="AV29" s="2175">
        <v>21777</v>
      </c>
      <c r="AW29" s="2176">
        <v>316</v>
      </c>
      <c r="AX29" s="2177">
        <v>1656</v>
      </c>
      <c r="AY29" s="2176">
        <v>78213</v>
      </c>
      <c r="AZ29" s="2177">
        <v>101962</v>
      </c>
      <c r="BA29" s="2175">
        <v>14741</v>
      </c>
      <c r="BB29" s="2176">
        <v>494</v>
      </c>
      <c r="BC29" s="2176">
        <v>1940</v>
      </c>
      <c r="BD29" s="2179">
        <v>52516</v>
      </c>
      <c r="BE29" s="2179">
        <v>69691</v>
      </c>
      <c r="BF29" s="2182">
        <v>22536</v>
      </c>
      <c r="BG29" s="2176">
        <v>819</v>
      </c>
      <c r="BH29" s="2176">
        <v>2261</v>
      </c>
      <c r="BI29" s="2176">
        <v>71098</v>
      </c>
      <c r="BJ29" s="2179">
        <f>SUM(BF29:BH29,)+BI29</f>
        <v>96714</v>
      </c>
      <c r="BK29" s="2182">
        <v>23709</v>
      </c>
      <c r="BL29" s="2176">
        <v>380</v>
      </c>
      <c r="BM29" s="2176">
        <v>4029</v>
      </c>
      <c r="BN29" s="2176">
        <v>68644</v>
      </c>
      <c r="BO29" s="2179">
        <f>SUM(BK29:BN29)</f>
        <v>96762</v>
      </c>
      <c r="BP29" s="2182">
        <v>25167</v>
      </c>
      <c r="BQ29" s="2176">
        <v>475</v>
      </c>
      <c r="BR29" s="2176">
        <v>3509</v>
      </c>
      <c r="BS29" s="2176">
        <v>60681</v>
      </c>
      <c r="BT29" s="2179">
        <f>SUM(BP29:BS29)</f>
        <v>89832</v>
      </c>
      <c r="BU29" s="2180">
        <v>26933</v>
      </c>
      <c r="BV29" s="2176">
        <v>548</v>
      </c>
      <c r="BW29" s="2176">
        <v>2282</v>
      </c>
      <c r="BX29" s="2176">
        <v>601</v>
      </c>
      <c r="BY29" s="2176">
        <v>2883</v>
      </c>
      <c r="BZ29" s="2176">
        <v>65255</v>
      </c>
      <c r="CA29" s="2179">
        <f>+BU29+BV29+BY29+BZ29</f>
        <v>95619</v>
      </c>
      <c r="CB29" s="2180">
        <v>25821</v>
      </c>
      <c r="CC29" s="2176">
        <v>896</v>
      </c>
      <c r="CD29" s="2176"/>
      <c r="CE29" s="2176"/>
      <c r="CF29" s="2181">
        <v>3738</v>
      </c>
      <c r="CG29" s="2176">
        <v>76346</v>
      </c>
      <c r="CH29" s="2179">
        <f>+CB29+CC29+CF29+CG29</f>
        <v>106801</v>
      </c>
      <c r="CI29" s="2163">
        <v>25254</v>
      </c>
      <c r="CJ29" s="2164">
        <v>1149</v>
      </c>
      <c r="CK29" s="2164">
        <v>4536</v>
      </c>
      <c r="CL29" s="2164">
        <v>79582</v>
      </c>
      <c r="CM29" s="2165">
        <f>SUM(CI29:CL29)</f>
        <v>110521</v>
      </c>
      <c r="CN29" s="2163">
        <v>29962</v>
      </c>
      <c r="CO29" s="2185">
        <v>827</v>
      </c>
      <c r="CP29" s="2164">
        <v>3053</v>
      </c>
      <c r="CQ29" s="2164">
        <v>81265</v>
      </c>
      <c r="CR29" s="2165">
        <f>SUM(CN29:CQ29)</f>
        <v>115107</v>
      </c>
      <c r="CS29" s="2163">
        <v>30422</v>
      </c>
      <c r="CT29" s="2169">
        <v>680</v>
      </c>
      <c r="CU29" s="2169">
        <v>4028</v>
      </c>
      <c r="CV29" s="2169">
        <v>92406</v>
      </c>
      <c r="CW29" s="2165">
        <v>127536</v>
      </c>
      <c r="CX29" s="2163">
        <v>32913</v>
      </c>
      <c r="CY29" s="2170">
        <v>651</v>
      </c>
      <c r="CZ29" s="2170">
        <v>5424</v>
      </c>
      <c r="DA29" s="2170">
        <f>93263*0+94244</f>
        <v>94244</v>
      </c>
      <c r="DB29" s="2184">
        <f t="shared" si="3"/>
        <v>133232</v>
      </c>
      <c r="DC29" s="2163">
        <v>7766</v>
      </c>
      <c r="DD29" s="2170">
        <v>334</v>
      </c>
      <c r="DE29" s="2172">
        <v>68</v>
      </c>
      <c r="DF29" s="2170">
        <v>0</v>
      </c>
      <c r="DG29" s="2184">
        <v>8168</v>
      </c>
      <c r="DH29" s="2163">
        <v>23678</v>
      </c>
      <c r="DI29" s="2170">
        <v>512</v>
      </c>
      <c r="DJ29" s="2172">
        <v>478</v>
      </c>
      <c r="DK29" s="2170">
        <v>30290</v>
      </c>
      <c r="DL29" s="2184">
        <f t="shared" si="0"/>
        <v>54958</v>
      </c>
      <c r="DM29" s="2163">
        <v>29952</v>
      </c>
      <c r="DN29" s="2170">
        <v>644</v>
      </c>
      <c r="DO29" s="2172">
        <v>2420</v>
      </c>
      <c r="DP29" s="2170">
        <v>59541</v>
      </c>
      <c r="DQ29" s="2184">
        <f>SUM(DM29:DP29)</f>
        <v>92557</v>
      </c>
      <c r="DR29" s="2180">
        <v>32887</v>
      </c>
      <c r="DS29" s="3044">
        <v>1088</v>
      </c>
      <c r="DT29" s="3049">
        <v>2935</v>
      </c>
      <c r="DU29" s="3044">
        <v>66681</v>
      </c>
      <c r="DV29" s="2184">
        <f>SUM(DR29:DU29)</f>
        <v>103591</v>
      </c>
      <c r="DW29" s="2947"/>
    </row>
    <row r="30" spans="2:127" ht="81" customHeight="1">
      <c r="B30" s="2174" t="s">
        <v>410</v>
      </c>
      <c r="C30" s="2146">
        <v>19397</v>
      </c>
      <c r="D30" s="2146">
        <v>344</v>
      </c>
      <c r="E30" s="2146">
        <v>3617</v>
      </c>
      <c r="F30" s="2146">
        <v>58005</v>
      </c>
      <c r="G30" s="2146">
        <v>81363</v>
      </c>
      <c r="H30" s="2146">
        <v>22522</v>
      </c>
      <c r="I30" s="2146">
        <v>1068</v>
      </c>
      <c r="J30" s="2146">
        <v>4071</v>
      </c>
      <c r="K30" s="2146">
        <v>71915</v>
      </c>
      <c r="L30" s="2146">
        <v>99576</v>
      </c>
      <c r="M30" s="2146">
        <v>26806</v>
      </c>
      <c r="N30" s="2146">
        <v>406</v>
      </c>
      <c r="O30" s="2146">
        <v>3071</v>
      </c>
      <c r="P30" s="2146">
        <v>73349</v>
      </c>
      <c r="Q30" s="2146">
        <v>103632</v>
      </c>
      <c r="R30" s="2146">
        <v>18206</v>
      </c>
      <c r="S30" s="2146">
        <v>754</v>
      </c>
      <c r="T30" s="2146">
        <v>2735</v>
      </c>
      <c r="U30" s="2146">
        <v>64410</v>
      </c>
      <c r="V30" s="2146">
        <v>86105</v>
      </c>
      <c r="W30" s="2146">
        <v>21831</v>
      </c>
      <c r="X30" s="2146">
        <v>971</v>
      </c>
      <c r="Y30" s="2146">
        <v>1423</v>
      </c>
      <c r="Z30" s="2146">
        <v>66243</v>
      </c>
      <c r="AA30" s="2146">
        <v>90468</v>
      </c>
      <c r="AB30" s="1247">
        <v>17969</v>
      </c>
      <c r="AC30" s="2146">
        <v>1126</v>
      </c>
      <c r="AD30" s="2146">
        <v>19095</v>
      </c>
      <c r="AE30" s="1247">
        <v>30931</v>
      </c>
      <c r="AF30" s="2146">
        <v>50026</v>
      </c>
      <c r="AG30" s="2146">
        <v>27061</v>
      </c>
      <c r="AH30" s="2146">
        <v>139</v>
      </c>
      <c r="AI30" s="2146">
        <v>3519</v>
      </c>
      <c r="AJ30" s="2146">
        <v>58345</v>
      </c>
      <c r="AK30" s="2146">
        <v>89064</v>
      </c>
      <c r="AL30" s="2175">
        <v>27798</v>
      </c>
      <c r="AM30" s="2176">
        <v>1411</v>
      </c>
      <c r="AN30" s="2177">
        <v>3562</v>
      </c>
      <c r="AO30" s="2176">
        <v>90748</v>
      </c>
      <c r="AP30" s="2178">
        <v>123519</v>
      </c>
      <c r="AQ30" s="2175">
        <v>26173</v>
      </c>
      <c r="AR30" s="2176">
        <v>581</v>
      </c>
      <c r="AS30" s="2177">
        <v>2205</v>
      </c>
      <c r="AT30" s="2176">
        <v>107080</v>
      </c>
      <c r="AU30" s="2178">
        <v>136039</v>
      </c>
      <c r="AV30" s="2175">
        <v>27335</v>
      </c>
      <c r="AW30" s="2176">
        <v>475</v>
      </c>
      <c r="AX30" s="2177">
        <v>3544</v>
      </c>
      <c r="AY30" s="2176">
        <v>109855</v>
      </c>
      <c r="AZ30" s="2177">
        <v>141209</v>
      </c>
      <c r="BA30" s="2175">
        <v>26548</v>
      </c>
      <c r="BB30" s="2176">
        <v>1114</v>
      </c>
      <c r="BC30" s="2164">
        <v>3221</v>
      </c>
      <c r="BD30" s="2179">
        <v>107371</v>
      </c>
      <c r="BE30" s="2195">
        <v>138254</v>
      </c>
      <c r="BF30" s="2182">
        <v>30346</v>
      </c>
      <c r="BG30" s="2164">
        <v>1210</v>
      </c>
      <c r="BH30" s="2176">
        <v>4399</v>
      </c>
      <c r="BI30" s="2164">
        <v>102056</v>
      </c>
      <c r="BJ30" s="2179">
        <f>SUM(BF30:BH30,)+BI30</f>
        <v>138011</v>
      </c>
      <c r="BK30" s="2182">
        <v>28631</v>
      </c>
      <c r="BL30" s="2164">
        <v>817</v>
      </c>
      <c r="BM30" s="2176">
        <v>5615</v>
      </c>
      <c r="BN30" s="2164">
        <v>85681</v>
      </c>
      <c r="BO30" s="2179">
        <f>SUM(BK30:BN30)</f>
        <v>120744</v>
      </c>
      <c r="BP30" s="2182">
        <v>30603</v>
      </c>
      <c r="BQ30" s="2164">
        <v>814</v>
      </c>
      <c r="BR30" s="2176">
        <v>4741</v>
      </c>
      <c r="BS30" s="2164">
        <v>93580</v>
      </c>
      <c r="BT30" s="2179">
        <f>SUM(BP30:BS30)</f>
        <v>129738</v>
      </c>
      <c r="BU30" s="2180">
        <v>33410</v>
      </c>
      <c r="BV30" s="2176">
        <v>1024</v>
      </c>
      <c r="BW30" s="2176">
        <v>5107</v>
      </c>
      <c r="BX30" s="2176">
        <v>930</v>
      </c>
      <c r="BY30" s="2176">
        <v>6037</v>
      </c>
      <c r="BZ30" s="2176">
        <v>112325</v>
      </c>
      <c r="CA30" s="2179">
        <f>+BU30+BV30+BY30+BZ30</f>
        <v>152796</v>
      </c>
      <c r="CB30" s="2180">
        <v>32147</v>
      </c>
      <c r="CC30" s="2176">
        <v>1632</v>
      </c>
      <c r="CD30" s="2176"/>
      <c r="CE30" s="2176"/>
      <c r="CF30" s="2181">
        <v>8460</v>
      </c>
      <c r="CG30" s="2176">
        <v>94919</v>
      </c>
      <c r="CH30" s="2179">
        <f>+CB30+CC30+CF30+CG30</f>
        <v>137158</v>
      </c>
      <c r="CI30" s="2163">
        <v>33687</v>
      </c>
      <c r="CJ30" s="2164">
        <v>1511</v>
      </c>
      <c r="CK30" s="2164">
        <v>9290</v>
      </c>
      <c r="CL30" s="2164">
        <v>116223</v>
      </c>
      <c r="CM30" s="2165">
        <f>SUM(CI30:CL30)</f>
        <v>160711</v>
      </c>
      <c r="CN30" s="2163">
        <v>38910</v>
      </c>
      <c r="CO30" s="2185">
        <v>1358</v>
      </c>
      <c r="CP30" s="2164">
        <v>9258</v>
      </c>
      <c r="CQ30" s="2164">
        <v>119703</v>
      </c>
      <c r="CR30" s="2165">
        <f>SUM(CN30:CQ30)</f>
        <v>169229</v>
      </c>
      <c r="CS30" s="2163">
        <v>41428</v>
      </c>
      <c r="CT30" s="2169">
        <v>1179</v>
      </c>
      <c r="CU30" s="2169">
        <v>8965</v>
      </c>
      <c r="CV30" s="2169">
        <v>131608</v>
      </c>
      <c r="CW30" s="2165">
        <v>183180</v>
      </c>
      <c r="CX30" s="2163">
        <v>43569</v>
      </c>
      <c r="CY30" s="2170">
        <v>1115</v>
      </c>
      <c r="CZ30" s="2170">
        <v>9803</v>
      </c>
      <c r="DA30" s="2170">
        <v>132766</v>
      </c>
      <c r="DB30" s="2184">
        <f t="shared" si="3"/>
        <v>187253</v>
      </c>
      <c r="DC30" s="2163">
        <v>14384</v>
      </c>
      <c r="DD30" s="2170">
        <v>785</v>
      </c>
      <c r="DE30" s="2172">
        <v>748</v>
      </c>
      <c r="DF30" s="2170">
        <v>0</v>
      </c>
      <c r="DG30" s="2184">
        <v>15569</v>
      </c>
      <c r="DH30" s="2163">
        <v>29737</v>
      </c>
      <c r="DI30" s="2170">
        <v>764</v>
      </c>
      <c r="DJ30" s="2172">
        <v>2751</v>
      </c>
      <c r="DK30" s="2170">
        <v>54506</v>
      </c>
      <c r="DL30" s="2184">
        <f t="shared" si="0"/>
        <v>87758</v>
      </c>
      <c r="DM30" s="2163">
        <v>38829</v>
      </c>
      <c r="DN30" s="2170">
        <v>912</v>
      </c>
      <c r="DO30" s="2172">
        <v>5556</v>
      </c>
      <c r="DP30" s="2170">
        <v>111267</v>
      </c>
      <c r="DQ30" s="2184">
        <f>SUM(DM30:DP30)</f>
        <v>156564</v>
      </c>
      <c r="DR30" s="2180">
        <v>38497</v>
      </c>
      <c r="DS30" s="3044">
        <v>1361</v>
      </c>
      <c r="DT30" s="3049">
        <v>4569</v>
      </c>
      <c r="DU30" s="3044">
        <v>110063</v>
      </c>
      <c r="DV30" s="2184">
        <f>SUM(DR30:DU30)</f>
        <v>154490</v>
      </c>
      <c r="DW30" s="2947"/>
    </row>
    <row r="31" spans="2:127" ht="25.5" customHeight="1">
      <c r="B31" s="2118"/>
      <c r="C31" s="2146"/>
      <c r="D31" s="2146"/>
      <c r="E31" s="2146"/>
      <c r="F31" s="2146"/>
      <c r="G31" s="2146"/>
      <c r="H31" s="2146"/>
      <c r="I31" s="2146"/>
      <c r="J31" s="2146"/>
      <c r="K31" s="2146"/>
      <c r="L31" s="2146"/>
      <c r="M31" s="2146"/>
      <c r="N31" s="2146"/>
      <c r="O31" s="2146"/>
      <c r="P31" s="2146"/>
      <c r="Q31" s="2146"/>
      <c r="R31" s="2146"/>
      <c r="S31" s="2146"/>
      <c r="T31" s="2146"/>
      <c r="U31" s="2146"/>
      <c r="V31" s="2146"/>
      <c r="W31" s="2146"/>
      <c r="X31" s="2146"/>
      <c r="Y31" s="2146"/>
      <c r="Z31" s="2146"/>
      <c r="AA31" s="2146"/>
      <c r="AB31" s="1247"/>
      <c r="AC31" s="2146"/>
      <c r="AD31" s="2146"/>
      <c r="AE31" s="1247"/>
      <c r="AF31" s="2146"/>
      <c r="AG31" s="2146"/>
      <c r="AH31" s="2146"/>
      <c r="AI31" s="2146"/>
      <c r="AJ31" s="2146"/>
      <c r="AK31" s="2146"/>
      <c r="AL31" s="2175"/>
      <c r="AM31" s="2176"/>
      <c r="AN31" s="2177"/>
      <c r="AO31" s="2176"/>
      <c r="AP31" s="2178"/>
      <c r="AQ31" s="2175"/>
      <c r="AR31" s="2176"/>
      <c r="AS31" s="2177"/>
      <c r="AT31" s="2176"/>
      <c r="AU31" s="2178"/>
      <c r="AV31" s="2175"/>
      <c r="AW31" s="2176"/>
      <c r="AX31" s="2177"/>
      <c r="AY31" s="2176"/>
      <c r="AZ31" s="2177"/>
      <c r="BA31" s="2191"/>
      <c r="BB31" s="2192"/>
      <c r="BC31" s="2176"/>
      <c r="BD31" s="2195"/>
      <c r="BE31" s="2195"/>
      <c r="BF31" s="2196"/>
      <c r="BG31" s="2192"/>
      <c r="BH31" s="2176"/>
      <c r="BI31" s="2192"/>
      <c r="BJ31" s="2195"/>
      <c r="BK31" s="2196"/>
      <c r="BL31" s="2192"/>
      <c r="BM31" s="2176"/>
      <c r="BN31" s="2192"/>
      <c r="BO31" s="2195"/>
      <c r="BP31" s="2196"/>
      <c r="BQ31" s="2192"/>
      <c r="BR31" s="2176"/>
      <c r="BS31" s="2192"/>
      <c r="BT31" s="2195"/>
      <c r="BU31" s="2180"/>
      <c r="BV31" s="2176"/>
      <c r="BW31" s="2176"/>
      <c r="BX31" s="2176"/>
      <c r="BY31" s="2176"/>
      <c r="BZ31" s="2176"/>
      <c r="CA31" s="2179"/>
      <c r="CB31" s="2180"/>
      <c r="CC31" s="2176"/>
      <c r="CD31" s="2176"/>
      <c r="CE31" s="2176"/>
      <c r="CF31" s="2181"/>
      <c r="CG31" s="2176"/>
      <c r="CH31" s="2179"/>
      <c r="CI31" s="2163"/>
      <c r="CJ31" s="2164"/>
      <c r="CK31" s="2164"/>
      <c r="CL31" s="2164"/>
      <c r="CM31" s="2165"/>
      <c r="CN31" s="2163"/>
      <c r="CO31" s="2185"/>
      <c r="CP31" s="2164"/>
      <c r="CQ31" s="2164"/>
      <c r="CR31" s="2165"/>
      <c r="CS31" s="2163"/>
      <c r="CT31" s="2185"/>
      <c r="CU31" s="2169"/>
      <c r="CV31" s="2169"/>
      <c r="CW31" s="2165"/>
      <c r="CX31" s="2163"/>
      <c r="CY31" s="2170"/>
      <c r="CZ31" s="2170"/>
      <c r="DA31" s="2170"/>
      <c r="DB31" s="2184"/>
      <c r="DC31" s="2163"/>
      <c r="DD31" s="2170"/>
      <c r="DE31" s="2172"/>
      <c r="DF31" s="2170"/>
      <c r="DG31" s="2184"/>
      <c r="DH31" s="2163"/>
      <c r="DI31" s="2170"/>
      <c r="DJ31" s="2172"/>
      <c r="DK31" s="2170"/>
      <c r="DL31" s="2184"/>
      <c r="DM31" s="2163"/>
      <c r="DN31" s="2170"/>
      <c r="DO31" s="2172"/>
      <c r="DP31" s="2170"/>
      <c r="DQ31" s="2184"/>
      <c r="DR31" s="3035"/>
      <c r="DS31" s="3045"/>
      <c r="DT31" s="3048"/>
      <c r="DU31" s="3052"/>
      <c r="DV31" s="206"/>
      <c r="DW31" s="2947"/>
    </row>
    <row r="32" spans="2:127" s="208" customFormat="1" ht="81" customHeight="1">
      <c r="B32" s="2118" t="s">
        <v>417</v>
      </c>
      <c r="C32" s="2190">
        <v>57868</v>
      </c>
      <c r="D32" s="2190">
        <v>1775</v>
      </c>
      <c r="E32" s="2190">
        <v>6724</v>
      </c>
      <c r="F32" s="2190">
        <v>106452</v>
      </c>
      <c r="G32" s="2190">
        <v>172819</v>
      </c>
      <c r="H32" s="2190">
        <v>62635</v>
      </c>
      <c r="I32" s="2190">
        <v>2895</v>
      </c>
      <c r="J32" s="2190">
        <v>5246</v>
      </c>
      <c r="K32" s="2190">
        <v>152565</v>
      </c>
      <c r="L32" s="2190">
        <v>223341</v>
      </c>
      <c r="M32" s="2190">
        <v>72085</v>
      </c>
      <c r="N32" s="2190">
        <v>995</v>
      </c>
      <c r="O32" s="2190">
        <v>5577</v>
      </c>
      <c r="P32" s="2190">
        <v>146343</v>
      </c>
      <c r="Q32" s="2190">
        <v>225000</v>
      </c>
      <c r="R32" s="2190">
        <v>48979</v>
      </c>
      <c r="S32" s="2190">
        <v>1466</v>
      </c>
      <c r="T32" s="2190">
        <v>5291</v>
      </c>
      <c r="U32" s="2190">
        <v>135790</v>
      </c>
      <c r="V32" s="2190">
        <v>191526</v>
      </c>
      <c r="W32" s="2190">
        <v>63368</v>
      </c>
      <c r="X32" s="2190">
        <v>2665</v>
      </c>
      <c r="Y32" s="2190">
        <v>3140</v>
      </c>
      <c r="Z32" s="2190">
        <v>147578</v>
      </c>
      <c r="AA32" s="2190">
        <v>216751</v>
      </c>
      <c r="AB32" s="2190">
        <v>57318</v>
      </c>
      <c r="AC32" s="2190">
        <v>4325</v>
      </c>
      <c r="AD32" s="2190">
        <v>61643</v>
      </c>
      <c r="AE32" s="2190">
        <v>87942</v>
      </c>
      <c r="AF32" s="2190">
        <v>149585</v>
      </c>
      <c r="AG32" s="2190">
        <v>68667</v>
      </c>
      <c r="AH32" s="2190">
        <v>1406</v>
      </c>
      <c r="AI32" s="2190">
        <v>6487</v>
      </c>
      <c r="AJ32" s="2190">
        <v>110035</v>
      </c>
      <c r="AK32" s="2190">
        <v>186595</v>
      </c>
      <c r="AL32" s="2191">
        <v>69559</v>
      </c>
      <c r="AM32" s="2192">
        <v>3063</v>
      </c>
      <c r="AN32" s="2193">
        <v>6802</v>
      </c>
      <c r="AO32" s="2192">
        <v>204719</v>
      </c>
      <c r="AP32" s="2194">
        <v>284143</v>
      </c>
      <c r="AQ32" s="2191">
        <v>64972</v>
      </c>
      <c r="AR32" s="2192">
        <v>2138</v>
      </c>
      <c r="AS32" s="2193">
        <v>4465</v>
      </c>
      <c r="AT32" s="2192">
        <v>193583</v>
      </c>
      <c r="AU32" s="2194">
        <v>265158</v>
      </c>
      <c r="AV32" s="2191">
        <v>68143</v>
      </c>
      <c r="AW32" s="2192">
        <v>1085</v>
      </c>
      <c r="AX32" s="2193">
        <v>7064</v>
      </c>
      <c r="AY32" s="2192">
        <v>220960</v>
      </c>
      <c r="AZ32" s="2193">
        <v>297252</v>
      </c>
      <c r="BA32" s="2191">
        <v>61913</v>
      </c>
      <c r="BB32" s="2192">
        <v>2161</v>
      </c>
      <c r="BC32" s="2192">
        <v>6909</v>
      </c>
      <c r="BD32" s="2195">
        <v>192682</v>
      </c>
      <c r="BE32" s="2195">
        <v>263665</v>
      </c>
      <c r="BF32" s="2196">
        <f t="shared" ref="BF32:CA32" si="16">SUM(BF28:BF30)</f>
        <v>75313</v>
      </c>
      <c r="BG32" s="2192">
        <f t="shared" si="16"/>
        <v>2685</v>
      </c>
      <c r="BH32" s="2192">
        <f t="shared" si="16"/>
        <v>8708</v>
      </c>
      <c r="BI32" s="2192">
        <f t="shared" si="16"/>
        <v>195986</v>
      </c>
      <c r="BJ32" s="2195">
        <f t="shared" si="16"/>
        <v>282692</v>
      </c>
      <c r="BK32" s="2196">
        <f t="shared" si="16"/>
        <v>74588</v>
      </c>
      <c r="BL32" s="2192">
        <f t="shared" si="16"/>
        <v>1768</v>
      </c>
      <c r="BM32" s="2192">
        <f t="shared" si="16"/>
        <v>11303</v>
      </c>
      <c r="BN32" s="2192">
        <f t="shared" si="16"/>
        <v>176163</v>
      </c>
      <c r="BO32" s="2195">
        <f t="shared" si="16"/>
        <v>263822</v>
      </c>
      <c r="BP32" s="2196">
        <f t="shared" si="16"/>
        <v>78155</v>
      </c>
      <c r="BQ32" s="2192">
        <f t="shared" si="16"/>
        <v>1759</v>
      </c>
      <c r="BR32" s="2192">
        <f t="shared" si="16"/>
        <v>10514</v>
      </c>
      <c r="BS32" s="2192">
        <f t="shared" si="16"/>
        <v>181425</v>
      </c>
      <c r="BT32" s="2195">
        <f t="shared" si="16"/>
        <v>271853</v>
      </c>
      <c r="BU32" s="2196">
        <f t="shared" si="16"/>
        <v>83148</v>
      </c>
      <c r="BV32" s="2192">
        <f t="shared" si="16"/>
        <v>1883</v>
      </c>
      <c r="BW32" s="2192">
        <f t="shared" si="16"/>
        <v>10182</v>
      </c>
      <c r="BX32" s="2192">
        <f t="shared" si="16"/>
        <v>1726</v>
      </c>
      <c r="BY32" s="2192">
        <f t="shared" si="16"/>
        <v>11908</v>
      </c>
      <c r="BZ32" s="2192">
        <f t="shared" si="16"/>
        <v>208636</v>
      </c>
      <c r="CA32" s="2195">
        <f t="shared" si="16"/>
        <v>305575</v>
      </c>
      <c r="CB32" s="2196">
        <f t="shared" ref="CB32:CH32" si="17">SUM(CB28:CB30)</f>
        <v>81713</v>
      </c>
      <c r="CC32" s="2192">
        <f t="shared" si="17"/>
        <v>3104</v>
      </c>
      <c r="CD32" s="2192">
        <f t="shared" si="17"/>
        <v>0</v>
      </c>
      <c r="CE32" s="2192">
        <f t="shared" si="17"/>
        <v>0</v>
      </c>
      <c r="CF32" s="2197">
        <f t="shared" si="17"/>
        <v>15078</v>
      </c>
      <c r="CG32" s="2192">
        <f t="shared" si="17"/>
        <v>206173</v>
      </c>
      <c r="CH32" s="2195">
        <f t="shared" si="17"/>
        <v>306068</v>
      </c>
      <c r="CI32" s="2198">
        <f t="shared" ref="CI32:CR32" si="18">SUM(CI28:CI30)</f>
        <v>83192</v>
      </c>
      <c r="CJ32" s="2199">
        <f t="shared" si="18"/>
        <v>3409</v>
      </c>
      <c r="CK32" s="2200">
        <f t="shared" si="18"/>
        <v>17148</v>
      </c>
      <c r="CL32" s="2199">
        <f t="shared" si="18"/>
        <v>209079</v>
      </c>
      <c r="CM32" s="2201">
        <f t="shared" si="18"/>
        <v>312828</v>
      </c>
      <c r="CN32" s="2198">
        <f t="shared" si="18"/>
        <v>96839</v>
      </c>
      <c r="CO32" s="2199">
        <f t="shared" si="18"/>
        <v>2858</v>
      </c>
      <c r="CP32" s="2200">
        <f t="shared" si="18"/>
        <v>14017</v>
      </c>
      <c r="CQ32" s="2199">
        <f t="shared" si="18"/>
        <v>219333</v>
      </c>
      <c r="CR32" s="2201">
        <f t="shared" si="18"/>
        <v>333047</v>
      </c>
      <c r="CS32" s="2198">
        <f t="shared" ref="CS32:DA32" si="19">SUM(CS28:CS30)</f>
        <v>97841</v>
      </c>
      <c r="CT32" s="2199">
        <f t="shared" si="19"/>
        <v>2418</v>
      </c>
      <c r="CU32" s="2202">
        <f t="shared" si="19"/>
        <v>15352</v>
      </c>
      <c r="CV32" s="2199">
        <f t="shared" si="19"/>
        <v>250906</v>
      </c>
      <c r="CW32" s="2201">
        <f t="shared" si="19"/>
        <v>366517</v>
      </c>
      <c r="CX32" s="2198">
        <f t="shared" si="19"/>
        <v>103405</v>
      </c>
      <c r="CY32" s="2203">
        <f t="shared" si="19"/>
        <v>2455</v>
      </c>
      <c r="CZ32" s="2203">
        <f t="shared" si="19"/>
        <v>17627</v>
      </c>
      <c r="DA32" s="2203">
        <f t="shared" si="19"/>
        <v>264867</v>
      </c>
      <c r="DB32" s="2201">
        <f t="shared" si="3"/>
        <v>388354</v>
      </c>
      <c r="DC32" s="2198">
        <f>SUM(DC28:DC30)</f>
        <v>30040</v>
      </c>
      <c r="DD32" s="2203">
        <f>SUM(DD28:DD30)</f>
        <v>1482</v>
      </c>
      <c r="DE32" s="2204">
        <f>SUM(DE28:DE30)</f>
        <v>878</v>
      </c>
      <c r="DF32" s="2203">
        <f>SUM(DF28:DF30)</f>
        <v>0</v>
      </c>
      <c r="DG32" s="2205">
        <f>SUM(DC32:DF32)</f>
        <v>32400</v>
      </c>
      <c r="DH32" s="2198">
        <f>SUM(DH28:DH30)</f>
        <v>73960</v>
      </c>
      <c r="DI32" s="2203">
        <f>SUM(DI28:DI30)</f>
        <v>1711</v>
      </c>
      <c r="DJ32" s="2204">
        <f>SUM(DJ28:DJ30)</f>
        <v>3496</v>
      </c>
      <c r="DK32" s="2203">
        <f>SUM(DK28:DK30)</f>
        <v>88210</v>
      </c>
      <c r="DL32" s="2205">
        <f>SUM(DH32:DK32)</f>
        <v>167377</v>
      </c>
      <c r="DM32" s="2203">
        <f>SUM(DM28:DM30)</f>
        <v>94163</v>
      </c>
      <c r="DN32" s="2203">
        <f>SUM(DN28:DN30)</f>
        <v>2131</v>
      </c>
      <c r="DO32" s="2203">
        <f>SUM(DO28:DO30)</f>
        <v>10528</v>
      </c>
      <c r="DP32" s="2203">
        <f>SUM(DP28:DP30)</f>
        <v>179754</v>
      </c>
      <c r="DQ32" s="2205">
        <f>SUM(DM32:DP32)</f>
        <v>286576</v>
      </c>
      <c r="DR32" s="2196">
        <f>DR28+DR29+DR30</f>
        <v>97859</v>
      </c>
      <c r="DS32" s="3111">
        <f>DS28+DS29+DS30</f>
        <v>3298</v>
      </c>
      <c r="DT32" s="3111">
        <f>DT28+DT29+DT30</f>
        <v>9197</v>
      </c>
      <c r="DU32" s="3042">
        <f>DU28+DU29+DU30</f>
        <v>180637</v>
      </c>
      <c r="DV32" s="2205">
        <f>SUM(DR32:DU32)</f>
        <v>290991</v>
      </c>
      <c r="DW32" s="2947"/>
    </row>
    <row r="33" spans="2:127" ht="25.5" customHeight="1">
      <c r="B33" s="2118"/>
      <c r="C33" s="2146"/>
      <c r="D33" s="2146"/>
      <c r="E33" s="2146"/>
      <c r="F33" s="2146"/>
      <c r="G33" s="2146"/>
      <c r="H33" s="2146"/>
      <c r="I33" s="2146"/>
      <c r="J33" s="2146"/>
      <c r="K33" s="2146"/>
      <c r="L33" s="2146"/>
      <c r="M33" s="2146"/>
      <c r="N33" s="2146"/>
      <c r="O33" s="2146"/>
      <c r="P33" s="2146"/>
      <c r="Q33" s="2146"/>
      <c r="R33" s="2146"/>
      <c r="S33" s="2146"/>
      <c r="T33" s="2146"/>
      <c r="U33" s="2146"/>
      <c r="V33" s="2146"/>
      <c r="W33" s="2146"/>
      <c r="X33" s="2146"/>
      <c r="Y33" s="2146"/>
      <c r="Z33" s="2146"/>
      <c r="AA33" s="2146"/>
      <c r="AB33" s="2146"/>
      <c r="AC33" s="2146"/>
      <c r="AD33" s="2146"/>
      <c r="AE33" s="2146"/>
      <c r="AF33" s="2146"/>
      <c r="AG33" s="2146"/>
      <c r="AH33" s="2146"/>
      <c r="AI33" s="2146"/>
      <c r="AJ33" s="2146"/>
      <c r="AK33" s="2146"/>
      <c r="AL33" s="2175"/>
      <c r="AM33" s="2176"/>
      <c r="AN33" s="2177"/>
      <c r="AO33" s="2176"/>
      <c r="AP33" s="2178"/>
      <c r="AQ33" s="2175"/>
      <c r="AR33" s="2176"/>
      <c r="AS33" s="2177"/>
      <c r="AT33" s="2176"/>
      <c r="AU33" s="2178"/>
      <c r="AV33" s="2175"/>
      <c r="AW33" s="2176"/>
      <c r="AX33" s="2177"/>
      <c r="AY33" s="2176"/>
      <c r="AZ33" s="2177"/>
      <c r="BA33" s="2223"/>
      <c r="BB33" s="2224"/>
      <c r="BC33" s="2176"/>
      <c r="BD33" s="2195"/>
      <c r="BE33" s="2195"/>
      <c r="BF33" s="2225"/>
      <c r="BG33" s="2224"/>
      <c r="BH33" s="2176"/>
      <c r="BI33" s="2192"/>
      <c r="BJ33" s="2226"/>
      <c r="BK33" s="2225"/>
      <c r="BL33" s="2224"/>
      <c r="BM33" s="2176"/>
      <c r="BN33" s="2192"/>
      <c r="BO33" s="2226"/>
      <c r="BP33" s="2225"/>
      <c r="BQ33" s="2224"/>
      <c r="BR33" s="2176"/>
      <c r="BS33" s="2192"/>
      <c r="BT33" s="2226"/>
      <c r="BU33" s="2180"/>
      <c r="BV33" s="2176"/>
      <c r="BW33" s="2176"/>
      <c r="BX33" s="2176"/>
      <c r="BY33" s="2176"/>
      <c r="BZ33" s="2176"/>
      <c r="CA33" s="2179"/>
      <c r="CB33" s="2180"/>
      <c r="CC33" s="2176"/>
      <c r="CD33" s="2176"/>
      <c r="CE33" s="2176"/>
      <c r="CF33" s="2181"/>
      <c r="CG33" s="2176"/>
      <c r="CH33" s="2179"/>
      <c r="CI33" s="2163"/>
      <c r="CJ33" s="2164"/>
      <c r="CK33" s="2164"/>
      <c r="CL33" s="2164"/>
      <c r="CM33" s="2165"/>
      <c r="CN33" s="2163"/>
      <c r="CO33" s="2164"/>
      <c r="CP33" s="2164"/>
      <c r="CQ33" s="2164"/>
      <c r="CR33" s="2165"/>
      <c r="CS33" s="2163"/>
      <c r="CT33" s="2169"/>
      <c r="CU33" s="2169"/>
      <c r="CV33" s="2169"/>
      <c r="CW33" s="2165"/>
      <c r="CX33" s="2163"/>
      <c r="CY33" s="2170"/>
      <c r="CZ33" s="2170"/>
      <c r="DA33" s="2170"/>
      <c r="DB33" s="2184"/>
      <c r="DC33" s="2163"/>
      <c r="DD33" s="2227"/>
      <c r="DE33" s="2172"/>
      <c r="DF33" s="2170"/>
      <c r="DG33" s="2184"/>
      <c r="DH33" s="2163"/>
      <c r="DI33" s="2227"/>
      <c r="DJ33" s="2172"/>
      <c r="DK33" s="2170"/>
      <c r="DL33" s="2184"/>
      <c r="DM33" s="2163"/>
      <c r="DN33" s="2227"/>
      <c r="DO33" s="2172"/>
      <c r="DP33" s="2170"/>
      <c r="DQ33" s="2184"/>
      <c r="DR33" s="3035"/>
      <c r="DS33" s="3112"/>
      <c r="DT33" s="3112"/>
      <c r="DU33" s="3038"/>
      <c r="DV33" s="206"/>
      <c r="DW33" s="2947"/>
    </row>
    <row r="34" spans="2:127" s="209" customFormat="1" ht="81" customHeight="1">
      <c r="B34" s="2118" t="s">
        <v>71</v>
      </c>
      <c r="C34" s="2190">
        <v>113941</v>
      </c>
      <c r="D34" s="2190">
        <v>4174</v>
      </c>
      <c r="E34" s="2190">
        <v>11481</v>
      </c>
      <c r="F34" s="2190">
        <v>135869</v>
      </c>
      <c r="G34" s="2190">
        <v>265465</v>
      </c>
      <c r="H34" s="2190">
        <v>130887</v>
      </c>
      <c r="I34" s="2190">
        <v>6503</v>
      </c>
      <c r="J34" s="2190">
        <v>8283</v>
      </c>
      <c r="K34" s="2190">
        <v>174295</v>
      </c>
      <c r="L34" s="2190">
        <v>319968</v>
      </c>
      <c r="M34" s="2190">
        <v>147838</v>
      </c>
      <c r="N34" s="2190">
        <v>5104</v>
      </c>
      <c r="O34" s="2190">
        <v>8931</v>
      </c>
      <c r="P34" s="2190">
        <v>196793</v>
      </c>
      <c r="Q34" s="2190">
        <v>358666</v>
      </c>
      <c r="R34" s="2190">
        <v>99950</v>
      </c>
      <c r="S34" s="2190">
        <v>3111</v>
      </c>
      <c r="T34" s="2190">
        <v>8936</v>
      </c>
      <c r="U34" s="2190">
        <v>183407</v>
      </c>
      <c r="V34" s="2190">
        <v>295404</v>
      </c>
      <c r="W34" s="2190">
        <v>126552</v>
      </c>
      <c r="X34" s="2190">
        <v>4967</v>
      </c>
      <c r="Y34" s="2190">
        <v>6181</v>
      </c>
      <c r="Z34" s="2190">
        <v>201043</v>
      </c>
      <c r="AA34" s="2190">
        <v>338743</v>
      </c>
      <c r="AB34" s="2190">
        <v>125634</v>
      </c>
      <c r="AC34" s="2190">
        <v>7671</v>
      </c>
      <c r="AD34" s="2190">
        <v>133305</v>
      </c>
      <c r="AE34" s="2190">
        <v>117892</v>
      </c>
      <c r="AF34" s="2190">
        <v>251197</v>
      </c>
      <c r="AG34" s="2190">
        <v>142005</v>
      </c>
      <c r="AH34" s="2190">
        <v>2803</v>
      </c>
      <c r="AI34" s="2190">
        <v>10809</v>
      </c>
      <c r="AJ34" s="2190">
        <v>138180</v>
      </c>
      <c r="AK34" s="2190">
        <v>293797</v>
      </c>
      <c r="AL34" s="2191">
        <v>139697</v>
      </c>
      <c r="AM34" s="2192">
        <v>4496</v>
      </c>
      <c r="AN34" s="2193">
        <v>11095</v>
      </c>
      <c r="AO34" s="2192">
        <v>270238</v>
      </c>
      <c r="AP34" s="2194">
        <v>425526</v>
      </c>
      <c r="AQ34" s="2191">
        <v>134531</v>
      </c>
      <c r="AR34" s="2192">
        <v>4190</v>
      </c>
      <c r="AS34" s="2193">
        <v>8438</v>
      </c>
      <c r="AT34" s="2192">
        <v>245519</v>
      </c>
      <c r="AU34" s="2194">
        <v>392678</v>
      </c>
      <c r="AV34" s="2191">
        <v>132916</v>
      </c>
      <c r="AW34" s="2192">
        <v>2308</v>
      </c>
      <c r="AX34" s="2193">
        <v>12726</v>
      </c>
      <c r="AY34" s="2192">
        <v>295631</v>
      </c>
      <c r="AZ34" s="2193">
        <v>443581</v>
      </c>
      <c r="BA34" s="2191">
        <v>143081</v>
      </c>
      <c r="BB34" s="2192">
        <v>4843</v>
      </c>
      <c r="BC34" s="2200">
        <v>13821</v>
      </c>
      <c r="BD34" s="2195">
        <v>255196</v>
      </c>
      <c r="BE34" s="2195">
        <v>416941</v>
      </c>
      <c r="BF34" s="2196">
        <f t="shared" ref="BF34:BO34" si="20">BF26+BF32</f>
        <v>153421</v>
      </c>
      <c r="BG34" s="2192">
        <f t="shared" si="20"/>
        <v>5177</v>
      </c>
      <c r="BH34" s="2200">
        <f t="shared" si="20"/>
        <v>16789</v>
      </c>
      <c r="BI34" s="2192">
        <f t="shared" si="20"/>
        <v>255073</v>
      </c>
      <c r="BJ34" s="2195">
        <f t="shared" si="20"/>
        <v>430460</v>
      </c>
      <c r="BK34" s="2196">
        <f t="shared" si="20"/>
        <v>148557</v>
      </c>
      <c r="BL34" s="2192">
        <f t="shared" si="20"/>
        <v>4356</v>
      </c>
      <c r="BM34" s="2200">
        <f t="shared" si="20"/>
        <v>19679</v>
      </c>
      <c r="BN34" s="2192">
        <f t="shared" si="20"/>
        <v>219123</v>
      </c>
      <c r="BO34" s="2195">
        <f t="shared" si="20"/>
        <v>391715</v>
      </c>
      <c r="BP34" s="2196">
        <f>BP26+BP32</f>
        <v>152510</v>
      </c>
      <c r="BQ34" s="2192">
        <f>BQ26+BQ32</f>
        <v>4538</v>
      </c>
      <c r="BR34" s="2200">
        <f>BR26+BR32</f>
        <v>18081</v>
      </c>
      <c r="BS34" s="2192">
        <f>BS26+BS32</f>
        <v>248529</v>
      </c>
      <c r="BT34" s="2195">
        <f>BT26+BT32</f>
        <v>423658</v>
      </c>
      <c r="BU34" s="2196">
        <f t="shared" ref="BU34:CA34" si="21">BU26+BU32</f>
        <v>162141</v>
      </c>
      <c r="BV34" s="2192">
        <f t="shared" si="21"/>
        <v>4060</v>
      </c>
      <c r="BW34" s="2192">
        <f t="shared" si="21"/>
        <v>19044</v>
      </c>
      <c r="BX34" s="2192">
        <f t="shared" si="21"/>
        <v>2372</v>
      </c>
      <c r="BY34" s="2192">
        <f t="shared" si="21"/>
        <v>21416</v>
      </c>
      <c r="BZ34" s="2192">
        <f t="shared" si="21"/>
        <v>277224</v>
      </c>
      <c r="CA34" s="2195">
        <f t="shared" si="21"/>
        <v>464841</v>
      </c>
      <c r="CB34" s="2196">
        <f t="shared" ref="CB34:CH34" si="22">CB26+CB32</f>
        <v>159484</v>
      </c>
      <c r="CC34" s="2192">
        <f t="shared" si="22"/>
        <v>5940</v>
      </c>
      <c r="CD34" s="2192">
        <f t="shared" si="22"/>
        <v>0</v>
      </c>
      <c r="CE34" s="2192">
        <f t="shared" si="22"/>
        <v>0</v>
      </c>
      <c r="CF34" s="2197">
        <f t="shared" si="22"/>
        <v>27700</v>
      </c>
      <c r="CG34" s="2192">
        <f t="shared" si="22"/>
        <v>277648</v>
      </c>
      <c r="CH34" s="2195">
        <f t="shared" si="22"/>
        <v>470772</v>
      </c>
      <c r="CI34" s="2198">
        <f t="shared" ref="CI34:CR34" si="23">SUM(CI32,CI26)</f>
        <v>164733</v>
      </c>
      <c r="CJ34" s="2199">
        <f t="shared" si="23"/>
        <v>6550</v>
      </c>
      <c r="CK34" s="2200">
        <f t="shared" si="23"/>
        <v>31546</v>
      </c>
      <c r="CL34" s="2199">
        <f t="shared" si="23"/>
        <v>261254</v>
      </c>
      <c r="CM34" s="2201">
        <f t="shared" si="23"/>
        <v>464083</v>
      </c>
      <c r="CN34" s="2198">
        <f t="shared" si="23"/>
        <v>188579</v>
      </c>
      <c r="CO34" s="2199">
        <f t="shared" si="23"/>
        <v>4847</v>
      </c>
      <c r="CP34" s="2200">
        <f t="shared" si="23"/>
        <v>20491</v>
      </c>
      <c r="CQ34" s="2199">
        <f t="shared" si="23"/>
        <v>263191</v>
      </c>
      <c r="CR34" s="2201">
        <f t="shared" si="23"/>
        <v>477108</v>
      </c>
      <c r="CS34" s="2198">
        <f t="shared" ref="CS34:DA34" si="24">SUM(CS32,CS26)</f>
        <v>188598</v>
      </c>
      <c r="CT34" s="2199">
        <f t="shared" si="24"/>
        <v>4627</v>
      </c>
      <c r="CU34" s="2202">
        <f t="shared" si="24"/>
        <v>23291</v>
      </c>
      <c r="CV34" s="2199">
        <f t="shared" si="24"/>
        <v>306008</v>
      </c>
      <c r="CW34" s="2201">
        <f t="shared" si="24"/>
        <v>522524</v>
      </c>
      <c r="CX34" s="2198">
        <f t="shared" si="24"/>
        <v>204128</v>
      </c>
      <c r="CY34" s="2203">
        <f t="shared" si="24"/>
        <v>4651</v>
      </c>
      <c r="CZ34" s="2203">
        <f t="shared" si="24"/>
        <v>29114</v>
      </c>
      <c r="DA34" s="2203">
        <f t="shared" si="24"/>
        <v>329089</v>
      </c>
      <c r="DB34" s="2201">
        <f t="shared" si="3"/>
        <v>566982</v>
      </c>
      <c r="DC34" s="2198">
        <f>SUM(DC32,DC26)</f>
        <v>39382</v>
      </c>
      <c r="DD34" s="2203">
        <f>SUM(DD32,DD26)</f>
        <v>2296</v>
      </c>
      <c r="DE34" s="2204">
        <f>SUM(DE32,DE26)</f>
        <v>1200</v>
      </c>
      <c r="DF34" s="2203">
        <f>SUM(DF32,DF26)</f>
        <v>0</v>
      </c>
      <c r="DG34" s="2205">
        <f>SUM(DC34:DF34)</f>
        <v>42878</v>
      </c>
      <c r="DH34" s="2198">
        <f>SUM(DH32,DH26)</f>
        <v>134865</v>
      </c>
      <c r="DI34" s="2203">
        <f>SUM(DI32,DI26)</f>
        <v>2503</v>
      </c>
      <c r="DJ34" s="2204">
        <f>SUM(DJ32,DJ26)</f>
        <v>4119</v>
      </c>
      <c r="DK34" s="2203">
        <f>SUM(DK32,DK26)</f>
        <v>93196</v>
      </c>
      <c r="DL34" s="2205">
        <f>SUM(DH34:DK34)</f>
        <v>234683</v>
      </c>
      <c r="DM34" s="2203">
        <f>SUM(DM32,DM26)</f>
        <v>185453</v>
      </c>
      <c r="DN34" s="2203">
        <f>SUM(DN32,DN26)</f>
        <v>4461</v>
      </c>
      <c r="DO34" s="2203">
        <f>SUM(DO32,DO26)</f>
        <v>14779</v>
      </c>
      <c r="DP34" s="2203">
        <f>SUM(DP32,DP26)</f>
        <v>184656</v>
      </c>
      <c r="DQ34" s="2205">
        <f>SUM(DM34:DP34)</f>
        <v>389349</v>
      </c>
      <c r="DR34" s="2196">
        <f>DR26+DR32</f>
        <v>177863</v>
      </c>
      <c r="DS34" s="3111">
        <f>DS26+DS32</f>
        <v>6596</v>
      </c>
      <c r="DT34" s="3111">
        <f>DT26+DT32</f>
        <v>15700</v>
      </c>
      <c r="DU34" s="3042">
        <f>DU26+DU32</f>
        <v>180637</v>
      </c>
      <c r="DV34" s="2205">
        <f>SUM(DR34:DU34)</f>
        <v>380796</v>
      </c>
      <c r="DW34" s="2947"/>
    </row>
    <row r="35" spans="2:127" ht="25.5" customHeight="1" thickBot="1">
      <c r="B35" s="2118"/>
      <c r="C35" s="2146"/>
      <c r="D35" s="2146"/>
      <c r="E35" s="2146"/>
      <c r="F35" s="2146"/>
      <c r="G35" s="2146"/>
      <c r="H35" s="2146"/>
      <c r="I35" s="2146"/>
      <c r="J35" s="2146"/>
      <c r="K35" s="2146"/>
      <c r="L35" s="2146"/>
      <c r="M35" s="2146"/>
      <c r="N35" s="2146"/>
      <c r="O35" s="2146"/>
      <c r="P35" s="2146"/>
      <c r="Q35" s="2146"/>
      <c r="R35" s="2146"/>
      <c r="S35" s="2146"/>
      <c r="T35" s="2146"/>
      <c r="U35" s="2146"/>
      <c r="V35" s="1247"/>
      <c r="W35" s="1247"/>
      <c r="X35" s="1247"/>
      <c r="Y35" s="1247"/>
      <c r="Z35" s="1247"/>
      <c r="AA35" s="1247"/>
      <c r="AB35" s="1247"/>
      <c r="AC35" s="1247"/>
      <c r="AD35" s="1247"/>
      <c r="AE35" s="1247"/>
      <c r="AF35" s="2146"/>
      <c r="AG35" s="2146"/>
      <c r="AH35" s="2146"/>
      <c r="AI35" s="2146"/>
      <c r="AJ35" s="2146"/>
      <c r="AK35" s="2146"/>
      <c r="AL35" s="2175"/>
      <c r="AM35" s="2176"/>
      <c r="AN35" s="2177"/>
      <c r="AO35" s="2176"/>
      <c r="AP35" s="2178"/>
      <c r="AQ35" s="2211"/>
      <c r="AR35" s="2176"/>
      <c r="AS35" s="2177"/>
      <c r="AT35" s="2176"/>
      <c r="AU35" s="2178"/>
      <c r="AV35" s="2211"/>
      <c r="AW35" s="2176"/>
      <c r="AX35" s="2177"/>
      <c r="AY35" s="2176"/>
      <c r="AZ35" s="2177"/>
      <c r="BA35" s="2228"/>
      <c r="BB35" s="2229"/>
      <c r="BC35" s="2176"/>
      <c r="BD35" s="2195"/>
      <c r="BE35" s="2195"/>
      <c r="BF35" s="2230"/>
      <c r="BG35" s="2229"/>
      <c r="BH35" s="2176"/>
      <c r="BI35" s="2192"/>
      <c r="BJ35" s="2231"/>
      <c r="BK35" s="2230"/>
      <c r="BL35" s="2229"/>
      <c r="BM35" s="2176"/>
      <c r="BN35" s="2192"/>
      <c r="BO35" s="2231"/>
      <c r="BP35" s="2230"/>
      <c r="BQ35" s="2229"/>
      <c r="BR35" s="2176"/>
      <c r="BS35" s="2192"/>
      <c r="BT35" s="2231"/>
      <c r="BU35" s="2180"/>
      <c r="BV35" s="2176"/>
      <c r="BW35" s="2176"/>
      <c r="BX35" s="2176"/>
      <c r="BY35" s="2176"/>
      <c r="BZ35" s="2176"/>
      <c r="CA35" s="2179"/>
      <c r="CB35" s="2180"/>
      <c r="CC35" s="2176"/>
      <c r="CD35" s="2176"/>
      <c r="CE35" s="2176"/>
      <c r="CF35" s="2181"/>
      <c r="CG35" s="2176"/>
      <c r="CH35" s="2179"/>
      <c r="CI35" s="2232"/>
      <c r="CJ35" s="2164"/>
      <c r="CK35" s="2164"/>
      <c r="CL35" s="2164"/>
      <c r="CM35" s="2165"/>
      <c r="CN35" s="2232"/>
      <c r="CO35" s="2164"/>
      <c r="CP35" s="2164"/>
      <c r="CQ35" s="2164"/>
      <c r="CR35" s="2165"/>
      <c r="CS35" s="2233"/>
      <c r="CT35" s="2169"/>
      <c r="CU35" s="2169"/>
      <c r="CV35" s="2169"/>
      <c r="CW35" s="2165"/>
      <c r="CX35" s="2163"/>
      <c r="CY35" s="2170"/>
      <c r="CZ35" s="2170"/>
      <c r="DA35" s="2170"/>
      <c r="DB35" s="2184"/>
      <c r="DC35" s="2163"/>
      <c r="DD35" s="2227"/>
      <c r="DE35" s="2172"/>
      <c r="DF35" s="2170"/>
      <c r="DG35" s="2184"/>
      <c r="DH35" s="2163"/>
      <c r="DI35" s="2227"/>
      <c r="DJ35" s="2172"/>
      <c r="DK35" s="2170"/>
      <c r="DL35" s="2184"/>
      <c r="DM35" s="2163"/>
      <c r="DN35" s="2227"/>
      <c r="DO35" s="2172"/>
      <c r="DP35" s="2170"/>
      <c r="DQ35" s="2184"/>
      <c r="DR35" s="3039"/>
      <c r="DS35" s="3040"/>
      <c r="DT35" s="3041"/>
      <c r="DU35" s="3040"/>
      <c r="DV35" s="206"/>
      <c r="DW35" s="2947"/>
    </row>
    <row r="36" spans="2:127" s="210" customFormat="1" ht="48" customHeight="1" thickBot="1">
      <c r="B36" s="2234" t="s">
        <v>394</v>
      </c>
      <c r="C36" s="2235">
        <v>253463</v>
      </c>
      <c r="D36" s="2235">
        <v>7712</v>
      </c>
      <c r="E36" s="2235">
        <v>25516</v>
      </c>
      <c r="F36" s="2235">
        <v>387180</v>
      </c>
      <c r="G36" s="2235">
        <v>673871</v>
      </c>
      <c r="H36" s="2235">
        <v>276948</v>
      </c>
      <c r="I36" s="2235">
        <v>12817</v>
      </c>
      <c r="J36" s="2235">
        <v>21209</v>
      </c>
      <c r="K36" s="2235">
        <v>393262</v>
      </c>
      <c r="L36" s="2235">
        <v>704236</v>
      </c>
      <c r="M36" s="2235">
        <v>298431</v>
      </c>
      <c r="N36" s="2235">
        <v>11441</v>
      </c>
      <c r="O36" s="2235">
        <v>22530</v>
      </c>
      <c r="P36" s="2235">
        <v>481279</v>
      </c>
      <c r="Q36" s="2235">
        <v>813681</v>
      </c>
      <c r="R36" s="2235">
        <v>250132</v>
      </c>
      <c r="S36" s="2235">
        <v>7176</v>
      </c>
      <c r="T36" s="2235">
        <v>19817</v>
      </c>
      <c r="U36" s="2235">
        <v>489912</v>
      </c>
      <c r="V36" s="2235">
        <v>767037</v>
      </c>
      <c r="W36" s="2235">
        <v>269850</v>
      </c>
      <c r="X36" s="2235">
        <v>12853</v>
      </c>
      <c r="Y36" s="2235">
        <v>16069</v>
      </c>
      <c r="Z36" s="2235">
        <v>443551</v>
      </c>
      <c r="AA36" s="2235">
        <v>742323</v>
      </c>
      <c r="AB36" s="2235">
        <v>263793</v>
      </c>
      <c r="AC36" s="2235">
        <v>10243</v>
      </c>
      <c r="AD36" s="2235">
        <v>274036</v>
      </c>
      <c r="AE36" s="2235">
        <v>351233</v>
      </c>
      <c r="AF36" s="2235">
        <v>625269</v>
      </c>
      <c r="AG36" s="2235">
        <v>302510</v>
      </c>
      <c r="AH36" s="2235">
        <v>7051</v>
      </c>
      <c r="AI36" s="2235">
        <v>26146</v>
      </c>
      <c r="AJ36" s="2235">
        <v>359573</v>
      </c>
      <c r="AK36" s="2235">
        <v>695280</v>
      </c>
      <c r="AL36" s="2236">
        <v>287518</v>
      </c>
      <c r="AM36" s="2237">
        <v>7777</v>
      </c>
      <c r="AN36" s="2238">
        <v>26163</v>
      </c>
      <c r="AO36" s="2237">
        <v>610343</v>
      </c>
      <c r="AP36" s="2239">
        <v>931801</v>
      </c>
      <c r="AQ36" s="2236">
        <v>295761</v>
      </c>
      <c r="AR36" s="2237">
        <v>9582</v>
      </c>
      <c r="AS36" s="2238">
        <v>22422</v>
      </c>
      <c r="AT36" s="2237">
        <v>619680</v>
      </c>
      <c r="AU36" s="2239">
        <v>947445</v>
      </c>
      <c r="AV36" s="2236">
        <v>278491</v>
      </c>
      <c r="AW36" s="2237">
        <v>4967</v>
      </c>
      <c r="AX36" s="2238">
        <v>31997</v>
      </c>
      <c r="AY36" s="2237">
        <v>699306</v>
      </c>
      <c r="AZ36" s="2238">
        <v>1014761</v>
      </c>
      <c r="BA36" s="2236">
        <v>305937</v>
      </c>
      <c r="BB36" s="2237">
        <v>7613</v>
      </c>
      <c r="BC36" s="2237">
        <v>32052</v>
      </c>
      <c r="BD36" s="2240">
        <v>670043</v>
      </c>
      <c r="BE36" s="2240">
        <v>1015645</v>
      </c>
      <c r="BF36" s="2241">
        <f t="shared" ref="BF36:BO36" si="25">BF12+BF18+BF26+BF32</f>
        <v>312404</v>
      </c>
      <c r="BG36" s="2237">
        <f t="shared" si="25"/>
        <v>10523</v>
      </c>
      <c r="BH36" s="2237">
        <f t="shared" si="25"/>
        <v>41730</v>
      </c>
      <c r="BI36" s="2237">
        <f t="shared" si="25"/>
        <v>630304</v>
      </c>
      <c r="BJ36" s="2240">
        <f t="shared" si="25"/>
        <v>994961</v>
      </c>
      <c r="BK36" s="2241">
        <f t="shared" si="25"/>
        <v>306801</v>
      </c>
      <c r="BL36" s="2237">
        <f t="shared" si="25"/>
        <v>10363</v>
      </c>
      <c r="BM36" s="2237">
        <f t="shared" si="25"/>
        <v>42173</v>
      </c>
      <c r="BN36" s="2237">
        <f t="shared" si="25"/>
        <v>571894</v>
      </c>
      <c r="BO36" s="2240">
        <f t="shared" si="25"/>
        <v>931231</v>
      </c>
      <c r="BP36" s="2241">
        <f t="shared" ref="BP36:BU36" si="26">BP12+BP18+BP26+BP32</f>
        <v>318626</v>
      </c>
      <c r="BQ36" s="2237">
        <f t="shared" si="26"/>
        <v>8227</v>
      </c>
      <c r="BR36" s="2237">
        <f t="shared" si="26"/>
        <v>39646</v>
      </c>
      <c r="BS36" s="2237">
        <f t="shared" si="26"/>
        <v>594118</v>
      </c>
      <c r="BT36" s="2240">
        <f t="shared" si="26"/>
        <v>960617</v>
      </c>
      <c r="BU36" s="2241">
        <f t="shared" si="26"/>
        <v>338158</v>
      </c>
      <c r="BV36" s="2237">
        <f t="shared" ref="BV36:CA36" si="27">BV12+BV18+BV26+BV32</f>
        <v>7526</v>
      </c>
      <c r="BW36" s="2237">
        <f t="shared" si="27"/>
        <v>39265</v>
      </c>
      <c r="BX36" s="2237">
        <f t="shared" si="27"/>
        <v>7931</v>
      </c>
      <c r="BY36" s="2237">
        <f t="shared" si="27"/>
        <v>47196</v>
      </c>
      <c r="BZ36" s="2237">
        <f t="shared" si="27"/>
        <v>641452</v>
      </c>
      <c r="CA36" s="2240">
        <f t="shared" si="27"/>
        <v>1034332</v>
      </c>
      <c r="CB36" s="2241">
        <f t="shared" ref="CB36:CH36" si="28">CB12+CB18+CB26+CB32</f>
        <v>344908</v>
      </c>
      <c r="CC36" s="2237">
        <f t="shared" si="28"/>
        <v>9080</v>
      </c>
      <c r="CD36" s="2237">
        <f t="shared" si="28"/>
        <v>0</v>
      </c>
      <c r="CE36" s="2237">
        <f t="shared" si="28"/>
        <v>0</v>
      </c>
      <c r="CF36" s="2237">
        <f t="shared" si="28"/>
        <v>65831</v>
      </c>
      <c r="CG36" s="2237">
        <f t="shared" si="28"/>
        <v>677394</v>
      </c>
      <c r="CH36" s="2240">
        <f t="shared" si="28"/>
        <v>1097213</v>
      </c>
      <c r="CI36" s="2242">
        <f t="shared" ref="CI36:CY36" si="29">CI12+CI18+CI26+CI32</f>
        <v>347872</v>
      </c>
      <c r="CJ36" s="2243">
        <f t="shared" si="29"/>
        <v>12483</v>
      </c>
      <c r="CK36" s="2243">
        <f t="shared" si="29"/>
        <v>63243</v>
      </c>
      <c r="CL36" s="2243">
        <f t="shared" si="29"/>
        <v>587421</v>
      </c>
      <c r="CM36" s="2244">
        <f t="shared" si="29"/>
        <v>1011019</v>
      </c>
      <c r="CN36" s="2242">
        <f t="shared" si="29"/>
        <v>386127</v>
      </c>
      <c r="CO36" s="2243">
        <f t="shared" si="29"/>
        <v>9215</v>
      </c>
      <c r="CP36" s="2243">
        <f t="shared" si="29"/>
        <v>50197</v>
      </c>
      <c r="CQ36" s="2243">
        <f t="shared" si="29"/>
        <v>669217</v>
      </c>
      <c r="CR36" s="2244">
        <f t="shared" si="29"/>
        <v>1114756</v>
      </c>
      <c r="CS36" s="2242">
        <f t="shared" si="29"/>
        <v>394780</v>
      </c>
      <c r="CT36" s="2243">
        <f t="shared" si="29"/>
        <v>9981</v>
      </c>
      <c r="CU36" s="2243">
        <f t="shared" si="29"/>
        <v>63596</v>
      </c>
      <c r="CV36" s="2243">
        <f t="shared" si="29"/>
        <v>760306</v>
      </c>
      <c r="CW36" s="2244">
        <f t="shared" si="29"/>
        <v>1228663</v>
      </c>
      <c r="CX36" s="2242">
        <f t="shared" si="29"/>
        <v>423736</v>
      </c>
      <c r="CY36" s="2245">
        <f t="shared" si="29"/>
        <v>8979</v>
      </c>
      <c r="CZ36" s="2246">
        <f>SUM(CZ32,CZ26,CZ18,CZ12)</f>
        <v>66202</v>
      </c>
      <c r="DA36" s="2245">
        <f>SUM(DA32,DA26,DA18,DA12)</f>
        <v>796211</v>
      </c>
      <c r="DB36" s="2244">
        <f>SUM(DB32,DB26,DB18,DB12)</f>
        <v>1295128</v>
      </c>
      <c r="DC36" s="2242">
        <f>DC12+DC18+DC26+DC32</f>
        <v>130781</v>
      </c>
      <c r="DD36" s="2245">
        <f>DD12+DD18+DD26+DD32</f>
        <v>3956</v>
      </c>
      <c r="DE36" s="2247">
        <f>SUM(DE32,DE26,DE18,DE12)</f>
        <v>22323</v>
      </c>
      <c r="DF36" s="2246">
        <f>SUM(DF32,DF26,DF18,DF12)</f>
        <v>297885</v>
      </c>
      <c r="DG36" s="2248">
        <f>SUM(DG32,DG26,DG18,DG12)</f>
        <v>454945</v>
      </c>
      <c r="DH36" s="2242">
        <f>DH12+DH18+DH26+DH32</f>
        <v>199347</v>
      </c>
      <c r="DI36" s="2245">
        <f>DI12+DI18+DI26+DI32</f>
        <v>4052</v>
      </c>
      <c r="DJ36" s="2247">
        <f>SUM(DJ32,DJ26,DJ18,DJ12)</f>
        <v>4666</v>
      </c>
      <c r="DK36" s="2246">
        <f t="shared" ref="DK36:DQ36" si="30">SUM(DK32,DK26,DK18,DK12)</f>
        <v>93610</v>
      </c>
      <c r="DL36" s="2248">
        <f t="shared" si="30"/>
        <v>301675</v>
      </c>
      <c r="DM36" s="2246">
        <f t="shared" si="30"/>
        <v>356237</v>
      </c>
      <c r="DN36" s="2246">
        <f t="shared" si="30"/>
        <v>7892</v>
      </c>
      <c r="DO36" s="2246">
        <f t="shared" si="30"/>
        <v>22904</v>
      </c>
      <c r="DP36" s="2246">
        <f t="shared" si="30"/>
        <v>349922</v>
      </c>
      <c r="DQ36" s="2248">
        <f t="shared" si="30"/>
        <v>736955</v>
      </c>
      <c r="DR36" s="2236">
        <f>DR12+DR18+DR26+DR32</f>
        <v>380791</v>
      </c>
      <c r="DS36" s="4850">
        <f>DS12+DS18+DS26+DS32</f>
        <v>11227</v>
      </c>
      <c r="DT36" s="4850">
        <f>DT12+DT18+DT26+DT32</f>
        <v>40295</v>
      </c>
      <c r="DU36" s="4851">
        <f>DU12+DU18+DU26+DU32</f>
        <v>614980</v>
      </c>
      <c r="DV36" s="3196">
        <f>SUM(DV32,DV26,DV18,DV12)</f>
        <v>1047293</v>
      </c>
      <c r="DW36" s="2947"/>
    </row>
    <row r="37" spans="2:127" ht="60" customHeight="1">
      <c r="B37" s="5169" t="s">
        <v>1512</v>
      </c>
      <c r="C37" s="5169"/>
      <c r="D37" s="5169"/>
      <c r="E37" s="5169"/>
      <c r="F37" s="5169"/>
      <c r="G37" s="5169"/>
      <c r="H37" s="5169"/>
      <c r="I37" s="5169"/>
      <c r="J37" s="5169"/>
      <c r="K37" s="5169"/>
      <c r="L37" s="5169"/>
      <c r="M37" s="5169"/>
      <c r="N37" s="5169"/>
      <c r="O37" s="5169"/>
      <c r="P37" s="5169"/>
      <c r="Q37" s="5169"/>
      <c r="R37" s="5169"/>
      <c r="S37" s="5169"/>
      <c r="T37" s="5169"/>
      <c r="U37" s="5169"/>
      <c r="V37" s="5169"/>
      <c r="W37" s="5169"/>
      <c r="X37" s="5169"/>
      <c r="Y37" s="5169"/>
      <c r="Z37" s="5169"/>
      <c r="AA37" s="5169"/>
      <c r="AB37" s="5169"/>
      <c r="AC37" s="5169"/>
      <c r="AD37" s="5169"/>
      <c r="AE37" s="5169"/>
      <c r="AF37" s="5169"/>
      <c r="AG37" s="5169"/>
      <c r="AH37" s="5169"/>
      <c r="AI37" s="5169"/>
      <c r="AJ37" s="5169"/>
      <c r="AK37" s="5169"/>
      <c r="AL37" s="5169"/>
      <c r="AM37" s="5169"/>
      <c r="AN37" s="5169"/>
      <c r="AO37" s="5169"/>
      <c r="AP37" s="5169"/>
      <c r="AQ37" s="5169"/>
      <c r="AR37" s="5169"/>
      <c r="AS37" s="5169"/>
      <c r="AT37" s="5169"/>
      <c r="AU37" s="5169"/>
      <c r="AV37" s="5169"/>
      <c r="AW37" s="5169"/>
      <c r="AX37" s="5169"/>
      <c r="AY37" s="5169"/>
      <c r="AZ37" s="5169"/>
      <c r="BA37" s="5169"/>
      <c r="BB37" s="5169"/>
      <c r="BC37" s="5169"/>
      <c r="BD37" s="5169"/>
      <c r="BE37" s="5169"/>
      <c r="BF37" s="5169"/>
      <c r="BG37" s="5169"/>
      <c r="BH37" s="5169"/>
      <c r="BI37" s="5169"/>
      <c r="BJ37" s="5169"/>
      <c r="BK37" s="5169"/>
      <c r="BL37" s="5169"/>
      <c r="BM37" s="5169"/>
      <c r="BN37" s="5169"/>
      <c r="BO37" s="5169"/>
      <c r="BP37" s="5169"/>
      <c r="BQ37" s="5169"/>
      <c r="BR37" s="5169"/>
      <c r="BS37" s="5169"/>
      <c r="BT37" s="5169"/>
      <c r="BU37" s="5169"/>
      <c r="BV37" s="5169"/>
      <c r="BW37" s="5169"/>
      <c r="BX37" s="5169"/>
      <c r="BY37" s="5169"/>
      <c r="BZ37" s="5169"/>
      <c r="CA37" s="5170"/>
      <c r="CB37" s="5170"/>
      <c r="CC37" s="5170"/>
      <c r="CD37" s="5170"/>
      <c r="CE37" s="5170"/>
      <c r="CF37" s="5170"/>
      <c r="CG37" s="5170"/>
      <c r="CH37" s="5170"/>
      <c r="CI37" s="5170"/>
      <c r="CJ37" s="5171"/>
      <c r="CK37" s="5171"/>
      <c r="CL37" s="5171"/>
      <c r="CM37" s="5171"/>
      <c r="CN37" s="5171"/>
      <c r="CO37" s="5171"/>
      <c r="CP37" s="5171"/>
      <c r="CQ37" s="5171"/>
      <c r="CR37" s="5171"/>
      <c r="CS37" s="5170"/>
      <c r="CT37" s="5170"/>
      <c r="CU37" s="5170"/>
      <c r="CV37" s="5170"/>
      <c r="CW37" s="5170"/>
      <c r="CX37" s="5172"/>
      <c r="CY37" s="5170"/>
      <c r="CZ37" s="5170"/>
      <c r="DA37" s="5170"/>
      <c r="DB37" s="5170"/>
    </row>
    <row r="38" spans="2:127" ht="60" customHeight="1">
      <c r="B38" s="5169" t="s">
        <v>268</v>
      </c>
      <c r="C38" s="5169"/>
      <c r="D38" s="5169"/>
      <c r="E38" s="5169"/>
      <c r="F38" s="5169"/>
      <c r="G38" s="5169"/>
      <c r="H38" s="5169"/>
      <c r="I38" s="5169"/>
      <c r="J38" s="5169"/>
      <c r="K38" s="5169"/>
      <c r="L38" s="5169"/>
      <c r="M38" s="5169"/>
      <c r="N38" s="5169"/>
      <c r="O38" s="5169"/>
      <c r="P38" s="5169"/>
      <c r="Q38" s="5169"/>
      <c r="R38" s="5169"/>
      <c r="S38" s="5169"/>
      <c r="T38" s="5169"/>
      <c r="U38" s="5169"/>
      <c r="V38" s="5169"/>
      <c r="W38" s="5169"/>
      <c r="X38" s="5169"/>
      <c r="Y38" s="5169"/>
      <c r="Z38" s="5169"/>
      <c r="AA38" s="5169"/>
      <c r="AB38" s="5169"/>
      <c r="AC38" s="5169"/>
      <c r="AD38" s="5169"/>
      <c r="AE38" s="5169"/>
      <c r="AF38" s="5169"/>
      <c r="AG38" s="5169"/>
      <c r="AH38" s="5169"/>
      <c r="AI38" s="5169"/>
      <c r="AJ38" s="5169"/>
      <c r="AK38" s="5169"/>
      <c r="AL38" s="5169"/>
      <c r="AM38" s="5169"/>
      <c r="AN38" s="5169"/>
      <c r="AO38" s="5169"/>
      <c r="AP38" s="5169"/>
      <c r="AQ38" s="5169"/>
      <c r="AR38" s="5169"/>
      <c r="AS38" s="5169"/>
      <c r="AT38" s="5169"/>
      <c r="AU38" s="5169"/>
      <c r="AV38" s="5169"/>
      <c r="AW38" s="5169"/>
      <c r="AX38" s="5169"/>
      <c r="AY38" s="5169"/>
      <c r="AZ38" s="5169"/>
      <c r="BA38" s="5169"/>
      <c r="BB38" s="5169"/>
      <c r="BC38" s="5169"/>
      <c r="BD38" s="5169"/>
      <c r="BE38" s="5169"/>
      <c r="BF38" s="5169"/>
      <c r="BG38" s="5169"/>
      <c r="BH38" s="5169"/>
      <c r="BI38" s="5169"/>
      <c r="BJ38" s="5169"/>
      <c r="BK38" s="5169"/>
      <c r="BL38" s="5169"/>
      <c r="BM38" s="5169"/>
      <c r="BN38" s="5169"/>
      <c r="BO38" s="5169"/>
      <c r="BP38" s="5169"/>
      <c r="BQ38" s="5169"/>
      <c r="BR38" s="5169"/>
      <c r="BS38" s="5169"/>
      <c r="BT38" s="5169"/>
      <c r="BU38" s="5169"/>
      <c r="BV38" s="5169"/>
      <c r="BW38" s="5169"/>
      <c r="BX38" s="5169"/>
      <c r="BY38" s="5169"/>
      <c r="BZ38" s="5169"/>
      <c r="CA38" s="5170"/>
      <c r="CB38" s="5170"/>
      <c r="CC38" s="5170"/>
      <c r="CD38" s="5170"/>
      <c r="CE38" s="5170"/>
      <c r="CF38" s="5170"/>
      <c r="CG38" s="5170"/>
      <c r="CH38" s="5170"/>
      <c r="CI38" s="5170"/>
      <c r="CJ38" s="5171"/>
      <c r="CK38" s="5171"/>
      <c r="CL38" s="5171"/>
      <c r="CM38" s="5171"/>
      <c r="CN38" s="5171"/>
      <c r="CO38" s="5171"/>
      <c r="CP38" s="5171"/>
      <c r="CQ38" s="5171"/>
      <c r="CR38" s="5171"/>
      <c r="CS38" s="5170"/>
      <c r="CT38" s="5170"/>
      <c r="CU38" s="5170"/>
      <c r="CV38" s="5170"/>
      <c r="CW38" s="5170"/>
      <c r="CX38" s="5172"/>
      <c r="CY38" s="5170"/>
      <c r="CZ38" s="5170"/>
      <c r="DA38" s="5170"/>
      <c r="DB38" s="5170"/>
    </row>
    <row r="39" spans="2:127" ht="60" customHeight="1">
      <c r="B39" s="5169" t="s">
        <v>269</v>
      </c>
      <c r="C39" s="5169"/>
      <c r="D39" s="5169"/>
      <c r="E39" s="5169"/>
      <c r="F39" s="5169"/>
      <c r="G39" s="5169"/>
      <c r="H39" s="5169"/>
      <c r="I39" s="5169"/>
      <c r="J39" s="5169"/>
      <c r="K39" s="5169"/>
      <c r="L39" s="5169"/>
      <c r="M39" s="5169"/>
      <c r="N39" s="5169"/>
      <c r="O39" s="5169"/>
      <c r="P39" s="5169"/>
      <c r="Q39" s="5169"/>
      <c r="R39" s="5169"/>
      <c r="S39" s="5169"/>
      <c r="T39" s="5169"/>
      <c r="U39" s="5169"/>
      <c r="V39" s="5169"/>
      <c r="W39" s="5169"/>
      <c r="X39" s="5169"/>
      <c r="Y39" s="5169"/>
      <c r="Z39" s="5169"/>
      <c r="AA39" s="5169"/>
      <c r="AB39" s="5169"/>
      <c r="AC39" s="5169"/>
      <c r="AD39" s="5169"/>
      <c r="AE39" s="5169"/>
      <c r="AF39" s="5169"/>
      <c r="AG39" s="5169"/>
      <c r="AH39" s="5169"/>
      <c r="AI39" s="5169"/>
      <c r="AJ39" s="5169"/>
      <c r="AK39" s="5169"/>
      <c r="AL39" s="5169"/>
      <c r="AM39" s="5169"/>
      <c r="AN39" s="5169"/>
      <c r="AO39" s="5169"/>
      <c r="AP39" s="5169"/>
      <c r="AQ39" s="5169"/>
      <c r="AR39" s="5169"/>
      <c r="AS39" s="5169"/>
      <c r="AT39" s="5169"/>
      <c r="AU39" s="5169"/>
      <c r="AV39" s="5169"/>
      <c r="AW39" s="5169"/>
      <c r="AX39" s="5169"/>
      <c r="AY39" s="5169"/>
      <c r="AZ39" s="5169"/>
      <c r="BA39" s="5169"/>
      <c r="BB39" s="5169"/>
      <c r="BC39" s="5169"/>
      <c r="BD39" s="5169"/>
      <c r="BE39" s="5169"/>
      <c r="BF39" s="5169"/>
      <c r="BG39" s="5169"/>
      <c r="BH39" s="5169"/>
      <c r="BI39" s="5169"/>
      <c r="BJ39" s="5169"/>
      <c r="BK39" s="5169"/>
      <c r="BL39" s="5169"/>
      <c r="BM39" s="5169"/>
      <c r="BN39" s="5169"/>
      <c r="BO39" s="5169"/>
      <c r="BP39" s="5169"/>
      <c r="BQ39" s="5169"/>
      <c r="BR39" s="5169"/>
      <c r="BS39" s="5169"/>
      <c r="BT39" s="5169"/>
      <c r="BU39" s="5169"/>
      <c r="BV39" s="5169"/>
      <c r="BW39" s="5169"/>
      <c r="BX39" s="5169"/>
      <c r="BY39" s="5169"/>
      <c r="BZ39" s="5169"/>
      <c r="CA39" s="5170"/>
      <c r="CB39" s="5170"/>
      <c r="CC39" s="5170"/>
      <c r="CD39" s="5170"/>
      <c r="CE39" s="5170"/>
      <c r="CF39" s="5170"/>
      <c r="CG39" s="5170"/>
      <c r="CH39" s="5170"/>
      <c r="CI39" s="5170"/>
      <c r="CJ39" s="5171"/>
      <c r="CK39" s="5171"/>
      <c r="CL39" s="5171"/>
      <c r="CM39" s="5171"/>
      <c r="CN39" s="5171"/>
      <c r="CO39" s="5171"/>
      <c r="CP39" s="5171"/>
      <c r="CQ39" s="5171"/>
      <c r="CR39" s="5171"/>
      <c r="CS39" s="5170"/>
      <c r="CT39" s="5170"/>
      <c r="CU39" s="5170"/>
      <c r="CV39" s="5170"/>
      <c r="CW39" s="5170"/>
      <c r="CX39" s="5172"/>
      <c r="CY39" s="5170"/>
      <c r="CZ39" s="5170"/>
      <c r="DA39" s="5170"/>
      <c r="DB39" s="5170"/>
    </row>
    <row r="40" spans="2:127" s="429" customFormat="1" ht="60" customHeight="1">
      <c r="B40" s="5169" t="s">
        <v>875</v>
      </c>
      <c r="C40" s="5173"/>
      <c r="D40" s="5173"/>
      <c r="E40" s="5173"/>
      <c r="F40" s="5173"/>
      <c r="G40" s="5173"/>
      <c r="H40" s="5174"/>
      <c r="I40" s="5174"/>
      <c r="J40" s="5174"/>
      <c r="K40" s="5174"/>
      <c r="L40" s="5174"/>
      <c r="M40" s="5173"/>
      <c r="N40" s="5173"/>
      <c r="O40" s="5173"/>
      <c r="P40" s="5173"/>
      <c r="Q40" s="5173"/>
      <c r="R40" s="5173"/>
      <c r="S40" s="5173"/>
      <c r="T40" s="5173"/>
      <c r="U40" s="5173"/>
      <c r="V40" s="5173"/>
      <c r="W40" s="5173"/>
      <c r="X40" s="5173"/>
      <c r="Y40" s="5173"/>
      <c r="Z40" s="5173"/>
      <c r="AA40" s="5173"/>
      <c r="AB40" s="5173"/>
      <c r="AC40" s="5173"/>
      <c r="AD40" s="5173"/>
      <c r="AE40" s="5173"/>
      <c r="AF40" s="5173"/>
      <c r="AG40" s="5173"/>
      <c r="AH40" s="5173"/>
      <c r="AI40" s="5173"/>
      <c r="AJ40" s="5173"/>
      <c r="AK40" s="5173"/>
      <c r="AL40" s="5175"/>
      <c r="AM40" s="5173"/>
      <c r="AN40" s="5173"/>
      <c r="AO40" s="5173"/>
      <c r="AP40" s="5173"/>
      <c r="AQ40" s="5176"/>
      <c r="AR40" s="5177"/>
      <c r="AS40" s="5177"/>
      <c r="AT40" s="5177"/>
      <c r="AU40" s="5177"/>
      <c r="AV40" s="5177"/>
      <c r="AW40" s="5177"/>
      <c r="AX40" s="5177"/>
      <c r="AY40" s="5177"/>
      <c r="AZ40" s="5177"/>
      <c r="BA40" s="5177"/>
      <c r="BB40" s="5177"/>
      <c r="BC40" s="5177"/>
      <c r="BD40" s="5177"/>
      <c r="BE40" s="5177"/>
      <c r="BF40" s="5173"/>
      <c r="BG40" s="5173"/>
      <c r="BH40" s="5173"/>
      <c r="BI40" s="5173"/>
      <c r="BJ40" s="5173"/>
      <c r="BK40" s="5173"/>
      <c r="BL40" s="5173"/>
      <c r="BM40" s="5173"/>
      <c r="BN40" s="5173"/>
      <c r="BO40" s="5173"/>
      <c r="BP40" s="5173"/>
      <c r="BQ40" s="5173"/>
      <c r="BR40" s="5173"/>
      <c r="BS40" s="5173"/>
      <c r="BT40" s="5175"/>
      <c r="BU40" s="5173"/>
      <c r="BV40" s="5173"/>
      <c r="BW40" s="5173"/>
      <c r="BX40" s="5173"/>
      <c r="BY40" s="5173"/>
      <c r="BZ40" s="5173"/>
      <c r="CA40" s="5173"/>
      <c r="CB40" s="5173"/>
      <c r="CC40" s="5173"/>
      <c r="CD40" s="5173"/>
      <c r="CE40" s="5173"/>
      <c r="CF40" s="5173"/>
      <c r="CG40" s="5173"/>
      <c r="CH40" s="5173"/>
      <c r="CI40" s="5173"/>
      <c r="CJ40" s="5177"/>
      <c r="CK40" s="5177"/>
      <c r="CL40" s="5177"/>
      <c r="CM40" s="5177"/>
      <c r="CN40" s="5177"/>
      <c r="CO40" s="5177"/>
      <c r="CP40" s="5177"/>
      <c r="CQ40" s="5177"/>
      <c r="CR40" s="5177"/>
      <c r="CS40" s="5173"/>
      <c r="CT40" s="5173"/>
      <c r="CU40" s="5173"/>
      <c r="CV40" s="5173"/>
      <c r="CW40" s="5173"/>
      <c r="CX40" s="5173"/>
      <c r="CY40" s="5173"/>
      <c r="CZ40" s="5173"/>
      <c r="DA40" s="5173"/>
      <c r="DB40" s="5173"/>
    </row>
    <row r="74" spans="2:2">
      <c r="B74" s="153" t="s">
        <v>747</v>
      </c>
    </row>
  </sheetData>
  <mergeCells count="59">
    <mergeCell ref="B1:DV1"/>
    <mergeCell ref="B2:DV2"/>
    <mergeCell ref="DM4:DQ4"/>
    <mergeCell ref="DM5:DM6"/>
    <mergeCell ref="DN5:DN6"/>
    <mergeCell ref="DO5:DO6"/>
    <mergeCell ref="DP5:DP6"/>
    <mergeCell ref="DQ5:DQ6"/>
    <mergeCell ref="DC5:DC6"/>
    <mergeCell ref="DD5:DD6"/>
    <mergeCell ref="DE5:DE6"/>
    <mergeCell ref="DF5:DF6"/>
    <mergeCell ref="DG5:DG6"/>
    <mergeCell ref="CX5:CX6"/>
    <mergeCell ref="CY5:CY6"/>
    <mergeCell ref="CZ5:CZ6"/>
    <mergeCell ref="DA5:DA6"/>
    <mergeCell ref="DB5:DB6"/>
    <mergeCell ref="CS5:CS6"/>
    <mergeCell ref="CT5:CT6"/>
    <mergeCell ref="CU5:CU6"/>
    <mergeCell ref="CV5:CV6"/>
    <mergeCell ref="CW5:CW6"/>
    <mergeCell ref="CN5:CN6"/>
    <mergeCell ref="CO5:CO6"/>
    <mergeCell ref="CP5:CP6"/>
    <mergeCell ref="CQ5:CQ6"/>
    <mergeCell ref="CR5:CR6"/>
    <mergeCell ref="CI5:CI6"/>
    <mergeCell ref="CJ5:CJ6"/>
    <mergeCell ref="CK5:CK6"/>
    <mergeCell ref="CL5:CL6"/>
    <mergeCell ref="CM5:CM6"/>
    <mergeCell ref="DC4:DG4"/>
    <mergeCell ref="CX4:DB4"/>
    <mergeCell ref="CN4:CR4"/>
    <mergeCell ref="CS4:CW4"/>
    <mergeCell ref="CI4:CM4"/>
    <mergeCell ref="CB4:CH4"/>
    <mergeCell ref="BU4:CA4"/>
    <mergeCell ref="BP4:BT4"/>
    <mergeCell ref="AL4:AP4"/>
    <mergeCell ref="AQ4:AU4"/>
    <mergeCell ref="AV4:AZ4"/>
    <mergeCell ref="BA4:BE4"/>
    <mergeCell ref="BF4:BJ4"/>
    <mergeCell ref="BK4:BO4"/>
    <mergeCell ref="DH4:DL4"/>
    <mergeCell ref="DH5:DH6"/>
    <mergeCell ref="DI5:DI6"/>
    <mergeCell ref="DJ5:DJ6"/>
    <mergeCell ref="DK5:DK6"/>
    <mergeCell ref="DL5:DL6"/>
    <mergeCell ref="DR4:DV4"/>
    <mergeCell ref="DR5:DR6"/>
    <mergeCell ref="DS5:DS6"/>
    <mergeCell ref="DT5:DT6"/>
    <mergeCell ref="DU5:DU6"/>
    <mergeCell ref="DV5:DV6"/>
  </mergeCells>
  <hyperlinks>
    <hyperlink ref="B37" r:id="rId1" display="http://www.govt.lc/other/st-lucia-tourist-board" xr:uid="{00000000-0004-0000-0500-000000000000}"/>
  </hyperlinks>
  <printOptions horizontalCentered="1" verticalCentered="1"/>
  <pageMargins left="0.25" right="0.25" top="0.75" bottom="0.75" header="0.3" footer="0.3"/>
  <pageSetup scale="10" firstPageNumber="103" orientation="landscape" useFirstPageNumber="1" r:id="rId2"/>
  <headerFooter scaleWithDoc="0" alignWithMargins="0">
    <oddFooter xml:space="preserve">&amp;C108
</oddFooter>
  </headerFooter>
  <ignoredErrors>
    <ignoredError sqref="DB8:DB10 DB14:DB16 DB22:DB24 DB28:DB30"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rgb="FF00B0F0"/>
    <pageSetUpPr fitToPage="1"/>
  </sheetPr>
  <dimension ref="B1:CB80"/>
  <sheetViews>
    <sheetView view="pageBreakPreview" zoomScale="40" zoomScaleNormal="70" zoomScaleSheetLayoutView="40" workbookViewId="0">
      <selection activeCell="AH22" sqref="AH22:AH24"/>
    </sheetView>
  </sheetViews>
  <sheetFormatPr defaultColWidth="9.46484375" defaultRowHeight="37.9"/>
  <cols>
    <col min="1" max="1" width="9.46484375" style="361"/>
    <col min="2" max="2" width="85.46484375" style="361" customWidth="1"/>
    <col min="3" max="17" width="14.46484375" style="361" hidden="1" customWidth="1"/>
    <col min="18" max="18" width="1.46484375" style="361" hidden="1" customWidth="1"/>
    <col min="19" max="19" width="16.46484375" style="361" hidden="1" customWidth="1"/>
    <col min="20" max="20" width="20.46484375" style="362" hidden="1" customWidth="1"/>
    <col min="21" max="26" width="30.46484375" style="361" customWidth="1"/>
    <col min="27" max="28" width="30.46484375" style="461" customWidth="1"/>
    <col min="29" max="31" width="30.46484375" style="361" customWidth="1"/>
    <col min="32" max="32" width="33.46484375" style="361" bestFit="1" customWidth="1"/>
    <col min="33" max="34" width="33.46484375" style="361" customWidth="1"/>
    <col min="35" max="35" width="51.46484375" style="361" customWidth="1"/>
    <col min="36" max="36" width="9.46484375" style="361" customWidth="1"/>
    <col min="37" max="37" width="23.6640625" style="361" bestFit="1" customWidth="1"/>
    <col min="38" max="16384" width="9.46484375" style="361"/>
  </cols>
  <sheetData>
    <row r="1" spans="2:37">
      <c r="B1" s="5663" t="s">
        <v>669</v>
      </c>
      <c r="C1" s="5663"/>
      <c r="D1" s="5663"/>
      <c r="E1" s="5663"/>
      <c r="F1" s="5663"/>
      <c r="G1" s="5663"/>
      <c r="H1" s="5663"/>
      <c r="I1" s="5663"/>
      <c r="J1" s="5663"/>
      <c r="K1" s="5663"/>
      <c r="L1" s="5663"/>
      <c r="M1" s="5663"/>
      <c r="N1" s="5663"/>
      <c r="O1" s="5663"/>
      <c r="P1" s="5663"/>
      <c r="Q1" s="5663"/>
      <c r="R1" s="5663"/>
      <c r="S1" s="5663"/>
      <c r="T1" s="5663"/>
      <c r="U1" s="5663"/>
      <c r="V1" s="5663"/>
      <c r="W1" s="5663"/>
      <c r="X1" s="5663"/>
      <c r="Y1" s="5663"/>
      <c r="Z1" s="5663"/>
      <c r="AA1" s="5663"/>
      <c r="AB1" s="5663"/>
      <c r="AC1" s="5663"/>
      <c r="AD1" s="5663"/>
      <c r="AE1" s="5663"/>
      <c r="AF1" s="5663"/>
      <c r="AG1" s="5663"/>
      <c r="AH1" s="5663"/>
      <c r="AI1" s="5663"/>
    </row>
    <row r="2" spans="2:37">
      <c r="B2" s="5664" t="s">
        <v>56</v>
      </c>
      <c r="C2" s="5664"/>
      <c r="D2" s="5664"/>
      <c r="E2" s="5664"/>
      <c r="F2" s="5664"/>
      <c r="G2" s="5664"/>
      <c r="H2" s="5664"/>
      <c r="I2" s="5664"/>
      <c r="J2" s="5664"/>
      <c r="K2" s="5664"/>
      <c r="L2" s="5664"/>
      <c r="M2" s="5664"/>
      <c r="N2" s="5664"/>
      <c r="O2" s="5664"/>
      <c r="P2" s="5664"/>
      <c r="Q2" s="5664"/>
      <c r="R2" s="5664"/>
      <c r="S2" s="5664"/>
      <c r="T2" s="5664"/>
      <c r="U2" s="5664"/>
      <c r="V2" s="5664"/>
      <c r="W2" s="5664"/>
      <c r="X2" s="5664"/>
      <c r="Y2" s="5664"/>
      <c r="Z2" s="5664"/>
      <c r="AA2" s="5664"/>
      <c r="AB2" s="5664"/>
      <c r="AC2" s="5664"/>
      <c r="AD2" s="5664"/>
      <c r="AE2" s="5664"/>
      <c r="AF2" s="5664"/>
      <c r="AG2" s="5664"/>
      <c r="AH2" s="5664"/>
      <c r="AI2" s="5664"/>
    </row>
    <row r="3" spans="2:37" ht="33" customHeight="1" thickBot="1">
      <c r="B3" s="460"/>
      <c r="C3" s="460"/>
      <c r="D3" s="460"/>
      <c r="E3" s="460"/>
      <c r="F3" s="460"/>
      <c r="G3" s="460"/>
      <c r="H3" s="460"/>
      <c r="I3" s="460"/>
      <c r="J3" s="460"/>
      <c r="K3" s="460"/>
      <c r="L3" s="460"/>
      <c r="M3" s="460"/>
      <c r="N3" s="460"/>
      <c r="O3" s="460"/>
      <c r="P3" s="460"/>
      <c r="Q3" s="460"/>
      <c r="R3" s="460"/>
      <c r="S3" s="460"/>
      <c r="AI3" s="533"/>
    </row>
    <row r="4" spans="2:37" ht="54.5" customHeight="1" thickBot="1">
      <c r="B4" s="462" t="s">
        <v>57</v>
      </c>
      <c r="C4" s="463">
        <v>1992</v>
      </c>
      <c r="D4" s="463">
        <v>1993</v>
      </c>
      <c r="E4" s="463">
        <v>1994</v>
      </c>
      <c r="F4" s="463">
        <v>1995</v>
      </c>
      <c r="G4" s="463">
        <v>1996</v>
      </c>
      <c r="H4" s="463">
        <v>1997</v>
      </c>
      <c r="I4" s="463">
        <v>1998</v>
      </c>
      <c r="J4" s="463">
        <v>1999</v>
      </c>
      <c r="K4" s="463">
        <v>2000</v>
      </c>
      <c r="L4" s="464">
        <v>2001</v>
      </c>
      <c r="M4" s="465">
        <v>2002</v>
      </c>
      <c r="N4" s="465">
        <v>2003</v>
      </c>
      <c r="O4" s="465">
        <v>2004</v>
      </c>
      <c r="P4" s="464">
        <v>2005</v>
      </c>
      <c r="Q4" s="465">
        <v>2006</v>
      </c>
      <c r="R4" s="466">
        <v>2007</v>
      </c>
      <c r="S4" s="467">
        <v>2008</v>
      </c>
      <c r="T4" s="467">
        <v>2009</v>
      </c>
      <c r="U4" s="467">
        <v>2010</v>
      </c>
      <c r="V4" s="467">
        <v>2011</v>
      </c>
      <c r="W4" s="467">
        <v>2012</v>
      </c>
      <c r="X4" s="467">
        <v>2013</v>
      </c>
      <c r="Y4" s="467">
        <v>2014</v>
      </c>
      <c r="Z4" s="467">
        <v>2015</v>
      </c>
      <c r="AA4" s="467">
        <v>2016</v>
      </c>
      <c r="AB4" s="468">
        <v>2017</v>
      </c>
      <c r="AC4" s="469">
        <v>2018</v>
      </c>
      <c r="AD4" s="470">
        <v>2019</v>
      </c>
      <c r="AE4" s="468">
        <v>2020</v>
      </c>
      <c r="AF4" s="471">
        <v>2021</v>
      </c>
      <c r="AG4" s="471" t="s">
        <v>1958</v>
      </c>
      <c r="AH4" s="2950" t="s">
        <v>1959</v>
      </c>
      <c r="AI4" s="472" t="s">
        <v>1960</v>
      </c>
      <c r="AJ4" s="363"/>
    </row>
    <row r="5" spans="2:37" ht="28.5" customHeight="1">
      <c r="B5" s="473"/>
      <c r="L5" s="474"/>
      <c r="M5" s="475"/>
      <c r="N5" s="475"/>
      <c r="O5" s="475"/>
      <c r="P5" s="476"/>
      <c r="Q5" s="477"/>
      <c r="R5" s="478"/>
      <c r="S5" s="479"/>
      <c r="T5" s="480"/>
      <c r="U5" s="474"/>
      <c r="V5" s="474"/>
      <c r="W5" s="475"/>
      <c r="X5" s="475"/>
      <c r="Y5" s="474"/>
      <c r="Z5" s="481"/>
      <c r="AA5" s="482"/>
      <c r="AB5" s="362"/>
      <c r="AC5" s="483"/>
      <c r="AD5" s="484"/>
      <c r="AE5" s="485"/>
      <c r="AF5" s="485"/>
      <c r="AG5" s="485"/>
      <c r="AH5" s="362"/>
      <c r="AI5" s="486"/>
    </row>
    <row r="6" spans="2:37" s="4691" customFormat="1" ht="50.75" customHeight="1">
      <c r="B6" s="4679" t="s">
        <v>58</v>
      </c>
      <c r="C6" s="531">
        <v>44448</v>
      </c>
      <c r="D6" s="531">
        <v>56379</v>
      </c>
      <c r="E6" s="531">
        <v>77928</v>
      </c>
      <c r="F6" s="531">
        <v>84728</v>
      </c>
      <c r="G6" s="531">
        <v>75622</v>
      </c>
      <c r="H6" s="531">
        <v>73446</v>
      </c>
      <c r="I6" s="531">
        <v>81161</v>
      </c>
      <c r="J6" s="531">
        <v>83475</v>
      </c>
      <c r="K6" s="531">
        <v>97532</v>
      </c>
      <c r="L6" s="4680">
        <v>91248</v>
      </c>
      <c r="M6" s="4681">
        <v>94044</v>
      </c>
      <c r="N6" s="4681">
        <v>98078</v>
      </c>
      <c r="O6" s="4681">
        <v>107089</v>
      </c>
      <c r="P6" s="4680">
        <v>108589</v>
      </c>
      <c r="Q6" s="4681">
        <v>117450</v>
      </c>
      <c r="R6" s="4682">
        <v>113433</v>
      </c>
      <c r="S6" s="4683">
        <v>108596</v>
      </c>
      <c r="T6" s="4684">
        <f>'[173]Arrivals by origin'!$S$5</f>
        <v>98685</v>
      </c>
      <c r="U6" s="5628">
        <v>129085</v>
      </c>
      <c r="V6" s="4684">
        <v>122356</v>
      </c>
      <c r="W6" s="4683">
        <f>'[174]Stay-over Arrivals'!$M$5</f>
        <v>115065</v>
      </c>
      <c r="X6" s="4683">
        <v>128331</v>
      </c>
      <c r="Y6" s="4684">
        <v>142746</v>
      </c>
      <c r="Z6" s="4685">
        <v>152738</v>
      </c>
      <c r="AA6" s="4686">
        <v>157576</v>
      </c>
      <c r="AB6" s="4687">
        <v>168223</v>
      </c>
      <c r="AC6" s="4688">
        <v>175073</v>
      </c>
      <c r="AD6" s="4689">
        <v>191719</v>
      </c>
      <c r="AE6" s="4692">
        <v>67967</v>
      </c>
      <c r="AF6" s="4688">
        <v>152248</v>
      </c>
      <c r="AG6" s="4689">
        <v>210166</v>
      </c>
      <c r="AH6" s="4687">
        <v>205703</v>
      </c>
      <c r="AI6" s="4690">
        <f>+AH6/AG6-1</f>
        <v>-2.1235594720363848E-2</v>
      </c>
    </row>
    <row r="7" spans="2:37" ht="45" customHeight="1">
      <c r="B7" s="473"/>
      <c r="C7" s="487"/>
      <c r="D7" s="487"/>
      <c r="E7" s="487"/>
      <c r="F7" s="487"/>
      <c r="G7" s="487"/>
      <c r="H7" s="487"/>
      <c r="I7" s="487"/>
      <c r="J7" s="487"/>
      <c r="K7" s="487"/>
      <c r="L7" s="488"/>
      <c r="M7" s="489"/>
      <c r="N7" s="489"/>
      <c r="O7" s="489"/>
      <c r="P7" s="480"/>
      <c r="Q7" s="499"/>
      <c r="R7" s="482"/>
      <c r="S7" s="459"/>
      <c r="T7" s="491"/>
      <c r="U7" s="491"/>
      <c r="V7" s="491"/>
      <c r="W7" s="459"/>
      <c r="X7" s="459"/>
      <c r="Y7" s="491"/>
      <c r="Z7" s="492"/>
      <c r="AA7" s="493"/>
      <c r="AB7" s="494"/>
      <c r="AC7" s="495"/>
      <c r="AD7" s="496"/>
      <c r="AE7" s="497"/>
      <c r="AF7" s="2336"/>
      <c r="AG7" s="2951"/>
      <c r="AH7" s="500"/>
      <c r="AI7" s="498"/>
    </row>
    <row r="8" spans="2:37" s="4691" customFormat="1" ht="50.75" customHeight="1">
      <c r="B8" s="4679" t="s">
        <v>59</v>
      </c>
      <c r="C8" s="531">
        <v>14075</v>
      </c>
      <c r="D8" s="531">
        <v>12096</v>
      </c>
      <c r="E8" s="531">
        <v>12310</v>
      </c>
      <c r="F8" s="531">
        <v>11073</v>
      </c>
      <c r="G8" s="531">
        <v>11734</v>
      </c>
      <c r="H8" s="531">
        <v>16043</v>
      </c>
      <c r="I8" s="531">
        <v>15439</v>
      </c>
      <c r="J8" s="531">
        <v>13153</v>
      </c>
      <c r="K8" s="531">
        <v>14968</v>
      </c>
      <c r="L8" s="4680">
        <v>12213</v>
      </c>
      <c r="M8" s="4681">
        <v>12927</v>
      </c>
      <c r="N8" s="4681">
        <v>13494</v>
      </c>
      <c r="O8" s="4681">
        <v>15315</v>
      </c>
      <c r="P8" s="4680">
        <v>16311</v>
      </c>
      <c r="Q8" s="4681">
        <v>17491</v>
      </c>
      <c r="R8" s="4682">
        <v>18640</v>
      </c>
      <c r="S8" s="4683">
        <v>26279</v>
      </c>
      <c r="T8" s="4684">
        <f>'[173]Arrivals by origin'!$S$7</f>
        <v>28563</v>
      </c>
      <c r="U8" s="5628">
        <v>32154</v>
      </c>
      <c r="V8" s="4723">
        <v>35393</v>
      </c>
      <c r="W8" s="4683">
        <f>'[174]Stay-over Arrivals'!$M$7</f>
        <v>37709</v>
      </c>
      <c r="X8" s="4683">
        <v>35985</v>
      </c>
      <c r="Y8" s="4684">
        <v>41502</v>
      </c>
      <c r="Z8" s="4685">
        <v>38677</v>
      </c>
      <c r="AA8" s="4686">
        <v>37772</v>
      </c>
      <c r="AB8" s="4687">
        <v>42578</v>
      </c>
      <c r="AC8" s="4688">
        <v>40213</v>
      </c>
      <c r="AD8" s="4689">
        <v>40872</v>
      </c>
      <c r="AE8" s="4692">
        <v>15272</v>
      </c>
      <c r="AF8" s="4692">
        <v>4978</v>
      </c>
      <c r="AG8" s="4688">
        <v>20914</v>
      </c>
      <c r="AH8" s="4689">
        <v>36175</v>
      </c>
      <c r="AI8" s="4690">
        <f>+AH8/AG8-1</f>
        <v>0.72970259156545847</v>
      </c>
      <c r="AK8" s="4693"/>
    </row>
    <row r="9" spans="2:37" ht="45" customHeight="1">
      <c r="B9" s="473"/>
      <c r="C9" s="487"/>
      <c r="D9" s="487"/>
      <c r="E9" s="487"/>
      <c r="F9" s="487"/>
      <c r="G9" s="487"/>
      <c r="H9" s="487"/>
      <c r="I9" s="487"/>
      <c r="J9" s="487"/>
      <c r="K9" s="487"/>
      <c r="L9" s="488"/>
      <c r="M9" s="489"/>
      <c r="N9" s="489"/>
      <c r="O9" s="489"/>
      <c r="P9" s="480"/>
      <c r="Q9" s="499"/>
      <c r="R9" s="482"/>
      <c r="S9" s="459"/>
      <c r="T9" s="491"/>
      <c r="U9" s="491"/>
      <c r="V9" s="491"/>
      <c r="W9" s="459"/>
      <c r="X9" s="459"/>
      <c r="Y9" s="491"/>
      <c r="Z9" s="492"/>
      <c r="AA9" s="493"/>
      <c r="AB9" s="494"/>
      <c r="AC9" s="495"/>
      <c r="AD9" s="496"/>
      <c r="AE9" s="497"/>
      <c r="AF9" s="497"/>
      <c r="AG9" s="495"/>
      <c r="AH9" s="496"/>
      <c r="AI9" s="498"/>
    </row>
    <row r="10" spans="2:37" s="4691" customFormat="1" ht="50.75" customHeight="1">
      <c r="B10" s="4679" t="s">
        <v>60</v>
      </c>
      <c r="C10" s="531">
        <v>72022</v>
      </c>
      <c r="D10" s="531">
        <v>76295</v>
      </c>
      <c r="E10" s="531">
        <v>76983</v>
      </c>
      <c r="F10" s="531">
        <v>81988</v>
      </c>
      <c r="G10" s="531">
        <v>84376</v>
      </c>
      <c r="H10" s="531">
        <v>96398</v>
      </c>
      <c r="I10" s="531">
        <v>88642</v>
      </c>
      <c r="J10" s="531">
        <v>102690</v>
      </c>
      <c r="K10" s="531">
        <v>98869</v>
      </c>
      <c r="L10" s="4680">
        <v>82601</v>
      </c>
      <c r="M10" s="4681">
        <v>76698</v>
      </c>
      <c r="N10" s="4681">
        <v>90193</v>
      </c>
      <c r="O10" s="4681">
        <v>97862</v>
      </c>
      <c r="P10" s="4680">
        <f>SUM(P12:P18)</f>
        <v>99131</v>
      </c>
      <c r="Q10" s="4681">
        <v>85565</v>
      </c>
      <c r="R10" s="4682">
        <f>R12+R14+R16+R18</f>
        <v>88828</v>
      </c>
      <c r="S10" s="4683">
        <v>96871</v>
      </c>
      <c r="T10" s="4684">
        <f t="shared" ref="T10:Z10" si="0">T12+T14+T16+T18</f>
        <v>86800</v>
      </c>
      <c r="U10" s="4684">
        <f t="shared" si="0"/>
        <v>85695</v>
      </c>
      <c r="V10" s="4684">
        <f t="shared" si="0"/>
        <v>91759</v>
      </c>
      <c r="W10" s="4683">
        <f t="shared" si="0"/>
        <v>93400</v>
      </c>
      <c r="X10" s="4683">
        <f t="shared" si="0"/>
        <v>88492</v>
      </c>
      <c r="Y10" s="4684">
        <f t="shared" si="0"/>
        <v>93653</v>
      </c>
      <c r="Z10" s="4685">
        <f t="shared" si="0"/>
        <v>85486</v>
      </c>
      <c r="AA10" s="4686">
        <f>AA12+AA14+AA16+AA18</f>
        <v>80169</v>
      </c>
      <c r="AB10" s="4687">
        <v>92611</v>
      </c>
      <c r="AC10" s="4688">
        <v>95988</v>
      </c>
      <c r="AD10" s="4689">
        <f>SUM(AD12,AD14,AD16,AD18)</f>
        <v>101018</v>
      </c>
      <c r="AE10" s="4689">
        <f>SUM(AE12,AE14,AE16,AE18)</f>
        <v>33457</v>
      </c>
      <c r="AF10" s="4689">
        <f>SUM(AF12,AF14,AF16,AF18)</f>
        <v>35332</v>
      </c>
      <c r="AG10" s="4689">
        <f>SUM(AG12,AG14,AG16,AG18)</f>
        <v>90714</v>
      </c>
      <c r="AH10" s="4689">
        <v>88100</v>
      </c>
      <c r="AI10" s="4690">
        <f t="shared" ref="AI10:AI28" si="1">+AH10/AG10-1</f>
        <v>-2.8815838790043458E-2</v>
      </c>
    </row>
    <row r="11" spans="2:37" ht="50.75" customHeight="1">
      <c r="B11" s="501" t="s">
        <v>50</v>
      </c>
      <c r="C11" s="487"/>
      <c r="D11" s="487"/>
      <c r="E11" s="487"/>
      <c r="F11" s="487"/>
      <c r="G11" s="487"/>
      <c r="H11" s="487"/>
      <c r="I11" s="487"/>
      <c r="J11" s="487"/>
      <c r="K11" s="487"/>
      <c r="L11" s="488"/>
      <c r="M11" s="489"/>
      <c r="N11" s="489"/>
      <c r="O11" s="489"/>
      <c r="P11" s="480"/>
      <c r="Q11" s="499"/>
      <c r="R11" s="482"/>
      <c r="S11" s="459"/>
      <c r="T11" s="491"/>
      <c r="U11" s="491"/>
      <c r="V11" s="491"/>
      <c r="W11" s="459"/>
      <c r="X11" s="459"/>
      <c r="Y11" s="491"/>
      <c r="Z11" s="492"/>
      <c r="AA11" s="493"/>
      <c r="AB11" s="494"/>
      <c r="AC11" s="495"/>
      <c r="AD11" s="496"/>
      <c r="AE11" s="497"/>
      <c r="AF11" s="497"/>
      <c r="AG11" s="495"/>
      <c r="AH11" s="496"/>
      <c r="AI11" s="498"/>
      <c r="AK11" s="533"/>
    </row>
    <row r="12" spans="2:37" ht="50.75" customHeight="1">
      <c r="B12" s="502" t="s">
        <v>271</v>
      </c>
      <c r="C12" s="487">
        <v>44760</v>
      </c>
      <c r="D12" s="487">
        <v>48566</v>
      </c>
      <c r="E12" s="487">
        <v>46763</v>
      </c>
      <c r="F12" s="487">
        <v>50965</v>
      </c>
      <c r="G12" s="487">
        <v>50393</v>
      </c>
      <c r="H12" s="487">
        <v>59592</v>
      </c>
      <c r="I12" s="487">
        <v>63160</v>
      </c>
      <c r="J12" s="487">
        <v>73101</v>
      </c>
      <c r="K12" s="487">
        <v>73433</v>
      </c>
      <c r="L12" s="488">
        <v>67046</v>
      </c>
      <c r="M12" s="489">
        <v>63277</v>
      </c>
      <c r="N12" s="489">
        <v>75426</v>
      </c>
      <c r="O12" s="489">
        <v>81370</v>
      </c>
      <c r="P12" s="488">
        <v>84196</v>
      </c>
      <c r="Q12" s="489">
        <v>73312</v>
      </c>
      <c r="R12" s="490">
        <v>79180</v>
      </c>
      <c r="S12" s="459">
        <v>83693</v>
      </c>
      <c r="T12" s="491">
        <v>71847</v>
      </c>
      <c r="U12" s="5627">
        <v>67417</v>
      </c>
      <c r="V12" s="491">
        <v>73059</v>
      </c>
      <c r="W12" s="459">
        <f>'[174]Stay-over Arrivals'!$M$11</f>
        <v>75677</v>
      </c>
      <c r="X12" s="459">
        <v>70868</v>
      </c>
      <c r="Y12" s="491">
        <v>73960</v>
      </c>
      <c r="Z12" s="492">
        <v>68175</v>
      </c>
      <c r="AA12" s="493">
        <v>64514</v>
      </c>
      <c r="AB12" s="494">
        <v>72580</v>
      </c>
      <c r="AC12" s="495">
        <v>76142</v>
      </c>
      <c r="AD12" s="496">
        <v>83669</v>
      </c>
      <c r="AE12" s="497">
        <v>28221</v>
      </c>
      <c r="AF12" s="497">
        <v>33316</v>
      </c>
      <c r="AG12" s="495">
        <v>82489</v>
      </c>
      <c r="AH12" s="496">
        <v>77531</v>
      </c>
      <c r="AI12" s="498">
        <f t="shared" si="1"/>
        <v>-6.0104983694795666E-2</v>
      </c>
      <c r="AK12" s="533"/>
    </row>
    <row r="13" spans="2:37" ht="45" customHeight="1">
      <c r="B13" s="502"/>
      <c r="C13" s="487"/>
      <c r="D13" s="487"/>
      <c r="E13" s="487"/>
      <c r="F13" s="487"/>
      <c r="G13" s="487"/>
      <c r="H13" s="487"/>
      <c r="I13" s="487"/>
      <c r="J13" s="487"/>
      <c r="K13" s="487"/>
      <c r="L13" s="488"/>
      <c r="M13" s="489"/>
      <c r="N13" s="489"/>
      <c r="O13" s="489"/>
      <c r="P13" s="503"/>
      <c r="Q13" s="504"/>
      <c r="R13" s="505"/>
      <c r="S13" s="459"/>
      <c r="T13" s="491"/>
      <c r="U13" s="5627"/>
      <c r="V13" s="491"/>
      <c r="W13" s="459"/>
      <c r="X13" s="459"/>
      <c r="Y13" s="491"/>
      <c r="Z13" s="492"/>
      <c r="AA13" s="493"/>
      <c r="AB13" s="494"/>
      <c r="AC13" s="495"/>
      <c r="AD13" s="496"/>
      <c r="AE13" s="497"/>
      <c r="AF13" s="497"/>
      <c r="AG13" s="495"/>
      <c r="AH13" s="496"/>
      <c r="AI13" s="498"/>
    </row>
    <row r="14" spans="2:37" ht="50.75" customHeight="1">
      <c r="B14" s="502" t="s">
        <v>924</v>
      </c>
      <c r="C14" s="487">
        <v>12332</v>
      </c>
      <c r="D14" s="487">
        <v>9995</v>
      </c>
      <c r="E14" s="487">
        <v>14430</v>
      </c>
      <c r="F14" s="487">
        <v>12518</v>
      </c>
      <c r="G14" s="487">
        <v>12757</v>
      </c>
      <c r="H14" s="487">
        <v>11085</v>
      </c>
      <c r="I14" s="487">
        <v>8345</v>
      </c>
      <c r="J14" s="487">
        <v>8665</v>
      </c>
      <c r="K14" s="487">
        <v>7292</v>
      </c>
      <c r="L14" s="488">
        <v>4818</v>
      </c>
      <c r="M14" s="489">
        <v>3929</v>
      </c>
      <c r="N14" s="489">
        <v>3582</v>
      </c>
      <c r="O14" s="489">
        <v>3289</v>
      </c>
      <c r="P14" s="488">
        <v>3338</v>
      </c>
      <c r="Q14" s="489">
        <v>2569</v>
      </c>
      <c r="R14" s="490">
        <v>1592</v>
      </c>
      <c r="S14" s="459">
        <v>1823</v>
      </c>
      <c r="T14" s="491">
        <v>2415</v>
      </c>
      <c r="U14" s="5627">
        <v>4142</v>
      </c>
      <c r="V14" s="491">
        <v>3041</v>
      </c>
      <c r="W14" s="459">
        <f>'[174]Stay-over Arrivals'!$M$13</f>
        <v>3165</v>
      </c>
      <c r="X14" s="459">
        <v>3316</v>
      </c>
      <c r="Y14" s="491">
        <v>3622</v>
      </c>
      <c r="Z14" s="492">
        <v>2963</v>
      </c>
      <c r="AA14" s="493">
        <v>2272</v>
      </c>
      <c r="AB14" s="494">
        <v>2848</v>
      </c>
      <c r="AC14" s="495">
        <v>2132</v>
      </c>
      <c r="AD14" s="496">
        <v>3321</v>
      </c>
      <c r="AE14" s="497">
        <v>1123</v>
      </c>
      <c r="AF14" s="497">
        <v>507</v>
      </c>
      <c r="AG14" s="495">
        <v>1937</v>
      </c>
      <c r="AH14" s="496">
        <v>2316</v>
      </c>
      <c r="AI14" s="498">
        <f t="shared" si="1"/>
        <v>0.19566339700567892</v>
      </c>
    </row>
    <row r="15" spans="2:37" ht="45" customHeight="1">
      <c r="B15" s="502"/>
      <c r="C15" s="487"/>
      <c r="D15" s="487"/>
      <c r="E15" s="487"/>
      <c r="F15" s="487"/>
      <c r="G15" s="487"/>
      <c r="H15" s="487"/>
      <c r="I15" s="487"/>
      <c r="J15" s="487"/>
      <c r="K15" s="487"/>
      <c r="L15" s="488"/>
      <c r="M15" s="489"/>
      <c r="N15" s="504"/>
      <c r="O15" s="489"/>
      <c r="P15" s="503"/>
      <c r="Q15" s="504"/>
      <c r="R15" s="505"/>
      <c r="S15" s="459"/>
      <c r="T15" s="491"/>
      <c r="U15" s="5627"/>
      <c r="V15" s="491"/>
      <c r="W15" s="459"/>
      <c r="X15" s="459"/>
      <c r="Y15" s="491"/>
      <c r="Z15" s="492"/>
      <c r="AA15" s="493"/>
      <c r="AB15" s="494"/>
      <c r="AC15" s="495"/>
      <c r="AD15" s="496"/>
      <c r="AE15" s="497"/>
      <c r="AF15" s="497"/>
      <c r="AG15" s="495"/>
      <c r="AH15" s="496"/>
      <c r="AI15" s="498"/>
    </row>
    <row r="16" spans="2:37" ht="50.75" customHeight="1">
      <c r="B16" s="502" t="s">
        <v>1060</v>
      </c>
      <c r="C16" s="487">
        <v>4036</v>
      </c>
      <c r="D16" s="487">
        <v>5868</v>
      </c>
      <c r="E16" s="487">
        <v>5025</v>
      </c>
      <c r="F16" s="487">
        <v>5577</v>
      </c>
      <c r="G16" s="487">
        <v>10223</v>
      </c>
      <c r="H16" s="487">
        <v>15281</v>
      </c>
      <c r="I16" s="487">
        <v>9598</v>
      </c>
      <c r="J16" s="487">
        <v>13586</v>
      </c>
      <c r="K16" s="487">
        <v>10992</v>
      </c>
      <c r="L16" s="488">
        <v>5091</v>
      </c>
      <c r="M16" s="489">
        <v>3405</v>
      </c>
      <c r="N16" s="489">
        <v>6017</v>
      </c>
      <c r="O16" s="489">
        <v>7682</v>
      </c>
      <c r="P16" s="488">
        <v>6366</v>
      </c>
      <c r="Q16" s="489">
        <v>3764</v>
      </c>
      <c r="R16" s="490">
        <v>3642</v>
      </c>
      <c r="S16" s="459">
        <v>4271</v>
      </c>
      <c r="T16" s="491">
        <v>5350</v>
      </c>
      <c r="U16" s="5627">
        <v>5822</v>
      </c>
      <c r="V16" s="491">
        <v>7428</v>
      </c>
      <c r="W16" s="459">
        <f>'[174]Stay-over Arrivals'!$M$15</f>
        <v>5467</v>
      </c>
      <c r="X16" s="459">
        <v>5464</v>
      </c>
      <c r="Y16" s="491">
        <v>6032</v>
      </c>
      <c r="Z16" s="492">
        <v>5698</v>
      </c>
      <c r="AA16" s="493">
        <v>4440</v>
      </c>
      <c r="AB16" s="494">
        <v>7012</v>
      </c>
      <c r="AC16" s="495">
        <v>8224</v>
      </c>
      <c r="AD16" s="496">
        <v>8050</v>
      </c>
      <c r="AE16" s="497">
        <v>1944</v>
      </c>
      <c r="AF16" s="497">
        <v>565</v>
      </c>
      <c r="AG16" s="495">
        <v>2908</v>
      </c>
      <c r="AH16" s="496">
        <v>4382</v>
      </c>
      <c r="AI16" s="498">
        <f t="shared" si="1"/>
        <v>0.50687757909215958</v>
      </c>
    </row>
    <row r="17" spans="2:80" ht="45" customHeight="1">
      <c r="B17" s="502"/>
      <c r="C17" s="487"/>
      <c r="D17" s="487"/>
      <c r="E17" s="487"/>
      <c r="F17" s="487"/>
      <c r="G17" s="487"/>
      <c r="H17" s="487"/>
      <c r="I17" s="487"/>
      <c r="J17" s="487"/>
      <c r="K17" s="487"/>
      <c r="L17" s="488"/>
      <c r="M17" s="489"/>
      <c r="N17" s="489"/>
      <c r="O17" s="489"/>
      <c r="P17" s="503"/>
      <c r="Q17" s="504"/>
      <c r="R17" s="505"/>
      <c r="S17" s="459"/>
      <c r="T17" s="491"/>
      <c r="U17" s="491"/>
      <c r="V17" s="491"/>
      <c r="W17" s="459"/>
      <c r="X17" s="459"/>
      <c r="Y17" s="491"/>
      <c r="Z17" s="492"/>
      <c r="AA17" s="493"/>
      <c r="AB17" s="494"/>
      <c r="AC17" s="495"/>
      <c r="AD17" s="496"/>
      <c r="AE17" s="497"/>
      <c r="AF17" s="497"/>
      <c r="AG17" s="495"/>
      <c r="AH17" s="496"/>
      <c r="AI17" s="498"/>
    </row>
    <row r="18" spans="2:80" ht="50.75" customHeight="1">
      <c r="B18" s="502" t="s">
        <v>1061</v>
      </c>
      <c r="C18" s="487">
        <v>10894</v>
      </c>
      <c r="D18" s="487">
        <v>11755</v>
      </c>
      <c r="E18" s="487">
        <v>10765</v>
      </c>
      <c r="F18" s="487">
        <v>12928</v>
      </c>
      <c r="G18" s="487">
        <v>11003</v>
      </c>
      <c r="H18" s="487">
        <v>10440</v>
      </c>
      <c r="I18" s="487">
        <v>7539</v>
      </c>
      <c r="J18" s="487">
        <v>7338</v>
      </c>
      <c r="K18" s="487">
        <v>7152</v>
      </c>
      <c r="L18" s="488">
        <v>5646</v>
      </c>
      <c r="M18" s="489">
        <v>6087</v>
      </c>
      <c r="N18" s="489">
        <v>5168</v>
      </c>
      <c r="O18" s="489">
        <v>5521</v>
      </c>
      <c r="P18" s="488">
        <v>5231</v>
      </c>
      <c r="Q18" s="489">
        <v>5920</v>
      </c>
      <c r="R18" s="490">
        <v>4414</v>
      </c>
      <c r="S18" s="459">
        <v>7084</v>
      </c>
      <c r="T18" s="491">
        <v>7188</v>
      </c>
      <c r="U18" s="5627">
        <v>8314</v>
      </c>
      <c r="V18" s="491">
        <v>8231</v>
      </c>
      <c r="W18" s="459">
        <f>'[174]Stay-over Arrivals'!$M$17</f>
        <v>9091</v>
      </c>
      <c r="X18" s="459">
        <v>8844</v>
      </c>
      <c r="Y18" s="491">
        <v>10039</v>
      </c>
      <c r="Z18" s="492">
        <v>8650</v>
      </c>
      <c r="AA18" s="493">
        <v>8943</v>
      </c>
      <c r="AB18" s="494">
        <v>10171</v>
      </c>
      <c r="AC18" s="495">
        <v>9490</v>
      </c>
      <c r="AD18" s="497">
        <v>5978</v>
      </c>
      <c r="AE18" s="497">
        <v>2169</v>
      </c>
      <c r="AF18" s="497">
        <v>944</v>
      </c>
      <c r="AG18" s="495">
        <v>3380</v>
      </c>
      <c r="AH18" s="496">
        <v>3871</v>
      </c>
      <c r="AI18" s="498">
        <f t="shared" si="1"/>
        <v>0.14526627218934918</v>
      </c>
    </row>
    <row r="19" spans="2:80" ht="45" customHeight="1">
      <c r="B19" s="473"/>
      <c r="C19" s="487"/>
      <c r="D19" s="487"/>
      <c r="E19" s="487"/>
      <c r="F19" s="487"/>
      <c r="G19" s="487"/>
      <c r="H19" s="487"/>
      <c r="I19" s="487"/>
      <c r="J19" s="487"/>
      <c r="K19" s="487"/>
      <c r="L19" s="488"/>
      <c r="M19" s="489"/>
      <c r="N19" s="489"/>
      <c r="O19" s="489"/>
      <c r="P19" s="503"/>
      <c r="Q19" s="504"/>
      <c r="R19" s="505"/>
      <c r="S19" s="459"/>
      <c r="T19" s="491"/>
      <c r="U19" s="491"/>
      <c r="V19" s="491"/>
      <c r="W19" s="459"/>
      <c r="X19" s="459"/>
      <c r="Y19" s="491"/>
      <c r="Z19" s="492"/>
      <c r="AA19" s="493"/>
      <c r="AB19" s="494"/>
      <c r="AC19" s="495"/>
      <c r="AD19" s="496"/>
      <c r="AE19" s="497"/>
      <c r="AF19" s="497"/>
      <c r="AG19" s="495"/>
      <c r="AH19" s="496"/>
      <c r="AI19" s="498"/>
    </row>
    <row r="20" spans="2:80" s="4691" customFormat="1" ht="50.75" customHeight="1">
      <c r="B20" s="4679" t="s">
        <v>61</v>
      </c>
      <c r="C20" s="531">
        <v>43356</v>
      </c>
      <c r="D20" s="531">
        <v>46197</v>
      </c>
      <c r="E20" s="531">
        <v>47857</v>
      </c>
      <c r="F20" s="531">
        <v>50565</v>
      </c>
      <c r="G20" s="531">
        <v>59748</v>
      </c>
      <c r="H20" s="531">
        <v>58583</v>
      </c>
      <c r="I20" s="531">
        <v>63524</v>
      </c>
      <c r="J20" s="531">
        <v>60342</v>
      </c>
      <c r="K20" s="531">
        <v>54595</v>
      </c>
      <c r="L20" s="4680">
        <v>61047</v>
      </c>
      <c r="M20" s="4681">
        <v>66409</v>
      </c>
      <c r="N20" s="4681">
        <v>70543</v>
      </c>
      <c r="O20" s="4681">
        <v>74242</v>
      </c>
      <c r="P20" s="4680">
        <v>68521</v>
      </c>
      <c r="Q20" s="4681">
        <v>78464</v>
      </c>
      <c r="R20" s="4682">
        <v>59047</v>
      </c>
      <c r="S20" s="4683">
        <v>59757</v>
      </c>
      <c r="T20" s="4684">
        <v>59982</v>
      </c>
      <c r="U20" s="4684">
        <v>53998</v>
      </c>
      <c r="V20" s="4684">
        <v>58876</v>
      </c>
      <c r="W20" s="4683">
        <f>'[174]Stay-over Arrivals'!$M$19</f>
        <v>56067</v>
      </c>
      <c r="X20" s="4683">
        <v>60521</v>
      </c>
      <c r="Y20" s="4684">
        <f>Y22+Y24</f>
        <v>55484</v>
      </c>
      <c r="Z20" s="4685">
        <v>62745</v>
      </c>
      <c r="AA20" s="4686">
        <v>67226</v>
      </c>
      <c r="AB20" s="4687">
        <v>76349</v>
      </c>
      <c r="AC20" s="4688">
        <v>77548</v>
      </c>
      <c r="AD20" s="4689">
        <v>83493</v>
      </c>
      <c r="AE20" s="4692">
        <v>12572</v>
      </c>
      <c r="AF20" s="4692">
        <v>5564</v>
      </c>
      <c r="AG20" s="4688">
        <v>30908</v>
      </c>
      <c r="AH20" s="4689">
        <v>46062</v>
      </c>
      <c r="AI20" s="4690">
        <f t="shared" si="1"/>
        <v>0.4902937750744143</v>
      </c>
      <c r="AK20" s="4693"/>
    </row>
    <row r="21" spans="2:80" ht="50.75" customHeight="1">
      <c r="B21" s="501" t="s">
        <v>50</v>
      </c>
      <c r="C21" s="487"/>
      <c r="D21" s="487"/>
      <c r="E21" s="487"/>
      <c r="F21" s="487"/>
      <c r="G21" s="487"/>
      <c r="H21" s="487"/>
      <c r="I21" s="487"/>
      <c r="J21" s="487"/>
      <c r="K21" s="487"/>
      <c r="L21" s="488"/>
      <c r="M21" s="489"/>
      <c r="N21" s="489"/>
      <c r="O21" s="489"/>
      <c r="P21" s="503"/>
      <c r="Q21" s="504"/>
      <c r="R21" s="505"/>
      <c r="S21" s="459"/>
      <c r="T21" s="491"/>
      <c r="U21" s="491"/>
      <c r="V21" s="491"/>
      <c r="W21" s="459"/>
      <c r="X21" s="459"/>
      <c r="Y21" s="491"/>
      <c r="Z21" s="492"/>
      <c r="AA21" s="493"/>
      <c r="AB21" s="494"/>
      <c r="AC21" s="495"/>
      <c r="AD21" s="496"/>
      <c r="AE21" s="497"/>
      <c r="AF21" s="497"/>
      <c r="AG21" s="495"/>
      <c r="AH21" s="496"/>
      <c r="AI21" s="498"/>
    </row>
    <row r="22" spans="2:80" ht="50.75" customHeight="1">
      <c r="B22" s="473" t="s">
        <v>62</v>
      </c>
      <c r="C22" s="487">
        <v>28360</v>
      </c>
      <c r="D22" s="487">
        <v>28344</v>
      </c>
      <c r="E22" s="487">
        <v>28759</v>
      </c>
      <c r="F22" s="487">
        <v>30241</v>
      </c>
      <c r="G22" s="487">
        <v>28928</v>
      </c>
      <c r="H22" s="487">
        <v>29836</v>
      </c>
      <c r="I22" s="487">
        <v>31092</v>
      </c>
      <c r="J22" s="487">
        <v>31246</v>
      </c>
      <c r="K22" s="487">
        <v>33650</v>
      </c>
      <c r="L22" s="488">
        <v>34331</v>
      </c>
      <c r="M22" s="489">
        <v>49500</v>
      </c>
      <c r="N22" s="489">
        <v>52316</v>
      </c>
      <c r="O22" s="489">
        <v>48478</v>
      </c>
      <c r="P22" s="488">
        <v>54885</v>
      </c>
      <c r="Q22" s="489">
        <v>49802</v>
      </c>
      <c r="R22" s="490">
        <v>37789</v>
      </c>
      <c r="S22" s="459">
        <v>35791</v>
      </c>
      <c r="T22" s="491">
        <f>'[173]Arrivals by origin'!$S$21</f>
        <v>34389</v>
      </c>
      <c r="U22" s="5627">
        <v>30919</v>
      </c>
      <c r="V22" s="491">
        <v>30923</v>
      </c>
      <c r="W22" s="459">
        <v>32400</v>
      </c>
      <c r="X22" s="459">
        <v>37465</v>
      </c>
      <c r="Y22" s="491">
        <v>32335</v>
      </c>
      <c r="Z22" s="492">
        <v>34478</v>
      </c>
      <c r="AA22" s="493">
        <v>34356</v>
      </c>
      <c r="AB22" s="494">
        <v>41646</v>
      </c>
      <c r="AC22" s="495">
        <v>43426</v>
      </c>
      <c r="AD22" s="496">
        <v>45058</v>
      </c>
      <c r="AE22" s="497">
        <v>6715</v>
      </c>
      <c r="AF22" s="497">
        <v>3887</v>
      </c>
      <c r="AG22" s="495">
        <v>19768</v>
      </c>
      <c r="AH22" s="496">
        <v>27779</v>
      </c>
      <c r="AI22" s="498">
        <f t="shared" si="1"/>
        <v>0.40525091056252527</v>
      </c>
    </row>
    <row r="23" spans="2:80" ht="45" customHeight="1">
      <c r="B23" s="473"/>
      <c r="C23" s="487"/>
      <c r="D23" s="487"/>
      <c r="E23" s="487"/>
      <c r="F23" s="487"/>
      <c r="G23" s="487"/>
      <c r="H23" s="487"/>
      <c r="I23" s="487"/>
      <c r="J23" s="487"/>
      <c r="K23" s="487"/>
      <c r="L23" s="488"/>
      <c r="M23" s="489"/>
      <c r="N23" s="489"/>
      <c r="O23" s="489"/>
      <c r="P23" s="503"/>
      <c r="Q23" s="504"/>
      <c r="R23" s="505"/>
      <c r="S23" s="459"/>
      <c r="T23" s="491"/>
      <c r="U23" s="491"/>
      <c r="V23" s="491"/>
      <c r="W23" s="459"/>
      <c r="X23" s="459"/>
      <c r="Y23" s="491"/>
      <c r="Z23" s="492"/>
      <c r="AA23" s="493"/>
      <c r="AB23" s="494"/>
      <c r="AC23" s="495"/>
      <c r="AD23" s="496"/>
      <c r="AE23" s="497"/>
      <c r="AF23" s="497"/>
      <c r="AG23" s="495"/>
      <c r="AH23" s="496"/>
      <c r="AI23" s="498"/>
    </row>
    <row r="24" spans="2:80" ht="50.75" customHeight="1">
      <c r="B24" s="473" t="s">
        <v>63</v>
      </c>
      <c r="C24" s="487">
        <v>11922</v>
      </c>
      <c r="D24" s="487">
        <v>14594</v>
      </c>
      <c r="E24" s="487">
        <v>15737</v>
      </c>
      <c r="F24" s="487">
        <v>16827</v>
      </c>
      <c r="G24" s="487">
        <v>26722</v>
      </c>
      <c r="H24" s="487">
        <v>24425</v>
      </c>
      <c r="I24" s="487">
        <v>26917</v>
      </c>
      <c r="J24" s="487">
        <v>23318</v>
      </c>
      <c r="K24" s="487">
        <v>14495</v>
      </c>
      <c r="L24" s="488">
        <v>21849</v>
      </c>
      <c r="M24" s="489">
        <v>12053</v>
      </c>
      <c r="N24" s="489">
        <v>13449</v>
      </c>
      <c r="O24" s="489">
        <v>22313</v>
      </c>
      <c r="P24" s="488">
        <v>10532</v>
      </c>
      <c r="Q24" s="489">
        <v>25830</v>
      </c>
      <c r="R24" s="490">
        <v>18962</v>
      </c>
      <c r="S24" s="459">
        <v>21157</v>
      </c>
      <c r="T24" s="491">
        <f>'[173]Arrivals by origin'!$S$23</f>
        <v>22721</v>
      </c>
      <c r="U24" s="5627">
        <v>20232</v>
      </c>
      <c r="V24" s="491">
        <v>26117</v>
      </c>
      <c r="W24" s="459">
        <v>21180</v>
      </c>
      <c r="X24" s="459">
        <v>20777</v>
      </c>
      <c r="Y24" s="491">
        <f>20905+2091+153</f>
        <v>23149</v>
      </c>
      <c r="Z24" s="492">
        <v>26620</v>
      </c>
      <c r="AA24" s="493">
        <v>32870</v>
      </c>
      <c r="AB24" s="494">
        <v>34703</v>
      </c>
      <c r="AC24" s="495">
        <v>31924</v>
      </c>
      <c r="AD24" s="496">
        <v>35417</v>
      </c>
      <c r="AE24" s="497">
        <v>5391</v>
      </c>
      <c r="AF24" s="497">
        <v>1065</v>
      </c>
      <c r="AG24" s="495">
        <v>9753</v>
      </c>
      <c r="AH24" s="496">
        <v>16967</v>
      </c>
      <c r="AI24" s="498">
        <f t="shared" si="1"/>
        <v>0.73966984517584322</v>
      </c>
    </row>
    <row r="25" spans="2:80" ht="45" customHeight="1">
      <c r="B25" s="473"/>
      <c r="C25" s="487"/>
      <c r="D25" s="487"/>
      <c r="E25" s="487"/>
      <c r="F25" s="487"/>
      <c r="G25" s="487"/>
      <c r="H25" s="487"/>
      <c r="I25" s="487"/>
      <c r="J25" s="487"/>
      <c r="K25" s="487"/>
      <c r="L25" s="488"/>
      <c r="M25" s="489"/>
      <c r="N25" s="489"/>
      <c r="O25" s="489"/>
      <c r="P25" s="488"/>
      <c r="Q25" s="489"/>
      <c r="R25" s="490"/>
      <c r="S25" s="459"/>
      <c r="T25" s="491"/>
      <c r="U25" s="491"/>
      <c r="V25" s="491"/>
      <c r="W25" s="459"/>
      <c r="X25" s="459"/>
      <c r="Y25" s="491"/>
      <c r="Z25" s="492"/>
      <c r="AA25" s="493"/>
      <c r="AB25" s="494"/>
      <c r="AC25" s="495"/>
      <c r="AD25" s="496"/>
      <c r="AE25" s="497"/>
      <c r="AF25" s="497"/>
      <c r="AG25" s="495"/>
      <c r="AH25" s="496"/>
      <c r="AI25" s="498"/>
    </row>
    <row r="26" spans="2:80" s="4691" customFormat="1" ht="50.75" customHeight="1">
      <c r="B26" s="4679" t="s">
        <v>47</v>
      </c>
      <c r="C26" s="531">
        <v>3587</v>
      </c>
      <c r="D26" s="531">
        <v>3656</v>
      </c>
      <c r="E26" s="531">
        <v>3489</v>
      </c>
      <c r="F26" s="531">
        <v>3951</v>
      </c>
      <c r="G26" s="531">
        <v>4179</v>
      </c>
      <c r="H26" s="531">
        <v>3933</v>
      </c>
      <c r="I26" s="531">
        <v>3471</v>
      </c>
      <c r="J26" s="531">
        <v>4133</v>
      </c>
      <c r="K26" s="531">
        <v>3886</v>
      </c>
      <c r="L26" s="4680">
        <v>3023</v>
      </c>
      <c r="M26" s="4681">
        <v>3385</v>
      </c>
      <c r="N26" s="4681">
        <v>4640</v>
      </c>
      <c r="O26" s="4681">
        <v>3923</v>
      </c>
      <c r="P26" s="4680">
        <v>4126</v>
      </c>
      <c r="Q26" s="4681">
        <v>3540</v>
      </c>
      <c r="R26" s="4682">
        <v>7459</v>
      </c>
      <c r="S26" s="4683">
        <v>4258</v>
      </c>
      <c r="T26" s="4684">
        <v>4240</v>
      </c>
      <c r="U26" s="5628">
        <v>4965</v>
      </c>
      <c r="V26" s="4684">
        <v>4020</v>
      </c>
      <c r="W26" s="4683">
        <f>'[174]Stay-over Arrivals'!$M$29</f>
        <v>4560</v>
      </c>
      <c r="X26" s="4683">
        <v>5297</v>
      </c>
      <c r="Y26" s="4684">
        <v>4773</v>
      </c>
      <c r="Z26" s="4685">
        <v>5262</v>
      </c>
      <c r="AA26" s="4686">
        <v>5129</v>
      </c>
      <c r="AB26" s="4687">
        <v>6366</v>
      </c>
      <c r="AC26" s="4688">
        <v>5958</v>
      </c>
      <c r="AD26" s="4689">
        <v>6634</v>
      </c>
      <c r="AE26" s="4692">
        <v>1513</v>
      </c>
      <c r="AF26" s="4692">
        <v>1225</v>
      </c>
      <c r="AG26" s="4688">
        <v>3535</v>
      </c>
      <c r="AH26" s="4689">
        <v>4751</v>
      </c>
      <c r="AI26" s="4690">
        <f t="shared" si="1"/>
        <v>0.34398868458274401</v>
      </c>
    </row>
    <row r="27" spans="2:80" ht="45" customHeight="1" thickBot="1">
      <c r="B27" s="506"/>
      <c r="C27" s="507"/>
      <c r="D27" s="507"/>
      <c r="E27" s="507"/>
      <c r="F27" s="507"/>
      <c r="G27" s="507"/>
      <c r="H27" s="507"/>
      <c r="I27" s="507"/>
      <c r="J27" s="507"/>
      <c r="K27" s="507"/>
      <c r="L27" s="508"/>
      <c r="M27" s="509"/>
      <c r="N27" s="509"/>
      <c r="O27" s="510"/>
      <c r="P27" s="511"/>
      <c r="Q27" s="512"/>
      <c r="R27" s="513"/>
      <c r="S27" s="514"/>
      <c r="T27" s="491"/>
      <c r="U27" s="491"/>
      <c r="V27" s="491"/>
      <c r="W27" s="459"/>
      <c r="X27" s="459"/>
      <c r="Y27" s="491"/>
      <c r="Z27" s="492"/>
      <c r="AA27" s="515"/>
      <c r="AB27" s="516"/>
      <c r="AC27" s="517"/>
      <c r="AD27" s="518"/>
      <c r="AE27" s="519"/>
      <c r="AF27" s="520"/>
      <c r="AG27" s="520"/>
      <c r="AH27" s="2952"/>
      <c r="AI27" s="2953"/>
    </row>
    <row r="28" spans="2:80" ht="50.75" customHeight="1" thickBot="1">
      <c r="B28" s="462" t="s">
        <v>394</v>
      </c>
      <c r="C28" s="521">
        <v>177488</v>
      </c>
      <c r="D28" s="521">
        <v>194623</v>
      </c>
      <c r="E28" s="521">
        <v>218567</v>
      </c>
      <c r="F28" s="521">
        <v>232305</v>
      </c>
      <c r="G28" s="521">
        <v>235659</v>
      </c>
      <c r="H28" s="521">
        <v>248403</v>
      </c>
      <c r="I28" s="521">
        <v>252237</v>
      </c>
      <c r="J28" s="521">
        <v>263793</v>
      </c>
      <c r="K28" s="521">
        <v>269850</v>
      </c>
      <c r="L28" s="522">
        <v>250132</v>
      </c>
      <c r="M28" s="523">
        <v>253463</v>
      </c>
      <c r="N28" s="523">
        <v>276948</v>
      </c>
      <c r="O28" s="523">
        <v>298431</v>
      </c>
      <c r="P28" s="523">
        <f>SUM(P6:P10,P20,P26)</f>
        <v>296678</v>
      </c>
      <c r="Q28" s="522">
        <f>Q26+Q20+Q10+Q8+Q6</f>
        <v>302510</v>
      </c>
      <c r="R28" s="524">
        <f>R26+R20+R10+R8+R6</f>
        <v>287407</v>
      </c>
      <c r="S28" s="525">
        <f>S26+S20+S10+S8+S6</f>
        <v>295761</v>
      </c>
      <c r="T28" s="525">
        <f>T26+T20+T10+T8+T6</f>
        <v>278270</v>
      </c>
      <c r="U28" s="525">
        <f t="shared" ref="U28:AC28" si="2">U6+U8+U10+U20+U26</f>
        <v>305897</v>
      </c>
      <c r="V28" s="525">
        <f t="shared" si="2"/>
        <v>312404</v>
      </c>
      <c r="W28" s="526">
        <f t="shared" si="2"/>
        <v>306801</v>
      </c>
      <c r="X28" s="526">
        <f t="shared" si="2"/>
        <v>318626</v>
      </c>
      <c r="Y28" s="526">
        <f t="shared" si="2"/>
        <v>338158</v>
      </c>
      <c r="Z28" s="527">
        <f t="shared" si="2"/>
        <v>344908</v>
      </c>
      <c r="AA28" s="527">
        <f t="shared" si="2"/>
        <v>347872</v>
      </c>
      <c r="AB28" s="527">
        <f t="shared" si="2"/>
        <v>386127</v>
      </c>
      <c r="AC28" s="527">
        <f t="shared" si="2"/>
        <v>394780</v>
      </c>
      <c r="AD28" s="528">
        <f>SUM(AD26,AD20,AD10,AD8,AD6)</f>
        <v>423736</v>
      </c>
      <c r="AE28" s="529">
        <f>SUM(AE26,AE20,AE10,AE8,AE6)+130695*0</f>
        <v>130781</v>
      </c>
      <c r="AF28" s="530">
        <f>SUM(AF26,AF20,AF10,AF8,AF6)+130695*0</f>
        <v>199347</v>
      </c>
      <c r="AG28" s="529">
        <f>SUM(AG26,AG20,AG10,AG8,AG6)+130695*0</f>
        <v>356237</v>
      </c>
      <c r="AH28" s="529">
        <f>SUM(AH26,AH20,AH10,AH8,AH6)+130695*0</f>
        <v>380791</v>
      </c>
      <c r="AI28" s="4852">
        <f t="shared" si="1"/>
        <v>6.8926023967190275E-2</v>
      </c>
      <c r="AJ28" s="363"/>
    </row>
    <row r="29" spans="2:80" s="5170" customFormat="1" ht="52.25" customHeight="1">
      <c r="B29" s="5169" t="s">
        <v>1512</v>
      </c>
      <c r="C29" s="5169"/>
      <c r="D29" s="5169"/>
      <c r="E29" s="5169"/>
      <c r="F29" s="5169"/>
      <c r="G29" s="5169"/>
      <c r="H29" s="5169"/>
      <c r="I29" s="5169"/>
      <c r="J29" s="5169"/>
      <c r="K29" s="5169"/>
      <c r="L29" s="5169"/>
      <c r="M29" s="5169"/>
      <c r="N29" s="5169"/>
      <c r="O29" s="5169"/>
      <c r="P29" s="5169"/>
      <c r="Q29" s="5169"/>
      <c r="R29" s="5169"/>
      <c r="S29" s="5169"/>
      <c r="T29" s="5169"/>
      <c r="U29" s="5169"/>
      <c r="V29" s="5169"/>
      <c r="W29" s="5169"/>
      <c r="X29" s="5169"/>
      <c r="Y29" s="5169"/>
      <c r="Z29" s="5169"/>
      <c r="AA29" s="5169"/>
      <c r="AB29" s="5169"/>
      <c r="AC29" s="5169"/>
      <c r="AD29" s="5169"/>
      <c r="AE29" s="5169"/>
      <c r="AF29" s="5169"/>
      <c r="AG29" s="5178"/>
      <c r="AH29" s="5178"/>
      <c r="AI29" s="5169"/>
      <c r="AJ29" s="5169"/>
      <c r="AK29" s="5169"/>
      <c r="AL29" s="5169"/>
      <c r="AM29" s="5169"/>
      <c r="AN29" s="5169"/>
      <c r="AO29" s="5169"/>
      <c r="AP29" s="5169"/>
      <c r="AQ29" s="5169"/>
      <c r="AR29" s="5169"/>
      <c r="AS29" s="5169"/>
      <c r="AT29" s="5169"/>
      <c r="AU29" s="5169"/>
      <c r="AV29" s="5169"/>
      <c r="AW29" s="5169"/>
      <c r="AX29" s="5169"/>
      <c r="AY29" s="5169"/>
      <c r="AZ29" s="5169"/>
      <c r="BA29" s="5169"/>
      <c r="BB29" s="5169"/>
      <c r="BC29" s="5169"/>
      <c r="BD29" s="5169"/>
      <c r="BE29" s="5169"/>
      <c r="BF29" s="5169"/>
      <c r="BG29" s="5169"/>
      <c r="BH29" s="5169"/>
      <c r="BI29" s="5169"/>
      <c r="BJ29" s="5169"/>
      <c r="BK29" s="5169"/>
      <c r="BL29" s="5169"/>
      <c r="BM29" s="5169"/>
      <c r="BN29" s="5169"/>
      <c r="BO29" s="5169"/>
      <c r="BP29" s="5169"/>
      <c r="BQ29" s="5169"/>
      <c r="BR29" s="5169"/>
      <c r="BS29" s="5169"/>
      <c r="BT29" s="5169"/>
      <c r="BU29" s="5169"/>
      <c r="BV29" s="5169"/>
      <c r="BW29" s="5169"/>
      <c r="BX29" s="5169"/>
      <c r="BY29" s="5169"/>
      <c r="BZ29" s="5169"/>
      <c r="CA29" s="5169"/>
      <c r="CB29" s="5169"/>
    </row>
    <row r="30" spans="2:80" s="5170" customFormat="1" ht="52.25" customHeight="1">
      <c r="B30" s="5169" t="s">
        <v>925</v>
      </c>
      <c r="C30" s="5169"/>
      <c r="D30" s="5169"/>
      <c r="E30" s="5169"/>
      <c r="F30" s="5169"/>
      <c r="G30" s="5169"/>
      <c r="H30" s="5169"/>
      <c r="I30" s="5169"/>
      <c r="J30" s="5169"/>
      <c r="K30" s="5169"/>
      <c r="L30" s="5169"/>
      <c r="M30" s="5169"/>
      <c r="N30" s="5169"/>
      <c r="O30" s="5169"/>
      <c r="P30" s="5169"/>
      <c r="Q30" s="5169"/>
      <c r="R30" s="5169"/>
      <c r="S30" s="5169"/>
      <c r="T30" s="5169"/>
      <c r="U30" s="5169"/>
      <c r="V30" s="5169"/>
      <c r="W30" s="5169"/>
      <c r="X30" s="5169"/>
      <c r="Y30" s="5169"/>
      <c r="Z30" s="5169"/>
      <c r="AA30" s="5169"/>
      <c r="AB30" s="5169"/>
      <c r="AC30" s="5169"/>
      <c r="AD30" s="5169"/>
      <c r="AE30" s="5169"/>
      <c r="AF30" s="5169"/>
      <c r="AG30" s="5169"/>
      <c r="AH30" s="5169"/>
      <c r="AI30" s="5169"/>
      <c r="AJ30" s="5169"/>
      <c r="AK30" s="5169"/>
      <c r="AL30" s="5169"/>
      <c r="AM30" s="5169"/>
      <c r="AN30" s="5169"/>
      <c r="AO30" s="5169"/>
      <c r="AP30" s="5169"/>
      <c r="AQ30" s="5169"/>
      <c r="AR30" s="5169"/>
      <c r="AS30" s="5169"/>
      <c r="AT30" s="5169"/>
      <c r="AU30" s="5169"/>
      <c r="AV30" s="5169"/>
      <c r="AW30" s="5169"/>
      <c r="AX30" s="5169"/>
      <c r="AY30" s="5169"/>
      <c r="AZ30" s="5169"/>
      <c r="BA30" s="5169"/>
      <c r="BB30" s="5169"/>
      <c r="BC30" s="5169"/>
      <c r="BD30" s="5169"/>
      <c r="BE30" s="5169"/>
      <c r="BF30" s="5169"/>
      <c r="BG30" s="5169"/>
      <c r="BH30" s="5169"/>
      <c r="BI30" s="5169"/>
      <c r="BJ30" s="5169"/>
      <c r="BK30" s="5169"/>
      <c r="BL30" s="5169"/>
      <c r="BM30" s="5169"/>
      <c r="BN30" s="5169"/>
      <c r="BO30" s="5169"/>
      <c r="BP30" s="5169"/>
      <c r="BQ30" s="5169"/>
      <c r="BR30" s="5169"/>
      <c r="BS30" s="5169"/>
      <c r="BT30" s="5169"/>
      <c r="BU30" s="5169"/>
      <c r="BV30" s="5169"/>
      <c r="BW30" s="5169"/>
      <c r="BX30" s="5169"/>
      <c r="BY30" s="5169"/>
      <c r="BZ30" s="5169"/>
      <c r="CA30" s="5169"/>
      <c r="CB30" s="5169"/>
    </row>
    <row r="31" spans="2:80" s="5170" customFormat="1" ht="52.25" customHeight="1">
      <c r="B31" s="5169" t="s">
        <v>2361</v>
      </c>
      <c r="C31" s="5169"/>
      <c r="D31" s="5169"/>
      <c r="E31" s="5169"/>
      <c r="F31" s="5169"/>
      <c r="G31" s="5169"/>
      <c r="H31" s="5169"/>
      <c r="I31" s="5169"/>
      <c r="J31" s="5169"/>
      <c r="K31" s="5169"/>
      <c r="L31" s="5169"/>
      <c r="M31" s="5169"/>
      <c r="N31" s="5169"/>
      <c r="O31" s="5169"/>
      <c r="P31" s="5169"/>
      <c r="Q31" s="5169"/>
      <c r="R31" s="5169"/>
      <c r="S31" s="5169"/>
      <c r="T31" s="5169"/>
      <c r="U31" s="5169"/>
      <c r="V31" s="5169"/>
      <c r="W31" s="5169"/>
      <c r="X31" s="5169"/>
      <c r="Y31" s="5169"/>
      <c r="Z31" s="5169"/>
      <c r="AA31" s="5169"/>
      <c r="AB31" s="5169"/>
      <c r="AC31" s="5169"/>
      <c r="AD31" s="5169"/>
      <c r="AE31" s="5169"/>
      <c r="AF31" s="5169"/>
      <c r="AG31" s="5169"/>
      <c r="AH31" s="5169"/>
      <c r="AI31" s="5169"/>
      <c r="AJ31" s="5169"/>
      <c r="AK31" s="5169"/>
      <c r="AL31" s="5169"/>
      <c r="AM31" s="5169"/>
      <c r="AN31" s="5169"/>
      <c r="AO31" s="5169"/>
      <c r="AP31" s="5169"/>
      <c r="AQ31" s="5169"/>
      <c r="AR31" s="5169"/>
      <c r="AS31" s="5169"/>
      <c r="AT31" s="5169"/>
      <c r="AU31" s="5169"/>
      <c r="AV31" s="5169"/>
      <c r="AW31" s="5169"/>
      <c r="AX31" s="5169"/>
      <c r="AY31" s="5169"/>
      <c r="AZ31" s="5169"/>
      <c r="BA31" s="5169"/>
      <c r="BB31" s="5169"/>
      <c r="BC31" s="5169"/>
      <c r="BD31" s="5169"/>
      <c r="BE31" s="5169"/>
      <c r="BF31" s="5169"/>
      <c r="BG31" s="5169"/>
      <c r="BH31" s="5169"/>
      <c r="BI31" s="5169"/>
      <c r="BJ31" s="5169"/>
      <c r="BK31" s="5169"/>
      <c r="BL31" s="5169"/>
      <c r="BM31" s="5169"/>
      <c r="BN31" s="5169"/>
      <c r="BO31" s="5169"/>
      <c r="BP31" s="5169"/>
      <c r="BQ31" s="5169"/>
      <c r="BR31" s="5169"/>
      <c r="BS31" s="5169"/>
      <c r="BT31" s="5169"/>
      <c r="BU31" s="5169"/>
      <c r="BV31" s="5169"/>
      <c r="BW31" s="5169"/>
      <c r="BX31" s="5169"/>
      <c r="BY31" s="5169"/>
      <c r="BZ31" s="5169"/>
      <c r="CA31" s="5169"/>
      <c r="CB31" s="5169"/>
    </row>
    <row r="32" spans="2:80" s="5170" customFormat="1" ht="52.25" customHeight="1">
      <c r="B32" s="5169" t="s">
        <v>313</v>
      </c>
      <c r="C32" s="5179"/>
      <c r="D32" s="5179"/>
      <c r="E32" s="5179"/>
      <c r="F32" s="5179"/>
      <c r="G32" s="5179"/>
      <c r="H32" s="5179"/>
      <c r="I32" s="5179"/>
      <c r="J32" s="5179"/>
      <c r="K32" s="5179"/>
      <c r="L32" s="5180"/>
      <c r="M32" s="5180"/>
      <c r="N32" s="5180"/>
      <c r="O32" s="5180"/>
      <c r="P32" s="5180"/>
      <c r="Q32" s="5180"/>
      <c r="R32" s="5180"/>
      <c r="S32" s="5180"/>
      <c r="T32" s="5180"/>
      <c r="U32" s="5180"/>
      <c r="V32" s="5181"/>
      <c r="W32" s="5181"/>
      <c r="X32" s="5181"/>
      <c r="Y32" s="5182"/>
      <c r="Z32" s="5182"/>
      <c r="AA32" s="5183"/>
      <c r="AB32" s="5183"/>
    </row>
    <row r="33" spans="2:26" ht="39">
      <c r="B33" s="364"/>
      <c r="C33" s="531"/>
      <c r="D33" s="531"/>
      <c r="E33" s="531"/>
      <c r="F33" s="531"/>
      <c r="G33" s="531"/>
      <c r="H33" s="531"/>
      <c r="I33" s="531"/>
      <c r="J33" s="531"/>
      <c r="K33" s="531"/>
      <c r="L33" s="532"/>
      <c r="M33" s="532"/>
      <c r="N33" s="532"/>
      <c r="O33" s="532"/>
      <c r="P33" s="532"/>
      <c r="Q33" s="532"/>
      <c r="R33" s="532"/>
      <c r="S33" s="532"/>
      <c r="T33" s="532"/>
      <c r="U33" s="532"/>
      <c r="V33" s="533"/>
      <c r="W33" s="533"/>
      <c r="X33" s="533"/>
      <c r="Y33" s="487"/>
      <c r="Z33" s="487"/>
    </row>
    <row r="34" spans="2:26">
      <c r="C34" s="534"/>
      <c r="D34" s="534"/>
      <c r="E34" s="534"/>
      <c r="F34" s="534"/>
      <c r="G34" s="534"/>
      <c r="H34" s="534"/>
      <c r="I34" s="534"/>
      <c r="J34" s="534"/>
      <c r="K34" s="534"/>
      <c r="L34" s="534"/>
      <c r="O34" s="487"/>
      <c r="Q34" s="535"/>
      <c r="U34" s="487"/>
    </row>
    <row r="80" spans="2:2">
      <c r="B80" s="361" t="s">
        <v>747</v>
      </c>
    </row>
  </sheetData>
  <mergeCells count="2">
    <mergeCell ref="B1:AI1"/>
    <mergeCell ref="B2:AI2"/>
  </mergeCells>
  <hyperlinks>
    <hyperlink ref="B29" r:id="rId1" display="http://www.govt.lc/other/st-lucia-tourist-board" xr:uid="{00000000-0004-0000-0600-000000000000}"/>
  </hyperlinks>
  <printOptions horizontalCentered="1" verticalCentered="1"/>
  <pageMargins left="0.25" right="0.25" top="0.75" bottom="0.75" header="0.3" footer="0.3"/>
  <pageSetup scale="23" firstPageNumber="103" orientation="landscape" useFirstPageNumber="1" r:id="rId2"/>
  <headerFooter scaleWithDoc="0" alignWithMargins="0">
    <oddFooter xml:space="preserve">&amp;C109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pageSetUpPr fitToPage="1"/>
  </sheetPr>
  <dimension ref="A1:Q23"/>
  <sheetViews>
    <sheetView view="pageBreakPreview" zoomScale="90" zoomScaleNormal="100" zoomScaleSheetLayoutView="90" workbookViewId="0">
      <selection activeCell="B44" sqref="B44"/>
    </sheetView>
  </sheetViews>
  <sheetFormatPr defaultColWidth="8.6640625" defaultRowHeight="17.649999999999999"/>
  <cols>
    <col min="1" max="1" width="7.33203125" style="3393" customWidth="1"/>
    <col min="2" max="2" width="22.6640625" style="3393" customWidth="1"/>
    <col min="3" max="14" width="10.6640625" style="3393" customWidth="1"/>
    <col min="15" max="15" width="14" style="3393" customWidth="1"/>
    <col min="16" max="16" width="17.33203125" style="3393" customWidth="1"/>
    <col min="17" max="17" width="4.33203125" style="3393" customWidth="1"/>
    <col min="18" max="16384" width="8.6640625" style="3393"/>
  </cols>
  <sheetData>
    <row r="1" spans="1:17">
      <c r="B1" s="5665" t="s">
        <v>1832</v>
      </c>
      <c r="C1" s="5665"/>
      <c r="D1" s="5665"/>
      <c r="E1" s="5665"/>
      <c r="F1" s="5665"/>
      <c r="G1" s="5665"/>
      <c r="H1" s="5665"/>
      <c r="I1" s="5665"/>
      <c r="J1" s="5665"/>
      <c r="K1" s="5665"/>
      <c r="L1" s="5665"/>
      <c r="M1" s="5665"/>
      <c r="N1" s="5665"/>
      <c r="O1" s="5665"/>
      <c r="P1" s="5665"/>
    </row>
    <row r="2" spans="1:17">
      <c r="B2" s="5665" t="s">
        <v>1833</v>
      </c>
      <c r="C2" s="5665"/>
      <c r="D2" s="5665"/>
      <c r="E2" s="5665"/>
      <c r="F2" s="5665"/>
      <c r="G2" s="5665"/>
      <c r="H2" s="5665"/>
      <c r="I2" s="5665"/>
      <c r="J2" s="5665"/>
      <c r="K2" s="5665"/>
      <c r="L2" s="5665"/>
      <c r="M2" s="5665"/>
      <c r="N2" s="5665"/>
      <c r="O2" s="5665"/>
      <c r="P2" s="5665"/>
    </row>
    <row r="3" spans="1:17" ht="8" customHeight="1" thickBot="1">
      <c r="B3" s="3394"/>
      <c r="C3" s="3394"/>
      <c r="D3" s="3394"/>
      <c r="E3" s="3394"/>
      <c r="F3" s="3394"/>
      <c r="G3" s="3394"/>
      <c r="H3" s="3394"/>
      <c r="I3" s="3394"/>
      <c r="J3" s="3394"/>
      <c r="K3" s="3394"/>
      <c r="L3" s="3394"/>
      <c r="M3" s="3394"/>
    </row>
    <row r="4" spans="1:17" ht="51.5" customHeight="1" thickBot="1">
      <c r="B4" s="4654" t="s">
        <v>108</v>
      </c>
      <c r="C4" s="4655">
        <v>2011</v>
      </c>
      <c r="D4" s="4656">
        <v>2012</v>
      </c>
      <c r="E4" s="4657">
        <v>2013</v>
      </c>
      <c r="F4" s="4657">
        <v>2014</v>
      </c>
      <c r="G4" s="4658">
        <v>2015</v>
      </c>
      <c r="H4" s="4659">
        <v>2016</v>
      </c>
      <c r="I4" s="4659">
        <v>2017</v>
      </c>
      <c r="J4" s="4660">
        <v>2018</v>
      </c>
      <c r="K4" s="4659">
        <v>2019</v>
      </c>
      <c r="L4" s="4659">
        <v>2020</v>
      </c>
      <c r="M4" s="4661">
        <v>2021</v>
      </c>
      <c r="N4" s="4662">
        <v>2022</v>
      </c>
      <c r="O4" s="4657" t="s">
        <v>1959</v>
      </c>
      <c r="P4" s="4663" t="s">
        <v>1961</v>
      </c>
    </row>
    <row r="5" spans="1:17" ht="37.25" customHeight="1">
      <c r="B5" s="3395" t="s">
        <v>1358</v>
      </c>
      <c r="C5" s="3396">
        <v>50.064442879999994</v>
      </c>
      <c r="D5" s="3397">
        <v>40.701030750000001</v>
      </c>
      <c r="E5" s="3398">
        <v>28.83144505000001</v>
      </c>
      <c r="F5" s="3396">
        <v>22.880522509999999</v>
      </c>
      <c r="G5" s="3397">
        <v>26.303231159999996</v>
      </c>
      <c r="H5" s="3398">
        <v>26.99529536</v>
      </c>
      <c r="I5" s="3398">
        <v>27.47036366</v>
      </c>
      <c r="J5" s="3397">
        <v>26.160671240000003</v>
      </c>
      <c r="K5" s="3397">
        <v>23.168056069999999</v>
      </c>
      <c r="L5" s="3397">
        <v>20.352130340000002</v>
      </c>
      <c r="M5" s="3399">
        <v>30.419946260000003</v>
      </c>
      <c r="N5" s="3400">
        <v>28.6</v>
      </c>
      <c r="O5" s="3401">
        <v>29.4</v>
      </c>
      <c r="P5" s="3402">
        <f>(O5/N5)-1</f>
        <v>2.7972027972027913E-2</v>
      </c>
    </row>
    <row r="6" spans="1:17" ht="37.25" customHeight="1">
      <c r="B6" s="3403" t="s">
        <v>1359</v>
      </c>
      <c r="C6" s="3396">
        <v>3.8262156300000001</v>
      </c>
      <c r="D6" s="3398">
        <v>2.6516480500000004</v>
      </c>
      <c r="E6" s="3398">
        <v>3.0891196299999999</v>
      </c>
      <c r="F6" s="3396">
        <v>1.5865394900000001</v>
      </c>
      <c r="G6" s="3398">
        <v>5.9387604799999991</v>
      </c>
      <c r="H6" s="3398">
        <v>2.3713978</v>
      </c>
      <c r="I6" s="3398">
        <v>1.5265973500000001</v>
      </c>
      <c r="J6" s="3398">
        <v>2.3119999999999998</v>
      </c>
      <c r="K6" s="3398">
        <v>2.2953501200000002</v>
      </c>
      <c r="L6" s="3398">
        <v>2.4794038500000002</v>
      </c>
      <c r="M6" s="3398">
        <v>3.4640976700000001</v>
      </c>
      <c r="N6" s="3396">
        <v>3.9</v>
      </c>
      <c r="O6" s="3404">
        <v>3.5</v>
      </c>
      <c r="P6" s="3405">
        <f t="shared" ref="P6:P11" si="0">O6/N6-1</f>
        <v>-0.10256410256410253</v>
      </c>
    </row>
    <row r="7" spans="1:17" ht="37.25" customHeight="1">
      <c r="B7" s="3403" t="s">
        <v>1360</v>
      </c>
      <c r="C7" s="3396">
        <v>21.293033960000002</v>
      </c>
      <c r="D7" s="3398">
        <v>23.954231780000001</v>
      </c>
      <c r="E7" s="3398">
        <v>21.503636409999999</v>
      </c>
      <c r="F7" s="3396">
        <v>22.415511870000003</v>
      </c>
      <c r="G7" s="3398">
        <v>22.531060099999998</v>
      </c>
      <c r="H7" s="3398">
        <v>20.3904551</v>
      </c>
      <c r="I7" s="3398">
        <v>27.921616289999999</v>
      </c>
      <c r="J7" s="3398">
        <v>17.38668105</v>
      </c>
      <c r="K7" s="3398">
        <v>17.72489186</v>
      </c>
      <c r="L7" s="3398">
        <v>20.18583383</v>
      </c>
      <c r="M7" s="3398">
        <v>14.272687749999999</v>
      </c>
      <c r="N7" s="3396">
        <v>10.4</v>
      </c>
      <c r="O7" s="3404">
        <v>8.9</v>
      </c>
      <c r="P7" s="3405">
        <f t="shared" si="0"/>
        <v>-0.14423076923076927</v>
      </c>
    </row>
    <row r="8" spans="1:17" ht="37.25" customHeight="1">
      <c r="B8" s="3403" t="s">
        <v>1361</v>
      </c>
      <c r="C8" s="3396">
        <v>2.0978798400000001</v>
      </c>
      <c r="D8" s="3398">
        <v>2.1638220600000002</v>
      </c>
      <c r="E8" s="3398">
        <v>4.4649529200000009</v>
      </c>
      <c r="F8" s="3396">
        <v>3.3087032899999995</v>
      </c>
      <c r="G8" s="3398">
        <v>12.70894391</v>
      </c>
      <c r="H8" s="3398">
        <v>4.6306867599999997</v>
      </c>
      <c r="I8" s="3398">
        <v>2.4663545199999994</v>
      </c>
      <c r="J8" s="3398">
        <v>3.8686711699999998</v>
      </c>
      <c r="K8" s="3398">
        <v>3.0054963099999998</v>
      </c>
      <c r="L8" s="3398">
        <v>6.6108262099999999</v>
      </c>
      <c r="M8" s="3398">
        <v>3.8557208700000003</v>
      </c>
      <c r="N8" s="3396">
        <v>1.7</v>
      </c>
      <c r="O8" s="3404">
        <v>4</v>
      </c>
      <c r="P8" s="3405">
        <f t="shared" si="0"/>
        <v>1.3529411764705883</v>
      </c>
    </row>
    <row r="9" spans="1:17" ht="37.25" customHeight="1">
      <c r="B9" s="3403" t="s">
        <v>1362</v>
      </c>
      <c r="C9" s="3396">
        <v>15.708872280000001</v>
      </c>
      <c r="D9" s="3398">
        <v>11.550382810000002</v>
      </c>
      <c r="E9" s="3398">
        <v>20.034075530000006</v>
      </c>
      <c r="F9" s="3396">
        <v>13.96913305</v>
      </c>
      <c r="G9" s="3398">
        <v>2.57143766</v>
      </c>
      <c r="H9" s="3398">
        <v>12.8897815</v>
      </c>
      <c r="I9" s="3398">
        <v>11.009902469999998</v>
      </c>
      <c r="J9" s="3398">
        <v>14.146000000000001</v>
      </c>
      <c r="K9" s="3398">
        <v>8.0312170399999996</v>
      </c>
      <c r="L9" s="3398">
        <v>8.7600321399999999</v>
      </c>
      <c r="M9" s="3398">
        <v>11.263610129999998</v>
      </c>
      <c r="N9" s="3396">
        <v>13.8</v>
      </c>
      <c r="O9" s="3404">
        <v>18.600000000000001</v>
      </c>
      <c r="P9" s="3405">
        <f t="shared" si="0"/>
        <v>0.34782608695652173</v>
      </c>
    </row>
    <row r="10" spans="1:17" ht="37.25" customHeight="1" thickBot="1">
      <c r="B10" s="3403" t="s">
        <v>141</v>
      </c>
      <c r="C10" s="3396">
        <v>99.775650949999871</v>
      </c>
      <c r="D10" s="3398">
        <v>106.2528018</v>
      </c>
      <c r="E10" s="3398">
        <v>86.647700070000013</v>
      </c>
      <c r="F10" s="3396">
        <v>77.958252430000016</v>
      </c>
      <c r="G10" s="3398">
        <v>175.5090558</v>
      </c>
      <c r="H10" s="3398">
        <v>111.83607323000001</v>
      </c>
      <c r="I10" s="3398">
        <v>130.79027195</v>
      </c>
      <c r="J10" s="3398">
        <v>96.6</v>
      </c>
      <c r="K10" s="3398">
        <v>100.78859600999999</v>
      </c>
      <c r="L10" s="3398">
        <v>90.394094879999997</v>
      </c>
      <c r="M10" s="3398">
        <v>124.45398274999999</v>
      </c>
      <c r="N10" s="3396">
        <v>136.80000000000001</v>
      </c>
      <c r="O10" s="3406">
        <v>147.9</v>
      </c>
      <c r="P10" s="3407">
        <f t="shared" si="0"/>
        <v>8.1140350877192846E-2</v>
      </c>
    </row>
    <row r="11" spans="1:17" ht="37.25" customHeight="1" thickBot="1">
      <c r="B11" s="3408" t="s">
        <v>412</v>
      </c>
      <c r="C11" s="4651">
        <v>192.76609553999987</v>
      </c>
      <c r="D11" s="4652">
        <v>187.27391725000001</v>
      </c>
      <c r="E11" s="4652">
        <v>164.57092961000004</v>
      </c>
      <c r="F11" s="3409">
        <f>+SUM(F5:F10)</f>
        <v>142.11866264000003</v>
      </c>
      <c r="G11" s="3410">
        <f t="shared" ref="G11:N11" si="1">+SUM(G5:G10)</f>
        <v>245.56248911</v>
      </c>
      <c r="H11" s="3410">
        <f t="shared" si="1"/>
        <v>179.11368974999999</v>
      </c>
      <c r="I11" s="3410">
        <f t="shared" si="1"/>
        <v>201.18510623999998</v>
      </c>
      <c r="J11" s="3410">
        <f t="shared" si="1"/>
        <v>160.47402346000001</v>
      </c>
      <c r="K11" s="3410">
        <f t="shared" si="1"/>
        <v>155.01360740999999</v>
      </c>
      <c r="L11" s="3410">
        <f t="shared" si="1"/>
        <v>148.78232125</v>
      </c>
      <c r="M11" s="3411">
        <f t="shared" si="1"/>
        <v>187.73004542999999</v>
      </c>
      <c r="N11" s="3412">
        <f t="shared" si="1"/>
        <v>195.20000000000002</v>
      </c>
      <c r="O11" s="3413">
        <f>O5+O6+O7+O8+O9+O10</f>
        <v>212.3</v>
      </c>
      <c r="P11" s="4740">
        <f t="shared" si="0"/>
        <v>8.7602459016393297E-2</v>
      </c>
    </row>
    <row r="12" spans="1:17" ht="19.25" customHeight="1" thickBot="1">
      <c r="A12" s="3414"/>
      <c r="B12" s="5184" t="s">
        <v>1522</v>
      </c>
      <c r="C12" s="4651"/>
      <c r="D12" s="3415">
        <f t="shared" ref="D12:F12" si="2">D11/C11-1</f>
        <v>-2.8491412219635914E-2</v>
      </c>
      <c r="E12" s="3415">
        <f t="shared" si="2"/>
        <v>-0.12122877533283394</v>
      </c>
      <c r="F12" s="3415">
        <f t="shared" si="2"/>
        <v>-0.13642911918409506</v>
      </c>
      <c r="G12" s="3415">
        <f>G11/F11-1</f>
        <v>0.72786940538578637</v>
      </c>
      <c r="H12" s="3415">
        <f t="shared" ref="H12:O12" si="3">H11/G11-1</f>
        <v>-0.2705983295772596</v>
      </c>
      <c r="I12" s="3415">
        <f t="shared" si="3"/>
        <v>0.1232257373560135</v>
      </c>
      <c r="J12" s="3415">
        <f t="shared" si="3"/>
        <v>-0.20235634506380629</v>
      </c>
      <c r="K12" s="3416">
        <f t="shared" si="3"/>
        <v>-3.4026790955117403E-2</v>
      </c>
      <c r="L12" s="3416">
        <f t="shared" si="3"/>
        <v>-4.0198317193655742E-2</v>
      </c>
      <c r="M12" s="3417">
        <f t="shared" si="3"/>
        <v>0.26177655955881929</v>
      </c>
      <c r="N12" s="3418">
        <f t="shared" si="3"/>
        <v>3.9790937848493746E-2</v>
      </c>
      <c r="O12" s="3418">
        <f t="shared" si="3"/>
        <v>8.7602459016393297E-2</v>
      </c>
      <c r="P12" s="4741"/>
      <c r="Q12" s="3419"/>
    </row>
    <row r="13" spans="1:17">
      <c r="B13" s="3420" t="s">
        <v>661</v>
      </c>
      <c r="C13" s="3420"/>
      <c r="D13" s="3420"/>
      <c r="E13" s="4653"/>
      <c r="P13" s="3421"/>
    </row>
    <row r="14" spans="1:17">
      <c r="B14" s="3420" t="s">
        <v>200</v>
      </c>
      <c r="C14" s="3420"/>
      <c r="D14" s="3420"/>
      <c r="E14" s="3420"/>
    </row>
    <row r="15" spans="1:17">
      <c r="C15" s="3420"/>
      <c r="D15" s="3420"/>
      <c r="E15" s="3420"/>
    </row>
    <row r="16" spans="1:17">
      <c r="O16" s="3422"/>
    </row>
    <row r="17" spans="15:15">
      <c r="O17" s="3422"/>
    </row>
    <row r="18" spans="15:15">
      <c r="O18" s="3422"/>
    </row>
    <row r="19" spans="15:15">
      <c r="O19" s="3422"/>
    </row>
    <row r="20" spans="15:15">
      <c r="O20" s="3422"/>
    </row>
    <row r="21" spans="15:15">
      <c r="O21" s="3422"/>
    </row>
    <row r="22" spans="15:15">
      <c r="O22" s="3422"/>
    </row>
    <row r="23" spans="15:15">
      <c r="O23" s="3422"/>
    </row>
  </sheetData>
  <mergeCells count="2">
    <mergeCell ref="B1:P1"/>
    <mergeCell ref="B2:P2"/>
  </mergeCells>
  <printOptions horizontalCentered="1" verticalCentered="1"/>
  <pageMargins left="0.25" right="0.25" top="0.75" bottom="0.75" header="0.3" footer="0.3"/>
  <pageSetup scale="72" firstPageNumber="103" orientation="landscape" useFirstPageNumber="1" r:id="rId1"/>
  <headerFooter scaleWithDoc="0" alignWithMargins="0">
    <oddFooter xml:space="preserve">&amp;C110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2">
    <tabColor rgb="FF00B0F0"/>
    <pageSetUpPr fitToPage="1"/>
  </sheetPr>
  <dimension ref="B1:DE85"/>
  <sheetViews>
    <sheetView view="pageBreakPreview" topLeftCell="B1" zoomScale="55" zoomScaleNormal="70" zoomScaleSheetLayoutView="55" workbookViewId="0">
      <pane xSplit="31" topLeftCell="AG1" activePane="topRight" state="frozen"/>
      <selection activeCell="B44" sqref="B44"/>
      <selection pane="topRight" activeCell="AG29" sqref="AG29"/>
    </sheetView>
  </sheetViews>
  <sheetFormatPr defaultColWidth="8.796875" defaultRowHeight="36"/>
  <cols>
    <col min="1" max="1" width="0" style="4903" hidden="1" customWidth="1"/>
    <col min="2" max="2" width="87.796875" style="4903" customWidth="1"/>
    <col min="3" max="3" width="13.46484375" style="4903" hidden="1" customWidth="1"/>
    <col min="4" max="4" width="14" style="4903" hidden="1" customWidth="1"/>
    <col min="5" max="5" width="13.46484375" style="4903" hidden="1" customWidth="1"/>
    <col min="6" max="6" width="14" style="4903" hidden="1" customWidth="1"/>
    <col min="7" max="7" width="15.46484375" style="4903" hidden="1" customWidth="1"/>
    <col min="8" max="8" width="13.46484375" style="4903" hidden="1" customWidth="1"/>
    <col min="9" max="11" width="14" style="4903" hidden="1" customWidth="1"/>
    <col min="12" max="12" width="15.46484375" style="4903" hidden="1" customWidth="1"/>
    <col min="13" max="13" width="13.46484375" style="4903" hidden="1" customWidth="1"/>
    <col min="14" max="14" width="13" style="4903" hidden="1" customWidth="1"/>
    <col min="15" max="15" width="14" style="4903" hidden="1" customWidth="1"/>
    <col min="16" max="16" width="13.46484375" style="4903" hidden="1" customWidth="1"/>
    <col min="17" max="17" width="14.46484375" style="4906" hidden="1" customWidth="1"/>
    <col min="18" max="21" width="13.46484375" style="4905" hidden="1" customWidth="1"/>
    <col min="22" max="22" width="14.46484375" style="4906" hidden="1" customWidth="1"/>
    <col min="23" max="26" width="20.46484375" style="4903" hidden="1" customWidth="1"/>
    <col min="27" max="27" width="20.46484375" style="4906" hidden="1" customWidth="1"/>
    <col min="28" max="31" width="24.6640625" style="4903" hidden="1" customWidth="1"/>
    <col min="32" max="32" width="24.6640625" style="4906" hidden="1" customWidth="1"/>
    <col min="33" max="33" width="24.6640625" style="4907" customWidth="1"/>
    <col min="34" max="36" width="24.6640625" style="4903" customWidth="1"/>
    <col min="37" max="37" width="29.6640625" style="4903" customWidth="1"/>
    <col min="38" max="47" width="24.6640625" style="4903" customWidth="1"/>
    <col min="48" max="52" width="24.6640625" style="4908" customWidth="1"/>
    <col min="53" max="53" width="24.6640625" style="4903" hidden="1" customWidth="1"/>
    <col min="54" max="57" width="20.46484375" style="4903" hidden="1" customWidth="1"/>
    <col min="58" max="58" width="18.33203125" style="4903" bestFit="1" customWidth="1"/>
    <col min="59" max="59" width="19.6640625" style="4903" bestFit="1" customWidth="1"/>
    <col min="60" max="60" width="18.46484375" style="4903" customWidth="1"/>
    <col min="61" max="61" width="18.46484375" style="4903" bestFit="1" customWidth="1"/>
    <col min="62" max="62" width="24" style="4903" bestFit="1" customWidth="1"/>
    <col min="63" max="277" width="9.46484375" style="4903"/>
    <col min="278" max="278" width="22.46484375" style="4903" bestFit="1" customWidth="1"/>
    <col min="279" max="282" width="9.46484375" style="4903" bestFit="1" customWidth="1"/>
    <col min="283" max="283" width="10.46484375" style="4903" bestFit="1" customWidth="1"/>
    <col min="284" max="287" width="9.46484375" style="4903" bestFit="1" customWidth="1"/>
    <col min="288" max="288" width="10.46484375" style="4903" bestFit="1" customWidth="1"/>
    <col min="289" max="292" width="9.46484375" style="4903" bestFit="1" customWidth="1"/>
    <col min="293" max="293" width="10.46484375" style="4903" bestFit="1" customWidth="1"/>
    <col min="294" max="533" width="9.46484375" style="4903"/>
    <col min="534" max="534" width="22.46484375" style="4903" bestFit="1" customWidth="1"/>
    <col min="535" max="538" width="9.46484375" style="4903" bestFit="1" customWidth="1"/>
    <col min="539" max="539" width="10.46484375" style="4903" bestFit="1" customWidth="1"/>
    <col min="540" max="543" width="9.46484375" style="4903" bestFit="1" customWidth="1"/>
    <col min="544" max="544" width="10.46484375" style="4903" bestFit="1" customWidth="1"/>
    <col min="545" max="548" width="9.46484375" style="4903" bestFit="1" customWidth="1"/>
    <col min="549" max="549" width="10.46484375" style="4903" bestFit="1" customWidth="1"/>
    <col min="550" max="789" width="9.46484375" style="4903"/>
    <col min="790" max="790" width="22.46484375" style="4903" bestFit="1" customWidth="1"/>
    <col min="791" max="794" width="9.46484375" style="4903" bestFit="1" customWidth="1"/>
    <col min="795" max="795" width="10.46484375" style="4903" bestFit="1" customWidth="1"/>
    <col min="796" max="799" width="9.46484375" style="4903" bestFit="1" customWidth="1"/>
    <col min="800" max="800" width="10.46484375" style="4903" bestFit="1" customWidth="1"/>
    <col min="801" max="804" width="9.46484375" style="4903" bestFit="1" customWidth="1"/>
    <col min="805" max="805" width="10.46484375" style="4903" bestFit="1" customWidth="1"/>
    <col min="806" max="1045" width="9.46484375" style="4903"/>
    <col min="1046" max="1046" width="22.46484375" style="4903" bestFit="1" customWidth="1"/>
    <col min="1047" max="1050" width="9.46484375" style="4903" bestFit="1" customWidth="1"/>
    <col min="1051" max="1051" width="10.46484375" style="4903" bestFit="1" customWidth="1"/>
    <col min="1052" max="1055" width="9.46484375" style="4903" bestFit="1" customWidth="1"/>
    <col min="1056" max="1056" width="10.46484375" style="4903" bestFit="1" customWidth="1"/>
    <col min="1057" max="1060" width="9.46484375" style="4903" bestFit="1" customWidth="1"/>
    <col min="1061" max="1061" width="10.46484375" style="4903" bestFit="1" customWidth="1"/>
    <col min="1062" max="1301" width="9.46484375" style="4903"/>
    <col min="1302" max="1302" width="22.46484375" style="4903" bestFit="1" customWidth="1"/>
    <col min="1303" max="1306" width="9.46484375" style="4903" bestFit="1" customWidth="1"/>
    <col min="1307" max="1307" width="10.46484375" style="4903" bestFit="1" customWidth="1"/>
    <col min="1308" max="1311" width="9.46484375" style="4903" bestFit="1" customWidth="1"/>
    <col min="1312" max="1312" width="10.46484375" style="4903" bestFit="1" customWidth="1"/>
    <col min="1313" max="1316" width="9.46484375" style="4903" bestFit="1" customWidth="1"/>
    <col min="1317" max="1317" width="10.46484375" style="4903" bestFit="1" customWidth="1"/>
    <col min="1318" max="1557" width="9.46484375" style="4903"/>
    <col min="1558" max="1558" width="22.46484375" style="4903" bestFit="1" customWidth="1"/>
    <col min="1559" max="1562" width="9.46484375" style="4903" bestFit="1" customWidth="1"/>
    <col min="1563" max="1563" width="10.46484375" style="4903" bestFit="1" customWidth="1"/>
    <col min="1564" max="1567" width="9.46484375" style="4903" bestFit="1" customWidth="1"/>
    <col min="1568" max="1568" width="10.46484375" style="4903" bestFit="1" customWidth="1"/>
    <col min="1569" max="1572" width="9.46484375" style="4903" bestFit="1" customWidth="1"/>
    <col min="1573" max="1573" width="10.46484375" style="4903" bestFit="1" customWidth="1"/>
    <col min="1574" max="1813" width="9.46484375" style="4903"/>
    <col min="1814" max="1814" width="22.46484375" style="4903" bestFit="1" customWidth="1"/>
    <col min="1815" max="1818" width="9.46484375" style="4903" bestFit="1" customWidth="1"/>
    <col min="1819" max="1819" width="10.46484375" style="4903" bestFit="1" customWidth="1"/>
    <col min="1820" max="1823" width="9.46484375" style="4903" bestFit="1" customWidth="1"/>
    <col min="1824" max="1824" width="10.46484375" style="4903" bestFit="1" customWidth="1"/>
    <col min="1825" max="1828" width="9.46484375" style="4903" bestFit="1" customWidth="1"/>
    <col min="1829" max="1829" width="10.46484375" style="4903" bestFit="1" customWidth="1"/>
    <col min="1830" max="2069" width="9.46484375" style="4903"/>
    <col min="2070" max="2070" width="22.46484375" style="4903" bestFit="1" customWidth="1"/>
    <col min="2071" max="2074" width="9.46484375" style="4903" bestFit="1" customWidth="1"/>
    <col min="2075" max="2075" width="10.46484375" style="4903" bestFit="1" customWidth="1"/>
    <col min="2076" max="2079" width="9.46484375" style="4903" bestFit="1" customWidth="1"/>
    <col min="2080" max="2080" width="10.46484375" style="4903" bestFit="1" customWidth="1"/>
    <col min="2081" max="2084" width="9.46484375" style="4903" bestFit="1" customWidth="1"/>
    <col min="2085" max="2085" width="10.46484375" style="4903" bestFit="1" customWidth="1"/>
    <col min="2086" max="2325" width="9.46484375" style="4903"/>
    <col min="2326" max="2326" width="22.46484375" style="4903" bestFit="1" customWidth="1"/>
    <col min="2327" max="2330" width="9.46484375" style="4903" bestFit="1" customWidth="1"/>
    <col min="2331" max="2331" width="10.46484375" style="4903" bestFit="1" customWidth="1"/>
    <col min="2332" max="2335" width="9.46484375" style="4903" bestFit="1" customWidth="1"/>
    <col min="2336" max="2336" width="10.46484375" style="4903" bestFit="1" customWidth="1"/>
    <col min="2337" max="2340" width="9.46484375" style="4903" bestFit="1" customWidth="1"/>
    <col min="2341" max="2341" width="10.46484375" style="4903" bestFit="1" customWidth="1"/>
    <col min="2342" max="2581" width="9.46484375" style="4903"/>
    <col min="2582" max="2582" width="22.46484375" style="4903" bestFit="1" customWidth="1"/>
    <col min="2583" max="2586" width="9.46484375" style="4903" bestFit="1" customWidth="1"/>
    <col min="2587" max="2587" width="10.46484375" style="4903" bestFit="1" customWidth="1"/>
    <col min="2588" max="2591" width="9.46484375" style="4903" bestFit="1" customWidth="1"/>
    <col min="2592" max="2592" width="10.46484375" style="4903" bestFit="1" customWidth="1"/>
    <col min="2593" max="2596" width="9.46484375" style="4903" bestFit="1" customWidth="1"/>
    <col min="2597" max="2597" width="10.46484375" style="4903" bestFit="1" customWidth="1"/>
    <col min="2598" max="2837" width="9.46484375" style="4903"/>
    <col min="2838" max="2838" width="22.46484375" style="4903" bestFit="1" customWidth="1"/>
    <col min="2839" max="2842" width="9.46484375" style="4903" bestFit="1" customWidth="1"/>
    <col min="2843" max="2843" width="10.46484375" style="4903" bestFit="1" customWidth="1"/>
    <col min="2844" max="2847" width="9.46484375" style="4903" bestFit="1" customWidth="1"/>
    <col min="2848" max="2848" width="10.46484375" style="4903" bestFit="1" customWidth="1"/>
    <col min="2849" max="2852" width="9.46484375" style="4903" bestFit="1" customWidth="1"/>
    <col min="2853" max="2853" width="10.46484375" style="4903" bestFit="1" customWidth="1"/>
    <col min="2854" max="3093" width="9.46484375" style="4903"/>
    <col min="3094" max="3094" width="22.46484375" style="4903" bestFit="1" customWidth="1"/>
    <col min="3095" max="3098" width="9.46484375" style="4903" bestFit="1" customWidth="1"/>
    <col min="3099" max="3099" width="10.46484375" style="4903" bestFit="1" customWidth="1"/>
    <col min="3100" max="3103" width="9.46484375" style="4903" bestFit="1" customWidth="1"/>
    <col min="3104" max="3104" width="10.46484375" style="4903" bestFit="1" customWidth="1"/>
    <col min="3105" max="3108" width="9.46484375" style="4903" bestFit="1" customWidth="1"/>
    <col min="3109" max="3109" width="10.46484375" style="4903" bestFit="1" customWidth="1"/>
    <col min="3110" max="3349" width="9.46484375" style="4903"/>
    <col min="3350" max="3350" width="22.46484375" style="4903" bestFit="1" customWidth="1"/>
    <col min="3351" max="3354" width="9.46484375" style="4903" bestFit="1" customWidth="1"/>
    <col min="3355" max="3355" width="10.46484375" style="4903" bestFit="1" customWidth="1"/>
    <col min="3356" max="3359" width="9.46484375" style="4903" bestFit="1" customWidth="1"/>
    <col min="3360" max="3360" width="10.46484375" style="4903" bestFit="1" customWidth="1"/>
    <col min="3361" max="3364" width="9.46484375" style="4903" bestFit="1" customWidth="1"/>
    <col min="3365" max="3365" width="10.46484375" style="4903" bestFit="1" customWidth="1"/>
    <col min="3366" max="3605" width="9.46484375" style="4903"/>
    <col min="3606" max="3606" width="22.46484375" style="4903" bestFit="1" customWidth="1"/>
    <col min="3607" max="3610" width="9.46484375" style="4903" bestFit="1" customWidth="1"/>
    <col min="3611" max="3611" width="10.46484375" style="4903" bestFit="1" customWidth="1"/>
    <col min="3612" max="3615" width="9.46484375" style="4903" bestFit="1" customWidth="1"/>
    <col min="3616" max="3616" width="10.46484375" style="4903" bestFit="1" customWidth="1"/>
    <col min="3617" max="3620" width="9.46484375" style="4903" bestFit="1" customWidth="1"/>
    <col min="3621" max="3621" width="10.46484375" style="4903" bestFit="1" customWidth="1"/>
    <col min="3622" max="3861" width="9.46484375" style="4903"/>
    <col min="3862" max="3862" width="22.46484375" style="4903" bestFit="1" customWidth="1"/>
    <col min="3863" max="3866" width="9.46484375" style="4903" bestFit="1" customWidth="1"/>
    <col min="3867" max="3867" width="10.46484375" style="4903" bestFit="1" customWidth="1"/>
    <col min="3868" max="3871" width="9.46484375" style="4903" bestFit="1" customWidth="1"/>
    <col min="3872" max="3872" width="10.46484375" style="4903" bestFit="1" customWidth="1"/>
    <col min="3873" max="3876" width="9.46484375" style="4903" bestFit="1" customWidth="1"/>
    <col min="3877" max="3877" width="10.46484375" style="4903" bestFit="1" customWidth="1"/>
    <col min="3878" max="4117" width="9.46484375" style="4903"/>
    <col min="4118" max="4118" width="22.46484375" style="4903" bestFit="1" customWidth="1"/>
    <col min="4119" max="4122" width="9.46484375" style="4903" bestFit="1" customWidth="1"/>
    <col min="4123" max="4123" width="10.46484375" style="4903" bestFit="1" customWidth="1"/>
    <col min="4124" max="4127" width="9.46484375" style="4903" bestFit="1" customWidth="1"/>
    <col min="4128" max="4128" width="10.46484375" style="4903" bestFit="1" customWidth="1"/>
    <col min="4129" max="4132" width="9.46484375" style="4903" bestFit="1" customWidth="1"/>
    <col min="4133" max="4133" width="10.46484375" style="4903" bestFit="1" customWidth="1"/>
    <col min="4134" max="4373" width="9.46484375" style="4903"/>
    <col min="4374" max="4374" width="22.46484375" style="4903" bestFit="1" customWidth="1"/>
    <col min="4375" max="4378" width="9.46484375" style="4903" bestFit="1" customWidth="1"/>
    <col min="4379" max="4379" width="10.46484375" style="4903" bestFit="1" customWidth="1"/>
    <col min="4380" max="4383" width="9.46484375" style="4903" bestFit="1" customWidth="1"/>
    <col min="4384" max="4384" width="10.46484375" style="4903" bestFit="1" customWidth="1"/>
    <col min="4385" max="4388" width="9.46484375" style="4903" bestFit="1" customWidth="1"/>
    <col min="4389" max="4389" width="10.46484375" style="4903" bestFit="1" customWidth="1"/>
    <col min="4390" max="4629" width="9.46484375" style="4903"/>
    <col min="4630" max="4630" width="22.46484375" style="4903" bestFit="1" customWidth="1"/>
    <col min="4631" max="4634" width="9.46484375" style="4903" bestFit="1" customWidth="1"/>
    <col min="4635" max="4635" width="10.46484375" style="4903" bestFit="1" customWidth="1"/>
    <col min="4636" max="4639" width="9.46484375" style="4903" bestFit="1" customWidth="1"/>
    <col min="4640" max="4640" width="10.46484375" style="4903" bestFit="1" customWidth="1"/>
    <col min="4641" max="4644" width="9.46484375" style="4903" bestFit="1" customWidth="1"/>
    <col min="4645" max="4645" width="10.46484375" style="4903" bestFit="1" customWidth="1"/>
    <col min="4646" max="4885" width="9.46484375" style="4903"/>
    <col min="4886" max="4886" width="22.46484375" style="4903" bestFit="1" customWidth="1"/>
    <col min="4887" max="4890" width="9.46484375" style="4903" bestFit="1" customWidth="1"/>
    <col min="4891" max="4891" width="10.46484375" style="4903" bestFit="1" customWidth="1"/>
    <col min="4892" max="4895" width="9.46484375" style="4903" bestFit="1" customWidth="1"/>
    <col min="4896" max="4896" width="10.46484375" style="4903" bestFit="1" customWidth="1"/>
    <col min="4897" max="4900" width="9.46484375" style="4903" bestFit="1" customWidth="1"/>
    <col min="4901" max="4901" width="10.46484375" style="4903" bestFit="1" customWidth="1"/>
    <col min="4902" max="5141" width="9.46484375" style="4903"/>
    <col min="5142" max="5142" width="22.46484375" style="4903" bestFit="1" customWidth="1"/>
    <col min="5143" max="5146" width="9.46484375" style="4903" bestFit="1" customWidth="1"/>
    <col min="5147" max="5147" width="10.46484375" style="4903" bestFit="1" customWidth="1"/>
    <col min="5148" max="5151" width="9.46484375" style="4903" bestFit="1" customWidth="1"/>
    <col min="5152" max="5152" width="10.46484375" style="4903" bestFit="1" customWidth="1"/>
    <col min="5153" max="5156" width="9.46484375" style="4903" bestFit="1" customWidth="1"/>
    <col min="5157" max="5157" width="10.46484375" style="4903" bestFit="1" customWidth="1"/>
    <col min="5158" max="5397" width="9.46484375" style="4903"/>
    <col min="5398" max="5398" width="22.46484375" style="4903" bestFit="1" customWidth="1"/>
    <col min="5399" max="5402" width="9.46484375" style="4903" bestFit="1" customWidth="1"/>
    <col min="5403" max="5403" width="10.46484375" style="4903" bestFit="1" customWidth="1"/>
    <col min="5404" max="5407" width="9.46484375" style="4903" bestFit="1" customWidth="1"/>
    <col min="5408" max="5408" width="10.46484375" style="4903" bestFit="1" customWidth="1"/>
    <col min="5409" max="5412" width="9.46484375" style="4903" bestFit="1" customWidth="1"/>
    <col min="5413" max="5413" width="10.46484375" style="4903" bestFit="1" customWidth="1"/>
    <col min="5414" max="5653" width="9.46484375" style="4903"/>
    <col min="5654" max="5654" width="22.46484375" style="4903" bestFit="1" customWidth="1"/>
    <col min="5655" max="5658" width="9.46484375" style="4903" bestFit="1" customWidth="1"/>
    <col min="5659" max="5659" width="10.46484375" style="4903" bestFit="1" customWidth="1"/>
    <col min="5660" max="5663" width="9.46484375" style="4903" bestFit="1" customWidth="1"/>
    <col min="5664" max="5664" width="10.46484375" style="4903" bestFit="1" customWidth="1"/>
    <col min="5665" max="5668" width="9.46484375" style="4903" bestFit="1" customWidth="1"/>
    <col min="5669" max="5669" width="10.46484375" style="4903" bestFit="1" customWidth="1"/>
    <col min="5670" max="5909" width="9.46484375" style="4903"/>
    <col min="5910" max="5910" width="22.46484375" style="4903" bestFit="1" customWidth="1"/>
    <col min="5911" max="5914" width="9.46484375" style="4903" bestFit="1" customWidth="1"/>
    <col min="5915" max="5915" width="10.46484375" style="4903" bestFit="1" customWidth="1"/>
    <col min="5916" max="5919" width="9.46484375" style="4903" bestFit="1" customWidth="1"/>
    <col min="5920" max="5920" width="10.46484375" style="4903" bestFit="1" customWidth="1"/>
    <col min="5921" max="5924" width="9.46484375" style="4903" bestFit="1" customWidth="1"/>
    <col min="5925" max="5925" width="10.46484375" style="4903" bestFit="1" customWidth="1"/>
    <col min="5926" max="6165" width="9.46484375" style="4903"/>
    <col min="6166" max="6166" width="22.46484375" style="4903" bestFit="1" customWidth="1"/>
    <col min="6167" max="6170" width="9.46484375" style="4903" bestFit="1" customWidth="1"/>
    <col min="6171" max="6171" width="10.46484375" style="4903" bestFit="1" customWidth="1"/>
    <col min="6172" max="6175" width="9.46484375" style="4903" bestFit="1" customWidth="1"/>
    <col min="6176" max="6176" width="10.46484375" style="4903" bestFit="1" customWidth="1"/>
    <col min="6177" max="6180" width="9.46484375" style="4903" bestFit="1" customWidth="1"/>
    <col min="6181" max="6181" width="10.46484375" style="4903" bestFit="1" customWidth="1"/>
    <col min="6182" max="6421" width="9.46484375" style="4903"/>
    <col min="6422" max="6422" width="22.46484375" style="4903" bestFit="1" customWidth="1"/>
    <col min="6423" max="6426" width="9.46484375" style="4903" bestFit="1" customWidth="1"/>
    <col min="6427" max="6427" width="10.46484375" style="4903" bestFit="1" customWidth="1"/>
    <col min="6428" max="6431" width="9.46484375" style="4903" bestFit="1" customWidth="1"/>
    <col min="6432" max="6432" width="10.46484375" style="4903" bestFit="1" customWidth="1"/>
    <col min="6433" max="6436" width="9.46484375" style="4903" bestFit="1" customWidth="1"/>
    <col min="6437" max="6437" width="10.46484375" style="4903" bestFit="1" customWidth="1"/>
    <col min="6438" max="6677" width="9.46484375" style="4903"/>
    <col min="6678" max="6678" width="22.46484375" style="4903" bestFit="1" customWidth="1"/>
    <col min="6679" max="6682" width="9.46484375" style="4903" bestFit="1" customWidth="1"/>
    <col min="6683" max="6683" width="10.46484375" style="4903" bestFit="1" customWidth="1"/>
    <col min="6684" max="6687" width="9.46484375" style="4903" bestFit="1" customWidth="1"/>
    <col min="6688" max="6688" width="10.46484375" style="4903" bestFit="1" customWidth="1"/>
    <col min="6689" max="6692" width="9.46484375" style="4903" bestFit="1" customWidth="1"/>
    <col min="6693" max="6693" width="10.46484375" style="4903" bestFit="1" customWidth="1"/>
    <col min="6694" max="6933" width="9.46484375" style="4903"/>
    <col min="6934" max="6934" width="22.46484375" style="4903" bestFit="1" customWidth="1"/>
    <col min="6935" max="6938" width="9.46484375" style="4903" bestFit="1" customWidth="1"/>
    <col min="6939" max="6939" width="10.46484375" style="4903" bestFit="1" customWidth="1"/>
    <col min="6940" max="6943" width="9.46484375" style="4903" bestFit="1" customWidth="1"/>
    <col min="6944" max="6944" width="10.46484375" style="4903" bestFit="1" customWidth="1"/>
    <col min="6945" max="6948" width="9.46484375" style="4903" bestFit="1" customWidth="1"/>
    <col min="6949" max="6949" width="10.46484375" style="4903" bestFit="1" customWidth="1"/>
    <col min="6950" max="7189" width="9.46484375" style="4903"/>
    <col min="7190" max="7190" width="22.46484375" style="4903" bestFit="1" customWidth="1"/>
    <col min="7191" max="7194" width="9.46484375" style="4903" bestFit="1" customWidth="1"/>
    <col min="7195" max="7195" width="10.46484375" style="4903" bestFit="1" customWidth="1"/>
    <col min="7196" max="7199" width="9.46484375" style="4903" bestFit="1" customWidth="1"/>
    <col min="7200" max="7200" width="10.46484375" style="4903" bestFit="1" customWidth="1"/>
    <col min="7201" max="7204" width="9.46484375" style="4903" bestFit="1" customWidth="1"/>
    <col min="7205" max="7205" width="10.46484375" style="4903" bestFit="1" customWidth="1"/>
    <col min="7206" max="7445" width="9.46484375" style="4903"/>
    <col min="7446" max="7446" width="22.46484375" style="4903" bestFit="1" customWidth="1"/>
    <col min="7447" max="7450" width="9.46484375" style="4903" bestFit="1" customWidth="1"/>
    <col min="7451" max="7451" width="10.46484375" style="4903" bestFit="1" customWidth="1"/>
    <col min="7452" max="7455" width="9.46484375" style="4903" bestFit="1" customWidth="1"/>
    <col min="7456" max="7456" width="10.46484375" style="4903" bestFit="1" customWidth="1"/>
    <col min="7457" max="7460" width="9.46484375" style="4903" bestFit="1" customWidth="1"/>
    <col min="7461" max="7461" width="10.46484375" style="4903" bestFit="1" customWidth="1"/>
    <col min="7462" max="7701" width="9.46484375" style="4903"/>
    <col min="7702" max="7702" width="22.46484375" style="4903" bestFit="1" customWidth="1"/>
    <col min="7703" max="7706" width="9.46484375" style="4903" bestFit="1" customWidth="1"/>
    <col min="7707" max="7707" width="10.46484375" style="4903" bestFit="1" customWidth="1"/>
    <col min="7708" max="7711" width="9.46484375" style="4903" bestFit="1" customWidth="1"/>
    <col min="7712" max="7712" width="10.46484375" style="4903" bestFit="1" customWidth="1"/>
    <col min="7713" max="7716" width="9.46484375" style="4903" bestFit="1" customWidth="1"/>
    <col min="7717" max="7717" width="10.46484375" style="4903" bestFit="1" customWidth="1"/>
    <col min="7718" max="7957" width="9.46484375" style="4903"/>
    <col min="7958" max="7958" width="22.46484375" style="4903" bestFit="1" customWidth="1"/>
    <col min="7959" max="7962" width="9.46484375" style="4903" bestFit="1" customWidth="1"/>
    <col min="7963" max="7963" width="10.46484375" style="4903" bestFit="1" customWidth="1"/>
    <col min="7964" max="7967" width="9.46484375" style="4903" bestFit="1" customWidth="1"/>
    <col min="7968" max="7968" width="10.46484375" style="4903" bestFit="1" customWidth="1"/>
    <col min="7969" max="7972" width="9.46484375" style="4903" bestFit="1" customWidth="1"/>
    <col min="7973" max="7973" width="10.46484375" style="4903" bestFit="1" customWidth="1"/>
    <col min="7974" max="8213" width="9.46484375" style="4903"/>
    <col min="8214" max="8214" width="22.46484375" style="4903" bestFit="1" customWidth="1"/>
    <col min="8215" max="8218" width="9.46484375" style="4903" bestFit="1" customWidth="1"/>
    <col min="8219" max="8219" width="10.46484375" style="4903" bestFit="1" customWidth="1"/>
    <col min="8220" max="8223" width="9.46484375" style="4903" bestFit="1" customWidth="1"/>
    <col min="8224" max="8224" width="10.46484375" style="4903" bestFit="1" customWidth="1"/>
    <col min="8225" max="8228" width="9.46484375" style="4903" bestFit="1" customWidth="1"/>
    <col min="8229" max="8229" width="10.46484375" style="4903" bestFit="1" customWidth="1"/>
    <col min="8230" max="8469" width="9.46484375" style="4903"/>
    <col min="8470" max="8470" width="22.46484375" style="4903" bestFit="1" customWidth="1"/>
    <col min="8471" max="8474" width="9.46484375" style="4903" bestFit="1" customWidth="1"/>
    <col min="8475" max="8475" width="10.46484375" style="4903" bestFit="1" customWidth="1"/>
    <col min="8476" max="8479" width="9.46484375" style="4903" bestFit="1" customWidth="1"/>
    <col min="8480" max="8480" width="10.46484375" style="4903" bestFit="1" customWidth="1"/>
    <col min="8481" max="8484" width="9.46484375" style="4903" bestFit="1" customWidth="1"/>
    <col min="8485" max="8485" width="10.46484375" style="4903" bestFit="1" customWidth="1"/>
    <col min="8486" max="8725" width="9.46484375" style="4903"/>
    <col min="8726" max="8726" width="22.46484375" style="4903" bestFit="1" customWidth="1"/>
    <col min="8727" max="8730" width="9.46484375" style="4903" bestFit="1" customWidth="1"/>
    <col min="8731" max="8731" width="10.46484375" style="4903" bestFit="1" customWidth="1"/>
    <col min="8732" max="8735" width="9.46484375" style="4903" bestFit="1" customWidth="1"/>
    <col min="8736" max="8736" width="10.46484375" style="4903" bestFit="1" customWidth="1"/>
    <col min="8737" max="8740" width="9.46484375" style="4903" bestFit="1" customWidth="1"/>
    <col min="8741" max="8741" width="10.46484375" style="4903" bestFit="1" customWidth="1"/>
    <col min="8742" max="8981" width="9.46484375" style="4903"/>
    <col min="8982" max="8982" width="22.46484375" style="4903" bestFit="1" customWidth="1"/>
    <col min="8983" max="8986" width="9.46484375" style="4903" bestFit="1" customWidth="1"/>
    <col min="8987" max="8987" width="10.46484375" style="4903" bestFit="1" customWidth="1"/>
    <col min="8988" max="8991" width="9.46484375" style="4903" bestFit="1" customWidth="1"/>
    <col min="8992" max="8992" width="10.46484375" style="4903" bestFit="1" customWidth="1"/>
    <col min="8993" max="8996" width="9.46484375" style="4903" bestFit="1" customWidth="1"/>
    <col min="8997" max="8997" width="10.46484375" style="4903" bestFit="1" customWidth="1"/>
    <col min="8998" max="9237" width="9.46484375" style="4903"/>
    <col min="9238" max="9238" width="22.46484375" style="4903" bestFit="1" customWidth="1"/>
    <col min="9239" max="9242" width="9.46484375" style="4903" bestFit="1" customWidth="1"/>
    <col min="9243" max="9243" width="10.46484375" style="4903" bestFit="1" customWidth="1"/>
    <col min="9244" max="9247" width="9.46484375" style="4903" bestFit="1" customWidth="1"/>
    <col min="9248" max="9248" width="10.46484375" style="4903" bestFit="1" customWidth="1"/>
    <col min="9249" max="9252" width="9.46484375" style="4903" bestFit="1" customWidth="1"/>
    <col min="9253" max="9253" width="10.46484375" style="4903" bestFit="1" customWidth="1"/>
    <col min="9254" max="9493" width="9.46484375" style="4903"/>
    <col min="9494" max="9494" width="22.46484375" style="4903" bestFit="1" customWidth="1"/>
    <col min="9495" max="9498" width="9.46484375" style="4903" bestFit="1" customWidth="1"/>
    <col min="9499" max="9499" width="10.46484375" style="4903" bestFit="1" customWidth="1"/>
    <col min="9500" max="9503" width="9.46484375" style="4903" bestFit="1" customWidth="1"/>
    <col min="9504" max="9504" width="10.46484375" style="4903" bestFit="1" customWidth="1"/>
    <col min="9505" max="9508" width="9.46484375" style="4903" bestFit="1" customWidth="1"/>
    <col min="9509" max="9509" width="10.46484375" style="4903" bestFit="1" customWidth="1"/>
    <col min="9510" max="9749" width="9.46484375" style="4903"/>
    <col min="9750" max="9750" width="22.46484375" style="4903" bestFit="1" customWidth="1"/>
    <col min="9751" max="9754" width="9.46484375" style="4903" bestFit="1" customWidth="1"/>
    <col min="9755" max="9755" width="10.46484375" style="4903" bestFit="1" customWidth="1"/>
    <col min="9756" max="9759" width="9.46484375" style="4903" bestFit="1" customWidth="1"/>
    <col min="9760" max="9760" width="10.46484375" style="4903" bestFit="1" customWidth="1"/>
    <col min="9761" max="9764" width="9.46484375" style="4903" bestFit="1" customWidth="1"/>
    <col min="9765" max="9765" width="10.46484375" style="4903" bestFit="1" customWidth="1"/>
    <col min="9766" max="10005" width="9.46484375" style="4903"/>
    <col min="10006" max="10006" width="22.46484375" style="4903" bestFit="1" customWidth="1"/>
    <col min="10007" max="10010" width="9.46484375" style="4903" bestFit="1" customWidth="1"/>
    <col min="10011" max="10011" width="10.46484375" style="4903" bestFit="1" customWidth="1"/>
    <col min="10012" max="10015" width="9.46484375" style="4903" bestFit="1" customWidth="1"/>
    <col min="10016" max="10016" width="10.46484375" style="4903" bestFit="1" customWidth="1"/>
    <col min="10017" max="10020" width="9.46484375" style="4903" bestFit="1" customWidth="1"/>
    <col min="10021" max="10021" width="10.46484375" style="4903" bestFit="1" customWidth="1"/>
    <col min="10022" max="10261" width="9.46484375" style="4903"/>
    <col min="10262" max="10262" width="22.46484375" style="4903" bestFit="1" customWidth="1"/>
    <col min="10263" max="10266" width="9.46484375" style="4903" bestFit="1" customWidth="1"/>
    <col min="10267" max="10267" width="10.46484375" style="4903" bestFit="1" customWidth="1"/>
    <col min="10268" max="10271" width="9.46484375" style="4903" bestFit="1" customWidth="1"/>
    <col min="10272" max="10272" width="10.46484375" style="4903" bestFit="1" customWidth="1"/>
    <col min="10273" max="10276" width="9.46484375" style="4903" bestFit="1" customWidth="1"/>
    <col min="10277" max="10277" width="10.46484375" style="4903" bestFit="1" customWidth="1"/>
    <col min="10278" max="10517" width="9.46484375" style="4903"/>
    <col min="10518" max="10518" width="22.46484375" style="4903" bestFit="1" customWidth="1"/>
    <col min="10519" max="10522" width="9.46484375" style="4903" bestFit="1" customWidth="1"/>
    <col min="10523" max="10523" width="10.46484375" style="4903" bestFit="1" customWidth="1"/>
    <col min="10524" max="10527" width="9.46484375" style="4903" bestFit="1" customWidth="1"/>
    <col min="10528" max="10528" width="10.46484375" style="4903" bestFit="1" customWidth="1"/>
    <col min="10529" max="10532" width="9.46484375" style="4903" bestFit="1" customWidth="1"/>
    <col min="10533" max="10533" width="10.46484375" style="4903" bestFit="1" customWidth="1"/>
    <col min="10534" max="10773" width="9.46484375" style="4903"/>
    <col min="10774" max="10774" width="22.46484375" style="4903" bestFit="1" customWidth="1"/>
    <col min="10775" max="10778" width="9.46484375" style="4903" bestFit="1" customWidth="1"/>
    <col min="10779" max="10779" width="10.46484375" style="4903" bestFit="1" customWidth="1"/>
    <col min="10780" max="10783" width="9.46484375" style="4903" bestFit="1" customWidth="1"/>
    <col min="10784" max="10784" width="10.46484375" style="4903" bestFit="1" customWidth="1"/>
    <col min="10785" max="10788" width="9.46484375" style="4903" bestFit="1" customWidth="1"/>
    <col min="10789" max="10789" width="10.46484375" style="4903" bestFit="1" customWidth="1"/>
    <col min="10790" max="11029" width="9.46484375" style="4903"/>
    <col min="11030" max="11030" width="22.46484375" style="4903" bestFit="1" customWidth="1"/>
    <col min="11031" max="11034" width="9.46484375" style="4903" bestFit="1" customWidth="1"/>
    <col min="11035" max="11035" width="10.46484375" style="4903" bestFit="1" customWidth="1"/>
    <col min="11036" max="11039" width="9.46484375" style="4903" bestFit="1" customWidth="1"/>
    <col min="11040" max="11040" width="10.46484375" style="4903" bestFit="1" customWidth="1"/>
    <col min="11041" max="11044" width="9.46484375" style="4903" bestFit="1" customWidth="1"/>
    <col min="11045" max="11045" width="10.46484375" style="4903" bestFit="1" customWidth="1"/>
    <col min="11046" max="11285" width="9.46484375" style="4903"/>
    <col min="11286" max="11286" width="22.46484375" style="4903" bestFit="1" customWidth="1"/>
    <col min="11287" max="11290" width="9.46484375" style="4903" bestFit="1" customWidth="1"/>
    <col min="11291" max="11291" width="10.46484375" style="4903" bestFit="1" customWidth="1"/>
    <col min="11292" max="11295" width="9.46484375" style="4903" bestFit="1" customWidth="1"/>
    <col min="11296" max="11296" width="10.46484375" style="4903" bestFit="1" customWidth="1"/>
    <col min="11297" max="11300" width="9.46484375" style="4903" bestFit="1" customWidth="1"/>
    <col min="11301" max="11301" width="10.46484375" style="4903" bestFit="1" customWidth="1"/>
    <col min="11302" max="11541" width="9.46484375" style="4903"/>
    <col min="11542" max="11542" width="22.46484375" style="4903" bestFit="1" customWidth="1"/>
    <col min="11543" max="11546" width="9.46484375" style="4903" bestFit="1" customWidth="1"/>
    <col min="11547" max="11547" width="10.46484375" style="4903" bestFit="1" customWidth="1"/>
    <col min="11548" max="11551" width="9.46484375" style="4903" bestFit="1" customWidth="1"/>
    <col min="11552" max="11552" width="10.46484375" style="4903" bestFit="1" customWidth="1"/>
    <col min="11553" max="11556" width="9.46484375" style="4903" bestFit="1" customWidth="1"/>
    <col min="11557" max="11557" width="10.46484375" style="4903" bestFit="1" customWidth="1"/>
    <col min="11558" max="11797" width="9.46484375" style="4903"/>
    <col min="11798" max="11798" width="22.46484375" style="4903" bestFit="1" customWidth="1"/>
    <col min="11799" max="11802" width="9.46484375" style="4903" bestFit="1" customWidth="1"/>
    <col min="11803" max="11803" width="10.46484375" style="4903" bestFit="1" customWidth="1"/>
    <col min="11804" max="11807" width="9.46484375" style="4903" bestFit="1" customWidth="1"/>
    <col min="11808" max="11808" width="10.46484375" style="4903" bestFit="1" customWidth="1"/>
    <col min="11809" max="11812" width="9.46484375" style="4903" bestFit="1" customWidth="1"/>
    <col min="11813" max="11813" width="10.46484375" style="4903" bestFit="1" customWidth="1"/>
    <col min="11814" max="12053" width="9.46484375" style="4903"/>
    <col min="12054" max="12054" width="22.46484375" style="4903" bestFit="1" customWidth="1"/>
    <col min="12055" max="12058" width="9.46484375" style="4903" bestFit="1" customWidth="1"/>
    <col min="12059" max="12059" width="10.46484375" style="4903" bestFit="1" customWidth="1"/>
    <col min="12060" max="12063" width="9.46484375" style="4903" bestFit="1" customWidth="1"/>
    <col min="12064" max="12064" width="10.46484375" style="4903" bestFit="1" customWidth="1"/>
    <col min="12065" max="12068" width="9.46484375" style="4903" bestFit="1" customWidth="1"/>
    <col min="12069" max="12069" width="10.46484375" style="4903" bestFit="1" customWidth="1"/>
    <col min="12070" max="12309" width="9.46484375" style="4903"/>
    <col min="12310" max="12310" width="22.46484375" style="4903" bestFit="1" customWidth="1"/>
    <col min="12311" max="12314" width="9.46484375" style="4903" bestFit="1" customWidth="1"/>
    <col min="12315" max="12315" width="10.46484375" style="4903" bestFit="1" customWidth="1"/>
    <col min="12316" max="12319" width="9.46484375" style="4903" bestFit="1" customWidth="1"/>
    <col min="12320" max="12320" width="10.46484375" style="4903" bestFit="1" customWidth="1"/>
    <col min="12321" max="12324" width="9.46484375" style="4903" bestFit="1" customWidth="1"/>
    <col min="12325" max="12325" width="10.46484375" style="4903" bestFit="1" customWidth="1"/>
    <col min="12326" max="12565" width="9.46484375" style="4903"/>
    <col min="12566" max="12566" width="22.46484375" style="4903" bestFit="1" customWidth="1"/>
    <col min="12567" max="12570" width="9.46484375" style="4903" bestFit="1" customWidth="1"/>
    <col min="12571" max="12571" width="10.46484375" style="4903" bestFit="1" customWidth="1"/>
    <col min="12572" max="12575" width="9.46484375" style="4903" bestFit="1" customWidth="1"/>
    <col min="12576" max="12576" width="10.46484375" style="4903" bestFit="1" customWidth="1"/>
    <col min="12577" max="12580" width="9.46484375" style="4903" bestFit="1" customWidth="1"/>
    <col min="12581" max="12581" width="10.46484375" style="4903" bestFit="1" customWidth="1"/>
    <col min="12582" max="12821" width="9.46484375" style="4903"/>
    <col min="12822" max="12822" width="22.46484375" style="4903" bestFit="1" customWidth="1"/>
    <col min="12823" max="12826" width="9.46484375" style="4903" bestFit="1" customWidth="1"/>
    <col min="12827" max="12827" width="10.46484375" style="4903" bestFit="1" customWidth="1"/>
    <col min="12828" max="12831" width="9.46484375" style="4903" bestFit="1" customWidth="1"/>
    <col min="12832" max="12832" width="10.46484375" style="4903" bestFit="1" customWidth="1"/>
    <col min="12833" max="12836" width="9.46484375" style="4903" bestFit="1" customWidth="1"/>
    <col min="12837" max="12837" width="10.46484375" style="4903" bestFit="1" customWidth="1"/>
    <col min="12838" max="13077" width="9.46484375" style="4903"/>
    <col min="13078" max="13078" width="22.46484375" style="4903" bestFit="1" customWidth="1"/>
    <col min="13079" max="13082" width="9.46484375" style="4903" bestFit="1" customWidth="1"/>
    <col min="13083" max="13083" width="10.46484375" style="4903" bestFit="1" customWidth="1"/>
    <col min="13084" max="13087" width="9.46484375" style="4903" bestFit="1" customWidth="1"/>
    <col min="13088" max="13088" width="10.46484375" style="4903" bestFit="1" customWidth="1"/>
    <col min="13089" max="13092" width="9.46484375" style="4903" bestFit="1" customWidth="1"/>
    <col min="13093" max="13093" width="10.46484375" style="4903" bestFit="1" customWidth="1"/>
    <col min="13094" max="13333" width="9.46484375" style="4903"/>
    <col min="13334" max="13334" width="22.46484375" style="4903" bestFit="1" customWidth="1"/>
    <col min="13335" max="13338" width="9.46484375" style="4903" bestFit="1" customWidth="1"/>
    <col min="13339" max="13339" width="10.46484375" style="4903" bestFit="1" customWidth="1"/>
    <col min="13340" max="13343" width="9.46484375" style="4903" bestFit="1" customWidth="1"/>
    <col min="13344" max="13344" width="10.46484375" style="4903" bestFit="1" customWidth="1"/>
    <col min="13345" max="13348" width="9.46484375" style="4903" bestFit="1" customWidth="1"/>
    <col min="13349" max="13349" width="10.46484375" style="4903" bestFit="1" customWidth="1"/>
    <col min="13350" max="13589" width="9.46484375" style="4903"/>
    <col min="13590" max="13590" width="22.46484375" style="4903" bestFit="1" customWidth="1"/>
    <col min="13591" max="13594" width="9.46484375" style="4903" bestFit="1" customWidth="1"/>
    <col min="13595" max="13595" width="10.46484375" style="4903" bestFit="1" customWidth="1"/>
    <col min="13596" max="13599" width="9.46484375" style="4903" bestFit="1" customWidth="1"/>
    <col min="13600" max="13600" width="10.46484375" style="4903" bestFit="1" customWidth="1"/>
    <col min="13601" max="13604" width="9.46484375" style="4903" bestFit="1" customWidth="1"/>
    <col min="13605" max="13605" width="10.46484375" style="4903" bestFit="1" customWidth="1"/>
    <col min="13606" max="13845" width="9.46484375" style="4903"/>
    <col min="13846" max="13846" width="22.46484375" style="4903" bestFit="1" customWidth="1"/>
    <col min="13847" max="13850" width="9.46484375" style="4903" bestFit="1" customWidth="1"/>
    <col min="13851" max="13851" width="10.46484375" style="4903" bestFit="1" customWidth="1"/>
    <col min="13852" max="13855" width="9.46484375" style="4903" bestFit="1" customWidth="1"/>
    <col min="13856" max="13856" width="10.46484375" style="4903" bestFit="1" customWidth="1"/>
    <col min="13857" max="13860" width="9.46484375" style="4903" bestFit="1" customWidth="1"/>
    <col min="13861" max="13861" width="10.46484375" style="4903" bestFit="1" customWidth="1"/>
    <col min="13862" max="14101" width="9.46484375" style="4903"/>
    <col min="14102" max="14102" width="22.46484375" style="4903" bestFit="1" customWidth="1"/>
    <col min="14103" max="14106" width="9.46484375" style="4903" bestFit="1" customWidth="1"/>
    <col min="14107" max="14107" width="10.46484375" style="4903" bestFit="1" customWidth="1"/>
    <col min="14108" max="14111" width="9.46484375" style="4903" bestFit="1" customWidth="1"/>
    <col min="14112" max="14112" width="10.46484375" style="4903" bestFit="1" customWidth="1"/>
    <col min="14113" max="14116" width="9.46484375" style="4903" bestFit="1" customWidth="1"/>
    <col min="14117" max="14117" width="10.46484375" style="4903" bestFit="1" customWidth="1"/>
    <col min="14118" max="14357" width="9.46484375" style="4903"/>
    <col min="14358" max="14358" width="22.46484375" style="4903" bestFit="1" customWidth="1"/>
    <col min="14359" max="14362" width="9.46484375" style="4903" bestFit="1" customWidth="1"/>
    <col min="14363" max="14363" width="10.46484375" style="4903" bestFit="1" customWidth="1"/>
    <col min="14364" max="14367" width="9.46484375" style="4903" bestFit="1" customWidth="1"/>
    <col min="14368" max="14368" width="10.46484375" style="4903" bestFit="1" customWidth="1"/>
    <col min="14369" max="14372" width="9.46484375" style="4903" bestFit="1" customWidth="1"/>
    <col min="14373" max="14373" width="10.46484375" style="4903" bestFit="1" customWidth="1"/>
    <col min="14374" max="14613" width="9.46484375" style="4903"/>
    <col min="14614" max="14614" width="22.46484375" style="4903" bestFit="1" customWidth="1"/>
    <col min="14615" max="14618" width="9.46484375" style="4903" bestFit="1" customWidth="1"/>
    <col min="14619" max="14619" width="10.46484375" style="4903" bestFit="1" customWidth="1"/>
    <col min="14620" max="14623" width="9.46484375" style="4903" bestFit="1" customWidth="1"/>
    <col min="14624" max="14624" width="10.46484375" style="4903" bestFit="1" customWidth="1"/>
    <col min="14625" max="14628" width="9.46484375" style="4903" bestFit="1" customWidth="1"/>
    <col min="14629" max="14629" width="10.46484375" style="4903" bestFit="1" customWidth="1"/>
    <col min="14630" max="14869" width="9.46484375" style="4903"/>
    <col min="14870" max="14870" width="22.46484375" style="4903" bestFit="1" customWidth="1"/>
    <col min="14871" max="14874" width="9.46484375" style="4903" bestFit="1" customWidth="1"/>
    <col min="14875" max="14875" width="10.46484375" style="4903" bestFit="1" customWidth="1"/>
    <col min="14876" max="14879" width="9.46484375" style="4903" bestFit="1" customWidth="1"/>
    <col min="14880" max="14880" width="10.46484375" style="4903" bestFit="1" customWidth="1"/>
    <col min="14881" max="14884" width="9.46484375" style="4903" bestFit="1" customWidth="1"/>
    <col min="14885" max="14885" width="10.46484375" style="4903" bestFit="1" customWidth="1"/>
    <col min="14886" max="15125" width="9.46484375" style="4903"/>
    <col min="15126" max="15126" width="22.46484375" style="4903" bestFit="1" customWidth="1"/>
    <col min="15127" max="15130" width="9.46484375" style="4903" bestFit="1" customWidth="1"/>
    <col min="15131" max="15131" width="10.46484375" style="4903" bestFit="1" customWidth="1"/>
    <col min="15132" max="15135" width="9.46484375" style="4903" bestFit="1" customWidth="1"/>
    <col min="15136" max="15136" width="10.46484375" style="4903" bestFit="1" customWidth="1"/>
    <col min="15137" max="15140" width="9.46484375" style="4903" bestFit="1" customWidth="1"/>
    <col min="15141" max="15141" width="10.46484375" style="4903" bestFit="1" customWidth="1"/>
    <col min="15142" max="15381" width="9.46484375" style="4903"/>
    <col min="15382" max="15382" width="22.46484375" style="4903" bestFit="1" customWidth="1"/>
    <col min="15383" max="15386" width="9.46484375" style="4903" bestFit="1" customWidth="1"/>
    <col min="15387" max="15387" width="10.46484375" style="4903" bestFit="1" customWidth="1"/>
    <col min="15388" max="15391" width="9.46484375" style="4903" bestFit="1" customWidth="1"/>
    <col min="15392" max="15392" width="10.46484375" style="4903" bestFit="1" customWidth="1"/>
    <col min="15393" max="15396" width="9.46484375" style="4903" bestFit="1" customWidth="1"/>
    <col min="15397" max="15397" width="10.46484375" style="4903" bestFit="1" customWidth="1"/>
    <col min="15398" max="15637" width="9.46484375" style="4903"/>
    <col min="15638" max="15638" width="22.46484375" style="4903" bestFit="1" customWidth="1"/>
    <col min="15639" max="15642" width="9.46484375" style="4903" bestFit="1" customWidth="1"/>
    <col min="15643" max="15643" width="10.46484375" style="4903" bestFit="1" customWidth="1"/>
    <col min="15644" max="15647" width="9.46484375" style="4903" bestFit="1" customWidth="1"/>
    <col min="15648" max="15648" width="10.46484375" style="4903" bestFit="1" customWidth="1"/>
    <col min="15649" max="15652" width="9.46484375" style="4903" bestFit="1" customWidth="1"/>
    <col min="15653" max="15653" width="10.46484375" style="4903" bestFit="1" customWidth="1"/>
    <col min="15654" max="15893" width="9.46484375" style="4903"/>
    <col min="15894" max="15894" width="22.46484375" style="4903" bestFit="1" customWidth="1"/>
    <col min="15895" max="15898" width="9.46484375" style="4903" bestFit="1" customWidth="1"/>
    <col min="15899" max="15899" width="10.46484375" style="4903" bestFit="1" customWidth="1"/>
    <col min="15900" max="15903" width="9.46484375" style="4903" bestFit="1" customWidth="1"/>
    <col min="15904" max="15904" width="10.46484375" style="4903" bestFit="1" customWidth="1"/>
    <col min="15905" max="15908" width="9.46484375" style="4903" bestFit="1" customWidth="1"/>
    <col min="15909" max="15909" width="10.46484375" style="4903" bestFit="1" customWidth="1"/>
    <col min="15910" max="16149" width="9.46484375" style="4903"/>
    <col min="16150" max="16150" width="22.46484375" style="4903" bestFit="1" customWidth="1"/>
    <col min="16151" max="16154" width="9.46484375" style="4903" bestFit="1" customWidth="1"/>
    <col min="16155" max="16155" width="10.46484375" style="4903" bestFit="1" customWidth="1"/>
    <col min="16156" max="16159" width="9.46484375" style="4903" bestFit="1" customWidth="1"/>
    <col min="16160" max="16160" width="10.46484375" style="4903" bestFit="1" customWidth="1"/>
    <col min="16161" max="16164" width="9.46484375" style="4903" bestFit="1" customWidth="1"/>
    <col min="16165" max="16165" width="10.46484375" style="4903" bestFit="1" customWidth="1"/>
    <col min="16166" max="16384" width="9.46484375" style="4903"/>
  </cols>
  <sheetData>
    <row r="1" spans="2:109" ht="35" customHeight="1">
      <c r="B1" s="5666" t="s">
        <v>670</v>
      </c>
      <c r="C1" s="5666"/>
      <c r="D1" s="5666"/>
      <c r="E1" s="5666"/>
      <c r="F1" s="5666"/>
      <c r="G1" s="5666"/>
      <c r="H1" s="5666"/>
      <c r="I1" s="5666"/>
      <c r="J1" s="5666"/>
      <c r="K1" s="5666"/>
      <c r="L1" s="5666"/>
      <c r="M1" s="5666"/>
      <c r="N1" s="5666"/>
      <c r="O1" s="5666"/>
      <c r="P1" s="5666"/>
      <c r="Q1" s="5666"/>
      <c r="R1" s="5666"/>
      <c r="S1" s="5666"/>
      <c r="T1" s="5666"/>
      <c r="U1" s="5666"/>
      <c r="V1" s="5666"/>
      <c r="W1" s="5666"/>
      <c r="X1" s="5666"/>
      <c r="Y1" s="5666"/>
      <c r="Z1" s="5666"/>
      <c r="AA1" s="5666"/>
      <c r="AB1" s="5666"/>
      <c r="AC1" s="5666"/>
      <c r="AD1" s="5666"/>
      <c r="AE1" s="5666"/>
      <c r="AF1" s="5666"/>
      <c r="AG1" s="5666"/>
      <c r="AH1" s="5666"/>
      <c r="AI1" s="5666"/>
      <c r="AJ1" s="5666"/>
      <c r="AK1" s="5666"/>
      <c r="AL1" s="5666"/>
      <c r="AM1" s="5666"/>
      <c r="AN1" s="5666"/>
      <c r="AO1" s="5666"/>
      <c r="AP1" s="5666"/>
      <c r="AQ1" s="5666"/>
      <c r="AR1" s="5666"/>
      <c r="AS1" s="5666"/>
      <c r="AT1" s="5666"/>
      <c r="AU1" s="5666"/>
      <c r="AV1" s="5666"/>
      <c r="AW1" s="5666"/>
      <c r="AX1" s="5666"/>
      <c r="AY1" s="5666"/>
      <c r="AZ1" s="5666"/>
      <c r="BA1" s="5666"/>
      <c r="BB1" s="5666"/>
      <c r="BC1" s="5666"/>
      <c r="BD1" s="5666"/>
      <c r="BE1" s="5666"/>
      <c r="BF1" s="5666"/>
      <c r="BG1" s="5666"/>
      <c r="BH1" s="5666"/>
      <c r="BI1" s="5666"/>
      <c r="BJ1" s="5666"/>
      <c r="BK1" s="4902"/>
      <c r="BL1" s="4902"/>
      <c r="BM1" s="4902"/>
      <c r="BN1" s="4902"/>
      <c r="BO1" s="4902"/>
      <c r="BP1" s="4902"/>
      <c r="BQ1" s="4902"/>
      <c r="BR1" s="4902"/>
      <c r="BS1" s="4902"/>
      <c r="BT1" s="4902"/>
      <c r="BU1" s="4902"/>
      <c r="BV1" s="4902"/>
      <c r="BW1" s="4902"/>
      <c r="BX1" s="4902"/>
      <c r="BY1" s="4902"/>
      <c r="BZ1" s="4902"/>
      <c r="CA1" s="4902"/>
      <c r="CB1" s="4902"/>
      <c r="CC1" s="4902"/>
      <c r="CD1" s="4902"/>
      <c r="CE1" s="4902"/>
      <c r="CF1" s="4902"/>
      <c r="CG1" s="4902"/>
      <c r="CH1" s="4902"/>
      <c r="CI1" s="4902"/>
      <c r="CJ1" s="4902"/>
      <c r="CK1" s="4902"/>
      <c r="CL1" s="4902"/>
      <c r="CM1" s="4902"/>
      <c r="CN1" s="4902"/>
      <c r="CO1" s="4902"/>
      <c r="CP1" s="4902"/>
      <c r="CQ1" s="4902"/>
      <c r="CR1" s="4902"/>
      <c r="CS1" s="4902"/>
      <c r="CT1" s="4902"/>
      <c r="CU1" s="4902"/>
      <c r="CV1" s="4902"/>
      <c r="CW1" s="4902"/>
      <c r="CX1" s="4902"/>
      <c r="CY1" s="4902"/>
      <c r="CZ1" s="4902"/>
      <c r="DA1" s="4902"/>
      <c r="DB1" s="4902"/>
      <c r="DC1" s="4902"/>
      <c r="DD1" s="4902"/>
      <c r="DE1" s="4902"/>
    </row>
    <row r="2" spans="2:109" ht="31.25" customHeight="1">
      <c r="B2" s="5666" t="s">
        <v>605</v>
      </c>
      <c r="C2" s="5666"/>
      <c r="D2" s="5666"/>
      <c r="E2" s="5666"/>
      <c r="F2" s="5666"/>
      <c r="G2" s="5666"/>
      <c r="H2" s="5666"/>
      <c r="I2" s="5666"/>
      <c r="J2" s="5666"/>
      <c r="K2" s="5666"/>
      <c r="L2" s="5666"/>
      <c r="M2" s="5666"/>
      <c r="N2" s="5666"/>
      <c r="O2" s="5666"/>
      <c r="P2" s="5666"/>
      <c r="Q2" s="5666"/>
      <c r="R2" s="5666"/>
      <c r="S2" s="5666"/>
      <c r="T2" s="5666"/>
      <c r="U2" s="5666"/>
      <c r="V2" s="5666"/>
      <c r="W2" s="5666"/>
      <c r="X2" s="5666"/>
      <c r="Y2" s="5666"/>
      <c r="Z2" s="5666"/>
      <c r="AA2" s="5666"/>
      <c r="AB2" s="5666"/>
      <c r="AC2" s="5666"/>
      <c r="AD2" s="5666"/>
      <c r="AE2" s="5666"/>
      <c r="AF2" s="5666"/>
      <c r="AG2" s="5666"/>
      <c r="AH2" s="5666"/>
      <c r="AI2" s="5666"/>
      <c r="AJ2" s="5666"/>
      <c r="AK2" s="5666"/>
      <c r="AL2" s="5666"/>
      <c r="AM2" s="5666"/>
      <c r="AN2" s="5666"/>
      <c r="AO2" s="5666"/>
      <c r="AP2" s="5666"/>
      <c r="AQ2" s="5666"/>
      <c r="AR2" s="5666"/>
      <c r="AS2" s="5666"/>
      <c r="AT2" s="5666"/>
      <c r="AU2" s="5666"/>
      <c r="AV2" s="5666"/>
      <c r="AW2" s="5666"/>
      <c r="AX2" s="5666"/>
      <c r="AY2" s="5666"/>
      <c r="AZ2" s="5666"/>
      <c r="BA2" s="5666"/>
      <c r="BB2" s="5666"/>
      <c r="BC2" s="5666"/>
      <c r="BD2" s="5666"/>
      <c r="BE2" s="5666"/>
      <c r="BF2" s="5666"/>
      <c r="BG2" s="5666"/>
      <c r="BH2" s="5666"/>
      <c r="BI2" s="5666"/>
      <c r="BJ2" s="5666"/>
    </row>
    <row r="3" spans="2:109" ht="39.5" customHeight="1" thickBot="1">
      <c r="B3" s="4904"/>
      <c r="C3" s="4904"/>
      <c r="D3" s="4904"/>
      <c r="E3" s="4904"/>
      <c r="F3" s="4904"/>
      <c r="G3" s="4904"/>
      <c r="H3" s="4904"/>
      <c r="I3" s="4904"/>
      <c r="J3" s="4904"/>
      <c r="K3" s="4904"/>
      <c r="L3" s="4904"/>
      <c r="M3" s="4904"/>
      <c r="N3" s="4904"/>
      <c r="O3" s="4904"/>
      <c r="P3" s="4904"/>
      <c r="Q3" s="4904"/>
      <c r="R3" s="4904"/>
      <c r="S3" s="4904"/>
      <c r="BB3" s="5682" t="s">
        <v>930</v>
      </c>
      <c r="BC3" s="5682"/>
      <c r="BD3" s="5682"/>
      <c r="BE3" s="5682"/>
    </row>
    <row r="4" spans="2:109" ht="40.25" customHeight="1" thickBot="1">
      <c r="B4" s="4909"/>
      <c r="C4" s="5675">
        <v>2013</v>
      </c>
      <c r="D4" s="5676"/>
      <c r="E4" s="5676"/>
      <c r="F4" s="5676"/>
      <c r="G4" s="5678"/>
      <c r="H4" s="5675">
        <v>2014</v>
      </c>
      <c r="I4" s="5676"/>
      <c r="J4" s="5676"/>
      <c r="K4" s="5676"/>
      <c r="L4" s="5678"/>
      <c r="M4" s="5675">
        <v>2015</v>
      </c>
      <c r="N4" s="5676"/>
      <c r="O4" s="5676"/>
      <c r="P4" s="5676"/>
      <c r="Q4" s="5677"/>
      <c r="R4" s="5683" t="s">
        <v>709</v>
      </c>
      <c r="S4" s="5684"/>
      <c r="T4" s="5684"/>
      <c r="U4" s="5684"/>
      <c r="V4" s="5685"/>
      <c r="W4" s="5672">
        <v>2017</v>
      </c>
      <c r="X4" s="5673"/>
      <c r="Y4" s="5673"/>
      <c r="Z4" s="5673"/>
      <c r="AA4" s="5674"/>
      <c r="AB4" s="5672" t="s">
        <v>787</v>
      </c>
      <c r="AC4" s="5673"/>
      <c r="AD4" s="5673"/>
      <c r="AE4" s="5673"/>
      <c r="AF4" s="5674"/>
      <c r="AG4" s="5672">
        <v>2019</v>
      </c>
      <c r="AH4" s="5673"/>
      <c r="AI4" s="5673"/>
      <c r="AJ4" s="5673"/>
      <c r="AK4" s="5674"/>
      <c r="AL4" s="5672">
        <v>2020</v>
      </c>
      <c r="AM4" s="5673"/>
      <c r="AN4" s="5673"/>
      <c r="AO4" s="5673"/>
      <c r="AP4" s="5674"/>
      <c r="AQ4" s="5672">
        <v>2021</v>
      </c>
      <c r="AR4" s="5673"/>
      <c r="AS4" s="5673"/>
      <c r="AT4" s="5673"/>
      <c r="AU4" s="5674"/>
      <c r="AV4" s="5672">
        <v>2022</v>
      </c>
      <c r="AW4" s="5673"/>
      <c r="AX4" s="5673"/>
      <c r="AY4" s="5673"/>
      <c r="AZ4" s="5674"/>
      <c r="BA4" s="4910"/>
      <c r="BB4" s="5667" t="s">
        <v>394</v>
      </c>
      <c r="BC4" s="5668"/>
      <c r="BD4" s="5668"/>
      <c r="BE4" s="5669"/>
      <c r="BF4" s="5672" t="s">
        <v>1959</v>
      </c>
      <c r="BG4" s="5673"/>
      <c r="BH4" s="5673"/>
      <c r="BI4" s="5673"/>
      <c r="BJ4" s="5674"/>
    </row>
    <row r="5" spans="2:109" ht="40.25" customHeight="1" thickBot="1">
      <c r="B5" s="4911"/>
      <c r="C5" s="4912" t="s">
        <v>595</v>
      </c>
      <c r="D5" s="4913" t="s">
        <v>596</v>
      </c>
      <c r="E5" s="4913" t="s">
        <v>597</v>
      </c>
      <c r="F5" s="4914" t="s">
        <v>598</v>
      </c>
      <c r="G5" s="4915" t="s">
        <v>412</v>
      </c>
      <c r="H5" s="4912" t="s">
        <v>595</v>
      </c>
      <c r="I5" s="4913" t="s">
        <v>596</v>
      </c>
      <c r="J5" s="4913" t="s">
        <v>597</v>
      </c>
      <c r="K5" s="4914" t="s">
        <v>598</v>
      </c>
      <c r="L5" s="4915" t="s">
        <v>412</v>
      </c>
      <c r="M5" s="4912" t="s">
        <v>595</v>
      </c>
      <c r="N5" s="4913" t="s">
        <v>596</v>
      </c>
      <c r="O5" s="4913" t="s">
        <v>597</v>
      </c>
      <c r="P5" s="4913" t="s">
        <v>598</v>
      </c>
      <c r="Q5" s="4916" t="s">
        <v>412</v>
      </c>
      <c r="R5" s="4917" t="s">
        <v>595</v>
      </c>
      <c r="S5" s="4918" t="s">
        <v>596</v>
      </c>
      <c r="T5" s="4918" t="s">
        <v>597</v>
      </c>
      <c r="U5" s="4918" t="s">
        <v>598</v>
      </c>
      <c r="V5" s="4919" t="s">
        <v>412</v>
      </c>
      <c r="W5" s="4912" t="s">
        <v>595</v>
      </c>
      <c r="X5" s="4913" t="s">
        <v>596</v>
      </c>
      <c r="Y5" s="4913" t="s">
        <v>597</v>
      </c>
      <c r="Z5" s="4913" t="s">
        <v>598</v>
      </c>
      <c r="AA5" s="4920" t="s">
        <v>412</v>
      </c>
      <c r="AB5" s="4912" t="s">
        <v>595</v>
      </c>
      <c r="AC5" s="4913" t="s">
        <v>596</v>
      </c>
      <c r="AD5" s="4913" t="s">
        <v>597</v>
      </c>
      <c r="AE5" s="4913" t="s">
        <v>598</v>
      </c>
      <c r="AF5" s="4920" t="s">
        <v>412</v>
      </c>
      <c r="AG5" s="4912" t="s">
        <v>595</v>
      </c>
      <c r="AH5" s="4913" t="s">
        <v>596</v>
      </c>
      <c r="AI5" s="4913" t="s">
        <v>597</v>
      </c>
      <c r="AJ5" s="4913" t="s">
        <v>598</v>
      </c>
      <c r="AK5" s="4920" t="s">
        <v>412</v>
      </c>
      <c r="AL5" s="4912" t="s">
        <v>595</v>
      </c>
      <c r="AM5" s="4913" t="s">
        <v>596</v>
      </c>
      <c r="AN5" s="4913" t="s">
        <v>597</v>
      </c>
      <c r="AO5" s="4916" t="s">
        <v>598</v>
      </c>
      <c r="AP5" s="4921" t="s">
        <v>412</v>
      </c>
      <c r="AQ5" s="4912" t="s">
        <v>595</v>
      </c>
      <c r="AR5" s="4913" t="s">
        <v>596</v>
      </c>
      <c r="AS5" s="4913" t="s">
        <v>597</v>
      </c>
      <c r="AT5" s="4914" t="s">
        <v>598</v>
      </c>
      <c r="AU5" s="4921" t="s">
        <v>412</v>
      </c>
      <c r="AV5" s="4912" t="s">
        <v>595</v>
      </c>
      <c r="AW5" s="4922" t="s">
        <v>596</v>
      </c>
      <c r="AX5" s="4922" t="s">
        <v>597</v>
      </c>
      <c r="AY5" s="4922" t="s">
        <v>598</v>
      </c>
      <c r="AZ5" s="4920" t="s">
        <v>412</v>
      </c>
      <c r="BA5" s="4910"/>
      <c r="BB5" s="4920" t="s">
        <v>412</v>
      </c>
      <c r="BC5" s="4923">
        <v>2019</v>
      </c>
      <c r="BD5" s="4923" t="s">
        <v>597</v>
      </c>
      <c r="BE5" s="4924">
        <v>2020</v>
      </c>
      <c r="BF5" s="4912" t="s">
        <v>595</v>
      </c>
      <c r="BG5" s="4925" t="s">
        <v>596</v>
      </c>
      <c r="BH5" s="4925" t="s">
        <v>597</v>
      </c>
      <c r="BI5" s="4925" t="s">
        <v>598</v>
      </c>
      <c r="BJ5" s="4926" t="s">
        <v>412</v>
      </c>
    </row>
    <row r="6" spans="2:109" ht="45" hidden="1" customHeight="1">
      <c r="B6" s="4927"/>
      <c r="C6" s="4928"/>
      <c r="D6" s="4929"/>
      <c r="E6" s="4929"/>
      <c r="F6" s="4930"/>
      <c r="G6" s="4931"/>
      <c r="H6" s="4928"/>
      <c r="I6" s="4929"/>
      <c r="J6" s="4929"/>
      <c r="K6" s="4930"/>
      <c r="L6" s="4931"/>
      <c r="M6" s="4928"/>
      <c r="N6" s="4929"/>
      <c r="O6" s="4929"/>
      <c r="P6" s="4929"/>
      <c r="Q6" s="4932"/>
      <c r="R6" s="4933"/>
      <c r="S6" s="4934"/>
      <c r="T6" s="4934"/>
      <c r="U6" s="4934"/>
      <c r="V6" s="4935"/>
      <c r="W6" s="4936"/>
      <c r="X6" s="4937"/>
      <c r="Y6" s="4937"/>
      <c r="Z6" s="4937"/>
      <c r="AA6" s="4938"/>
      <c r="AB6" s="4936"/>
      <c r="AC6" s="4937"/>
      <c r="AD6" s="4937"/>
      <c r="AE6" s="4937"/>
      <c r="AF6" s="4938"/>
      <c r="AG6" s="4939"/>
      <c r="AH6" s="4940"/>
      <c r="AI6" s="4940"/>
      <c r="AJ6" s="4940"/>
      <c r="AK6" s="4941"/>
      <c r="AL6" s="4939"/>
      <c r="AM6" s="4940"/>
      <c r="AN6" s="4905"/>
      <c r="AO6" s="4905"/>
      <c r="AP6" s="4905"/>
      <c r="AQ6" s="4939"/>
      <c r="AR6" s="4940"/>
      <c r="AS6" s="4905"/>
      <c r="AT6" s="4905"/>
      <c r="AU6" s="4941"/>
      <c r="AV6" s="4942"/>
      <c r="AW6" s="4940"/>
      <c r="AX6" s="4940"/>
      <c r="AY6" s="4940"/>
      <c r="AZ6" s="4941"/>
      <c r="BA6" s="4905"/>
      <c r="BB6" s="4905"/>
      <c r="BC6" s="4943"/>
      <c r="BD6" s="4943"/>
      <c r="BE6" s="4944"/>
      <c r="BF6" s="4927"/>
      <c r="BG6" s="4945"/>
      <c r="BH6" s="4945"/>
      <c r="BI6" s="4945"/>
      <c r="BJ6" s="4946"/>
    </row>
    <row r="7" spans="2:109" s="4906" customFormat="1" ht="40.25" customHeight="1">
      <c r="B7" s="4947" t="s">
        <v>776</v>
      </c>
      <c r="C7" s="4948">
        <v>2971.9399999999996</v>
      </c>
      <c r="D7" s="4949">
        <v>3445.5220212819522</v>
      </c>
      <c r="E7" s="4949">
        <v>2681.9993759999998</v>
      </c>
      <c r="F7" s="4950">
        <v>3253.0643535999998</v>
      </c>
      <c r="G7" s="4951">
        <f>SUM(C7:F7)</f>
        <v>12352.525750881952</v>
      </c>
      <c r="H7" s="4948">
        <v>2390.67</v>
      </c>
      <c r="I7" s="4949">
        <v>2738.26</v>
      </c>
      <c r="J7" s="4949">
        <v>1732.24</v>
      </c>
      <c r="K7" s="4950">
        <v>2034.4</v>
      </c>
      <c r="L7" s="4951">
        <f>SUM(H7:K7)</f>
        <v>8895.57</v>
      </c>
      <c r="M7" s="4948">
        <v>2899.96</v>
      </c>
      <c r="N7" s="4949">
        <v>2040.65</v>
      </c>
      <c r="O7" s="4949">
        <v>1576.27</v>
      </c>
      <c r="P7" s="4949">
        <v>1932.46</v>
      </c>
      <c r="Q7" s="4952">
        <f t="shared" ref="Q7:Q12" si="0">SUM(M7:P7)</f>
        <v>8449.34</v>
      </c>
      <c r="R7" s="4953">
        <v>1910.57</v>
      </c>
      <c r="S7" s="4954">
        <v>2062.5700000000002</v>
      </c>
      <c r="T7" s="4954">
        <v>2542.44</v>
      </c>
      <c r="U7" s="4954">
        <v>576.26</v>
      </c>
      <c r="V7" s="4955">
        <f>+R7+S7+T7+U7</f>
        <v>7091.84</v>
      </c>
      <c r="W7" s="4953">
        <v>651.38</v>
      </c>
      <c r="X7" s="4954">
        <v>2432.85</v>
      </c>
      <c r="Y7" s="4954">
        <v>2893.6270000000004</v>
      </c>
      <c r="Z7" s="4954">
        <v>2920.22</v>
      </c>
      <c r="AA7" s="4955">
        <f>+W7+X7+Y7+Z7</f>
        <v>8898.0769999999993</v>
      </c>
      <c r="AB7" s="4956">
        <v>2263.9299999999998</v>
      </c>
      <c r="AC7" s="4957">
        <v>2604.0390000000002</v>
      </c>
      <c r="AD7" s="4957">
        <v>3121.6909999999998</v>
      </c>
      <c r="AE7" s="4957">
        <v>1584.876</v>
      </c>
      <c r="AF7" s="4958">
        <f t="shared" ref="AF7:AF19" si="1">+SUM(AB7:AE7)</f>
        <v>9574.5360000000001</v>
      </c>
      <c r="AG7" s="4959">
        <v>962.22699999999998</v>
      </c>
      <c r="AH7" s="4960">
        <v>2375.9050000000002</v>
      </c>
      <c r="AI7" s="4961">
        <v>1719.4269999999999</v>
      </c>
      <c r="AJ7" s="4961">
        <v>1905.1610000000001</v>
      </c>
      <c r="AK7" s="4958">
        <f t="shared" ref="AK7:AK19" si="2">+SUM(AG7:AJ7)</f>
        <v>6962.72</v>
      </c>
      <c r="AL7" s="4962">
        <v>1527.807</v>
      </c>
      <c r="AM7" s="4960">
        <v>2045.8</v>
      </c>
      <c r="AN7" s="4963">
        <v>841</v>
      </c>
      <c r="AO7" s="4964">
        <v>556.64499999999998</v>
      </c>
      <c r="AP7" s="4965">
        <f>+SUM(AL7:AO7)</f>
        <v>4971.2520000000004</v>
      </c>
      <c r="AQ7" s="4966">
        <v>884.01</v>
      </c>
      <c r="AR7" s="4967">
        <v>777.33299999999997</v>
      </c>
      <c r="AS7" s="4967">
        <v>0.52300000000000002</v>
      </c>
      <c r="AT7" s="4968">
        <v>0.30099999999999999</v>
      </c>
      <c r="AU7" s="4969">
        <f>+SUM(AQ7:AT7)</f>
        <v>1662.1669999999997</v>
      </c>
      <c r="AV7" s="4970">
        <v>0.90400000000000003</v>
      </c>
      <c r="AW7" s="4967">
        <v>210.43</v>
      </c>
      <c r="AX7" s="4967">
        <v>245.08500000000001</v>
      </c>
      <c r="AY7" s="4967">
        <v>48.918999999999997</v>
      </c>
      <c r="AZ7" s="4971">
        <f>SUM(AV7:AY7)</f>
        <v>505.33799999999997</v>
      </c>
      <c r="BA7" s="4972"/>
      <c r="BB7" s="4973">
        <f t="shared" ref="BB7:BB19" si="3">+SUM(AQ7:AU7)</f>
        <v>3324.3339999999994</v>
      </c>
      <c r="BC7" s="4974">
        <f t="shared" ref="BC7:BC19" si="4">+SUM(AG7:AH7)</f>
        <v>3338.1320000000001</v>
      </c>
      <c r="BD7" s="4975"/>
      <c r="BE7" s="4976">
        <f t="shared" ref="BE7:BE19" si="5">+SUM(AL7:AM7)</f>
        <v>3573.607</v>
      </c>
      <c r="BF7" s="4977">
        <v>2.84</v>
      </c>
      <c r="BG7" s="4978">
        <v>1.9650000000000001</v>
      </c>
      <c r="BH7" s="4979">
        <v>1.7</v>
      </c>
      <c r="BI7" s="4979">
        <v>1.87</v>
      </c>
      <c r="BJ7" s="4980">
        <f>SUM(BF7:BI7)</f>
        <v>8.375</v>
      </c>
    </row>
    <row r="8" spans="2:109" s="4906" customFormat="1" ht="39.75" customHeight="1">
      <c r="B8" s="4947" t="s">
        <v>599</v>
      </c>
      <c r="C8" s="4948">
        <f t="shared" ref="C8:P8" si="6">SUM(C9:C12)</f>
        <v>601.20000000000005</v>
      </c>
      <c r="D8" s="4949">
        <f t="shared" si="6"/>
        <v>322.89999999999998</v>
      </c>
      <c r="E8" s="4949">
        <f t="shared" si="6"/>
        <v>483.8</v>
      </c>
      <c r="F8" s="4950">
        <f t="shared" si="6"/>
        <v>642.20000000000005</v>
      </c>
      <c r="G8" s="4981">
        <f t="shared" si="6"/>
        <v>2050.1</v>
      </c>
      <c r="H8" s="4948">
        <f t="shared" si="6"/>
        <v>590.6</v>
      </c>
      <c r="I8" s="4949">
        <f t="shared" si="6"/>
        <v>802.2</v>
      </c>
      <c r="J8" s="4949">
        <f t="shared" si="6"/>
        <v>640.30000000000007</v>
      </c>
      <c r="K8" s="4950">
        <f t="shared" si="6"/>
        <v>0</v>
      </c>
      <c r="L8" s="4981">
        <f t="shared" si="6"/>
        <v>2033.1000000000001</v>
      </c>
      <c r="M8" s="4948">
        <f t="shared" si="6"/>
        <v>1109.2</v>
      </c>
      <c r="N8" s="4949">
        <f t="shared" si="6"/>
        <v>1870.97</v>
      </c>
      <c r="O8" s="4949">
        <f t="shared" si="6"/>
        <v>1477.1000000000001</v>
      </c>
      <c r="P8" s="4949">
        <f t="shared" si="6"/>
        <v>1880.3999999999999</v>
      </c>
      <c r="Q8" s="4952">
        <f t="shared" si="0"/>
        <v>6337.67</v>
      </c>
      <c r="R8" s="4953">
        <f>+SUM(R9:R13)</f>
        <v>1970.94</v>
      </c>
      <c r="S8" s="4954">
        <f>+SUM(S9:S13)</f>
        <v>1927.7479999999998</v>
      </c>
      <c r="T8" s="4954">
        <f>+SUM(T9:T13)</f>
        <v>2322</v>
      </c>
      <c r="U8" s="4954">
        <f>+SUM(U9:U13)</f>
        <v>1360.3784999999998</v>
      </c>
      <c r="V8" s="4955">
        <f t="shared" ref="V8:V19" si="7">+R8+S8+T8+U8</f>
        <v>7581.0664999999999</v>
      </c>
      <c r="W8" s="4953">
        <f>+SUM(W10:W13)</f>
        <v>848.649</v>
      </c>
      <c r="X8" s="4954">
        <f>+SUM(X9:X13)</f>
        <v>997.5</v>
      </c>
      <c r="Y8" s="4954">
        <f>+SUM(Y9:Y13)</f>
        <v>932.7</v>
      </c>
      <c r="Z8" s="4954">
        <f>+SUM(Z9:Z17)</f>
        <v>1626.6270000000002</v>
      </c>
      <c r="AA8" s="4955">
        <f>+SUM(AA9:AA17)</f>
        <v>4405.4759999999997</v>
      </c>
      <c r="AB8" s="4956">
        <v>1604.7786500000002</v>
      </c>
      <c r="AC8" s="4957">
        <v>1493.009</v>
      </c>
      <c r="AD8" s="4957">
        <v>1149.193</v>
      </c>
      <c r="AE8" s="4957">
        <v>969.93799999999999</v>
      </c>
      <c r="AF8" s="4958">
        <f t="shared" si="1"/>
        <v>5216.9186500000005</v>
      </c>
      <c r="AG8" s="4982">
        <v>995.39200000000005</v>
      </c>
      <c r="AH8" s="4961">
        <v>1208.4349999999999</v>
      </c>
      <c r="AI8" s="4961">
        <v>1179.0129999999999</v>
      </c>
      <c r="AJ8" s="4983">
        <v>1264.42</v>
      </c>
      <c r="AK8" s="4958">
        <f t="shared" si="2"/>
        <v>4647.26</v>
      </c>
      <c r="AL8" s="4959">
        <v>1439.0540000000001</v>
      </c>
      <c r="AM8" s="4961">
        <v>775.76</v>
      </c>
      <c r="AN8" s="4984">
        <v>559</v>
      </c>
      <c r="AO8" s="4961">
        <v>640.79999999999995</v>
      </c>
      <c r="AP8" s="4965">
        <f t="shared" ref="AP8:AP18" si="8">+SUM(AL8:AO8)</f>
        <v>3414.6140000000005</v>
      </c>
      <c r="AQ8" s="4977">
        <v>1048.1227899999997</v>
      </c>
      <c r="AR8" s="4985">
        <v>1037.7130199999999</v>
      </c>
      <c r="AS8" s="4985">
        <v>393.57936000000001</v>
      </c>
      <c r="AT8" s="4985">
        <v>433.92894999999999</v>
      </c>
      <c r="AU8" s="4969">
        <f t="shared" ref="AU8:AU18" si="9">+SUM(AQ8:AT8)</f>
        <v>2913.3441199999997</v>
      </c>
      <c r="AV8" s="4986">
        <f>SUM(AV9:AV17)</f>
        <v>1421.5802399999998</v>
      </c>
      <c r="AW8" s="4986">
        <f t="shared" ref="AW8:AY8" si="10">SUM(AW9:AW17)</f>
        <v>1352.82032</v>
      </c>
      <c r="AX8" s="4986">
        <f t="shared" si="10"/>
        <v>836.02401000000009</v>
      </c>
      <c r="AY8" s="4986">
        <f t="shared" si="10"/>
        <v>1001.4862800000001</v>
      </c>
      <c r="AZ8" s="4971">
        <f t="shared" ref="AZ8:AZ19" si="11">SUM(AV8:AY8)</f>
        <v>4611.9108500000002</v>
      </c>
      <c r="BA8" s="4972"/>
      <c r="BB8" s="4973">
        <f t="shared" si="3"/>
        <v>5826.6882399999995</v>
      </c>
      <c r="BC8" s="4974">
        <f t="shared" si="4"/>
        <v>2203.8270000000002</v>
      </c>
      <c r="BD8" s="4987"/>
      <c r="BE8" s="4976">
        <f t="shared" si="5"/>
        <v>2214.8140000000003</v>
      </c>
      <c r="BF8" s="4977">
        <f>SUM(BF9:BF17)</f>
        <v>969.84999999999991</v>
      </c>
      <c r="BG8" s="4977">
        <f t="shared" ref="BG8:BI8" si="12">SUM(BG9:BG17)</f>
        <v>829.79000000000008</v>
      </c>
      <c r="BH8" s="4977">
        <f t="shared" si="12"/>
        <v>122.86</v>
      </c>
      <c r="BI8" s="4977">
        <f t="shared" si="12"/>
        <v>351.40000000000003</v>
      </c>
      <c r="BJ8" s="4980">
        <f>BF8+BG8+BH8+BI8</f>
        <v>2273.8999999999996</v>
      </c>
    </row>
    <row r="9" spans="2:109" ht="40.25" customHeight="1">
      <c r="B9" s="4988" t="s">
        <v>771</v>
      </c>
      <c r="C9" s="4989">
        <v>130.69999999999999</v>
      </c>
      <c r="D9" s="4990">
        <v>0</v>
      </c>
      <c r="E9" s="4990">
        <v>48.6</v>
      </c>
      <c r="F9" s="4991">
        <v>144.4</v>
      </c>
      <c r="G9" s="4992">
        <f>SUM(C9:F9)</f>
        <v>323.7</v>
      </c>
      <c r="H9" s="4989">
        <v>143.30000000000001</v>
      </c>
      <c r="I9" s="4990">
        <v>208.6</v>
      </c>
      <c r="J9" s="4990">
        <v>18.100000000000001</v>
      </c>
      <c r="K9" s="4991">
        <v>0</v>
      </c>
      <c r="L9" s="4992">
        <f>SUM(H9:K9)</f>
        <v>370</v>
      </c>
      <c r="M9" s="4989">
        <v>509.8</v>
      </c>
      <c r="N9" s="4990">
        <v>1186.77</v>
      </c>
      <c r="O9" s="4990">
        <v>759.1</v>
      </c>
      <c r="P9" s="4990">
        <v>980.9</v>
      </c>
      <c r="Q9" s="4952">
        <f t="shared" si="0"/>
        <v>3436.57</v>
      </c>
      <c r="R9" s="4993">
        <v>986.44</v>
      </c>
      <c r="S9" s="4994">
        <v>1028.58</v>
      </c>
      <c r="T9" s="4994">
        <v>1428.1</v>
      </c>
      <c r="U9" s="4994">
        <v>435.80200000000002</v>
      </c>
      <c r="V9" s="4955">
        <f t="shared" si="7"/>
        <v>3878.922</v>
      </c>
      <c r="W9" s="4993">
        <v>0</v>
      </c>
      <c r="X9" s="4994">
        <v>18</v>
      </c>
      <c r="Y9" s="4994">
        <v>120.6</v>
      </c>
      <c r="Z9" s="4994">
        <v>270</v>
      </c>
      <c r="AA9" s="4955">
        <f t="shared" ref="AA9:AA14" si="13">+W9+X9+Y9+Z9</f>
        <v>408.6</v>
      </c>
      <c r="AB9" s="4995">
        <v>296.10000000000002</v>
      </c>
      <c r="AC9" s="4996">
        <v>214.65</v>
      </c>
      <c r="AD9" s="4996">
        <v>8.1</v>
      </c>
      <c r="AE9" s="4996">
        <v>0</v>
      </c>
      <c r="AF9" s="4958">
        <f t="shared" si="1"/>
        <v>518.85</v>
      </c>
      <c r="AG9" s="4997">
        <v>0</v>
      </c>
      <c r="AH9" s="4998">
        <v>198</v>
      </c>
      <c r="AI9" s="4999">
        <v>180</v>
      </c>
      <c r="AJ9" s="4999">
        <v>288</v>
      </c>
      <c r="AK9" s="4958">
        <f t="shared" si="2"/>
        <v>666</v>
      </c>
      <c r="AL9" s="4997">
        <v>594</v>
      </c>
      <c r="AM9" s="4998">
        <v>79.2</v>
      </c>
      <c r="AN9" s="5000">
        <v>0</v>
      </c>
      <c r="AO9" s="4998">
        <v>17.399999999999999</v>
      </c>
      <c r="AP9" s="4965">
        <f t="shared" si="8"/>
        <v>690.6</v>
      </c>
      <c r="AQ9" s="5001">
        <v>292.2</v>
      </c>
      <c r="AR9" s="5002">
        <v>297</v>
      </c>
      <c r="AS9" s="5002">
        <v>27.50816</v>
      </c>
      <c r="AT9" s="5002">
        <v>39.616320000000002</v>
      </c>
      <c r="AU9" s="4971">
        <f t="shared" si="9"/>
        <v>656.32447999999999</v>
      </c>
      <c r="AV9" s="5003">
        <v>442.62599999999998</v>
      </c>
      <c r="AW9" s="5002">
        <v>341.16300000000001</v>
      </c>
      <c r="AX9" s="5002">
        <v>198</v>
      </c>
      <c r="AY9" s="5002">
        <v>290.685</v>
      </c>
      <c r="AZ9" s="4971">
        <f t="shared" si="11"/>
        <v>1272.4739999999999</v>
      </c>
      <c r="BA9" s="4972"/>
      <c r="BB9" s="4973">
        <f t="shared" si="3"/>
        <v>1312.64896</v>
      </c>
      <c r="BC9" s="5004">
        <f t="shared" si="4"/>
        <v>198</v>
      </c>
      <c r="BD9" s="5005"/>
      <c r="BE9" s="5006">
        <f t="shared" si="5"/>
        <v>673.2</v>
      </c>
      <c r="BF9" s="5001">
        <v>242.1</v>
      </c>
      <c r="BG9" s="5007">
        <v>98.33</v>
      </c>
      <c r="BH9" s="5008">
        <v>0</v>
      </c>
      <c r="BI9" s="5008">
        <v>33.299999999999997</v>
      </c>
      <c r="BJ9" s="4980">
        <f t="shared" ref="BJ9:BJ19" si="14">SUM(BF9:BI9)</f>
        <v>373.73</v>
      </c>
    </row>
    <row r="10" spans="2:109" ht="38.75" customHeight="1">
      <c r="B10" s="5009" t="s">
        <v>600</v>
      </c>
      <c r="C10" s="4989">
        <v>468</v>
      </c>
      <c r="D10" s="4990">
        <v>318.5</v>
      </c>
      <c r="E10" s="4990">
        <v>435.2</v>
      </c>
      <c r="F10" s="4991">
        <v>496.8</v>
      </c>
      <c r="G10" s="4992">
        <f>SUM(C10:F10)</f>
        <v>1718.5</v>
      </c>
      <c r="H10" s="4989">
        <v>447.3</v>
      </c>
      <c r="I10" s="4990">
        <v>593.6</v>
      </c>
      <c r="J10" s="4990">
        <v>622.20000000000005</v>
      </c>
      <c r="K10" s="4991">
        <v>0</v>
      </c>
      <c r="L10" s="4992">
        <f>SUM(H10:K10)</f>
        <v>1663.1000000000001</v>
      </c>
      <c r="M10" s="4989">
        <v>585</v>
      </c>
      <c r="N10" s="4990">
        <v>585</v>
      </c>
      <c r="O10" s="4990">
        <v>588.70000000000005</v>
      </c>
      <c r="P10" s="4990">
        <v>725.4</v>
      </c>
      <c r="Q10" s="4952">
        <f t="shared" si="0"/>
        <v>2484.1</v>
      </c>
      <c r="R10" s="5010">
        <v>583.20000000000005</v>
      </c>
      <c r="S10" s="5011">
        <v>631.79999999999995</v>
      </c>
      <c r="T10" s="5011">
        <v>639.6</v>
      </c>
      <c r="U10" s="5011">
        <v>622.79999999999995</v>
      </c>
      <c r="V10" s="4955">
        <f t="shared" si="7"/>
        <v>2477.3999999999996</v>
      </c>
      <c r="W10" s="5010">
        <v>624.6</v>
      </c>
      <c r="X10" s="5011">
        <v>693</v>
      </c>
      <c r="Y10" s="5011">
        <v>432</v>
      </c>
      <c r="Z10" s="5011">
        <v>657.7</v>
      </c>
      <c r="AA10" s="4955">
        <f t="shared" si="13"/>
        <v>2407.3000000000002</v>
      </c>
      <c r="AB10" s="5012">
        <v>710.94</v>
      </c>
      <c r="AC10" s="5013">
        <v>710.23</v>
      </c>
      <c r="AD10" s="5013">
        <v>710.58</v>
      </c>
      <c r="AE10" s="5013">
        <v>542.23599999999999</v>
      </c>
      <c r="AF10" s="4958">
        <f t="shared" si="1"/>
        <v>2673.9859999999999</v>
      </c>
      <c r="AG10" s="4997">
        <v>590.30999999999995</v>
      </c>
      <c r="AH10" s="4998">
        <v>626.58600000000001</v>
      </c>
      <c r="AI10" s="4999">
        <v>584.43899999999996</v>
      </c>
      <c r="AJ10" s="4999">
        <v>532.28800000000001</v>
      </c>
      <c r="AK10" s="4958">
        <f t="shared" si="2"/>
        <v>2333.623</v>
      </c>
      <c r="AL10" s="4997">
        <v>378.36</v>
      </c>
      <c r="AM10" s="4998">
        <v>256.89600000000002</v>
      </c>
      <c r="AN10" s="5000">
        <v>156.6</v>
      </c>
      <c r="AO10" s="4998">
        <v>253.95599999999999</v>
      </c>
      <c r="AP10" s="4965">
        <f t="shared" si="8"/>
        <v>1045.8120000000001</v>
      </c>
      <c r="AQ10" s="5001">
        <v>347.81425999999999</v>
      </c>
      <c r="AR10" s="5002">
        <v>347.59868</v>
      </c>
      <c r="AS10" s="5002">
        <v>133.74621999999999</v>
      </c>
      <c r="AT10" s="5002">
        <v>95.903000000000006</v>
      </c>
      <c r="AU10" s="4971">
        <f t="shared" si="9"/>
        <v>925.06215999999995</v>
      </c>
      <c r="AV10" s="5003">
        <v>598.65670999999998</v>
      </c>
      <c r="AW10" s="5002">
        <v>605.30522999999994</v>
      </c>
      <c r="AX10" s="5002">
        <v>317.57697999999999</v>
      </c>
      <c r="AY10" s="5002">
        <v>397.48736000000002</v>
      </c>
      <c r="AZ10" s="4971">
        <f t="shared" si="11"/>
        <v>1919.02628</v>
      </c>
      <c r="BA10" s="4972"/>
      <c r="BB10" s="4973">
        <f t="shared" si="3"/>
        <v>1850.1243199999999</v>
      </c>
      <c r="BC10" s="5004">
        <f t="shared" si="4"/>
        <v>1216.896</v>
      </c>
      <c r="BD10" s="5005"/>
      <c r="BE10" s="5006">
        <f t="shared" si="5"/>
        <v>635.25600000000009</v>
      </c>
      <c r="BF10" s="5001">
        <v>335.89</v>
      </c>
      <c r="BG10" s="5007">
        <v>372.94</v>
      </c>
      <c r="BH10" s="5008">
        <v>0.27</v>
      </c>
      <c r="BI10" s="5008">
        <v>14.24</v>
      </c>
      <c r="BJ10" s="4980">
        <f t="shared" si="14"/>
        <v>723.33999999999992</v>
      </c>
    </row>
    <row r="11" spans="2:109" ht="40.25" customHeight="1">
      <c r="B11" s="5009" t="s">
        <v>601</v>
      </c>
      <c r="C11" s="4989">
        <v>0</v>
      </c>
      <c r="D11" s="4990">
        <v>0</v>
      </c>
      <c r="E11" s="4990">
        <v>0</v>
      </c>
      <c r="F11" s="4991">
        <v>1</v>
      </c>
      <c r="G11" s="5014">
        <f>SUM(C11:F11)</f>
        <v>1</v>
      </c>
      <c r="H11" s="4989">
        <v>0</v>
      </c>
      <c r="I11" s="4990">
        <v>0</v>
      </c>
      <c r="J11" s="4990">
        <v>0</v>
      </c>
      <c r="K11" s="4991">
        <v>0</v>
      </c>
      <c r="L11" s="5014">
        <f>SUM(H11:K11)</f>
        <v>0</v>
      </c>
      <c r="M11" s="4989">
        <v>14.4</v>
      </c>
      <c r="N11" s="4990">
        <v>99.2</v>
      </c>
      <c r="O11" s="4990">
        <v>129.30000000000001</v>
      </c>
      <c r="P11" s="4990">
        <v>174.1</v>
      </c>
      <c r="Q11" s="4952">
        <f t="shared" si="0"/>
        <v>417</v>
      </c>
      <c r="R11" s="5015">
        <v>267.02</v>
      </c>
      <c r="S11" s="5016">
        <v>231.36799999999999</v>
      </c>
      <c r="T11" s="5016">
        <v>254.3</v>
      </c>
      <c r="U11" s="5016">
        <v>301.7765</v>
      </c>
      <c r="V11" s="4955">
        <f t="shared" si="7"/>
        <v>1054.4645</v>
      </c>
      <c r="W11" s="5015">
        <v>224.04900000000001</v>
      </c>
      <c r="X11" s="5016">
        <v>250.5</v>
      </c>
      <c r="Y11" s="5016">
        <v>236.1</v>
      </c>
      <c r="Z11" s="5016">
        <v>528.79999999999995</v>
      </c>
      <c r="AA11" s="4955">
        <f t="shared" si="13"/>
        <v>1239.4490000000001</v>
      </c>
      <c r="AB11" s="5017">
        <v>450.62299999999999</v>
      </c>
      <c r="AC11" s="5018">
        <v>469.423</v>
      </c>
      <c r="AD11" s="5018">
        <v>332.19299999999998</v>
      </c>
      <c r="AE11" s="5018">
        <v>329.49799999999999</v>
      </c>
      <c r="AF11" s="4958">
        <f t="shared" si="1"/>
        <v>1581.7370000000001</v>
      </c>
      <c r="AG11" s="4997">
        <v>329.67099999999999</v>
      </c>
      <c r="AH11" s="4998">
        <v>280.88200000000001</v>
      </c>
      <c r="AI11" s="4999">
        <v>309.82400000000001</v>
      </c>
      <c r="AJ11" s="4999">
        <v>334.73599999999999</v>
      </c>
      <c r="AK11" s="4958">
        <f t="shared" si="2"/>
        <v>1255.1129999999998</v>
      </c>
      <c r="AL11" s="4997">
        <v>325.245</v>
      </c>
      <c r="AM11" s="4998">
        <v>328.75</v>
      </c>
      <c r="AN11" s="5000">
        <v>286.89999999999998</v>
      </c>
      <c r="AO11" s="4998">
        <v>251</v>
      </c>
      <c r="AP11" s="4965">
        <f t="shared" si="8"/>
        <v>1191.895</v>
      </c>
      <c r="AQ11" s="5001">
        <v>294.24599999999998</v>
      </c>
      <c r="AR11" s="5002">
        <v>292.77</v>
      </c>
      <c r="AS11" s="5002">
        <v>169.2</v>
      </c>
      <c r="AT11" s="5002">
        <v>204.51</v>
      </c>
      <c r="AU11" s="4971">
        <f t="shared" si="9"/>
        <v>960.72599999999989</v>
      </c>
      <c r="AV11" s="5003">
        <v>285.3</v>
      </c>
      <c r="AW11" s="5002">
        <v>323.23599999999999</v>
      </c>
      <c r="AX11" s="5002">
        <v>280.57499999999999</v>
      </c>
      <c r="AY11" s="5002">
        <v>298.99</v>
      </c>
      <c r="AZ11" s="4971">
        <f t="shared" si="11"/>
        <v>1188.1010000000001</v>
      </c>
      <c r="BA11" s="4972"/>
      <c r="BB11" s="4973">
        <f t="shared" si="3"/>
        <v>1921.4519999999998</v>
      </c>
      <c r="BC11" s="5004">
        <f t="shared" si="4"/>
        <v>610.553</v>
      </c>
      <c r="BD11" s="5005"/>
      <c r="BE11" s="5006">
        <f t="shared" si="5"/>
        <v>653.995</v>
      </c>
      <c r="BF11" s="5001">
        <v>355.31</v>
      </c>
      <c r="BG11" s="5007">
        <v>330.93</v>
      </c>
      <c r="BH11" s="5008">
        <v>110.43</v>
      </c>
      <c r="BI11" s="5008">
        <v>267.63</v>
      </c>
      <c r="BJ11" s="4980">
        <f t="shared" si="14"/>
        <v>1064.3000000000002</v>
      </c>
    </row>
    <row r="12" spans="2:109" ht="40.25" customHeight="1">
      <c r="B12" s="5009" t="s">
        <v>602</v>
      </c>
      <c r="C12" s="4989">
        <v>2.5</v>
      </c>
      <c r="D12" s="4990">
        <v>4.4000000000000004</v>
      </c>
      <c r="E12" s="4990">
        <v>0</v>
      </c>
      <c r="F12" s="4991">
        <v>0</v>
      </c>
      <c r="G12" s="5014">
        <f>SUM(C12:F12)</f>
        <v>6.9</v>
      </c>
      <c r="H12" s="4989">
        <v>0</v>
      </c>
      <c r="I12" s="4990">
        <v>0</v>
      </c>
      <c r="J12" s="4990">
        <v>0</v>
      </c>
      <c r="K12" s="4991">
        <v>0</v>
      </c>
      <c r="L12" s="5014">
        <f>SUM(H12:K12)</f>
        <v>0</v>
      </c>
      <c r="M12" s="4989">
        <v>0</v>
      </c>
      <c r="N12" s="4990">
        <v>0</v>
      </c>
      <c r="O12" s="4990">
        <v>0</v>
      </c>
      <c r="P12" s="4990">
        <v>0</v>
      </c>
      <c r="Q12" s="4952">
        <f t="shared" si="0"/>
        <v>0</v>
      </c>
      <c r="R12" s="5019">
        <v>0</v>
      </c>
      <c r="S12" s="5020">
        <v>0</v>
      </c>
      <c r="T12" s="5020">
        <v>0</v>
      </c>
      <c r="U12" s="5021">
        <v>0</v>
      </c>
      <c r="V12" s="4955">
        <f t="shared" si="7"/>
        <v>0</v>
      </c>
      <c r="W12" s="5019">
        <v>0</v>
      </c>
      <c r="X12" s="5020">
        <v>0</v>
      </c>
      <c r="Y12" s="5020">
        <v>0</v>
      </c>
      <c r="Z12" s="4990">
        <v>66.2</v>
      </c>
      <c r="AA12" s="4955">
        <f t="shared" si="13"/>
        <v>66.2</v>
      </c>
      <c r="AB12" s="5022">
        <v>74.036000000000001</v>
      </c>
      <c r="AC12" s="5023">
        <v>92.055999999999997</v>
      </c>
      <c r="AD12" s="5023">
        <v>98.32</v>
      </c>
      <c r="AE12" s="4999">
        <v>98.203999999999994</v>
      </c>
      <c r="AF12" s="4958">
        <f t="shared" si="1"/>
        <v>362.61599999999999</v>
      </c>
      <c r="AG12" s="4997">
        <v>75.411000000000001</v>
      </c>
      <c r="AH12" s="4998">
        <v>102.967</v>
      </c>
      <c r="AI12" s="4999">
        <v>104.554</v>
      </c>
      <c r="AJ12" s="4999">
        <v>109.316</v>
      </c>
      <c r="AK12" s="4958">
        <f t="shared" si="2"/>
        <v>392.24800000000005</v>
      </c>
      <c r="AL12" s="4997">
        <v>141.06899999999999</v>
      </c>
      <c r="AM12" s="4998">
        <v>110.904</v>
      </c>
      <c r="AN12" s="5000">
        <v>114.101</v>
      </c>
      <c r="AO12" s="4998">
        <v>118.479</v>
      </c>
      <c r="AP12" s="4965">
        <f t="shared" si="8"/>
        <v>484.55299999999994</v>
      </c>
      <c r="AQ12" s="5001">
        <v>112.82753</v>
      </c>
      <c r="AR12" s="5002">
        <v>99.224339999999998</v>
      </c>
      <c r="AS12" s="5002">
        <v>63.124980000000001</v>
      </c>
      <c r="AT12" s="5024">
        <v>93.549630000000008</v>
      </c>
      <c r="AU12" s="4969">
        <f t="shared" si="9"/>
        <v>368.72648000000004</v>
      </c>
      <c r="AV12" s="5003">
        <v>94.574960000000004</v>
      </c>
      <c r="AW12" s="5002">
        <v>83.101089999999999</v>
      </c>
      <c r="AX12" s="5002">
        <v>39.032029999999999</v>
      </c>
      <c r="AY12" s="5002">
        <v>12.47392</v>
      </c>
      <c r="AZ12" s="4971">
        <f t="shared" si="11"/>
        <v>229.18199999999999</v>
      </c>
      <c r="BA12" s="4972"/>
      <c r="BB12" s="4973">
        <f t="shared" si="3"/>
        <v>737.45296000000008</v>
      </c>
      <c r="BC12" s="5004">
        <f t="shared" si="4"/>
        <v>178.37799999999999</v>
      </c>
      <c r="BD12" s="5025"/>
      <c r="BE12" s="5006">
        <f t="shared" si="5"/>
        <v>251.97299999999998</v>
      </c>
      <c r="BF12" s="5001">
        <v>34.5</v>
      </c>
      <c r="BG12" s="5007">
        <v>24.57</v>
      </c>
      <c r="BH12" s="5008">
        <v>11.16</v>
      </c>
      <c r="BI12" s="5008">
        <v>19.86</v>
      </c>
      <c r="BJ12" s="4980">
        <f t="shared" si="14"/>
        <v>90.09</v>
      </c>
    </row>
    <row r="13" spans="2:109" ht="40.25" customHeight="1">
      <c r="B13" s="5009" t="s">
        <v>707</v>
      </c>
      <c r="C13" s="4928"/>
      <c r="D13" s="4929"/>
      <c r="E13" s="4929"/>
      <c r="F13" s="4991"/>
      <c r="G13" s="5014"/>
      <c r="H13" s="4989"/>
      <c r="I13" s="4990"/>
      <c r="J13" s="4990"/>
      <c r="K13" s="4991"/>
      <c r="L13" s="5014"/>
      <c r="M13" s="4989">
        <v>0</v>
      </c>
      <c r="N13" s="4990">
        <v>0</v>
      </c>
      <c r="O13" s="4990">
        <v>0</v>
      </c>
      <c r="P13" s="4990">
        <v>0</v>
      </c>
      <c r="Q13" s="5026">
        <v>0</v>
      </c>
      <c r="R13" s="5019">
        <v>134.28</v>
      </c>
      <c r="S13" s="5020">
        <v>36</v>
      </c>
      <c r="T13" s="5020">
        <v>0</v>
      </c>
      <c r="U13" s="5021">
        <v>0</v>
      </c>
      <c r="V13" s="4955">
        <f t="shared" si="7"/>
        <v>170.28</v>
      </c>
      <c r="W13" s="5019">
        <v>0</v>
      </c>
      <c r="X13" s="5020">
        <v>36</v>
      </c>
      <c r="Y13" s="5020">
        <v>144</v>
      </c>
      <c r="Z13" s="4990">
        <v>90</v>
      </c>
      <c r="AA13" s="4955">
        <f t="shared" si="13"/>
        <v>270</v>
      </c>
      <c r="AB13" s="5022">
        <v>26.1</v>
      </c>
      <c r="AC13" s="5023">
        <v>0</v>
      </c>
      <c r="AD13" s="5023">
        <v>0</v>
      </c>
      <c r="AE13" s="4999">
        <v>0</v>
      </c>
      <c r="AF13" s="4958">
        <f t="shared" si="1"/>
        <v>26.1</v>
      </c>
      <c r="AG13" s="5022">
        <v>0</v>
      </c>
      <c r="AH13" s="5023">
        <v>0</v>
      </c>
      <c r="AI13" s="5023">
        <v>0</v>
      </c>
      <c r="AJ13" s="4999">
        <v>0</v>
      </c>
      <c r="AK13" s="4958">
        <f t="shared" si="2"/>
        <v>0</v>
      </c>
      <c r="AL13" s="4997">
        <v>0</v>
      </c>
      <c r="AM13" s="4998">
        <v>0</v>
      </c>
      <c r="AN13" s="5000">
        <v>0</v>
      </c>
      <c r="AO13" s="4998">
        <v>0</v>
      </c>
      <c r="AP13" s="4965">
        <f t="shared" si="8"/>
        <v>0</v>
      </c>
      <c r="AQ13" s="5001">
        <v>0</v>
      </c>
      <c r="AR13" s="5002">
        <v>0</v>
      </c>
      <c r="AS13" s="5002">
        <v>0</v>
      </c>
      <c r="AT13" s="5024">
        <v>0</v>
      </c>
      <c r="AU13" s="4969">
        <f t="shared" si="9"/>
        <v>0</v>
      </c>
      <c r="AV13" s="5027">
        <v>0</v>
      </c>
      <c r="AW13" s="5028">
        <v>0</v>
      </c>
      <c r="AX13" s="5029">
        <v>0</v>
      </c>
      <c r="AY13" s="5028">
        <v>0</v>
      </c>
      <c r="AZ13" s="4971">
        <f t="shared" si="11"/>
        <v>0</v>
      </c>
      <c r="BA13" s="4972"/>
      <c r="BB13" s="4973">
        <f t="shared" si="3"/>
        <v>0</v>
      </c>
      <c r="BC13" s="5004">
        <f t="shared" si="4"/>
        <v>0</v>
      </c>
      <c r="BD13" s="5025"/>
      <c r="BE13" s="5006">
        <f t="shared" si="5"/>
        <v>0</v>
      </c>
      <c r="BF13" s="5001">
        <v>0</v>
      </c>
      <c r="BG13" s="5008">
        <v>0</v>
      </c>
      <c r="BH13" s="5008">
        <v>0</v>
      </c>
      <c r="BI13" s="5008">
        <v>0</v>
      </c>
      <c r="BJ13" s="4980">
        <f t="shared" si="14"/>
        <v>0</v>
      </c>
    </row>
    <row r="14" spans="2:109" ht="40.25" customHeight="1">
      <c r="B14" s="5009" t="s">
        <v>762</v>
      </c>
      <c r="C14" s="4928"/>
      <c r="D14" s="4929"/>
      <c r="E14" s="4929"/>
      <c r="F14" s="4991"/>
      <c r="G14" s="5014"/>
      <c r="H14" s="4989"/>
      <c r="I14" s="4990"/>
      <c r="J14" s="4990"/>
      <c r="K14" s="4991"/>
      <c r="L14" s="5014"/>
      <c r="M14" s="4989"/>
      <c r="N14" s="4990"/>
      <c r="O14" s="4990"/>
      <c r="P14" s="4990"/>
      <c r="Q14" s="5026"/>
      <c r="R14" s="5019">
        <v>0</v>
      </c>
      <c r="S14" s="5020">
        <v>0</v>
      </c>
      <c r="T14" s="5020">
        <v>0</v>
      </c>
      <c r="U14" s="5021">
        <v>0</v>
      </c>
      <c r="V14" s="4955">
        <f t="shared" si="7"/>
        <v>0</v>
      </c>
      <c r="W14" s="5019">
        <v>0</v>
      </c>
      <c r="X14" s="5020">
        <v>0</v>
      </c>
      <c r="Y14" s="5020">
        <v>0</v>
      </c>
      <c r="Z14" s="4990">
        <v>0</v>
      </c>
      <c r="AA14" s="4955">
        <f t="shared" si="13"/>
        <v>0</v>
      </c>
      <c r="AB14" s="5022">
        <v>0.05</v>
      </c>
      <c r="AC14" s="5023">
        <v>0</v>
      </c>
      <c r="AD14" s="5023">
        <v>0</v>
      </c>
      <c r="AE14" s="4999">
        <v>0</v>
      </c>
      <c r="AF14" s="4958">
        <f t="shared" si="1"/>
        <v>0.05</v>
      </c>
      <c r="AG14" s="5022">
        <v>0</v>
      </c>
      <c r="AH14" s="5023">
        <v>0</v>
      </c>
      <c r="AI14" s="5023">
        <v>0</v>
      </c>
      <c r="AJ14" s="4999">
        <v>0</v>
      </c>
      <c r="AK14" s="4958">
        <f t="shared" si="2"/>
        <v>0</v>
      </c>
      <c r="AL14" s="4997">
        <v>0</v>
      </c>
      <c r="AM14" s="4998">
        <v>0</v>
      </c>
      <c r="AN14" s="5000">
        <v>0</v>
      </c>
      <c r="AO14" s="4998">
        <v>0</v>
      </c>
      <c r="AP14" s="4965">
        <f t="shared" si="8"/>
        <v>0</v>
      </c>
      <c r="AQ14" s="5001">
        <v>0</v>
      </c>
      <c r="AR14" s="5002">
        <v>0</v>
      </c>
      <c r="AS14" s="5002">
        <v>0</v>
      </c>
      <c r="AT14" s="5024">
        <v>0</v>
      </c>
      <c r="AU14" s="4969">
        <v>0</v>
      </c>
      <c r="AV14" s="5003">
        <v>0</v>
      </c>
      <c r="AW14" s="5002">
        <v>0</v>
      </c>
      <c r="AX14" s="5002">
        <v>0</v>
      </c>
      <c r="AY14" s="5002">
        <v>0</v>
      </c>
      <c r="AZ14" s="4971">
        <f t="shared" si="11"/>
        <v>0</v>
      </c>
      <c r="BA14" s="4972"/>
      <c r="BB14" s="4973">
        <f t="shared" si="3"/>
        <v>0</v>
      </c>
      <c r="BC14" s="5004">
        <f t="shared" si="4"/>
        <v>0</v>
      </c>
      <c r="BD14" s="5005"/>
      <c r="BE14" s="5006">
        <f t="shared" si="5"/>
        <v>0</v>
      </c>
      <c r="BF14" s="5001">
        <v>0</v>
      </c>
      <c r="BG14" s="5008">
        <v>0</v>
      </c>
      <c r="BH14" s="5008">
        <v>0</v>
      </c>
      <c r="BI14" s="5008">
        <v>0</v>
      </c>
      <c r="BJ14" s="4980">
        <f t="shared" si="14"/>
        <v>0</v>
      </c>
    </row>
    <row r="15" spans="2:109" ht="40.25" customHeight="1">
      <c r="B15" s="5009" t="s">
        <v>763</v>
      </c>
      <c r="C15" s="4928"/>
      <c r="D15" s="4929"/>
      <c r="E15" s="4929"/>
      <c r="F15" s="4991"/>
      <c r="G15" s="5014"/>
      <c r="H15" s="4989"/>
      <c r="I15" s="4990"/>
      <c r="J15" s="4990"/>
      <c r="K15" s="4991"/>
      <c r="L15" s="5014"/>
      <c r="M15" s="4989"/>
      <c r="N15" s="4990"/>
      <c r="O15" s="4990"/>
      <c r="P15" s="4990"/>
      <c r="Q15" s="5026"/>
      <c r="R15" s="5019">
        <v>0</v>
      </c>
      <c r="S15" s="5020">
        <v>0</v>
      </c>
      <c r="T15" s="5020">
        <v>0</v>
      </c>
      <c r="U15" s="5021">
        <v>0</v>
      </c>
      <c r="V15" s="4955">
        <f t="shared" si="7"/>
        <v>0</v>
      </c>
      <c r="W15" s="5019">
        <v>0</v>
      </c>
      <c r="X15" s="5020">
        <v>0</v>
      </c>
      <c r="Y15" s="5020">
        <v>0</v>
      </c>
      <c r="Z15" s="4990">
        <v>13.9</v>
      </c>
      <c r="AA15" s="4955">
        <v>13.9</v>
      </c>
      <c r="AB15" s="5022">
        <v>46.93</v>
      </c>
      <c r="AC15" s="5023">
        <v>6.65</v>
      </c>
      <c r="AD15" s="5023">
        <v>0</v>
      </c>
      <c r="AE15" s="4999">
        <v>0</v>
      </c>
      <c r="AF15" s="4958">
        <f t="shared" si="1"/>
        <v>53.58</v>
      </c>
      <c r="AG15" s="5022">
        <v>0</v>
      </c>
      <c r="AH15" s="5023">
        <v>0</v>
      </c>
      <c r="AI15" s="5023">
        <v>0</v>
      </c>
      <c r="AJ15" s="4999">
        <v>0</v>
      </c>
      <c r="AK15" s="4958">
        <f t="shared" si="2"/>
        <v>0</v>
      </c>
      <c r="AL15" s="4997">
        <v>0</v>
      </c>
      <c r="AM15" s="4998">
        <v>0</v>
      </c>
      <c r="AN15" s="5000">
        <v>1.4</v>
      </c>
      <c r="AO15" s="4998">
        <v>0</v>
      </c>
      <c r="AP15" s="4965">
        <f t="shared" si="8"/>
        <v>1.4</v>
      </c>
      <c r="AQ15" s="5001">
        <v>0.97499999999999998</v>
      </c>
      <c r="AR15" s="5002">
        <v>0</v>
      </c>
      <c r="AS15" s="5002">
        <v>0</v>
      </c>
      <c r="AT15" s="5024">
        <v>0.35</v>
      </c>
      <c r="AU15" s="4969">
        <f t="shared" si="9"/>
        <v>1.325</v>
      </c>
      <c r="AV15" s="5003">
        <v>0.42257</v>
      </c>
      <c r="AW15" s="5002">
        <v>1.4999999999999999E-2</v>
      </c>
      <c r="AX15" s="5002">
        <v>0.84</v>
      </c>
      <c r="AY15" s="5002">
        <v>0</v>
      </c>
      <c r="AZ15" s="4971">
        <f t="shared" si="11"/>
        <v>1.2775699999999999</v>
      </c>
      <c r="BA15" s="4972"/>
      <c r="BB15" s="4973">
        <f t="shared" si="3"/>
        <v>2.65</v>
      </c>
      <c r="BC15" s="5004">
        <f t="shared" si="4"/>
        <v>0</v>
      </c>
      <c r="BD15" s="5005"/>
      <c r="BE15" s="5006">
        <f t="shared" si="5"/>
        <v>0</v>
      </c>
      <c r="BF15" s="5001">
        <v>0.4</v>
      </c>
      <c r="BG15" s="5007">
        <v>3.02</v>
      </c>
      <c r="BH15" s="5008">
        <v>1</v>
      </c>
      <c r="BI15" s="5008">
        <v>0</v>
      </c>
      <c r="BJ15" s="4980">
        <f t="shared" si="14"/>
        <v>4.42</v>
      </c>
    </row>
    <row r="16" spans="2:109" ht="40.25" hidden="1" customHeight="1">
      <c r="B16" s="5009" t="s">
        <v>2303</v>
      </c>
      <c r="C16" s="4928"/>
      <c r="D16" s="5030"/>
      <c r="E16" s="5030"/>
      <c r="F16" s="5031"/>
      <c r="G16" s="5014"/>
      <c r="H16" s="4989"/>
      <c r="I16" s="5032"/>
      <c r="J16" s="5032"/>
      <c r="K16" s="5031"/>
      <c r="L16" s="5014"/>
      <c r="M16" s="4989"/>
      <c r="N16" s="5032"/>
      <c r="O16" s="5032"/>
      <c r="P16" s="5032"/>
      <c r="Q16" s="5026"/>
      <c r="R16" s="5019"/>
      <c r="S16" s="5033"/>
      <c r="T16" s="5033"/>
      <c r="U16" s="5034"/>
      <c r="V16" s="4955"/>
      <c r="W16" s="5019"/>
      <c r="X16" s="5033"/>
      <c r="Y16" s="5033"/>
      <c r="Z16" s="5032"/>
      <c r="AA16" s="4955"/>
      <c r="AB16" s="5022"/>
      <c r="AC16" s="5035"/>
      <c r="AD16" s="5035"/>
      <c r="AE16" s="5036"/>
      <c r="AF16" s="4958"/>
      <c r="AG16" s="5022">
        <v>0</v>
      </c>
      <c r="AH16" s="5035">
        <v>0</v>
      </c>
      <c r="AI16" s="5035">
        <v>0</v>
      </c>
      <c r="AJ16" s="5036">
        <v>0</v>
      </c>
      <c r="AK16" s="4958">
        <f t="shared" si="2"/>
        <v>0</v>
      </c>
      <c r="AL16" s="4997">
        <v>0</v>
      </c>
      <c r="AM16" s="5037">
        <v>0</v>
      </c>
      <c r="AN16" s="5000">
        <v>0</v>
      </c>
      <c r="AO16" s="5037">
        <v>0</v>
      </c>
      <c r="AP16" s="5038">
        <f t="shared" si="8"/>
        <v>0</v>
      </c>
      <c r="AQ16" s="5001">
        <v>0</v>
      </c>
      <c r="AR16" s="5007">
        <v>0</v>
      </c>
      <c r="AS16" s="5007">
        <v>0</v>
      </c>
      <c r="AT16" s="5024">
        <v>0</v>
      </c>
      <c r="AU16" s="4980">
        <f t="shared" si="9"/>
        <v>0</v>
      </c>
      <c r="AV16" s="5001">
        <v>0</v>
      </c>
      <c r="AW16" s="5007">
        <v>0</v>
      </c>
      <c r="AX16" s="5007">
        <v>0</v>
      </c>
      <c r="AY16" s="5007">
        <v>1.85</v>
      </c>
      <c r="AZ16" s="4971">
        <f t="shared" si="11"/>
        <v>1.85</v>
      </c>
      <c r="BA16" s="4972"/>
      <c r="BB16" s="4973">
        <f t="shared" si="3"/>
        <v>0</v>
      </c>
      <c r="BC16" s="5039">
        <f t="shared" si="4"/>
        <v>0</v>
      </c>
      <c r="BD16" s="5040"/>
      <c r="BE16" s="5006">
        <f t="shared" si="5"/>
        <v>0</v>
      </c>
      <c r="BF16" s="5001">
        <v>1.65</v>
      </c>
      <c r="BG16" s="5008" t="s">
        <v>395</v>
      </c>
      <c r="BH16" s="5008" t="s">
        <v>395</v>
      </c>
      <c r="BI16" s="5008">
        <v>16.37</v>
      </c>
      <c r="BJ16" s="4980">
        <f t="shared" si="14"/>
        <v>18.02</v>
      </c>
    </row>
    <row r="17" spans="2:63" ht="40.25" hidden="1" customHeight="1">
      <c r="B17" s="5009" t="s">
        <v>764</v>
      </c>
      <c r="C17" s="4928"/>
      <c r="D17" s="4929"/>
      <c r="E17" s="4929"/>
      <c r="F17" s="4991"/>
      <c r="G17" s="5014"/>
      <c r="H17" s="4989"/>
      <c r="I17" s="4990"/>
      <c r="J17" s="4990"/>
      <c r="K17" s="4991"/>
      <c r="L17" s="5014"/>
      <c r="M17" s="4989"/>
      <c r="N17" s="4990"/>
      <c r="O17" s="4990"/>
      <c r="P17" s="4990"/>
      <c r="Q17" s="5026"/>
      <c r="R17" s="5019">
        <v>0</v>
      </c>
      <c r="S17" s="5020">
        <v>0</v>
      </c>
      <c r="T17" s="5020">
        <v>0</v>
      </c>
      <c r="U17" s="5021">
        <v>0</v>
      </c>
      <c r="V17" s="4955">
        <f t="shared" si="7"/>
        <v>0</v>
      </c>
      <c r="W17" s="5019">
        <v>0</v>
      </c>
      <c r="X17" s="5020">
        <v>0</v>
      </c>
      <c r="Y17" s="5020">
        <v>0</v>
      </c>
      <c r="Z17" s="4990">
        <v>2.7E-2</v>
      </c>
      <c r="AA17" s="4955">
        <v>2.7E-2</v>
      </c>
      <c r="AB17" s="5022">
        <v>0</v>
      </c>
      <c r="AC17" s="5023">
        <v>0</v>
      </c>
      <c r="AD17" s="5023">
        <v>0</v>
      </c>
      <c r="AE17" s="4999">
        <v>0</v>
      </c>
      <c r="AF17" s="4958">
        <f t="shared" si="1"/>
        <v>0</v>
      </c>
      <c r="AG17" s="5022">
        <v>0</v>
      </c>
      <c r="AH17" s="5023">
        <v>0</v>
      </c>
      <c r="AI17" s="5023">
        <v>0</v>
      </c>
      <c r="AJ17" s="4999">
        <v>0</v>
      </c>
      <c r="AK17" s="4958">
        <f t="shared" si="2"/>
        <v>0</v>
      </c>
      <c r="AL17" s="4997">
        <v>0</v>
      </c>
      <c r="AM17" s="4998">
        <v>0</v>
      </c>
      <c r="AN17" s="5000">
        <v>0</v>
      </c>
      <c r="AO17" s="4998">
        <v>0</v>
      </c>
      <c r="AP17" s="4965">
        <f t="shared" si="8"/>
        <v>0</v>
      </c>
      <c r="AQ17" s="5001">
        <v>0</v>
      </c>
      <c r="AR17" s="5002">
        <v>0</v>
      </c>
      <c r="AS17" s="5002">
        <v>0</v>
      </c>
      <c r="AT17" s="5024">
        <v>0</v>
      </c>
      <c r="AU17" s="4969">
        <v>0</v>
      </c>
      <c r="AV17" s="5003">
        <v>0</v>
      </c>
      <c r="AW17" s="5002">
        <v>0</v>
      </c>
      <c r="AX17" s="5002">
        <v>0</v>
      </c>
      <c r="AY17" s="5002">
        <v>0</v>
      </c>
      <c r="AZ17" s="4971">
        <f t="shared" si="11"/>
        <v>0</v>
      </c>
      <c r="BA17" s="4972"/>
      <c r="BB17" s="4973">
        <f t="shared" si="3"/>
        <v>0</v>
      </c>
      <c r="BC17" s="5004">
        <f t="shared" si="4"/>
        <v>0</v>
      </c>
      <c r="BD17" s="5005"/>
      <c r="BE17" s="5006">
        <f t="shared" si="5"/>
        <v>0</v>
      </c>
      <c r="BF17" s="5001">
        <v>0</v>
      </c>
      <c r="BG17" s="5008">
        <v>0</v>
      </c>
      <c r="BH17" s="5008">
        <v>0</v>
      </c>
      <c r="BI17" s="5008">
        <v>0</v>
      </c>
      <c r="BJ17" s="4980">
        <f t="shared" si="14"/>
        <v>0</v>
      </c>
    </row>
    <row r="18" spans="2:63" s="4906" customFormat="1" ht="40.25" customHeight="1" thickBot="1">
      <c r="B18" s="5041" t="s">
        <v>141</v>
      </c>
      <c r="C18" s="5042"/>
      <c r="D18" s="5043"/>
      <c r="E18" s="5043"/>
      <c r="F18" s="5044"/>
      <c r="G18" s="4981"/>
      <c r="H18" s="5045"/>
      <c r="I18" s="5046"/>
      <c r="J18" s="5046"/>
      <c r="K18" s="5044"/>
      <c r="L18" s="4981"/>
      <c r="M18" s="5045">
        <v>0</v>
      </c>
      <c r="N18" s="5046">
        <v>0</v>
      </c>
      <c r="O18" s="5046">
        <v>0</v>
      </c>
      <c r="P18" s="5046">
        <v>0</v>
      </c>
      <c r="Q18" s="5026">
        <v>0</v>
      </c>
      <c r="R18" s="5047">
        <v>140.4</v>
      </c>
      <c r="S18" s="5048">
        <v>3.1</v>
      </c>
      <c r="T18" s="5048">
        <v>1.1000000000000001</v>
      </c>
      <c r="U18" s="5049">
        <v>9.4</v>
      </c>
      <c r="V18" s="4955">
        <f t="shared" si="7"/>
        <v>154</v>
      </c>
      <c r="W18" s="5047">
        <v>1</v>
      </c>
      <c r="X18" s="5048">
        <v>3.1</v>
      </c>
      <c r="Y18" s="5048">
        <v>1.1000000000000001</v>
      </c>
      <c r="Z18" s="5046">
        <v>2.1</v>
      </c>
      <c r="AA18" s="4955">
        <v>7.2999999999999989</v>
      </c>
      <c r="AB18" s="5050">
        <v>6.1890000000000001</v>
      </c>
      <c r="AC18" s="5051">
        <v>217.30560000000003</v>
      </c>
      <c r="AD18" s="5051">
        <v>1.419</v>
      </c>
      <c r="AE18" s="4961">
        <v>1.7889999999999999</v>
      </c>
      <c r="AF18" s="4958">
        <f t="shared" si="1"/>
        <v>226.70260000000002</v>
      </c>
      <c r="AG18" s="4959">
        <v>3.347</v>
      </c>
      <c r="AH18" s="4960">
        <v>3.3540000000000001</v>
      </c>
      <c r="AI18" s="4961">
        <v>3.927</v>
      </c>
      <c r="AJ18" s="4961">
        <v>1.9930000000000001</v>
      </c>
      <c r="AK18" s="4958">
        <f t="shared" si="2"/>
        <v>12.621</v>
      </c>
      <c r="AL18" s="4959">
        <v>4.0190000000000001</v>
      </c>
      <c r="AM18" s="4960">
        <f>+'[175]CSO Banana Exp in Tonnes(Qtly)'!$R$7</f>
        <v>0.98</v>
      </c>
      <c r="AN18" s="4963">
        <v>1.2</v>
      </c>
      <c r="AO18" s="4960">
        <v>1.7</v>
      </c>
      <c r="AP18" s="4965">
        <f t="shared" si="8"/>
        <v>7.8990000000000009</v>
      </c>
      <c r="AQ18" s="4977">
        <v>6.016</v>
      </c>
      <c r="AR18" s="4967">
        <v>0.7</v>
      </c>
      <c r="AS18" s="4967">
        <v>9.6000000000000002E-2</v>
      </c>
      <c r="AT18" s="4968">
        <v>0.82799999999999996</v>
      </c>
      <c r="AU18" s="4969">
        <f t="shared" si="9"/>
        <v>7.6400000000000006</v>
      </c>
      <c r="AV18" s="4986">
        <v>0.39400000000000002</v>
      </c>
      <c r="AW18" s="4967">
        <v>0.28899999999999998</v>
      </c>
      <c r="AX18" s="4967">
        <v>9.5000000000000001E-2</v>
      </c>
      <c r="AY18" s="4967">
        <v>0.183</v>
      </c>
      <c r="AZ18" s="4971">
        <f t="shared" si="11"/>
        <v>0.96100000000000008</v>
      </c>
      <c r="BA18" s="4972"/>
      <c r="BB18" s="4973">
        <f t="shared" si="3"/>
        <v>15.280000000000001</v>
      </c>
      <c r="BC18" s="4974">
        <f t="shared" si="4"/>
        <v>6.7010000000000005</v>
      </c>
      <c r="BD18" s="4975"/>
      <c r="BE18" s="4976">
        <f t="shared" si="5"/>
        <v>4.9990000000000006</v>
      </c>
      <c r="BF18" s="5052">
        <v>0.13600000000000001</v>
      </c>
      <c r="BG18" s="5053">
        <v>0</v>
      </c>
      <c r="BH18" s="5053">
        <v>0</v>
      </c>
      <c r="BI18" s="5053">
        <v>1.7999999999999999E-2</v>
      </c>
      <c r="BJ18" s="5054">
        <f t="shared" si="14"/>
        <v>0.154</v>
      </c>
    </row>
    <row r="19" spans="2:63" ht="40.25" customHeight="1" thickBot="1">
      <c r="B19" s="5055" t="s">
        <v>603</v>
      </c>
      <c r="C19" s="5056">
        <f>+C7+C8</f>
        <v>3573.1399999999994</v>
      </c>
      <c r="D19" s="5057">
        <f>+D7+D8</f>
        <v>3768.4220212819523</v>
      </c>
      <c r="E19" s="5057">
        <f>+E7+E8</f>
        <v>3165.7993759999999</v>
      </c>
      <c r="F19" s="5058">
        <f>+F7+F8</f>
        <v>3895.2643535999996</v>
      </c>
      <c r="G19" s="5059">
        <f>SUM(C19:F19)</f>
        <v>14402.625750881951</v>
      </c>
      <c r="H19" s="5060">
        <f>+H7+H8</f>
        <v>2981.27</v>
      </c>
      <c r="I19" s="5061">
        <f>+I7+I8</f>
        <v>3540.46</v>
      </c>
      <c r="J19" s="5061">
        <f>+J7+J8</f>
        <v>2372.54</v>
      </c>
      <c r="K19" s="5058">
        <f>+K7+K8</f>
        <v>2034.4</v>
      </c>
      <c r="L19" s="5059">
        <f>SUM(H19:K19)</f>
        <v>10928.67</v>
      </c>
      <c r="M19" s="5060">
        <f t="shared" ref="M19:U19" si="15">+SUM(M7+M8+M18)</f>
        <v>4009.16</v>
      </c>
      <c r="N19" s="5061">
        <f t="shared" si="15"/>
        <v>3911.62</v>
      </c>
      <c r="O19" s="5061">
        <f t="shared" si="15"/>
        <v>3053.37</v>
      </c>
      <c r="P19" s="5061">
        <f t="shared" si="15"/>
        <v>3812.8599999999997</v>
      </c>
      <c r="Q19" s="5062">
        <f t="shared" si="15"/>
        <v>14787.01</v>
      </c>
      <c r="R19" s="5063">
        <f t="shared" si="15"/>
        <v>4021.9100000000003</v>
      </c>
      <c r="S19" s="5064">
        <f t="shared" si="15"/>
        <v>3993.4180000000001</v>
      </c>
      <c r="T19" s="5064">
        <f t="shared" si="15"/>
        <v>4865.5400000000009</v>
      </c>
      <c r="U19" s="5064">
        <f t="shared" si="15"/>
        <v>1946.0384999999999</v>
      </c>
      <c r="V19" s="5065">
        <f t="shared" si="7"/>
        <v>14826.906500000003</v>
      </c>
      <c r="W19" s="5060">
        <f t="shared" ref="W19:AE19" si="16">+SUM(W7+W8+W18)</f>
        <v>1501.029</v>
      </c>
      <c r="X19" s="5061">
        <f t="shared" si="16"/>
        <v>3433.45</v>
      </c>
      <c r="Y19" s="5061">
        <f t="shared" si="16"/>
        <v>3827.4270000000001</v>
      </c>
      <c r="Z19" s="5061">
        <f t="shared" si="16"/>
        <v>4548.9470000000001</v>
      </c>
      <c r="AA19" s="5062">
        <f t="shared" si="16"/>
        <v>13310.852999999999</v>
      </c>
      <c r="AB19" s="5060">
        <f t="shared" si="16"/>
        <v>3874.8976499999999</v>
      </c>
      <c r="AC19" s="5061">
        <f t="shared" si="16"/>
        <v>4314.3536000000004</v>
      </c>
      <c r="AD19" s="5061">
        <f t="shared" si="16"/>
        <v>4272.3029999999999</v>
      </c>
      <c r="AE19" s="5061">
        <f t="shared" si="16"/>
        <v>2556.6030000000001</v>
      </c>
      <c r="AF19" s="5066">
        <f t="shared" si="1"/>
        <v>15018.15725</v>
      </c>
      <c r="AG19" s="5060">
        <f>+SUM(AG7+AG8+AG18)</f>
        <v>1960.9660000000001</v>
      </c>
      <c r="AH19" s="5061">
        <f>+SUM(AH7+AH8+AH18)</f>
        <v>3587.694</v>
      </c>
      <c r="AI19" s="5061">
        <f>+SUM(AI7+AI8+AI18)</f>
        <v>2902.3669999999997</v>
      </c>
      <c r="AJ19" s="5061">
        <f>+SUM(AJ7+AJ8+AJ18)</f>
        <v>3171.5740000000001</v>
      </c>
      <c r="AK19" s="5066">
        <f t="shared" si="2"/>
        <v>11622.601000000001</v>
      </c>
      <c r="AL19" s="5067">
        <f>+SUM(AL7+AL8+AL18)</f>
        <v>2970.8799999999997</v>
      </c>
      <c r="AM19" s="5061">
        <f>+SUM(AM7+AM8+AM18)</f>
        <v>2822.54</v>
      </c>
      <c r="AN19" s="5061">
        <f>+SUM(AN7+AN8+AN18)</f>
        <v>1401.2</v>
      </c>
      <c r="AO19" s="5061">
        <f>+SUM(AO7+AO8+AO18)</f>
        <v>1199.145</v>
      </c>
      <c r="AP19" s="5068">
        <f>+SUM(AL19:AO19)</f>
        <v>8393.7649999999994</v>
      </c>
      <c r="AQ19" s="5069">
        <f>+SUM(AQ7+AQ8+AQ18)</f>
        <v>1938.1487899999997</v>
      </c>
      <c r="AR19" s="5061">
        <f>+SUM(AR7+AR8+AR18)</f>
        <v>1815.7460199999998</v>
      </c>
      <c r="AS19" s="5061">
        <f>+SUM(AS7+AS8+AS18)</f>
        <v>394.19836000000004</v>
      </c>
      <c r="AT19" s="5061">
        <f>+SUM(AT7+AT8+AT18)</f>
        <v>435.05794999999995</v>
      </c>
      <c r="AU19" s="5068">
        <f>+SUM(AU7+AU8+AU18)</f>
        <v>4583.1511199999995</v>
      </c>
      <c r="AV19" s="5069">
        <f>AV7+AV8+AV18</f>
        <v>1422.8782399999998</v>
      </c>
      <c r="AW19" s="5070">
        <f>AW7+AW8+AW18</f>
        <v>1563.5393200000001</v>
      </c>
      <c r="AX19" s="5071">
        <f>AX7+AX8+AX18</f>
        <v>1081.2040100000002</v>
      </c>
      <c r="AY19" s="5062">
        <f>AY7+AY8+AY18</f>
        <v>1050.5882800000002</v>
      </c>
      <c r="AZ19" s="5072">
        <f t="shared" si="11"/>
        <v>5118.2098500000002</v>
      </c>
      <c r="BA19" s="5026"/>
      <c r="BB19" s="5073">
        <f t="shared" si="3"/>
        <v>9166.3022400000009</v>
      </c>
      <c r="BC19" s="5074">
        <f t="shared" si="4"/>
        <v>5548.66</v>
      </c>
      <c r="BD19" s="5075"/>
      <c r="BE19" s="5076">
        <f t="shared" si="5"/>
        <v>5793.42</v>
      </c>
      <c r="BF19" s="5069">
        <f>BF7+BF8+BF18</f>
        <v>972.82599999999991</v>
      </c>
      <c r="BG19" s="5070">
        <f>BG7+BG8+BG18</f>
        <v>831.75500000000011</v>
      </c>
      <c r="BH19" s="5071">
        <f>BH7+BH8+BH18</f>
        <v>124.56</v>
      </c>
      <c r="BI19" s="5062">
        <f>BI7+BI8+BI18</f>
        <v>353.28800000000001</v>
      </c>
      <c r="BJ19" s="5072">
        <f t="shared" si="14"/>
        <v>2282.4290000000001</v>
      </c>
      <c r="BK19" s="5077"/>
    </row>
    <row r="20" spans="2:63" s="4907" customFormat="1" ht="40.25" customHeight="1">
      <c r="B20" s="5078" t="s">
        <v>661</v>
      </c>
      <c r="Q20" s="5079"/>
      <c r="R20" s="5080"/>
      <c r="S20" s="5080"/>
      <c r="T20" s="5081"/>
      <c r="U20" s="5080"/>
      <c r="V20" s="5079"/>
      <c r="Y20" s="5082"/>
      <c r="AA20" s="5079"/>
      <c r="AD20" s="5082"/>
      <c r="AE20" s="5083"/>
      <c r="AF20" s="5079"/>
      <c r="AG20" s="5082"/>
      <c r="AH20" s="458"/>
      <c r="AV20" s="5084"/>
      <c r="AW20" s="5084"/>
      <c r="AX20" s="5084"/>
      <c r="AY20" s="5084"/>
      <c r="AZ20" s="5085"/>
      <c r="BB20" s="5082"/>
      <c r="BC20" s="458"/>
    </row>
    <row r="21" spans="2:63" ht="40.25" customHeight="1">
      <c r="B21" s="197" t="s">
        <v>1834</v>
      </c>
      <c r="S21" s="5086"/>
      <c r="T21" s="5087"/>
      <c r="BB21" s="5088"/>
      <c r="BC21" s="5089"/>
    </row>
    <row r="22" spans="2:63" ht="40.25" customHeight="1">
      <c r="B22" s="197"/>
      <c r="S22" s="5086"/>
      <c r="T22" s="5087"/>
      <c r="BB22" s="5088"/>
      <c r="BC22" s="5089"/>
    </row>
    <row r="23" spans="2:63" ht="40.25" customHeight="1">
      <c r="B23" s="5666" t="s">
        <v>1050</v>
      </c>
      <c r="C23" s="5666"/>
      <c r="D23" s="5666"/>
      <c r="E23" s="5666"/>
      <c r="F23" s="5666"/>
      <c r="G23" s="5666"/>
      <c r="H23" s="5666"/>
      <c r="I23" s="5666"/>
      <c r="J23" s="5666"/>
      <c r="K23" s="5666"/>
      <c r="L23" s="5666"/>
      <c r="M23" s="5666"/>
      <c r="N23" s="5666"/>
      <c r="O23" s="5666"/>
      <c r="P23" s="5666"/>
      <c r="Q23" s="5666"/>
      <c r="R23" s="5666"/>
      <c r="S23" s="5666"/>
      <c r="T23" s="5666"/>
      <c r="U23" s="5666"/>
      <c r="V23" s="5666"/>
      <c r="W23" s="5666"/>
      <c r="X23" s="5666"/>
      <c r="Y23" s="5666"/>
      <c r="Z23" s="5666"/>
      <c r="AA23" s="5666"/>
      <c r="AB23" s="5666"/>
      <c r="AC23" s="5666"/>
      <c r="AD23" s="5666"/>
      <c r="AE23" s="5666"/>
      <c r="AF23" s="5666"/>
      <c r="AG23" s="5666"/>
      <c r="AH23" s="5666"/>
      <c r="AI23" s="5666"/>
      <c r="AJ23" s="5666"/>
      <c r="AK23" s="5666"/>
      <c r="AL23" s="5666"/>
      <c r="AM23" s="5666"/>
      <c r="AN23" s="5666"/>
      <c r="AO23" s="5666"/>
      <c r="AP23" s="5666"/>
      <c r="AQ23" s="5666"/>
      <c r="AR23" s="5666"/>
      <c r="AS23" s="5666"/>
      <c r="AT23" s="5666"/>
      <c r="AU23" s="5666"/>
      <c r="AV23" s="5666"/>
      <c r="AW23" s="5666"/>
      <c r="AX23" s="5666"/>
      <c r="AY23" s="5666"/>
      <c r="AZ23" s="5666"/>
      <c r="BA23" s="5666"/>
      <c r="BB23" s="5666"/>
      <c r="BC23" s="5666"/>
      <c r="BD23" s="5666"/>
      <c r="BE23" s="5666"/>
    </row>
    <row r="24" spans="2:63" ht="40.25" customHeight="1">
      <c r="B24" s="5666" t="s">
        <v>1835</v>
      </c>
      <c r="C24" s="5666"/>
      <c r="D24" s="5666"/>
      <c r="E24" s="5666"/>
      <c r="F24" s="5666"/>
      <c r="G24" s="5666"/>
      <c r="H24" s="5666"/>
      <c r="I24" s="5666"/>
      <c r="J24" s="5666"/>
      <c r="K24" s="5666"/>
      <c r="L24" s="5666"/>
      <c r="M24" s="5666"/>
      <c r="N24" s="5666"/>
      <c r="O24" s="5666"/>
      <c r="P24" s="5666"/>
      <c r="Q24" s="5666"/>
      <c r="R24" s="5666"/>
      <c r="S24" s="5666"/>
      <c r="T24" s="5666"/>
      <c r="U24" s="5666"/>
      <c r="V24" s="5666"/>
      <c r="W24" s="5666"/>
      <c r="X24" s="5666"/>
      <c r="Y24" s="5666"/>
      <c r="Z24" s="5666"/>
      <c r="AA24" s="5666"/>
      <c r="AB24" s="5666"/>
      <c r="AC24" s="5666"/>
      <c r="AD24" s="5666"/>
      <c r="AE24" s="5666"/>
      <c r="AF24" s="5666"/>
      <c r="AG24" s="5666"/>
      <c r="AH24" s="5666"/>
      <c r="AI24" s="5666"/>
      <c r="AJ24" s="5666"/>
      <c r="AK24" s="5666"/>
      <c r="AL24" s="5666"/>
      <c r="AM24" s="5666"/>
      <c r="AN24" s="5666"/>
      <c r="AO24" s="5666"/>
      <c r="AP24" s="5666"/>
      <c r="AQ24" s="5666"/>
      <c r="AR24" s="5666"/>
      <c r="AS24" s="5666"/>
      <c r="AT24" s="5666"/>
      <c r="AU24" s="5666"/>
      <c r="AV24" s="5666"/>
      <c r="AW24" s="5666"/>
      <c r="AX24" s="5666"/>
      <c r="AY24" s="5666"/>
      <c r="AZ24" s="5666"/>
      <c r="BA24" s="5666"/>
      <c r="BB24" s="5666"/>
      <c r="BC24" s="5666"/>
      <c r="BD24" s="5666"/>
      <c r="BE24" s="5666"/>
    </row>
    <row r="25" spans="2:63" ht="40.25" customHeight="1" thickBot="1">
      <c r="B25" s="4904"/>
      <c r="C25" s="4904"/>
      <c r="D25" s="4904"/>
      <c r="E25" s="4904"/>
      <c r="F25" s="4904"/>
      <c r="G25" s="4904"/>
      <c r="H25" s="4904"/>
      <c r="I25" s="4904"/>
      <c r="J25" s="4904"/>
      <c r="K25" s="4904"/>
      <c r="L25" s="4904"/>
      <c r="M25" s="4904"/>
      <c r="N25" s="4904"/>
      <c r="O25" s="4904"/>
      <c r="P25" s="4904"/>
      <c r="Q25" s="4904"/>
      <c r="AK25" s="5090"/>
      <c r="AL25" s="5090"/>
      <c r="AM25" s="5090"/>
      <c r="AN25" s="5090"/>
      <c r="AO25" s="5090"/>
      <c r="AP25" s="5090"/>
      <c r="AQ25" s="5090"/>
      <c r="AR25" s="5090"/>
      <c r="AS25" s="5090"/>
      <c r="AT25" s="5090"/>
      <c r="AU25" s="5090"/>
      <c r="AV25" s="5091"/>
      <c r="AW25" s="5091"/>
      <c r="AX25" s="5091"/>
      <c r="AY25" s="5091"/>
      <c r="AZ25" s="5091"/>
      <c r="BB25" s="5670" t="s">
        <v>822</v>
      </c>
      <c r="BC25" s="5671"/>
      <c r="BD25" s="5671"/>
      <c r="BE25" s="5671"/>
    </row>
    <row r="26" spans="2:63" ht="40.25" customHeight="1" thickBot="1">
      <c r="B26" s="5092"/>
      <c r="C26" s="5672">
        <v>2013</v>
      </c>
      <c r="D26" s="5673"/>
      <c r="E26" s="5673"/>
      <c r="F26" s="5673"/>
      <c r="G26" s="5674"/>
      <c r="H26" s="5672">
        <v>2014</v>
      </c>
      <c r="I26" s="5673"/>
      <c r="J26" s="5673"/>
      <c r="K26" s="5673"/>
      <c r="L26" s="5674"/>
      <c r="M26" s="5689">
        <v>2015</v>
      </c>
      <c r="N26" s="5690"/>
      <c r="O26" s="5690"/>
      <c r="P26" s="5690"/>
      <c r="Q26" s="5691"/>
      <c r="R26" s="5686">
        <v>2016</v>
      </c>
      <c r="S26" s="5687"/>
      <c r="T26" s="5687"/>
      <c r="U26" s="5687"/>
      <c r="V26" s="5688"/>
      <c r="W26" s="5689">
        <v>2017</v>
      </c>
      <c r="X26" s="5690"/>
      <c r="Y26" s="5690"/>
      <c r="Z26" s="5690"/>
      <c r="AA26" s="5691"/>
      <c r="AB26" s="5689" t="s">
        <v>787</v>
      </c>
      <c r="AC26" s="5690"/>
      <c r="AD26" s="5690"/>
      <c r="AE26" s="5690"/>
      <c r="AF26" s="5691"/>
      <c r="AG26" s="5672">
        <v>2019</v>
      </c>
      <c r="AH26" s="5673"/>
      <c r="AI26" s="5673"/>
      <c r="AJ26" s="5673"/>
      <c r="AK26" s="5674"/>
      <c r="AL26" s="5672">
        <v>2020</v>
      </c>
      <c r="AM26" s="5673"/>
      <c r="AN26" s="5673"/>
      <c r="AO26" s="5673"/>
      <c r="AP26" s="5674"/>
      <c r="AQ26" s="5672">
        <v>2021</v>
      </c>
      <c r="AR26" s="5673"/>
      <c r="AS26" s="5673"/>
      <c r="AT26" s="5673"/>
      <c r="AU26" s="5674"/>
      <c r="AV26" s="5672">
        <v>2022</v>
      </c>
      <c r="AW26" s="5673"/>
      <c r="AX26" s="5673"/>
      <c r="AY26" s="5673"/>
      <c r="AZ26" s="5674"/>
      <c r="BA26" s="4910"/>
      <c r="BB26" s="5679" t="s">
        <v>394</v>
      </c>
      <c r="BC26" s="5680"/>
      <c r="BD26" s="5680"/>
      <c r="BE26" s="5681"/>
      <c r="BF26" s="5672" t="s">
        <v>1959</v>
      </c>
      <c r="BG26" s="5673"/>
      <c r="BH26" s="5673"/>
      <c r="BI26" s="5673"/>
      <c r="BJ26" s="5674"/>
    </row>
    <row r="27" spans="2:63" ht="40.25" customHeight="1" thickBot="1">
      <c r="B27" s="5092"/>
      <c r="C27" s="4912" t="s">
        <v>595</v>
      </c>
      <c r="D27" s="4913" t="s">
        <v>596</v>
      </c>
      <c r="E27" s="4913" t="s">
        <v>597</v>
      </c>
      <c r="F27" s="4914" t="s">
        <v>598</v>
      </c>
      <c r="G27" s="4915" t="s">
        <v>412</v>
      </c>
      <c r="H27" s="4912" t="s">
        <v>595</v>
      </c>
      <c r="I27" s="4913" t="s">
        <v>596</v>
      </c>
      <c r="J27" s="4913" t="s">
        <v>597</v>
      </c>
      <c r="K27" s="4914" t="s">
        <v>598</v>
      </c>
      <c r="L27" s="4915" t="s">
        <v>412</v>
      </c>
      <c r="M27" s="4912" t="s">
        <v>595</v>
      </c>
      <c r="N27" s="4913" t="s">
        <v>596</v>
      </c>
      <c r="O27" s="4913" t="s">
        <v>597</v>
      </c>
      <c r="P27" s="4913" t="s">
        <v>598</v>
      </c>
      <c r="Q27" s="4920" t="s">
        <v>412</v>
      </c>
      <c r="R27" s="4917" t="s">
        <v>595</v>
      </c>
      <c r="S27" s="4918" t="s">
        <v>596</v>
      </c>
      <c r="T27" s="4918" t="s">
        <v>597</v>
      </c>
      <c r="U27" s="4918" t="s">
        <v>598</v>
      </c>
      <c r="V27" s="4919" t="s">
        <v>412</v>
      </c>
      <c r="W27" s="4916" t="str">
        <f>W5</f>
        <v>Qtr 1</v>
      </c>
      <c r="X27" s="4913" t="str">
        <f>X5</f>
        <v>Qtr 2</v>
      </c>
      <c r="Y27" s="4913" t="str">
        <f>Y5</f>
        <v>Qtr 3</v>
      </c>
      <c r="Z27" s="4913" t="str">
        <f>Z5</f>
        <v>Qtr 4</v>
      </c>
      <c r="AA27" s="4916" t="str">
        <f>AA5</f>
        <v>Total</v>
      </c>
      <c r="AB27" s="4912" t="s">
        <v>595</v>
      </c>
      <c r="AC27" s="4913" t="s">
        <v>596</v>
      </c>
      <c r="AD27" s="4913" t="s">
        <v>597</v>
      </c>
      <c r="AE27" s="4913" t="s">
        <v>598</v>
      </c>
      <c r="AF27" s="4920" t="s">
        <v>412</v>
      </c>
      <c r="AG27" s="4912" t="s">
        <v>595</v>
      </c>
      <c r="AH27" s="4913" t="s">
        <v>596</v>
      </c>
      <c r="AI27" s="4913" t="s">
        <v>597</v>
      </c>
      <c r="AJ27" s="4913" t="s">
        <v>598</v>
      </c>
      <c r="AK27" s="4920" t="s">
        <v>412</v>
      </c>
      <c r="AL27" s="5093" t="s">
        <v>595</v>
      </c>
      <c r="AM27" s="5094" t="s">
        <v>596</v>
      </c>
      <c r="AN27" s="5094" t="s">
        <v>597</v>
      </c>
      <c r="AO27" s="5094" t="s">
        <v>598</v>
      </c>
      <c r="AP27" s="5095" t="s">
        <v>412</v>
      </c>
      <c r="AQ27" s="5093" t="s">
        <v>595</v>
      </c>
      <c r="AR27" s="5094" t="s">
        <v>596</v>
      </c>
      <c r="AS27" s="5096" t="s">
        <v>597</v>
      </c>
      <c r="AT27" s="5094" t="s">
        <v>598</v>
      </c>
      <c r="AU27" s="5097" t="s">
        <v>412</v>
      </c>
      <c r="AV27" s="4912" t="s">
        <v>595</v>
      </c>
      <c r="AW27" s="4922" t="s">
        <v>596</v>
      </c>
      <c r="AX27" s="4922" t="s">
        <v>597</v>
      </c>
      <c r="AY27" s="4922" t="s">
        <v>598</v>
      </c>
      <c r="AZ27" s="4920" t="s">
        <v>412</v>
      </c>
      <c r="BA27" s="5098"/>
      <c r="BB27" s="5099">
        <v>2018</v>
      </c>
      <c r="BC27" s="5099">
        <v>2019</v>
      </c>
      <c r="BD27" s="4923" t="s">
        <v>597</v>
      </c>
      <c r="BE27" s="4924">
        <v>2020</v>
      </c>
      <c r="BF27" s="4912" t="s">
        <v>595</v>
      </c>
      <c r="BG27" s="4922" t="s">
        <v>596</v>
      </c>
      <c r="BH27" s="4922" t="s">
        <v>597</v>
      </c>
      <c r="BI27" s="4922" t="s">
        <v>598</v>
      </c>
      <c r="BJ27" s="4920" t="s">
        <v>412</v>
      </c>
    </row>
    <row r="28" spans="2:63" ht="45" hidden="1" customHeight="1">
      <c r="B28" s="4927"/>
      <c r="C28" s="4989"/>
      <c r="D28" s="4990"/>
      <c r="E28" s="4990"/>
      <c r="F28" s="4991"/>
      <c r="G28" s="5014"/>
      <c r="H28" s="4989"/>
      <c r="I28" s="4990"/>
      <c r="J28" s="4990"/>
      <c r="K28" s="4991"/>
      <c r="L28" s="5014"/>
      <c r="M28" s="4989"/>
      <c r="N28" s="4990"/>
      <c r="O28" s="4990"/>
      <c r="P28" s="4990"/>
      <c r="Q28" s="4973"/>
      <c r="R28" s="4936"/>
      <c r="S28" s="4937"/>
      <c r="T28" s="4937"/>
      <c r="U28" s="4937"/>
      <c r="V28" s="5100"/>
      <c r="W28" s="4936"/>
      <c r="X28" s="4937"/>
      <c r="Y28" s="4937"/>
      <c r="Z28" s="4937"/>
      <c r="AA28" s="5101"/>
      <c r="AB28" s="4936"/>
      <c r="AC28" s="4937"/>
      <c r="AD28" s="4937"/>
      <c r="AE28" s="4937"/>
      <c r="AF28" s="4938"/>
      <c r="AG28" s="4939"/>
      <c r="AH28" s="4940"/>
      <c r="AI28" s="4940"/>
      <c r="AJ28" s="4940"/>
      <c r="AK28" s="5102"/>
      <c r="AL28" s="4910"/>
      <c r="AM28" s="4910"/>
      <c r="AN28" s="4910"/>
      <c r="AO28" s="4910"/>
      <c r="AP28" s="5102"/>
      <c r="AQ28" s="5103"/>
      <c r="AR28" s="5104"/>
      <c r="AS28" s="4910"/>
      <c r="AT28" s="4910"/>
      <c r="AU28" s="5102"/>
      <c r="AV28" s="5103"/>
      <c r="AW28" s="5104"/>
      <c r="AX28" s="4910"/>
      <c r="AY28" s="4910"/>
      <c r="AZ28" s="5102"/>
      <c r="BA28" s="4910"/>
      <c r="BB28" s="5105"/>
      <c r="BC28" s="4943"/>
      <c r="BD28" s="4943"/>
      <c r="BE28" s="4944"/>
    </row>
    <row r="29" spans="2:63" s="4906" customFormat="1" ht="40.25" customHeight="1">
      <c r="B29" s="4947" t="s">
        <v>776</v>
      </c>
      <c r="C29" s="5042">
        <v>5.31</v>
      </c>
      <c r="D29" s="5043">
        <v>6.2</v>
      </c>
      <c r="E29" s="5043">
        <v>4.72</v>
      </c>
      <c r="F29" s="5106">
        <v>5.74</v>
      </c>
      <c r="G29" s="5107">
        <f>SUM(C29:F29)</f>
        <v>21.97</v>
      </c>
      <c r="H29" s="5042">
        <v>4.32</v>
      </c>
      <c r="I29" s="5046">
        <v>4.99</v>
      </c>
      <c r="J29" s="5046">
        <v>3.19</v>
      </c>
      <c r="K29" s="5044">
        <v>3.66</v>
      </c>
      <c r="L29" s="4951">
        <f>SUM(H29:K29)</f>
        <v>16.16</v>
      </c>
      <c r="M29" s="5045">
        <v>5.19</v>
      </c>
      <c r="N29" s="5046">
        <v>3.68</v>
      </c>
      <c r="O29" s="5046">
        <v>2.87</v>
      </c>
      <c r="P29" s="5046">
        <v>3.51</v>
      </c>
      <c r="Q29" s="5108">
        <f>SUM(M29:P29)</f>
        <v>15.250000000000002</v>
      </c>
      <c r="R29" s="5109">
        <v>3.5221400000000003</v>
      </c>
      <c r="S29" s="5110">
        <v>3.74</v>
      </c>
      <c r="T29" s="5110">
        <v>4.4980000000000002</v>
      </c>
      <c r="U29" s="5110">
        <v>1.099</v>
      </c>
      <c r="V29" s="5111">
        <f>SUM(R29:U29)</f>
        <v>12.85914</v>
      </c>
      <c r="W29" s="5109">
        <v>1.129</v>
      </c>
      <c r="X29" s="5110">
        <v>3.9911340000000002</v>
      </c>
      <c r="Y29" s="5110">
        <v>4.62</v>
      </c>
      <c r="Z29" s="5110">
        <v>4.8099999999999996</v>
      </c>
      <c r="AA29" s="5111">
        <f>+W29+X29+Y29+Z29</f>
        <v>14.550134</v>
      </c>
      <c r="AB29" s="5109">
        <v>4.231452</v>
      </c>
      <c r="AC29" s="5110">
        <v>4.7725759999999999</v>
      </c>
      <c r="AD29" s="5110">
        <v>5.7537630000000002</v>
      </c>
      <c r="AE29" s="5110">
        <v>2.9740000000000002</v>
      </c>
      <c r="AF29" s="5111">
        <f t="shared" ref="AF29:AF37" si="17">+SUM(AB29:AE29)</f>
        <v>17.731791000000001</v>
      </c>
      <c r="AG29" s="5045">
        <v>1.8551979999999999</v>
      </c>
      <c r="AH29" s="5046">
        <v>4.4080000000000004</v>
      </c>
      <c r="AI29" s="5046">
        <v>3.1143190000000001</v>
      </c>
      <c r="AJ29" s="5046">
        <v>3.6703999999999999</v>
      </c>
      <c r="AK29" s="5111">
        <f t="shared" ref="AK29:AK40" si="18">+SUM(AG29:AJ29)</f>
        <v>13.047917000000002</v>
      </c>
      <c r="AL29" s="5026">
        <v>2.867</v>
      </c>
      <c r="AM29" s="5112">
        <v>3.8935499999999998</v>
      </c>
      <c r="AN29" s="5113">
        <v>1.6186499999999999</v>
      </c>
      <c r="AO29" s="5026">
        <v>1.0451539999999999</v>
      </c>
      <c r="AP29" s="4965">
        <f>+SUM(AL29:AO29)</f>
        <v>9.424354000000001</v>
      </c>
      <c r="AQ29" s="5045">
        <v>1.5991255800000002</v>
      </c>
      <c r="AR29" s="5046">
        <v>1.43157</v>
      </c>
      <c r="AS29" s="5046">
        <v>1.82124E-3</v>
      </c>
      <c r="AT29" s="5046">
        <v>9.6374999999999998E-4</v>
      </c>
      <c r="AU29" s="4973">
        <f>+SUM(AQ29:AT29)</f>
        <v>3.03348057</v>
      </c>
      <c r="AV29" s="5045">
        <v>2.7282299999999999E-3</v>
      </c>
      <c r="AW29" s="5046">
        <v>0.38932860999999996</v>
      </c>
      <c r="AX29" s="5046">
        <v>0.46640034000000002</v>
      </c>
      <c r="AY29" s="5046">
        <v>9.4695719999999997E-2</v>
      </c>
      <c r="AZ29" s="4973">
        <f>SUM(AV29:AY29)</f>
        <v>0.95315290000000008</v>
      </c>
      <c r="BA29" s="5026"/>
      <c r="BB29" s="5114">
        <f>+SUM(AB29:AC29)</f>
        <v>9.0040279999999999</v>
      </c>
      <c r="BC29" s="4974">
        <f>+SUM(AG29:AH29)</f>
        <v>6.263198</v>
      </c>
      <c r="BD29" s="4975"/>
      <c r="BE29" s="4976">
        <f>+SUM(AL29:AM29)</f>
        <v>6.7605500000000003</v>
      </c>
      <c r="BF29" s="4986">
        <v>0.01</v>
      </c>
      <c r="BG29" s="4978">
        <v>0.01</v>
      </c>
      <c r="BH29" s="4979">
        <v>0.01</v>
      </c>
      <c r="BI29" s="5115">
        <v>5.7710000000000001E-3</v>
      </c>
      <c r="BJ29" s="5116">
        <f>SUM(BF29:BI29)</f>
        <v>3.5770999999999997E-2</v>
      </c>
    </row>
    <row r="30" spans="2:63" s="4906" customFormat="1" ht="40.25" customHeight="1">
      <c r="B30" s="4947" t="s">
        <v>599</v>
      </c>
      <c r="C30" s="5117">
        <f t="shared" ref="C30:K30" si="19">+C31+C32+C33+C34</f>
        <v>0.34769800000000001</v>
      </c>
      <c r="D30" s="5118">
        <f t="shared" si="19"/>
        <v>0.20700000000000002</v>
      </c>
      <c r="E30" s="5118">
        <f t="shared" si="19"/>
        <v>0.33</v>
      </c>
      <c r="F30" s="5119">
        <f t="shared" si="19"/>
        <v>0.47200000000000003</v>
      </c>
      <c r="G30" s="5120">
        <f t="shared" si="19"/>
        <v>1.356698</v>
      </c>
      <c r="H30" s="5117">
        <f t="shared" si="19"/>
        <v>0.496</v>
      </c>
      <c r="I30" s="4949">
        <f t="shared" si="19"/>
        <v>0.64700000000000002</v>
      </c>
      <c r="J30" s="4949">
        <f t="shared" si="19"/>
        <v>0.40400000000000003</v>
      </c>
      <c r="K30" s="4950">
        <f t="shared" si="19"/>
        <v>0</v>
      </c>
      <c r="L30" s="4981">
        <f>SUM(L31:L34)</f>
        <v>1.5470000000000002</v>
      </c>
      <c r="M30" s="4948">
        <f>+M31+M32+M33+M34</f>
        <v>1.0719999999999998</v>
      </c>
      <c r="N30" s="4949">
        <f>+N31+N32+N33+N34</f>
        <v>2.149</v>
      </c>
      <c r="O30" s="4949">
        <f>+O31+O32+O33+O34</f>
        <v>1.637</v>
      </c>
      <c r="P30" s="4949">
        <f>+P31+P32+P33+P34</f>
        <v>2.242</v>
      </c>
      <c r="Q30" s="5108">
        <f>SUM(M30:P30)</f>
        <v>7.1000000000000005</v>
      </c>
      <c r="R30" s="5109">
        <f>+SUM(R31:R35)</f>
        <v>2.4165559999999999</v>
      </c>
      <c r="S30" s="5110">
        <f>+SUM(S31:S35)</f>
        <v>2.3956</v>
      </c>
      <c r="T30" s="5110">
        <f>+SUM(T31:T35)</f>
        <v>2.5100000000000002</v>
      </c>
      <c r="U30" s="5110">
        <f>+SUM(U31:U35)</f>
        <v>1.29</v>
      </c>
      <c r="V30" s="5121">
        <f>+SUM(V31:V35)</f>
        <v>8.6121560000000006</v>
      </c>
      <c r="W30" s="5122">
        <f>+SUM(W31:W39)</f>
        <v>0.622</v>
      </c>
      <c r="X30" s="5110">
        <f t="shared" ref="X30:AF30" si="20">+SUM(X31:X39)</f>
        <v>0.74399999999999999</v>
      </c>
      <c r="Y30" s="5110">
        <f t="shared" si="20"/>
        <v>0.80999999999999994</v>
      </c>
      <c r="Z30" s="5110">
        <f t="shared" si="20"/>
        <v>1.7303000000000002</v>
      </c>
      <c r="AA30" s="5123">
        <f t="shared" si="20"/>
        <v>3.8860000000000001</v>
      </c>
      <c r="AB30" s="5109">
        <v>1.7858890000000001</v>
      </c>
      <c r="AC30" s="5124">
        <v>1.6758949999999999</v>
      </c>
      <c r="AD30" s="5110">
        <v>1.0703419999999999</v>
      </c>
      <c r="AE30" s="5110">
        <v>0.98947399999999996</v>
      </c>
      <c r="AF30" s="5125">
        <f t="shared" si="20"/>
        <v>5.5112100000000002</v>
      </c>
      <c r="AG30" s="5122">
        <v>1.05</v>
      </c>
      <c r="AH30" s="5110">
        <v>1.297393</v>
      </c>
      <c r="AI30" s="5110">
        <v>1.3420000000000001</v>
      </c>
      <c r="AJ30" s="5110">
        <v>1.46899</v>
      </c>
      <c r="AK30" s="5111">
        <f t="shared" si="18"/>
        <v>5.1583830000000006</v>
      </c>
      <c r="AL30" s="5124">
        <v>1.915</v>
      </c>
      <c r="AM30" s="5110">
        <v>0.933087</v>
      </c>
      <c r="AN30" s="5123">
        <v>0.70725800000000005</v>
      </c>
      <c r="AO30" s="5123">
        <v>0.73387800000000003</v>
      </c>
      <c r="AP30" s="4965">
        <f t="shared" ref="AP30:AP41" si="21">+SUM(AL30:AO30)</f>
        <v>4.2892229999999998</v>
      </c>
      <c r="AQ30" s="5045">
        <v>1.09282737</v>
      </c>
      <c r="AR30" s="5046">
        <v>1.08566955</v>
      </c>
      <c r="AS30" s="5046">
        <v>0.39095299999999994</v>
      </c>
      <c r="AT30" s="5046">
        <v>0.55334035000000004</v>
      </c>
      <c r="AU30" s="4973">
        <f t="shared" ref="AU30:AU40" si="22">+SUM(AQ30:AT30)</f>
        <v>3.1227902699999999</v>
      </c>
      <c r="AV30" s="5045">
        <v>1.27448045</v>
      </c>
      <c r="AW30" s="5046">
        <v>1.2437160000000003</v>
      </c>
      <c r="AX30" s="5046">
        <v>0.82280019999999998</v>
      </c>
      <c r="AY30" s="5046">
        <v>1.0257774199999998</v>
      </c>
      <c r="AZ30" s="4973">
        <f t="shared" ref="AZ30:AZ40" si="23">SUM(AV30:AY30)</f>
        <v>4.36677407</v>
      </c>
      <c r="BA30" s="5026"/>
      <c r="BB30" s="5114">
        <f t="shared" ref="BB30:BB41" si="24">+SUM(AB30:AC30)</f>
        <v>3.4617839999999998</v>
      </c>
      <c r="BC30" s="4974">
        <f t="shared" ref="BC30:BC41" si="25">+SUM(AG30:AH30)</f>
        <v>2.3473930000000003</v>
      </c>
      <c r="BD30" s="4975"/>
      <c r="BE30" s="4976">
        <f t="shared" ref="BE30:BE41" si="26">+SUM(AL30:AM30)</f>
        <v>2.848087</v>
      </c>
      <c r="BF30" s="4986">
        <v>1.0900000000000001</v>
      </c>
      <c r="BG30" s="4978">
        <v>0.96</v>
      </c>
      <c r="BH30" s="4979">
        <v>0.2</v>
      </c>
      <c r="BI30" s="5115">
        <v>0.58396499999999996</v>
      </c>
      <c r="BJ30" s="5116">
        <f t="shared" ref="BJ30:BJ40" si="27">SUM(BF30:BI30)</f>
        <v>2.8339650000000001</v>
      </c>
    </row>
    <row r="31" spans="2:63" ht="40.25" customHeight="1">
      <c r="B31" s="4988" t="str">
        <f>B9</f>
        <v>of which: Trinidad &amp; Tobago</v>
      </c>
      <c r="C31" s="4928">
        <v>0.13069800000000001</v>
      </c>
      <c r="D31" s="4929">
        <v>0</v>
      </c>
      <c r="E31" s="4929">
        <v>7.1999999999999995E-2</v>
      </c>
      <c r="F31" s="4930">
        <v>0.13</v>
      </c>
      <c r="G31" s="5126">
        <f>SUM(C31:F31)</f>
        <v>0.33269799999999999</v>
      </c>
      <c r="H31" s="4928">
        <v>0.20300000000000001</v>
      </c>
      <c r="I31" s="4990">
        <v>0.30399999999999999</v>
      </c>
      <c r="J31" s="4990">
        <v>2.8000000000000001E-2</v>
      </c>
      <c r="K31" s="4991">
        <v>0</v>
      </c>
      <c r="L31" s="4992">
        <f>SUM(H31:K31)</f>
        <v>0.53500000000000003</v>
      </c>
      <c r="M31" s="4989">
        <v>0.72599999999999998</v>
      </c>
      <c r="N31" s="4990">
        <v>1.677</v>
      </c>
      <c r="O31" s="4990">
        <v>1.1180000000000001</v>
      </c>
      <c r="P31" s="4990">
        <v>1.569</v>
      </c>
      <c r="Q31" s="4973">
        <f>SUM(M31:P31)</f>
        <v>5.09</v>
      </c>
      <c r="R31" s="5127">
        <v>1.552556</v>
      </c>
      <c r="S31" s="5128">
        <v>1.6146</v>
      </c>
      <c r="T31" s="5128">
        <v>1.82</v>
      </c>
      <c r="U31" s="5128">
        <v>0.6</v>
      </c>
      <c r="V31" s="5111">
        <f>+SUM(R31:U31)</f>
        <v>5.5871560000000002</v>
      </c>
      <c r="W31" s="5127">
        <v>0</v>
      </c>
      <c r="X31" s="5128">
        <v>0.01</v>
      </c>
      <c r="Y31" s="5128">
        <v>0.18</v>
      </c>
      <c r="Z31" s="5128">
        <v>0.44</v>
      </c>
      <c r="AA31" s="5111">
        <f>SUM(W31:Z31)</f>
        <v>0.63</v>
      </c>
      <c r="AB31" s="5127">
        <v>0.44950000000000001</v>
      </c>
      <c r="AC31" s="5128">
        <v>0.34510000000000002</v>
      </c>
      <c r="AD31" s="5128">
        <v>1.3050000000000001E-2</v>
      </c>
      <c r="AE31" s="5128">
        <v>0</v>
      </c>
      <c r="AF31" s="5111">
        <f t="shared" si="17"/>
        <v>0.80764999999999998</v>
      </c>
      <c r="AG31" s="4989">
        <v>0</v>
      </c>
      <c r="AH31" s="4990">
        <v>0.311025</v>
      </c>
      <c r="AI31" s="4990">
        <v>0.28275</v>
      </c>
      <c r="AJ31" s="4990">
        <v>0.4526</v>
      </c>
      <c r="AK31" s="5111">
        <f t="shared" si="18"/>
        <v>1.0463749999999998</v>
      </c>
      <c r="AL31" s="5086">
        <v>0.92730000000000001</v>
      </c>
      <c r="AM31" s="4990">
        <v>0.12482500000000001</v>
      </c>
      <c r="AN31" s="5129">
        <v>0</v>
      </c>
      <c r="AO31" s="5129">
        <v>3.39E-2</v>
      </c>
      <c r="AP31" s="4965">
        <f t="shared" si="21"/>
        <v>1.086025</v>
      </c>
      <c r="AQ31" s="4989">
        <v>0.28539240000000005</v>
      </c>
      <c r="AR31" s="4990">
        <v>0.28476255</v>
      </c>
      <c r="AS31" s="4990">
        <v>2.9399999999999999E-2</v>
      </c>
      <c r="AT31" s="4990">
        <v>4.3400000000000001E-2</v>
      </c>
      <c r="AU31" s="4973">
        <f t="shared" si="22"/>
        <v>0.64295495000000003</v>
      </c>
      <c r="AV31" s="4989">
        <v>0.3569</v>
      </c>
      <c r="AW31" s="4990">
        <v>0.29730000000000001</v>
      </c>
      <c r="AX31" s="4990">
        <v>0</v>
      </c>
      <c r="AY31" s="4990">
        <v>0</v>
      </c>
      <c r="AZ31" s="4973">
        <f t="shared" si="23"/>
        <v>0.6542</v>
      </c>
      <c r="BA31" s="5026"/>
      <c r="BB31" s="5130">
        <f t="shared" si="24"/>
        <v>0.79459999999999997</v>
      </c>
      <c r="BC31" s="5004">
        <f t="shared" si="25"/>
        <v>0.311025</v>
      </c>
      <c r="BD31" s="5005"/>
      <c r="BE31" s="5006">
        <f t="shared" si="26"/>
        <v>1.052125</v>
      </c>
      <c r="BF31" s="5003">
        <v>0.26</v>
      </c>
      <c r="BG31" s="5007">
        <v>0.16</v>
      </c>
      <c r="BH31" s="5008">
        <v>0</v>
      </c>
      <c r="BI31" s="5131">
        <v>2.52E-2</v>
      </c>
      <c r="BJ31" s="5116">
        <f t="shared" si="27"/>
        <v>0.44520000000000004</v>
      </c>
    </row>
    <row r="32" spans="2:63" ht="40.25" customHeight="1">
      <c r="B32" s="5009" t="s">
        <v>600</v>
      </c>
      <c r="C32" s="4928">
        <v>0.21099999999999999</v>
      </c>
      <c r="D32" s="4929">
        <v>0.19700000000000001</v>
      </c>
      <c r="E32" s="4929">
        <v>0.25800000000000001</v>
      </c>
      <c r="F32" s="4930">
        <v>0.34</v>
      </c>
      <c r="G32" s="5126">
        <f>SUM(C32:F32)</f>
        <v>1.006</v>
      </c>
      <c r="H32" s="4928">
        <v>0.29299999999999998</v>
      </c>
      <c r="I32" s="4990">
        <v>0.34300000000000003</v>
      </c>
      <c r="J32" s="4990">
        <v>0.376</v>
      </c>
      <c r="K32" s="4991">
        <v>0</v>
      </c>
      <c r="L32" s="4992">
        <f>SUM(H32:K32)</f>
        <v>1.012</v>
      </c>
      <c r="M32" s="4989">
        <v>0.32500000000000001</v>
      </c>
      <c r="N32" s="4990">
        <v>0.32500000000000001</v>
      </c>
      <c r="O32" s="4990">
        <v>0.32700000000000001</v>
      </c>
      <c r="P32" s="4990">
        <v>0.40500000000000003</v>
      </c>
      <c r="Q32" s="4973">
        <f>SUM(M32:P32)</f>
        <v>1.3820000000000001</v>
      </c>
      <c r="R32" s="5127">
        <v>0.32400000000000001</v>
      </c>
      <c r="S32" s="5128">
        <v>0.35099999999999998</v>
      </c>
      <c r="T32" s="5128">
        <v>0.36</v>
      </c>
      <c r="U32" s="5128">
        <v>0.35</v>
      </c>
      <c r="V32" s="5111">
        <f>+SUM(R32:U32)</f>
        <v>1.3850000000000002</v>
      </c>
      <c r="W32" s="5127">
        <v>0.34699999999999998</v>
      </c>
      <c r="X32" s="5128">
        <v>0.38500000000000001</v>
      </c>
      <c r="Y32" s="5128">
        <v>0.24</v>
      </c>
      <c r="Z32" s="5128">
        <v>0.37</v>
      </c>
      <c r="AA32" s="5111">
        <f>SUM(W32:Z32)</f>
        <v>1.3420000000000001</v>
      </c>
      <c r="AB32" s="5127">
        <v>0.40152900000000002</v>
      </c>
      <c r="AC32" s="5128">
        <v>0.40614400000000001</v>
      </c>
      <c r="AD32" s="5128">
        <v>0.40695300000000001</v>
      </c>
      <c r="AE32" s="5128">
        <v>0.330457</v>
      </c>
      <c r="AF32" s="5111">
        <f t="shared" si="17"/>
        <v>1.545083</v>
      </c>
      <c r="AG32" s="4989">
        <v>0.33919899999999997</v>
      </c>
      <c r="AH32" s="4990">
        <v>0.35899799999999998</v>
      </c>
      <c r="AI32" s="4990">
        <v>0.354883</v>
      </c>
      <c r="AJ32" s="4990">
        <v>0.31855499999999998</v>
      </c>
      <c r="AK32" s="5111">
        <f t="shared" si="18"/>
        <v>1.3716349999999999</v>
      </c>
      <c r="AL32" s="5086">
        <v>0.25031900000000001</v>
      </c>
      <c r="AM32" s="4990">
        <v>0.14272000000000001</v>
      </c>
      <c r="AN32" s="5129">
        <v>9.1179999999999997E-2</v>
      </c>
      <c r="AO32" s="5129">
        <v>0.14008999999999999</v>
      </c>
      <c r="AP32" s="4965">
        <f t="shared" si="21"/>
        <v>0.624309</v>
      </c>
      <c r="AQ32" s="4989">
        <v>0.19173999999999999</v>
      </c>
      <c r="AR32" s="4990">
        <v>0.19162000000000001</v>
      </c>
      <c r="AS32" s="4990">
        <v>0</v>
      </c>
      <c r="AT32" s="4990">
        <v>5.3670000000000002E-2</v>
      </c>
      <c r="AU32" s="4973">
        <f t="shared" si="22"/>
        <v>0.43703000000000003</v>
      </c>
      <c r="AV32" s="4989">
        <v>0.33032545000000002</v>
      </c>
      <c r="AW32" s="4990">
        <v>0.33422852000000003</v>
      </c>
      <c r="AX32" s="4990">
        <v>0.154</v>
      </c>
      <c r="AY32" s="4990">
        <v>0.313</v>
      </c>
      <c r="AZ32" s="4973">
        <f t="shared" si="23"/>
        <v>1.1315539700000001</v>
      </c>
      <c r="BA32" s="5026"/>
      <c r="BB32" s="5130">
        <f t="shared" si="24"/>
        <v>0.80767300000000009</v>
      </c>
      <c r="BC32" s="5004">
        <f t="shared" si="25"/>
        <v>0.69819699999999996</v>
      </c>
      <c r="BD32" s="5005"/>
      <c r="BE32" s="5006">
        <f t="shared" si="26"/>
        <v>0.39303900000000003</v>
      </c>
      <c r="BF32" s="5003">
        <v>0.19</v>
      </c>
      <c r="BG32" s="5007">
        <v>0.21</v>
      </c>
      <c r="BH32" s="5008">
        <v>1.4999999999999999E-4</v>
      </c>
      <c r="BI32" s="5131">
        <v>8.3499999999999998E-3</v>
      </c>
      <c r="BJ32" s="5116">
        <f t="shared" si="27"/>
        <v>0.40850000000000003</v>
      </c>
    </row>
    <row r="33" spans="2:62" ht="45.75" customHeight="1">
      <c r="B33" s="5009" t="s">
        <v>601</v>
      </c>
      <c r="C33" s="4928">
        <v>0</v>
      </c>
      <c r="D33" s="4929">
        <v>0</v>
      </c>
      <c r="E33" s="4929">
        <v>0</v>
      </c>
      <c r="F33" s="4930">
        <v>2E-3</v>
      </c>
      <c r="G33" s="4931">
        <f>SUM(C33:F33)</f>
        <v>2E-3</v>
      </c>
      <c r="H33" s="4928">
        <v>0</v>
      </c>
      <c r="I33" s="4990">
        <v>0</v>
      </c>
      <c r="J33" s="4990">
        <v>0</v>
      </c>
      <c r="K33" s="4991">
        <v>0</v>
      </c>
      <c r="L33" s="5014">
        <f>SUM(H33:K33)</f>
        <v>0</v>
      </c>
      <c r="M33" s="4989">
        <v>2.1000000000000001E-2</v>
      </c>
      <c r="N33" s="4990">
        <v>0.14699999999999999</v>
      </c>
      <c r="O33" s="4990">
        <v>0.192</v>
      </c>
      <c r="P33" s="4990">
        <v>0.26800000000000002</v>
      </c>
      <c r="Q33" s="4973">
        <f>SUM(M33:P33)</f>
        <v>0.628</v>
      </c>
      <c r="R33" s="5127">
        <v>0.47</v>
      </c>
      <c r="S33" s="5128">
        <v>0.41</v>
      </c>
      <c r="T33" s="5128">
        <v>0.33</v>
      </c>
      <c r="U33" s="5128">
        <v>0.34</v>
      </c>
      <c r="V33" s="5121">
        <f>+SUM(R33:U33)</f>
        <v>1.55</v>
      </c>
      <c r="W33" s="5127">
        <v>0.27500000000000002</v>
      </c>
      <c r="X33" s="5128">
        <v>0.32900000000000001</v>
      </c>
      <c r="Y33" s="5128">
        <v>0.31</v>
      </c>
      <c r="Z33" s="5128">
        <v>0.77</v>
      </c>
      <c r="AA33" s="5111">
        <f>SUM(W33:Z33)</f>
        <v>1.6840000000000002</v>
      </c>
      <c r="AB33" s="5127">
        <v>0.76346999999999998</v>
      </c>
      <c r="AC33" s="5128">
        <v>0.80667599999999995</v>
      </c>
      <c r="AD33" s="5128">
        <v>0.541964</v>
      </c>
      <c r="AE33" s="5128">
        <v>0.55076700000000001</v>
      </c>
      <c r="AF33" s="5111">
        <f t="shared" si="17"/>
        <v>2.6628769999999999</v>
      </c>
      <c r="AG33" s="4989">
        <v>0.62641999999999998</v>
      </c>
      <c r="AH33" s="4990">
        <v>0.51387000000000005</v>
      </c>
      <c r="AI33" s="4990">
        <v>0.56893400000000005</v>
      </c>
      <c r="AJ33" s="4990">
        <v>0.576376</v>
      </c>
      <c r="AK33" s="5111">
        <f t="shared" si="18"/>
        <v>2.2856000000000001</v>
      </c>
      <c r="AL33" s="5086">
        <v>0.56573799999999996</v>
      </c>
      <c r="AM33" s="4990">
        <v>0.54326200000000002</v>
      </c>
      <c r="AN33" s="5129">
        <v>0.480323</v>
      </c>
      <c r="AO33" s="5129">
        <v>0.42897200000000002</v>
      </c>
      <c r="AP33" s="4965">
        <f t="shared" si="21"/>
        <v>2.0182950000000002</v>
      </c>
      <c r="AQ33" s="4989">
        <v>0.486288</v>
      </c>
      <c r="AR33" s="4990">
        <v>0.484182</v>
      </c>
      <c r="AS33" s="4990">
        <v>0.29204999999999998</v>
      </c>
      <c r="AT33" s="4990">
        <v>0.34906999999999999</v>
      </c>
      <c r="AU33" s="4973">
        <f t="shared" si="22"/>
        <v>1.6115899999999999</v>
      </c>
      <c r="AV33" s="4989">
        <v>0.48194999999999999</v>
      </c>
      <c r="AW33" s="4990">
        <v>0.51921399999999995</v>
      </c>
      <c r="AX33" s="4990">
        <v>0.17507</v>
      </c>
      <c r="AY33" s="4990">
        <v>0.22393042000000002</v>
      </c>
      <c r="AZ33" s="4973">
        <f t="shared" si="23"/>
        <v>1.4001644200000001</v>
      </c>
      <c r="BA33" s="5026"/>
      <c r="BB33" s="5130">
        <f t="shared" si="24"/>
        <v>1.5701459999999998</v>
      </c>
      <c r="BC33" s="5004">
        <f t="shared" si="25"/>
        <v>1.14029</v>
      </c>
      <c r="BD33" s="5005"/>
      <c r="BE33" s="5006">
        <f t="shared" si="26"/>
        <v>1.109</v>
      </c>
      <c r="BF33" s="5003">
        <v>0.59</v>
      </c>
      <c r="BG33" s="5007">
        <v>0.54</v>
      </c>
      <c r="BH33" s="5008">
        <v>0.18</v>
      </c>
      <c r="BI33" s="5131">
        <v>0.48449599999999998</v>
      </c>
      <c r="BJ33" s="5116">
        <f t="shared" si="27"/>
        <v>1.7944959999999999</v>
      </c>
    </row>
    <row r="34" spans="2:62" ht="40.25" customHeight="1">
      <c r="B34" s="5009" t="s">
        <v>602</v>
      </c>
      <c r="C34" s="4928">
        <v>6.0000000000000001E-3</v>
      </c>
      <c r="D34" s="4929">
        <v>0.01</v>
      </c>
      <c r="E34" s="4929">
        <v>0</v>
      </c>
      <c r="F34" s="4930">
        <v>0</v>
      </c>
      <c r="G34" s="4931">
        <f>SUM(C34:F34)</f>
        <v>1.6E-2</v>
      </c>
      <c r="H34" s="4928">
        <v>0</v>
      </c>
      <c r="I34" s="4990">
        <v>0</v>
      </c>
      <c r="J34" s="4990">
        <v>0</v>
      </c>
      <c r="K34" s="4991">
        <v>0</v>
      </c>
      <c r="L34" s="5014">
        <f>SUM(H34:K34)</f>
        <v>0</v>
      </c>
      <c r="M34" s="4989">
        <v>0</v>
      </c>
      <c r="N34" s="4990">
        <v>0</v>
      </c>
      <c r="O34" s="4990">
        <v>0</v>
      </c>
      <c r="P34" s="4990">
        <v>0</v>
      </c>
      <c r="Q34" s="5108">
        <v>0</v>
      </c>
      <c r="R34" s="5127">
        <v>0</v>
      </c>
      <c r="S34" s="5128">
        <v>0</v>
      </c>
      <c r="T34" s="5128">
        <v>0</v>
      </c>
      <c r="U34" s="5128">
        <v>0</v>
      </c>
      <c r="V34" s="5121">
        <v>0</v>
      </c>
      <c r="W34" s="5127">
        <v>0</v>
      </c>
      <c r="X34" s="5128">
        <v>0</v>
      </c>
      <c r="Y34" s="5128">
        <v>0</v>
      </c>
      <c r="Z34" s="5128">
        <v>0.08</v>
      </c>
      <c r="AA34" s="5111">
        <f>SUM(W34:Z34)</f>
        <v>0.08</v>
      </c>
      <c r="AB34" s="5127">
        <v>9.2200000000000004E-2</v>
      </c>
      <c r="AC34" s="5128">
        <v>0.10677499999999999</v>
      </c>
      <c r="AD34" s="5128">
        <v>0.108375</v>
      </c>
      <c r="AE34" s="5128">
        <v>0.10825</v>
      </c>
      <c r="AF34" s="5111">
        <f t="shared" si="17"/>
        <v>0.41560000000000002</v>
      </c>
      <c r="AG34" s="4989">
        <v>8.3125000000000004E-2</v>
      </c>
      <c r="AH34" s="4990">
        <v>0.1135</v>
      </c>
      <c r="AI34" s="4990">
        <v>0.12895000000000001</v>
      </c>
      <c r="AJ34" s="4990">
        <v>0.12088500000000001</v>
      </c>
      <c r="AK34" s="5111">
        <f t="shared" si="18"/>
        <v>0.44646000000000002</v>
      </c>
      <c r="AL34" s="5086">
        <v>0.17097000000000001</v>
      </c>
      <c r="AM34" s="4990">
        <v>0.12225</v>
      </c>
      <c r="AN34" s="5129">
        <v>0.12589600000000001</v>
      </c>
      <c r="AO34" s="5129">
        <v>0.13091</v>
      </c>
      <c r="AP34" s="4965">
        <f t="shared" si="21"/>
        <v>0.55002600000000001</v>
      </c>
      <c r="AQ34" s="4989">
        <v>0.124375</v>
      </c>
      <c r="AR34" s="4990">
        <v>0.109375</v>
      </c>
      <c r="AS34" s="4990">
        <v>6.9502999999999995E-2</v>
      </c>
      <c r="AT34" s="4990">
        <v>0.10312499999999999</v>
      </c>
      <c r="AU34" s="4973">
        <f t="shared" si="22"/>
        <v>0.40637800000000002</v>
      </c>
      <c r="AV34" s="4989">
        <v>0.10425</v>
      </c>
      <c r="AW34" s="4990">
        <v>9.2963480000000001E-2</v>
      </c>
      <c r="AX34" s="4990">
        <v>0.45066600000000001</v>
      </c>
      <c r="AY34" s="4990">
        <v>0.47509699999999999</v>
      </c>
      <c r="AZ34" s="4973">
        <f t="shared" si="23"/>
        <v>1.1229764800000002</v>
      </c>
      <c r="BA34" s="5026"/>
      <c r="BB34" s="5130">
        <f t="shared" si="24"/>
        <v>0.19897500000000001</v>
      </c>
      <c r="BC34" s="5004">
        <f t="shared" si="25"/>
        <v>0.19662499999999999</v>
      </c>
      <c r="BD34" s="5005"/>
      <c r="BE34" s="5006">
        <f t="shared" si="26"/>
        <v>0.29322000000000004</v>
      </c>
      <c r="BF34" s="5003">
        <v>0.06</v>
      </c>
      <c r="BG34" s="5007">
        <v>0.04</v>
      </c>
      <c r="BH34" s="5008">
        <v>0.02</v>
      </c>
      <c r="BI34" s="5131">
        <v>3.2840000000000001E-2</v>
      </c>
      <c r="BJ34" s="5116">
        <f t="shared" si="27"/>
        <v>0.15284</v>
      </c>
    </row>
    <row r="35" spans="2:62" ht="40.25" customHeight="1">
      <c r="B35" s="5009" t="s">
        <v>707</v>
      </c>
      <c r="C35" s="4928"/>
      <c r="D35" s="4929"/>
      <c r="E35" s="4929"/>
      <c r="F35" s="4930"/>
      <c r="G35" s="4931"/>
      <c r="H35" s="4928"/>
      <c r="I35" s="4990"/>
      <c r="J35" s="4990"/>
      <c r="K35" s="4991"/>
      <c r="L35" s="5014"/>
      <c r="M35" s="4989">
        <v>0</v>
      </c>
      <c r="N35" s="4990">
        <v>0</v>
      </c>
      <c r="O35" s="4990">
        <v>0</v>
      </c>
      <c r="P35" s="4990">
        <v>0</v>
      </c>
      <c r="Q35" s="4973">
        <v>0</v>
      </c>
      <c r="R35" s="5127">
        <v>7.0000000000000007E-2</v>
      </c>
      <c r="S35" s="5128">
        <v>0.02</v>
      </c>
      <c r="T35" s="5128">
        <v>0</v>
      </c>
      <c r="U35" s="5128">
        <v>0</v>
      </c>
      <c r="V35" s="5121">
        <f>+SUM(R35:U35)</f>
        <v>9.0000000000000011E-2</v>
      </c>
      <c r="W35" s="5127">
        <v>0</v>
      </c>
      <c r="X35" s="5128">
        <v>0.02</v>
      </c>
      <c r="Y35" s="5128">
        <v>0.08</v>
      </c>
      <c r="Z35" s="5128">
        <v>0.05</v>
      </c>
      <c r="AA35" s="5111">
        <f>SUM(W35:Z35)</f>
        <v>0.15000000000000002</v>
      </c>
      <c r="AB35" s="5127">
        <v>0</v>
      </c>
      <c r="AC35" s="5128">
        <v>0</v>
      </c>
      <c r="AD35" s="5128">
        <v>0</v>
      </c>
      <c r="AE35" s="5128">
        <v>0</v>
      </c>
      <c r="AF35" s="5111">
        <f t="shared" si="17"/>
        <v>0</v>
      </c>
      <c r="AG35" s="4989">
        <v>0</v>
      </c>
      <c r="AH35" s="4990">
        <v>0</v>
      </c>
      <c r="AI35" s="4990">
        <v>0</v>
      </c>
      <c r="AJ35" s="4990">
        <v>0</v>
      </c>
      <c r="AK35" s="5111">
        <f t="shared" si="18"/>
        <v>0</v>
      </c>
      <c r="AL35" s="5086">
        <v>0</v>
      </c>
      <c r="AM35" s="4990">
        <v>0</v>
      </c>
      <c r="AN35" s="5129">
        <v>0</v>
      </c>
      <c r="AO35" s="5129">
        <v>0</v>
      </c>
      <c r="AP35" s="4965">
        <f t="shared" si="21"/>
        <v>0</v>
      </c>
      <c r="AQ35" s="4989">
        <v>3.5319699999999997E-3</v>
      </c>
      <c r="AR35" s="4990">
        <v>3.5319699999999997E-3</v>
      </c>
      <c r="AS35" s="4990">
        <v>3.5319699999999997E-3</v>
      </c>
      <c r="AT35" s="4990">
        <v>3.5319699999999997E-3</v>
      </c>
      <c r="AU35" s="4973">
        <f t="shared" si="22"/>
        <v>1.4127879999999999E-2</v>
      </c>
      <c r="AV35" s="4990">
        <v>4.3025000000000001E-2</v>
      </c>
      <c r="AW35" s="4990">
        <v>4.3025000000000001E-2</v>
      </c>
      <c r="AX35" s="4990">
        <v>4.3025000000000001E-2</v>
      </c>
      <c r="AY35" s="4990">
        <v>1.375E-2</v>
      </c>
      <c r="AZ35" s="4973">
        <f t="shared" si="23"/>
        <v>0.14282500000000001</v>
      </c>
      <c r="BA35" s="5026"/>
      <c r="BB35" s="5130">
        <f t="shared" si="24"/>
        <v>0</v>
      </c>
      <c r="BC35" s="5004">
        <f t="shared" si="25"/>
        <v>0</v>
      </c>
      <c r="BD35" s="5005"/>
      <c r="BE35" s="5006">
        <f t="shared" si="26"/>
        <v>0</v>
      </c>
      <c r="BF35" s="5003">
        <v>0</v>
      </c>
      <c r="BG35" s="5007">
        <v>0</v>
      </c>
      <c r="BH35" s="5008">
        <v>0</v>
      </c>
      <c r="BI35" s="5131">
        <v>0</v>
      </c>
      <c r="BJ35" s="5116">
        <f t="shared" si="27"/>
        <v>0</v>
      </c>
    </row>
    <row r="36" spans="2:62" ht="39.75" hidden="1" customHeight="1">
      <c r="B36" s="5009" t="s">
        <v>762</v>
      </c>
      <c r="C36" s="4928"/>
      <c r="D36" s="4929"/>
      <c r="E36" s="4929"/>
      <c r="F36" s="4930"/>
      <c r="G36" s="4931"/>
      <c r="H36" s="4928"/>
      <c r="I36" s="4990"/>
      <c r="J36" s="4990"/>
      <c r="K36" s="4991"/>
      <c r="L36" s="5014"/>
      <c r="M36" s="4989"/>
      <c r="N36" s="4990"/>
      <c r="O36" s="4990"/>
      <c r="P36" s="4990"/>
      <c r="Q36" s="4973"/>
      <c r="R36" s="5127">
        <v>0</v>
      </c>
      <c r="S36" s="5128">
        <v>0</v>
      </c>
      <c r="T36" s="5128">
        <v>0</v>
      </c>
      <c r="U36" s="5128">
        <v>0</v>
      </c>
      <c r="V36" s="5121">
        <f>+SUM(R36:U36)</f>
        <v>0</v>
      </c>
      <c r="W36" s="5127">
        <v>0</v>
      </c>
      <c r="X36" s="5128">
        <v>0</v>
      </c>
      <c r="Y36" s="5128">
        <v>0</v>
      </c>
      <c r="Z36" s="5128">
        <v>0</v>
      </c>
      <c r="AA36" s="5111">
        <v>0</v>
      </c>
      <c r="AB36" s="5127">
        <v>0</v>
      </c>
      <c r="AC36" s="5128">
        <v>0</v>
      </c>
      <c r="AD36" s="5128">
        <v>0</v>
      </c>
      <c r="AE36" s="5128">
        <v>0</v>
      </c>
      <c r="AF36" s="5111">
        <f t="shared" si="17"/>
        <v>0</v>
      </c>
      <c r="AG36" s="4989">
        <v>0</v>
      </c>
      <c r="AH36" s="4990">
        <v>0</v>
      </c>
      <c r="AI36" s="4990">
        <v>0</v>
      </c>
      <c r="AJ36" s="4990">
        <v>0</v>
      </c>
      <c r="AK36" s="5111">
        <f t="shared" si="18"/>
        <v>0</v>
      </c>
      <c r="AL36" s="5086">
        <v>0</v>
      </c>
      <c r="AM36" s="4990">
        <v>0</v>
      </c>
      <c r="AN36" s="5129">
        <v>0</v>
      </c>
      <c r="AO36" s="5129">
        <v>0</v>
      </c>
      <c r="AP36" s="4965">
        <f t="shared" si="21"/>
        <v>0</v>
      </c>
      <c r="AQ36" s="4989">
        <v>3.5319699999999997E-3</v>
      </c>
      <c r="AR36" s="4990">
        <v>3.5319699999999997E-3</v>
      </c>
      <c r="AS36" s="4990">
        <v>3.5319699999999997E-3</v>
      </c>
      <c r="AT36" s="4990">
        <v>3.5319699999999997E-3</v>
      </c>
      <c r="AU36" s="4973">
        <f t="shared" si="22"/>
        <v>1.4127879999999999E-2</v>
      </c>
      <c r="AV36" s="4989">
        <v>0</v>
      </c>
      <c r="AW36" s="4990">
        <v>0</v>
      </c>
      <c r="AX36" s="4990">
        <v>0</v>
      </c>
      <c r="AY36" s="4990">
        <v>0</v>
      </c>
      <c r="AZ36" s="4973">
        <f t="shared" si="23"/>
        <v>0</v>
      </c>
      <c r="BA36" s="5026"/>
      <c r="BB36" s="5130">
        <f t="shared" si="24"/>
        <v>0</v>
      </c>
      <c r="BC36" s="5004">
        <f t="shared" si="25"/>
        <v>0</v>
      </c>
      <c r="BD36" s="5005"/>
      <c r="BE36" s="5006">
        <f t="shared" si="26"/>
        <v>0</v>
      </c>
      <c r="BF36" s="5003">
        <v>0</v>
      </c>
      <c r="BG36" s="5007">
        <v>0</v>
      </c>
      <c r="BH36" s="5008">
        <v>0</v>
      </c>
      <c r="BI36" s="5131">
        <v>0</v>
      </c>
      <c r="BJ36" s="5116">
        <f t="shared" si="27"/>
        <v>0</v>
      </c>
    </row>
    <row r="37" spans="2:62" ht="37.5" hidden="1" customHeight="1">
      <c r="B37" s="5009" t="s">
        <v>765</v>
      </c>
      <c r="C37" s="4928"/>
      <c r="D37" s="4929"/>
      <c r="E37" s="4929"/>
      <c r="F37" s="4930"/>
      <c r="G37" s="4931"/>
      <c r="H37" s="4928"/>
      <c r="I37" s="4990"/>
      <c r="J37" s="4990"/>
      <c r="K37" s="4991"/>
      <c r="L37" s="5014"/>
      <c r="M37" s="4989"/>
      <c r="N37" s="4990"/>
      <c r="O37" s="4990"/>
      <c r="P37" s="4990"/>
      <c r="Q37" s="4973"/>
      <c r="R37" s="5127">
        <v>0</v>
      </c>
      <c r="S37" s="5128">
        <v>0</v>
      </c>
      <c r="T37" s="5128">
        <v>0</v>
      </c>
      <c r="U37" s="5128">
        <v>0</v>
      </c>
      <c r="V37" s="5121">
        <v>0</v>
      </c>
      <c r="W37" s="5127">
        <v>0</v>
      </c>
      <c r="X37" s="5128">
        <v>0</v>
      </c>
      <c r="Y37" s="5128">
        <v>0</v>
      </c>
      <c r="Z37" s="5128">
        <v>0.02</v>
      </c>
      <c r="AA37" s="5111">
        <v>0</v>
      </c>
      <c r="AB37" s="5127">
        <v>0.08</v>
      </c>
      <c r="AC37" s="5128">
        <v>0</v>
      </c>
      <c r="AD37" s="5128">
        <v>0</v>
      </c>
      <c r="AE37" s="5128">
        <v>0</v>
      </c>
      <c r="AF37" s="5111">
        <f t="shared" si="17"/>
        <v>0.08</v>
      </c>
      <c r="AG37" s="4989">
        <v>0</v>
      </c>
      <c r="AH37" s="4990">
        <v>0</v>
      </c>
      <c r="AI37" s="4990">
        <v>0</v>
      </c>
      <c r="AJ37" s="4990">
        <v>0</v>
      </c>
      <c r="AK37" s="5111">
        <f t="shared" si="18"/>
        <v>0</v>
      </c>
      <c r="AL37" s="5086">
        <v>0</v>
      </c>
      <c r="AM37" s="4990">
        <v>0</v>
      </c>
      <c r="AN37" s="5129">
        <v>0</v>
      </c>
      <c r="AO37" s="5129">
        <v>0</v>
      </c>
      <c r="AP37" s="4965">
        <f t="shared" si="21"/>
        <v>0</v>
      </c>
      <c r="AQ37" s="4989">
        <v>3.5319699999999997E-3</v>
      </c>
      <c r="AR37" s="4990">
        <v>3.5319699999999997E-3</v>
      </c>
      <c r="AS37" s="4990">
        <v>3.5319699999999997E-3</v>
      </c>
      <c r="AT37" s="4990">
        <v>4.0753500000000002E-3</v>
      </c>
      <c r="AU37" s="4973">
        <f t="shared" si="22"/>
        <v>1.467126E-2</v>
      </c>
      <c r="AV37" s="4989">
        <v>1.0300000000000001E-3</v>
      </c>
      <c r="AW37" s="4990">
        <v>1.0000000000000001E-5</v>
      </c>
      <c r="AX37" s="4990">
        <v>3.9200000000000004E-5</v>
      </c>
      <c r="AY37" s="4990">
        <v>3.9200000000000004E-5</v>
      </c>
      <c r="AZ37" s="4973">
        <f t="shared" si="23"/>
        <v>1.1184000000000003E-3</v>
      </c>
      <c r="BA37" s="5026"/>
      <c r="BB37" s="5130">
        <f t="shared" si="24"/>
        <v>0.08</v>
      </c>
      <c r="BC37" s="5004">
        <f t="shared" si="25"/>
        <v>0</v>
      </c>
      <c r="BD37" s="5005"/>
      <c r="BE37" s="5006">
        <f t="shared" si="26"/>
        <v>0</v>
      </c>
      <c r="BF37" s="5003">
        <v>2E-3</v>
      </c>
      <c r="BG37" s="5007">
        <v>0.01</v>
      </c>
      <c r="BH37" s="5008">
        <v>3.2599999999999999E-3</v>
      </c>
      <c r="BI37" s="5131">
        <v>0</v>
      </c>
      <c r="BJ37" s="5116">
        <f>BF37+BG37+BH37</f>
        <v>1.5259999999999999E-2</v>
      </c>
    </row>
    <row r="38" spans="2:62" ht="40.25" hidden="1" customHeight="1">
      <c r="B38" s="5009" t="s">
        <v>2303</v>
      </c>
      <c r="C38" s="4928"/>
      <c r="D38" s="5030"/>
      <c r="E38" s="5030"/>
      <c r="F38" s="5132"/>
      <c r="G38" s="4931"/>
      <c r="H38" s="4928"/>
      <c r="I38" s="5032"/>
      <c r="J38" s="5032"/>
      <c r="K38" s="5031"/>
      <c r="L38" s="5014"/>
      <c r="M38" s="4989"/>
      <c r="N38" s="5032"/>
      <c r="O38" s="5032"/>
      <c r="P38" s="5032"/>
      <c r="Q38" s="4973"/>
      <c r="R38" s="5127"/>
      <c r="S38" s="5133"/>
      <c r="T38" s="5133"/>
      <c r="U38" s="5133"/>
      <c r="V38" s="5121"/>
      <c r="W38" s="5127"/>
      <c r="X38" s="5133"/>
      <c r="Y38" s="5133"/>
      <c r="Z38" s="5133"/>
      <c r="AA38" s="5111"/>
      <c r="AB38" s="5127"/>
      <c r="AC38" s="5133"/>
      <c r="AD38" s="5133"/>
      <c r="AE38" s="5133"/>
      <c r="AF38" s="5111"/>
      <c r="AG38" s="4989"/>
      <c r="AH38" s="5032"/>
      <c r="AI38" s="5032"/>
      <c r="AJ38" s="5032"/>
      <c r="AK38" s="5111"/>
      <c r="AL38" s="5086"/>
      <c r="AM38" s="5032"/>
      <c r="AN38" s="5129"/>
      <c r="AO38" s="5129"/>
      <c r="AP38" s="5038"/>
      <c r="AQ38" s="4989"/>
      <c r="AR38" s="5032"/>
      <c r="AS38" s="5032"/>
      <c r="AT38" s="5032"/>
      <c r="AU38" s="4973"/>
      <c r="AV38" s="4989">
        <v>0</v>
      </c>
      <c r="AW38" s="5032">
        <v>0</v>
      </c>
      <c r="AX38" s="5032">
        <v>0</v>
      </c>
      <c r="AY38" s="5032">
        <f>3973.46/1000000</f>
        <v>3.9734599999999998E-3</v>
      </c>
      <c r="AZ38" s="5032">
        <f>3973.46/1000000</f>
        <v>3.9734599999999998E-3</v>
      </c>
      <c r="BA38" s="5026"/>
      <c r="BB38" s="5130"/>
      <c r="BC38" s="5039"/>
      <c r="BD38" s="5040"/>
      <c r="BE38" s="5006"/>
      <c r="BF38" s="5001">
        <v>0</v>
      </c>
      <c r="BG38" s="5007">
        <v>0</v>
      </c>
      <c r="BH38" s="5008">
        <v>0</v>
      </c>
      <c r="BI38" s="5131">
        <v>3.3078999999999997E-2</v>
      </c>
      <c r="BJ38" s="5116">
        <f>BF38+BG38+BH38</f>
        <v>0</v>
      </c>
    </row>
    <row r="39" spans="2:62" ht="40.25" hidden="1" customHeight="1">
      <c r="B39" s="5009" t="s">
        <v>766</v>
      </c>
      <c r="C39" s="4928"/>
      <c r="D39" s="4929"/>
      <c r="E39" s="4929"/>
      <c r="F39" s="4930"/>
      <c r="G39" s="4931"/>
      <c r="H39" s="4928"/>
      <c r="I39" s="4990"/>
      <c r="J39" s="4990"/>
      <c r="K39" s="4991"/>
      <c r="L39" s="5014"/>
      <c r="M39" s="4989"/>
      <c r="N39" s="4990"/>
      <c r="O39" s="4990"/>
      <c r="P39" s="4990"/>
      <c r="Q39" s="4973"/>
      <c r="R39" s="5127">
        <v>0</v>
      </c>
      <c r="S39" s="5128">
        <v>0</v>
      </c>
      <c r="T39" s="5128">
        <v>0</v>
      </c>
      <c r="U39" s="5128">
        <v>0</v>
      </c>
      <c r="V39" s="5121">
        <v>0</v>
      </c>
      <c r="W39" s="5127">
        <v>0</v>
      </c>
      <c r="X39" s="5128">
        <v>0</v>
      </c>
      <c r="Y39" s="5128">
        <v>0</v>
      </c>
      <c r="Z39" s="5128">
        <f>300/1000000</f>
        <v>2.9999999999999997E-4</v>
      </c>
      <c r="AA39" s="5111">
        <v>0</v>
      </c>
      <c r="AB39" s="5127">
        <v>0</v>
      </c>
      <c r="AC39" s="5128">
        <v>0</v>
      </c>
      <c r="AD39" s="5128">
        <v>0</v>
      </c>
      <c r="AE39" s="5128">
        <v>0</v>
      </c>
      <c r="AF39" s="5111">
        <v>0</v>
      </c>
      <c r="AG39" s="4989">
        <v>0</v>
      </c>
      <c r="AH39" s="4990">
        <v>0</v>
      </c>
      <c r="AI39" s="4990">
        <v>0</v>
      </c>
      <c r="AJ39" s="4990">
        <v>0</v>
      </c>
      <c r="AK39" s="5111">
        <f t="shared" si="18"/>
        <v>0</v>
      </c>
      <c r="AL39" s="5086">
        <v>0</v>
      </c>
      <c r="AM39" s="4990">
        <v>0</v>
      </c>
      <c r="AN39" s="5129">
        <v>0</v>
      </c>
      <c r="AO39" s="5129">
        <v>0</v>
      </c>
      <c r="AP39" s="4965">
        <f t="shared" si="21"/>
        <v>0</v>
      </c>
      <c r="AQ39" s="4989">
        <v>3.5319699999999997E-3</v>
      </c>
      <c r="AR39" s="4990">
        <v>3.5319699999999997E-3</v>
      </c>
      <c r="AS39" s="4990">
        <v>3.5319699999999997E-3</v>
      </c>
      <c r="AT39" s="4990">
        <v>0</v>
      </c>
      <c r="AU39" s="4973">
        <f t="shared" si="22"/>
        <v>1.059591E-2</v>
      </c>
      <c r="AV39" s="4989">
        <v>0</v>
      </c>
      <c r="AW39" s="4990">
        <v>0</v>
      </c>
      <c r="AX39" s="4990">
        <v>0</v>
      </c>
      <c r="AY39" s="4990">
        <v>0</v>
      </c>
      <c r="AZ39" s="4973">
        <f t="shared" si="23"/>
        <v>0</v>
      </c>
      <c r="BA39" s="5026"/>
      <c r="BB39" s="5130">
        <f t="shared" si="24"/>
        <v>0</v>
      </c>
      <c r="BC39" s="5004">
        <f t="shared" si="25"/>
        <v>0</v>
      </c>
      <c r="BD39" s="5005"/>
      <c r="BE39" s="5006">
        <f t="shared" si="26"/>
        <v>0</v>
      </c>
      <c r="BF39" s="5003">
        <v>0</v>
      </c>
      <c r="BG39" s="5007">
        <v>0</v>
      </c>
      <c r="BH39" s="5008">
        <v>0</v>
      </c>
      <c r="BI39" s="5131">
        <v>0</v>
      </c>
      <c r="BJ39" s="5116">
        <f t="shared" si="27"/>
        <v>0</v>
      </c>
    </row>
    <row r="40" spans="2:62" s="4906" customFormat="1" ht="40.25" customHeight="1" thickBot="1">
      <c r="B40" s="5041" t="s">
        <v>772</v>
      </c>
      <c r="C40" s="5042"/>
      <c r="D40" s="5043"/>
      <c r="E40" s="5043"/>
      <c r="F40" s="5106"/>
      <c r="G40" s="5120"/>
      <c r="H40" s="5042"/>
      <c r="I40" s="5046"/>
      <c r="J40" s="5046"/>
      <c r="K40" s="5044"/>
      <c r="L40" s="4981"/>
      <c r="M40" s="5045">
        <v>0</v>
      </c>
      <c r="N40" s="5046">
        <v>0</v>
      </c>
      <c r="O40" s="5046">
        <v>0</v>
      </c>
      <c r="P40" s="5046">
        <v>0</v>
      </c>
      <c r="Q40" s="4973">
        <v>0</v>
      </c>
      <c r="R40" s="5109">
        <v>0.25</v>
      </c>
      <c r="S40" s="5110">
        <v>0.01</v>
      </c>
      <c r="T40" s="5110">
        <v>2E-3</v>
      </c>
      <c r="U40" s="5110">
        <v>3.0000000000000001E-3</v>
      </c>
      <c r="V40" s="5121">
        <v>0.26500000000000001</v>
      </c>
      <c r="W40" s="5109">
        <v>3.0000000000000001E-3</v>
      </c>
      <c r="X40" s="5110">
        <v>0.01</v>
      </c>
      <c r="Y40" s="5110">
        <v>4.0000000000000001E-3</v>
      </c>
      <c r="Z40" s="5110">
        <v>0.01</v>
      </c>
      <c r="AA40" s="5111">
        <v>2.7000000000000003E-2</v>
      </c>
      <c r="AB40" s="5109">
        <v>1.7554E-2</v>
      </c>
      <c r="AC40" s="5110">
        <v>0.4</v>
      </c>
      <c r="AD40" s="5110">
        <v>3.1970000000000002E-3</v>
      </c>
      <c r="AE40" s="5110">
        <v>4.8110000000000002E-3</v>
      </c>
      <c r="AF40" s="5111">
        <f>+SUM(AB40:AE40)</f>
        <v>0.42556200000000005</v>
      </c>
      <c r="AG40" s="5045">
        <v>0.06</v>
      </c>
      <c r="AH40" s="5046">
        <v>7.0559999999999998E-3</v>
      </c>
      <c r="AI40" s="5046">
        <v>8.2749999999999994E-3</v>
      </c>
      <c r="AJ40" s="5046">
        <v>4.1209999999999997E-3</v>
      </c>
      <c r="AK40" s="5111">
        <f t="shared" si="18"/>
        <v>7.9452000000000009E-2</v>
      </c>
      <c r="AL40" s="5026">
        <v>8.2489999999999994E-3</v>
      </c>
      <c r="AM40" s="5046">
        <v>0</v>
      </c>
      <c r="AN40" s="5113">
        <v>0</v>
      </c>
      <c r="AO40" s="5113">
        <v>4.08E-4</v>
      </c>
      <c r="AP40" s="4965">
        <f t="shared" si="21"/>
        <v>8.6569999999999998E-3</v>
      </c>
      <c r="AQ40" s="5045">
        <v>3.82E-3</v>
      </c>
      <c r="AR40" s="5046">
        <v>6.6500000000000001E-4</v>
      </c>
      <c r="AS40" s="5046">
        <v>2.7169E-4</v>
      </c>
      <c r="AT40" s="5046">
        <v>2.3908699999999998E-3</v>
      </c>
      <c r="AU40" s="4973">
        <f t="shared" si="22"/>
        <v>7.1475599999999999E-3</v>
      </c>
      <c r="AV40" s="5045">
        <f>450/1000000</f>
        <v>4.4999999999999999E-4</v>
      </c>
      <c r="AW40" s="5046">
        <v>0</v>
      </c>
      <c r="AX40" s="5046">
        <v>0</v>
      </c>
      <c r="AY40" s="5046">
        <v>0</v>
      </c>
      <c r="AZ40" s="4973">
        <f t="shared" si="23"/>
        <v>4.4999999999999999E-4</v>
      </c>
      <c r="BA40" s="5026"/>
      <c r="BB40" s="5114">
        <f t="shared" si="24"/>
        <v>0.41755400000000004</v>
      </c>
      <c r="BC40" s="4974">
        <f t="shared" si="25"/>
        <v>6.7056000000000004E-2</v>
      </c>
      <c r="BD40" s="4975"/>
      <c r="BE40" s="4976">
        <f t="shared" si="26"/>
        <v>8.2489999999999994E-3</v>
      </c>
      <c r="BF40" s="4986">
        <v>0</v>
      </c>
      <c r="BG40" s="4978">
        <v>0</v>
      </c>
      <c r="BH40" s="4979">
        <v>0</v>
      </c>
      <c r="BI40" s="5134">
        <v>0</v>
      </c>
      <c r="BJ40" s="5116">
        <f t="shared" si="27"/>
        <v>0</v>
      </c>
    </row>
    <row r="41" spans="2:62" ht="40.25" customHeight="1" thickBot="1">
      <c r="B41" s="5135" t="s">
        <v>603</v>
      </c>
      <c r="C41" s="5056">
        <f t="shared" ref="C41:K41" si="28">+C29+C30</f>
        <v>5.6576979999999999</v>
      </c>
      <c r="D41" s="5057">
        <f t="shared" si="28"/>
        <v>6.407</v>
      </c>
      <c r="E41" s="5057">
        <f t="shared" si="28"/>
        <v>5.05</v>
      </c>
      <c r="F41" s="5136">
        <f t="shared" si="28"/>
        <v>6.2120000000000006</v>
      </c>
      <c r="G41" s="5137">
        <f t="shared" si="28"/>
        <v>23.326698</v>
      </c>
      <c r="H41" s="5056">
        <f t="shared" si="28"/>
        <v>4.8160000000000007</v>
      </c>
      <c r="I41" s="5061">
        <f t="shared" si="28"/>
        <v>5.6370000000000005</v>
      </c>
      <c r="J41" s="5061">
        <f t="shared" si="28"/>
        <v>3.5939999999999999</v>
      </c>
      <c r="K41" s="5058">
        <f t="shared" si="28"/>
        <v>3.66</v>
      </c>
      <c r="L41" s="5059">
        <f>SUM(H41:K41)</f>
        <v>17.707000000000001</v>
      </c>
      <c r="M41" s="5060">
        <f t="shared" ref="M41:W41" si="29">+SUM(M29+M30+M40)</f>
        <v>6.2620000000000005</v>
      </c>
      <c r="N41" s="5061">
        <f t="shared" si="29"/>
        <v>5.8290000000000006</v>
      </c>
      <c r="O41" s="5061">
        <f t="shared" si="29"/>
        <v>4.5069999999999997</v>
      </c>
      <c r="P41" s="5061">
        <f t="shared" si="29"/>
        <v>5.7519999999999998</v>
      </c>
      <c r="Q41" s="5062">
        <f t="shared" si="29"/>
        <v>22.35</v>
      </c>
      <c r="R41" s="5060">
        <f t="shared" si="29"/>
        <v>6.1886960000000002</v>
      </c>
      <c r="S41" s="5061">
        <f t="shared" si="29"/>
        <v>6.1456</v>
      </c>
      <c r="T41" s="5061">
        <f t="shared" si="29"/>
        <v>7.0100000000000007</v>
      </c>
      <c r="U41" s="5061">
        <f t="shared" si="29"/>
        <v>2.3920000000000003</v>
      </c>
      <c r="V41" s="5062">
        <f t="shared" si="29"/>
        <v>21.736296000000003</v>
      </c>
      <c r="W41" s="5069">
        <f t="shared" si="29"/>
        <v>1.7539999999999998</v>
      </c>
      <c r="X41" s="5061">
        <f t="shared" ref="X41:AK41" si="30">+SUM(X29+X30+X40)</f>
        <v>4.7451340000000002</v>
      </c>
      <c r="Y41" s="5061">
        <f t="shared" si="30"/>
        <v>5.4339999999999993</v>
      </c>
      <c r="Z41" s="5061">
        <f t="shared" si="30"/>
        <v>6.5503</v>
      </c>
      <c r="AA41" s="5062">
        <f t="shared" si="30"/>
        <v>18.463134</v>
      </c>
      <c r="AB41" s="5060">
        <f>+SUM(AB29+AB30+AB40)</f>
        <v>6.0348949999999997</v>
      </c>
      <c r="AC41" s="5061">
        <f t="shared" si="30"/>
        <v>6.848471</v>
      </c>
      <c r="AD41" s="5067">
        <f t="shared" si="30"/>
        <v>6.8273020000000004</v>
      </c>
      <c r="AE41" s="5058">
        <f t="shared" si="30"/>
        <v>3.9682850000000003</v>
      </c>
      <c r="AF41" s="5068">
        <f t="shared" si="30"/>
        <v>23.668562999999999</v>
      </c>
      <c r="AG41" s="5069">
        <f t="shared" si="30"/>
        <v>2.965198</v>
      </c>
      <c r="AH41" s="5061">
        <f t="shared" si="30"/>
        <v>5.7124490000000012</v>
      </c>
      <c r="AI41" s="5067">
        <f t="shared" si="30"/>
        <v>4.4645940000000008</v>
      </c>
      <c r="AJ41" s="5061">
        <f t="shared" si="30"/>
        <v>5.1435109999999993</v>
      </c>
      <c r="AK41" s="5067">
        <f t="shared" si="30"/>
        <v>18.285752000000002</v>
      </c>
      <c r="AL41" s="5069">
        <f>+SUM(AL29+AL30+AL40)</f>
        <v>4.7902490000000002</v>
      </c>
      <c r="AM41" s="5061">
        <f>+SUM(AM29+AM30+AM40)</f>
        <v>4.8266369999999998</v>
      </c>
      <c r="AN41" s="5061">
        <f>+SUM(AN29+AN30+AN40)</f>
        <v>2.3259080000000001</v>
      </c>
      <c r="AO41" s="5061">
        <f>+SUM(AO29+AO30+AO40)</f>
        <v>1.7794399999999999</v>
      </c>
      <c r="AP41" s="5068">
        <f t="shared" si="21"/>
        <v>13.722234</v>
      </c>
      <c r="AQ41" s="5060">
        <f>+SUM(AQ40+AQ30+AQ29)</f>
        <v>2.6957729500000003</v>
      </c>
      <c r="AR41" s="5061">
        <v>2.5179045499999999</v>
      </c>
      <c r="AS41" s="5061">
        <v>0.39304592999999993</v>
      </c>
      <c r="AT41" s="5061">
        <v>0.55669497000000012</v>
      </c>
      <c r="AU41" s="5138">
        <f>+SUM(AU29+AU30+AU40)</f>
        <v>6.1634183999999994</v>
      </c>
      <c r="AV41" s="5060">
        <f>+SUM(AV29+AV30+AV40)</f>
        <v>1.27765868</v>
      </c>
      <c r="AW41" s="5061">
        <f>+SUM(AW29+AW30+AW40)</f>
        <v>1.6330446100000002</v>
      </c>
      <c r="AX41" s="5061">
        <f>+SUM(AX29+AX30+AX40)</f>
        <v>1.28920054</v>
      </c>
      <c r="AY41" s="5061">
        <f>+SUM(AY29+AY30+AY40)</f>
        <v>1.1204731399999999</v>
      </c>
      <c r="AZ41" s="5138">
        <f>SUM(AV41:AY41)</f>
        <v>5.3203769699999999</v>
      </c>
      <c r="BA41" s="5026"/>
      <c r="BB41" s="5139">
        <f t="shared" si="24"/>
        <v>12.883365999999999</v>
      </c>
      <c r="BC41" s="5074">
        <f t="shared" si="25"/>
        <v>8.6776470000000003</v>
      </c>
      <c r="BD41" s="5140"/>
      <c r="BE41" s="5076">
        <f t="shared" si="26"/>
        <v>9.6168860000000009</v>
      </c>
      <c r="BF41" s="5141">
        <f>+SUM(BF29+BF30+BF40)</f>
        <v>1.1000000000000001</v>
      </c>
      <c r="BG41" s="5142">
        <f>+SUM(BG29+BG30+BG40)</f>
        <v>0.97</v>
      </c>
      <c r="BH41" s="5142">
        <f>+SUM(BH29+BH30+BH40)</f>
        <v>0.21000000000000002</v>
      </c>
      <c r="BI41" s="5142">
        <f>+SUM(BI29+BI30+BI40)</f>
        <v>0.58973599999999993</v>
      </c>
      <c r="BJ41" s="5143">
        <f>SUM(BF41:BI41)</f>
        <v>2.8697360000000001</v>
      </c>
    </row>
    <row r="42" spans="2:62" s="4907" customFormat="1" ht="36.4">
      <c r="B42" s="5144" t="str">
        <f>B20</f>
        <v>Source: Central Statistical Office</v>
      </c>
      <c r="C42" s="5145"/>
      <c r="D42" s="5145"/>
      <c r="E42" s="5145"/>
      <c r="F42" s="5145"/>
      <c r="G42" s="5145"/>
      <c r="H42" s="5145"/>
      <c r="I42" s="5145"/>
      <c r="J42" s="429"/>
      <c r="K42" s="429"/>
      <c r="L42" s="5146"/>
      <c r="M42" s="5146"/>
      <c r="N42" s="5146"/>
      <c r="O42" s="5146"/>
      <c r="P42" s="5146"/>
      <c r="Q42" s="5147"/>
      <c r="R42" s="5080"/>
      <c r="S42" s="5080"/>
      <c r="T42" s="5080"/>
      <c r="U42" s="5080"/>
      <c r="V42" s="5079"/>
      <c r="AA42" s="5079"/>
      <c r="AE42" s="5082"/>
      <c r="AF42" s="5079"/>
      <c r="AM42" s="5148"/>
      <c r="AN42" s="5148"/>
      <c r="AO42" s="5148"/>
      <c r="AP42" s="5148"/>
      <c r="AV42" s="5084"/>
      <c r="AW42" s="5084"/>
      <c r="AX42" s="5084"/>
      <c r="AY42" s="5084"/>
      <c r="AZ42" s="5084"/>
    </row>
    <row r="43" spans="2:62" ht="36.4">
      <c r="B43" s="197" t="s">
        <v>313</v>
      </c>
    </row>
    <row r="85" spans="2:2">
      <c r="B85" s="5149" t="s">
        <v>747</v>
      </c>
    </row>
  </sheetData>
  <mergeCells count="30">
    <mergeCell ref="BF26:BJ26"/>
    <mergeCell ref="R4:V4"/>
    <mergeCell ref="W4:AA4"/>
    <mergeCell ref="R26:V26"/>
    <mergeCell ref="B23:BE23"/>
    <mergeCell ref="B24:BE24"/>
    <mergeCell ref="M26:Q26"/>
    <mergeCell ref="H26:L26"/>
    <mergeCell ref="W26:AA26"/>
    <mergeCell ref="AG4:AK4"/>
    <mergeCell ref="AG26:AK26"/>
    <mergeCell ref="AB4:AF4"/>
    <mergeCell ref="AB26:AF26"/>
    <mergeCell ref="BF4:BJ4"/>
    <mergeCell ref="B1:BJ1"/>
    <mergeCell ref="B2:BJ2"/>
    <mergeCell ref="BB4:BE4"/>
    <mergeCell ref="BB25:BE25"/>
    <mergeCell ref="C26:G26"/>
    <mergeCell ref="M4:Q4"/>
    <mergeCell ref="H4:L4"/>
    <mergeCell ref="C4:G4"/>
    <mergeCell ref="BB26:BE26"/>
    <mergeCell ref="AL4:AP4"/>
    <mergeCell ref="AQ4:AU4"/>
    <mergeCell ref="AQ26:AU26"/>
    <mergeCell ref="AV4:AZ4"/>
    <mergeCell ref="AV26:AZ26"/>
    <mergeCell ref="BB3:BE3"/>
    <mergeCell ref="AL26:AP26"/>
  </mergeCells>
  <printOptions horizontalCentered="1" verticalCentered="1"/>
  <pageMargins left="0.25" right="0.25" top="0.75" bottom="0.75" header="0.3" footer="0.3"/>
  <pageSetup scale="19" firstPageNumber="103" orientation="landscape" useFirstPageNumber="1" r:id="rId1"/>
  <headerFooter scaleWithDoc="0" alignWithMargins="0">
    <oddFooter xml:space="preserve">&amp;C111
</oddFooter>
  </headerFooter>
  <colBreaks count="1" manualBreakCount="1">
    <brk id="62" max="42" man="1"/>
  </colBreak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00B0F0"/>
    <pageSetUpPr fitToPage="1"/>
  </sheetPr>
  <dimension ref="B1:BG113"/>
  <sheetViews>
    <sheetView view="pageBreakPreview" zoomScale="40" zoomScaleNormal="70" zoomScaleSheetLayoutView="40" workbookViewId="0">
      <pane xSplit="28" ySplit="3" topLeftCell="AH4" activePane="bottomRight" state="frozen"/>
      <selection activeCell="B44" sqref="B44"/>
      <selection pane="topRight" activeCell="B44" sqref="B44"/>
      <selection pane="bottomLeft" activeCell="B44" sqref="B44"/>
      <selection pane="bottomRight" activeCell="AR3" sqref="AR1:BC1048576"/>
    </sheetView>
  </sheetViews>
  <sheetFormatPr defaultColWidth="9.46484375" defaultRowHeight="33"/>
  <cols>
    <col min="1" max="1" width="3.46484375" style="211" customWidth="1"/>
    <col min="2" max="2" width="66.6640625" style="211" customWidth="1"/>
    <col min="3" max="21" width="11.46484375" style="211" hidden="1" customWidth="1"/>
    <col min="22" max="23" width="11.46484375" style="356" hidden="1" customWidth="1"/>
    <col min="24" max="24" width="11.46484375" style="211" hidden="1" customWidth="1"/>
    <col min="25" max="28" width="20.46484375" style="211" hidden="1" customWidth="1"/>
    <col min="29" max="29" width="27.6640625" style="211" hidden="1" customWidth="1"/>
    <col min="30" max="30" width="35.46484375" style="211" hidden="1" customWidth="1"/>
    <col min="31" max="31" width="26.46484375" style="538" customWidth="1"/>
    <col min="32" max="32" width="38.6640625" style="211" bestFit="1" customWidth="1"/>
    <col min="33" max="33" width="25.33203125" style="212" customWidth="1"/>
    <col min="34" max="34" width="27.46484375" style="212" bestFit="1" customWidth="1"/>
    <col min="35" max="35" width="25.6640625" style="212" customWidth="1"/>
    <col min="36" max="36" width="25.46484375" style="212" bestFit="1" customWidth="1"/>
    <col min="37" max="37" width="27.33203125" style="211" customWidth="1"/>
    <col min="38" max="38" width="25.46484375" style="211" bestFit="1" customWidth="1"/>
    <col min="39" max="39" width="26" style="211" customWidth="1"/>
    <col min="40" max="40" width="25.46484375" style="211" bestFit="1" customWidth="1"/>
    <col min="41" max="41" width="24.6640625" style="211" customWidth="1"/>
    <col min="42" max="42" width="29" style="211" customWidth="1"/>
    <col min="43" max="43" width="24.33203125" style="211" customWidth="1"/>
    <col min="44" max="44" width="25.46484375" style="211" customWidth="1"/>
    <col min="45" max="49" width="20.46484375" style="211" hidden="1" customWidth="1"/>
    <col min="50" max="50" width="33.6640625" style="211" hidden="1" customWidth="1"/>
    <col min="51" max="51" width="11.46484375" style="211" hidden="1" customWidth="1"/>
    <col min="52" max="52" width="6.33203125" style="211" hidden="1" customWidth="1"/>
    <col min="53" max="53" width="17.46484375" style="211" hidden="1" customWidth="1"/>
    <col min="54" max="54" width="4.6640625" style="211" hidden="1" customWidth="1"/>
    <col min="55" max="55" width="27.33203125" style="211" customWidth="1"/>
    <col min="56" max="56" width="24.6640625" style="211" customWidth="1"/>
    <col min="57" max="57" width="32.6640625" style="211" bestFit="1" customWidth="1"/>
    <col min="58" max="58" width="25.33203125" style="211" customWidth="1"/>
    <col min="59" max="59" width="22.46484375" style="211" bestFit="1" customWidth="1"/>
    <col min="60" max="16384" width="9.46484375" style="211"/>
  </cols>
  <sheetData>
    <row r="1" spans="2:59">
      <c r="B1" s="5709" t="s">
        <v>314</v>
      </c>
      <c r="C1" s="5709"/>
      <c r="D1" s="5709"/>
      <c r="E1" s="5709"/>
      <c r="F1" s="5709"/>
      <c r="G1" s="5709"/>
      <c r="H1" s="5709"/>
      <c r="I1" s="5709"/>
      <c r="J1" s="5709"/>
      <c r="K1" s="5709"/>
      <c r="L1" s="5709"/>
      <c r="M1" s="5709"/>
      <c r="N1" s="5709"/>
      <c r="O1" s="5709"/>
      <c r="P1" s="5709"/>
      <c r="Q1" s="5709"/>
      <c r="R1" s="5709"/>
      <c r="S1" s="5709"/>
      <c r="T1" s="5709"/>
      <c r="U1" s="5709"/>
      <c r="V1" s="5709"/>
      <c r="W1" s="5709"/>
      <c r="X1" s="5709"/>
      <c r="Y1" s="5709"/>
      <c r="Z1" s="5709"/>
      <c r="AA1" s="5709"/>
      <c r="AB1" s="5709"/>
      <c r="AC1" s="5709"/>
      <c r="AD1" s="5709"/>
      <c r="AE1" s="5709"/>
      <c r="AF1" s="5709"/>
      <c r="AG1" s="5709"/>
      <c r="AH1" s="5709"/>
      <c r="AI1" s="5709"/>
      <c r="AJ1" s="5709"/>
      <c r="AK1" s="5709"/>
      <c r="AL1" s="5709"/>
      <c r="AM1" s="5709"/>
      <c r="AN1" s="5709"/>
      <c r="AO1" s="5709"/>
      <c r="AP1" s="5709"/>
      <c r="AQ1" s="5709"/>
      <c r="AR1" s="5709"/>
      <c r="AS1" s="5709"/>
      <c r="AT1" s="5709"/>
      <c r="AU1" s="5709"/>
      <c r="AV1" s="5709"/>
      <c r="AW1" s="5709"/>
      <c r="AX1" s="5709"/>
      <c r="AY1" s="5709"/>
      <c r="AZ1" s="5709"/>
      <c r="BA1" s="5709"/>
      <c r="BB1" s="5709"/>
      <c r="BC1" s="5709"/>
      <c r="BD1" s="5709"/>
      <c r="BE1" s="5709"/>
      <c r="BF1" s="5709"/>
    </row>
    <row r="2" spans="2:59" ht="33.4" thickBot="1">
      <c r="B2" s="5709" t="s">
        <v>1856</v>
      </c>
      <c r="C2" s="5709"/>
      <c r="D2" s="5709"/>
      <c r="E2" s="5709"/>
      <c r="F2" s="5709"/>
      <c r="G2" s="5709"/>
      <c r="H2" s="5709"/>
      <c r="I2" s="5709"/>
      <c r="J2" s="5709"/>
      <c r="K2" s="5709"/>
      <c r="L2" s="5709"/>
      <c r="M2" s="5709"/>
      <c r="N2" s="5709"/>
      <c r="O2" s="5709"/>
      <c r="P2" s="5709"/>
      <c r="Q2" s="5709"/>
      <c r="R2" s="5709"/>
      <c r="S2" s="5709"/>
      <c r="T2" s="5709"/>
      <c r="U2" s="5709"/>
      <c r="V2" s="5709"/>
      <c r="W2" s="5709"/>
      <c r="X2" s="5709"/>
      <c r="Y2" s="5709"/>
      <c r="Z2" s="5709"/>
      <c r="AA2" s="5709"/>
      <c r="AB2" s="5709"/>
      <c r="AC2" s="5709"/>
      <c r="AD2" s="5709"/>
      <c r="AE2" s="5709"/>
      <c r="AF2" s="5709"/>
      <c r="AG2" s="5709"/>
      <c r="AH2" s="5709"/>
      <c r="AI2" s="5709"/>
      <c r="AJ2" s="5709"/>
      <c r="AK2" s="5709"/>
      <c r="AL2" s="5709"/>
      <c r="AM2" s="5709"/>
      <c r="AN2" s="5709"/>
      <c r="AO2" s="5709"/>
      <c r="AP2" s="5709"/>
      <c r="AQ2" s="5709"/>
      <c r="AR2" s="5709"/>
      <c r="AS2" s="5709"/>
      <c r="AT2" s="5709"/>
      <c r="AU2" s="5709"/>
      <c r="AV2" s="5709"/>
      <c r="AW2" s="5709"/>
      <c r="AX2" s="5709"/>
      <c r="AY2" s="5709"/>
      <c r="AZ2" s="5709"/>
      <c r="BA2" s="5709"/>
      <c r="BB2" s="5709"/>
      <c r="BC2" s="5709"/>
      <c r="BD2" s="5709"/>
      <c r="BE2" s="5709"/>
      <c r="BF2" s="5709"/>
    </row>
    <row r="3" spans="2:59" ht="33.4" hidden="1" thickBot="1">
      <c r="B3" s="353"/>
      <c r="C3" s="353"/>
      <c r="D3" s="353"/>
      <c r="E3" s="353"/>
      <c r="F3" s="353"/>
      <c r="G3" s="353"/>
      <c r="H3" s="353"/>
      <c r="I3" s="353"/>
      <c r="J3" s="353"/>
      <c r="K3" s="353"/>
      <c r="L3" s="353"/>
      <c r="M3" s="353"/>
      <c r="N3" s="353"/>
      <c r="O3" s="353"/>
      <c r="P3" s="353"/>
      <c r="Q3" s="353"/>
      <c r="R3" s="353"/>
      <c r="S3" s="353"/>
      <c r="T3" s="353"/>
      <c r="U3" s="353"/>
      <c r="V3" s="353"/>
      <c r="W3" s="353"/>
      <c r="X3" s="353"/>
      <c r="Y3" s="353"/>
      <c r="Z3" s="353"/>
      <c r="AA3" s="353"/>
      <c r="AB3" s="353"/>
      <c r="AC3" s="353"/>
      <c r="AD3" s="353"/>
      <c r="AE3" s="353"/>
      <c r="AF3" s="353"/>
      <c r="AG3" s="353"/>
      <c r="AH3" s="353"/>
      <c r="AI3" s="353"/>
      <c r="AJ3" s="353"/>
      <c r="AK3" s="353"/>
      <c r="AL3" s="353"/>
      <c r="AM3" s="353"/>
      <c r="AN3" s="353"/>
      <c r="AO3" s="353"/>
      <c r="AP3" s="353"/>
      <c r="AQ3" s="353"/>
      <c r="AR3" s="353"/>
      <c r="AS3" s="353"/>
      <c r="AT3" s="353"/>
      <c r="AU3" s="353"/>
      <c r="AV3" s="353"/>
      <c r="AW3" s="353"/>
      <c r="AX3" s="353"/>
      <c r="AY3" s="353"/>
      <c r="AZ3" s="353"/>
      <c r="BA3" s="353"/>
    </row>
    <row r="4" spans="2:59" ht="12.75" customHeight="1" thickBot="1">
      <c r="B4" s="536"/>
      <c r="C4" s="536"/>
      <c r="D4" s="536"/>
      <c r="E4" s="536"/>
      <c r="F4" s="536"/>
      <c r="G4" s="536"/>
      <c r="H4" s="536"/>
      <c r="I4" s="536"/>
      <c r="J4" s="536"/>
      <c r="K4" s="536"/>
      <c r="L4" s="536"/>
      <c r="M4" s="536"/>
      <c r="N4" s="536"/>
      <c r="O4" s="536"/>
      <c r="P4" s="536"/>
      <c r="Q4" s="536"/>
      <c r="R4" s="536"/>
      <c r="S4" s="536"/>
      <c r="T4" s="536"/>
      <c r="AD4" s="537"/>
      <c r="AU4" s="5729" t="s">
        <v>857</v>
      </c>
      <c r="AV4" s="5730"/>
      <c r="AW4" s="5730"/>
      <c r="AX4" s="5730"/>
      <c r="AY4" s="5730"/>
      <c r="AZ4" s="5730"/>
      <c r="BA4" s="5730"/>
      <c r="BB4" s="5731"/>
    </row>
    <row r="5" spans="2:59" ht="33.4" thickBot="1">
      <c r="B5" s="5732" t="s">
        <v>444</v>
      </c>
      <c r="C5" s="539">
        <v>2001</v>
      </c>
      <c r="D5" s="539"/>
      <c r="E5" s="5734">
        <v>2002</v>
      </c>
      <c r="F5" s="5735"/>
      <c r="G5" s="5728">
        <v>2003</v>
      </c>
      <c r="H5" s="5728"/>
      <c r="I5" s="5722">
        <v>2004</v>
      </c>
      <c r="J5" s="5723"/>
      <c r="K5" s="5728">
        <v>2005</v>
      </c>
      <c r="L5" s="5728"/>
      <c r="M5" s="5722">
        <v>2006</v>
      </c>
      <c r="N5" s="5714"/>
      <c r="O5" s="5710">
        <v>2007</v>
      </c>
      <c r="P5" s="5703"/>
      <c r="Q5" s="5722">
        <v>2008</v>
      </c>
      <c r="R5" s="5723"/>
      <c r="S5" s="5728">
        <v>2009</v>
      </c>
      <c r="T5" s="5728"/>
      <c r="U5" s="5722">
        <v>2010</v>
      </c>
      <c r="V5" s="5723"/>
      <c r="W5" s="5702">
        <v>2011</v>
      </c>
      <c r="X5" s="5714"/>
      <c r="Y5" s="5702">
        <v>2012</v>
      </c>
      <c r="Z5" s="5703"/>
      <c r="AA5" s="5702">
        <v>2013</v>
      </c>
      <c r="AB5" s="5703"/>
      <c r="AC5" s="5724">
        <v>2014</v>
      </c>
      <c r="AD5" s="5725"/>
      <c r="AE5" s="5726">
        <v>2015</v>
      </c>
      <c r="AF5" s="5727"/>
      <c r="AG5" s="5704">
        <v>2016</v>
      </c>
      <c r="AH5" s="5705"/>
      <c r="AI5" s="5704">
        <v>2017</v>
      </c>
      <c r="AJ5" s="5705"/>
      <c r="AK5" s="5704">
        <v>2018</v>
      </c>
      <c r="AL5" s="5705"/>
      <c r="AM5" s="5694">
        <v>2019</v>
      </c>
      <c r="AN5" s="5695"/>
      <c r="AO5" s="5694">
        <v>2020</v>
      </c>
      <c r="AP5" s="5695"/>
      <c r="AQ5" s="5694">
        <v>2021</v>
      </c>
      <c r="AR5" s="5695"/>
      <c r="AS5" s="5697">
        <v>2017</v>
      </c>
      <c r="AT5" s="5698"/>
      <c r="AU5" s="5697">
        <v>2018</v>
      </c>
      <c r="AV5" s="5698"/>
      <c r="AW5" s="5697">
        <v>2019</v>
      </c>
      <c r="AX5" s="5698"/>
      <c r="AY5" s="5697">
        <v>2020</v>
      </c>
      <c r="AZ5" s="5698"/>
      <c r="BA5" s="5697" t="s">
        <v>855</v>
      </c>
      <c r="BB5" s="5698"/>
      <c r="BC5" s="5694" t="s">
        <v>1958</v>
      </c>
      <c r="BD5" s="5695"/>
      <c r="BE5" s="5694" t="s">
        <v>1959</v>
      </c>
      <c r="BF5" s="5695"/>
    </row>
    <row r="6" spans="2:59">
      <c r="B6" s="5733"/>
      <c r="C6" s="211" t="s">
        <v>19</v>
      </c>
      <c r="D6" s="211" t="s">
        <v>26</v>
      </c>
      <c r="E6" s="540" t="s">
        <v>270</v>
      </c>
      <c r="F6" s="541" t="s">
        <v>26</v>
      </c>
      <c r="G6" s="353" t="s">
        <v>270</v>
      </c>
      <c r="H6" s="542" t="s">
        <v>26</v>
      </c>
      <c r="I6" s="543" t="s">
        <v>270</v>
      </c>
      <c r="J6" s="544" t="s">
        <v>499</v>
      </c>
      <c r="K6" s="543" t="s">
        <v>270</v>
      </c>
      <c r="L6" s="544" t="s">
        <v>499</v>
      </c>
      <c r="M6" s="543" t="s">
        <v>270</v>
      </c>
      <c r="N6" s="542" t="s">
        <v>499</v>
      </c>
      <c r="O6" s="545" t="s">
        <v>270</v>
      </c>
      <c r="P6" s="544" t="s">
        <v>499</v>
      </c>
      <c r="Q6" s="543" t="s">
        <v>270</v>
      </c>
      <c r="R6" s="544" t="s">
        <v>499</v>
      </c>
      <c r="S6" s="543" t="s">
        <v>270</v>
      </c>
      <c r="T6" s="544" t="s">
        <v>499</v>
      </c>
      <c r="U6" s="543" t="s">
        <v>270</v>
      </c>
      <c r="V6" s="544" t="s">
        <v>499</v>
      </c>
      <c r="W6" s="546" t="s">
        <v>270</v>
      </c>
      <c r="X6" s="547" t="s">
        <v>499</v>
      </c>
      <c r="Y6" s="546" t="s">
        <v>270</v>
      </c>
      <c r="Z6" s="547" t="s">
        <v>499</v>
      </c>
      <c r="AA6" s="546" t="s">
        <v>270</v>
      </c>
      <c r="AB6" s="547" t="s">
        <v>499</v>
      </c>
      <c r="AC6" s="548" t="s">
        <v>270</v>
      </c>
      <c r="AD6" s="549" t="s">
        <v>499</v>
      </c>
      <c r="AE6" s="550" t="s">
        <v>270</v>
      </c>
      <c r="AF6" s="551" t="s">
        <v>499</v>
      </c>
      <c r="AG6" s="2091" t="s">
        <v>32</v>
      </c>
      <c r="AH6" s="552" t="s">
        <v>499</v>
      </c>
      <c r="AI6" s="2091" t="s">
        <v>32</v>
      </c>
      <c r="AJ6" s="552" t="s">
        <v>499</v>
      </c>
      <c r="AK6" s="2091" t="s">
        <v>32</v>
      </c>
      <c r="AL6" s="552" t="s">
        <v>499</v>
      </c>
      <c r="AM6" s="553" t="s">
        <v>32</v>
      </c>
      <c r="AN6" s="554" t="s">
        <v>499</v>
      </c>
      <c r="AO6" s="553" t="s">
        <v>32</v>
      </c>
      <c r="AP6" s="555" t="s">
        <v>499</v>
      </c>
      <c r="AQ6" s="553" t="s">
        <v>32</v>
      </c>
      <c r="AR6" s="555" t="s">
        <v>499</v>
      </c>
      <c r="AS6" s="556" t="s">
        <v>32</v>
      </c>
      <c r="AT6" s="557" t="s">
        <v>499</v>
      </c>
      <c r="AU6" s="556" t="s">
        <v>32</v>
      </c>
      <c r="AV6" s="557" t="s">
        <v>499</v>
      </c>
      <c r="AW6" s="556" t="s">
        <v>32</v>
      </c>
      <c r="AX6" s="557" t="s">
        <v>499</v>
      </c>
      <c r="AY6" s="556" t="s">
        <v>32</v>
      </c>
      <c r="AZ6" s="557" t="s">
        <v>499</v>
      </c>
      <c r="BA6" s="556" t="s">
        <v>32</v>
      </c>
      <c r="BB6" s="557" t="s">
        <v>499</v>
      </c>
      <c r="BC6" s="553" t="s">
        <v>32</v>
      </c>
      <c r="BD6" s="555" t="s">
        <v>499</v>
      </c>
      <c r="BE6" s="553" t="s">
        <v>32</v>
      </c>
      <c r="BF6" s="555" t="s">
        <v>499</v>
      </c>
    </row>
    <row r="7" spans="2:59" ht="33.4" thickBot="1">
      <c r="B7" s="558"/>
      <c r="C7" s="559"/>
      <c r="D7" s="559"/>
      <c r="E7" s="560" t="s">
        <v>411</v>
      </c>
      <c r="F7" s="561"/>
      <c r="G7" s="562" t="s">
        <v>411</v>
      </c>
      <c r="H7" s="560"/>
      <c r="I7" s="563" t="s">
        <v>396</v>
      </c>
      <c r="J7" s="564" t="s">
        <v>204</v>
      </c>
      <c r="K7" s="563" t="s">
        <v>396</v>
      </c>
      <c r="L7" s="564" t="s">
        <v>204</v>
      </c>
      <c r="M7" s="563" t="s">
        <v>396</v>
      </c>
      <c r="N7" s="565" t="s">
        <v>204</v>
      </c>
      <c r="O7" s="565" t="s">
        <v>396</v>
      </c>
      <c r="P7" s="564" t="s">
        <v>204</v>
      </c>
      <c r="Q7" s="563" t="s">
        <v>396</v>
      </c>
      <c r="R7" s="564" t="s">
        <v>204</v>
      </c>
      <c r="S7" s="563" t="s">
        <v>396</v>
      </c>
      <c r="T7" s="564" t="s">
        <v>204</v>
      </c>
      <c r="U7" s="563" t="s">
        <v>396</v>
      </c>
      <c r="V7" s="564" t="s">
        <v>204</v>
      </c>
      <c r="W7" s="566" t="s">
        <v>396</v>
      </c>
      <c r="X7" s="567" t="s">
        <v>204</v>
      </c>
      <c r="Y7" s="566" t="s">
        <v>396</v>
      </c>
      <c r="Z7" s="567" t="s">
        <v>204</v>
      </c>
      <c r="AA7" s="566" t="s">
        <v>396</v>
      </c>
      <c r="AB7" s="567" t="s">
        <v>204</v>
      </c>
      <c r="AC7" s="568" t="s">
        <v>396</v>
      </c>
      <c r="AD7" s="569" t="s">
        <v>1424</v>
      </c>
      <c r="AE7" s="570" t="s">
        <v>396</v>
      </c>
      <c r="AF7" s="569" t="s">
        <v>1424</v>
      </c>
      <c r="AG7" s="571" t="s">
        <v>396</v>
      </c>
      <c r="AH7" s="1795" t="s">
        <v>1424</v>
      </c>
      <c r="AI7" s="571" t="s">
        <v>396</v>
      </c>
      <c r="AJ7" s="1795" t="s">
        <v>2330</v>
      </c>
      <c r="AK7" s="571" t="s">
        <v>396</v>
      </c>
      <c r="AL7" s="1795" t="s">
        <v>2330</v>
      </c>
      <c r="AM7" s="572" t="s">
        <v>396</v>
      </c>
      <c r="AN7" s="1795" t="s">
        <v>2330</v>
      </c>
      <c r="AO7" s="573" t="s">
        <v>396</v>
      </c>
      <c r="AP7" s="1795" t="s">
        <v>2330</v>
      </c>
      <c r="AQ7" s="573" t="s">
        <v>396</v>
      </c>
      <c r="AR7" s="1795" t="s">
        <v>2330</v>
      </c>
      <c r="AS7" s="574" t="s">
        <v>396</v>
      </c>
      <c r="AT7" s="575" t="s">
        <v>204</v>
      </c>
      <c r="AU7" s="576" t="s">
        <v>396</v>
      </c>
      <c r="AV7" s="577" t="s">
        <v>204</v>
      </c>
      <c r="AW7" s="576" t="s">
        <v>396</v>
      </c>
      <c r="AX7" s="577" t="s">
        <v>204</v>
      </c>
      <c r="AY7" s="576" t="s">
        <v>396</v>
      </c>
      <c r="AZ7" s="577" t="s">
        <v>204</v>
      </c>
      <c r="BA7" s="576" t="s">
        <v>396</v>
      </c>
      <c r="BB7" s="577" t="s">
        <v>204</v>
      </c>
      <c r="BC7" s="573" t="s">
        <v>396</v>
      </c>
      <c r="BD7" s="1795" t="s">
        <v>2330</v>
      </c>
      <c r="BE7" s="573" t="s">
        <v>396</v>
      </c>
      <c r="BF7" s="1795" t="s">
        <v>2330</v>
      </c>
    </row>
    <row r="8" spans="2:59">
      <c r="B8" s="578"/>
      <c r="E8" s="540"/>
      <c r="F8" s="541"/>
      <c r="G8" s="353"/>
      <c r="H8" s="540"/>
      <c r="I8" s="543"/>
      <c r="J8" s="579"/>
      <c r="K8" s="353"/>
      <c r="L8" s="540"/>
      <c r="M8" s="580"/>
      <c r="N8" s="353"/>
      <c r="O8" s="581"/>
      <c r="P8" s="582"/>
      <c r="Q8" s="543"/>
      <c r="R8" s="579"/>
      <c r="S8" s="353"/>
      <c r="T8" s="540"/>
      <c r="U8" s="543"/>
      <c r="V8" s="579"/>
      <c r="W8" s="546"/>
      <c r="X8" s="583"/>
      <c r="Y8" s="546"/>
      <c r="Z8" s="584"/>
      <c r="AA8" s="546"/>
      <c r="AB8" s="584"/>
      <c r="AC8" s="585"/>
      <c r="AD8" s="217"/>
      <c r="AE8" s="586"/>
      <c r="AF8" s="584"/>
      <c r="AG8" s="587"/>
      <c r="AH8" s="588"/>
      <c r="AI8" s="589"/>
      <c r="AJ8" s="590"/>
      <c r="AK8" s="589"/>
      <c r="AL8" s="590"/>
      <c r="AM8" s="591"/>
      <c r="AN8" s="214"/>
      <c r="AO8" s="592"/>
      <c r="AP8" s="214"/>
      <c r="AQ8" s="587"/>
      <c r="AR8" s="214"/>
      <c r="AS8" s="593"/>
      <c r="AT8" s="594"/>
      <c r="AU8" s="595"/>
      <c r="AV8" s="215"/>
      <c r="AW8" s="595"/>
      <c r="AX8" s="215"/>
      <c r="AY8" s="595"/>
      <c r="AZ8" s="215"/>
      <c r="BA8" s="593"/>
      <c r="BB8" s="596"/>
      <c r="BC8" s="2602"/>
      <c r="BD8" s="2609"/>
      <c r="BE8" s="3169"/>
      <c r="BF8" s="3031"/>
    </row>
    <row r="9" spans="2:59" s="599" customFormat="1" ht="30" customHeight="1">
      <c r="B9" s="2619" t="s">
        <v>27</v>
      </c>
      <c r="C9" s="598">
        <v>1007.48</v>
      </c>
      <c r="D9" s="599">
        <v>1097042.93</v>
      </c>
      <c r="E9" s="600">
        <v>712.67</v>
      </c>
      <c r="F9" s="601">
        <v>862549.28</v>
      </c>
      <c r="G9" s="602">
        <v>631.76</v>
      </c>
      <c r="H9" s="603">
        <v>911343.84</v>
      </c>
      <c r="I9" s="604">
        <v>497.22500000000002</v>
      </c>
      <c r="J9" s="605">
        <v>669598.23</v>
      </c>
      <c r="K9" s="606">
        <v>409.78</v>
      </c>
      <c r="L9" s="607">
        <v>683939.14</v>
      </c>
      <c r="M9" s="604">
        <v>478.42899999999997</v>
      </c>
      <c r="N9" s="608">
        <v>836940.45</v>
      </c>
      <c r="O9" s="609">
        <v>517.69000000000005</v>
      </c>
      <c r="P9" s="610">
        <v>972065.05</v>
      </c>
      <c r="Q9" s="604">
        <v>1009.4552000000001</v>
      </c>
      <c r="R9" s="605">
        <v>2069721.77</v>
      </c>
      <c r="S9" s="606">
        <v>440.11063999999993</v>
      </c>
      <c r="T9" s="607">
        <v>894778.95999999985</v>
      </c>
      <c r="U9" s="604">
        <v>359.00484999999998</v>
      </c>
      <c r="V9" s="605">
        <v>815298.72</v>
      </c>
      <c r="W9" s="611">
        <v>428.37260700000002</v>
      </c>
      <c r="X9" s="612">
        <v>981220.62000000011</v>
      </c>
      <c r="Y9" s="611">
        <v>520.22910000000013</v>
      </c>
      <c r="Z9" s="613">
        <v>1178203.94</v>
      </c>
      <c r="AA9" s="611">
        <v>568.96759000000009</v>
      </c>
      <c r="AB9" s="613">
        <v>1384411.3</v>
      </c>
      <c r="AC9" s="614">
        <v>563.41489000000001</v>
      </c>
      <c r="AD9" s="615">
        <v>1.5420272399999999</v>
      </c>
      <c r="AE9" s="616">
        <v>678.33798000000002</v>
      </c>
      <c r="AF9" s="615">
        <v>2.0115289300000003</v>
      </c>
      <c r="AG9" s="617">
        <v>655.69737999999995</v>
      </c>
      <c r="AH9" s="615">
        <v>2.0879523799999999</v>
      </c>
      <c r="AI9" s="617">
        <v>568.83749</v>
      </c>
      <c r="AJ9" s="615">
        <v>1.9386714299999999</v>
      </c>
      <c r="AK9" s="617">
        <v>604.40456000000006</v>
      </c>
      <c r="AL9" s="615">
        <v>2.1685157999999998</v>
      </c>
      <c r="AM9" s="616">
        <v>726.30819999999994</v>
      </c>
      <c r="AN9" s="615">
        <v>2.7132395200000001</v>
      </c>
      <c r="AO9" s="618">
        <v>735.16747999999995</v>
      </c>
      <c r="AP9" s="615">
        <v>2.6050995399999999</v>
      </c>
      <c r="AQ9" s="619">
        <v>653.14052000000004</v>
      </c>
      <c r="AR9" s="216">
        <v>2.3812033500000003</v>
      </c>
      <c r="AS9" s="620"/>
      <c r="AT9" s="621"/>
      <c r="AU9" s="622">
        <v>412.99423999999999</v>
      </c>
      <c r="AV9" s="623">
        <v>1459177.37</v>
      </c>
      <c r="AW9" s="622">
        <v>502.18328000000002</v>
      </c>
      <c r="AX9" s="623">
        <v>1836624.44</v>
      </c>
      <c r="AY9" s="622">
        <v>570.91429000000005</v>
      </c>
      <c r="AZ9" s="623">
        <v>1948130.0200000003</v>
      </c>
      <c r="BA9" s="624">
        <f>+AY9/AW9-1</f>
        <v>0.13686439341429302</v>
      </c>
      <c r="BB9" s="625">
        <f>+AZ9/AX9-1</f>
        <v>6.0712237935808044E-2</v>
      </c>
      <c r="BC9" s="618">
        <v>658.22579636363605</v>
      </c>
      <c r="BD9" s="2612">
        <v>2.4383899099999997</v>
      </c>
      <c r="BE9" s="3170">
        <v>618.91224</v>
      </c>
      <c r="BF9" s="3128">
        <v>2.4536399099999997</v>
      </c>
      <c r="BG9" s="3198">
        <f>BE9/BC9-1</f>
        <v>-5.9726550646941434E-2</v>
      </c>
    </row>
    <row r="10" spans="2:59" s="599" customFormat="1" ht="16.5" customHeight="1">
      <c r="B10" s="2619"/>
      <c r="C10" s="598"/>
      <c r="D10" s="626"/>
      <c r="E10" s="600"/>
      <c r="F10" s="601"/>
      <c r="G10" s="602"/>
      <c r="H10" s="603"/>
      <c r="I10" s="604"/>
      <c r="J10" s="605"/>
      <c r="K10" s="606"/>
      <c r="L10" s="607"/>
      <c r="M10" s="604"/>
      <c r="N10" s="608"/>
      <c r="O10" s="609"/>
      <c r="P10" s="610"/>
      <c r="Q10" s="604"/>
      <c r="R10" s="605"/>
      <c r="S10" s="606"/>
      <c r="T10" s="607"/>
      <c r="U10" s="604"/>
      <c r="V10" s="605"/>
      <c r="W10" s="611"/>
      <c r="X10" s="612"/>
      <c r="Y10" s="611"/>
      <c r="Z10" s="613"/>
      <c r="AA10" s="611"/>
      <c r="AB10" s="613"/>
      <c r="AC10" s="614"/>
      <c r="AD10" s="627"/>
      <c r="AE10" s="616"/>
      <c r="AF10" s="628"/>
      <c r="AG10" s="617"/>
      <c r="AH10" s="629"/>
      <c r="AI10" s="617"/>
      <c r="AJ10" s="629"/>
      <c r="AK10" s="617"/>
      <c r="AL10" s="629"/>
      <c r="AM10" s="616"/>
      <c r="AN10" s="630"/>
      <c r="AO10" s="618"/>
      <c r="AP10" s="631"/>
      <c r="AQ10" s="619"/>
      <c r="AR10" s="216"/>
      <c r="AS10" s="620"/>
      <c r="AT10" s="621"/>
      <c r="AU10" s="622"/>
      <c r="AV10" s="623"/>
      <c r="AW10" s="632"/>
      <c r="AX10" s="633"/>
      <c r="AY10" s="632"/>
      <c r="AZ10" s="634"/>
      <c r="BA10" s="624"/>
      <c r="BB10" s="625"/>
      <c r="BC10" s="618"/>
      <c r="BD10" s="2612"/>
      <c r="BE10" s="3170"/>
      <c r="BF10" s="3128"/>
      <c r="BG10" s="3198"/>
    </row>
    <row r="11" spans="2:59" s="599" customFormat="1" ht="30" customHeight="1">
      <c r="B11" s="2619" t="s">
        <v>1419</v>
      </c>
      <c r="C11" s="598">
        <v>523.78</v>
      </c>
      <c r="D11" s="626">
        <v>509273.42</v>
      </c>
      <c r="E11" s="600">
        <v>509.51</v>
      </c>
      <c r="F11" s="601">
        <v>408179.43</v>
      </c>
      <c r="G11" s="602">
        <v>331.78</v>
      </c>
      <c r="H11" s="603">
        <v>291487.17</v>
      </c>
      <c r="I11" s="604">
        <v>351.40899999999999</v>
      </c>
      <c r="J11" s="605">
        <v>308672.76</v>
      </c>
      <c r="K11" s="606">
        <v>342.7</v>
      </c>
      <c r="L11" s="607">
        <v>329317.45</v>
      </c>
      <c r="M11" s="604">
        <v>348.19900000000001</v>
      </c>
      <c r="N11" s="608">
        <v>435820.61</v>
      </c>
      <c r="O11" s="609">
        <v>395.07</v>
      </c>
      <c r="P11" s="610">
        <v>447258.84</v>
      </c>
      <c r="Q11" s="604">
        <v>488.36853999999994</v>
      </c>
      <c r="R11" s="605">
        <v>622240.66</v>
      </c>
      <c r="S11" s="606">
        <v>1270.9222199999999</v>
      </c>
      <c r="T11" s="607">
        <v>2328539.54</v>
      </c>
      <c r="U11" s="604">
        <v>915.68881000000033</v>
      </c>
      <c r="V11" s="605">
        <v>2264081.6800000002</v>
      </c>
      <c r="W11" s="611">
        <v>1270.49648</v>
      </c>
      <c r="X11" s="612">
        <v>2435281.9699999997</v>
      </c>
      <c r="Y11" s="611">
        <v>1213.0371099999998</v>
      </c>
      <c r="Z11" s="613">
        <v>2450178.9799999995</v>
      </c>
      <c r="AA11" s="611">
        <v>1520.7624900000003</v>
      </c>
      <c r="AB11" s="613">
        <v>3100013.4299999997</v>
      </c>
      <c r="AC11" s="614">
        <f>1587.31192-AC26</f>
        <v>373.30252999999993</v>
      </c>
      <c r="AD11" s="615">
        <f>3.44655641-AD26</f>
        <v>0.93771235000000042</v>
      </c>
      <c r="AE11" s="616">
        <f>1793.55979-AE26</f>
        <v>903.26775999999995</v>
      </c>
      <c r="AF11" s="615">
        <f>3.785831-AF26</f>
        <v>2.0079916600000001</v>
      </c>
      <c r="AG11" s="617">
        <v>477.23299999999978</v>
      </c>
      <c r="AH11" s="615">
        <v>1.0559309999999995</v>
      </c>
      <c r="AI11" s="617">
        <v>370.87309999999985</v>
      </c>
      <c r="AJ11" s="615">
        <v>0.88941437000000012</v>
      </c>
      <c r="AK11" s="617">
        <v>348.48973999999998</v>
      </c>
      <c r="AL11" s="615">
        <v>0.89930543000000018</v>
      </c>
      <c r="AM11" s="616">
        <v>517.53159000000028</v>
      </c>
      <c r="AN11" s="615">
        <v>1.4005432699999996</v>
      </c>
      <c r="AO11" s="618">
        <v>507.77869999999996</v>
      </c>
      <c r="AP11" s="615">
        <v>1.3567123699999997</v>
      </c>
      <c r="AQ11" s="619">
        <v>417.11513000000014</v>
      </c>
      <c r="AR11" s="216">
        <v>1.10830837</v>
      </c>
      <c r="AS11" s="620"/>
      <c r="AT11" s="621"/>
      <c r="AU11" s="622">
        <v>1334.8589299999999</v>
      </c>
      <c r="AV11" s="623">
        <v>2930629.96</v>
      </c>
      <c r="AW11" s="622">
        <v>1454.67525</v>
      </c>
      <c r="AX11" s="623">
        <v>3213245.48</v>
      </c>
      <c r="AY11" s="622">
        <v>1461.0404199999998</v>
      </c>
      <c r="AZ11" s="623">
        <v>3250595.16</v>
      </c>
      <c r="BA11" s="624">
        <f>+AY11/AW11-1</f>
        <v>4.3756639153651467E-3</v>
      </c>
      <c r="BB11" s="625">
        <f>+AZ11/AX11-1</f>
        <v>1.1623662192158601E-2</v>
      </c>
      <c r="BC11" s="618">
        <v>511.02313000000368</v>
      </c>
      <c r="BD11" s="2612">
        <v>1.2770020799999999</v>
      </c>
      <c r="BE11" s="3171">
        <f>265.55357</f>
        <v>265.55356999999998</v>
      </c>
      <c r="BF11" s="3128">
        <f>0.71882745</f>
        <v>0.71882745000000003</v>
      </c>
      <c r="BG11" s="3198">
        <f t="shared" ref="BG11:BG21" si="0">BE11/BC11-1</f>
        <v>-0.4803492162869456</v>
      </c>
    </row>
    <row r="12" spans="2:59" s="599" customFormat="1" ht="16.5" customHeight="1">
      <c r="B12" s="2619"/>
      <c r="C12" s="598"/>
      <c r="D12" s="626"/>
      <c r="E12" s="600"/>
      <c r="F12" s="601"/>
      <c r="G12" s="602"/>
      <c r="H12" s="603"/>
      <c r="I12" s="604"/>
      <c r="J12" s="605"/>
      <c r="K12" s="606"/>
      <c r="L12" s="607"/>
      <c r="M12" s="604"/>
      <c r="N12" s="608"/>
      <c r="O12" s="609"/>
      <c r="P12" s="610"/>
      <c r="Q12" s="604"/>
      <c r="R12" s="605"/>
      <c r="S12" s="606"/>
      <c r="T12" s="607"/>
      <c r="U12" s="604"/>
      <c r="V12" s="605"/>
      <c r="W12" s="611"/>
      <c r="X12" s="612"/>
      <c r="Y12" s="611"/>
      <c r="Z12" s="613"/>
      <c r="AA12" s="611"/>
      <c r="AB12" s="613"/>
      <c r="AC12" s="614"/>
      <c r="AD12" s="627"/>
      <c r="AE12" s="616"/>
      <c r="AF12" s="628"/>
      <c r="AG12" s="617"/>
      <c r="AH12" s="629"/>
      <c r="AI12" s="617"/>
      <c r="AJ12" s="629"/>
      <c r="AK12" s="617"/>
      <c r="AL12" s="629"/>
      <c r="AM12" s="616"/>
      <c r="AN12" s="630"/>
      <c r="AO12" s="618"/>
      <c r="AP12" s="631"/>
      <c r="AQ12" s="619"/>
      <c r="AR12" s="216"/>
      <c r="AS12" s="620"/>
      <c r="AT12" s="621"/>
      <c r="AU12" s="622"/>
      <c r="AV12" s="623"/>
      <c r="AW12" s="622"/>
      <c r="AX12" s="623"/>
      <c r="AY12" s="622"/>
      <c r="AZ12" s="623"/>
      <c r="BA12" s="624"/>
      <c r="BB12" s="625"/>
      <c r="BC12" s="618"/>
      <c r="BD12" s="2612"/>
      <c r="BE12" s="3170"/>
      <c r="BF12" s="3128"/>
      <c r="BG12" s="3198"/>
    </row>
    <row r="13" spans="2:59" s="599" customFormat="1" ht="30" customHeight="1">
      <c r="B13" s="2619" t="s">
        <v>28</v>
      </c>
      <c r="C13" s="598">
        <v>434.9</v>
      </c>
      <c r="D13" s="626">
        <v>1459040.84</v>
      </c>
      <c r="E13" s="600">
        <v>328.71</v>
      </c>
      <c r="F13" s="601">
        <v>1278237.6200000001</v>
      </c>
      <c r="G13" s="602">
        <v>220.47</v>
      </c>
      <c r="H13" s="603">
        <v>871980.43</v>
      </c>
      <c r="I13" s="604">
        <v>197.34</v>
      </c>
      <c r="J13" s="605">
        <v>928486.24</v>
      </c>
      <c r="K13" s="606">
        <v>174.79</v>
      </c>
      <c r="L13" s="607">
        <v>1029274.32</v>
      </c>
      <c r="M13" s="604">
        <v>289.25900000000001</v>
      </c>
      <c r="N13" s="608">
        <v>1445767.22</v>
      </c>
      <c r="O13" s="609">
        <v>317.95999999999998</v>
      </c>
      <c r="P13" s="610">
        <v>1725395.02</v>
      </c>
      <c r="Q13" s="604">
        <v>384.42939999999999</v>
      </c>
      <c r="R13" s="605">
        <v>1836584.43</v>
      </c>
      <c r="S13" s="606">
        <v>366.66786999999999</v>
      </c>
      <c r="T13" s="607">
        <v>2092950.1800000002</v>
      </c>
      <c r="U13" s="604">
        <v>239.55410000000001</v>
      </c>
      <c r="V13" s="605">
        <v>1673442.79</v>
      </c>
      <c r="W13" s="611">
        <v>327.51177000000001</v>
      </c>
      <c r="X13" s="612">
        <v>2096300.05</v>
      </c>
      <c r="Y13" s="611">
        <v>322.82220000000001</v>
      </c>
      <c r="Z13" s="613">
        <v>2051729.45</v>
      </c>
      <c r="AA13" s="611">
        <v>315.13380999999998</v>
      </c>
      <c r="AB13" s="613">
        <v>2017976.17</v>
      </c>
      <c r="AC13" s="614">
        <v>300.15990999999997</v>
      </c>
      <c r="AD13" s="615">
        <v>2.04951733</v>
      </c>
      <c r="AE13" s="616">
        <v>321.39951000000002</v>
      </c>
      <c r="AF13" s="615">
        <v>2.16089054</v>
      </c>
      <c r="AG13" s="617">
        <v>339.28478999999999</v>
      </c>
      <c r="AH13" s="615">
        <v>2.3434704299999995</v>
      </c>
      <c r="AI13" s="617">
        <v>326.58933999999999</v>
      </c>
      <c r="AJ13" s="615">
        <v>2.1704768400000005</v>
      </c>
      <c r="AK13" s="617">
        <v>383.51138000000003</v>
      </c>
      <c r="AL13" s="615">
        <v>2.4918045699999998</v>
      </c>
      <c r="AM13" s="616">
        <v>329.68173000000002</v>
      </c>
      <c r="AN13" s="615">
        <v>2.2490027199999996</v>
      </c>
      <c r="AO13" s="618">
        <v>299.06259</v>
      </c>
      <c r="AP13" s="615">
        <v>2.1883316399999999</v>
      </c>
      <c r="AQ13" s="619">
        <v>327.24491999999998</v>
      </c>
      <c r="AR13" s="216">
        <v>2.2563237199999997</v>
      </c>
      <c r="AS13" s="620"/>
      <c r="AT13" s="621"/>
      <c r="AU13" s="622">
        <v>317.7</v>
      </c>
      <c r="AV13" s="623">
        <v>1922550</v>
      </c>
      <c r="AW13" s="622">
        <v>262.60000000000002</v>
      </c>
      <c r="AX13" s="623">
        <v>1643115</v>
      </c>
      <c r="AY13" s="622">
        <v>252.4</v>
      </c>
      <c r="AZ13" s="623">
        <v>1729600</v>
      </c>
      <c r="BA13" s="624">
        <f>+AY13/AW13-1</f>
        <v>-3.8842345773038911E-2</v>
      </c>
      <c r="BB13" s="625">
        <f>+AZ13/AX13-1</f>
        <v>5.2634782105938971E-2</v>
      </c>
      <c r="BC13" s="618">
        <v>290.40863818181799</v>
      </c>
      <c r="BD13" s="2612">
        <v>2.1818814</v>
      </c>
      <c r="BE13" s="3170">
        <v>256.10890999999998</v>
      </c>
      <c r="BF13" s="3128">
        <v>2.1288623799999997</v>
      </c>
      <c r="BG13" s="3198"/>
    </row>
    <row r="14" spans="2:59" s="599" customFormat="1" ht="16.5" customHeight="1">
      <c r="B14" s="2619"/>
      <c r="C14" s="598"/>
      <c r="D14" s="626"/>
      <c r="E14" s="600"/>
      <c r="F14" s="601"/>
      <c r="G14" s="602"/>
      <c r="H14" s="603"/>
      <c r="I14" s="604"/>
      <c r="J14" s="605"/>
      <c r="K14" s="606"/>
      <c r="L14" s="607"/>
      <c r="M14" s="604"/>
      <c r="N14" s="608"/>
      <c r="O14" s="609"/>
      <c r="P14" s="610"/>
      <c r="Q14" s="604"/>
      <c r="R14" s="605"/>
      <c r="S14" s="606"/>
      <c r="T14" s="607"/>
      <c r="U14" s="604"/>
      <c r="V14" s="605"/>
      <c r="W14" s="611"/>
      <c r="X14" s="612"/>
      <c r="Y14" s="611"/>
      <c r="Z14" s="613"/>
      <c r="AA14" s="611"/>
      <c r="AB14" s="613"/>
      <c r="AC14" s="614"/>
      <c r="AD14" s="627"/>
      <c r="AE14" s="616"/>
      <c r="AF14" s="628"/>
      <c r="AG14" s="617"/>
      <c r="AH14" s="629"/>
      <c r="AI14" s="617"/>
      <c r="AJ14" s="629"/>
      <c r="AK14" s="617"/>
      <c r="AL14" s="629"/>
      <c r="AM14" s="616"/>
      <c r="AN14" s="630"/>
      <c r="AO14" s="618"/>
      <c r="AP14" s="631"/>
      <c r="AQ14" s="619"/>
      <c r="AR14" s="216"/>
      <c r="AS14" s="620"/>
      <c r="AT14" s="621"/>
      <c r="AU14" s="622"/>
      <c r="AV14" s="623"/>
      <c r="AW14" s="622"/>
      <c r="AX14" s="623"/>
      <c r="AY14" s="622"/>
      <c r="AZ14" s="623"/>
      <c r="BA14" s="624"/>
      <c r="BB14" s="625"/>
      <c r="BC14" s="618"/>
      <c r="BD14" s="2612"/>
      <c r="BE14" s="3170"/>
      <c r="BF14" s="3128"/>
      <c r="BG14" s="3198"/>
    </row>
    <row r="15" spans="2:59" s="599" customFormat="1" ht="61.25" customHeight="1">
      <c r="B15" s="2620" t="s">
        <v>29</v>
      </c>
      <c r="C15" s="598">
        <v>478.08</v>
      </c>
      <c r="D15" s="626">
        <v>1054041.5900000001</v>
      </c>
      <c r="E15" s="1843">
        <v>404.05</v>
      </c>
      <c r="F15" s="1844">
        <v>916729.96</v>
      </c>
      <c r="G15" s="1845">
        <v>352.45</v>
      </c>
      <c r="H15" s="1846">
        <v>903594.14</v>
      </c>
      <c r="I15" s="1847">
        <v>285.12400000000002</v>
      </c>
      <c r="J15" s="1848">
        <v>843935.68</v>
      </c>
      <c r="K15" s="1849">
        <v>287.08999999999997</v>
      </c>
      <c r="L15" s="1850">
        <v>1015054.11</v>
      </c>
      <c r="M15" s="1847">
        <v>358.51799999999997</v>
      </c>
      <c r="N15" s="1851">
        <v>1261125.8500000001</v>
      </c>
      <c r="O15" s="1852">
        <v>373.1</v>
      </c>
      <c r="P15" s="1853">
        <v>1464277.46</v>
      </c>
      <c r="Q15" s="1847">
        <v>362.10122999999999</v>
      </c>
      <c r="R15" s="1848">
        <v>1390234.78</v>
      </c>
      <c r="S15" s="1849">
        <v>401.18225999999999</v>
      </c>
      <c r="T15" s="1850">
        <v>1696425.6300000001</v>
      </c>
      <c r="U15" s="1847">
        <v>384.78301999999996</v>
      </c>
      <c r="V15" s="1848">
        <v>1577310.8800000001</v>
      </c>
      <c r="W15" s="1854">
        <v>423.94195299999996</v>
      </c>
      <c r="X15" s="1855">
        <v>1739286.02</v>
      </c>
      <c r="Y15" s="1854">
        <v>488.59858999999994</v>
      </c>
      <c r="Z15" s="1856">
        <v>1817597.73</v>
      </c>
      <c r="AA15" s="1854">
        <v>544.44639000000006</v>
      </c>
      <c r="AB15" s="1856">
        <v>2080318.98</v>
      </c>
      <c r="AC15" s="614">
        <v>559.11968000000002</v>
      </c>
      <c r="AD15" s="736">
        <v>2.2612310999999998</v>
      </c>
      <c r="AE15" s="616">
        <v>610.77063999999996</v>
      </c>
      <c r="AF15" s="736">
        <v>2.6700708799999999</v>
      </c>
      <c r="AG15" s="617">
        <v>608.19131999999991</v>
      </c>
      <c r="AH15" s="736">
        <v>2.76137275</v>
      </c>
      <c r="AI15" s="617">
        <v>629.47059999999988</v>
      </c>
      <c r="AJ15" s="736">
        <v>2.6854202200000001</v>
      </c>
      <c r="AK15" s="617">
        <v>678.14962000000003</v>
      </c>
      <c r="AL15" s="736">
        <v>3.02611439</v>
      </c>
      <c r="AM15" s="616">
        <v>732.19629999999995</v>
      </c>
      <c r="AN15" s="736">
        <v>3.4950890999999999</v>
      </c>
      <c r="AO15" s="618">
        <v>702.41368999999997</v>
      </c>
      <c r="AP15" s="736">
        <v>3.1840456800000001</v>
      </c>
      <c r="AQ15" s="619">
        <v>637.64062000000001</v>
      </c>
      <c r="AR15" s="1863">
        <v>2.94300709</v>
      </c>
      <c r="AS15" s="1857"/>
      <c r="AT15" s="1858"/>
      <c r="AU15" s="1859">
        <v>523.29999999999995</v>
      </c>
      <c r="AV15" s="1860">
        <v>2242060</v>
      </c>
      <c r="AW15" s="1859">
        <v>534.70000000000005</v>
      </c>
      <c r="AX15" s="1860">
        <v>2489991</v>
      </c>
      <c r="AY15" s="1859">
        <v>533.1</v>
      </c>
      <c r="AZ15" s="1860">
        <v>2446512</v>
      </c>
      <c r="BA15" s="1861">
        <f>+AY15/AW15-1</f>
        <v>-2.9923321488685151E-3</v>
      </c>
      <c r="BB15" s="1862">
        <f>+AZ15/AX15-1</f>
        <v>-1.7461508897020139E-2</v>
      </c>
      <c r="BC15" s="618">
        <v>682.57622636363601</v>
      </c>
      <c r="BD15" s="2612">
        <v>3.41689759</v>
      </c>
      <c r="BE15" s="3170">
        <v>650.80607000000009</v>
      </c>
      <c r="BF15" s="3128">
        <v>3.3677620900000003</v>
      </c>
      <c r="BG15" s="3198">
        <f t="shared" si="0"/>
        <v>-4.6544481241148072E-2</v>
      </c>
    </row>
    <row r="16" spans="2:59" s="599" customFormat="1" ht="16.5" customHeight="1">
      <c r="B16" s="2619"/>
      <c r="C16" s="598"/>
      <c r="D16" s="626"/>
      <c r="E16" s="600"/>
      <c r="F16" s="601"/>
      <c r="G16" s="602"/>
      <c r="H16" s="603"/>
      <c r="I16" s="604"/>
      <c r="J16" s="605"/>
      <c r="K16" s="606"/>
      <c r="L16" s="607"/>
      <c r="M16" s="604"/>
      <c r="N16" s="608"/>
      <c r="O16" s="609"/>
      <c r="P16" s="610"/>
      <c r="Q16" s="604"/>
      <c r="R16" s="605"/>
      <c r="S16" s="606"/>
      <c r="T16" s="607"/>
      <c r="U16" s="604"/>
      <c r="V16" s="605"/>
      <c r="W16" s="611"/>
      <c r="X16" s="612"/>
      <c r="Y16" s="611"/>
      <c r="Z16" s="613"/>
      <c r="AA16" s="611"/>
      <c r="AB16" s="613"/>
      <c r="AC16" s="614"/>
      <c r="AD16" s="627"/>
      <c r="AE16" s="616"/>
      <c r="AF16" s="628"/>
      <c r="AG16" s="617"/>
      <c r="AH16" s="629"/>
      <c r="AI16" s="617"/>
      <c r="AJ16" s="629"/>
      <c r="AK16" s="617"/>
      <c r="AL16" s="629"/>
      <c r="AM16" s="616"/>
      <c r="AN16" s="629"/>
      <c r="AO16" s="618"/>
      <c r="AP16" s="631"/>
      <c r="AQ16" s="619"/>
      <c r="AR16" s="216"/>
      <c r="AS16" s="620"/>
      <c r="AT16" s="621"/>
      <c r="AU16" s="622"/>
      <c r="AV16" s="635"/>
      <c r="AW16" s="622"/>
      <c r="AX16" s="635"/>
      <c r="AY16" s="622"/>
      <c r="AZ16" s="635"/>
      <c r="BA16" s="624"/>
      <c r="BB16" s="625"/>
      <c r="BC16" s="618"/>
      <c r="BD16" s="2612"/>
      <c r="BE16" s="3170"/>
      <c r="BF16" s="3128"/>
      <c r="BG16" s="3198"/>
    </row>
    <row r="17" spans="2:59" s="599" customFormat="1" ht="30" customHeight="1">
      <c r="B17" s="2619" t="s">
        <v>30</v>
      </c>
      <c r="C17" s="598">
        <v>442.33</v>
      </c>
      <c r="D17" s="626">
        <v>1075775.3700000001</v>
      </c>
      <c r="E17" s="600">
        <v>433.91</v>
      </c>
      <c r="F17" s="601">
        <v>843808.45</v>
      </c>
      <c r="G17" s="602">
        <v>265.12</v>
      </c>
      <c r="H17" s="603">
        <v>675559.18</v>
      </c>
      <c r="I17" s="604">
        <v>280.35500000000002</v>
      </c>
      <c r="J17" s="605">
        <v>723471.75</v>
      </c>
      <c r="K17" s="606">
        <v>211.9</v>
      </c>
      <c r="L17" s="607">
        <v>616919.69999999995</v>
      </c>
      <c r="M17" s="604">
        <v>252.56299999999999</v>
      </c>
      <c r="N17" s="608">
        <v>901379.97</v>
      </c>
      <c r="O17" s="609">
        <v>260.86</v>
      </c>
      <c r="P17" s="610">
        <v>944852.33</v>
      </c>
      <c r="Q17" s="604">
        <v>288.12843999999996</v>
      </c>
      <c r="R17" s="605">
        <v>1039189.28</v>
      </c>
      <c r="S17" s="606">
        <v>301.47063000000003</v>
      </c>
      <c r="T17" s="607">
        <v>1069478.44</v>
      </c>
      <c r="U17" s="604">
        <v>187.09040999999996</v>
      </c>
      <c r="V17" s="605">
        <v>763927.58000000007</v>
      </c>
      <c r="W17" s="611">
        <v>290.76945000000006</v>
      </c>
      <c r="X17" s="612">
        <v>1191252.06</v>
      </c>
      <c r="Y17" s="611">
        <v>309.89749</v>
      </c>
      <c r="Z17" s="613">
        <v>1080816.25</v>
      </c>
      <c r="AA17" s="611">
        <v>338.98690000000005</v>
      </c>
      <c r="AB17" s="613">
        <v>1376552.26</v>
      </c>
      <c r="AC17" s="614">
        <v>266.80046999999996</v>
      </c>
      <c r="AD17" s="615">
        <v>1.2364504300000001</v>
      </c>
      <c r="AE17" s="616">
        <v>281.49670000000003</v>
      </c>
      <c r="AF17" s="615">
        <v>1.2247815399999999</v>
      </c>
      <c r="AG17" s="617">
        <v>358.37633</v>
      </c>
      <c r="AH17" s="615">
        <v>1.5547031400000002</v>
      </c>
      <c r="AI17" s="617">
        <v>332.43945000000002</v>
      </c>
      <c r="AJ17" s="615">
        <v>1.41817437</v>
      </c>
      <c r="AK17" s="617">
        <v>384.16502000000003</v>
      </c>
      <c r="AL17" s="615">
        <v>1.53855772</v>
      </c>
      <c r="AM17" s="616">
        <v>307.55966999999998</v>
      </c>
      <c r="AN17" s="615">
        <v>1.4727682999999998</v>
      </c>
      <c r="AO17" s="618">
        <v>286.32620000000003</v>
      </c>
      <c r="AP17" s="615">
        <v>1.43278193</v>
      </c>
      <c r="AQ17" s="619">
        <v>349.86860999999999</v>
      </c>
      <c r="AR17" s="216">
        <v>1.47797069</v>
      </c>
      <c r="AS17" s="620"/>
      <c r="AT17" s="621"/>
      <c r="AU17" s="622">
        <v>269.8</v>
      </c>
      <c r="AV17" s="635">
        <v>1084324</v>
      </c>
      <c r="AW17" s="622">
        <v>199.4</v>
      </c>
      <c r="AX17" s="635">
        <v>933185</v>
      </c>
      <c r="AY17" s="622">
        <v>190.2</v>
      </c>
      <c r="AZ17" s="635">
        <v>919384</v>
      </c>
      <c r="BA17" s="624">
        <f>+AY17/AW17-1</f>
        <v>-4.6138415245737252E-2</v>
      </c>
      <c r="BB17" s="625">
        <f>+AZ17/AX17-1</f>
        <v>-1.4789136130563652E-2</v>
      </c>
      <c r="BC17" s="618">
        <v>334.865227272727</v>
      </c>
      <c r="BD17" s="2612">
        <v>1.63035844</v>
      </c>
      <c r="BE17" s="3170">
        <v>272.19781</v>
      </c>
      <c r="BF17" s="3128">
        <v>1.33990046</v>
      </c>
      <c r="BG17" s="3198">
        <f t="shared" si="0"/>
        <v>-0.18714220578563767</v>
      </c>
    </row>
    <row r="18" spans="2:59" s="599" customFormat="1" ht="16.5" customHeight="1">
      <c r="B18" s="2619"/>
      <c r="C18" s="598"/>
      <c r="D18" s="626"/>
      <c r="E18" s="600"/>
      <c r="F18" s="601"/>
      <c r="G18" s="602"/>
      <c r="H18" s="603"/>
      <c r="I18" s="604"/>
      <c r="J18" s="605"/>
      <c r="K18" s="606"/>
      <c r="L18" s="607"/>
      <c r="M18" s="604"/>
      <c r="N18" s="608"/>
      <c r="O18" s="609"/>
      <c r="P18" s="610"/>
      <c r="Q18" s="604"/>
      <c r="R18" s="605"/>
      <c r="S18" s="606"/>
      <c r="T18" s="607"/>
      <c r="U18" s="604"/>
      <c r="V18" s="605"/>
      <c r="W18" s="611"/>
      <c r="X18" s="612"/>
      <c r="Y18" s="611"/>
      <c r="Z18" s="613"/>
      <c r="AA18" s="611"/>
      <c r="AB18" s="613"/>
      <c r="AC18" s="614"/>
      <c r="AD18" s="627"/>
      <c r="AE18" s="616"/>
      <c r="AF18" s="628"/>
      <c r="AG18" s="617"/>
      <c r="AH18" s="629"/>
      <c r="AI18" s="617"/>
      <c r="AJ18" s="629"/>
      <c r="AK18" s="617"/>
      <c r="AL18" s="629"/>
      <c r="AM18" s="616"/>
      <c r="AN18" s="629"/>
      <c r="AO18" s="618"/>
      <c r="AP18" s="631"/>
      <c r="AQ18" s="619"/>
      <c r="AR18" s="216"/>
      <c r="AS18" s="620"/>
      <c r="AT18" s="621"/>
      <c r="AU18" s="622"/>
      <c r="AV18" s="635"/>
      <c r="AW18" s="622"/>
      <c r="AX18" s="635"/>
      <c r="AY18" s="622"/>
      <c r="AZ18" s="635"/>
      <c r="BA18" s="624"/>
      <c r="BB18" s="625"/>
      <c r="BC18" s="618"/>
      <c r="BD18" s="2612"/>
      <c r="BE18" s="3170"/>
      <c r="BF18" s="3128"/>
      <c r="BG18" s="3198"/>
    </row>
    <row r="19" spans="2:59" s="599" customFormat="1" ht="30" customHeight="1">
      <c r="B19" s="2619" t="s">
        <v>31</v>
      </c>
      <c r="C19" s="598">
        <v>46.57</v>
      </c>
      <c r="D19" s="626">
        <v>263610.65000000002</v>
      </c>
      <c r="E19" s="600">
        <v>49.41</v>
      </c>
      <c r="F19" s="601">
        <v>302117.90000000002</v>
      </c>
      <c r="G19" s="602">
        <v>45.01</v>
      </c>
      <c r="H19" s="603">
        <v>267744.51</v>
      </c>
      <c r="I19" s="604">
        <v>32.877000000000002</v>
      </c>
      <c r="J19" s="605">
        <v>230728.32000000001</v>
      </c>
      <c r="K19" s="606">
        <v>30.8</v>
      </c>
      <c r="L19" s="607">
        <v>276736.12</v>
      </c>
      <c r="M19" s="604">
        <v>35.155000000000001</v>
      </c>
      <c r="N19" s="608">
        <v>272227.15000000002</v>
      </c>
      <c r="O19" s="609">
        <v>42.87</v>
      </c>
      <c r="P19" s="610">
        <v>400871.16</v>
      </c>
      <c r="Q19" s="604">
        <v>45.542139999999996</v>
      </c>
      <c r="R19" s="605">
        <v>363605.4</v>
      </c>
      <c r="S19" s="606">
        <v>50.353379999999994</v>
      </c>
      <c r="T19" s="607">
        <v>446386.25</v>
      </c>
      <c r="U19" s="604">
        <v>41.852330000000002</v>
      </c>
      <c r="V19" s="605">
        <v>429243.45999999996</v>
      </c>
      <c r="W19" s="611">
        <v>55.312190000000001</v>
      </c>
      <c r="X19" s="612">
        <v>490345.04</v>
      </c>
      <c r="Y19" s="611">
        <v>66.056200000000004</v>
      </c>
      <c r="Z19" s="613">
        <v>553659.5</v>
      </c>
      <c r="AA19" s="611">
        <v>69.498019999999983</v>
      </c>
      <c r="AB19" s="613">
        <v>566475.36</v>
      </c>
      <c r="AC19" s="614">
        <v>67.34053999999999</v>
      </c>
      <c r="AD19" s="615">
        <v>0.57917547000000003</v>
      </c>
      <c r="AE19" s="616">
        <v>77.181769999999986</v>
      </c>
      <c r="AF19" s="615">
        <v>0.67547784999999994</v>
      </c>
      <c r="AG19" s="617">
        <v>73.95038000000001</v>
      </c>
      <c r="AH19" s="615">
        <v>0.66476749000000002</v>
      </c>
      <c r="AI19" s="617">
        <v>73.459989999999991</v>
      </c>
      <c r="AJ19" s="615">
        <v>0.72181369000000006</v>
      </c>
      <c r="AK19" s="617">
        <v>81.020270000000011</v>
      </c>
      <c r="AL19" s="615">
        <v>0.76583395999999992</v>
      </c>
      <c r="AM19" s="616">
        <v>75.923839999999998</v>
      </c>
      <c r="AN19" s="615">
        <v>0.74057614999999988</v>
      </c>
      <c r="AO19" s="618">
        <v>71.531929999999988</v>
      </c>
      <c r="AP19" s="615">
        <v>0.84787120999999999</v>
      </c>
      <c r="AQ19" s="619">
        <v>76.236159999999984</v>
      </c>
      <c r="AR19" s="216">
        <v>0.78355656000000007</v>
      </c>
      <c r="AS19" s="620"/>
      <c r="AT19" s="621"/>
      <c r="AU19" s="622">
        <v>65.2</v>
      </c>
      <c r="AV19" s="635">
        <v>588882</v>
      </c>
      <c r="AW19" s="622">
        <v>61.1</v>
      </c>
      <c r="AX19" s="635">
        <v>573915</v>
      </c>
      <c r="AY19" s="622">
        <v>56</v>
      </c>
      <c r="AZ19" s="635">
        <v>656244</v>
      </c>
      <c r="BA19" s="624">
        <f>+AY19/AW19-1</f>
        <v>-8.3469721767594152E-2</v>
      </c>
      <c r="BB19" s="625">
        <f>+AZ19/AX19-1</f>
        <v>0.14345155641514862</v>
      </c>
      <c r="BC19" s="618">
        <v>80.337388484818206</v>
      </c>
      <c r="BD19" s="2612">
        <v>0.84011406000000011</v>
      </c>
      <c r="BE19" s="3170">
        <v>65.608609999999999</v>
      </c>
      <c r="BF19" s="3128">
        <v>0.74118987000000003</v>
      </c>
      <c r="BG19" s="3198">
        <f t="shared" si="0"/>
        <v>-0.18333653561070862</v>
      </c>
    </row>
    <row r="20" spans="2:59" s="599" customFormat="1" ht="16.5" customHeight="1">
      <c r="B20" s="2619"/>
      <c r="C20" s="598"/>
      <c r="D20" s="626"/>
      <c r="E20" s="600"/>
      <c r="F20" s="601"/>
      <c r="G20" s="602"/>
      <c r="H20" s="603"/>
      <c r="I20" s="604"/>
      <c r="J20" s="605"/>
      <c r="K20" s="606"/>
      <c r="L20" s="607"/>
      <c r="M20" s="604"/>
      <c r="N20" s="608"/>
      <c r="O20" s="609"/>
      <c r="P20" s="610"/>
      <c r="Q20" s="604"/>
      <c r="R20" s="605"/>
      <c r="S20" s="606"/>
      <c r="T20" s="607"/>
      <c r="U20" s="604"/>
      <c r="V20" s="605"/>
      <c r="W20" s="611"/>
      <c r="X20" s="612"/>
      <c r="Y20" s="611"/>
      <c r="Z20" s="613"/>
      <c r="AA20" s="611"/>
      <c r="AB20" s="613"/>
      <c r="AC20" s="614"/>
      <c r="AD20" s="627"/>
      <c r="AE20" s="616"/>
      <c r="AF20" s="628"/>
      <c r="AG20" s="617"/>
      <c r="AH20" s="629"/>
      <c r="AI20" s="617"/>
      <c r="AJ20" s="629"/>
      <c r="AK20" s="617"/>
      <c r="AL20" s="629"/>
      <c r="AM20" s="616"/>
      <c r="AN20" s="629"/>
      <c r="AO20" s="618"/>
      <c r="AP20" s="631"/>
      <c r="AQ20" s="619"/>
      <c r="AR20" s="216"/>
      <c r="AS20" s="620"/>
      <c r="AT20" s="621"/>
      <c r="AU20" s="622"/>
      <c r="AV20" s="635"/>
      <c r="AW20" s="622"/>
      <c r="AX20" s="635"/>
      <c r="AY20" s="622"/>
      <c r="AZ20" s="635"/>
      <c r="BA20" s="624"/>
      <c r="BB20" s="625"/>
      <c r="BC20" s="618"/>
      <c r="BD20" s="2612"/>
      <c r="BE20" s="3170"/>
      <c r="BF20" s="3128"/>
      <c r="BG20" s="3198"/>
    </row>
    <row r="21" spans="2:59" s="599" customFormat="1" ht="30" customHeight="1">
      <c r="B21" s="2619" t="s">
        <v>443</v>
      </c>
      <c r="C21" s="598"/>
      <c r="D21" s="626"/>
      <c r="E21" s="600"/>
      <c r="F21" s="601"/>
      <c r="G21" s="602"/>
      <c r="H21" s="603"/>
      <c r="I21" s="604">
        <v>0.23000000000001819</v>
      </c>
      <c r="J21" s="605">
        <v>1793.1896515043329</v>
      </c>
      <c r="K21" s="606">
        <v>0.32000000000016371</v>
      </c>
      <c r="L21" s="607">
        <v>2494.872558615803</v>
      </c>
      <c r="M21" s="604">
        <v>2.6870000000001255</v>
      </c>
      <c r="N21" s="608">
        <v>15016.071701918867</v>
      </c>
      <c r="O21" s="609">
        <v>0.23999999999978172</v>
      </c>
      <c r="P21" s="610">
        <v>1341.2196533148797</v>
      </c>
      <c r="Q21" s="604">
        <v>1.1750500000000001</v>
      </c>
      <c r="R21" s="605">
        <v>9161.25</v>
      </c>
      <c r="S21" s="606">
        <v>2.9554300000000002</v>
      </c>
      <c r="T21" s="607">
        <v>16516.170000000002</v>
      </c>
      <c r="U21" s="604">
        <v>6.6479999999999997E-2</v>
      </c>
      <c r="V21" s="605">
        <v>219.38</v>
      </c>
      <c r="W21" s="611">
        <v>10.37</v>
      </c>
      <c r="X21" s="612">
        <v>30141.980000000003</v>
      </c>
      <c r="Y21" s="611">
        <v>4.5606599999999995</v>
      </c>
      <c r="Z21" s="613">
        <v>22873.269999999997</v>
      </c>
      <c r="AA21" s="611">
        <v>19.943510000000003</v>
      </c>
      <c r="AB21" s="613">
        <v>140027.43</v>
      </c>
      <c r="AC21" s="636">
        <v>34.214220000000005</v>
      </c>
      <c r="AD21" s="615">
        <v>0.31705740999999998</v>
      </c>
      <c r="AE21" s="637">
        <v>54.091619999999992</v>
      </c>
      <c r="AF21" s="216">
        <v>0.4667943</v>
      </c>
      <c r="AG21" s="617">
        <v>44.55153</v>
      </c>
      <c r="AH21" s="615">
        <v>0.37719236</v>
      </c>
      <c r="AI21" s="617">
        <v>50.406669999999998</v>
      </c>
      <c r="AJ21" s="615">
        <v>0.46216633999999995</v>
      </c>
      <c r="AK21" s="617">
        <v>48.031930000000003</v>
      </c>
      <c r="AL21" s="615">
        <v>0.45040004000000006</v>
      </c>
      <c r="AM21" s="616">
        <v>53.656739999999999</v>
      </c>
      <c r="AN21" s="615">
        <v>0.51005084999999994</v>
      </c>
      <c r="AO21" s="618">
        <v>44.93629</v>
      </c>
      <c r="AP21" s="615">
        <v>0.50512066</v>
      </c>
      <c r="AQ21" s="619">
        <v>41.021709999999999</v>
      </c>
      <c r="AR21" s="216">
        <v>0.48434015000000002</v>
      </c>
      <c r="AS21" s="620"/>
      <c r="AT21" s="621"/>
      <c r="AU21" s="622">
        <v>39.1</v>
      </c>
      <c r="AV21" s="635">
        <v>353072</v>
      </c>
      <c r="AW21" s="622">
        <v>40.700000000000003</v>
      </c>
      <c r="AX21" s="635">
        <v>368123</v>
      </c>
      <c r="AY21" s="622">
        <v>35.4</v>
      </c>
      <c r="AZ21" s="635">
        <v>350045</v>
      </c>
      <c r="BA21" s="624">
        <f>+AY21/AW21-1</f>
        <v>-0.13022113022113035</v>
      </c>
      <c r="BB21" s="625">
        <f>+AZ21/AX21-1</f>
        <v>-4.9108585988922204E-2</v>
      </c>
      <c r="BC21" s="618">
        <v>40.726430000000001</v>
      </c>
      <c r="BD21" s="2612">
        <v>0.73444611000000015</v>
      </c>
      <c r="BE21" s="3170">
        <v>19.081010000000003</v>
      </c>
      <c r="BF21" s="3128">
        <v>0.17207166999999998</v>
      </c>
      <c r="BG21" s="3198">
        <f t="shared" si="0"/>
        <v>-0.53148336350620462</v>
      </c>
    </row>
    <row r="22" spans="2:59" s="599" customFormat="1" ht="16.5" customHeight="1">
      <c r="B22" s="597"/>
      <c r="C22" s="598"/>
      <c r="D22" s="626"/>
      <c r="E22" s="600"/>
      <c r="F22" s="601"/>
      <c r="G22" s="602"/>
      <c r="H22" s="603"/>
      <c r="I22" s="638"/>
      <c r="J22" s="639"/>
      <c r="K22" s="640"/>
      <c r="L22" s="641"/>
      <c r="M22" s="638"/>
      <c r="N22" s="642"/>
      <c r="O22" s="643"/>
      <c r="P22" s="644"/>
      <c r="Q22" s="638"/>
      <c r="R22" s="639"/>
      <c r="S22" s="640"/>
      <c r="T22" s="607"/>
      <c r="U22" s="638"/>
      <c r="V22" s="605"/>
      <c r="W22" s="611"/>
      <c r="X22" s="645"/>
      <c r="Y22" s="611"/>
      <c r="Z22" s="646"/>
      <c r="AA22" s="611"/>
      <c r="AB22" s="646"/>
      <c r="AC22" s="647"/>
      <c r="AD22" s="648"/>
      <c r="AE22" s="637"/>
      <c r="AF22" s="628"/>
      <c r="AG22" s="649"/>
      <c r="AH22" s="590"/>
      <c r="AI22" s="649"/>
      <c r="AJ22" s="590"/>
      <c r="AK22" s="649"/>
      <c r="AL22" s="590"/>
      <c r="AM22" s="650"/>
      <c r="AN22" s="651"/>
      <c r="AO22" s="652"/>
      <c r="AP22" s="653"/>
      <c r="AQ22" s="654"/>
      <c r="AR22" s="655"/>
      <c r="AS22" s="656"/>
      <c r="AT22" s="657"/>
      <c r="AU22" s="658"/>
      <c r="AV22" s="659"/>
      <c r="AW22" s="658"/>
      <c r="AX22" s="659"/>
      <c r="AY22" s="658"/>
      <c r="AZ22" s="659"/>
      <c r="BA22" s="660"/>
      <c r="BB22" s="661"/>
      <c r="BC22" s="2600"/>
      <c r="BD22" s="2610"/>
      <c r="BE22" s="3172"/>
      <c r="BF22" s="3127"/>
      <c r="BG22" s="3180"/>
    </row>
    <row r="23" spans="2:59" s="599" customFormat="1" ht="30" customHeight="1" thickBot="1">
      <c r="B23" s="1829" t="s">
        <v>1420</v>
      </c>
      <c r="C23" s="662">
        <v>2933.14</v>
      </c>
      <c r="D23" s="663">
        <v>5458784.7999999998</v>
      </c>
      <c r="E23" s="664">
        <v>2438.2600000000002</v>
      </c>
      <c r="F23" s="665">
        <v>4611622.6399999997</v>
      </c>
      <c r="G23" s="666">
        <v>1846.58</v>
      </c>
      <c r="H23" s="667">
        <v>3921709.27</v>
      </c>
      <c r="I23" s="668">
        <f>SUM(I9:I21)</f>
        <v>1644.56</v>
      </c>
      <c r="J23" s="669">
        <f>SUM(J9:J21)</f>
        <v>3706686.1696515041</v>
      </c>
      <c r="K23" s="670">
        <f>SUM(K9:K21)</f>
        <v>1457.38</v>
      </c>
      <c r="L23" s="671">
        <f t="shared" ref="L23:X23" si="1">SUM(L9:L21)</f>
        <v>3953735.7125586155</v>
      </c>
      <c r="M23" s="668">
        <f t="shared" si="1"/>
        <v>1764.81</v>
      </c>
      <c r="N23" s="672">
        <f t="shared" si="1"/>
        <v>5168277.3217019197</v>
      </c>
      <c r="O23" s="673">
        <f t="shared" si="1"/>
        <v>1907.79</v>
      </c>
      <c r="P23" s="669">
        <f t="shared" si="1"/>
        <v>5956061.0796533152</v>
      </c>
      <c r="Q23" s="668">
        <f t="shared" si="1"/>
        <v>2579.1999999999998</v>
      </c>
      <c r="R23" s="669">
        <f t="shared" si="1"/>
        <v>7330737.5700000012</v>
      </c>
      <c r="S23" s="670">
        <f t="shared" si="1"/>
        <v>2833.6624299999999</v>
      </c>
      <c r="T23" s="671">
        <f t="shared" si="1"/>
        <v>8545075.1699999999</v>
      </c>
      <c r="U23" s="668">
        <f t="shared" si="1"/>
        <v>2128.0400000000004</v>
      </c>
      <c r="V23" s="669">
        <f t="shared" si="1"/>
        <v>7523524.4900000002</v>
      </c>
      <c r="W23" s="668">
        <f t="shared" si="1"/>
        <v>2806.7744500000003</v>
      </c>
      <c r="X23" s="674">
        <f t="shared" si="1"/>
        <v>8963827.7400000002</v>
      </c>
      <c r="Y23" s="668">
        <f t="shared" ref="Y23:AH23" si="2">SUM(Y9:Y21)</f>
        <v>2925.2013499999998</v>
      </c>
      <c r="Z23" s="669">
        <f t="shared" si="2"/>
        <v>9155059.1199999992</v>
      </c>
      <c r="AA23" s="668">
        <f t="shared" si="2"/>
        <v>3377.7387100000001</v>
      </c>
      <c r="AB23" s="669">
        <f t="shared" si="2"/>
        <v>10665774.929999998</v>
      </c>
      <c r="AC23" s="1830">
        <f t="shared" si="2"/>
        <v>2164.3522399999997</v>
      </c>
      <c r="AD23" s="1831">
        <f t="shared" si="2"/>
        <v>8.9231713299999988</v>
      </c>
      <c r="AE23" s="1830">
        <f t="shared" si="2"/>
        <v>2926.5459800000003</v>
      </c>
      <c r="AF23" s="1831">
        <f t="shared" si="2"/>
        <v>11.217535700000001</v>
      </c>
      <c r="AG23" s="1830">
        <f t="shared" si="2"/>
        <v>2557.2847299999999</v>
      </c>
      <c r="AH23" s="1831">
        <f t="shared" si="2"/>
        <v>10.845389549999998</v>
      </c>
      <c r="AI23" s="1830">
        <f>SUM(AI9:AI21)</f>
        <v>2352.0766399999993</v>
      </c>
      <c r="AJ23" s="1831">
        <f>SUM(AJ9:AJ21)</f>
        <v>10.28613726</v>
      </c>
      <c r="AK23" s="1832">
        <f t="shared" ref="AK23:AR23" si="3">+SUM(AK9:AK21)</f>
        <v>2527.77252</v>
      </c>
      <c r="AL23" s="1833">
        <f t="shared" si="3"/>
        <v>11.340531909999999</v>
      </c>
      <c r="AM23" s="1830">
        <f t="shared" si="3"/>
        <v>2742.8580700000002</v>
      </c>
      <c r="AN23" s="1831">
        <f t="shared" si="3"/>
        <v>12.581269910000001</v>
      </c>
      <c r="AO23" s="1830">
        <f t="shared" si="3"/>
        <v>2647.2168799999999</v>
      </c>
      <c r="AP23" s="1831">
        <f t="shared" si="3"/>
        <v>12.119963029999999</v>
      </c>
      <c r="AQ23" s="1832">
        <f t="shared" si="3"/>
        <v>2502.2676700000002</v>
      </c>
      <c r="AR23" s="1831">
        <f t="shared" si="3"/>
        <v>11.434709929999999</v>
      </c>
      <c r="AS23" s="1831">
        <f t="shared" ref="AS23:BF23" si="4">+SUM(AS9:AS21)</f>
        <v>0</v>
      </c>
      <c r="AT23" s="1831">
        <f t="shared" si="4"/>
        <v>0</v>
      </c>
      <c r="AU23" s="1831">
        <f t="shared" si="4"/>
        <v>2962.9531699999993</v>
      </c>
      <c r="AV23" s="1831">
        <f t="shared" si="4"/>
        <v>10580695.33</v>
      </c>
      <c r="AW23" s="1831">
        <f t="shared" si="4"/>
        <v>3055.3585299999995</v>
      </c>
      <c r="AX23" s="1831">
        <f t="shared" si="4"/>
        <v>11058198.92</v>
      </c>
      <c r="AY23" s="1831">
        <f t="shared" si="4"/>
        <v>3099.0547099999999</v>
      </c>
      <c r="AZ23" s="1831">
        <f t="shared" si="4"/>
        <v>11300510.18</v>
      </c>
      <c r="BA23" s="1831">
        <f t="shared" si="4"/>
        <v>-0.16042388782671102</v>
      </c>
      <c r="BB23" s="1831">
        <f t="shared" si="4"/>
        <v>0.18706300763254824</v>
      </c>
      <c r="BC23" s="2603">
        <f t="shared" si="4"/>
        <v>2598.1628366666391</v>
      </c>
      <c r="BD23" s="1831">
        <f t="shared" si="4"/>
        <v>12.51908959</v>
      </c>
      <c r="BE23" s="2603">
        <f t="shared" si="4"/>
        <v>2148.2682199999999</v>
      </c>
      <c r="BF23" s="3032">
        <f t="shared" si="4"/>
        <v>10.922253829999997</v>
      </c>
      <c r="BG23" s="3180"/>
    </row>
    <row r="24" spans="2:59" s="599" customFormat="1" ht="30" customHeight="1" thickBot="1">
      <c r="B24" s="2623" t="s">
        <v>397</v>
      </c>
      <c r="C24" s="675"/>
      <c r="D24" s="676"/>
      <c r="E24" s="677">
        <v>-0.16872021110482271</v>
      </c>
      <c r="F24" s="678">
        <v>-0.155</v>
      </c>
      <c r="G24" s="679">
        <v>-0.24266485116435499</v>
      </c>
      <c r="H24" s="680">
        <v>-0.14960317091339459</v>
      </c>
      <c r="I24" s="681">
        <v>-0.10952680089679301</v>
      </c>
      <c r="J24" s="682">
        <v>-5.5286171175050081E-2</v>
      </c>
      <c r="K24" s="683">
        <v>-0.12379999999999999</v>
      </c>
      <c r="L24" s="678">
        <v>6.6500000000000004E-2</v>
      </c>
      <c r="M24" s="684">
        <f t="shared" ref="M24:T24" si="5">M23/K23-1</f>
        <v>0.21094704195199587</v>
      </c>
      <c r="N24" s="678">
        <f t="shared" si="5"/>
        <v>0.30718836498996227</v>
      </c>
      <c r="O24" s="677">
        <f t="shared" si="5"/>
        <v>8.1017219984020894E-2</v>
      </c>
      <c r="P24" s="682">
        <f t="shared" si="5"/>
        <v>0.1524267582630372</v>
      </c>
      <c r="Q24" s="684">
        <f t="shared" si="5"/>
        <v>0.35193076806147428</v>
      </c>
      <c r="R24" s="682">
        <f t="shared" si="5"/>
        <v>0.23080295382509775</v>
      </c>
      <c r="S24" s="683">
        <f t="shared" si="5"/>
        <v>9.865944091191059E-2</v>
      </c>
      <c r="T24" s="678">
        <f t="shared" si="5"/>
        <v>0.16565012570760995</v>
      </c>
      <c r="U24" s="681">
        <f t="shared" ref="U24:Z24" si="6">+U23/S23-1</f>
        <v>-0.24901428713934692</v>
      </c>
      <c r="V24" s="682">
        <f t="shared" si="6"/>
        <v>-0.11954847203526708</v>
      </c>
      <c r="W24" s="681">
        <f t="shared" si="6"/>
        <v>0.31894816356835398</v>
      </c>
      <c r="X24" s="685">
        <f t="shared" si="6"/>
        <v>0.1914399630006387</v>
      </c>
      <c r="Y24" s="681">
        <f t="shared" si="6"/>
        <v>4.2193237151634921E-2</v>
      </c>
      <c r="Z24" s="682">
        <f t="shared" si="6"/>
        <v>2.1333674134170533E-2</v>
      </c>
      <c r="AA24" s="681">
        <f t="shared" ref="AA24:AH24" si="7">+AA23/Y23-1</f>
        <v>0.15470297796765342</v>
      </c>
      <c r="AB24" s="682">
        <f t="shared" si="7"/>
        <v>0.16501431505774899</v>
      </c>
      <c r="AC24" s="1834">
        <f t="shared" si="7"/>
        <v>-0.3592304124672806</v>
      </c>
      <c r="AD24" s="1828">
        <f t="shared" si="7"/>
        <v>-0.9999991633827463</v>
      </c>
      <c r="AE24" s="1834">
        <f t="shared" si="7"/>
        <v>0.35215790013921233</v>
      </c>
      <c r="AF24" s="1828">
        <f t="shared" si="7"/>
        <v>0.25712432106803473</v>
      </c>
      <c r="AG24" s="1834">
        <f t="shared" si="7"/>
        <v>-0.12617647305852353</v>
      </c>
      <c r="AH24" s="1828">
        <f t="shared" si="7"/>
        <v>-3.3175392524046332E-2</v>
      </c>
      <c r="AI24" s="1834">
        <f>+AI23/AE23-1</f>
        <v>-0.19629602402488167</v>
      </c>
      <c r="AJ24" s="1828">
        <f t="shared" ref="AJ24:AP24" si="8">+AJ23/AH23-1</f>
        <v>-5.1565901567823147E-2</v>
      </c>
      <c r="AK24" s="1834">
        <f t="shared" si="8"/>
        <v>7.469819520846932E-2</v>
      </c>
      <c r="AL24" s="1828">
        <f t="shared" si="8"/>
        <v>0.10250637565378939</v>
      </c>
      <c r="AM24" s="1835">
        <f t="shared" si="8"/>
        <v>8.5088965996038324E-2</v>
      </c>
      <c r="AN24" s="1836">
        <f t="shared" si="8"/>
        <v>0.10940739022178736</v>
      </c>
      <c r="AO24" s="1834">
        <f t="shared" si="8"/>
        <v>-3.4869172067660159E-2</v>
      </c>
      <c r="AP24" s="1828">
        <f t="shared" si="8"/>
        <v>-3.6666161945491771E-2</v>
      </c>
      <c r="AQ24" s="1834">
        <f>+AQ23/AO23-1</f>
        <v>-5.4755320992060041E-2</v>
      </c>
      <c r="AR24" s="1828">
        <f>+AR23/AP23-1</f>
        <v>-5.6539207116706902E-2</v>
      </c>
      <c r="AS24" s="686"/>
      <c r="AT24" s="687"/>
      <c r="AU24" s="688" t="e">
        <f t="shared" ref="AU24:AZ24" si="9">+AU23/AS23-1</f>
        <v>#DIV/0!</v>
      </c>
      <c r="AV24" s="689" t="e">
        <f t="shared" si="9"/>
        <v>#DIV/0!</v>
      </c>
      <c r="AW24" s="688">
        <f t="shared" si="9"/>
        <v>3.1186912076642814E-2</v>
      </c>
      <c r="AX24" s="689">
        <f t="shared" si="9"/>
        <v>4.5129698484570158E-2</v>
      </c>
      <c r="AY24" s="688">
        <f t="shared" si="9"/>
        <v>1.4301490175688381E-2</v>
      </c>
      <c r="AZ24" s="689">
        <f t="shared" si="9"/>
        <v>2.1912362198671653E-2</v>
      </c>
      <c r="BA24" s="686"/>
      <c r="BB24" s="690"/>
      <c r="BC24" s="2601">
        <f>BC23/AQ23-1</f>
        <v>3.8323304823196125E-2</v>
      </c>
      <c r="BD24" s="3034">
        <f>BD23/AR23-1</f>
        <v>9.4832284040282655E-2</v>
      </c>
      <c r="BE24" s="3173">
        <f>BE23/BC23-1</f>
        <v>-0.17315874521700103</v>
      </c>
      <c r="BF24" s="4542">
        <f>BF23/BD23-1</f>
        <v>-0.12755206746627357</v>
      </c>
      <c r="BG24" s="3180"/>
    </row>
    <row r="25" spans="2:59" s="599" customFormat="1" ht="30" customHeight="1" thickBot="1">
      <c r="B25" s="724" t="s">
        <v>1423</v>
      </c>
      <c r="C25" s="598"/>
      <c r="D25" s="626"/>
      <c r="E25" s="814"/>
      <c r="F25" s="814"/>
      <c r="G25" s="1801"/>
      <c r="H25" s="1801"/>
      <c r="I25" s="814"/>
      <c r="J25" s="814"/>
      <c r="K25" s="814"/>
      <c r="L25" s="814"/>
      <c r="M25" s="814"/>
      <c r="N25" s="814"/>
      <c r="O25" s="814"/>
      <c r="P25" s="814"/>
      <c r="Q25" s="814"/>
      <c r="R25" s="814"/>
      <c r="S25" s="814"/>
      <c r="T25" s="814"/>
      <c r="U25" s="814"/>
      <c r="V25" s="814"/>
      <c r="W25" s="814"/>
      <c r="X25" s="814"/>
      <c r="Y25" s="814"/>
      <c r="Z25" s="814"/>
      <c r="AA25" s="814"/>
      <c r="AB25" s="814"/>
      <c r="AC25" s="1811"/>
      <c r="AD25" s="1826"/>
      <c r="AE25" s="1811"/>
      <c r="AF25" s="1812"/>
      <c r="AG25" s="1827"/>
      <c r="AH25" s="814"/>
      <c r="AI25" s="1811"/>
      <c r="AJ25" s="1826"/>
      <c r="AK25" s="1811"/>
      <c r="AL25" s="1837"/>
      <c r="AM25" s="1827"/>
      <c r="AN25" s="1826"/>
      <c r="AO25" s="1811"/>
      <c r="AP25" s="1826"/>
      <c r="AQ25" s="1827"/>
      <c r="AR25" s="1826"/>
      <c r="AS25" s="1802"/>
      <c r="AT25" s="1802"/>
      <c r="AU25" s="1802"/>
      <c r="AV25" s="1802"/>
      <c r="AW25" s="1802"/>
      <c r="AX25" s="1802"/>
      <c r="AY25" s="1802"/>
      <c r="AZ25" s="1802"/>
      <c r="BA25" s="1802"/>
      <c r="BB25" s="633"/>
      <c r="BC25" s="2604"/>
      <c r="BD25" s="3033"/>
      <c r="BE25" s="587"/>
      <c r="BF25" s="3127"/>
      <c r="BG25" s="3180"/>
    </row>
    <row r="26" spans="2:59" s="599" customFormat="1" ht="30" customHeight="1" thickBot="1">
      <c r="B26" s="1813" t="s">
        <v>1421</v>
      </c>
      <c r="C26" s="1803"/>
      <c r="D26" s="1804"/>
      <c r="E26" s="1805"/>
      <c r="F26" s="1805"/>
      <c r="G26" s="1806"/>
      <c r="H26" s="1806"/>
      <c r="I26" s="1805"/>
      <c r="J26" s="1805"/>
      <c r="K26" s="1805"/>
      <c r="L26" s="1805"/>
      <c r="M26" s="1805"/>
      <c r="N26" s="1805"/>
      <c r="O26" s="1805"/>
      <c r="P26" s="1805"/>
      <c r="Q26" s="1805"/>
      <c r="R26" s="1805"/>
      <c r="S26" s="1805"/>
      <c r="T26" s="1805"/>
      <c r="U26" s="1805"/>
      <c r="V26" s="1805"/>
      <c r="W26" s="1805"/>
      <c r="X26" s="1805"/>
      <c r="Y26" s="1805"/>
      <c r="Z26" s="1805"/>
      <c r="AA26" s="1805"/>
      <c r="AB26" s="1805"/>
      <c r="AC26" s="1796">
        <v>1214.0093900000002</v>
      </c>
      <c r="AD26" s="1797">
        <v>2.5088440599999995</v>
      </c>
      <c r="AE26" s="2080">
        <v>890.29203000000007</v>
      </c>
      <c r="AF26" s="1799">
        <v>1.7778393399999999</v>
      </c>
      <c r="AG26" s="1808">
        <v>1263.7631299999998</v>
      </c>
      <c r="AH26" s="1807">
        <v>2.4299659199999999</v>
      </c>
      <c r="AI26" s="1818">
        <v>1340.0304799999999</v>
      </c>
      <c r="AJ26" s="1807">
        <v>2.7463281400000001</v>
      </c>
      <c r="AK26" s="1808">
        <v>1391.69498</v>
      </c>
      <c r="AL26" s="1807">
        <v>2.9178523599999999</v>
      </c>
      <c r="AM26" s="1809">
        <v>1430.7642900000001</v>
      </c>
      <c r="AN26" s="1797">
        <v>2.90195303</v>
      </c>
      <c r="AO26" s="2598">
        <v>1393.9663999999998</v>
      </c>
      <c r="AP26" s="1807">
        <v>2.8761801499999997</v>
      </c>
      <c r="AQ26" s="1798">
        <v>1236.3978400000001</v>
      </c>
      <c r="AR26" s="1799">
        <v>2.5802298200000005</v>
      </c>
      <c r="AS26" s="1802"/>
      <c r="AT26" s="1802"/>
      <c r="AU26" s="1802"/>
      <c r="AV26" s="1802"/>
      <c r="AW26" s="1802"/>
      <c r="AX26" s="1802"/>
      <c r="AY26" s="1802"/>
      <c r="AZ26" s="1802"/>
      <c r="BA26" s="1802"/>
      <c r="BB26" s="633"/>
      <c r="BC26" s="2605">
        <v>1297.9444463636362</v>
      </c>
      <c r="BD26" s="2612">
        <v>2.6732131200000002</v>
      </c>
      <c r="BE26" s="3170">
        <v>1132.21</v>
      </c>
      <c r="BF26" s="2618">
        <f>2.52</f>
        <v>2.52</v>
      </c>
      <c r="BG26" s="3180"/>
    </row>
    <row r="27" spans="2:59" s="95" customFormat="1" ht="30" customHeight="1" thickBot="1">
      <c r="B27" s="1819" t="s">
        <v>1422</v>
      </c>
      <c r="C27" s="1814"/>
      <c r="D27" s="1815"/>
      <c r="E27" s="1816"/>
      <c r="F27" s="1816"/>
      <c r="G27" s="1817"/>
      <c r="H27" s="1817"/>
      <c r="I27" s="1816"/>
      <c r="J27" s="1816"/>
      <c r="K27" s="1816"/>
      <c r="L27" s="1816"/>
      <c r="M27" s="1816"/>
      <c r="N27" s="1816"/>
      <c r="O27" s="1816"/>
      <c r="P27" s="1816"/>
      <c r="Q27" s="1816"/>
      <c r="R27" s="1816"/>
      <c r="S27" s="1816"/>
      <c r="T27" s="1816"/>
      <c r="U27" s="1816"/>
      <c r="V27" s="1816"/>
      <c r="W27" s="1816"/>
      <c r="X27" s="1816"/>
      <c r="Y27" s="1816"/>
      <c r="Z27" s="1816"/>
      <c r="AA27" s="1816"/>
      <c r="AB27" s="1816"/>
      <c r="AC27" s="1822">
        <f>+AC23+AC26</f>
        <v>3378.3616299999999</v>
      </c>
      <c r="AD27" s="1823">
        <f>+AD23+AD26</f>
        <v>11.432015389999998</v>
      </c>
      <c r="AE27" s="1822">
        <f>+AE23+AE26</f>
        <v>3816.8380100000004</v>
      </c>
      <c r="AF27" s="1823">
        <f>+AF23+AF26</f>
        <v>12.995375040000001</v>
      </c>
      <c r="AG27" s="1824">
        <v>3821.0478599999997</v>
      </c>
      <c r="AH27" s="1821">
        <v>13.275355469999997</v>
      </c>
      <c r="AI27" s="1824">
        <v>3692.1071199999992</v>
      </c>
      <c r="AJ27" s="1821">
        <v>13.0324654</v>
      </c>
      <c r="AK27" s="1824">
        <v>3919.4674999999997</v>
      </c>
      <c r="AL27" s="1821">
        <v>14.258384269999999</v>
      </c>
      <c r="AM27" s="1825">
        <v>4173.6223600000003</v>
      </c>
      <c r="AN27" s="1821">
        <v>15.483222940000001</v>
      </c>
      <c r="AO27" s="1825">
        <v>4041.1832799999997</v>
      </c>
      <c r="AP27" s="1821">
        <v>14.996143179999999</v>
      </c>
      <c r="AQ27" s="1825">
        <v>3738.6655100000003</v>
      </c>
      <c r="AR27" s="1823">
        <v>14.01493975</v>
      </c>
      <c r="AS27" s="1823">
        <v>14.01493975</v>
      </c>
      <c r="AT27" s="1823">
        <v>14.01493975</v>
      </c>
      <c r="AU27" s="1823">
        <v>14.01493975</v>
      </c>
      <c r="AV27" s="1823">
        <v>14.01493975</v>
      </c>
      <c r="AW27" s="1823">
        <v>14.01493975</v>
      </c>
      <c r="AX27" s="1823">
        <v>14.01493975</v>
      </c>
      <c r="AY27" s="1823">
        <v>14.01493975</v>
      </c>
      <c r="AZ27" s="1823">
        <v>14.01493975</v>
      </c>
      <c r="BA27" s="1823">
        <v>14.01493975</v>
      </c>
      <c r="BB27" s="1823">
        <v>14.01493975</v>
      </c>
      <c r="BC27" s="2606">
        <f>BC23+BC26</f>
        <v>3896.1072830302755</v>
      </c>
      <c r="BD27" s="1823">
        <f>BD23+BD26</f>
        <v>15.19230271</v>
      </c>
      <c r="BE27" s="3030">
        <f>BE23+BE26</f>
        <v>3280.47822</v>
      </c>
      <c r="BF27" s="2090">
        <f>BF23+BF26</f>
        <v>13.442253829999997</v>
      </c>
      <c r="BG27" s="3181"/>
    </row>
    <row r="28" spans="2:59" ht="31.25" customHeight="1">
      <c r="B28" s="357" t="str">
        <f>B57</f>
        <v>Source: Agricultural Division (Agriculture, Fisheries, Food Security and Rural Development)</v>
      </c>
      <c r="C28" s="357"/>
      <c r="D28" s="357"/>
      <c r="E28" s="357"/>
      <c r="F28" s="357"/>
      <c r="G28" s="357"/>
      <c r="H28" s="357"/>
      <c r="I28" s="357"/>
      <c r="J28" s="357"/>
      <c r="K28" s="357"/>
      <c r="L28" s="357"/>
      <c r="M28" s="357"/>
      <c r="N28" s="357"/>
      <c r="O28" s="357"/>
      <c r="P28" s="357"/>
      <c r="Q28" s="357"/>
      <c r="R28" s="357"/>
      <c r="S28" s="357"/>
      <c r="T28" s="220"/>
      <c r="U28" s="220"/>
      <c r="V28" s="691"/>
      <c r="W28" s="691"/>
      <c r="X28" s="220"/>
      <c r="Y28" s="220"/>
      <c r="Z28" s="220"/>
      <c r="AV28" s="692"/>
      <c r="AX28" s="692"/>
      <c r="AZ28" s="692"/>
      <c r="BF28" s="3197"/>
      <c r="BG28" s="220"/>
    </row>
    <row r="29" spans="2:59" ht="31.25" customHeight="1">
      <c r="B29" s="357" t="s">
        <v>1831</v>
      </c>
      <c r="C29" s="357"/>
      <c r="D29" s="357"/>
      <c r="E29" s="357"/>
      <c r="F29" s="357"/>
      <c r="G29" s="357"/>
      <c r="H29" s="357"/>
      <c r="I29" s="357"/>
      <c r="J29" s="357"/>
      <c r="K29" s="357"/>
      <c r="L29" s="357"/>
      <c r="M29" s="357"/>
      <c r="N29" s="357"/>
      <c r="O29" s="357"/>
      <c r="P29" s="357"/>
      <c r="Q29" s="357"/>
      <c r="R29" s="357"/>
      <c r="S29" s="357"/>
      <c r="T29" s="220"/>
      <c r="U29" s="220"/>
      <c r="V29" s="691"/>
      <c r="W29" s="691"/>
      <c r="X29" s="220"/>
      <c r="Y29" s="220"/>
      <c r="Z29" s="220"/>
      <c r="BG29" s="220"/>
    </row>
    <row r="30" spans="2:59" ht="33.75">
      <c r="B30" s="357" t="s">
        <v>200</v>
      </c>
      <c r="I30" s="219"/>
      <c r="K30" s="219"/>
      <c r="BG30" s="220"/>
    </row>
    <row r="31" spans="2:59">
      <c r="B31" s="5708" t="s">
        <v>671</v>
      </c>
      <c r="C31" s="5708"/>
      <c r="D31" s="5708"/>
      <c r="E31" s="5708"/>
      <c r="F31" s="5708"/>
      <c r="G31" s="5708"/>
      <c r="H31" s="5708"/>
      <c r="I31" s="5708"/>
      <c r="J31" s="5708"/>
      <c r="K31" s="5708"/>
      <c r="L31" s="5708"/>
      <c r="M31" s="5708"/>
      <c r="N31" s="5708"/>
      <c r="O31" s="5708"/>
      <c r="P31" s="5708"/>
      <c r="Q31" s="5708"/>
      <c r="R31" s="5708"/>
      <c r="S31" s="5708"/>
      <c r="T31" s="5708"/>
      <c r="U31" s="5708"/>
      <c r="V31" s="5708"/>
      <c r="W31" s="5708"/>
      <c r="X31" s="5708"/>
      <c r="Y31" s="5708"/>
      <c r="Z31" s="5708"/>
      <c r="AA31" s="5708"/>
      <c r="AB31" s="5708"/>
      <c r="AC31" s="5708"/>
      <c r="AD31" s="5708"/>
      <c r="AE31" s="5708"/>
      <c r="AF31" s="5708"/>
      <c r="AG31" s="5708"/>
      <c r="AH31" s="5708"/>
      <c r="AI31" s="5708"/>
      <c r="AJ31" s="5708"/>
      <c r="AK31" s="5708"/>
      <c r="AL31" s="5708"/>
      <c r="AM31" s="5708"/>
      <c r="AN31" s="5708"/>
      <c r="AO31" s="5708"/>
      <c r="AP31" s="5708"/>
      <c r="AQ31" s="5708"/>
      <c r="AR31" s="5708"/>
      <c r="AS31" s="5708"/>
      <c r="AT31" s="5708"/>
      <c r="AU31" s="5708"/>
      <c r="AV31" s="5708"/>
      <c r="AW31" s="5708"/>
      <c r="AX31" s="5708"/>
      <c r="AY31" s="5708"/>
      <c r="AZ31" s="5708"/>
      <c r="BA31" s="5708"/>
      <c r="BB31" s="5708"/>
      <c r="BC31" s="5708"/>
      <c r="BD31" s="5708"/>
      <c r="BE31" s="5708"/>
      <c r="BF31" s="5708"/>
      <c r="BG31" s="220"/>
    </row>
    <row r="32" spans="2:59" ht="33.4" thickBot="1">
      <c r="B32" s="5709" t="s">
        <v>508</v>
      </c>
      <c r="C32" s="5709"/>
      <c r="D32" s="5709"/>
      <c r="E32" s="5709"/>
      <c r="F32" s="5709"/>
      <c r="G32" s="5709"/>
      <c r="H32" s="5709"/>
      <c r="I32" s="5709"/>
      <c r="J32" s="5709"/>
      <c r="K32" s="5709"/>
      <c r="L32" s="5709"/>
      <c r="M32" s="5709"/>
      <c r="N32" s="5709"/>
      <c r="O32" s="5709"/>
      <c r="P32" s="5709"/>
      <c r="Q32" s="5709"/>
      <c r="R32" s="5709"/>
      <c r="S32" s="5709"/>
      <c r="T32" s="5709"/>
      <c r="U32" s="5709"/>
      <c r="V32" s="5709"/>
      <c r="W32" s="5709"/>
      <c r="X32" s="5709"/>
      <c r="Y32" s="5709"/>
      <c r="Z32" s="5709"/>
      <c r="AA32" s="5709"/>
      <c r="AB32" s="5709"/>
      <c r="AC32" s="5709"/>
      <c r="AD32" s="5709"/>
      <c r="AE32" s="5709"/>
      <c r="AF32" s="5709"/>
      <c r="AG32" s="5709"/>
      <c r="AH32" s="5709"/>
      <c r="AI32" s="5709"/>
      <c r="AJ32" s="5709"/>
      <c r="AK32" s="5709"/>
      <c r="AL32" s="5709"/>
      <c r="AM32" s="5709"/>
      <c r="AN32" s="5709"/>
      <c r="AO32" s="5709"/>
      <c r="AP32" s="5709"/>
      <c r="AQ32" s="5709"/>
      <c r="AR32" s="5709"/>
      <c r="AS32" s="5709"/>
      <c r="AT32" s="5709"/>
      <c r="AU32" s="5709"/>
      <c r="AV32" s="5709"/>
      <c r="AW32" s="5709"/>
      <c r="AX32" s="5709"/>
      <c r="AY32" s="5709"/>
      <c r="AZ32" s="5709"/>
      <c r="BA32" s="5709"/>
      <c r="BB32" s="5709"/>
      <c r="BC32" s="5709"/>
      <c r="BD32" s="5709"/>
      <c r="BE32" s="5709"/>
      <c r="BF32" s="5709"/>
      <c r="BG32" s="220"/>
    </row>
    <row r="33" spans="2:59" ht="33.4" hidden="1" thickBot="1">
      <c r="B33" s="353"/>
      <c r="C33" s="353"/>
      <c r="D33" s="353"/>
      <c r="E33" s="353"/>
      <c r="F33" s="353"/>
      <c r="G33" s="353"/>
      <c r="H33" s="353"/>
      <c r="I33" s="353"/>
      <c r="J33" s="353"/>
      <c r="K33" s="353"/>
      <c r="L33" s="353"/>
      <c r="M33" s="353"/>
      <c r="N33" s="353"/>
      <c r="O33" s="353"/>
      <c r="P33" s="353"/>
      <c r="Q33" s="353"/>
      <c r="R33" s="353"/>
      <c r="S33" s="353"/>
      <c r="T33" s="353"/>
      <c r="U33" s="353"/>
      <c r="V33" s="353"/>
      <c r="W33" s="353"/>
      <c r="X33" s="353"/>
      <c r="Y33" s="353"/>
      <c r="Z33" s="353"/>
      <c r="AA33" s="353"/>
      <c r="AB33" s="353"/>
      <c r="AC33" s="353"/>
      <c r="AD33" s="353"/>
      <c r="AE33" s="353"/>
      <c r="AF33" s="353"/>
      <c r="AG33" s="353"/>
      <c r="AH33" s="353"/>
      <c r="AI33" s="353"/>
      <c r="AJ33" s="353"/>
      <c r="AK33" s="353"/>
      <c r="AL33" s="353"/>
      <c r="AM33" s="353"/>
      <c r="AN33" s="353"/>
      <c r="AO33" s="353"/>
      <c r="AP33" s="353"/>
      <c r="AQ33" s="353"/>
      <c r="AR33" s="353"/>
      <c r="AS33" s="353"/>
      <c r="AT33" s="353"/>
      <c r="AU33" s="353"/>
      <c r="AV33" s="353"/>
      <c r="AW33" s="353"/>
      <c r="AX33" s="353"/>
      <c r="AY33" s="353"/>
      <c r="AZ33" s="353"/>
      <c r="BA33" s="353"/>
      <c r="BG33" s="220"/>
    </row>
    <row r="34" spans="2:59" ht="9" customHeight="1" thickBot="1">
      <c r="B34" s="536"/>
      <c r="C34" s="536"/>
      <c r="D34" s="536"/>
      <c r="E34" s="536"/>
      <c r="F34" s="536"/>
      <c r="G34" s="536"/>
      <c r="H34" s="536"/>
      <c r="I34" s="536"/>
      <c r="J34" s="536"/>
      <c r="K34" s="536"/>
      <c r="L34" s="536"/>
      <c r="M34" s="536"/>
      <c r="N34" s="536"/>
      <c r="O34" s="536"/>
      <c r="P34" s="536"/>
      <c r="Q34" s="536"/>
      <c r="R34" s="536"/>
      <c r="AU34" s="5729" t="s">
        <v>857</v>
      </c>
      <c r="AV34" s="5730"/>
      <c r="AW34" s="5730"/>
      <c r="AX34" s="5730"/>
      <c r="AY34" s="5730"/>
      <c r="AZ34" s="5730"/>
      <c r="BA34" s="5730"/>
      <c r="BB34" s="5731"/>
      <c r="BG34" s="220"/>
    </row>
    <row r="35" spans="2:59">
      <c r="B35" s="5715" t="s">
        <v>444</v>
      </c>
      <c r="C35" s="693">
        <v>2001</v>
      </c>
      <c r="D35" s="693"/>
      <c r="E35" s="5710">
        <v>2002</v>
      </c>
      <c r="F35" s="5711"/>
      <c r="G35" s="5710">
        <v>2003</v>
      </c>
      <c r="H35" s="5711"/>
      <c r="I35" s="5710">
        <v>2004</v>
      </c>
      <c r="J35" s="5711"/>
      <c r="K35" s="5710">
        <v>2005</v>
      </c>
      <c r="L35" s="5714"/>
      <c r="M35" s="5702">
        <v>2006</v>
      </c>
      <c r="N35" s="5703"/>
      <c r="O35" s="5702">
        <v>2007</v>
      </c>
      <c r="P35" s="5703"/>
      <c r="Q35" s="5702">
        <v>2008</v>
      </c>
      <c r="R35" s="5703"/>
      <c r="S35" s="5714">
        <v>2009</v>
      </c>
      <c r="T35" s="5714"/>
      <c r="U35" s="5702">
        <v>2010</v>
      </c>
      <c r="V35" s="5703"/>
      <c r="W35" s="5714">
        <v>2011</v>
      </c>
      <c r="X35" s="5714"/>
      <c r="Y35" s="5719">
        <v>2012</v>
      </c>
      <c r="Z35" s="5720"/>
      <c r="AA35" s="5717">
        <v>2013</v>
      </c>
      <c r="AB35" s="5718"/>
      <c r="AC35" s="5721">
        <v>2014</v>
      </c>
      <c r="AD35" s="5718"/>
      <c r="AE35" s="5717">
        <v>2015</v>
      </c>
      <c r="AF35" s="5718"/>
      <c r="AG35" s="5706">
        <v>2016</v>
      </c>
      <c r="AH35" s="5707"/>
      <c r="AI35" s="5706">
        <v>2017</v>
      </c>
      <c r="AJ35" s="5707"/>
      <c r="AK35" s="5706">
        <v>2018</v>
      </c>
      <c r="AL35" s="5707"/>
      <c r="AM35" s="5692">
        <v>2019</v>
      </c>
      <c r="AN35" s="5696"/>
      <c r="AO35" s="5692">
        <v>2020</v>
      </c>
      <c r="AP35" s="5696"/>
      <c r="AQ35" s="5692">
        <v>2021</v>
      </c>
      <c r="AR35" s="5696"/>
      <c r="AS35" s="5697">
        <v>2017</v>
      </c>
      <c r="AT35" s="5698"/>
      <c r="AU35" s="5697">
        <v>2018</v>
      </c>
      <c r="AV35" s="5698"/>
      <c r="AW35" s="5697">
        <v>2019</v>
      </c>
      <c r="AX35" s="5698"/>
      <c r="AY35" s="5697">
        <v>2020</v>
      </c>
      <c r="AZ35" s="5698"/>
      <c r="BA35" s="5697" t="s">
        <v>855</v>
      </c>
      <c r="BB35" s="5698"/>
      <c r="BC35" s="5692">
        <v>2022</v>
      </c>
      <c r="BD35" s="5696"/>
      <c r="BE35" s="5692" t="s">
        <v>1959</v>
      </c>
      <c r="BF35" s="5696"/>
      <c r="BG35" s="220"/>
    </row>
    <row r="36" spans="2:59">
      <c r="B36" s="5716"/>
      <c r="C36" s="694" t="s">
        <v>19</v>
      </c>
      <c r="D36" s="694" t="s">
        <v>26</v>
      </c>
      <c r="E36" s="695" t="s">
        <v>270</v>
      </c>
      <c r="F36" s="695" t="s">
        <v>26</v>
      </c>
      <c r="G36" s="696" t="s">
        <v>270</v>
      </c>
      <c r="H36" s="696" t="s">
        <v>26</v>
      </c>
      <c r="I36" s="546" t="s">
        <v>270</v>
      </c>
      <c r="J36" s="547" t="s">
        <v>499</v>
      </c>
      <c r="K36" s="546" t="s">
        <v>270</v>
      </c>
      <c r="L36" s="697" t="s">
        <v>499</v>
      </c>
      <c r="M36" s="546" t="s">
        <v>270</v>
      </c>
      <c r="N36" s="547" t="s">
        <v>499</v>
      </c>
      <c r="O36" s="546" t="s">
        <v>270</v>
      </c>
      <c r="P36" s="547" t="s">
        <v>499</v>
      </c>
      <c r="Q36" s="546" t="s">
        <v>270</v>
      </c>
      <c r="R36" s="547" t="s">
        <v>499</v>
      </c>
      <c r="S36" s="353" t="s">
        <v>270</v>
      </c>
      <c r="T36" s="697" t="s">
        <v>499</v>
      </c>
      <c r="U36" s="546" t="s">
        <v>270</v>
      </c>
      <c r="V36" s="547" t="s">
        <v>499</v>
      </c>
      <c r="W36" s="353" t="s">
        <v>270</v>
      </c>
      <c r="X36" s="547" t="s">
        <v>499</v>
      </c>
      <c r="Y36" s="546" t="s">
        <v>270</v>
      </c>
      <c r="Z36" s="547" t="s">
        <v>499</v>
      </c>
      <c r="AA36" s="354" t="s">
        <v>270</v>
      </c>
      <c r="AB36" s="547" t="s">
        <v>499</v>
      </c>
      <c r="AC36" s="698" t="s">
        <v>270</v>
      </c>
      <c r="AD36" s="547" t="s">
        <v>499</v>
      </c>
      <c r="AE36" s="699" t="s">
        <v>270</v>
      </c>
      <c r="AF36" s="547" t="s">
        <v>499</v>
      </c>
      <c r="AG36" s="700" t="s">
        <v>32</v>
      </c>
      <c r="AH36" s="554" t="s">
        <v>499</v>
      </c>
      <c r="AI36" s="700" t="s">
        <v>32</v>
      </c>
      <c r="AJ36" s="554" t="s">
        <v>499</v>
      </c>
      <c r="AK36" s="700" t="s">
        <v>32</v>
      </c>
      <c r="AL36" s="554" t="s">
        <v>499</v>
      </c>
      <c r="AM36" s="553" t="s">
        <v>32</v>
      </c>
      <c r="AN36" s="554" t="s">
        <v>499</v>
      </c>
      <c r="AO36" s="553" t="s">
        <v>32</v>
      </c>
      <c r="AP36" s="554" t="s">
        <v>499</v>
      </c>
      <c r="AQ36" s="553" t="s">
        <v>32</v>
      </c>
      <c r="AR36" s="554" t="s">
        <v>499</v>
      </c>
      <c r="AS36" s="556" t="s">
        <v>32</v>
      </c>
      <c r="AT36" s="557" t="s">
        <v>499</v>
      </c>
      <c r="AU36" s="556" t="s">
        <v>32</v>
      </c>
      <c r="AV36" s="557" t="s">
        <v>499</v>
      </c>
      <c r="AW36" s="556" t="s">
        <v>32</v>
      </c>
      <c r="AX36" s="557" t="s">
        <v>499</v>
      </c>
      <c r="AY36" s="556" t="s">
        <v>32</v>
      </c>
      <c r="AZ36" s="557" t="s">
        <v>499</v>
      </c>
      <c r="BA36" s="556" t="s">
        <v>32</v>
      </c>
      <c r="BB36" s="557" t="s">
        <v>499</v>
      </c>
      <c r="BC36" s="2511" t="s">
        <v>32</v>
      </c>
      <c r="BD36" s="2510" t="s">
        <v>499</v>
      </c>
      <c r="BE36" s="2511" t="s">
        <v>32</v>
      </c>
      <c r="BF36" s="2510" t="s">
        <v>499</v>
      </c>
      <c r="BG36" s="220"/>
    </row>
    <row r="37" spans="2:59" ht="33.4" thickBot="1">
      <c r="B37" s="701"/>
      <c r="C37" s="694"/>
      <c r="D37" s="694"/>
      <c r="E37" s="702" t="s">
        <v>411</v>
      </c>
      <c r="F37" s="703"/>
      <c r="G37" s="704" t="s">
        <v>411</v>
      </c>
      <c r="H37" s="705"/>
      <c r="I37" s="566" t="s">
        <v>396</v>
      </c>
      <c r="J37" s="567" t="s">
        <v>204</v>
      </c>
      <c r="K37" s="566" t="s">
        <v>396</v>
      </c>
      <c r="L37" s="706" t="s">
        <v>204</v>
      </c>
      <c r="M37" s="566" t="s">
        <v>396</v>
      </c>
      <c r="N37" s="567" t="s">
        <v>204</v>
      </c>
      <c r="O37" s="566" t="s">
        <v>396</v>
      </c>
      <c r="P37" s="567" t="s">
        <v>204</v>
      </c>
      <c r="Q37" s="566" t="s">
        <v>396</v>
      </c>
      <c r="R37" s="567" t="s">
        <v>204</v>
      </c>
      <c r="S37" s="707" t="s">
        <v>396</v>
      </c>
      <c r="T37" s="706" t="s">
        <v>204</v>
      </c>
      <c r="U37" s="566" t="s">
        <v>396</v>
      </c>
      <c r="V37" s="567" t="s">
        <v>204</v>
      </c>
      <c r="W37" s="707" t="s">
        <v>396</v>
      </c>
      <c r="X37" s="567" t="s">
        <v>204</v>
      </c>
      <c r="Y37" s="566" t="s">
        <v>396</v>
      </c>
      <c r="Z37" s="567" t="s">
        <v>204</v>
      </c>
      <c r="AA37" s="708" t="s">
        <v>396</v>
      </c>
      <c r="AB37" s="567" t="s">
        <v>204</v>
      </c>
      <c r="AC37" s="709" t="s">
        <v>396</v>
      </c>
      <c r="AD37" s="569" t="s">
        <v>1424</v>
      </c>
      <c r="AE37" s="568" t="s">
        <v>396</v>
      </c>
      <c r="AF37" s="569" t="s">
        <v>1424</v>
      </c>
      <c r="AG37" s="710" t="s">
        <v>396</v>
      </c>
      <c r="AH37" s="569" t="s">
        <v>1424</v>
      </c>
      <c r="AI37" s="710" t="s">
        <v>396</v>
      </c>
      <c r="AJ37" s="1795" t="s">
        <v>2330</v>
      </c>
      <c r="AK37" s="710" t="s">
        <v>396</v>
      </c>
      <c r="AL37" s="1795" t="s">
        <v>2330</v>
      </c>
      <c r="AM37" s="572" t="s">
        <v>396</v>
      </c>
      <c r="AN37" s="1795" t="s">
        <v>2330</v>
      </c>
      <c r="AO37" s="572" t="s">
        <v>396</v>
      </c>
      <c r="AP37" s="1795" t="s">
        <v>2330</v>
      </c>
      <c r="AQ37" s="572" t="s">
        <v>396</v>
      </c>
      <c r="AR37" s="1795" t="s">
        <v>2330</v>
      </c>
      <c r="AS37" s="576" t="s">
        <v>396</v>
      </c>
      <c r="AT37" s="577" t="s">
        <v>204</v>
      </c>
      <c r="AU37" s="576" t="s">
        <v>396</v>
      </c>
      <c r="AV37" s="577" t="s">
        <v>204</v>
      </c>
      <c r="AW37" s="576" t="s">
        <v>396</v>
      </c>
      <c r="AX37" s="577" t="s">
        <v>204</v>
      </c>
      <c r="AY37" s="576" t="s">
        <v>396</v>
      </c>
      <c r="AZ37" s="577" t="s">
        <v>204</v>
      </c>
      <c r="BA37" s="576" t="s">
        <v>396</v>
      </c>
      <c r="BB37" s="577" t="s">
        <v>204</v>
      </c>
      <c r="BC37" s="573" t="s">
        <v>396</v>
      </c>
      <c r="BD37" s="1795" t="s">
        <v>2330</v>
      </c>
      <c r="BE37" s="573" t="s">
        <v>396</v>
      </c>
      <c r="BF37" s="1795" t="s">
        <v>2330</v>
      </c>
      <c r="BG37" s="220"/>
    </row>
    <row r="38" spans="2:59">
      <c r="B38" s="546"/>
      <c r="C38" s="353"/>
      <c r="D38" s="353"/>
      <c r="E38" s="695"/>
      <c r="F38" s="711"/>
      <c r="G38" s="696"/>
      <c r="H38" s="712"/>
      <c r="I38" s="712"/>
      <c r="J38" s="713"/>
      <c r="K38" s="712"/>
      <c r="L38" s="713"/>
      <c r="M38" s="714"/>
      <c r="N38" s="715"/>
      <c r="O38" s="716"/>
      <c r="P38" s="717"/>
      <c r="Q38" s="716"/>
      <c r="R38" s="717"/>
      <c r="S38" s="718"/>
      <c r="T38" s="696"/>
      <c r="U38" s="716"/>
      <c r="V38" s="717"/>
      <c r="W38" s="353"/>
      <c r="X38" s="695"/>
      <c r="Y38" s="719"/>
      <c r="Z38" s="720"/>
      <c r="AA38" s="721"/>
      <c r="AB38" s="720"/>
      <c r="AC38" s="585"/>
      <c r="AD38" s="584"/>
      <c r="AE38" s="722"/>
      <c r="AF38" s="584"/>
      <c r="AG38" s="723"/>
      <c r="AH38" s="590"/>
      <c r="AI38" s="587"/>
      <c r="AJ38" s="588"/>
      <c r="AK38" s="723"/>
      <c r="AL38" s="590"/>
      <c r="AM38" s="591"/>
      <c r="AN38" s="214"/>
      <c r="AO38" s="591"/>
      <c r="AP38" s="214"/>
      <c r="AQ38" s="587"/>
      <c r="AR38" s="214"/>
      <c r="AS38" s="593"/>
      <c r="AT38" s="594"/>
      <c r="AU38" s="595"/>
      <c r="AV38" s="215"/>
      <c r="AW38" s="595"/>
      <c r="AX38" s="215"/>
      <c r="AY38" s="595"/>
      <c r="AZ38" s="215"/>
      <c r="BA38" s="593"/>
      <c r="BB38" s="596"/>
      <c r="BC38" s="2599"/>
      <c r="BD38" s="2609"/>
      <c r="BE38" s="2599"/>
      <c r="BF38" s="2609"/>
      <c r="BG38" s="220"/>
    </row>
    <row r="39" spans="2:59" s="599" customFormat="1" ht="30" customHeight="1">
      <c r="B39" s="2597" t="s">
        <v>27</v>
      </c>
      <c r="C39" s="725">
        <v>195.2</v>
      </c>
      <c r="D39" s="626">
        <v>648747.5</v>
      </c>
      <c r="E39" s="726">
        <v>105.4958</v>
      </c>
      <c r="F39" s="727">
        <v>333578.68</v>
      </c>
      <c r="G39" s="728">
        <v>501.39600000000002</v>
      </c>
      <c r="H39" s="729">
        <v>1328381.17</v>
      </c>
      <c r="I39" s="730">
        <v>468.79551278814995</v>
      </c>
      <c r="J39" s="731">
        <v>1185995</v>
      </c>
      <c r="K39" s="730">
        <v>415.2</v>
      </c>
      <c r="L39" s="731">
        <v>1021217.89</v>
      </c>
      <c r="M39" s="732">
        <v>500.03</v>
      </c>
      <c r="N39" s="629">
        <v>1405508.61</v>
      </c>
      <c r="O39" s="733">
        <v>543.74108799999976</v>
      </c>
      <c r="P39" s="628">
        <v>1656157.65</v>
      </c>
      <c r="Q39" s="733">
        <v>498.74250000000001</v>
      </c>
      <c r="R39" s="628">
        <v>1768536.46</v>
      </c>
      <c r="S39" s="734">
        <v>325.65800000000002</v>
      </c>
      <c r="T39" s="735">
        <v>1289026</v>
      </c>
      <c r="U39" s="733">
        <v>296.32923999999997</v>
      </c>
      <c r="V39" s="628">
        <v>1373815.99</v>
      </c>
      <c r="W39" s="736">
        <v>289.27248500000002</v>
      </c>
      <c r="X39" s="735">
        <v>1293286.27</v>
      </c>
      <c r="Y39" s="737">
        <v>310.33244000000002</v>
      </c>
      <c r="Z39" s="738">
        <v>1551660.5599999998</v>
      </c>
      <c r="AA39" s="739">
        <v>391.27850999999998</v>
      </c>
      <c r="AB39" s="738">
        <v>1946108.9</v>
      </c>
      <c r="AC39" s="740">
        <v>413.74459999999999</v>
      </c>
      <c r="AD39" s="615">
        <v>2.1210695799999999</v>
      </c>
      <c r="AE39" s="616">
        <v>494.17422999999997</v>
      </c>
      <c r="AF39" s="615">
        <v>2.5061812999999997</v>
      </c>
      <c r="AG39" s="617">
        <v>415.3</v>
      </c>
      <c r="AH39" s="615">
        <v>2.1989809999999999</v>
      </c>
      <c r="AI39" s="617">
        <v>352.49304999999998</v>
      </c>
      <c r="AJ39" s="615">
        <v>1.8935719799999997</v>
      </c>
      <c r="AK39" s="617">
        <v>367.27446999999995</v>
      </c>
      <c r="AL39" s="615">
        <v>2.1146827999999998</v>
      </c>
      <c r="AM39" s="616">
        <v>369.4</v>
      </c>
      <c r="AN39" s="615">
        <v>2.1299769999999998</v>
      </c>
      <c r="AO39" s="616">
        <v>125.87716</v>
      </c>
      <c r="AP39" s="615">
        <v>0.70026906999999994</v>
      </c>
      <c r="AQ39" s="619">
        <v>172.73260999999999</v>
      </c>
      <c r="AR39" s="216">
        <v>1.0540202200000002</v>
      </c>
      <c r="AS39" s="620"/>
      <c r="AT39" s="621"/>
      <c r="AU39" s="622">
        <v>267.66421000000003</v>
      </c>
      <c r="AV39" s="623">
        <v>1536235.1900000002</v>
      </c>
      <c r="AW39" s="622">
        <v>271.79404999999997</v>
      </c>
      <c r="AX39" s="623">
        <v>1570984.57</v>
      </c>
      <c r="AY39" s="622">
        <v>89.325700000000012</v>
      </c>
      <c r="AZ39" s="623">
        <v>490323.69999999995</v>
      </c>
      <c r="BA39" s="624">
        <f>+AY39/AW39-1</f>
        <v>-0.67134784591494912</v>
      </c>
      <c r="BB39" s="741"/>
      <c r="BC39" s="618">
        <v>316.02090999999996</v>
      </c>
      <c r="BD39" s="2612">
        <v>2.0801052200000001</v>
      </c>
      <c r="BE39" s="618">
        <f>297952.02/1000</f>
        <v>297.95202</v>
      </c>
      <c r="BF39" s="2612">
        <v>2.0802223999999998</v>
      </c>
      <c r="BG39" s="3198">
        <f>BE39/BC39-1</f>
        <v>-5.7176248242560734E-2</v>
      </c>
    </row>
    <row r="40" spans="2:59" s="599" customFormat="1" ht="16.5" customHeight="1">
      <c r="B40" s="2597"/>
      <c r="C40" s="725"/>
      <c r="D40" s="626"/>
      <c r="E40" s="726"/>
      <c r="F40" s="727"/>
      <c r="G40" s="728"/>
      <c r="H40" s="729"/>
      <c r="I40" s="730"/>
      <c r="J40" s="731"/>
      <c r="K40" s="730"/>
      <c r="L40" s="731"/>
      <c r="M40" s="732"/>
      <c r="N40" s="629"/>
      <c r="O40" s="733"/>
      <c r="P40" s="628"/>
      <c r="Q40" s="733"/>
      <c r="R40" s="628"/>
      <c r="S40" s="734"/>
      <c r="T40" s="735"/>
      <c r="U40" s="733"/>
      <c r="V40" s="628"/>
      <c r="W40" s="736"/>
      <c r="X40" s="735"/>
      <c r="Y40" s="742"/>
      <c r="Z40" s="738"/>
      <c r="AA40" s="743"/>
      <c r="AB40" s="738"/>
      <c r="AC40" s="744"/>
      <c r="AD40" s="738"/>
      <c r="AE40" s="616"/>
      <c r="AF40" s="628"/>
      <c r="AG40" s="617"/>
      <c r="AH40" s="745"/>
      <c r="AI40" s="617"/>
      <c r="AJ40" s="745"/>
      <c r="AK40" s="617"/>
      <c r="AL40" s="745"/>
      <c r="AM40" s="616"/>
      <c r="AN40" s="630"/>
      <c r="AO40" s="616"/>
      <c r="AP40" s="630"/>
      <c r="AQ40" s="619"/>
      <c r="AR40" s="746"/>
      <c r="AS40" s="620"/>
      <c r="AT40" s="621"/>
      <c r="AU40" s="747"/>
      <c r="AV40" s="741"/>
      <c r="AW40" s="632"/>
      <c r="AX40" s="633"/>
      <c r="AY40" s="632"/>
      <c r="AZ40" s="623"/>
      <c r="BA40" s="624"/>
      <c r="BB40" s="741"/>
      <c r="BC40" s="618"/>
      <c r="BD40" s="2612"/>
      <c r="BE40" s="618"/>
      <c r="BF40" s="2612"/>
      <c r="BG40" s="3198"/>
    </row>
    <row r="41" spans="2:59" s="599" customFormat="1" ht="30" customHeight="1">
      <c r="B41" s="2619" t="s">
        <v>1419</v>
      </c>
      <c r="C41" s="725">
        <v>324.39999999999998</v>
      </c>
      <c r="D41" s="626">
        <v>329003.75</v>
      </c>
      <c r="E41" s="726">
        <v>101.52177999999999</v>
      </c>
      <c r="F41" s="727">
        <v>130910.14</v>
      </c>
      <c r="G41" s="728">
        <v>72.605999999999995</v>
      </c>
      <c r="H41" s="729">
        <v>112358.33</v>
      </c>
      <c r="I41" s="730">
        <v>84.50601260000002</v>
      </c>
      <c r="J41" s="731">
        <v>140337.82999999999</v>
      </c>
      <c r="K41" s="730">
        <v>80.5</v>
      </c>
      <c r="L41" s="731">
        <v>126583.05</v>
      </c>
      <c r="M41" s="732">
        <v>91.62</v>
      </c>
      <c r="N41" s="629">
        <v>162953.97</v>
      </c>
      <c r="O41" s="733">
        <v>109.062</v>
      </c>
      <c r="P41" s="628">
        <v>210251.63</v>
      </c>
      <c r="Q41" s="733">
        <v>104.15644</v>
      </c>
      <c r="R41" s="628">
        <v>237411.85</v>
      </c>
      <c r="S41" s="734">
        <v>299.27161000000058</v>
      </c>
      <c r="T41" s="735">
        <v>592871</v>
      </c>
      <c r="U41" s="733">
        <v>266.86007000000029</v>
      </c>
      <c r="V41" s="628">
        <v>619433.40999999992</v>
      </c>
      <c r="W41" s="736">
        <v>287.80774500000001</v>
      </c>
      <c r="X41" s="735">
        <v>665663.75</v>
      </c>
      <c r="Y41" s="737">
        <v>280.25664</v>
      </c>
      <c r="Z41" s="738">
        <v>339267.08</v>
      </c>
      <c r="AA41" s="739">
        <v>298.36723999999998</v>
      </c>
      <c r="AB41" s="738">
        <v>739658.89999999991</v>
      </c>
      <c r="AC41" s="740">
        <f>345.7057-AC55</f>
        <v>76.593909999999937</v>
      </c>
      <c r="AD41" s="615">
        <f>0.87307857-AD55</f>
        <v>0.28857489000000003</v>
      </c>
      <c r="AE41" s="616">
        <f>372.06451-AE55</f>
        <v>157.82811999999998</v>
      </c>
      <c r="AF41" s="615">
        <f>0.98302918-AF55</f>
        <v>0.48663833999999995</v>
      </c>
      <c r="AG41" s="617">
        <v>91.878410000000002</v>
      </c>
      <c r="AH41" s="615">
        <v>0.33121761999999999</v>
      </c>
      <c r="AI41" s="617">
        <v>88.10647000000003</v>
      </c>
      <c r="AJ41" s="615">
        <v>0.31596398999999997</v>
      </c>
      <c r="AK41" s="617">
        <v>87.692850000000007</v>
      </c>
      <c r="AL41" s="615">
        <v>0.3196906599999999</v>
      </c>
      <c r="AM41" s="616">
        <v>93.668379999999999</v>
      </c>
      <c r="AN41" s="615">
        <v>0.37163078000000005</v>
      </c>
      <c r="AO41" s="616">
        <v>41.699690000000004</v>
      </c>
      <c r="AP41" s="615">
        <v>0.16345577999999997</v>
      </c>
      <c r="AQ41" s="619">
        <v>50.953809999999997</v>
      </c>
      <c r="AR41" s="216">
        <v>0.20439077000000003</v>
      </c>
      <c r="AS41" s="620"/>
      <c r="AT41" s="621"/>
      <c r="AU41" s="622">
        <v>243.68787</v>
      </c>
      <c r="AV41" s="623">
        <v>653956.99</v>
      </c>
      <c r="AW41" s="622">
        <v>254.08814999999998</v>
      </c>
      <c r="AX41" s="623">
        <v>705244.88</v>
      </c>
      <c r="AY41" s="622">
        <v>85.886589999999998</v>
      </c>
      <c r="AZ41" s="623">
        <v>245596</v>
      </c>
      <c r="BA41" s="624">
        <f>+AY41/AW41-1</f>
        <v>-0.66198112741582005</v>
      </c>
      <c r="BB41" s="741"/>
      <c r="BC41" s="618">
        <v>95.238349999999997</v>
      </c>
      <c r="BD41" s="2612">
        <v>0.41077214000000012</v>
      </c>
      <c r="BE41" s="618">
        <f>75710/1000</f>
        <v>75.709999999999994</v>
      </c>
      <c r="BF41" s="2612">
        <f>347633.79/1000000</f>
        <v>0.34763379</v>
      </c>
      <c r="BG41" s="3198">
        <f t="shared" ref="BG41:BG51" si="10">BE41/BC41-1</f>
        <v>-0.20504712649893664</v>
      </c>
    </row>
    <row r="42" spans="2:59" s="599" customFormat="1" ht="16.5" customHeight="1">
      <c r="B42" s="2597"/>
      <c r="C42" s="725"/>
      <c r="D42" s="626"/>
      <c r="E42" s="726"/>
      <c r="F42" s="727"/>
      <c r="G42" s="728"/>
      <c r="H42" s="729"/>
      <c r="I42" s="730"/>
      <c r="J42" s="731"/>
      <c r="K42" s="730"/>
      <c r="L42" s="731"/>
      <c r="M42" s="732"/>
      <c r="N42" s="629"/>
      <c r="O42" s="733"/>
      <c r="P42" s="628"/>
      <c r="Q42" s="733"/>
      <c r="R42" s="628"/>
      <c r="S42" s="734"/>
      <c r="T42" s="735"/>
      <c r="U42" s="733"/>
      <c r="V42" s="628"/>
      <c r="W42" s="736"/>
      <c r="X42" s="735"/>
      <c r="Y42" s="742"/>
      <c r="Z42" s="738"/>
      <c r="AA42" s="743"/>
      <c r="AB42" s="738"/>
      <c r="AC42" s="744"/>
      <c r="AD42" s="738"/>
      <c r="AE42" s="616"/>
      <c r="AF42" s="628"/>
      <c r="AG42" s="617"/>
      <c r="AH42" s="745"/>
      <c r="AI42" s="617"/>
      <c r="AJ42" s="745"/>
      <c r="AK42" s="617"/>
      <c r="AL42" s="745"/>
      <c r="AM42" s="616"/>
      <c r="AN42" s="630"/>
      <c r="AO42" s="616"/>
      <c r="AP42" s="630"/>
      <c r="AQ42" s="619"/>
      <c r="AR42" s="746"/>
      <c r="AS42" s="620"/>
      <c r="AT42" s="621"/>
      <c r="AU42" s="622"/>
      <c r="AV42" s="623"/>
      <c r="AW42" s="622"/>
      <c r="AX42" s="623"/>
      <c r="AY42" s="622"/>
      <c r="AZ42" s="623"/>
      <c r="BA42" s="624"/>
      <c r="BB42" s="741"/>
      <c r="BC42" s="618"/>
      <c r="BD42" s="2612"/>
      <c r="BE42" s="618"/>
      <c r="BF42" s="2612"/>
      <c r="BG42" s="3198"/>
    </row>
    <row r="43" spans="2:59" s="599" customFormat="1" ht="33.5" customHeight="1">
      <c r="B43" s="2597" t="s">
        <v>28</v>
      </c>
      <c r="C43" s="725">
        <v>96.8</v>
      </c>
      <c r="D43" s="626">
        <v>678193.06</v>
      </c>
      <c r="E43" s="726">
        <v>50.838269999999994</v>
      </c>
      <c r="F43" s="727">
        <v>349168.39</v>
      </c>
      <c r="G43" s="728">
        <v>131.79599999999999</v>
      </c>
      <c r="H43" s="729">
        <v>877270.97</v>
      </c>
      <c r="I43" s="730">
        <v>115.70444000000001</v>
      </c>
      <c r="J43" s="731">
        <v>811269.14</v>
      </c>
      <c r="K43" s="730">
        <v>80.2</v>
      </c>
      <c r="L43" s="731">
        <v>576364.68999999994</v>
      </c>
      <c r="M43" s="732">
        <v>108.34</v>
      </c>
      <c r="N43" s="629">
        <v>766843.16</v>
      </c>
      <c r="O43" s="733">
        <v>124.25363</v>
      </c>
      <c r="P43" s="628">
        <v>1025642.24</v>
      </c>
      <c r="Q43" s="733">
        <v>143.35918999999998</v>
      </c>
      <c r="R43" s="628">
        <v>1137580.8700000001</v>
      </c>
      <c r="S43" s="734">
        <v>144.76782</v>
      </c>
      <c r="T43" s="735">
        <v>1104897</v>
      </c>
      <c r="U43" s="733">
        <v>95.270880000000005</v>
      </c>
      <c r="V43" s="628">
        <v>899573.40999999992</v>
      </c>
      <c r="W43" s="736">
        <v>116.19673999999999</v>
      </c>
      <c r="X43" s="735">
        <v>1107615.93</v>
      </c>
      <c r="Y43" s="737">
        <v>100.24529</v>
      </c>
      <c r="Z43" s="738">
        <v>1054990.98</v>
      </c>
      <c r="AA43" s="739">
        <v>123.60992000000002</v>
      </c>
      <c r="AB43" s="738">
        <v>1464922.76</v>
      </c>
      <c r="AC43" s="740">
        <v>129.53197</v>
      </c>
      <c r="AD43" s="615">
        <v>1.5454107200000002</v>
      </c>
      <c r="AE43" s="616">
        <v>131.52343999999999</v>
      </c>
      <c r="AF43" s="615">
        <v>1.6387794700000002</v>
      </c>
      <c r="AG43" s="617">
        <v>100.3</v>
      </c>
      <c r="AH43" s="615">
        <v>1.1615446999999999</v>
      </c>
      <c r="AI43" s="617">
        <v>95.808580000000006</v>
      </c>
      <c r="AJ43" s="615">
        <v>1.16450586</v>
      </c>
      <c r="AK43" s="617">
        <v>108.05002</v>
      </c>
      <c r="AL43" s="615">
        <v>1.2911221400000001</v>
      </c>
      <c r="AM43" s="616">
        <v>109.8</v>
      </c>
      <c r="AN43" s="615">
        <v>1.356503</v>
      </c>
      <c r="AO43" s="616">
        <v>34.005600000000001</v>
      </c>
      <c r="AP43" s="615">
        <v>0.44114718999999997</v>
      </c>
      <c r="AQ43" s="619">
        <v>45.702589999999994</v>
      </c>
      <c r="AR43" s="216">
        <v>0.63051243000000001</v>
      </c>
      <c r="AS43" s="620"/>
      <c r="AT43" s="621"/>
      <c r="AU43" s="622">
        <v>88</v>
      </c>
      <c r="AV43" s="623">
        <v>1024913</v>
      </c>
      <c r="AW43" s="622">
        <v>88.3</v>
      </c>
      <c r="AX43" s="623">
        <v>1058155</v>
      </c>
      <c r="AY43" s="622">
        <v>27.4</v>
      </c>
      <c r="AZ43" s="623">
        <v>338780</v>
      </c>
      <c r="BA43" s="624">
        <f>+AY43/AW43-1</f>
        <v>-0.68969422423556059</v>
      </c>
      <c r="BB43" s="741"/>
      <c r="BC43" s="618">
        <v>92.197460000000007</v>
      </c>
      <c r="BD43" s="2612">
        <v>1.2290686400000002</v>
      </c>
      <c r="BE43" s="618">
        <f>83044.49/1000</f>
        <v>83.04449000000001</v>
      </c>
      <c r="BF43" s="2612">
        <f>1237091.37/1000000</f>
        <v>1.2370913700000001</v>
      </c>
      <c r="BG43" s="3198">
        <f t="shared" si="10"/>
        <v>-9.9275728420283982E-2</v>
      </c>
    </row>
    <row r="44" spans="2:59" s="599" customFormat="1" ht="16.5" customHeight="1">
      <c r="B44" s="2597"/>
      <c r="C44" s="725"/>
      <c r="D44" s="626"/>
      <c r="E44" s="726"/>
      <c r="F44" s="727"/>
      <c r="G44" s="728"/>
      <c r="H44" s="729"/>
      <c r="I44" s="730"/>
      <c r="J44" s="731"/>
      <c r="K44" s="730"/>
      <c r="L44" s="731"/>
      <c r="M44" s="732"/>
      <c r="N44" s="629"/>
      <c r="O44" s="733"/>
      <c r="P44" s="628"/>
      <c r="Q44" s="733"/>
      <c r="R44" s="628"/>
      <c r="S44" s="734"/>
      <c r="T44" s="735"/>
      <c r="U44" s="733"/>
      <c r="V44" s="628"/>
      <c r="W44" s="736"/>
      <c r="X44" s="735"/>
      <c r="Y44" s="742"/>
      <c r="Z44" s="738"/>
      <c r="AA44" s="743"/>
      <c r="AB44" s="738"/>
      <c r="AC44" s="744"/>
      <c r="AD44" s="738"/>
      <c r="AE44" s="616"/>
      <c r="AF44" s="628"/>
      <c r="AG44" s="617"/>
      <c r="AH44" s="745"/>
      <c r="AI44" s="617"/>
      <c r="AJ44" s="745"/>
      <c r="AK44" s="617"/>
      <c r="AL44" s="745"/>
      <c r="AM44" s="616"/>
      <c r="AN44" s="630"/>
      <c r="AO44" s="616"/>
      <c r="AP44" s="630"/>
      <c r="AQ44" s="619"/>
      <c r="AR44" s="746"/>
      <c r="AS44" s="620"/>
      <c r="AT44" s="621"/>
      <c r="AU44" s="622"/>
      <c r="AV44" s="623"/>
      <c r="AW44" s="622"/>
      <c r="AX44" s="623"/>
      <c r="AY44" s="622"/>
      <c r="AZ44" s="623"/>
      <c r="BA44" s="624"/>
      <c r="BB44" s="741"/>
      <c r="BC44" s="618"/>
      <c r="BD44" s="2612"/>
      <c r="BE44" s="618"/>
      <c r="BF44" s="2612"/>
      <c r="BG44" s="3198"/>
    </row>
    <row r="45" spans="2:59" s="599" customFormat="1" ht="57" customHeight="1">
      <c r="B45" s="2621" t="s">
        <v>29</v>
      </c>
      <c r="C45" s="725">
        <v>85.1</v>
      </c>
      <c r="D45" s="626">
        <v>381473.16</v>
      </c>
      <c r="E45" s="726">
        <v>49.064879999999995</v>
      </c>
      <c r="F45" s="727">
        <v>214198.9</v>
      </c>
      <c r="G45" s="728">
        <v>122.252</v>
      </c>
      <c r="H45" s="729">
        <v>529673.94999999995</v>
      </c>
      <c r="I45" s="730">
        <v>126.75449116585</v>
      </c>
      <c r="J45" s="731">
        <v>550645.61</v>
      </c>
      <c r="K45" s="730">
        <v>102.40999999999998</v>
      </c>
      <c r="L45" s="731">
        <v>461503.89</v>
      </c>
      <c r="M45" s="732">
        <v>124.24000000000002</v>
      </c>
      <c r="N45" s="629">
        <v>566567.31999999995</v>
      </c>
      <c r="O45" s="733">
        <v>137.52386000000001</v>
      </c>
      <c r="P45" s="628">
        <v>672068.36</v>
      </c>
      <c r="Q45" s="733">
        <v>133.61705999999998</v>
      </c>
      <c r="R45" s="628">
        <v>677894.51</v>
      </c>
      <c r="S45" s="734">
        <v>137.08267000000001</v>
      </c>
      <c r="T45" s="735">
        <v>519763</v>
      </c>
      <c r="U45" s="733">
        <v>111.20858999999999</v>
      </c>
      <c r="V45" s="628">
        <v>629051.89</v>
      </c>
      <c r="W45" s="736">
        <v>127.27844</v>
      </c>
      <c r="X45" s="735">
        <v>750177.54999999993</v>
      </c>
      <c r="Y45" s="748">
        <v>128.36085</v>
      </c>
      <c r="Z45" s="738">
        <v>732233.45</v>
      </c>
      <c r="AA45" s="739">
        <v>167.42172999999997</v>
      </c>
      <c r="AB45" s="738">
        <v>966074.6100000001</v>
      </c>
      <c r="AC45" s="740">
        <v>155.81566000000001</v>
      </c>
      <c r="AD45" s="736">
        <v>0.89378574</v>
      </c>
      <c r="AE45" s="616">
        <v>179.63541000000001</v>
      </c>
      <c r="AF45" s="736">
        <v>1.03264438</v>
      </c>
      <c r="AG45" s="617">
        <v>147.4</v>
      </c>
      <c r="AH45" s="736">
        <v>0.90139250000000004</v>
      </c>
      <c r="AI45" s="617">
        <v>144.1567</v>
      </c>
      <c r="AJ45" s="736">
        <v>0.84364776999999991</v>
      </c>
      <c r="AK45" s="617">
        <v>146.77081000000001</v>
      </c>
      <c r="AL45" s="736">
        <v>0.87088025000000002</v>
      </c>
      <c r="AM45" s="616">
        <v>157.19999999999999</v>
      </c>
      <c r="AN45" s="736">
        <v>0.95123500000000005</v>
      </c>
      <c r="AO45" s="616">
        <v>56.217179999999999</v>
      </c>
      <c r="AP45" s="736">
        <v>0.34036408999999995</v>
      </c>
      <c r="AQ45" s="619">
        <v>69.983249999999998</v>
      </c>
      <c r="AR45" s="1863">
        <v>0.41781676000000001</v>
      </c>
      <c r="AS45" s="749"/>
      <c r="AT45" s="621"/>
      <c r="AU45" s="622">
        <v>110.2</v>
      </c>
      <c r="AV45" s="623">
        <v>653179</v>
      </c>
      <c r="AW45" s="622">
        <v>118.9</v>
      </c>
      <c r="AX45" s="623">
        <v>725900</v>
      </c>
      <c r="AY45" s="622">
        <v>40.1</v>
      </c>
      <c r="AZ45" s="623">
        <v>241774</v>
      </c>
      <c r="BA45" s="624">
        <f>+AY45/AW45-1</f>
        <v>-0.66274179983179149</v>
      </c>
      <c r="BB45" s="741"/>
      <c r="BC45" s="618">
        <v>124.19579</v>
      </c>
      <c r="BD45" s="2612">
        <v>0.77032096999999999</v>
      </c>
      <c r="BE45" s="618">
        <f>125579.35/1000</f>
        <v>125.57935000000001</v>
      </c>
      <c r="BF45" s="2612">
        <f>876464.67/1000000</f>
        <v>0.87646467000000006</v>
      </c>
      <c r="BG45" s="3198">
        <f t="shared" si="10"/>
        <v>1.114015217424047E-2</v>
      </c>
    </row>
    <row r="46" spans="2:59" s="599" customFormat="1" ht="16.5" customHeight="1">
      <c r="B46" s="2597"/>
      <c r="C46" s="725"/>
      <c r="D46" s="626"/>
      <c r="E46" s="726"/>
      <c r="F46" s="727"/>
      <c r="G46" s="728"/>
      <c r="H46" s="729"/>
      <c r="I46" s="730"/>
      <c r="J46" s="731"/>
      <c r="K46" s="730"/>
      <c r="L46" s="731"/>
      <c r="M46" s="732"/>
      <c r="N46" s="629"/>
      <c r="O46" s="733"/>
      <c r="P46" s="628"/>
      <c r="Q46" s="733"/>
      <c r="R46" s="628"/>
      <c r="S46" s="734"/>
      <c r="T46" s="735"/>
      <c r="U46" s="733"/>
      <c r="V46" s="628"/>
      <c r="W46" s="736"/>
      <c r="X46" s="735"/>
      <c r="Y46" s="742"/>
      <c r="Z46" s="738"/>
      <c r="AA46" s="743"/>
      <c r="AB46" s="738"/>
      <c r="AC46" s="744"/>
      <c r="AD46" s="738"/>
      <c r="AE46" s="616"/>
      <c r="AF46" s="628"/>
      <c r="AG46" s="617"/>
      <c r="AH46" s="745"/>
      <c r="AI46" s="617"/>
      <c r="AJ46" s="745"/>
      <c r="AK46" s="617"/>
      <c r="AL46" s="745"/>
      <c r="AM46" s="616"/>
      <c r="AN46" s="629"/>
      <c r="AO46" s="616"/>
      <c r="AP46" s="629"/>
      <c r="AQ46" s="619"/>
      <c r="AR46" s="746"/>
      <c r="AS46" s="749"/>
      <c r="AT46" s="621"/>
      <c r="AU46" s="622"/>
      <c r="AV46" s="635"/>
      <c r="AW46" s="622"/>
      <c r="AX46" s="635"/>
      <c r="AY46" s="622"/>
      <c r="AZ46" s="635"/>
      <c r="BA46" s="624"/>
      <c r="BB46" s="741"/>
      <c r="BC46" s="618"/>
      <c r="BD46" s="2612"/>
      <c r="BE46" s="618"/>
      <c r="BF46" s="2612"/>
      <c r="BG46" s="3198"/>
    </row>
    <row r="47" spans="2:59" s="599" customFormat="1" ht="30" customHeight="1">
      <c r="B47" s="2597" t="s">
        <v>30</v>
      </c>
      <c r="C47" s="725">
        <v>58.4</v>
      </c>
      <c r="D47" s="626">
        <v>311487.90999999997</v>
      </c>
      <c r="E47" s="726">
        <v>46.217779999999998</v>
      </c>
      <c r="F47" s="727">
        <v>158519.93</v>
      </c>
      <c r="G47" s="728">
        <v>96.56</v>
      </c>
      <c r="H47" s="729">
        <v>351447.65</v>
      </c>
      <c r="I47" s="730">
        <v>107.2627435</v>
      </c>
      <c r="J47" s="731">
        <v>369768.76</v>
      </c>
      <c r="K47" s="730">
        <v>84.2</v>
      </c>
      <c r="L47" s="731">
        <v>307608.02</v>
      </c>
      <c r="M47" s="732">
        <v>119.16</v>
      </c>
      <c r="N47" s="629">
        <v>497478.29</v>
      </c>
      <c r="O47" s="733">
        <v>131.67070000000001</v>
      </c>
      <c r="P47" s="628">
        <v>584187.03</v>
      </c>
      <c r="Q47" s="733">
        <v>158.27301000000031</v>
      </c>
      <c r="R47" s="628">
        <v>672865.85</v>
      </c>
      <c r="S47" s="734">
        <v>123.9179</v>
      </c>
      <c r="T47" s="735">
        <v>558174</v>
      </c>
      <c r="U47" s="733">
        <v>80.778400000000005</v>
      </c>
      <c r="V47" s="628">
        <v>450687.54</v>
      </c>
      <c r="W47" s="736">
        <v>148.61378999999999</v>
      </c>
      <c r="X47" s="735">
        <v>794506.40999999992</v>
      </c>
      <c r="Y47" s="737">
        <v>141.02981</v>
      </c>
      <c r="Z47" s="738">
        <v>750126.28</v>
      </c>
      <c r="AA47" s="739">
        <v>163.17858999999999</v>
      </c>
      <c r="AB47" s="738">
        <v>897501.16</v>
      </c>
      <c r="AC47" s="740">
        <v>157.08251000000001</v>
      </c>
      <c r="AD47" s="615">
        <v>0.8847130700000001</v>
      </c>
      <c r="AE47" s="616">
        <v>161.90428</v>
      </c>
      <c r="AF47" s="615">
        <v>0.93734931999999993</v>
      </c>
      <c r="AG47" s="617">
        <v>166.9</v>
      </c>
      <c r="AH47" s="615">
        <v>0.97690490000000008</v>
      </c>
      <c r="AI47" s="617">
        <v>165.73635000000002</v>
      </c>
      <c r="AJ47" s="615">
        <v>0.98505321000000001</v>
      </c>
      <c r="AK47" s="617">
        <v>162.08554999999998</v>
      </c>
      <c r="AL47" s="615">
        <v>0.97410836000000001</v>
      </c>
      <c r="AM47" s="616">
        <v>143.80000000000001</v>
      </c>
      <c r="AN47" s="615">
        <v>0.89141499999999996</v>
      </c>
      <c r="AO47" s="616">
        <v>61.176929999999999</v>
      </c>
      <c r="AP47" s="615">
        <v>0.39332519999999993</v>
      </c>
      <c r="AQ47" s="619">
        <v>97.906919999999985</v>
      </c>
      <c r="AR47" s="216">
        <v>0.64833388000000003</v>
      </c>
      <c r="AS47" s="749"/>
      <c r="AT47" s="621"/>
      <c r="AU47" s="622">
        <v>118.3</v>
      </c>
      <c r="AV47" s="635">
        <v>705974</v>
      </c>
      <c r="AW47" s="622">
        <v>102.8</v>
      </c>
      <c r="AX47" s="635">
        <v>637122</v>
      </c>
      <c r="AY47" s="622">
        <v>40</v>
      </c>
      <c r="AZ47" s="635">
        <v>251691</v>
      </c>
      <c r="BA47" s="624">
        <f>+AY47/AW47-1</f>
        <v>-0.6108949416342413</v>
      </c>
      <c r="BB47" s="741"/>
      <c r="BC47" s="618">
        <v>134.58794</v>
      </c>
      <c r="BD47" s="2612">
        <v>0.91367340999999991</v>
      </c>
      <c r="BE47" s="618">
        <f>122820.67/1000</f>
        <v>122.82066999999999</v>
      </c>
      <c r="BF47" s="2612">
        <f>823820.01/1000000</f>
        <v>0.82382001000000005</v>
      </c>
      <c r="BG47" s="3198">
        <f t="shared" si="10"/>
        <v>-8.7431830816342204E-2</v>
      </c>
    </row>
    <row r="48" spans="2:59" s="599" customFormat="1" ht="16.5" customHeight="1">
      <c r="B48" s="2597"/>
      <c r="C48" s="725"/>
      <c r="D48" s="626"/>
      <c r="E48" s="726"/>
      <c r="F48" s="727"/>
      <c r="G48" s="728"/>
      <c r="H48" s="729"/>
      <c r="I48" s="730"/>
      <c r="J48" s="731"/>
      <c r="K48" s="730"/>
      <c r="L48" s="731"/>
      <c r="M48" s="732"/>
      <c r="N48" s="629"/>
      <c r="O48" s="733"/>
      <c r="P48" s="628"/>
      <c r="Q48" s="733"/>
      <c r="R48" s="628"/>
      <c r="S48" s="734"/>
      <c r="T48" s="735"/>
      <c r="U48" s="733"/>
      <c r="V48" s="628"/>
      <c r="W48" s="736"/>
      <c r="X48" s="735"/>
      <c r="Y48" s="742"/>
      <c r="Z48" s="738"/>
      <c r="AA48" s="743"/>
      <c r="AB48" s="738"/>
      <c r="AC48" s="744"/>
      <c r="AD48" s="738"/>
      <c r="AE48" s="616"/>
      <c r="AF48" s="628"/>
      <c r="AG48" s="617"/>
      <c r="AH48" s="745"/>
      <c r="AI48" s="617"/>
      <c r="AJ48" s="745"/>
      <c r="AK48" s="617"/>
      <c r="AL48" s="745"/>
      <c r="AM48" s="616"/>
      <c r="AN48" s="629"/>
      <c r="AO48" s="616"/>
      <c r="AP48" s="629"/>
      <c r="AQ48" s="619"/>
      <c r="AR48" s="746"/>
      <c r="AS48" s="749"/>
      <c r="AT48" s="621"/>
      <c r="AU48" s="622"/>
      <c r="AV48" s="635"/>
      <c r="AW48" s="622"/>
      <c r="AX48" s="635"/>
      <c r="AY48" s="622"/>
      <c r="AZ48" s="635"/>
      <c r="BA48" s="624"/>
      <c r="BB48" s="741"/>
      <c r="BC48" s="618"/>
      <c r="BD48" s="2612"/>
      <c r="BE48" s="618"/>
      <c r="BF48" s="2612"/>
      <c r="BG48" s="3198"/>
    </row>
    <row r="49" spans="2:59" s="599" customFormat="1" ht="30" customHeight="1">
      <c r="B49" s="2597" t="s">
        <v>31</v>
      </c>
      <c r="C49" s="725">
        <v>9.1</v>
      </c>
      <c r="D49" s="626">
        <v>108095.59</v>
      </c>
      <c r="E49" s="726">
        <v>5.0670500000000001</v>
      </c>
      <c r="F49" s="727">
        <v>61468.32</v>
      </c>
      <c r="G49" s="728">
        <v>12.294</v>
      </c>
      <c r="H49" s="729">
        <v>145220.81</v>
      </c>
      <c r="I49" s="730">
        <v>12.726799946</v>
      </c>
      <c r="J49" s="731">
        <v>145145.18</v>
      </c>
      <c r="K49" s="730">
        <v>8</v>
      </c>
      <c r="L49" s="731">
        <v>93589.78</v>
      </c>
      <c r="M49" s="732">
        <v>13.27</v>
      </c>
      <c r="N49" s="629">
        <v>161131.06</v>
      </c>
      <c r="O49" s="733">
        <v>15.998722000000001</v>
      </c>
      <c r="P49" s="628">
        <v>220872.54</v>
      </c>
      <c r="Q49" s="733">
        <v>17.851800000000001</v>
      </c>
      <c r="R49" s="628">
        <v>213994.8</v>
      </c>
      <c r="S49" s="734">
        <v>16.212</v>
      </c>
      <c r="T49" s="735">
        <v>177048</v>
      </c>
      <c r="U49" s="733">
        <v>14.562819999999999</v>
      </c>
      <c r="V49" s="628">
        <v>178028.74</v>
      </c>
      <c r="W49" s="736">
        <v>21.030799999999999</v>
      </c>
      <c r="X49" s="735">
        <v>254906.86</v>
      </c>
      <c r="Y49" s="737">
        <v>13.96757</v>
      </c>
      <c r="Z49" s="738">
        <v>171640.30000000005</v>
      </c>
      <c r="AA49" s="739">
        <v>20.143709999999999</v>
      </c>
      <c r="AB49" s="738">
        <v>260204.07</v>
      </c>
      <c r="AC49" s="740">
        <v>22.86318</v>
      </c>
      <c r="AD49" s="615">
        <v>0.30091695999999996</v>
      </c>
      <c r="AE49" s="616">
        <v>28.044090000000001</v>
      </c>
      <c r="AF49" s="615">
        <v>0.37347191000000002</v>
      </c>
      <c r="AG49" s="617">
        <v>24.6</v>
      </c>
      <c r="AH49" s="615">
        <v>0.32449250000000002</v>
      </c>
      <c r="AI49" s="617">
        <v>26.796579999999999</v>
      </c>
      <c r="AJ49" s="615">
        <v>0.36341921000000005</v>
      </c>
      <c r="AK49" s="617">
        <v>34.637039999999999</v>
      </c>
      <c r="AL49" s="615">
        <v>0.40549574000000005</v>
      </c>
      <c r="AM49" s="616">
        <v>28.4</v>
      </c>
      <c r="AN49" s="615">
        <v>0.40254600000000001</v>
      </c>
      <c r="AO49" s="616">
        <v>9.016729999999999</v>
      </c>
      <c r="AP49" s="615">
        <v>0.13268986000000002</v>
      </c>
      <c r="AQ49" s="619">
        <v>11.67924</v>
      </c>
      <c r="AR49" s="216">
        <v>0.1788814</v>
      </c>
      <c r="AS49" s="749"/>
      <c r="AT49" s="621"/>
      <c r="AU49" s="622">
        <v>28.8</v>
      </c>
      <c r="AV49" s="635">
        <v>322311</v>
      </c>
      <c r="AW49" s="622">
        <v>21.6</v>
      </c>
      <c r="AX49" s="635">
        <v>304908</v>
      </c>
      <c r="AY49" s="622">
        <v>6.5</v>
      </c>
      <c r="AZ49" s="635">
        <v>95859</v>
      </c>
      <c r="BA49" s="624">
        <f>+AY49/AW49-1</f>
        <v>-0.69907407407407407</v>
      </c>
      <c r="BB49" s="741"/>
      <c r="BC49" s="618">
        <v>23.083949999999998</v>
      </c>
      <c r="BD49" s="2612">
        <v>0.34790361999999997</v>
      </c>
      <c r="BE49" s="618">
        <f>19269.82/1000</f>
        <v>19.269819999999999</v>
      </c>
      <c r="BF49" s="2612">
        <f>300957.51/1000000</f>
        <v>0.30095750999999998</v>
      </c>
      <c r="BG49" s="3198">
        <f t="shared" si="10"/>
        <v>-0.16522865454135882</v>
      </c>
    </row>
    <row r="50" spans="2:59" s="599" customFormat="1" ht="16.5" customHeight="1">
      <c r="B50" s="2597"/>
      <c r="C50" s="725"/>
      <c r="D50" s="626"/>
      <c r="E50" s="726"/>
      <c r="F50" s="727"/>
      <c r="G50" s="728"/>
      <c r="H50" s="729"/>
      <c r="I50" s="730"/>
      <c r="J50" s="731"/>
      <c r="K50" s="730"/>
      <c r="L50" s="731"/>
      <c r="M50" s="732"/>
      <c r="N50" s="629"/>
      <c r="O50" s="733"/>
      <c r="P50" s="628"/>
      <c r="Q50" s="733"/>
      <c r="R50" s="628"/>
      <c r="S50" s="734"/>
      <c r="T50" s="735"/>
      <c r="U50" s="733"/>
      <c r="V50" s="628"/>
      <c r="W50" s="736"/>
      <c r="X50" s="645"/>
      <c r="Y50" s="750"/>
      <c r="Z50" s="751"/>
      <c r="AA50" s="752"/>
      <c r="AB50" s="751"/>
      <c r="AC50" s="744"/>
      <c r="AD50" s="738"/>
      <c r="AE50" s="616"/>
      <c r="AF50" s="628"/>
      <c r="AG50" s="617"/>
      <c r="AH50" s="745"/>
      <c r="AI50" s="617"/>
      <c r="AJ50" s="745"/>
      <c r="AK50" s="617"/>
      <c r="AL50" s="745"/>
      <c r="AM50" s="616"/>
      <c r="AN50" s="629"/>
      <c r="AO50" s="616"/>
      <c r="AP50" s="629"/>
      <c r="AQ50" s="619"/>
      <c r="AR50" s="746"/>
      <c r="AS50" s="749"/>
      <c r="AT50" s="621"/>
      <c r="AU50" s="622"/>
      <c r="AV50" s="635"/>
      <c r="AW50" s="622"/>
      <c r="AX50" s="635"/>
      <c r="AY50" s="622"/>
      <c r="AZ50" s="635"/>
      <c r="BA50" s="624"/>
      <c r="BB50" s="741"/>
      <c r="BC50" s="618"/>
      <c r="BD50" s="2612"/>
      <c r="BE50" s="618"/>
      <c r="BF50" s="2612"/>
      <c r="BG50" s="3198"/>
    </row>
    <row r="51" spans="2:59" s="599" customFormat="1" ht="30" customHeight="1">
      <c r="B51" s="2597" t="s">
        <v>443</v>
      </c>
      <c r="C51" s="725"/>
      <c r="D51" s="626"/>
      <c r="E51" s="726"/>
      <c r="F51" s="727"/>
      <c r="G51" s="728"/>
      <c r="H51" s="729"/>
      <c r="I51" s="730"/>
      <c r="J51" s="731"/>
      <c r="K51" s="730"/>
      <c r="L51" s="731"/>
      <c r="M51" s="732"/>
      <c r="N51" s="629"/>
      <c r="O51" s="733"/>
      <c r="P51" s="628"/>
      <c r="Q51" s="733"/>
      <c r="R51" s="628"/>
      <c r="S51" s="734"/>
      <c r="T51" s="735"/>
      <c r="U51" s="733"/>
      <c r="V51" s="628"/>
      <c r="W51" s="736"/>
      <c r="X51" s="645"/>
      <c r="Y51" s="753">
        <v>1.7669999999999999</v>
      </c>
      <c r="Z51" s="754">
        <v>19052.82</v>
      </c>
      <c r="AA51" s="755">
        <v>3.1607799999999999</v>
      </c>
      <c r="AB51" s="756">
        <v>34157.020000000004</v>
      </c>
      <c r="AC51" s="740">
        <v>4.4885299999999999</v>
      </c>
      <c r="AD51" s="615">
        <v>0.13063735000000001</v>
      </c>
      <c r="AE51" s="616">
        <v>7.6097099999999998</v>
      </c>
      <c r="AF51" s="615">
        <v>0.16871388000000001</v>
      </c>
      <c r="AG51" s="757">
        <v>5.7</v>
      </c>
      <c r="AH51" s="615">
        <v>0.10513760000000001</v>
      </c>
      <c r="AI51" s="757">
        <v>11.562530000000001</v>
      </c>
      <c r="AJ51" s="615">
        <v>0.21137028999999999</v>
      </c>
      <c r="AK51" s="757">
        <v>13.67924</v>
      </c>
      <c r="AL51" s="615">
        <v>0.23077920000000002</v>
      </c>
      <c r="AM51" s="616">
        <v>14.9</v>
      </c>
      <c r="AN51" s="615">
        <v>0.267347</v>
      </c>
      <c r="AO51" s="616">
        <v>5.3671699999999998</v>
      </c>
      <c r="AP51" s="615">
        <v>0.10356626000000001</v>
      </c>
      <c r="AQ51" s="619">
        <v>4.7196299999999995</v>
      </c>
      <c r="AR51" s="216">
        <v>8.1868369999999996E-2</v>
      </c>
      <c r="AS51" s="749"/>
      <c r="AT51" s="621"/>
      <c r="AU51" s="622">
        <v>10.7</v>
      </c>
      <c r="AV51" s="635">
        <v>176299</v>
      </c>
      <c r="AW51" s="622">
        <v>11.6</v>
      </c>
      <c r="AX51" s="635">
        <v>201221</v>
      </c>
      <c r="AY51" s="622">
        <v>4.2</v>
      </c>
      <c r="AZ51" s="621">
        <v>77375</v>
      </c>
      <c r="BA51" s="624">
        <f>+AY51/AW51-1</f>
        <v>-0.63793103448275867</v>
      </c>
      <c r="BB51" s="741"/>
      <c r="BC51" s="618">
        <v>9.4704200000000007</v>
      </c>
      <c r="BD51" s="2612">
        <v>0.19200212999999999</v>
      </c>
      <c r="BE51" s="618">
        <f>6091.73/1000</f>
        <v>6.0917299999999992</v>
      </c>
      <c r="BF51" s="2612">
        <f>108609.53/1000000</f>
        <v>0.10860953</v>
      </c>
      <c r="BG51" s="3198">
        <f t="shared" si="10"/>
        <v>-0.35676242447536655</v>
      </c>
    </row>
    <row r="52" spans="2:59" s="599" customFormat="1" ht="30" customHeight="1" thickBot="1">
      <c r="B52" s="1829" t="s">
        <v>1420</v>
      </c>
      <c r="C52" s="758">
        <v>769</v>
      </c>
      <c r="D52" s="759">
        <v>2457000.9700000002</v>
      </c>
      <c r="E52" s="760">
        <v>358.20556000000005</v>
      </c>
      <c r="F52" s="761">
        <v>1247844.3600000001</v>
      </c>
      <c r="G52" s="762">
        <v>936.90399999999988</v>
      </c>
      <c r="H52" s="763">
        <v>3344352.88</v>
      </c>
      <c r="I52" s="764">
        <f t="shared" ref="I52:T52" si="11">SUM(I39:I49)</f>
        <v>915.75</v>
      </c>
      <c r="J52" s="765">
        <f t="shared" si="11"/>
        <v>3203161.52</v>
      </c>
      <c r="K52" s="764">
        <f t="shared" si="11"/>
        <v>770.51</v>
      </c>
      <c r="L52" s="766">
        <f t="shared" si="11"/>
        <v>2586867.3199999998</v>
      </c>
      <c r="M52" s="767">
        <f t="shared" si="11"/>
        <v>956.66</v>
      </c>
      <c r="N52" s="768">
        <f t="shared" si="11"/>
        <v>3560482.41</v>
      </c>
      <c r="O52" s="769">
        <f t="shared" si="11"/>
        <v>1062.2499999999998</v>
      </c>
      <c r="P52" s="768">
        <f t="shared" si="11"/>
        <v>4369179.4499999993</v>
      </c>
      <c r="Q52" s="769">
        <f t="shared" si="11"/>
        <v>1056.0000000000002</v>
      </c>
      <c r="R52" s="768">
        <f t="shared" si="11"/>
        <v>4708284.34</v>
      </c>
      <c r="S52" s="770">
        <f t="shared" si="11"/>
        <v>1046.9100000000005</v>
      </c>
      <c r="T52" s="766">
        <f t="shared" si="11"/>
        <v>4241779</v>
      </c>
      <c r="U52" s="771">
        <f>SUM(U39:U49)</f>
        <v>865.01000000000022</v>
      </c>
      <c r="V52" s="669">
        <f>SUM(V39:V49)</f>
        <v>4150590.9799999995</v>
      </c>
      <c r="W52" s="772">
        <f>SUM(W39:W49)</f>
        <v>990.2</v>
      </c>
      <c r="X52" s="765">
        <f>SUM(X39:X49)</f>
        <v>4866156.7700000005</v>
      </c>
      <c r="Y52" s="773">
        <f t="shared" ref="Y52:AG52" si="12">SUM(Y39,Y41,Y43,Y45,Y47,Y49,Y51)</f>
        <v>975.95960000000002</v>
      </c>
      <c r="Z52" s="774">
        <f t="shared" si="12"/>
        <v>4618971.4700000007</v>
      </c>
      <c r="AA52" s="775">
        <f t="shared" si="12"/>
        <v>1167.1604799999998</v>
      </c>
      <c r="AB52" s="776">
        <f t="shared" si="12"/>
        <v>6308627.4199999999</v>
      </c>
      <c r="AC52" s="777">
        <f t="shared" si="12"/>
        <v>960.12036000000001</v>
      </c>
      <c r="AD52" s="778">
        <f t="shared" si="12"/>
        <v>6.1651083100000008</v>
      </c>
      <c r="AE52" s="777">
        <v>1374.9556700000001</v>
      </c>
      <c r="AF52" s="2077">
        <v>7.6401694399999993</v>
      </c>
      <c r="AG52" s="780">
        <f t="shared" si="12"/>
        <v>952.07840999999996</v>
      </c>
      <c r="AH52" s="781">
        <f>SUM(AH39,AH41,AH43,AH45,AH47,AH49,AH51)</f>
        <v>5.9996708199999995</v>
      </c>
      <c r="AI52" s="782">
        <f>SUM(AI39,AI41,AI43,AI45,AI47,AI49,AI51)</f>
        <v>884.66025999999999</v>
      </c>
      <c r="AJ52" s="781">
        <f>SUM(AJ39,AJ41,AJ43,AJ45,AJ47,AJ49,AJ51)</f>
        <v>5.7775323099999989</v>
      </c>
      <c r="AK52" s="782">
        <f>+SUM(AK39:AK51)</f>
        <v>920.18997999999999</v>
      </c>
      <c r="AL52" s="781">
        <f>+SUM(AL39:AL51)</f>
        <v>6.2067591499999999</v>
      </c>
      <c r="AM52" s="783">
        <f>+SUM(AM39:AM51)*0+1158.6</f>
        <v>1158.5999999999999</v>
      </c>
      <c r="AN52" s="784">
        <f>(+SUM(AN39:AN51)*0+6930000)/1000000</f>
        <v>6.93</v>
      </c>
      <c r="AO52" s="785">
        <f>+SUM(AO39:AO51)*0+415.2</f>
        <v>415.2</v>
      </c>
      <c r="AP52" s="779">
        <f>(+SUM(AP39:AP51)*0+2460000)/1000000</f>
        <v>2.46</v>
      </c>
      <c r="AQ52" s="783">
        <f>+SUM(AQ39:AQ51)</f>
        <v>453.67804999999998</v>
      </c>
      <c r="AR52" s="786">
        <f>+SUM(AR39:AR51)</f>
        <v>3.2158238300000002</v>
      </c>
      <c r="AS52" s="786">
        <f t="shared" ref="AS52:BF52" si="13">+SUM(AS39:AS51)</f>
        <v>0</v>
      </c>
      <c r="AT52" s="786">
        <f t="shared" si="13"/>
        <v>0</v>
      </c>
      <c r="AU52" s="786">
        <f t="shared" si="13"/>
        <v>867.35208</v>
      </c>
      <c r="AV52" s="786">
        <f t="shared" si="13"/>
        <v>5072868.18</v>
      </c>
      <c r="AW52" s="786">
        <f t="shared" si="13"/>
        <v>869.08219999999994</v>
      </c>
      <c r="AX52" s="786">
        <f t="shared" si="13"/>
        <v>5203535.45</v>
      </c>
      <c r="AY52" s="786">
        <f t="shared" si="13"/>
        <v>293.41228999999998</v>
      </c>
      <c r="AZ52" s="786">
        <f t="shared" si="13"/>
        <v>1741398.7</v>
      </c>
      <c r="BA52" s="786">
        <f t="shared" si="13"/>
        <v>-4.6336650475891954</v>
      </c>
      <c r="BB52" s="786">
        <f t="shared" si="13"/>
        <v>0</v>
      </c>
      <c r="BC52" s="783">
        <f t="shared" si="13"/>
        <v>794.79481999999985</v>
      </c>
      <c r="BD52" s="2613">
        <f t="shared" si="13"/>
        <v>5.9438461299999998</v>
      </c>
      <c r="BE52" s="783">
        <f t="shared" si="13"/>
        <v>730.46807999999987</v>
      </c>
      <c r="BF52" s="2613">
        <f t="shared" si="13"/>
        <v>5.7747992799999999</v>
      </c>
      <c r="BG52" s="3180"/>
    </row>
    <row r="53" spans="2:59" s="599" customFormat="1" ht="30" customHeight="1" thickBot="1">
      <c r="B53" s="2622" t="s">
        <v>397</v>
      </c>
      <c r="C53" s="787"/>
      <c r="D53" s="787"/>
      <c r="E53" s="685">
        <v>-0.53419302990897255</v>
      </c>
      <c r="F53" s="788">
        <v>-0.49212703811020464</v>
      </c>
      <c r="G53" s="685">
        <v>1.6155484577067978</v>
      </c>
      <c r="H53" s="788">
        <v>1.6801041758124384</v>
      </c>
      <c r="I53" s="789">
        <v>-2.2596919702712159E-2</v>
      </c>
      <c r="J53" s="790">
        <v>-4.2217841557437574E-2</v>
      </c>
      <c r="K53" s="789">
        <v>-0.16</v>
      </c>
      <c r="L53" s="790">
        <v>-0.192</v>
      </c>
      <c r="M53" s="791">
        <v>0.24299999999999999</v>
      </c>
      <c r="N53" s="792">
        <v>0.37640000000000001</v>
      </c>
      <c r="O53" s="681">
        <v>0.1095</v>
      </c>
      <c r="P53" s="793">
        <v>0.26839351617246621</v>
      </c>
      <c r="Q53" s="681">
        <v>-2.4554936022641471E-2</v>
      </c>
      <c r="R53" s="682">
        <v>7.7612946293611484E-2</v>
      </c>
      <c r="S53" s="794">
        <f t="shared" ref="S53:X53" si="14">S52/Q52-1</f>
        <v>-8.6079545454542661E-3</v>
      </c>
      <c r="T53" s="685">
        <f t="shared" si="14"/>
        <v>-9.9081811188998836E-2</v>
      </c>
      <c r="U53" s="795">
        <f t="shared" si="14"/>
        <v>-0.17374941494493334</v>
      </c>
      <c r="V53" s="796">
        <f t="shared" si="14"/>
        <v>-2.1497588629676434E-2</v>
      </c>
      <c r="W53" s="683">
        <f t="shared" si="14"/>
        <v>0.14472665055895284</v>
      </c>
      <c r="X53" s="685">
        <f t="shared" si="14"/>
        <v>0.17240094084144153</v>
      </c>
      <c r="Y53" s="797">
        <f t="shared" ref="Y53:AD53" si="15">Y52/W52-1</f>
        <v>-1.4381337103615444E-2</v>
      </c>
      <c r="Z53" s="798">
        <f t="shared" si="15"/>
        <v>-5.0796822150059873E-2</v>
      </c>
      <c r="AA53" s="799">
        <f t="shared" si="15"/>
        <v>0.19591065039987288</v>
      </c>
      <c r="AB53" s="800">
        <f t="shared" si="15"/>
        <v>0.36580783427094832</v>
      </c>
      <c r="AC53" s="801">
        <f t="shared" si="15"/>
        <v>-0.177387877286592</v>
      </c>
      <c r="AD53" s="798">
        <f t="shared" si="15"/>
        <v>-0.99999902274965702</v>
      </c>
      <c r="AE53" s="801">
        <v>0.11854841251914872</v>
      </c>
      <c r="AF53" s="798">
        <v>0.13194202145536948</v>
      </c>
      <c r="AG53" s="802">
        <f>AG52/AE52-1</f>
        <v>-0.30755701381994383</v>
      </c>
      <c r="AH53" s="803">
        <f>AH52/AF52-1</f>
        <v>-0.21472018819519789</v>
      </c>
      <c r="AI53" s="802">
        <f>AI52/AE52-1</f>
        <v>-0.35658997646084112</v>
      </c>
      <c r="AJ53" s="803">
        <f>AJ52/AH52-1</f>
        <v>-3.7025116321298568E-2</v>
      </c>
      <c r="AK53" s="804">
        <f>AK52/AI52-1</f>
        <v>4.0161993938780505E-2</v>
      </c>
      <c r="AL53" s="803">
        <f>AL52/AJ52-1</f>
        <v>7.4292417068283045E-2</v>
      </c>
      <c r="AM53" s="805">
        <f t="shared" ref="AM53:AR53" si="16">+AM52/AK52-1</f>
        <v>0.25908782445120737</v>
      </c>
      <c r="AN53" s="806">
        <f t="shared" si="16"/>
        <v>0.11652471644561868</v>
      </c>
      <c r="AO53" s="805">
        <f t="shared" si="16"/>
        <v>-0.64163645779388911</v>
      </c>
      <c r="AP53" s="806">
        <f t="shared" si="16"/>
        <v>-0.64502164502164505</v>
      </c>
      <c r="AQ53" s="807">
        <f t="shared" si="16"/>
        <v>9.2673530828516482E-2</v>
      </c>
      <c r="AR53" s="808">
        <f t="shared" si="16"/>
        <v>0.30724545934959369</v>
      </c>
      <c r="AS53" s="809"/>
      <c r="AT53" s="810"/>
      <c r="AU53" s="811"/>
      <c r="AV53" s="812"/>
      <c r="AW53" s="811"/>
      <c r="AX53" s="812"/>
      <c r="AY53" s="811"/>
      <c r="AZ53" s="812"/>
      <c r="BA53" s="811">
        <f>+SUM(BA39:BA51)</f>
        <v>-4.6336650475891954</v>
      </c>
      <c r="BB53" s="812"/>
      <c r="BC53" s="805">
        <f>BC52/AQ52-1</f>
        <v>0.75189172145313155</v>
      </c>
      <c r="BD53" s="5185">
        <f>BD52/AR52-1</f>
        <v>0.84831211043050181</v>
      </c>
      <c r="BE53" s="5186">
        <f>BE52/BC52-1</f>
        <v>-8.0935026728030213E-2</v>
      </c>
      <c r="BF53" s="5187">
        <f>BF52/BD52-1</f>
        <v>-2.8440650431171277E-2</v>
      </c>
      <c r="BG53" s="3182"/>
    </row>
    <row r="54" spans="2:59" s="599" customFormat="1" ht="30" customHeight="1" thickBot="1">
      <c r="B54" s="724" t="s">
        <v>1423</v>
      </c>
      <c r="C54" s="598"/>
      <c r="D54" s="626"/>
      <c r="E54" s="814"/>
      <c r="F54" s="814"/>
      <c r="G54" s="1801"/>
      <c r="H54" s="1801"/>
      <c r="I54" s="814"/>
      <c r="J54" s="814"/>
      <c r="K54" s="814"/>
      <c r="L54" s="814"/>
      <c r="M54" s="814"/>
      <c r="N54" s="814"/>
      <c r="O54" s="814"/>
      <c r="P54" s="814"/>
      <c r="Q54" s="814"/>
      <c r="R54" s="814"/>
      <c r="S54" s="814"/>
      <c r="T54" s="814"/>
      <c r="U54" s="814"/>
      <c r="V54" s="814"/>
      <c r="W54" s="814"/>
      <c r="X54" s="814"/>
      <c r="Y54" s="814"/>
      <c r="Z54" s="814"/>
      <c r="AA54" s="814"/>
      <c r="AB54" s="814"/>
      <c r="AC54" s="1811"/>
      <c r="AD54" s="1826"/>
      <c r="AE54" s="1811"/>
      <c r="AF54" s="1812"/>
      <c r="AG54" s="1827"/>
      <c r="AH54" s="814"/>
      <c r="AI54" s="1811"/>
      <c r="AJ54" s="1826"/>
      <c r="AK54" s="1811"/>
      <c r="AL54" s="1837"/>
      <c r="AM54" s="1827"/>
      <c r="AN54" s="1826"/>
      <c r="AO54" s="1811"/>
      <c r="AP54" s="1826"/>
      <c r="AQ54" s="1827"/>
      <c r="AR54" s="1826"/>
      <c r="AS54" s="1838"/>
      <c r="AT54" s="1838"/>
      <c r="AU54" s="1838"/>
      <c r="AV54" s="1838"/>
      <c r="AW54" s="1838"/>
      <c r="AX54" s="1838"/>
      <c r="AY54" s="1838"/>
      <c r="AZ54" s="1838"/>
      <c r="BA54" s="1839"/>
      <c r="BB54" s="1838"/>
      <c r="BC54" s="2604"/>
      <c r="BD54" s="2611"/>
      <c r="BE54" s="2604"/>
      <c r="BF54" s="2611"/>
      <c r="BG54" s="3180"/>
    </row>
    <row r="55" spans="2:59" s="599" customFormat="1" ht="30" customHeight="1" thickBot="1">
      <c r="B55" s="1813" t="s">
        <v>1421</v>
      </c>
      <c r="C55" s="1803"/>
      <c r="D55" s="1804"/>
      <c r="E55" s="1805"/>
      <c r="F55" s="1805"/>
      <c r="G55" s="1806"/>
      <c r="H55" s="1806"/>
      <c r="I55" s="1805"/>
      <c r="J55" s="1805"/>
      <c r="K55" s="1805"/>
      <c r="L55" s="1805"/>
      <c r="M55" s="1805"/>
      <c r="N55" s="1805"/>
      <c r="O55" s="1805"/>
      <c r="P55" s="1805"/>
      <c r="Q55" s="1805"/>
      <c r="R55" s="1805"/>
      <c r="S55" s="1805"/>
      <c r="T55" s="1805"/>
      <c r="U55" s="1805"/>
      <c r="V55" s="1805"/>
      <c r="W55" s="1805"/>
      <c r="X55" s="1805"/>
      <c r="Y55" s="1805"/>
      <c r="Z55" s="1805"/>
      <c r="AA55" s="1805"/>
      <c r="AB55" s="1805"/>
      <c r="AC55" s="1796">
        <v>269.11179000000004</v>
      </c>
      <c r="AD55" s="2078">
        <v>0.58450367999999997</v>
      </c>
      <c r="AE55" s="1800">
        <v>214.23639</v>
      </c>
      <c r="AF55" s="2079">
        <v>0.49639084</v>
      </c>
      <c r="AG55" s="1808">
        <v>247.2636</v>
      </c>
      <c r="AH55" s="1807">
        <v>0.57010088999999997</v>
      </c>
      <c r="AI55" s="1818">
        <v>237.74857</v>
      </c>
      <c r="AJ55" s="1807">
        <v>0.54266546999999998</v>
      </c>
      <c r="AK55" s="1808">
        <v>232.13910000000001</v>
      </c>
      <c r="AL55" s="1807">
        <v>0.53632477000000001</v>
      </c>
      <c r="AM55" s="1809">
        <v>241.36964999999998</v>
      </c>
      <c r="AN55" s="1797">
        <v>0.55742240999999992</v>
      </c>
      <c r="AO55" s="1810">
        <v>81.837670000000017</v>
      </c>
      <c r="AP55" s="1807">
        <v>0.18899607000000002</v>
      </c>
      <c r="AQ55" s="1798">
        <v>109.54764999999999</v>
      </c>
      <c r="AR55" s="1799">
        <v>0.27284755000000005</v>
      </c>
      <c r="AS55" s="1838"/>
      <c r="AT55" s="1838"/>
      <c r="AU55" s="1838"/>
      <c r="AV55" s="1838"/>
      <c r="AW55" s="1838"/>
      <c r="AX55" s="1838"/>
      <c r="AY55" s="1838"/>
      <c r="AZ55" s="1838"/>
      <c r="BA55" s="1839"/>
      <c r="BB55" s="1838"/>
      <c r="BC55" s="2617">
        <v>180.01910000000001</v>
      </c>
      <c r="BD55" s="2618">
        <v>0.48117792999999992</v>
      </c>
      <c r="BE55" s="2617">
        <f>178783.23/1000</f>
        <v>178.78323</v>
      </c>
      <c r="BF55" s="2618">
        <f>499293.82/1000000</f>
        <v>0.49929382</v>
      </c>
      <c r="BG55" s="3180"/>
    </row>
    <row r="56" spans="2:59" s="599" customFormat="1" ht="30" customHeight="1" thickBot="1">
      <c r="B56" s="1819" t="s">
        <v>1422</v>
      </c>
      <c r="C56" s="1814"/>
      <c r="D56" s="1815"/>
      <c r="E56" s="1816"/>
      <c r="F56" s="1816"/>
      <c r="G56" s="1817"/>
      <c r="H56" s="1817"/>
      <c r="I56" s="1816"/>
      <c r="J56" s="1816"/>
      <c r="K56" s="1816"/>
      <c r="L56" s="1816"/>
      <c r="M56" s="1816"/>
      <c r="N56" s="1816"/>
      <c r="O56" s="1816"/>
      <c r="P56" s="1816"/>
      <c r="Q56" s="1816"/>
      <c r="R56" s="1816"/>
      <c r="S56" s="1816"/>
      <c r="T56" s="1816"/>
      <c r="U56" s="1816"/>
      <c r="V56" s="1816"/>
      <c r="W56" s="1816"/>
      <c r="X56" s="1816"/>
      <c r="Y56" s="1816"/>
      <c r="Z56" s="1816"/>
      <c r="AA56" s="1816"/>
      <c r="AB56" s="1816"/>
      <c r="AC56" s="1820">
        <f>+AC55+AC52</f>
        <v>1229.23215</v>
      </c>
      <c r="AD56" s="1821">
        <f>+AD52+AD55</f>
        <v>6.7496119900000009</v>
      </c>
      <c r="AE56" s="1820">
        <f>+AE55+AE52</f>
        <v>1589.1920600000001</v>
      </c>
      <c r="AF56" s="1821">
        <f>+AF52+AF55</f>
        <v>8.1365602799999994</v>
      </c>
      <c r="AG56" s="1820">
        <v>1199.3420099999998</v>
      </c>
      <c r="AH56" s="1821">
        <v>6.5697717099999995</v>
      </c>
      <c r="AI56" s="1822">
        <v>1122.4088300000001</v>
      </c>
      <c r="AJ56" s="1823">
        <v>6.3201977799999991</v>
      </c>
      <c r="AK56" s="1820">
        <v>1152.32908</v>
      </c>
      <c r="AL56" s="1821">
        <v>6.7430839200000001</v>
      </c>
      <c r="AM56" s="1822">
        <v>1399.96965</v>
      </c>
      <c r="AN56" s="1823">
        <v>7.4874224099999998</v>
      </c>
      <c r="AO56" s="1820">
        <v>497.03766999999999</v>
      </c>
      <c r="AP56" s="1821">
        <v>2.6489960699999999</v>
      </c>
      <c r="AQ56" s="1822">
        <v>563.22569999999996</v>
      </c>
      <c r="AR56" s="1823">
        <v>3.4886713800000004</v>
      </c>
      <c r="AS56" s="1838"/>
      <c r="AT56" s="1838"/>
      <c r="AU56" s="1838"/>
      <c r="AV56" s="1838"/>
      <c r="AW56" s="1838"/>
      <c r="AX56" s="1838"/>
      <c r="AY56" s="1838"/>
      <c r="AZ56" s="1838"/>
      <c r="BA56" s="1839"/>
      <c r="BB56" s="1838"/>
      <c r="BC56" s="2607">
        <f>BC55+BC52</f>
        <v>974.81391999999983</v>
      </c>
      <c r="BD56" s="1823">
        <f>BD55+BD52</f>
        <v>6.4250240600000001</v>
      </c>
      <c r="BE56" s="2607">
        <f>BE55+BE52</f>
        <v>909.25130999999988</v>
      </c>
      <c r="BF56" s="1823">
        <f>BF55+BF52</f>
        <v>6.2740931</v>
      </c>
      <c r="BG56" s="3180"/>
    </row>
    <row r="57" spans="2:59" ht="32" customHeight="1">
      <c r="B57" s="357" t="s">
        <v>1520</v>
      </c>
      <c r="C57" s="220"/>
      <c r="D57" s="220"/>
      <c r="E57" s="691"/>
      <c r="F57" s="691"/>
      <c r="G57" s="691"/>
      <c r="H57" s="691"/>
      <c r="I57" s="218"/>
      <c r="J57" s="218"/>
      <c r="K57" s="218"/>
      <c r="L57" s="218"/>
      <c r="M57" s="218"/>
      <c r="N57" s="218"/>
      <c r="O57" s="218"/>
      <c r="P57" s="691"/>
      <c r="Q57" s="218"/>
      <c r="R57" s="355"/>
      <c r="S57" s="219"/>
      <c r="U57" s="219"/>
      <c r="W57" s="813"/>
      <c r="AG57" s="211"/>
      <c r="AH57" s="211"/>
      <c r="AI57" s="211"/>
      <c r="AJ57" s="211"/>
      <c r="AS57" s="814"/>
      <c r="AT57" s="814"/>
      <c r="AU57" s="814"/>
      <c r="AV57" s="814"/>
      <c r="AW57" s="814"/>
      <c r="AX57" s="814"/>
      <c r="AY57" s="814"/>
      <c r="AZ57" s="814"/>
      <c r="BA57" s="815"/>
      <c r="BB57" s="816"/>
      <c r="BD57" s="3178"/>
      <c r="BE57" s="356"/>
      <c r="BF57" s="356"/>
      <c r="BG57" s="220"/>
    </row>
    <row r="58" spans="2:59" ht="33.75">
      <c r="B58" s="357" t="s">
        <v>268</v>
      </c>
      <c r="C58" s="220"/>
      <c r="D58" s="220"/>
      <c r="E58" s="691"/>
      <c r="F58" s="691"/>
      <c r="G58" s="691"/>
      <c r="H58" s="691"/>
      <c r="I58" s="691"/>
      <c r="J58" s="691"/>
      <c r="K58" s="691"/>
      <c r="L58" s="691"/>
      <c r="M58" s="691"/>
      <c r="N58" s="691"/>
      <c r="O58" s="691"/>
      <c r="P58" s="691"/>
      <c r="Q58" s="355"/>
      <c r="R58" s="355"/>
      <c r="BE58" s="356"/>
      <c r="BF58" s="356"/>
      <c r="BG58" s="220"/>
    </row>
    <row r="59" spans="2:59" ht="30" hidden="1" customHeight="1">
      <c r="E59" s="356"/>
      <c r="F59" s="356"/>
      <c r="G59" s="356"/>
      <c r="H59" s="356"/>
      <c r="I59" s="356"/>
      <c r="J59" s="356"/>
      <c r="K59" s="356"/>
      <c r="L59" s="356"/>
      <c r="M59" s="356"/>
      <c r="N59" s="356"/>
      <c r="O59" s="356"/>
      <c r="P59" s="356"/>
      <c r="Q59" s="356"/>
      <c r="R59" s="356"/>
      <c r="BE59" s="356"/>
      <c r="BF59" s="356"/>
      <c r="BG59" s="220"/>
    </row>
    <row r="60" spans="2:59" ht="30" hidden="1" customHeight="1">
      <c r="B60" s="5709" t="s">
        <v>25</v>
      </c>
      <c r="C60" s="5709"/>
      <c r="D60" s="5709"/>
      <c r="E60" s="5709"/>
      <c r="F60" s="5709"/>
      <c r="G60" s="5709"/>
      <c r="H60" s="5709"/>
      <c r="I60" s="5709"/>
      <c r="J60" s="5709"/>
      <c r="K60" s="5709"/>
      <c r="L60" s="5709"/>
      <c r="M60" s="5709"/>
      <c r="N60" s="5709"/>
      <c r="O60" s="5709"/>
      <c r="P60" s="5709"/>
      <c r="Q60" s="5709"/>
      <c r="R60" s="5709"/>
      <c r="S60" s="5709"/>
      <c r="T60" s="5709"/>
      <c r="U60" s="5709"/>
      <c r="V60" s="5709"/>
      <c r="W60" s="211"/>
      <c r="BE60" s="356"/>
      <c r="BF60" s="356"/>
      <c r="BG60" s="220"/>
    </row>
    <row r="61" spans="2:59" ht="30" hidden="1" customHeight="1" thickBot="1">
      <c r="B61" s="817"/>
      <c r="E61" s="356"/>
      <c r="F61" s="356"/>
      <c r="G61" s="356"/>
      <c r="H61" s="356"/>
      <c r="I61" s="356"/>
      <c r="J61" s="818"/>
      <c r="K61" s="818"/>
      <c r="L61" s="818"/>
      <c r="M61" s="818"/>
      <c r="N61" s="818"/>
      <c r="O61" s="356"/>
      <c r="P61" s="356"/>
      <c r="Q61" s="356"/>
      <c r="R61" s="356"/>
      <c r="BE61" s="356"/>
      <c r="BF61" s="356"/>
      <c r="BG61" s="220"/>
    </row>
    <row r="62" spans="2:59" ht="30" hidden="1" customHeight="1" thickBot="1">
      <c r="B62" s="817"/>
      <c r="E62" s="356"/>
      <c r="F62" s="356"/>
      <c r="G62" s="356"/>
      <c r="H62" s="356"/>
      <c r="J62" s="818"/>
      <c r="K62" s="819">
        <v>2004</v>
      </c>
      <c r="L62" s="820">
        <v>2005</v>
      </c>
      <c r="M62" s="819">
        <v>2006</v>
      </c>
      <c r="N62" s="820">
        <v>2007</v>
      </c>
      <c r="O62" s="821">
        <v>2008</v>
      </c>
      <c r="P62" s="821">
        <v>2009</v>
      </c>
      <c r="Q62" s="821" t="s">
        <v>422</v>
      </c>
      <c r="R62" s="356"/>
      <c r="BE62" s="356"/>
      <c r="BF62" s="356"/>
      <c r="BG62" s="220"/>
    </row>
    <row r="63" spans="2:59" ht="30" hidden="1" customHeight="1">
      <c r="B63" s="817"/>
      <c r="E63" s="356"/>
      <c r="F63" s="356"/>
      <c r="G63" s="356"/>
      <c r="H63" s="356"/>
      <c r="J63" s="353" t="s">
        <v>22</v>
      </c>
      <c r="K63" s="822">
        <v>1922.82</v>
      </c>
      <c r="L63" s="813">
        <v>1356.48</v>
      </c>
      <c r="M63" s="822">
        <v>1804.34</v>
      </c>
      <c r="N63" s="813">
        <v>2651.1</v>
      </c>
      <c r="O63" s="823">
        <v>3030.4119999999998</v>
      </c>
      <c r="P63" s="823">
        <v>3991.9169999999999</v>
      </c>
      <c r="Q63" s="823">
        <v>3875.45</v>
      </c>
      <c r="R63" s="299"/>
      <c r="BE63" s="356"/>
      <c r="BF63" s="356"/>
      <c r="BG63" s="220"/>
    </row>
    <row r="64" spans="2:59" ht="30" hidden="1" customHeight="1">
      <c r="B64" s="817"/>
      <c r="E64" s="356"/>
      <c r="F64" s="356"/>
      <c r="G64" s="356"/>
      <c r="H64" s="356"/>
      <c r="J64" s="353" t="s">
        <v>23</v>
      </c>
      <c r="K64" s="822">
        <v>915.73</v>
      </c>
      <c r="L64" s="813">
        <v>769.36</v>
      </c>
      <c r="M64" s="822">
        <v>956.33</v>
      </c>
      <c r="N64" s="813">
        <v>1061.06</v>
      </c>
      <c r="O64" s="823">
        <v>1035</v>
      </c>
      <c r="P64" s="823">
        <v>1046.9100000000001</v>
      </c>
      <c r="Q64" s="823">
        <f>+U52</f>
        <v>865.01000000000022</v>
      </c>
      <c r="R64" s="299"/>
      <c r="S64" s="297"/>
      <c r="BE64" s="356"/>
      <c r="BF64" s="356"/>
      <c r="BG64" s="220"/>
    </row>
    <row r="65" spans="2:59" ht="30" hidden="1" customHeight="1">
      <c r="B65" s="817"/>
      <c r="E65" s="356"/>
      <c r="F65" s="356"/>
      <c r="G65" s="356"/>
      <c r="H65" s="356"/>
      <c r="J65" s="353" t="s">
        <v>321</v>
      </c>
      <c r="K65" s="822"/>
      <c r="L65" s="813"/>
      <c r="M65" s="822"/>
      <c r="N65" s="813"/>
      <c r="O65" s="823"/>
      <c r="P65" s="823"/>
      <c r="Q65" s="823"/>
      <c r="R65" s="299"/>
      <c r="BE65" s="356"/>
      <c r="BF65" s="356"/>
      <c r="BG65" s="220"/>
    </row>
    <row r="66" spans="2:59" ht="30" hidden="1" customHeight="1">
      <c r="B66" s="817"/>
      <c r="E66" s="356"/>
      <c r="F66" s="356"/>
      <c r="G66" s="356"/>
      <c r="H66" s="356"/>
      <c r="I66" s="824" t="s">
        <v>319</v>
      </c>
      <c r="J66" s="825" t="s">
        <v>320</v>
      </c>
      <c r="K66" s="822">
        <v>1644.33</v>
      </c>
      <c r="L66" s="813">
        <v>1440.78</v>
      </c>
      <c r="M66" s="822">
        <v>1762.13</v>
      </c>
      <c r="N66" s="813">
        <v>1907.55</v>
      </c>
      <c r="O66" s="823">
        <v>2578.3200000000002</v>
      </c>
      <c r="P66" s="823">
        <v>2833.66</v>
      </c>
      <c r="Q66" s="823">
        <f>+U23</f>
        <v>2128.0400000000004</v>
      </c>
      <c r="R66" s="299"/>
      <c r="BE66" s="356"/>
      <c r="BF66" s="356"/>
      <c r="BG66" s="220"/>
    </row>
    <row r="67" spans="2:59" ht="30" hidden="1" customHeight="1">
      <c r="B67" s="817"/>
      <c r="E67" s="356"/>
      <c r="F67" s="356"/>
      <c r="G67" s="356"/>
      <c r="H67" s="356"/>
      <c r="J67" s="826" t="s">
        <v>24</v>
      </c>
      <c r="K67" s="827">
        <v>4482.88</v>
      </c>
      <c r="L67" s="828">
        <v>3566.62</v>
      </c>
      <c r="M67" s="827">
        <v>4522.8</v>
      </c>
      <c r="N67" s="828">
        <v>5619.71</v>
      </c>
      <c r="O67" s="829">
        <f>O66+O64+O63</f>
        <v>6643.732</v>
      </c>
      <c r="P67" s="829">
        <f>P66+P64+P63</f>
        <v>7872.4869999999992</v>
      </c>
      <c r="Q67" s="829">
        <f>Q66+Q64+Q63</f>
        <v>6868.5</v>
      </c>
      <c r="R67" s="356"/>
      <c r="S67" s="219"/>
      <c r="T67" s="219"/>
      <c r="BE67" s="356"/>
      <c r="BF67" s="356"/>
      <c r="BG67" s="220"/>
    </row>
    <row r="68" spans="2:59" ht="30" hidden="1" customHeight="1" thickBot="1">
      <c r="B68" s="817"/>
      <c r="E68" s="356"/>
      <c r="F68" s="356"/>
      <c r="G68" s="356"/>
      <c r="H68" s="356"/>
      <c r="J68" s="830" t="s">
        <v>73</v>
      </c>
      <c r="K68" s="831"/>
      <c r="L68" s="832">
        <v>-0.20439092726104646</v>
      </c>
      <c r="M68" s="833">
        <v>0.26809135820468688</v>
      </c>
      <c r="N68" s="832">
        <v>0.24252896435836213</v>
      </c>
      <c r="O68" s="834">
        <f>O67/N67-1</f>
        <v>0.18221972308179613</v>
      </c>
      <c r="P68" s="834">
        <f>P67/O67-1</f>
        <v>0.18494951331570864</v>
      </c>
      <c r="Q68" s="834">
        <f>Q67/P67-1</f>
        <v>-0.12753110929240019</v>
      </c>
      <c r="R68" s="356"/>
      <c r="T68" s="297"/>
      <c r="BE68" s="356"/>
      <c r="BF68" s="356"/>
      <c r="BG68" s="220"/>
    </row>
    <row r="69" spans="2:59" ht="30" hidden="1" customHeight="1">
      <c r="B69" s="817"/>
      <c r="E69" s="356"/>
      <c r="F69" s="356"/>
      <c r="G69" s="356"/>
      <c r="H69" s="356"/>
      <c r="I69" s="356"/>
      <c r="J69" s="817" t="s">
        <v>21</v>
      </c>
      <c r="K69" s="813"/>
      <c r="L69" s="813"/>
      <c r="M69" s="813"/>
      <c r="N69" s="813"/>
      <c r="O69" s="813"/>
      <c r="P69" s="813"/>
      <c r="Q69" s="813"/>
      <c r="R69" s="356"/>
      <c r="BE69" s="356"/>
      <c r="BF69" s="356"/>
      <c r="BG69" s="220"/>
    </row>
    <row r="70" spans="2:59" ht="30" hidden="1" customHeight="1">
      <c r="B70" s="817"/>
      <c r="E70" s="356"/>
      <c r="F70" s="356"/>
      <c r="G70" s="356"/>
      <c r="H70" s="356"/>
      <c r="I70" s="356"/>
      <c r="J70" s="357" t="s">
        <v>268</v>
      </c>
      <c r="K70" s="813"/>
      <c r="L70" s="813"/>
      <c r="M70" s="813"/>
      <c r="N70" s="813"/>
      <c r="O70" s="356"/>
      <c r="P70" s="299"/>
      <c r="Q70" s="299"/>
      <c r="R70" s="356"/>
      <c r="BE70" s="356"/>
      <c r="BF70" s="356"/>
      <c r="BG70" s="220"/>
    </row>
    <row r="71" spans="2:59" ht="30" hidden="1" customHeight="1">
      <c r="E71" s="356"/>
      <c r="F71" s="356"/>
      <c r="G71" s="356"/>
      <c r="H71" s="356"/>
      <c r="O71" s="356"/>
      <c r="P71" s="356"/>
      <c r="Q71" s="356"/>
      <c r="R71" s="356"/>
      <c r="BE71" s="356"/>
      <c r="BF71" s="356"/>
      <c r="BG71" s="220"/>
    </row>
    <row r="72" spans="2:59" ht="30" hidden="1" customHeight="1">
      <c r="E72" s="356"/>
      <c r="F72" s="356"/>
      <c r="G72" s="356"/>
      <c r="H72" s="356"/>
      <c r="O72" s="356"/>
      <c r="P72" s="356"/>
      <c r="Q72" s="356"/>
      <c r="R72" s="356"/>
      <c r="BE72" s="356"/>
      <c r="BF72" s="356"/>
      <c r="BG72" s="220"/>
    </row>
    <row r="73" spans="2:59" ht="30" hidden="1" customHeight="1">
      <c r="E73" s="356"/>
      <c r="F73" s="356"/>
      <c r="G73" s="356"/>
      <c r="H73" s="356"/>
      <c r="O73" s="356"/>
      <c r="P73" s="356"/>
      <c r="Q73" s="356"/>
      <c r="R73" s="356"/>
      <c r="BE73" s="356"/>
      <c r="BF73" s="356"/>
      <c r="BG73" s="220"/>
    </row>
    <row r="74" spans="2:59" ht="30" hidden="1" customHeight="1">
      <c r="E74" s="356"/>
      <c r="F74" s="356"/>
      <c r="G74" s="356"/>
      <c r="H74" s="356"/>
      <c r="O74" s="356"/>
      <c r="P74" s="356"/>
      <c r="Q74" s="356"/>
      <c r="R74" s="356"/>
      <c r="BE74" s="356"/>
      <c r="BF74" s="356"/>
      <c r="BG74" s="220"/>
    </row>
    <row r="75" spans="2:59" ht="30" hidden="1" customHeight="1">
      <c r="E75" s="356"/>
      <c r="F75" s="356"/>
      <c r="G75" s="356"/>
      <c r="H75" s="356"/>
      <c r="O75" s="356"/>
      <c r="P75" s="356"/>
      <c r="Q75" s="356"/>
      <c r="R75" s="356"/>
      <c r="BE75" s="356"/>
      <c r="BF75" s="356"/>
      <c r="BG75" s="220"/>
    </row>
    <row r="76" spans="2:59" ht="30" hidden="1" customHeight="1">
      <c r="E76" s="356"/>
      <c r="F76" s="356"/>
      <c r="G76" s="356"/>
      <c r="H76" s="356"/>
      <c r="O76" s="356"/>
      <c r="P76" s="356"/>
      <c r="Q76" s="356"/>
      <c r="R76" s="356"/>
      <c r="BE76" s="356"/>
      <c r="BF76" s="356"/>
      <c r="BG76" s="220"/>
    </row>
    <row r="77" spans="2:59" ht="30" hidden="1" customHeight="1">
      <c r="E77" s="356"/>
      <c r="F77" s="356"/>
      <c r="G77" s="356"/>
      <c r="H77" s="356"/>
      <c r="O77" s="356"/>
      <c r="P77" s="356"/>
      <c r="Q77" s="356"/>
      <c r="R77" s="356"/>
      <c r="BE77" s="356"/>
      <c r="BF77" s="356"/>
      <c r="BG77" s="220"/>
    </row>
    <row r="78" spans="2:59" ht="30" hidden="1" customHeight="1">
      <c r="E78" s="356"/>
      <c r="F78" s="356"/>
      <c r="G78" s="356"/>
      <c r="H78" s="356"/>
      <c r="O78" s="356"/>
      <c r="P78" s="356"/>
      <c r="Q78" s="356"/>
      <c r="R78" s="356"/>
      <c r="BE78" s="356"/>
      <c r="BF78" s="356"/>
      <c r="BG78" s="220"/>
    </row>
    <row r="79" spans="2:59" ht="30" hidden="1" customHeight="1">
      <c r="E79" s="356"/>
      <c r="F79" s="356"/>
      <c r="G79" s="356"/>
      <c r="H79" s="356"/>
      <c r="O79" s="356"/>
      <c r="P79" s="356"/>
      <c r="Q79" s="356"/>
      <c r="R79" s="356"/>
      <c r="BE79" s="356"/>
      <c r="BF79" s="356"/>
      <c r="BG79" s="220"/>
    </row>
    <row r="80" spans="2:59" ht="30" hidden="1" customHeight="1">
      <c r="E80" s="356"/>
      <c r="F80" s="356"/>
      <c r="G80" s="356"/>
      <c r="H80" s="356"/>
      <c r="O80" s="356"/>
      <c r="P80" s="356"/>
      <c r="Q80" s="356"/>
      <c r="R80" s="356"/>
      <c r="BE80" s="356"/>
      <c r="BF80" s="356"/>
      <c r="BG80" s="220"/>
    </row>
    <row r="81" spans="2:59" hidden="1">
      <c r="E81" s="356"/>
      <c r="F81" s="356"/>
      <c r="G81" s="356"/>
      <c r="H81" s="356"/>
      <c r="O81" s="356"/>
      <c r="P81" s="356"/>
      <c r="Q81" s="356"/>
      <c r="R81" s="356"/>
      <c r="BE81" s="356"/>
      <c r="BF81" s="356"/>
      <c r="BG81" s="220"/>
    </row>
    <row r="82" spans="2:59" ht="26" customHeight="1">
      <c r="B82" s="5708" t="s">
        <v>672</v>
      </c>
      <c r="C82" s="5708"/>
      <c r="D82" s="5708"/>
      <c r="E82" s="5708"/>
      <c r="F82" s="5708"/>
      <c r="G82" s="5708"/>
      <c r="H82" s="5708"/>
      <c r="I82" s="5708"/>
      <c r="J82" s="5708"/>
      <c r="K82" s="5708"/>
      <c r="L82" s="5708"/>
      <c r="M82" s="5708"/>
      <c r="N82" s="5708"/>
      <c r="O82" s="5708"/>
      <c r="P82" s="5708"/>
      <c r="Q82" s="5708"/>
      <c r="R82" s="5708"/>
      <c r="S82" s="5708"/>
      <c r="T82" s="5708"/>
      <c r="U82" s="5708"/>
      <c r="V82" s="5708"/>
      <c r="W82" s="5708"/>
      <c r="X82" s="5708"/>
      <c r="Y82" s="5708"/>
      <c r="Z82" s="5708"/>
      <c r="AA82" s="5708"/>
      <c r="AB82" s="5708"/>
      <c r="AC82" s="5708"/>
      <c r="AD82" s="5708"/>
      <c r="AE82" s="5708"/>
      <c r="AF82" s="5708"/>
      <c r="AG82" s="5708"/>
      <c r="AH82" s="5708"/>
      <c r="AI82" s="5708"/>
      <c r="AJ82" s="5708"/>
      <c r="AK82" s="5708"/>
      <c r="AL82" s="5708"/>
      <c r="AM82" s="5708"/>
      <c r="AN82" s="5708"/>
      <c r="AO82" s="5708"/>
      <c r="AP82" s="5708"/>
      <c r="AQ82" s="5708"/>
      <c r="AR82" s="5708"/>
      <c r="AS82" s="5708"/>
      <c r="AT82" s="5708"/>
      <c r="AU82" s="5708"/>
      <c r="AV82" s="5708"/>
      <c r="AW82" s="5708"/>
      <c r="AX82" s="5708"/>
      <c r="AY82" s="5708"/>
      <c r="AZ82" s="5708"/>
      <c r="BA82" s="5708"/>
      <c r="BB82" s="5708"/>
      <c r="BC82" s="5708"/>
      <c r="BD82" s="5708"/>
      <c r="BE82" s="5708"/>
      <c r="BF82" s="5708"/>
      <c r="BG82" s="220"/>
    </row>
    <row r="83" spans="2:59" ht="35" customHeight="1" thickBot="1">
      <c r="B83" s="5708" t="s">
        <v>509</v>
      </c>
      <c r="C83" s="5708"/>
      <c r="D83" s="5708"/>
      <c r="E83" s="5708"/>
      <c r="F83" s="5708"/>
      <c r="G83" s="5708"/>
      <c r="H83" s="5708"/>
      <c r="I83" s="5708"/>
      <c r="J83" s="5708"/>
      <c r="K83" s="5708"/>
      <c r="L83" s="5708"/>
      <c r="M83" s="5708"/>
      <c r="N83" s="5708"/>
      <c r="O83" s="5708"/>
      <c r="P83" s="5708"/>
      <c r="Q83" s="5708"/>
      <c r="R83" s="5708"/>
      <c r="S83" s="5708"/>
      <c r="T83" s="5708"/>
      <c r="U83" s="5708"/>
      <c r="V83" s="5708"/>
      <c r="W83" s="5708"/>
      <c r="X83" s="5708"/>
      <c r="Y83" s="5708"/>
      <c r="Z83" s="5708"/>
      <c r="AA83" s="5708"/>
      <c r="AB83" s="5708"/>
      <c r="AC83" s="5708"/>
      <c r="AD83" s="5708"/>
      <c r="AE83" s="5708"/>
      <c r="AF83" s="5708"/>
      <c r="AG83" s="5708"/>
      <c r="AH83" s="5708"/>
      <c r="AI83" s="5708"/>
      <c r="AJ83" s="5708"/>
      <c r="AK83" s="5708"/>
      <c r="AL83" s="5708"/>
      <c r="AM83" s="5708"/>
      <c r="AN83" s="5708"/>
      <c r="AO83" s="5708"/>
      <c r="AP83" s="5708"/>
      <c r="AQ83" s="5708"/>
      <c r="AR83" s="5708"/>
      <c r="AS83" s="5708"/>
      <c r="AT83" s="5708"/>
      <c r="AU83" s="5708"/>
      <c r="AV83" s="5708"/>
      <c r="AW83" s="5708"/>
      <c r="AX83" s="5708"/>
      <c r="AY83" s="5708"/>
      <c r="AZ83" s="5708"/>
      <c r="BA83" s="5708"/>
      <c r="BB83" s="5708"/>
      <c r="BC83" s="5708"/>
      <c r="BD83" s="5708"/>
      <c r="BE83" s="5708"/>
      <c r="BF83" s="5708"/>
      <c r="BG83" s="220"/>
    </row>
    <row r="84" spans="2:59" ht="30" hidden="1" customHeight="1" thickBot="1">
      <c r="B84" s="453"/>
      <c r="C84" s="453"/>
      <c r="D84" s="453"/>
      <c r="E84" s="453"/>
      <c r="F84" s="453"/>
      <c r="G84" s="453"/>
      <c r="H84" s="453"/>
      <c r="I84" s="453"/>
      <c r="J84" s="453"/>
      <c r="K84" s="453"/>
      <c r="L84" s="453"/>
      <c r="M84" s="453"/>
      <c r="N84" s="453"/>
      <c r="O84" s="453"/>
      <c r="P84" s="453"/>
      <c r="Q84" s="453"/>
      <c r="R84" s="453"/>
      <c r="S84" s="453"/>
      <c r="T84" s="453"/>
      <c r="U84" s="453"/>
      <c r="V84" s="453"/>
      <c r="W84" s="453"/>
      <c r="X84" s="453"/>
      <c r="Y84" s="453"/>
      <c r="Z84" s="453"/>
      <c r="AA84" s="453"/>
      <c r="AB84" s="453"/>
      <c r="AC84" s="453"/>
      <c r="AD84" s="453"/>
      <c r="AE84" s="453"/>
      <c r="AF84" s="453"/>
      <c r="AG84" s="453"/>
      <c r="AH84" s="453"/>
      <c r="AI84" s="453"/>
      <c r="AJ84" s="453"/>
      <c r="AK84" s="453"/>
      <c r="AL84" s="453"/>
      <c r="AM84" s="453"/>
      <c r="AN84" s="453"/>
      <c r="AO84" s="453"/>
      <c r="AP84" s="453"/>
      <c r="AQ84" s="453"/>
      <c r="AR84" s="453"/>
      <c r="AS84" s="453"/>
      <c r="AT84" s="453"/>
      <c r="AU84" s="453"/>
      <c r="AV84" s="453"/>
      <c r="AW84" s="453"/>
      <c r="AX84" s="453"/>
      <c r="AY84" s="453"/>
      <c r="AZ84" s="453"/>
      <c r="BA84" s="453"/>
      <c r="BB84" s="835"/>
      <c r="BE84" s="356"/>
      <c r="BF84" s="356"/>
      <c r="BG84" s="220"/>
    </row>
    <row r="85" spans="2:59" ht="12.75" customHeight="1" thickBot="1">
      <c r="V85" s="211"/>
      <c r="W85" s="211"/>
      <c r="AU85" s="5699" t="s">
        <v>857</v>
      </c>
      <c r="AV85" s="5700"/>
      <c r="AW85" s="5700"/>
      <c r="AX85" s="5700"/>
      <c r="AY85" s="5700"/>
      <c r="AZ85" s="5700"/>
      <c r="BA85" s="5700"/>
      <c r="BB85" s="5701"/>
      <c r="BE85" s="356"/>
      <c r="BF85" s="356"/>
      <c r="BG85" s="220"/>
    </row>
    <row r="86" spans="2:59">
      <c r="B86" s="5712" t="s">
        <v>444</v>
      </c>
      <c r="C86" s="693">
        <v>2001</v>
      </c>
      <c r="D86" s="693"/>
      <c r="E86" s="5710">
        <v>2002</v>
      </c>
      <c r="F86" s="5711"/>
      <c r="G86" s="5710">
        <v>2003</v>
      </c>
      <c r="H86" s="5711"/>
      <c r="I86" s="5710">
        <v>2004</v>
      </c>
      <c r="J86" s="5714"/>
      <c r="K86" s="5702">
        <v>2005</v>
      </c>
      <c r="L86" s="5703"/>
      <c r="M86" s="5714">
        <v>2006</v>
      </c>
      <c r="N86" s="5714"/>
      <c r="O86" s="5702">
        <v>2007</v>
      </c>
      <c r="P86" s="5703"/>
      <c r="Q86" s="5714">
        <v>2008</v>
      </c>
      <c r="R86" s="5714"/>
      <c r="S86" s="5702">
        <v>2009</v>
      </c>
      <c r="T86" s="5703"/>
      <c r="U86" s="5714">
        <v>2010</v>
      </c>
      <c r="V86" s="5714"/>
      <c r="W86" s="5702">
        <v>2011</v>
      </c>
      <c r="X86" s="5703"/>
      <c r="Y86" s="5702">
        <v>2012</v>
      </c>
      <c r="Z86" s="5703"/>
      <c r="AA86" s="5702">
        <v>2013</v>
      </c>
      <c r="AB86" s="5703"/>
      <c r="AC86" s="5702">
        <v>2014</v>
      </c>
      <c r="AD86" s="5703"/>
      <c r="AE86" s="5702">
        <v>2015</v>
      </c>
      <c r="AF86" s="5703"/>
      <c r="AG86" s="5692">
        <v>2016</v>
      </c>
      <c r="AH86" s="5696"/>
      <c r="AI86" s="5692">
        <v>2017</v>
      </c>
      <c r="AJ86" s="5696"/>
      <c r="AK86" s="5692">
        <v>2018</v>
      </c>
      <c r="AL86" s="5696"/>
      <c r="AM86" s="5692">
        <v>2019</v>
      </c>
      <c r="AN86" s="5696"/>
      <c r="AO86" s="5692">
        <v>2020</v>
      </c>
      <c r="AP86" s="5693"/>
      <c r="AQ86" s="5692">
        <v>2021</v>
      </c>
      <c r="AR86" s="5693"/>
      <c r="AS86" s="836"/>
      <c r="AT86" s="836"/>
      <c r="AU86" s="5697">
        <v>2018</v>
      </c>
      <c r="AV86" s="5698"/>
      <c r="AW86" s="5697">
        <v>2019</v>
      </c>
      <c r="AX86" s="5698"/>
      <c r="AY86" s="5697">
        <v>2020</v>
      </c>
      <c r="AZ86" s="5698"/>
      <c r="BA86" s="5697" t="s">
        <v>855</v>
      </c>
      <c r="BB86" s="5698"/>
      <c r="BC86" s="5692" t="s">
        <v>1958</v>
      </c>
      <c r="BD86" s="5693"/>
      <c r="BE86" s="5692" t="s">
        <v>1959</v>
      </c>
      <c r="BF86" s="5693"/>
      <c r="BG86" s="220"/>
    </row>
    <row r="87" spans="2:59">
      <c r="B87" s="5713"/>
      <c r="C87" s="824" t="s">
        <v>32</v>
      </c>
      <c r="D87" s="824" t="s">
        <v>26</v>
      </c>
      <c r="E87" s="695" t="s">
        <v>32</v>
      </c>
      <c r="F87" s="711" t="s">
        <v>26</v>
      </c>
      <c r="G87" s="695" t="s">
        <v>32</v>
      </c>
      <c r="H87" s="837" t="s">
        <v>26</v>
      </c>
      <c r="I87" s="546" t="s">
        <v>270</v>
      </c>
      <c r="J87" s="547" t="s">
        <v>499</v>
      </c>
      <c r="K87" s="546" t="s">
        <v>270</v>
      </c>
      <c r="L87" s="547" t="s">
        <v>499</v>
      </c>
      <c r="M87" s="546" t="s">
        <v>270</v>
      </c>
      <c r="N87" s="547" t="s">
        <v>499</v>
      </c>
      <c r="O87" s="546" t="s">
        <v>270</v>
      </c>
      <c r="P87" s="547" t="s">
        <v>499</v>
      </c>
      <c r="Q87" s="546" t="s">
        <v>270</v>
      </c>
      <c r="R87" s="547" t="s">
        <v>499</v>
      </c>
      <c r="S87" s="546" t="s">
        <v>270</v>
      </c>
      <c r="T87" s="547" t="s">
        <v>499</v>
      </c>
      <c r="U87" s="546" t="s">
        <v>270</v>
      </c>
      <c r="V87" s="547" t="s">
        <v>499</v>
      </c>
      <c r="W87" s="546" t="s">
        <v>270</v>
      </c>
      <c r="X87" s="547" t="s">
        <v>499</v>
      </c>
      <c r="Y87" s="546" t="s">
        <v>270</v>
      </c>
      <c r="Z87" s="547" t="s">
        <v>499</v>
      </c>
      <c r="AA87" s="546" t="s">
        <v>270</v>
      </c>
      <c r="AB87" s="547" t="s">
        <v>499</v>
      </c>
      <c r="AC87" s="882" t="s">
        <v>270</v>
      </c>
      <c r="AD87" s="2092" t="s">
        <v>499</v>
      </c>
      <c r="AE87" s="882" t="s">
        <v>270</v>
      </c>
      <c r="AF87" s="2092" t="s">
        <v>499</v>
      </c>
      <c r="AG87" s="700" t="s">
        <v>32</v>
      </c>
      <c r="AH87" s="554" t="s">
        <v>499</v>
      </c>
      <c r="AI87" s="700" t="s">
        <v>32</v>
      </c>
      <c r="AJ87" s="554" t="s">
        <v>499</v>
      </c>
      <c r="AK87" s="700" t="s">
        <v>32</v>
      </c>
      <c r="AL87" s="554" t="s">
        <v>499</v>
      </c>
      <c r="AM87" s="553" t="s">
        <v>32</v>
      </c>
      <c r="AN87" s="554" t="s">
        <v>499</v>
      </c>
      <c r="AO87" s="553" t="s">
        <v>32</v>
      </c>
      <c r="AP87" s="838" t="s">
        <v>499</v>
      </c>
      <c r="AQ87" s="553" t="s">
        <v>32</v>
      </c>
      <c r="AR87" s="2081" t="s">
        <v>499</v>
      </c>
      <c r="AS87" s="839"/>
      <c r="AT87" s="839"/>
      <c r="AU87" s="556" t="s">
        <v>32</v>
      </c>
      <c r="AV87" s="557" t="s">
        <v>499</v>
      </c>
      <c r="AW87" s="556" t="s">
        <v>32</v>
      </c>
      <c r="AX87" s="557" t="s">
        <v>499</v>
      </c>
      <c r="AY87" s="556" t="s">
        <v>32</v>
      </c>
      <c r="AZ87" s="557" t="s">
        <v>499</v>
      </c>
      <c r="BA87" s="556" t="s">
        <v>32</v>
      </c>
      <c r="BB87" s="557" t="s">
        <v>499</v>
      </c>
      <c r="BC87" s="553" t="s">
        <v>32</v>
      </c>
      <c r="BD87" s="2081" t="s">
        <v>499</v>
      </c>
      <c r="BE87" s="553" t="s">
        <v>32</v>
      </c>
      <c r="BF87" s="2081" t="s">
        <v>499</v>
      </c>
      <c r="BG87" s="220"/>
    </row>
    <row r="88" spans="2:59" ht="33.4" thickBot="1">
      <c r="B88" s="840"/>
      <c r="C88" s="841" t="s">
        <v>396</v>
      </c>
      <c r="D88" s="841"/>
      <c r="E88" s="706" t="s">
        <v>396</v>
      </c>
      <c r="F88" s="842" t="s">
        <v>204</v>
      </c>
      <c r="G88" s="706" t="s">
        <v>396</v>
      </c>
      <c r="H88" s="842" t="s">
        <v>204</v>
      </c>
      <c r="I88" s="566" t="s">
        <v>396</v>
      </c>
      <c r="J88" s="567" t="s">
        <v>204</v>
      </c>
      <c r="K88" s="566" t="s">
        <v>396</v>
      </c>
      <c r="L88" s="567" t="s">
        <v>204</v>
      </c>
      <c r="M88" s="566" t="s">
        <v>396</v>
      </c>
      <c r="N88" s="567" t="s">
        <v>204</v>
      </c>
      <c r="O88" s="566" t="s">
        <v>396</v>
      </c>
      <c r="P88" s="567" t="s">
        <v>204</v>
      </c>
      <c r="Q88" s="566" t="s">
        <v>396</v>
      </c>
      <c r="R88" s="567" t="s">
        <v>204</v>
      </c>
      <c r="S88" s="566" t="s">
        <v>396</v>
      </c>
      <c r="T88" s="567" t="s">
        <v>204</v>
      </c>
      <c r="U88" s="566" t="s">
        <v>396</v>
      </c>
      <c r="V88" s="567" t="s">
        <v>204</v>
      </c>
      <c r="W88" s="566" t="s">
        <v>396</v>
      </c>
      <c r="X88" s="567" t="s">
        <v>204</v>
      </c>
      <c r="Y88" s="566" t="s">
        <v>396</v>
      </c>
      <c r="Z88" s="567" t="s">
        <v>204</v>
      </c>
      <c r="AA88" s="566" t="s">
        <v>396</v>
      </c>
      <c r="AB88" s="567" t="s">
        <v>204</v>
      </c>
      <c r="AC88" s="883" t="s">
        <v>396</v>
      </c>
      <c r="AD88" s="1795" t="s">
        <v>1424</v>
      </c>
      <c r="AE88" s="883" t="s">
        <v>396</v>
      </c>
      <c r="AF88" s="1795" t="s">
        <v>1424</v>
      </c>
      <c r="AG88" s="710" t="s">
        <v>396</v>
      </c>
      <c r="AH88" s="569" t="s">
        <v>1424</v>
      </c>
      <c r="AI88" s="710" t="s">
        <v>396</v>
      </c>
      <c r="AJ88" s="1795" t="s">
        <v>2330</v>
      </c>
      <c r="AK88" s="710" t="s">
        <v>396</v>
      </c>
      <c r="AL88" s="1795" t="s">
        <v>2330</v>
      </c>
      <c r="AM88" s="572" t="s">
        <v>396</v>
      </c>
      <c r="AN88" s="1795" t="s">
        <v>2330</v>
      </c>
      <c r="AO88" s="571" t="s">
        <v>396</v>
      </c>
      <c r="AP88" s="1795" t="s">
        <v>2330</v>
      </c>
      <c r="AQ88" s="571" t="s">
        <v>396</v>
      </c>
      <c r="AR88" s="1795" t="s">
        <v>2330</v>
      </c>
      <c r="AS88" s="843"/>
      <c r="AT88" s="844"/>
      <c r="AU88" s="576" t="s">
        <v>396</v>
      </c>
      <c r="AV88" s="577" t="s">
        <v>204</v>
      </c>
      <c r="AW88" s="576" t="s">
        <v>396</v>
      </c>
      <c r="AX88" s="577" t="s">
        <v>204</v>
      </c>
      <c r="AY88" s="576" t="s">
        <v>396</v>
      </c>
      <c r="AZ88" s="577" t="s">
        <v>204</v>
      </c>
      <c r="BA88" s="576" t="s">
        <v>396</v>
      </c>
      <c r="BB88" s="577" t="s">
        <v>204</v>
      </c>
      <c r="BC88" s="571" t="s">
        <v>396</v>
      </c>
      <c r="BD88" s="1795" t="s">
        <v>2330</v>
      </c>
      <c r="BE88" s="553" t="s">
        <v>396</v>
      </c>
      <c r="BF88" s="1795" t="s">
        <v>2330</v>
      </c>
      <c r="BG88" s="220"/>
    </row>
    <row r="89" spans="2:59">
      <c r="B89" s="845"/>
      <c r="C89" s="824"/>
      <c r="D89" s="824"/>
      <c r="E89" s="695"/>
      <c r="F89" s="711"/>
      <c r="G89" s="695"/>
      <c r="H89" s="711"/>
      <c r="I89" s="695"/>
      <c r="J89" s="695"/>
      <c r="K89" s="546"/>
      <c r="L89" s="846"/>
      <c r="M89" s="353"/>
      <c r="N89" s="695"/>
      <c r="O89" s="546"/>
      <c r="P89" s="846"/>
      <c r="Q89" s="353"/>
      <c r="R89" s="695"/>
      <c r="S89" s="546"/>
      <c r="T89" s="846"/>
      <c r="U89" s="353"/>
      <c r="V89" s="695"/>
      <c r="W89" s="546"/>
      <c r="X89" s="846"/>
      <c r="Y89" s="546"/>
      <c r="Z89" s="846"/>
      <c r="AA89" s="546"/>
      <c r="AB89" s="846"/>
      <c r="AC89" s="882"/>
      <c r="AD89" s="846"/>
      <c r="AE89" s="548"/>
      <c r="AF89" s="582"/>
      <c r="AG89" s="723"/>
      <c r="AH89" s="590"/>
      <c r="AI89" s="723"/>
      <c r="AJ89" s="590"/>
      <c r="AK89" s="723"/>
      <c r="AL89" s="590"/>
      <c r="AM89" s="591"/>
      <c r="AN89" s="214"/>
      <c r="AO89" s="592"/>
      <c r="AP89" s="214"/>
      <c r="AQ89" s="587"/>
      <c r="AR89" s="2082"/>
      <c r="AS89" s="847"/>
      <c r="AT89" s="847"/>
      <c r="AU89" s="595"/>
      <c r="AV89" s="215"/>
      <c r="AW89" s="595"/>
      <c r="AX89" s="215"/>
      <c r="AY89" s="593"/>
      <c r="AZ89" s="848"/>
      <c r="BA89" s="593"/>
      <c r="BB89" s="849"/>
      <c r="BC89" s="587"/>
      <c r="BD89" s="3204"/>
      <c r="BE89" s="3201"/>
      <c r="BF89" s="3200"/>
      <c r="BG89" s="3183"/>
    </row>
    <row r="90" spans="2:59" ht="30" customHeight="1">
      <c r="B90" s="213" t="s">
        <v>27</v>
      </c>
      <c r="C90" s="211">
        <v>1202.7</v>
      </c>
      <c r="D90" s="850">
        <v>1745790.43</v>
      </c>
      <c r="E90" s="851">
        <v>818.2</v>
      </c>
      <c r="F90" s="852">
        <v>1196127.96</v>
      </c>
      <c r="G90" s="853">
        <v>1133.2</v>
      </c>
      <c r="H90" s="852">
        <v>2239725.0099999998</v>
      </c>
      <c r="I90" s="853">
        <v>966</v>
      </c>
      <c r="J90" s="854">
        <v>1855593.23</v>
      </c>
      <c r="K90" s="855">
        <v>825.1</v>
      </c>
      <c r="L90" s="856">
        <v>1709930.33</v>
      </c>
      <c r="M90" s="857">
        <v>966.01900000000001</v>
      </c>
      <c r="N90" s="854">
        <v>2201744.37</v>
      </c>
      <c r="O90" s="855">
        <v>1060.2370800000001</v>
      </c>
      <c r="P90" s="856">
        <v>2709614.88</v>
      </c>
      <c r="Q90" s="857">
        <v>1508.1977000000002</v>
      </c>
      <c r="R90" s="854">
        <v>3838258.23</v>
      </c>
      <c r="S90" s="855">
        <v>765.76864</v>
      </c>
      <c r="T90" s="856">
        <v>2183804.96</v>
      </c>
      <c r="U90" s="857">
        <v>655.33408999999995</v>
      </c>
      <c r="V90" s="853">
        <v>2189114.71</v>
      </c>
      <c r="W90" s="858">
        <v>717.64509199999998</v>
      </c>
      <c r="X90" s="856">
        <v>2274506.89</v>
      </c>
      <c r="Y90" s="858">
        <v>830.56154000000004</v>
      </c>
      <c r="Z90" s="856">
        <v>2729864.5</v>
      </c>
      <c r="AA90" s="858">
        <v>960.24610000000007</v>
      </c>
      <c r="AB90" s="856">
        <v>3330520.2</v>
      </c>
      <c r="AC90" s="2626">
        <f>+AC9+AC39</f>
        <v>977.15949000000001</v>
      </c>
      <c r="AD90" s="615">
        <f>+AD9+AD39</f>
        <v>3.6630968199999998</v>
      </c>
      <c r="AE90" s="2626">
        <f t="shared" ref="AE90:BD90" si="17">+AE9+AE39</f>
        <v>1172.5122099999999</v>
      </c>
      <c r="AF90" s="615">
        <f t="shared" si="17"/>
        <v>4.5177102300000005</v>
      </c>
      <c r="AG90" s="2626">
        <f t="shared" si="17"/>
        <v>1070.99738</v>
      </c>
      <c r="AH90" s="615">
        <f t="shared" si="17"/>
        <v>4.2869333799999998</v>
      </c>
      <c r="AI90" s="2626">
        <f t="shared" si="17"/>
        <v>921.33053999999993</v>
      </c>
      <c r="AJ90" s="615">
        <f t="shared" si="17"/>
        <v>3.8322434099999994</v>
      </c>
      <c r="AK90" s="2626">
        <f t="shared" si="17"/>
        <v>971.67903000000001</v>
      </c>
      <c r="AL90" s="615">
        <f t="shared" si="17"/>
        <v>4.2831985999999995</v>
      </c>
      <c r="AM90" s="2626">
        <f t="shared" si="17"/>
        <v>1095.7082</v>
      </c>
      <c r="AN90" s="615">
        <f t="shared" si="17"/>
        <v>4.8432165200000004</v>
      </c>
      <c r="AO90" s="2626">
        <f t="shared" si="17"/>
        <v>861.04463999999996</v>
      </c>
      <c r="AP90" s="615">
        <f t="shared" si="17"/>
        <v>3.3053686099999999</v>
      </c>
      <c r="AQ90" s="2626">
        <f t="shared" si="17"/>
        <v>825.87313000000006</v>
      </c>
      <c r="AR90" s="2083">
        <f>+AR9+AR39</f>
        <v>3.4352235700000007</v>
      </c>
      <c r="AS90" s="2083">
        <f t="shared" si="17"/>
        <v>0</v>
      </c>
      <c r="AT90" s="2083">
        <f t="shared" si="17"/>
        <v>0</v>
      </c>
      <c r="AU90" s="2083">
        <f t="shared" si="17"/>
        <v>680.65845000000002</v>
      </c>
      <c r="AV90" s="2083">
        <f t="shared" si="17"/>
        <v>2995412.5600000005</v>
      </c>
      <c r="AW90" s="2083">
        <f t="shared" si="17"/>
        <v>773.97732999999994</v>
      </c>
      <c r="AX90" s="2083">
        <f t="shared" si="17"/>
        <v>3407609.01</v>
      </c>
      <c r="AY90" s="2083">
        <f t="shared" si="17"/>
        <v>660.23999000000003</v>
      </c>
      <c r="AZ90" s="2083">
        <f t="shared" si="17"/>
        <v>2438453.7200000002</v>
      </c>
      <c r="BA90" s="2083">
        <f t="shared" si="17"/>
        <v>-0.5344834525006561</v>
      </c>
      <c r="BB90" s="2083">
        <f t="shared" si="17"/>
        <v>6.0712237935808044E-2</v>
      </c>
      <c r="BC90" s="2626">
        <f t="shared" si="17"/>
        <v>974.24670636363601</v>
      </c>
      <c r="BD90" s="3205">
        <f t="shared" si="17"/>
        <v>4.5184951299999998</v>
      </c>
      <c r="BE90" s="3202">
        <f>BE9+BE39</f>
        <v>916.86426000000006</v>
      </c>
      <c r="BF90" s="3205">
        <f>BF9+BF39</f>
        <v>4.53386231</v>
      </c>
      <c r="BG90" s="3199">
        <f>BE90/BC90-1</f>
        <v>-5.8899297260973316E-2</v>
      </c>
    </row>
    <row r="91" spans="2:59" ht="16.5" customHeight="1">
      <c r="B91" s="213"/>
      <c r="D91" s="850"/>
      <c r="E91" s="851"/>
      <c r="F91" s="852"/>
      <c r="G91" s="853"/>
      <c r="H91" s="852"/>
      <c r="I91" s="853"/>
      <c r="J91" s="854"/>
      <c r="K91" s="855"/>
      <c r="L91" s="856"/>
      <c r="M91" s="857"/>
      <c r="N91" s="854"/>
      <c r="O91" s="855"/>
      <c r="P91" s="856"/>
      <c r="Q91" s="857"/>
      <c r="R91" s="854"/>
      <c r="S91" s="855"/>
      <c r="T91" s="856"/>
      <c r="U91" s="857"/>
      <c r="V91" s="853"/>
      <c r="W91" s="858"/>
      <c r="X91" s="856"/>
      <c r="Y91" s="858"/>
      <c r="Z91" s="856"/>
      <c r="AA91" s="858"/>
      <c r="AB91" s="856"/>
      <c r="AC91" s="2626"/>
      <c r="AD91" s="615"/>
      <c r="AE91" s="2626"/>
      <c r="AF91" s="615"/>
      <c r="AG91" s="2626"/>
      <c r="AH91" s="615"/>
      <c r="AI91" s="2626"/>
      <c r="AJ91" s="615"/>
      <c r="AK91" s="2626"/>
      <c r="AL91" s="615"/>
      <c r="AM91" s="2626"/>
      <c r="AN91" s="615"/>
      <c r="AO91" s="2626"/>
      <c r="AP91" s="615"/>
      <c r="AQ91" s="2626"/>
      <c r="AR91" s="2083"/>
      <c r="AS91" s="731"/>
      <c r="AT91" s="731"/>
      <c r="AU91" s="620">
        <f>+AU10+AU41</f>
        <v>243.68787</v>
      </c>
      <c r="AV91" s="749">
        <f>+AV10+AV41</f>
        <v>653956.99</v>
      </c>
      <c r="AW91" s="620">
        <f>+AW10+AW41</f>
        <v>254.08814999999998</v>
      </c>
      <c r="AX91" s="749">
        <f>+AX10+AX41</f>
        <v>705244.88</v>
      </c>
      <c r="AY91" s="620">
        <f>+AY10+AY41</f>
        <v>85.886589999999998</v>
      </c>
      <c r="AZ91" s="749">
        <f>+AZ10+AZ40</f>
        <v>0</v>
      </c>
      <c r="BA91" s="620">
        <f>+BA10+BA40</f>
        <v>0</v>
      </c>
      <c r="BB91" s="859">
        <f>+BB10+BB40</f>
        <v>0</v>
      </c>
      <c r="BC91" s="2626"/>
      <c r="BD91" s="3031"/>
      <c r="BE91" s="3202"/>
      <c r="BF91" s="3205"/>
      <c r="BG91" s="3199"/>
    </row>
    <row r="92" spans="2:59" ht="30" customHeight="1">
      <c r="B92" s="2619" t="s">
        <v>1419</v>
      </c>
      <c r="C92" s="211">
        <v>848.2</v>
      </c>
      <c r="D92" s="850">
        <v>838277.17</v>
      </c>
      <c r="E92" s="860">
        <v>611</v>
      </c>
      <c r="F92" s="852">
        <v>539089.56999999995</v>
      </c>
      <c r="G92" s="853">
        <v>404.4</v>
      </c>
      <c r="H92" s="852">
        <v>403845.5</v>
      </c>
      <c r="I92" s="853">
        <v>435.9</v>
      </c>
      <c r="J92" s="854">
        <v>449010.59</v>
      </c>
      <c r="K92" s="855">
        <v>407.21</v>
      </c>
      <c r="L92" s="856">
        <v>502070.9</v>
      </c>
      <c r="M92" s="857">
        <v>436.90899999999999</v>
      </c>
      <c r="N92" s="854">
        <v>596530.91</v>
      </c>
      <c r="O92" s="855">
        <v>504.13200000000001</v>
      </c>
      <c r="P92" s="856">
        <v>657510.47</v>
      </c>
      <c r="Q92" s="857">
        <v>592.52497999999991</v>
      </c>
      <c r="R92" s="854">
        <v>859652.51</v>
      </c>
      <c r="S92" s="855">
        <v>1570.1938300000006</v>
      </c>
      <c r="T92" s="856">
        <v>2921410.54</v>
      </c>
      <c r="U92" s="857">
        <v>1182.5488800000007</v>
      </c>
      <c r="V92" s="853">
        <v>2883515.09</v>
      </c>
      <c r="W92" s="858">
        <v>1558.3042250000001</v>
      </c>
      <c r="X92" s="856">
        <v>3100945.7199999997</v>
      </c>
      <c r="Y92" s="858">
        <v>1493.29375</v>
      </c>
      <c r="Z92" s="856">
        <v>2778237.34</v>
      </c>
      <c r="AA92" s="858">
        <v>1819.1297300000001</v>
      </c>
      <c r="AB92" s="856">
        <v>3839672.3299999996</v>
      </c>
      <c r="AC92" s="2626">
        <f t="shared" ref="AC92:AS92" si="18">+AC11+AC41</f>
        <v>449.89643999999987</v>
      </c>
      <c r="AD92" s="615">
        <f t="shared" si="18"/>
        <v>1.2262872400000004</v>
      </c>
      <c r="AE92" s="2626">
        <f t="shared" si="18"/>
        <v>1061.0958799999999</v>
      </c>
      <c r="AF92" s="615">
        <f t="shared" si="18"/>
        <v>2.4946299999999999</v>
      </c>
      <c r="AG92" s="2626">
        <f t="shared" si="18"/>
        <v>569.11140999999975</v>
      </c>
      <c r="AH92" s="615">
        <f t="shared" si="18"/>
        <v>1.3871486199999996</v>
      </c>
      <c r="AI92" s="2626">
        <f t="shared" si="18"/>
        <v>458.97956999999985</v>
      </c>
      <c r="AJ92" s="615">
        <f t="shared" si="18"/>
        <v>1.2053783600000001</v>
      </c>
      <c r="AK92" s="2626">
        <f t="shared" si="18"/>
        <v>436.18259</v>
      </c>
      <c r="AL92" s="615">
        <f t="shared" si="18"/>
        <v>1.2189960900000001</v>
      </c>
      <c r="AM92" s="2626">
        <f t="shared" si="18"/>
        <v>611.19997000000023</v>
      </c>
      <c r="AN92" s="615">
        <f t="shared" si="18"/>
        <v>1.7721740499999996</v>
      </c>
      <c r="AO92" s="2626">
        <f t="shared" si="18"/>
        <v>549.47838999999999</v>
      </c>
      <c r="AP92" s="615">
        <f t="shared" si="18"/>
        <v>1.5201681499999997</v>
      </c>
      <c r="AQ92" s="2626">
        <f t="shared" si="18"/>
        <v>468.06894000000011</v>
      </c>
      <c r="AR92" s="2083">
        <f t="shared" si="18"/>
        <v>1.3126991400000001</v>
      </c>
      <c r="AS92" s="2083">
        <f t="shared" si="18"/>
        <v>0</v>
      </c>
      <c r="AT92" s="2083">
        <f t="shared" ref="AT92:BD92" si="19">+AT11+AT41</f>
        <v>0</v>
      </c>
      <c r="AU92" s="2083">
        <f t="shared" si="19"/>
        <v>1578.5467999999998</v>
      </c>
      <c r="AV92" s="2083">
        <f t="shared" si="19"/>
        <v>3584586.95</v>
      </c>
      <c r="AW92" s="2083">
        <f t="shared" si="19"/>
        <v>1708.7634</v>
      </c>
      <c r="AX92" s="2083">
        <f t="shared" si="19"/>
        <v>3918490.36</v>
      </c>
      <c r="AY92" s="2083">
        <f t="shared" si="19"/>
        <v>1546.9270099999999</v>
      </c>
      <c r="AZ92" s="2083">
        <f t="shared" si="19"/>
        <v>3496191.16</v>
      </c>
      <c r="BA92" s="2083">
        <f t="shared" si="19"/>
        <v>-0.6576054635004549</v>
      </c>
      <c r="BB92" s="2083">
        <f t="shared" si="19"/>
        <v>1.1623662192158601E-2</v>
      </c>
      <c r="BC92" s="2626">
        <f t="shared" si="19"/>
        <v>606.26148000000364</v>
      </c>
      <c r="BD92" s="3205">
        <f t="shared" si="19"/>
        <v>1.6877742200000001</v>
      </c>
      <c r="BE92" s="3202">
        <f>BE11+BE41</f>
        <v>341.26356999999996</v>
      </c>
      <c r="BF92" s="3205">
        <f>BF11+BF41</f>
        <v>1.06646124</v>
      </c>
      <c r="BG92" s="3199">
        <f t="shared" ref="BG92:BG102" si="20">BE92/BC92-1</f>
        <v>-0.43710167764576113</v>
      </c>
    </row>
    <row r="93" spans="2:59" ht="16.5" customHeight="1">
      <c r="B93" s="213"/>
      <c r="D93" s="850"/>
      <c r="E93" s="851"/>
      <c r="F93" s="852"/>
      <c r="G93" s="853"/>
      <c r="H93" s="852"/>
      <c r="I93" s="853"/>
      <c r="J93" s="854"/>
      <c r="K93" s="855"/>
      <c r="L93" s="856"/>
      <c r="M93" s="857"/>
      <c r="N93" s="854"/>
      <c r="O93" s="855"/>
      <c r="P93" s="856" t="s">
        <v>390</v>
      </c>
      <c r="Q93" s="857"/>
      <c r="R93" s="854"/>
      <c r="S93" s="855"/>
      <c r="T93" s="856"/>
      <c r="U93" s="857"/>
      <c r="V93" s="853"/>
      <c r="W93" s="858"/>
      <c r="X93" s="856"/>
      <c r="Y93" s="858"/>
      <c r="Z93" s="856"/>
      <c r="AA93" s="858"/>
      <c r="AB93" s="856"/>
      <c r="AC93" s="2626"/>
      <c r="AD93" s="615"/>
      <c r="AE93" s="2626"/>
      <c r="AF93" s="615"/>
      <c r="AG93" s="2626"/>
      <c r="AH93" s="615"/>
      <c r="AI93" s="2626"/>
      <c r="AJ93" s="615"/>
      <c r="AK93" s="2626"/>
      <c r="AL93" s="615"/>
      <c r="AM93" s="2626"/>
      <c r="AN93" s="615"/>
      <c r="AO93" s="2626"/>
      <c r="AP93" s="615"/>
      <c r="AQ93" s="2626"/>
      <c r="AR93" s="2083"/>
      <c r="AS93" s="731"/>
      <c r="AT93" s="731"/>
      <c r="AU93" s="620">
        <f t="shared" ref="AU93:BB93" si="21">+AU12+AU42</f>
        <v>0</v>
      </c>
      <c r="AV93" s="749">
        <f t="shared" si="21"/>
        <v>0</v>
      </c>
      <c r="AW93" s="620">
        <f t="shared" si="21"/>
        <v>0</v>
      </c>
      <c r="AX93" s="749">
        <f t="shared" si="21"/>
        <v>0</v>
      </c>
      <c r="AY93" s="620">
        <f t="shared" si="21"/>
        <v>0</v>
      </c>
      <c r="AZ93" s="749">
        <f t="shared" si="21"/>
        <v>0</v>
      </c>
      <c r="BA93" s="620">
        <f t="shared" si="21"/>
        <v>0</v>
      </c>
      <c r="BB93" s="859">
        <f t="shared" si="21"/>
        <v>0</v>
      </c>
      <c r="BC93" s="2626"/>
      <c r="BD93" s="3031"/>
      <c r="BE93" s="3202"/>
      <c r="BF93" s="3205"/>
      <c r="BG93" s="3199"/>
    </row>
    <row r="94" spans="2:59" ht="30" customHeight="1">
      <c r="B94" s="2624" t="s">
        <v>28</v>
      </c>
      <c r="C94" s="211">
        <v>531.70000000000005</v>
      </c>
      <c r="D94" s="850">
        <v>2137233.9</v>
      </c>
      <c r="E94" s="851">
        <v>379.5</v>
      </c>
      <c r="F94" s="852">
        <v>1627406.01</v>
      </c>
      <c r="G94" s="853">
        <v>352.3</v>
      </c>
      <c r="H94" s="852">
        <v>1749251.4</v>
      </c>
      <c r="I94" s="853">
        <v>313</v>
      </c>
      <c r="J94" s="854">
        <v>1739755.38</v>
      </c>
      <c r="K94" s="855">
        <v>254.99</v>
      </c>
      <c r="L94" s="856">
        <v>1605639.01</v>
      </c>
      <c r="M94" s="857">
        <v>394.10900000000004</v>
      </c>
      <c r="N94" s="854">
        <v>2182385.16</v>
      </c>
      <c r="O94" s="855">
        <v>442.21362999999997</v>
      </c>
      <c r="P94" s="856">
        <v>2751037.26</v>
      </c>
      <c r="Q94" s="857">
        <v>527.78859</v>
      </c>
      <c r="R94" s="854">
        <v>2974165.3</v>
      </c>
      <c r="S94" s="855">
        <v>511.43569000000002</v>
      </c>
      <c r="T94" s="856">
        <v>3197847.18</v>
      </c>
      <c r="U94" s="857">
        <v>334.82497999999998</v>
      </c>
      <c r="V94" s="853">
        <v>2573016.2000000002</v>
      </c>
      <c r="W94" s="858">
        <v>443.70850999999999</v>
      </c>
      <c r="X94" s="856">
        <v>3203915.98</v>
      </c>
      <c r="Y94" s="858">
        <v>423.06749000000002</v>
      </c>
      <c r="Z94" s="856">
        <v>3106720.4299999997</v>
      </c>
      <c r="AA94" s="858">
        <v>438.74373000000003</v>
      </c>
      <c r="AB94" s="856">
        <v>3482898.9299999997</v>
      </c>
      <c r="AC94" s="2626">
        <f t="shared" ref="AC94:AS94" si="22">+AC13+AC43</f>
        <v>429.69187999999997</v>
      </c>
      <c r="AD94" s="615">
        <f t="shared" si="22"/>
        <v>3.59492805</v>
      </c>
      <c r="AE94" s="2626">
        <f t="shared" si="22"/>
        <v>452.92295000000001</v>
      </c>
      <c r="AF94" s="615">
        <f t="shared" si="22"/>
        <v>3.7996700100000003</v>
      </c>
      <c r="AG94" s="2626">
        <f t="shared" si="22"/>
        <v>439.58479</v>
      </c>
      <c r="AH94" s="615">
        <f t="shared" si="22"/>
        <v>3.5050151299999994</v>
      </c>
      <c r="AI94" s="2626">
        <f t="shared" si="22"/>
        <v>422.39792</v>
      </c>
      <c r="AJ94" s="615">
        <f t="shared" si="22"/>
        <v>3.3349827000000003</v>
      </c>
      <c r="AK94" s="2626">
        <f t="shared" si="22"/>
        <v>491.56140000000005</v>
      </c>
      <c r="AL94" s="615">
        <f t="shared" si="22"/>
        <v>3.7829267099999999</v>
      </c>
      <c r="AM94" s="2626">
        <f t="shared" si="22"/>
        <v>439.48173000000003</v>
      </c>
      <c r="AN94" s="615">
        <f t="shared" si="22"/>
        <v>3.6055057199999996</v>
      </c>
      <c r="AO94" s="2626">
        <f t="shared" si="22"/>
        <v>333.06819000000002</v>
      </c>
      <c r="AP94" s="615">
        <f t="shared" si="22"/>
        <v>2.62947883</v>
      </c>
      <c r="AQ94" s="2626">
        <f t="shared" si="22"/>
        <v>372.94750999999997</v>
      </c>
      <c r="AR94" s="2083">
        <f t="shared" si="22"/>
        <v>2.8868361499999997</v>
      </c>
      <c r="AS94" s="2083">
        <f t="shared" si="22"/>
        <v>0</v>
      </c>
      <c r="AT94" s="2083">
        <f t="shared" ref="AT94:BD94" si="23">+AT13+AT43</f>
        <v>0</v>
      </c>
      <c r="AU94" s="2083">
        <f t="shared" si="23"/>
        <v>405.7</v>
      </c>
      <c r="AV94" s="2083">
        <f t="shared" si="23"/>
        <v>2947463</v>
      </c>
      <c r="AW94" s="2083">
        <f t="shared" si="23"/>
        <v>350.90000000000003</v>
      </c>
      <c r="AX94" s="2083">
        <f t="shared" si="23"/>
        <v>2701270</v>
      </c>
      <c r="AY94" s="2083">
        <f t="shared" si="23"/>
        <v>279.8</v>
      </c>
      <c r="AZ94" s="2083">
        <f t="shared" si="23"/>
        <v>2068380</v>
      </c>
      <c r="BA94" s="2083">
        <f t="shared" si="23"/>
        <v>-0.7285365700085995</v>
      </c>
      <c r="BB94" s="2083">
        <f t="shared" si="23"/>
        <v>5.2634782105938971E-2</v>
      </c>
      <c r="BC94" s="2626">
        <f t="shared" si="23"/>
        <v>382.60609818181797</v>
      </c>
      <c r="BD94" s="3205">
        <f t="shared" si="23"/>
        <v>3.4109500400000003</v>
      </c>
      <c r="BE94" s="3202">
        <f>BE13+BE43</f>
        <v>339.15339999999998</v>
      </c>
      <c r="BF94" s="2608">
        <f>BF13+BF43</f>
        <v>3.3659537500000001</v>
      </c>
      <c r="BG94" s="3199">
        <f t="shared" si="20"/>
        <v>-0.11357032307720527</v>
      </c>
    </row>
    <row r="95" spans="2:59" ht="16.5" customHeight="1">
      <c r="B95" s="213"/>
      <c r="D95" s="850"/>
      <c r="E95" s="851"/>
      <c r="F95" s="852"/>
      <c r="G95" s="853"/>
      <c r="H95" s="852"/>
      <c r="I95" s="853"/>
      <c r="J95" s="854"/>
      <c r="K95" s="855"/>
      <c r="L95" s="856"/>
      <c r="M95" s="857"/>
      <c r="N95" s="854"/>
      <c r="O95" s="855"/>
      <c r="P95" s="856"/>
      <c r="Q95" s="857"/>
      <c r="R95" s="854"/>
      <c r="S95" s="855"/>
      <c r="T95" s="856"/>
      <c r="U95" s="857"/>
      <c r="V95" s="853"/>
      <c r="W95" s="858"/>
      <c r="X95" s="856"/>
      <c r="Y95" s="858"/>
      <c r="Z95" s="856"/>
      <c r="AA95" s="858"/>
      <c r="AB95" s="856"/>
      <c r="AC95" s="2626"/>
      <c r="AD95" s="615"/>
      <c r="AE95" s="2626"/>
      <c r="AF95" s="615"/>
      <c r="AG95" s="2626"/>
      <c r="AH95" s="615"/>
      <c r="AI95" s="2626"/>
      <c r="AJ95" s="615"/>
      <c r="AK95" s="2626"/>
      <c r="AL95" s="615"/>
      <c r="AM95" s="2626"/>
      <c r="AN95" s="615"/>
      <c r="AO95" s="2626"/>
      <c r="AP95" s="615"/>
      <c r="AQ95" s="2626"/>
      <c r="AR95" s="2083"/>
      <c r="AS95" s="731"/>
      <c r="AT95" s="731"/>
      <c r="AU95" s="620">
        <f t="shared" ref="AU95:BB95" si="24">+AU14+AU44</f>
        <v>0</v>
      </c>
      <c r="AV95" s="749">
        <f t="shared" si="24"/>
        <v>0</v>
      </c>
      <c r="AW95" s="620">
        <f t="shared" si="24"/>
        <v>0</v>
      </c>
      <c r="AX95" s="859">
        <f t="shared" si="24"/>
        <v>0</v>
      </c>
      <c r="AY95" s="620">
        <f t="shared" si="24"/>
        <v>0</v>
      </c>
      <c r="AZ95" s="749">
        <f t="shared" si="24"/>
        <v>0</v>
      </c>
      <c r="BA95" s="620">
        <f t="shared" si="24"/>
        <v>0</v>
      </c>
      <c r="BB95" s="859">
        <f t="shared" si="24"/>
        <v>0</v>
      </c>
      <c r="BC95" s="2626"/>
      <c r="BD95" s="3031"/>
      <c r="BE95" s="3202"/>
      <c r="BF95" s="2608"/>
      <c r="BG95" s="3199"/>
    </row>
    <row r="96" spans="2:59" ht="60" customHeight="1">
      <c r="B96" s="2624" t="s">
        <v>29</v>
      </c>
      <c r="C96" s="211">
        <v>563.20000000000005</v>
      </c>
      <c r="D96" s="850">
        <v>1435514.75</v>
      </c>
      <c r="E96" s="851">
        <v>453.1</v>
      </c>
      <c r="F96" s="852">
        <v>1130928.8600000001</v>
      </c>
      <c r="G96" s="853">
        <v>474.7</v>
      </c>
      <c r="H96" s="852">
        <v>1433268.09</v>
      </c>
      <c r="I96" s="853">
        <v>411.9</v>
      </c>
      <c r="J96" s="854">
        <v>1394581.29</v>
      </c>
      <c r="K96" s="855">
        <v>388.45</v>
      </c>
      <c r="L96" s="856">
        <v>1481313.53</v>
      </c>
      <c r="M96" s="857">
        <v>479.72799999999995</v>
      </c>
      <c r="N96" s="854">
        <v>1814185.34</v>
      </c>
      <c r="O96" s="855">
        <v>510.62386000000004</v>
      </c>
      <c r="P96" s="856">
        <v>2136345.8199999998</v>
      </c>
      <c r="Q96" s="857">
        <v>495.71828999999997</v>
      </c>
      <c r="R96" s="854">
        <v>2068129.29</v>
      </c>
      <c r="S96" s="855">
        <v>538.26493000000005</v>
      </c>
      <c r="T96" s="856">
        <v>2216188.63</v>
      </c>
      <c r="U96" s="857">
        <v>495.99160999999992</v>
      </c>
      <c r="V96" s="853">
        <v>2206362.77</v>
      </c>
      <c r="W96" s="858">
        <v>551.22039299999994</v>
      </c>
      <c r="X96" s="856">
        <v>2489463.5699999998</v>
      </c>
      <c r="Y96" s="858">
        <v>798.93102999999996</v>
      </c>
      <c r="Z96" s="856">
        <v>2549831.1799999997</v>
      </c>
      <c r="AA96" s="858">
        <v>711.86812000000009</v>
      </c>
      <c r="AB96" s="856">
        <v>3046393.59</v>
      </c>
      <c r="AC96" s="2626">
        <f t="shared" ref="AC96:AS96" si="25">+AC15+AC45</f>
        <v>714.93534</v>
      </c>
      <c r="AD96" s="615">
        <f t="shared" si="25"/>
        <v>3.15501684</v>
      </c>
      <c r="AE96" s="2626">
        <f t="shared" si="25"/>
        <v>790.40604999999994</v>
      </c>
      <c r="AF96" s="615">
        <f t="shared" si="25"/>
        <v>3.7027152599999997</v>
      </c>
      <c r="AG96" s="2626">
        <f t="shared" si="25"/>
        <v>755.59131999999988</v>
      </c>
      <c r="AH96" s="615">
        <f t="shared" si="25"/>
        <v>3.6627652500000001</v>
      </c>
      <c r="AI96" s="2626">
        <f t="shared" si="25"/>
        <v>773.62729999999988</v>
      </c>
      <c r="AJ96" s="615">
        <f t="shared" si="25"/>
        <v>3.5290679900000002</v>
      </c>
      <c r="AK96" s="2626">
        <f t="shared" si="25"/>
        <v>824.92043000000001</v>
      </c>
      <c r="AL96" s="615">
        <f t="shared" si="25"/>
        <v>3.89699464</v>
      </c>
      <c r="AM96" s="2626">
        <f t="shared" si="25"/>
        <v>889.39629999999988</v>
      </c>
      <c r="AN96" s="615">
        <f t="shared" si="25"/>
        <v>4.4463241</v>
      </c>
      <c r="AO96" s="2626">
        <f t="shared" si="25"/>
        <v>758.63086999999996</v>
      </c>
      <c r="AP96" s="615">
        <f t="shared" si="25"/>
        <v>3.5244097700000001</v>
      </c>
      <c r="AQ96" s="2626">
        <f t="shared" si="25"/>
        <v>707.62387000000001</v>
      </c>
      <c r="AR96" s="2083">
        <f t="shared" si="25"/>
        <v>3.3608238500000001</v>
      </c>
      <c r="AS96" s="2083">
        <f t="shared" si="25"/>
        <v>0</v>
      </c>
      <c r="AT96" s="2083">
        <f t="shared" ref="AT96:BD96" si="26">+AT15+AT45</f>
        <v>0</v>
      </c>
      <c r="AU96" s="2083">
        <f t="shared" si="26"/>
        <v>633.5</v>
      </c>
      <c r="AV96" s="2083">
        <f t="shared" si="26"/>
        <v>2895239</v>
      </c>
      <c r="AW96" s="2083">
        <f t="shared" si="26"/>
        <v>653.6</v>
      </c>
      <c r="AX96" s="2083">
        <f t="shared" si="26"/>
        <v>3215891</v>
      </c>
      <c r="AY96" s="2083">
        <f t="shared" si="26"/>
        <v>573.20000000000005</v>
      </c>
      <c r="AZ96" s="2083">
        <f t="shared" si="26"/>
        <v>2688286</v>
      </c>
      <c r="BA96" s="2083">
        <f t="shared" si="26"/>
        <v>-0.66573413198066</v>
      </c>
      <c r="BB96" s="2083">
        <f t="shared" si="26"/>
        <v>-1.7461508897020139E-2</v>
      </c>
      <c r="BC96" s="2626">
        <f t="shared" si="26"/>
        <v>806.772016363636</v>
      </c>
      <c r="BD96" s="3205">
        <f t="shared" si="26"/>
        <v>4.1872185599999998</v>
      </c>
      <c r="BE96" s="3202">
        <f>BE15+BE45</f>
        <v>776.38542000000007</v>
      </c>
      <c r="BF96" s="2608">
        <f>BF15+BF45</f>
        <v>4.2442267600000001</v>
      </c>
      <c r="BG96" s="3199">
        <f t="shared" si="20"/>
        <v>-3.766441540771015E-2</v>
      </c>
    </row>
    <row r="97" spans="2:59" ht="16.5" customHeight="1">
      <c r="B97" s="213"/>
      <c r="D97" s="850"/>
      <c r="E97" s="851"/>
      <c r="F97" s="852"/>
      <c r="G97" s="853"/>
      <c r="H97" s="852"/>
      <c r="I97" s="853"/>
      <c r="J97" s="854"/>
      <c r="K97" s="855"/>
      <c r="L97" s="856"/>
      <c r="M97" s="857"/>
      <c r="N97" s="854"/>
      <c r="O97" s="855"/>
      <c r="P97" s="856"/>
      <c r="Q97" s="857"/>
      <c r="R97" s="854"/>
      <c r="S97" s="855"/>
      <c r="T97" s="856"/>
      <c r="U97" s="857"/>
      <c r="V97" s="853"/>
      <c r="W97" s="858"/>
      <c r="X97" s="856"/>
      <c r="Y97" s="858"/>
      <c r="Z97" s="856"/>
      <c r="AA97" s="858"/>
      <c r="AB97" s="856"/>
      <c r="AC97" s="2626"/>
      <c r="AD97" s="615"/>
      <c r="AE97" s="2626"/>
      <c r="AF97" s="615"/>
      <c r="AG97" s="2626"/>
      <c r="AH97" s="615"/>
      <c r="AI97" s="2626"/>
      <c r="AJ97" s="615"/>
      <c r="AK97" s="2626"/>
      <c r="AL97" s="615"/>
      <c r="AM97" s="2626"/>
      <c r="AN97" s="615"/>
      <c r="AO97" s="2626"/>
      <c r="AP97" s="615"/>
      <c r="AQ97" s="2626"/>
      <c r="AR97" s="2083"/>
      <c r="AS97" s="731"/>
      <c r="AT97" s="731"/>
      <c r="AU97" s="620">
        <f t="shared" ref="AU97:BB97" si="27">+AU16+AU46</f>
        <v>0</v>
      </c>
      <c r="AV97" s="749">
        <f t="shared" si="27"/>
        <v>0</v>
      </c>
      <c r="AW97" s="620">
        <f t="shared" si="27"/>
        <v>0</v>
      </c>
      <c r="AX97" s="749">
        <f t="shared" si="27"/>
        <v>0</v>
      </c>
      <c r="AY97" s="620">
        <f t="shared" si="27"/>
        <v>0</v>
      </c>
      <c r="AZ97" s="749">
        <f t="shared" si="27"/>
        <v>0</v>
      </c>
      <c r="BA97" s="620">
        <f t="shared" si="27"/>
        <v>0</v>
      </c>
      <c r="BB97" s="859">
        <f t="shared" si="27"/>
        <v>0</v>
      </c>
      <c r="BC97" s="2626"/>
      <c r="BD97" s="3031"/>
      <c r="BE97" s="3202"/>
      <c r="BF97" s="2608"/>
      <c r="BG97" s="3199"/>
    </row>
    <row r="98" spans="2:59" ht="30" customHeight="1">
      <c r="B98" s="213" t="s">
        <v>30</v>
      </c>
      <c r="C98" s="211">
        <v>500.7</v>
      </c>
      <c r="D98" s="850">
        <v>1387262.28</v>
      </c>
      <c r="E98" s="851">
        <v>480.1</v>
      </c>
      <c r="F98" s="852">
        <v>1002328.38</v>
      </c>
      <c r="G98" s="853">
        <v>361.7</v>
      </c>
      <c r="H98" s="852">
        <v>1027006.83</v>
      </c>
      <c r="I98" s="853">
        <v>387.6</v>
      </c>
      <c r="J98" s="854">
        <v>1093240.51</v>
      </c>
      <c r="K98" s="855">
        <v>295.8</v>
      </c>
      <c r="L98" s="856">
        <v>935231.01</v>
      </c>
      <c r="M98" s="857">
        <v>367.35300000000001</v>
      </c>
      <c r="N98" s="854">
        <v>1378695.54</v>
      </c>
      <c r="O98" s="855">
        <v>392.53070000000002</v>
      </c>
      <c r="P98" s="856">
        <v>1529039.36</v>
      </c>
      <c r="Q98" s="857">
        <v>446.4014500000003</v>
      </c>
      <c r="R98" s="854">
        <v>1712055.13</v>
      </c>
      <c r="S98" s="855">
        <v>425.38853000000006</v>
      </c>
      <c r="T98" s="856">
        <v>1627652.44</v>
      </c>
      <c r="U98" s="857">
        <v>267.86880999999994</v>
      </c>
      <c r="V98" s="853">
        <v>1214615.1200000001</v>
      </c>
      <c r="W98" s="858">
        <v>439.38324000000006</v>
      </c>
      <c r="X98" s="856">
        <v>1985758.47</v>
      </c>
      <c r="Y98" s="858">
        <v>450.9273</v>
      </c>
      <c r="Z98" s="856">
        <v>1830942.53</v>
      </c>
      <c r="AA98" s="858">
        <v>502.16549000000003</v>
      </c>
      <c r="AB98" s="856">
        <v>2274053.42</v>
      </c>
      <c r="AC98" s="2626">
        <f t="shared" ref="AC98:AS98" si="28">+AC17+AC47</f>
        <v>423.88297999999998</v>
      </c>
      <c r="AD98" s="615">
        <f t="shared" si="28"/>
        <v>2.1211635000000002</v>
      </c>
      <c r="AE98" s="2626">
        <f t="shared" si="28"/>
        <v>443.40098</v>
      </c>
      <c r="AF98" s="615">
        <f t="shared" si="28"/>
        <v>2.16213086</v>
      </c>
      <c r="AG98" s="2626">
        <f t="shared" si="28"/>
        <v>525.27633000000003</v>
      </c>
      <c r="AH98" s="615">
        <f t="shared" si="28"/>
        <v>2.5316080400000001</v>
      </c>
      <c r="AI98" s="2626">
        <f t="shared" si="28"/>
        <v>498.17580000000004</v>
      </c>
      <c r="AJ98" s="615">
        <f t="shared" si="28"/>
        <v>2.4032275800000003</v>
      </c>
      <c r="AK98" s="2626">
        <f t="shared" si="28"/>
        <v>546.25057000000004</v>
      </c>
      <c r="AL98" s="615">
        <f t="shared" si="28"/>
        <v>2.5126660799999998</v>
      </c>
      <c r="AM98" s="2626">
        <f t="shared" si="28"/>
        <v>451.35966999999999</v>
      </c>
      <c r="AN98" s="615">
        <f t="shared" si="28"/>
        <v>2.3641832999999997</v>
      </c>
      <c r="AO98" s="2626">
        <f t="shared" si="28"/>
        <v>347.50313000000006</v>
      </c>
      <c r="AP98" s="615">
        <f t="shared" si="28"/>
        <v>1.82610713</v>
      </c>
      <c r="AQ98" s="2626">
        <f t="shared" si="28"/>
        <v>447.77553</v>
      </c>
      <c r="AR98" s="2083">
        <f t="shared" si="28"/>
        <v>2.1263045700000003</v>
      </c>
      <c r="AS98" s="2083">
        <f t="shared" si="28"/>
        <v>0</v>
      </c>
      <c r="AT98" s="2083">
        <f t="shared" ref="AT98:BD98" si="29">+AT17+AT47</f>
        <v>0</v>
      </c>
      <c r="AU98" s="2083">
        <f t="shared" si="29"/>
        <v>388.1</v>
      </c>
      <c r="AV98" s="2083">
        <f t="shared" si="29"/>
        <v>1790298</v>
      </c>
      <c r="AW98" s="2083">
        <f t="shared" si="29"/>
        <v>302.2</v>
      </c>
      <c r="AX98" s="2083">
        <f t="shared" si="29"/>
        <v>1570307</v>
      </c>
      <c r="AY98" s="2083">
        <f t="shared" si="29"/>
        <v>230.2</v>
      </c>
      <c r="AZ98" s="2083">
        <f t="shared" si="29"/>
        <v>1171075</v>
      </c>
      <c r="BA98" s="2083">
        <f t="shared" si="29"/>
        <v>-0.65703335687997855</v>
      </c>
      <c r="BB98" s="2083">
        <f t="shared" si="29"/>
        <v>-1.4789136130563652E-2</v>
      </c>
      <c r="BC98" s="2626">
        <f t="shared" si="29"/>
        <v>469.453167272727</v>
      </c>
      <c r="BD98" s="3205">
        <f t="shared" si="29"/>
        <v>2.5440318499999997</v>
      </c>
      <c r="BE98" s="3202">
        <f>BE17+BE47</f>
        <v>395.01848000000001</v>
      </c>
      <c r="BF98" s="2608">
        <f>BF17+BF47</f>
        <v>2.1637204699999999</v>
      </c>
      <c r="BG98" s="3199">
        <f t="shared" si="20"/>
        <v>-0.15855615098978437</v>
      </c>
    </row>
    <row r="99" spans="2:59" ht="16.5" customHeight="1">
      <c r="B99" s="213"/>
      <c r="D99" s="850"/>
      <c r="E99" s="851"/>
      <c r="F99" s="852"/>
      <c r="G99" s="853"/>
      <c r="H99" s="852"/>
      <c r="I99" s="853"/>
      <c r="J99" s="854"/>
      <c r="K99" s="855"/>
      <c r="L99" s="856"/>
      <c r="M99" s="857"/>
      <c r="N99" s="854"/>
      <c r="O99" s="855"/>
      <c r="P99" s="856"/>
      <c r="Q99" s="857"/>
      <c r="R99" s="854"/>
      <c r="S99" s="855"/>
      <c r="T99" s="856"/>
      <c r="U99" s="857"/>
      <c r="V99" s="853"/>
      <c r="W99" s="858"/>
      <c r="X99" s="856"/>
      <c r="Y99" s="858"/>
      <c r="Z99" s="856"/>
      <c r="AA99" s="858"/>
      <c r="AB99" s="856"/>
      <c r="AC99" s="2626"/>
      <c r="AD99" s="615"/>
      <c r="AE99" s="2626"/>
      <c r="AF99" s="615"/>
      <c r="AG99" s="2626"/>
      <c r="AH99" s="615"/>
      <c r="AI99" s="2626"/>
      <c r="AJ99" s="615"/>
      <c r="AK99" s="2626"/>
      <c r="AL99" s="615"/>
      <c r="AM99" s="2626"/>
      <c r="AN99" s="615"/>
      <c r="AO99" s="2626"/>
      <c r="AP99" s="615"/>
      <c r="AQ99" s="2626"/>
      <c r="AR99" s="2083"/>
      <c r="AS99" s="731"/>
      <c r="AT99" s="731"/>
      <c r="AU99" s="620">
        <f t="shared" ref="AU99:BB99" si="30">+AU18+AU48</f>
        <v>0</v>
      </c>
      <c r="AV99" s="749">
        <f t="shared" si="30"/>
        <v>0</v>
      </c>
      <c r="AW99" s="620">
        <f t="shared" si="30"/>
        <v>0</v>
      </c>
      <c r="AX99" s="749">
        <f t="shared" si="30"/>
        <v>0</v>
      </c>
      <c r="AY99" s="620">
        <f t="shared" si="30"/>
        <v>0</v>
      </c>
      <c r="AZ99" s="749">
        <f t="shared" si="30"/>
        <v>0</v>
      </c>
      <c r="BA99" s="620">
        <f t="shared" si="30"/>
        <v>0</v>
      </c>
      <c r="BB99" s="859">
        <f t="shared" si="30"/>
        <v>0</v>
      </c>
      <c r="BC99" s="2626"/>
      <c r="BD99" s="3031"/>
      <c r="BE99" s="3202"/>
      <c r="BF99" s="2608"/>
      <c r="BG99" s="3199"/>
    </row>
    <row r="100" spans="2:59" ht="30" customHeight="1">
      <c r="B100" s="213" t="s">
        <v>31</v>
      </c>
      <c r="C100" s="211">
        <v>55.7</v>
      </c>
      <c r="D100" s="850">
        <v>371706.24</v>
      </c>
      <c r="E100" s="851">
        <v>54.5</v>
      </c>
      <c r="F100" s="852">
        <v>363586.22</v>
      </c>
      <c r="G100" s="853">
        <v>57.3</v>
      </c>
      <c r="H100" s="852">
        <v>412965.32</v>
      </c>
      <c r="I100" s="853">
        <v>45.6</v>
      </c>
      <c r="J100" s="854">
        <v>375873.5</v>
      </c>
      <c r="K100" s="855">
        <v>38.700000000000003</v>
      </c>
      <c r="L100" s="856">
        <v>370325.9</v>
      </c>
      <c r="M100" s="857">
        <v>47.774999999999999</v>
      </c>
      <c r="N100" s="854">
        <v>424376.02</v>
      </c>
      <c r="O100" s="855">
        <v>58.868721999999998</v>
      </c>
      <c r="P100" s="856">
        <v>621743.69999999995</v>
      </c>
      <c r="Q100" s="857">
        <v>63.393940000000001</v>
      </c>
      <c r="R100" s="854">
        <v>577600.19999999995</v>
      </c>
      <c r="S100" s="855">
        <v>66.56537999999999</v>
      </c>
      <c r="T100" s="856">
        <v>623434.25</v>
      </c>
      <c r="U100" s="857">
        <v>56.415149999999997</v>
      </c>
      <c r="V100" s="853">
        <v>607272.19999999995</v>
      </c>
      <c r="W100" s="858">
        <v>76.34299</v>
      </c>
      <c r="X100" s="856">
        <v>745251.89999999991</v>
      </c>
      <c r="Y100" s="858">
        <v>84.584429999999998</v>
      </c>
      <c r="Z100" s="856">
        <v>748173.07000000007</v>
      </c>
      <c r="AA100" s="858">
        <v>89.641729999999981</v>
      </c>
      <c r="AB100" s="856">
        <v>826679.42999999993</v>
      </c>
      <c r="AC100" s="2626">
        <f t="shared" ref="AC100:AS100" si="31">+AC19+AC49</f>
        <v>90.20371999999999</v>
      </c>
      <c r="AD100" s="615">
        <f t="shared" si="31"/>
        <v>0.88009242999999993</v>
      </c>
      <c r="AE100" s="2626">
        <f t="shared" si="31"/>
        <v>105.22585999999998</v>
      </c>
      <c r="AF100" s="615">
        <f t="shared" si="31"/>
        <v>1.04894976</v>
      </c>
      <c r="AG100" s="2626">
        <f t="shared" si="31"/>
        <v>98.550380000000018</v>
      </c>
      <c r="AH100" s="615">
        <f t="shared" si="31"/>
        <v>0.98925999000000009</v>
      </c>
      <c r="AI100" s="2626">
        <f t="shared" si="31"/>
        <v>100.25656999999998</v>
      </c>
      <c r="AJ100" s="615">
        <f t="shared" si="31"/>
        <v>1.0852329000000001</v>
      </c>
      <c r="AK100" s="2626">
        <f t="shared" si="31"/>
        <v>115.65731000000001</v>
      </c>
      <c r="AL100" s="615">
        <f t="shared" si="31"/>
        <v>1.1713297</v>
      </c>
      <c r="AM100" s="2626">
        <f t="shared" si="31"/>
        <v>104.32383999999999</v>
      </c>
      <c r="AN100" s="615">
        <f t="shared" si="31"/>
        <v>1.1431221499999999</v>
      </c>
      <c r="AO100" s="2626">
        <f t="shared" si="31"/>
        <v>80.548659999999984</v>
      </c>
      <c r="AP100" s="615">
        <f t="shared" si="31"/>
        <v>0.98056107000000003</v>
      </c>
      <c r="AQ100" s="2626">
        <f t="shared" si="31"/>
        <v>87.915399999999977</v>
      </c>
      <c r="AR100" s="2083">
        <f t="shared" si="31"/>
        <v>0.96243796000000004</v>
      </c>
      <c r="AS100" s="2083">
        <f t="shared" si="31"/>
        <v>0</v>
      </c>
      <c r="AT100" s="2083">
        <f t="shared" ref="AT100:BD100" si="32">+AT19+AT49</f>
        <v>0</v>
      </c>
      <c r="AU100" s="2083">
        <f t="shared" si="32"/>
        <v>94</v>
      </c>
      <c r="AV100" s="2083">
        <f t="shared" si="32"/>
        <v>911193</v>
      </c>
      <c r="AW100" s="2083">
        <f t="shared" si="32"/>
        <v>82.7</v>
      </c>
      <c r="AX100" s="2083">
        <f t="shared" si="32"/>
        <v>878823</v>
      </c>
      <c r="AY100" s="2083">
        <f t="shared" si="32"/>
        <v>62.5</v>
      </c>
      <c r="AZ100" s="2083">
        <f t="shared" si="32"/>
        <v>752103</v>
      </c>
      <c r="BA100" s="2083">
        <f t="shared" si="32"/>
        <v>-0.78254379584166822</v>
      </c>
      <c r="BB100" s="2083">
        <f t="shared" si="32"/>
        <v>0.14345155641514862</v>
      </c>
      <c r="BC100" s="2626">
        <f t="shared" si="32"/>
        <v>103.42133848481821</v>
      </c>
      <c r="BD100" s="3205">
        <f t="shared" si="32"/>
        <v>1.1880176800000002</v>
      </c>
      <c r="BE100" s="3202">
        <f>BE19+BE49</f>
        <v>84.878429999999994</v>
      </c>
      <c r="BF100" s="2608">
        <f>BF19+BF49</f>
        <v>1.0421473800000001</v>
      </c>
      <c r="BG100" s="3199">
        <f t="shared" si="20"/>
        <v>-0.17929480276007281</v>
      </c>
    </row>
    <row r="101" spans="2:59" ht="16.5" customHeight="1">
      <c r="B101" s="213"/>
      <c r="D101" s="850"/>
      <c r="E101" s="851"/>
      <c r="F101" s="852"/>
      <c r="G101" s="853"/>
      <c r="H101" s="852"/>
      <c r="I101" s="853"/>
      <c r="J101" s="854"/>
      <c r="K101" s="855"/>
      <c r="L101" s="856"/>
      <c r="M101" s="857"/>
      <c r="N101" s="854"/>
      <c r="O101" s="855"/>
      <c r="P101" s="856"/>
      <c r="Q101" s="857"/>
      <c r="R101" s="861"/>
      <c r="S101" s="855"/>
      <c r="T101" s="856"/>
      <c r="U101" s="857"/>
      <c r="V101" s="854"/>
      <c r="W101" s="858"/>
      <c r="X101" s="862"/>
      <c r="Y101" s="858"/>
      <c r="Z101" s="862"/>
      <c r="AA101" s="858"/>
      <c r="AB101" s="862"/>
      <c r="AC101" s="2626"/>
      <c r="AD101" s="615"/>
      <c r="AE101" s="2626"/>
      <c r="AF101" s="615"/>
      <c r="AG101" s="2626"/>
      <c r="AH101" s="615"/>
      <c r="AI101" s="2626"/>
      <c r="AJ101" s="615"/>
      <c r="AK101" s="2626"/>
      <c r="AL101" s="615"/>
      <c r="AM101" s="2626"/>
      <c r="AN101" s="615"/>
      <c r="AO101" s="2626"/>
      <c r="AP101" s="615"/>
      <c r="AQ101" s="2626"/>
      <c r="AR101" s="2083"/>
      <c r="AS101" s="731"/>
      <c r="AT101" s="731"/>
      <c r="AU101" s="620">
        <f t="shared" ref="AU101:BB101" si="33">+AU20+AU50</f>
        <v>0</v>
      </c>
      <c r="AV101" s="749">
        <f t="shared" si="33"/>
        <v>0</v>
      </c>
      <c r="AW101" s="620">
        <f t="shared" si="33"/>
        <v>0</v>
      </c>
      <c r="AX101" s="749">
        <f t="shared" si="33"/>
        <v>0</v>
      </c>
      <c r="AY101" s="620">
        <f t="shared" si="33"/>
        <v>0</v>
      </c>
      <c r="AZ101" s="749">
        <f t="shared" si="33"/>
        <v>0</v>
      </c>
      <c r="BA101" s="620">
        <f t="shared" si="33"/>
        <v>0</v>
      </c>
      <c r="BB101" s="859">
        <f t="shared" si="33"/>
        <v>0</v>
      </c>
      <c r="BC101" s="2626"/>
      <c r="BD101" s="3031"/>
      <c r="BE101" s="3202"/>
      <c r="BF101" s="2608"/>
      <c r="BG101" s="3199"/>
    </row>
    <row r="102" spans="2:59" ht="30" customHeight="1">
      <c r="B102" s="213" t="s">
        <v>443</v>
      </c>
      <c r="D102" s="850"/>
      <c r="E102" s="851"/>
      <c r="F102" s="852"/>
      <c r="G102" s="853"/>
      <c r="H102" s="852"/>
      <c r="I102" s="853"/>
      <c r="J102" s="854"/>
      <c r="K102" s="855"/>
      <c r="L102" s="856"/>
      <c r="M102" s="857"/>
      <c r="N102" s="854"/>
      <c r="O102" s="855"/>
      <c r="P102" s="856"/>
      <c r="Q102" s="857"/>
      <c r="R102" s="861"/>
      <c r="S102" s="855"/>
      <c r="T102" s="856"/>
      <c r="U102" s="857"/>
      <c r="V102" s="854"/>
      <c r="W102" s="858" t="s">
        <v>506</v>
      </c>
      <c r="X102" s="856" t="s">
        <v>506</v>
      </c>
      <c r="Y102" s="858">
        <v>6.3276599999999998</v>
      </c>
      <c r="Z102" s="856">
        <v>41926.089999999997</v>
      </c>
      <c r="AA102" s="858">
        <v>23.104290000000002</v>
      </c>
      <c r="AB102" s="856">
        <v>174184.45</v>
      </c>
      <c r="AC102" s="2626">
        <f t="shared" ref="AC102:AS102" si="34">+AC21+AC51</f>
        <v>38.702750000000002</v>
      </c>
      <c r="AD102" s="615">
        <f t="shared" si="34"/>
        <v>0.44769475999999997</v>
      </c>
      <c r="AE102" s="2626">
        <f t="shared" si="34"/>
        <v>61.701329999999992</v>
      </c>
      <c r="AF102" s="615">
        <f t="shared" si="34"/>
        <v>0.63550817999999998</v>
      </c>
      <c r="AG102" s="2626">
        <f t="shared" si="34"/>
        <v>50.251530000000002</v>
      </c>
      <c r="AH102" s="615">
        <f t="shared" si="34"/>
        <v>0.48232996</v>
      </c>
      <c r="AI102" s="2626">
        <f t="shared" si="34"/>
        <v>61.969200000000001</v>
      </c>
      <c r="AJ102" s="615">
        <f t="shared" si="34"/>
        <v>0.67353662999999997</v>
      </c>
      <c r="AK102" s="2626">
        <f t="shared" si="34"/>
        <v>61.711170000000003</v>
      </c>
      <c r="AL102" s="615">
        <f t="shared" si="34"/>
        <v>0.68117924000000007</v>
      </c>
      <c r="AM102" s="2626">
        <f t="shared" si="34"/>
        <v>68.556740000000005</v>
      </c>
      <c r="AN102" s="615">
        <f t="shared" si="34"/>
        <v>0.77739784999999995</v>
      </c>
      <c r="AO102" s="2626">
        <f t="shared" si="34"/>
        <v>50.303460000000001</v>
      </c>
      <c r="AP102" s="615">
        <f t="shared" si="34"/>
        <v>0.60868692000000002</v>
      </c>
      <c r="AQ102" s="2626">
        <f t="shared" si="34"/>
        <v>45.741340000000001</v>
      </c>
      <c r="AR102" s="2083">
        <f t="shared" si="34"/>
        <v>0.56620851999999999</v>
      </c>
      <c r="AS102" s="2083">
        <f t="shared" si="34"/>
        <v>0</v>
      </c>
      <c r="AT102" s="2083">
        <f t="shared" ref="AT102:BD102" si="35">+AT21+AT51</f>
        <v>0</v>
      </c>
      <c r="AU102" s="2083">
        <f t="shared" si="35"/>
        <v>49.8</v>
      </c>
      <c r="AV102" s="2083">
        <f t="shared" si="35"/>
        <v>529371</v>
      </c>
      <c r="AW102" s="2083">
        <f t="shared" si="35"/>
        <v>52.300000000000004</v>
      </c>
      <c r="AX102" s="2083">
        <f t="shared" si="35"/>
        <v>569344</v>
      </c>
      <c r="AY102" s="2083">
        <f t="shared" si="35"/>
        <v>39.6</v>
      </c>
      <c r="AZ102" s="2083">
        <f t="shared" si="35"/>
        <v>427420</v>
      </c>
      <c r="BA102" s="2083">
        <f t="shared" si="35"/>
        <v>-0.76815216470388903</v>
      </c>
      <c r="BB102" s="2083">
        <f t="shared" si="35"/>
        <v>-4.9108585988922204E-2</v>
      </c>
      <c r="BC102" s="2626">
        <f t="shared" si="35"/>
        <v>50.196849999999998</v>
      </c>
      <c r="BD102" s="3206">
        <f t="shared" si="35"/>
        <v>0.92644824000000014</v>
      </c>
      <c r="BE102" s="3203">
        <f>BE21+BE51</f>
        <v>25.172740000000001</v>
      </c>
      <c r="BF102" s="2608">
        <f>BF21+BF51</f>
        <v>0.28068119999999996</v>
      </c>
      <c r="BG102" s="3199">
        <f t="shared" si="20"/>
        <v>-0.49851952861583937</v>
      </c>
    </row>
    <row r="103" spans="2:59" ht="30" customHeight="1" thickBot="1">
      <c r="B103" s="1829" t="s">
        <v>1420</v>
      </c>
      <c r="C103" s="863">
        <v>3702.1</v>
      </c>
      <c r="D103" s="864">
        <v>7915784.7699999996</v>
      </c>
      <c r="E103" s="865">
        <v>2796.5</v>
      </c>
      <c r="F103" s="866">
        <v>5859467</v>
      </c>
      <c r="G103" s="867">
        <v>2783.5</v>
      </c>
      <c r="H103" s="866">
        <v>7266062.1500000004</v>
      </c>
      <c r="I103" s="867">
        <v>2560.1</v>
      </c>
      <c r="J103" s="868">
        <v>6908054.5</v>
      </c>
      <c r="K103" s="869">
        <v>2210.14</v>
      </c>
      <c r="L103" s="870">
        <v>6602510.6600000001</v>
      </c>
      <c r="M103" s="871">
        <v>2691.893</v>
      </c>
      <c r="N103" s="868">
        <v>8597917.3399999999</v>
      </c>
      <c r="O103" s="872">
        <f t="shared" ref="O103:X103" si="36">SUM(O90:O100)</f>
        <v>2968.6059920000007</v>
      </c>
      <c r="P103" s="870">
        <f t="shared" si="36"/>
        <v>10405291.489999998</v>
      </c>
      <c r="Q103" s="871">
        <f t="shared" si="36"/>
        <v>3634.02495</v>
      </c>
      <c r="R103" s="868">
        <f t="shared" si="36"/>
        <v>12029860.66</v>
      </c>
      <c r="S103" s="872">
        <f t="shared" si="36"/>
        <v>3877.6170000000011</v>
      </c>
      <c r="T103" s="870">
        <f t="shared" si="36"/>
        <v>12770337.999999998</v>
      </c>
      <c r="U103" s="873">
        <f t="shared" si="36"/>
        <v>2992.9835200000002</v>
      </c>
      <c r="V103" s="868">
        <f t="shared" si="36"/>
        <v>11673896.09</v>
      </c>
      <c r="W103" s="872">
        <f t="shared" si="36"/>
        <v>3786.6044500000003</v>
      </c>
      <c r="X103" s="870">
        <f t="shared" si="36"/>
        <v>13799842.530000001</v>
      </c>
      <c r="Y103" s="869">
        <f t="shared" ref="Y103:AE103" si="37">SUM(Y90:Y102)</f>
        <v>4087.6931999999993</v>
      </c>
      <c r="Z103" s="870">
        <f t="shared" si="37"/>
        <v>13785695.139999999</v>
      </c>
      <c r="AA103" s="872">
        <f t="shared" si="37"/>
        <v>4544.899190000001</v>
      </c>
      <c r="AB103" s="870">
        <f t="shared" si="37"/>
        <v>16974402.349999998</v>
      </c>
      <c r="AC103" s="884">
        <f>SUM(AC90:AC102)</f>
        <v>3124.4725999999996</v>
      </c>
      <c r="AD103" s="874">
        <f t="shared" si="37"/>
        <v>15.08827964</v>
      </c>
      <c r="AE103" s="884">
        <f t="shared" si="37"/>
        <v>4087.2652599999997</v>
      </c>
      <c r="AF103" s="874">
        <f t="shared" ref="AF103:BE103" si="38">SUM(AF90:AF102)</f>
        <v>18.3613143</v>
      </c>
      <c r="AG103" s="884">
        <f t="shared" si="38"/>
        <v>3509.3631399999999</v>
      </c>
      <c r="AH103" s="874">
        <f t="shared" si="38"/>
        <v>16.845060369999999</v>
      </c>
      <c r="AI103" s="884">
        <f t="shared" si="38"/>
        <v>3236.7368999999999</v>
      </c>
      <c r="AJ103" s="874">
        <f t="shared" si="38"/>
        <v>16.063669569999998</v>
      </c>
      <c r="AK103" s="884">
        <f t="shared" si="38"/>
        <v>3447.9625000000005</v>
      </c>
      <c r="AL103" s="874">
        <f t="shared" si="38"/>
        <v>17.547291059999999</v>
      </c>
      <c r="AM103" s="884">
        <f t="shared" si="38"/>
        <v>3660.0264499999998</v>
      </c>
      <c r="AN103" s="874">
        <f t="shared" si="38"/>
        <v>18.951923689999997</v>
      </c>
      <c r="AO103" s="884">
        <f t="shared" si="38"/>
        <v>2980.5773399999998</v>
      </c>
      <c r="AP103" s="874">
        <f t="shared" si="38"/>
        <v>14.394780480000001</v>
      </c>
      <c r="AQ103" s="2084">
        <f t="shared" si="38"/>
        <v>2955.9457199999997</v>
      </c>
      <c r="AR103" s="2085">
        <f t="shared" si="38"/>
        <v>14.650533760000002</v>
      </c>
      <c r="AS103" s="2085">
        <f t="shared" si="38"/>
        <v>0</v>
      </c>
      <c r="AT103" s="2085">
        <f t="shared" si="38"/>
        <v>0</v>
      </c>
      <c r="AU103" s="2085">
        <f t="shared" si="38"/>
        <v>4073.9931199999996</v>
      </c>
      <c r="AV103" s="2085">
        <f t="shared" si="38"/>
        <v>16307520.5</v>
      </c>
      <c r="AW103" s="2085">
        <f t="shared" si="38"/>
        <v>4178.5288799999998</v>
      </c>
      <c r="AX103" s="2085">
        <f t="shared" si="38"/>
        <v>16966979.25</v>
      </c>
      <c r="AY103" s="2085">
        <f t="shared" si="38"/>
        <v>3478.3535900000002</v>
      </c>
      <c r="AZ103" s="2085">
        <f t="shared" si="38"/>
        <v>13041908.880000001</v>
      </c>
      <c r="BA103" s="2085">
        <f t="shared" si="38"/>
        <v>-4.7940889354159069</v>
      </c>
      <c r="BB103" s="2085">
        <f t="shared" si="38"/>
        <v>0.18706300763254824</v>
      </c>
      <c r="BC103" s="2084">
        <f t="shared" si="38"/>
        <v>3392.9576566666387</v>
      </c>
      <c r="BD103" s="2085">
        <f t="shared" si="38"/>
        <v>18.462935719999997</v>
      </c>
      <c r="BE103" s="2084">
        <f t="shared" si="38"/>
        <v>2878.7363000000005</v>
      </c>
      <c r="BF103" s="2085">
        <f>SUM(BF90:BF102)</f>
        <v>16.697053109999999</v>
      </c>
      <c r="BG103" s="3179"/>
    </row>
    <row r="104" spans="2:59" ht="30" customHeight="1" thickBot="1">
      <c r="B104" s="2625" t="s">
        <v>397</v>
      </c>
      <c r="C104" s="875"/>
      <c r="D104" s="875"/>
      <c r="E104" s="876">
        <v>-0.245</v>
      </c>
      <c r="F104" s="877">
        <v>-0.26</v>
      </c>
      <c r="G104" s="876">
        <v>-5.0000000000000001E-3</v>
      </c>
      <c r="H104" s="877">
        <v>0.24</v>
      </c>
      <c r="I104" s="876">
        <v>-0.08</v>
      </c>
      <c r="J104" s="876">
        <v>-4.9000000000000002E-2</v>
      </c>
      <c r="K104" s="878">
        <v>-0.13700000000000001</v>
      </c>
      <c r="L104" s="879">
        <v>-4.4000000000000004E-2</v>
      </c>
      <c r="M104" s="880">
        <v>0.20891588449274723</v>
      </c>
      <c r="N104" s="876">
        <v>0.30221938028646811</v>
      </c>
      <c r="O104" s="881">
        <v>0.10279494467276384</v>
      </c>
      <c r="P104" s="879">
        <v>0.21021069155800909</v>
      </c>
      <c r="Q104" s="880">
        <v>0.21717602869581909</v>
      </c>
      <c r="R104" s="876">
        <v>0.16520000000000001</v>
      </c>
      <c r="S104" s="878">
        <v>0.11322397130418101</v>
      </c>
      <c r="T104" s="879">
        <f>T103/R103-1</f>
        <v>6.1553276544767499E-2</v>
      </c>
      <c r="U104" s="880">
        <v>1.11322397130418</v>
      </c>
      <c r="V104" s="876">
        <f>V103/T103-1</f>
        <v>-8.5858487848951115E-2</v>
      </c>
      <c r="W104" s="878">
        <f>W103/U103-1</f>
        <v>0.2651604743884457</v>
      </c>
      <c r="X104" s="879">
        <f>X103/V103-1</f>
        <v>0.18211113270239854</v>
      </c>
      <c r="Y104" s="878">
        <f>Y103/W103-1</f>
        <v>7.95141805741022E-2</v>
      </c>
      <c r="Z104" s="879">
        <f>Z103/X103-1</f>
        <v>-1.0251848866570379E-3</v>
      </c>
      <c r="AA104" s="878">
        <f>+AA103/Y103-1</f>
        <v>0.11184938977318604</v>
      </c>
      <c r="AB104" s="879">
        <f>+AB103/Z103-1</f>
        <v>0.23130550745662282</v>
      </c>
      <c r="AC104" s="885">
        <f>+AC103/AA103-1</f>
        <v>-0.31253203440140576</v>
      </c>
      <c r="AD104" s="879">
        <f>+AD103/AB103-1</f>
        <v>-0.9999991111157065</v>
      </c>
      <c r="AE104" s="885">
        <f t="shared" ref="AE104:AR104" si="39">+AE103/AC103-1</f>
        <v>0.30814565632612689</v>
      </c>
      <c r="AF104" s="879">
        <f t="shared" si="39"/>
        <v>0.21692563619532712</v>
      </c>
      <c r="AG104" s="885">
        <f t="shared" si="39"/>
        <v>-0.14139090155357326</v>
      </c>
      <c r="AH104" s="879">
        <f t="shared" si="39"/>
        <v>-8.2578725314886747E-2</v>
      </c>
      <c r="AI104" s="885">
        <f t="shared" si="39"/>
        <v>-7.7685388808181322E-2</v>
      </c>
      <c r="AJ104" s="879">
        <f t="shared" si="39"/>
        <v>-4.6386939722199427E-2</v>
      </c>
      <c r="AK104" s="885">
        <f t="shared" si="39"/>
        <v>6.5258810501403586E-2</v>
      </c>
      <c r="AL104" s="879">
        <f t="shared" si="39"/>
        <v>9.2358815246720738E-2</v>
      </c>
      <c r="AM104" s="885">
        <f t="shared" si="39"/>
        <v>6.1504134688239676E-2</v>
      </c>
      <c r="AN104" s="879">
        <f t="shared" si="39"/>
        <v>8.0048403209195929E-2</v>
      </c>
      <c r="AO104" s="885">
        <f t="shared" si="39"/>
        <v>-0.1856404917510911</v>
      </c>
      <c r="AP104" s="879">
        <f t="shared" si="39"/>
        <v>-0.24045808143500369</v>
      </c>
      <c r="AQ104" s="2086">
        <f t="shared" si="39"/>
        <v>-8.264043233986329E-3</v>
      </c>
      <c r="AR104" s="2087">
        <f t="shared" si="39"/>
        <v>1.7767084420310608E-2</v>
      </c>
      <c r="AS104" s="2087">
        <f t="shared" ref="AS104:BB104" si="40">+AS103/AQ103-1</f>
        <v>-1</v>
      </c>
      <c r="AT104" s="2087">
        <f t="shared" si="40"/>
        <v>-1</v>
      </c>
      <c r="AU104" s="2087" t="e">
        <f t="shared" si="40"/>
        <v>#DIV/0!</v>
      </c>
      <c r="AV104" s="2087" t="e">
        <f t="shared" si="40"/>
        <v>#DIV/0!</v>
      </c>
      <c r="AW104" s="2087">
        <f t="shared" si="40"/>
        <v>2.5659287318580581E-2</v>
      </c>
      <c r="AX104" s="2087">
        <f t="shared" si="40"/>
        <v>4.0438934294149798E-2</v>
      </c>
      <c r="AY104" s="2087">
        <f t="shared" si="40"/>
        <v>-0.16756502350655045</v>
      </c>
      <c r="AZ104" s="2087">
        <f t="shared" si="40"/>
        <v>-0.23133583840505956</v>
      </c>
      <c r="BA104" s="2087">
        <f t="shared" si="40"/>
        <v>-1.001378263828381</v>
      </c>
      <c r="BB104" s="2087">
        <f t="shared" si="40"/>
        <v>-0.99999998565677695</v>
      </c>
      <c r="BC104" s="2086">
        <f>BC103/AQ103-1</f>
        <v>0.14784166492294015</v>
      </c>
      <c r="BD104" s="2615">
        <f>BD103/AR103-1</f>
        <v>0.26022273471079282</v>
      </c>
      <c r="BE104" s="2086">
        <f>BE103/BC103-1</f>
        <v>-0.15155548895703796</v>
      </c>
      <c r="BF104" s="2615">
        <f>BF103/BD103-1</f>
        <v>-9.5644735852441043E-2</v>
      </c>
      <c r="BG104" s="213"/>
    </row>
    <row r="105" spans="2:59" ht="30" customHeight="1">
      <c r="B105" s="724" t="s">
        <v>1423</v>
      </c>
      <c r="E105" s="691"/>
      <c r="F105" s="691"/>
      <c r="G105" s="691"/>
      <c r="H105" s="691"/>
      <c r="I105" s="691"/>
      <c r="J105" s="691"/>
      <c r="K105" s="691"/>
      <c r="L105" s="691"/>
      <c r="M105" s="691"/>
      <c r="N105" s="691"/>
      <c r="O105" s="1840"/>
      <c r="P105" s="691"/>
      <c r="Q105" s="691"/>
      <c r="R105" s="691"/>
      <c r="S105" s="691"/>
      <c r="T105" s="691"/>
      <c r="U105" s="691"/>
      <c r="V105" s="691"/>
      <c r="W105" s="691"/>
      <c r="X105" s="691"/>
      <c r="Y105" s="691"/>
      <c r="Z105" s="691"/>
      <c r="AA105" s="691"/>
      <c r="AB105" s="691"/>
      <c r="AC105" s="1811"/>
      <c r="AD105" s="1826"/>
      <c r="AE105" s="1811"/>
      <c r="AF105" s="1826"/>
      <c r="AG105" s="1811"/>
      <c r="AH105" s="1826"/>
      <c r="AI105" s="1811"/>
      <c r="AJ105" s="1826"/>
      <c r="AK105" s="1811"/>
      <c r="AL105" s="1826"/>
      <c r="AM105" s="1811"/>
      <c r="AN105" s="1826"/>
      <c r="AO105" s="1811"/>
      <c r="AP105" s="1826"/>
      <c r="AQ105" s="1811"/>
      <c r="AR105" s="2088"/>
      <c r="AS105" s="1841"/>
      <c r="AT105" s="1841"/>
      <c r="AU105" s="1841"/>
      <c r="AV105" s="1841"/>
      <c r="AW105" s="1841"/>
      <c r="AX105" s="1841"/>
      <c r="AY105" s="1841"/>
      <c r="AZ105" s="1841"/>
      <c r="BA105" s="1841"/>
      <c r="BB105" s="1841"/>
      <c r="BC105" s="1811"/>
      <c r="BD105" s="2614"/>
      <c r="BE105" s="1811"/>
      <c r="BF105" s="3200"/>
      <c r="BG105" s="213"/>
    </row>
    <row r="106" spans="2:59" ht="30" customHeight="1" thickBot="1">
      <c r="B106" s="1813" t="s">
        <v>1421</v>
      </c>
      <c r="E106" s="691"/>
      <c r="F106" s="691"/>
      <c r="G106" s="691"/>
      <c r="H106" s="691"/>
      <c r="I106" s="691"/>
      <c r="J106" s="691"/>
      <c r="K106" s="691"/>
      <c r="L106" s="691"/>
      <c r="M106" s="691"/>
      <c r="N106" s="691"/>
      <c r="O106" s="1840"/>
      <c r="P106" s="691"/>
      <c r="Q106" s="691"/>
      <c r="R106" s="691"/>
      <c r="S106" s="691"/>
      <c r="T106" s="691"/>
      <c r="U106" s="691"/>
      <c r="V106" s="691"/>
      <c r="W106" s="691"/>
      <c r="X106" s="691"/>
      <c r="Y106" s="691"/>
      <c r="Z106" s="691"/>
      <c r="AA106" s="691"/>
      <c r="AB106" s="691"/>
      <c r="AC106" s="1796">
        <f>+AC26+AC55</f>
        <v>1483.1211800000001</v>
      </c>
      <c r="AD106" s="1797">
        <f>+AD55+AD26</f>
        <v>3.0933477399999996</v>
      </c>
      <c r="AE106" s="1796">
        <f>+AE26+AE55</f>
        <v>1104.5284200000001</v>
      </c>
      <c r="AF106" s="1797">
        <f>+AF55+AF26</f>
        <v>2.27423018</v>
      </c>
      <c r="AG106" s="1796">
        <f>+AG26+AG55</f>
        <v>1511.0267299999998</v>
      </c>
      <c r="AH106" s="1797">
        <f>+AH55+AH26</f>
        <v>3.0000668099999999</v>
      </c>
      <c r="AI106" s="1796">
        <f>+AI26+AI55</f>
        <v>1577.7790499999999</v>
      </c>
      <c r="AJ106" s="1797">
        <f>+AJ55+AJ26</f>
        <v>3.2889936100000003</v>
      </c>
      <c r="AK106" s="1796">
        <f>+AK26+AK55</f>
        <v>1623.8340800000001</v>
      </c>
      <c r="AL106" s="1797">
        <f>+AL55+AL26</f>
        <v>3.4541771299999997</v>
      </c>
      <c r="AM106" s="1796">
        <f>+AM26+AM55</f>
        <v>1672.1339400000002</v>
      </c>
      <c r="AN106" s="1797">
        <f>+AN55+AN26</f>
        <v>3.4593754400000001</v>
      </c>
      <c r="AO106" s="1796">
        <f>+AO26+AO55</f>
        <v>1475.8040699999999</v>
      </c>
      <c r="AP106" s="1797">
        <f>+AP55+AP26</f>
        <v>3.0651762199999997</v>
      </c>
      <c r="AQ106" s="1796">
        <f>+AQ26+AQ55</f>
        <v>1345.9454900000001</v>
      </c>
      <c r="AR106" s="2089">
        <f t="shared" ref="AR106:BD106" si="41">+AR55+AR26</f>
        <v>2.8530773700000003</v>
      </c>
      <c r="AS106" s="2089">
        <f t="shared" si="41"/>
        <v>0</v>
      </c>
      <c r="AT106" s="2089">
        <f t="shared" si="41"/>
        <v>0</v>
      </c>
      <c r="AU106" s="2089">
        <f t="shared" si="41"/>
        <v>0</v>
      </c>
      <c r="AV106" s="2089">
        <f t="shared" si="41"/>
        <v>0</v>
      </c>
      <c r="AW106" s="2089">
        <f t="shared" si="41"/>
        <v>0</v>
      </c>
      <c r="AX106" s="2089">
        <f t="shared" si="41"/>
        <v>0</v>
      </c>
      <c r="AY106" s="2089">
        <f t="shared" si="41"/>
        <v>0</v>
      </c>
      <c r="AZ106" s="2089">
        <f t="shared" si="41"/>
        <v>0</v>
      </c>
      <c r="BA106" s="2089">
        <f t="shared" si="41"/>
        <v>0</v>
      </c>
      <c r="BB106" s="2089">
        <f t="shared" si="41"/>
        <v>0</v>
      </c>
      <c r="BC106" s="1796">
        <f t="shared" si="41"/>
        <v>1477.9635463636362</v>
      </c>
      <c r="BD106" s="2616">
        <f t="shared" si="41"/>
        <v>3.1543910500000001</v>
      </c>
      <c r="BE106" s="1796">
        <f>BE26+BE55</f>
        <v>1310.99323</v>
      </c>
      <c r="BF106" s="2616">
        <f>BF26+BF55</f>
        <v>3.0192938200000001</v>
      </c>
      <c r="BG106" s="213"/>
    </row>
    <row r="107" spans="2:59" ht="30" customHeight="1" thickBot="1">
      <c r="B107" s="1819" t="s">
        <v>1422</v>
      </c>
      <c r="E107" s="691"/>
      <c r="F107" s="691"/>
      <c r="G107" s="691"/>
      <c r="H107" s="691"/>
      <c r="I107" s="691"/>
      <c r="J107" s="691"/>
      <c r="K107" s="691"/>
      <c r="L107" s="691"/>
      <c r="M107" s="691"/>
      <c r="N107" s="691"/>
      <c r="O107" s="1840"/>
      <c r="P107" s="691"/>
      <c r="Q107" s="691"/>
      <c r="R107" s="691"/>
      <c r="S107" s="691"/>
      <c r="T107" s="691"/>
      <c r="U107" s="691"/>
      <c r="V107" s="691"/>
      <c r="W107" s="691"/>
      <c r="X107" s="691"/>
      <c r="Y107" s="691"/>
      <c r="Z107" s="691"/>
      <c r="AA107" s="691"/>
      <c r="AB107" s="691"/>
      <c r="AC107" s="1820">
        <f>+AC106+AC103</f>
        <v>4607.5937799999992</v>
      </c>
      <c r="AD107" s="1821">
        <f>+AD106+AD103</f>
        <v>18.181627379999998</v>
      </c>
      <c r="AE107" s="1820">
        <f t="shared" ref="AE107:BF107" si="42">+AE106+AE103</f>
        <v>5191.7936799999998</v>
      </c>
      <c r="AF107" s="1821">
        <f t="shared" si="42"/>
        <v>20.63554448</v>
      </c>
      <c r="AG107" s="1820">
        <f t="shared" si="42"/>
        <v>5020.38987</v>
      </c>
      <c r="AH107" s="1821">
        <f t="shared" si="42"/>
        <v>19.845127179999999</v>
      </c>
      <c r="AI107" s="1820">
        <f t="shared" si="42"/>
        <v>4814.51595</v>
      </c>
      <c r="AJ107" s="1821">
        <f t="shared" si="42"/>
        <v>19.35266318</v>
      </c>
      <c r="AK107" s="1820">
        <f t="shared" si="42"/>
        <v>5071.7965800000002</v>
      </c>
      <c r="AL107" s="1821">
        <f t="shared" si="42"/>
        <v>21.001468189999997</v>
      </c>
      <c r="AM107" s="1820">
        <f t="shared" si="42"/>
        <v>5332.16039</v>
      </c>
      <c r="AN107" s="1821">
        <f t="shared" si="42"/>
        <v>22.411299129999996</v>
      </c>
      <c r="AO107" s="1820">
        <f t="shared" si="42"/>
        <v>4456.38141</v>
      </c>
      <c r="AP107" s="1821">
        <f t="shared" si="42"/>
        <v>17.459956699999999</v>
      </c>
      <c r="AQ107" s="1820">
        <f t="shared" si="42"/>
        <v>4301.8912099999998</v>
      </c>
      <c r="AR107" s="2090">
        <f t="shared" si="42"/>
        <v>17.503611130000003</v>
      </c>
      <c r="AS107" s="2090">
        <f t="shared" si="42"/>
        <v>0</v>
      </c>
      <c r="AT107" s="2090">
        <f t="shared" si="42"/>
        <v>0</v>
      </c>
      <c r="AU107" s="2090">
        <f t="shared" si="42"/>
        <v>4073.9931199999996</v>
      </c>
      <c r="AV107" s="2090">
        <f t="shared" si="42"/>
        <v>16307520.5</v>
      </c>
      <c r="AW107" s="2090">
        <f t="shared" si="42"/>
        <v>4178.5288799999998</v>
      </c>
      <c r="AX107" s="2090">
        <f t="shared" si="42"/>
        <v>16966979.25</v>
      </c>
      <c r="AY107" s="2090">
        <f t="shared" si="42"/>
        <v>3478.3535900000002</v>
      </c>
      <c r="AZ107" s="2090">
        <f t="shared" si="42"/>
        <v>13041908.880000001</v>
      </c>
      <c r="BA107" s="2090">
        <f t="shared" si="42"/>
        <v>-4.7940889354159069</v>
      </c>
      <c r="BB107" s="2090">
        <f t="shared" si="42"/>
        <v>0.18706300763254824</v>
      </c>
      <c r="BC107" s="1820">
        <f t="shared" si="42"/>
        <v>4870.9212030302751</v>
      </c>
      <c r="BD107" s="1823">
        <f t="shared" si="42"/>
        <v>21.617326769999998</v>
      </c>
      <c r="BE107" s="1820">
        <f t="shared" si="42"/>
        <v>4189.7295300000005</v>
      </c>
      <c r="BF107" s="1823">
        <f t="shared" si="42"/>
        <v>19.71634693</v>
      </c>
      <c r="BG107" s="213"/>
    </row>
    <row r="108" spans="2:59" ht="31.25" customHeight="1" thickBot="1">
      <c r="B108" s="357" t="str">
        <f>B57</f>
        <v>Source: Agricultural Division (Agriculture, Fisheries, Food Security and Rural Development)</v>
      </c>
      <c r="V108" s="211"/>
      <c r="W108" s="211"/>
      <c r="AM108" s="814"/>
      <c r="AN108" s="814"/>
      <c r="AO108" s="814"/>
      <c r="AP108" s="3207">
        <f>3593.4/6596.2-1</f>
        <v>-0.45523180012734599</v>
      </c>
      <c r="AQ108" s="3207"/>
      <c r="AR108" s="3207"/>
      <c r="AS108" s="3207"/>
      <c r="AT108" s="3207"/>
      <c r="AU108" s="3207"/>
      <c r="AV108" s="3207"/>
      <c r="AW108" s="3207"/>
      <c r="AX108" s="3207"/>
      <c r="AY108" s="3207"/>
      <c r="AZ108" s="3207"/>
      <c r="BA108" s="3207"/>
      <c r="BB108" s="3208"/>
      <c r="BC108" s="3209">
        <v>5118.2498500000002</v>
      </c>
      <c r="BD108" s="3209"/>
      <c r="BE108" s="3210">
        <v>2282.4369999999999</v>
      </c>
      <c r="BF108" s="3209">
        <f>BF106/BD106-1</f>
        <v>-4.2828307542909116E-2</v>
      </c>
    </row>
    <row r="109" spans="2:59" ht="31.25" customHeight="1" thickBot="1">
      <c r="B109" s="357" t="s">
        <v>1831</v>
      </c>
      <c r="V109" s="211"/>
      <c r="W109" s="211"/>
      <c r="AM109" s="814"/>
      <c r="AN109" s="814"/>
      <c r="AO109" s="814"/>
      <c r="AP109" s="3207"/>
      <c r="AQ109" s="3207"/>
      <c r="AR109" s="3207"/>
      <c r="AS109" s="3207"/>
      <c r="AT109" s="3207"/>
      <c r="AU109" s="3207"/>
      <c r="AV109" s="3207"/>
      <c r="AW109" s="3207"/>
      <c r="AX109" s="3207"/>
      <c r="AY109" s="3207"/>
      <c r="AZ109" s="3207"/>
      <c r="BA109" s="3207"/>
      <c r="BB109" s="4744"/>
      <c r="BC109" s="3209"/>
      <c r="BD109" s="3209"/>
      <c r="BE109" s="3210"/>
      <c r="BF109" s="3209"/>
    </row>
    <row r="110" spans="2:59" ht="30" customHeight="1">
      <c r="B110" s="357" t="s">
        <v>268</v>
      </c>
      <c r="E110" s="691"/>
      <c r="F110" s="691"/>
      <c r="G110" s="691"/>
      <c r="H110" s="691"/>
      <c r="I110" s="691"/>
      <c r="J110" s="691"/>
      <c r="K110" s="691"/>
      <c r="L110" s="691"/>
      <c r="M110" s="691"/>
      <c r="N110" s="691"/>
      <c r="O110" s="1840"/>
      <c r="P110" s="691"/>
      <c r="Q110" s="691"/>
      <c r="R110" s="691"/>
      <c r="S110" s="691"/>
      <c r="T110" s="691"/>
      <c r="U110" s="691"/>
      <c r="V110" s="691"/>
      <c r="W110" s="691"/>
      <c r="X110" s="691"/>
      <c r="Y110" s="691"/>
      <c r="Z110" s="691"/>
      <c r="AA110" s="691"/>
      <c r="AB110" s="691"/>
      <c r="AC110" s="4742"/>
      <c r="AD110" s="2078"/>
      <c r="AE110" s="4751"/>
      <c r="AF110" s="2078"/>
      <c r="AG110" s="4751"/>
      <c r="AH110" s="2078"/>
      <c r="AI110" s="4751"/>
      <c r="AJ110" s="2078"/>
      <c r="AK110" s="4751"/>
      <c r="AL110" s="2078"/>
      <c r="AM110" s="4751"/>
      <c r="AN110" s="2078"/>
      <c r="AO110" s="4751"/>
      <c r="AP110" s="2078"/>
      <c r="AQ110" s="4751"/>
      <c r="AR110" s="2078"/>
      <c r="AS110" s="2078"/>
      <c r="AT110" s="2078"/>
      <c r="AU110" s="2078"/>
      <c r="AV110" s="2078"/>
      <c r="AW110" s="2078"/>
      <c r="AX110" s="2078"/>
      <c r="AY110" s="2078"/>
      <c r="AZ110" s="2078"/>
      <c r="BA110" s="2078"/>
      <c r="BB110" s="4743"/>
      <c r="BC110" s="4751"/>
      <c r="BD110" s="2078"/>
      <c r="BE110" s="4751"/>
      <c r="BF110" s="2078"/>
    </row>
    <row r="112" spans="2:59" ht="33.75">
      <c r="B112" s="357"/>
    </row>
    <row r="113" spans="2:2" ht="33.75">
      <c r="B113" s="357"/>
    </row>
  </sheetData>
  <mergeCells count="93">
    <mergeCell ref="B1:BF1"/>
    <mergeCell ref="B2:BF2"/>
    <mergeCell ref="B31:BF31"/>
    <mergeCell ref="B32:BF32"/>
    <mergeCell ref="B82:BF82"/>
    <mergeCell ref="AU4:BB4"/>
    <mergeCell ref="BA5:BB5"/>
    <mergeCell ref="BA35:BB35"/>
    <mergeCell ref="AU34:BB34"/>
    <mergeCell ref="B5:B6"/>
    <mergeCell ref="E5:F5"/>
    <mergeCell ref="S5:T5"/>
    <mergeCell ref="AS35:AT35"/>
    <mergeCell ref="AQ5:AR5"/>
    <mergeCell ref="AQ35:AR35"/>
    <mergeCell ref="G5:H5"/>
    <mergeCell ref="I5:J5"/>
    <mergeCell ref="AC5:AD5"/>
    <mergeCell ref="Q5:R5"/>
    <mergeCell ref="AE5:AF5"/>
    <mergeCell ref="K5:L5"/>
    <mergeCell ref="AA5:AB5"/>
    <mergeCell ref="O5:P5"/>
    <mergeCell ref="U5:V5"/>
    <mergeCell ref="W5:X5"/>
    <mergeCell ref="Y5:Z5"/>
    <mergeCell ref="AC35:AD35"/>
    <mergeCell ref="W35:X35"/>
    <mergeCell ref="U35:V35"/>
    <mergeCell ref="AE35:AF35"/>
    <mergeCell ref="M5:N5"/>
    <mergeCell ref="O35:P35"/>
    <mergeCell ref="Q35:R35"/>
    <mergeCell ref="B35:B36"/>
    <mergeCell ref="M35:N35"/>
    <mergeCell ref="AA35:AB35"/>
    <mergeCell ref="Y35:Z35"/>
    <mergeCell ref="E35:F35"/>
    <mergeCell ref="G35:H35"/>
    <mergeCell ref="I35:J35"/>
    <mergeCell ref="K35:L35"/>
    <mergeCell ref="S35:T35"/>
    <mergeCell ref="AC86:AD86"/>
    <mergeCell ref="AA86:AB86"/>
    <mergeCell ref="Y86:Z86"/>
    <mergeCell ref="B60:V60"/>
    <mergeCell ref="E86:F86"/>
    <mergeCell ref="G86:H86"/>
    <mergeCell ref="B86:B87"/>
    <mergeCell ref="I86:J86"/>
    <mergeCell ref="M86:N86"/>
    <mergeCell ref="W86:X86"/>
    <mergeCell ref="O86:P86"/>
    <mergeCell ref="U86:V86"/>
    <mergeCell ref="Q86:R86"/>
    <mergeCell ref="K86:L86"/>
    <mergeCell ref="S86:T86"/>
    <mergeCell ref="AE86:AF86"/>
    <mergeCell ref="AM5:AN5"/>
    <mergeCell ref="AM35:AN35"/>
    <mergeCell ref="AM86:AN86"/>
    <mergeCell ref="AI5:AJ5"/>
    <mergeCell ref="AI35:AJ35"/>
    <mergeCell ref="AI86:AJ86"/>
    <mergeCell ref="AK86:AL86"/>
    <mergeCell ref="AK5:AL5"/>
    <mergeCell ref="AK35:AL35"/>
    <mergeCell ref="AG5:AH5"/>
    <mergeCell ref="AG35:AH35"/>
    <mergeCell ref="AG86:AH86"/>
    <mergeCell ref="B83:BF83"/>
    <mergeCell ref="AO86:AP86"/>
    <mergeCell ref="AU86:AV86"/>
    <mergeCell ref="AO5:AP5"/>
    <mergeCell ref="AU5:AV5"/>
    <mergeCell ref="AO35:AP35"/>
    <mergeCell ref="AU35:AV35"/>
    <mergeCell ref="AS5:AT5"/>
    <mergeCell ref="BE86:BF86"/>
    <mergeCell ref="BC5:BD5"/>
    <mergeCell ref="BC35:BD35"/>
    <mergeCell ref="BC86:BD86"/>
    <mergeCell ref="AQ86:AR86"/>
    <mergeCell ref="AW5:AX5"/>
    <mergeCell ref="AY5:AZ5"/>
    <mergeCell ref="AW35:AX35"/>
    <mergeCell ref="AY35:AZ35"/>
    <mergeCell ref="BA86:BB86"/>
    <mergeCell ref="AU85:BB85"/>
    <mergeCell ref="BE5:BF5"/>
    <mergeCell ref="BE35:BF35"/>
    <mergeCell ref="AW86:AX86"/>
    <mergeCell ref="AY86:AZ86"/>
  </mergeCells>
  <printOptions horizontalCentered="1" verticalCentered="1"/>
  <pageMargins left="0.25" right="0.25" top="0.75" bottom="0.75" header="0.3" footer="0.3"/>
  <pageSetup scale="22" firstPageNumber="103" orientation="landscape" useFirstPageNumber="1" r:id="rId1"/>
  <headerFooter scaleWithDoc="0" alignWithMargins="0">
    <oddFooter xml:space="preserve">&amp;C112
</oddFooter>
  </headerFooter>
  <rowBreaks count="1" manualBreakCount="1">
    <brk id="111" max="55" man="1"/>
  </rowBreak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tabColor rgb="FF00B0F0"/>
    <pageSetUpPr fitToPage="1"/>
  </sheetPr>
  <dimension ref="B1:R102"/>
  <sheetViews>
    <sheetView view="pageBreakPreview" topLeftCell="A16" zoomScale="50" zoomScaleNormal="90" zoomScaleSheetLayoutView="50" workbookViewId="0">
      <selection activeCell="B44" sqref="B44"/>
    </sheetView>
  </sheetViews>
  <sheetFormatPr defaultColWidth="9.46484375" defaultRowHeight="25.5"/>
  <cols>
    <col min="1" max="1" width="9.46484375" style="77"/>
    <col min="2" max="2" width="35.46484375" style="77" customWidth="1"/>
    <col min="3" max="4" width="35.46484375" style="79" customWidth="1"/>
    <col min="5" max="5" width="36.46484375" style="79" customWidth="1"/>
    <col min="6" max="6" width="32.6640625" style="79" customWidth="1"/>
    <col min="7" max="7" width="36.33203125" style="79" customWidth="1"/>
    <col min="8" max="8" width="32.6640625" style="79" customWidth="1"/>
    <col min="9" max="9" width="22.33203125" style="77" bestFit="1" customWidth="1"/>
    <col min="10" max="10" width="34.33203125" style="77" customWidth="1"/>
    <col min="11" max="11" width="15.46484375" style="77" bestFit="1" customWidth="1"/>
    <col min="12" max="13" width="13.46484375" style="77" customWidth="1"/>
    <col min="14" max="14" width="15.46484375" style="77" customWidth="1"/>
    <col min="15" max="20" width="14.46484375" style="77" customWidth="1"/>
    <col min="21" max="16384" width="9.46484375" style="77"/>
  </cols>
  <sheetData>
    <row r="1" spans="2:18" hidden="1">
      <c r="C1" s="77"/>
      <c r="D1" s="77"/>
      <c r="E1" s="77"/>
      <c r="F1" s="77"/>
      <c r="G1" s="77"/>
      <c r="H1" s="77"/>
    </row>
    <row r="2" spans="2:18" hidden="1">
      <c r="B2" s="5752" t="s">
        <v>314</v>
      </c>
      <c r="C2" s="5752"/>
      <c r="D2" s="5752"/>
      <c r="E2" s="5752"/>
      <c r="F2" s="5752"/>
      <c r="G2" s="5752"/>
      <c r="H2" s="5752"/>
      <c r="I2" s="5752"/>
      <c r="J2" s="5752"/>
      <c r="K2" s="5752"/>
      <c r="L2" s="5752"/>
      <c r="M2" s="5752"/>
      <c r="N2" s="5752"/>
      <c r="O2" s="5752"/>
      <c r="P2" s="5752"/>
      <c r="Q2" s="5752"/>
      <c r="R2" s="5752"/>
    </row>
    <row r="3" spans="2:18" hidden="1">
      <c r="B3" s="5752" t="s">
        <v>25</v>
      </c>
      <c r="C3" s="5752"/>
      <c r="D3" s="5752"/>
      <c r="E3" s="5752"/>
      <c r="F3" s="5752"/>
      <c r="G3" s="5752"/>
      <c r="H3" s="5752"/>
      <c r="I3" s="5752"/>
      <c r="J3" s="5752"/>
      <c r="K3" s="5752"/>
      <c r="L3" s="5752"/>
      <c r="M3" s="5752"/>
      <c r="N3" s="5752"/>
      <c r="O3" s="5752"/>
      <c r="P3" s="5752"/>
      <c r="Q3" s="5752"/>
      <c r="R3" s="5752"/>
    </row>
    <row r="4" spans="2:18" hidden="1">
      <c r="D4" s="3423"/>
      <c r="E4" s="77"/>
      <c r="F4" s="77"/>
      <c r="G4" s="77"/>
      <c r="I4" s="79"/>
      <c r="J4" s="79"/>
      <c r="K4" s="79"/>
      <c r="L4" s="79"/>
      <c r="M4" s="79"/>
      <c r="N4" s="79"/>
      <c r="O4" s="79"/>
      <c r="P4" s="79"/>
    </row>
    <row r="5" spans="2:18" ht="25.9" hidden="1" thickBot="1">
      <c r="D5" s="5753"/>
      <c r="E5" s="5754"/>
      <c r="F5" s="3424"/>
      <c r="G5" s="3425">
        <v>2004</v>
      </c>
      <c r="H5" s="3426">
        <v>2005</v>
      </c>
      <c r="I5" s="3426">
        <v>2007</v>
      </c>
      <c r="J5" s="3427">
        <v>2008</v>
      </c>
      <c r="K5" s="3428">
        <v>2009</v>
      </c>
      <c r="L5" s="3429">
        <v>2010</v>
      </c>
      <c r="M5" s="3427" t="s">
        <v>316</v>
      </c>
    </row>
    <row r="6" spans="2:18" ht="14.25" hidden="1" customHeight="1">
      <c r="D6" s="5755" t="s">
        <v>22</v>
      </c>
      <c r="E6" s="5756"/>
      <c r="F6" s="3430"/>
      <c r="G6" s="3431" t="e">
        <f>+#REF!</f>
        <v>#REF!</v>
      </c>
      <c r="H6" s="3432" t="e">
        <f>+#REF!</f>
        <v>#REF!</v>
      </c>
      <c r="I6" s="3432" t="e">
        <f>+#REF!</f>
        <v>#REF!</v>
      </c>
      <c r="J6" s="3432" t="e">
        <f>+#REF!</f>
        <v>#REF!</v>
      </c>
      <c r="K6" s="3431" t="e">
        <f>+#REF!</f>
        <v>#REF!</v>
      </c>
      <c r="L6" s="3431" t="e">
        <f>+#REF!</f>
        <v>#REF!</v>
      </c>
      <c r="M6" s="3432" t="e">
        <f>+#REF!</f>
        <v>#REF!</v>
      </c>
    </row>
    <row r="7" spans="2:18" ht="14.25" hidden="1" customHeight="1">
      <c r="D7" s="5755" t="s">
        <v>23</v>
      </c>
      <c r="E7" s="5756"/>
      <c r="F7" s="3430"/>
      <c r="G7" s="3431" t="e">
        <f>+#REF!</f>
        <v>#REF!</v>
      </c>
      <c r="H7" s="3432" t="e">
        <f>+#REF!</f>
        <v>#REF!</v>
      </c>
      <c r="I7" s="3432" t="e">
        <f>+#REF!</f>
        <v>#REF!</v>
      </c>
      <c r="J7" s="3432" t="e">
        <f>+#REF!</f>
        <v>#REF!</v>
      </c>
      <c r="K7" s="3431" t="e">
        <f>+#REF!</f>
        <v>#REF!</v>
      </c>
      <c r="L7" s="3431" t="e">
        <f>+#REF!</f>
        <v>#REF!</v>
      </c>
      <c r="M7" s="3432" t="e">
        <f>+#REF!</f>
        <v>#REF!</v>
      </c>
    </row>
    <row r="8" spans="2:18" ht="14.25" hidden="1" customHeight="1">
      <c r="D8" s="5755" t="s">
        <v>321</v>
      </c>
      <c r="E8" s="5756"/>
      <c r="F8" s="3430"/>
      <c r="G8" s="3433"/>
      <c r="H8" s="3431"/>
      <c r="I8" s="3431"/>
      <c r="J8" s="3432"/>
      <c r="K8" s="3431"/>
      <c r="L8" s="3431"/>
      <c r="M8" s="3432"/>
    </row>
    <row r="9" spans="2:18" ht="14.25" hidden="1" customHeight="1">
      <c r="D9" s="5755" t="s">
        <v>320</v>
      </c>
      <c r="E9" s="5756"/>
      <c r="F9" s="3430"/>
      <c r="G9" s="3431" t="e">
        <f>+#REF!</f>
        <v>#REF!</v>
      </c>
      <c r="H9" s="3432" t="e">
        <f>+#REF!</f>
        <v>#REF!</v>
      </c>
      <c r="I9" s="3432" t="e">
        <f>+#REF!</f>
        <v>#REF!</v>
      </c>
      <c r="J9" s="3432" t="e">
        <f>+#REF!</f>
        <v>#REF!</v>
      </c>
      <c r="K9" s="3431" t="e">
        <f>+#REF!</f>
        <v>#REF!</v>
      </c>
      <c r="L9" s="3431" t="e">
        <f>+#REF!</f>
        <v>#REF!</v>
      </c>
      <c r="M9" s="3432" t="e">
        <f>+#REF!</f>
        <v>#REF!</v>
      </c>
    </row>
    <row r="10" spans="2:18" hidden="1">
      <c r="D10" s="5757" t="s">
        <v>24</v>
      </c>
      <c r="E10" s="5758"/>
      <c r="F10" s="3434"/>
      <c r="G10" s="3435">
        <v>4482.88</v>
      </c>
      <c r="H10" s="3436">
        <v>3566.62</v>
      </c>
      <c r="I10" s="3436">
        <v>5619.71</v>
      </c>
      <c r="J10" s="3437" t="e">
        <f>J9+J7+J6</f>
        <v>#REF!</v>
      </c>
      <c r="K10" s="3438" t="e">
        <f>K9+K7+K6</f>
        <v>#REF!</v>
      </c>
      <c r="L10" s="3436" t="e">
        <f>L9+L7+L6</f>
        <v>#REF!</v>
      </c>
      <c r="M10" s="3437" t="e">
        <f>M9+M7+M6</f>
        <v>#REF!</v>
      </c>
    </row>
    <row r="11" spans="2:18" ht="25.9" hidden="1" thickBot="1">
      <c r="D11" s="5759" t="s">
        <v>73</v>
      </c>
      <c r="E11" s="5760"/>
      <c r="F11" s="3439"/>
      <c r="G11" s="3440"/>
      <c r="H11" s="3441">
        <v>-0.20439092726104646</v>
      </c>
      <c r="I11" s="3441">
        <v>0.24252896435836213</v>
      </c>
      <c r="J11" s="3442" t="e">
        <f>J10/I10-1</f>
        <v>#REF!</v>
      </c>
      <c r="K11" s="3443" t="e">
        <f>K10/J10-1</f>
        <v>#REF!</v>
      </c>
      <c r="L11" s="3441" t="e">
        <f>L10/K10-1</f>
        <v>#REF!</v>
      </c>
      <c r="M11" s="3442" t="e">
        <f>M10/L10-1</f>
        <v>#REF!</v>
      </c>
    </row>
    <row r="12" spans="2:18" hidden="1">
      <c r="D12" s="3444" t="s">
        <v>445</v>
      </c>
      <c r="E12" s="3444"/>
      <c r="F12" s="1053"/>
      <c r="I12" s="79"/>
    </row>
    <row r="13" spans="2:18" hidden="1">
      <c r="D13" s="5761" t="s">
        <v>268</v>
      </c>
      <c r="E13" s="5761"/>
      <c r="F13" s="3445"/>
      <c r="I13" s="79"/>
    </row>
    <row r="14" spans="2:18" hidden="1">
      <c r="C14" s="3446"/>
    </row>
    <row r="15" spans="2:18" hidden="1"/>
    <row r="16" spans="2:18">
      <c r="B16" s="5752" t="s">
        <v>673</v>
      </c>
      <c r="C16" s="5752"/>
      <c r="D16" s="5752"/>
      <c r="E16" s="5752"/>
      <c r="F16" s="5752"/>
      <c r="G16" s="5752"/>
      <c r="H16" s="5752"/>
      <c r="I16" s="5752"/>
      <c r="J16" s="5752"/>
      <c r="K16" s="224"/>
      <c r="L16" s="224"/>
      <c r="M16" s="224"/>
      <c r="N16" s="224"/>
      <c r="O16" s="224"/>
      <c r="P16" s="224"/>
      <c r="Q16" s="224"/>
      <c r="R16" s="224"/>
    </row>
    <row r="17" spans="2:18">
      <c r="B17" s="5752" t="s">
        <v>413</v>
      </c>
      <c r="C17" s="5752"/>
      <c r="D17" s="5752"/>
      <c r="E17" s="5752"/>
      <c r="F17" s="5752"/>
      <c r="G17" s="5752"/>
      <c r="H17" s="5752"/>
      <c r="I17" s="5752"/>
      <c r="J17" s="5752"/>
      <c r="K17" s="224"/>
      <c r="L17" s="224"/>
      <c r="M17" s="224"/>
      <c r="N17" s="224"/>
      <c r="O17" s="224"/>
      <c r="P17" s="224"/>
      <c r="Q17" s="224"/>
      <c r="R17" s="224"/>
    </row>
    <row r="18" spans="2:18" ht="25.9" thickBot="1">
      <c r="B18" s="5752" t="s">
        <v>1949</v>
      </c>
      <c r="C18" s="5752"/>
      <c r="D18" s="5752"/>
      <c r="E18" s="5752"/>
      <c r="F18" s="5752"/>
      <c r="G18" s="5752"/>
      <c r="H18" s="5752"/>
      <c r="I18" s="5752"/>
      <c r="J18" s="5752"/>
      <c r="K18" s="224"/>
      <c r="L18" s="224"/>
      <c r="M18" s="224"/>
      <c r="N18" s="224"/>
      <c r="O18" s="224"/>
      <c r="P18" s="224"/>
      <c r="Q18" s="224"/>
      <c r="R18" s="224"/>
    </row>
    <row r="19" spans="2:18" ht="66" customHeight="1" thickBot="1">
      <c r="D19" s="3447"/>
      <c r="E19" s="3448" t="s">
        <v>1947</v>
      </c>
      <c r="F19" s="3449" t="s">
        <v>397</v>
      </c>
      <c r="G19" s="3450" t="s">
        <v>499</v>
      </c>
      <c r="H19" s="3451" t="s">
        <v>397</v>
      </c>
    </row>
    <row r="20" spans="2:18" hidden="1">
      <c r="D20" s="3452"/>
      <c r="E20" s="3453"/>
      <c r="F20" s="3454"/>
      <c r="G20" s="3455"/>
      <c r="H20" s="4735"/>
      <c r="I20" s="79"/>
      <c r="J20" s="79"/>
    </row>
    <row r="21" spans="2:18" hidden="1">
      <c r="D21" s="3456">
        <v>2004</v>
      </c>
      <c r="E21" s="84">
        <v>889</v>
      </c>
      <c r="F21" s="452"/>
      <c r="G21" s="3457">
        <v>5418</v>
      </c>
      <c r="H21" s="4736"/>
      <c r="I21" s="79"/>
      <c r="J21" s="79"/>
    </row>
    <row r="22" spans="2:18" hidden="1">
      <c r="D22" s="3456">
        <v>2005</v>
      </c>
      <c r="E22" s="452">
        <v>368</v>
      </c>
      <c r="F22" s="3459">
        <f>+E22/E21-1</f>
        <v>-0.58605174353205847</v>
      </c>
      <c r="G22" s="3457">
        <v>1838</v>
      </c>
      <c r="H22" s="3537">
        <f>+G22/G21-1</f>
        <v>-0.66076042820228864</v>
      </c>
      <c r="I22" s="79"/>
      <c r="J22" s="79"/>
    </row>
    <row r="23" spans="2:18" ht="25.9" hidden="1" thickBot="1">
      <c r="D23" s="3456">
        <v>2006</v>
      </c>
      <c r="E23" s="3461">
        <v>744</v>
      </c>
      <c r="F23" s="3459">
        <f t="shared" ref="F23:F26" si="0">+E23/E22-1</f>
        <v>1.0217391304347827</v>
      </c>
      <c r="G23" s="3457">
        <v>3720</v>
      </c>
      <c r="H23" s="3537">
        <f t="shared" ref="H23:H26" si="1">+G23/G22-1</f>
        <v>1.0239390642002175</v>
      </c>
      <c r="I23" s="79"/>
      <c r="J23" s="79"/>
    </row>
    <row r="24" spans="2:18" hidden="1">
      <c r="D24" s="3462">
        <v>2007</v>
      </c>
      <c r="E24" s="3463">
        <v>1030</v>
      </c>
      <c r="F24" s="3464">
        <f t="shared" si="0"/>
        <v>0.38440860215053774</v>
      </c>
      <c r="G24" s="3465">
        <v>5150</v>
      </c>
      <c r="H24" s="4737">
        <f t="shared" si="1"/>
        <v>0.38440860215053774</v>
      </c>
      <c r="I24" s="79"/>
      <c r="J24" s="79"/>
    </row>
    <row r="25" spans="2:18" hidden="1">
      <c r="D25" s="3456">
        <v>2008</v>
      </c>
      <c r="E25" s="3466">
        <v>922</v>
      </c>
      <c r="F25" s="3459">
        <f t="shared" si="0"/>
        <v>-0.10485436893203881</v>
      </c>
      <c r="G25" s="3457">
        <v>4610</v>
      </c>
      <c r="H25" s="3537">
        <f t="shared" si="1"/>
        <v>-0.10485436893203881</v>
      </c>
      <c r="I25" s="79"/>
      <c r="J25" s="79"/>
    </row>
    <row r="26" spans="2:18" ht="25.9" hidden="1" thickBot="1">
      <c r="D26" s="3456">
        <v>2009</v>
      </c>
      <c r="E26" s="4822">
        <f>1189.608/1000</f>
        <v>1.189608</v>
      </c>
      <c r="F26" s="3459">
        <f t="shared" si="0"/>
        <v>-0.99870975271149676</v>
      </c>
      <c r="G26" s="3457">
        <f>6543/1000</f>
        <v>6.5430000000000001</v>
      </c>
      <c r="H26" s="3537">
        <f t="shared" si="1"/>
        <v>-0.99858069414316708</v>
      </c>
      <c r="I26" s="79"/>
      <c r="J26" s="79"/>
    </row>
    <row r="27" spans="2:18" ht="30" customHeight="1">
      <c r="D27" s="3462">
        <v>2010</v>
      </c>
      <c r="E27" s="4738">
        <v>1.1519999999999999</v>
      </c>
      <c r="F27" s="4823">
        <f t="shared" ref="F27:F36" si="2">+E27/E26-1</f>
        <v>-3.161377529404652E-2</v>
      </c>
      <c r="G27" s="3467">
        <v>6.3343454999999995</v>
      </c>
      <c r="H27" s="3537">
        <f t="shared" ref="H27:H36" si="3">+G27/G26-1</f>
        <v>-3.1889729481889173E-2</v>
      </c>
      <c r="I27" s="79"/>
      <c r="J27" s="79"/>
    </row>
    <row r="28" spans="2:18" ht="30" customHeight="1">
      <c r="D28" s="3456">
        <v>2011</v>
      </c>
      <c r="E28" s="3468">
        <v>1.2629999999999999</v>
      </c>
      <c r="F28" s="4823">
        <f t="shared" si="2"/>
        <v>9.6354166666666741E-2</v>
      </c>
      <c r="G28" s="3468">
        <v>7.578155999999999</v>
      </c>
      <c r="H28" s="3537">
        <f t="shared" si="3"/>
        <v>0.19635975019044971</v>
      </c>
      <c r="I28" s="79"/>
      <c r="J28" s="79"/>
    </row>
    <row r="29" spans="2:18" ht="30" customHeight="1">
      <c r="D29" s="3456">
        <v>2012</v>
      </c>
      <c r="E29" s="3468">
        <v>1.1739999999999999</v>
      </c>
      <c r="F29" s="4823">
        <f t="shared" si="2"/>
        <v>-7.0467141726049065E-2</v>
      </c>
      <c r="G29" s="3468">
        <v>7.0455599999999992</v>
      </c>
      <c r="H29" s="3537">
        <f t="shared" si="3"/>
        <v>-7.0280421780707591E-2</v>
      </c>
      <c r="I29" s="79"/>
      <c r="J29" s="79"/>
    </row>
    <row r="30" spans="2:18" ht="30" customHeight="1">
      <c r="D30" s="3456">
        <v>2013</v>
      </c>
      <c r="E30" s="3468">
        <v>1.1499999999999999</v>
      </c>
      <c r="F30" s="4823">
        <f t="shared" si="2"/>
        <v>-2.0442930153321992E-2</v>
      </c>
      <c r="G30" s="3468">
        <v>6.8976360000000003</v>
      </c>
      <c r="H30" s="3537">
        <f t="shared" si="3"/>
        <v>-2.0995350263144252E-2</v>
      </c>
      <c r="I30" s="79"/>
      <c r="J30" s="79"/>
    </row>
    <row r="31" spans="2:18" ht="30" customHeight="1">
      <c r="D31" s="3456">
        <v>2014</v>
      </c>
      <c r="E31" s="3468">
        <v>1.3169999999999999</v>
      </c>
      <c r="F31" s="4823">
        <f t="shared" si="2"/>
        <v>0.14521739130434796</v>
      </c>
      <c r="G31" s="3468">
        <v>7.9047900000000002</v>
      </c>
      <c r="H31" s="3537">
        <f t="shared" si="3"/>
        <v>0.14601437362017933</v>
      </c>
      <c r="I31" s="79"/>
      <c r="J31" s="3469"/>
    </row>
    <row r="32" spans="2:18" ht="30" customHeight="1">
      <c r="D32" s="3456">
        <v>2015</v>
      </c>
      <c r="E32" s="3468">
        <v>1.4710000000000001</v>
      </c>
      <c r="F32" s="4823">
        <f t="shared" si="2"/>
        <v>0.11693242217160216</v>
      </c>
      <c r="G32" s="3468">
        <v>9.5612000000000013</v>
      </c>
      <c r="H32" s="3537">
        <f t="shared" si="3"/>
        <v>0.20954509860477022</v>
      </c>
      <c r="I32" s="79"/>
      <c r="J32" s="3470"/>
    </row>
    <row r="33" spans="2:10" ht="30" customHeight="1">
      <c r="D33" s="3456">
        <v>2016</v>
      </c>
      <c r="E33" s="3468">
        <v>1.708121</v>
      </c>
      <c r="F33" s="4823">
        <f t="shared" si="2"/>
        <v>0.16119714479945602</v>
      </c>
      <c r="G33" s="3468">
        <v>10.248726000000001</v>
      </c>
      <c r="H33" s="3537">
        <f t="shared" si="3"/>
        <v>7.1907919508011453E-2</v>
      </c>
      <c r="I33" s="79"/>
      <c r="J33" s="3470"/>
    </row>
    <row r="34" spans="2:10" ht="30" customHeight="1">
      <c r="C34" s="3471"/>
      <c r="D34" s="3456">
        <v>2017</v>
      </c>
      <c r="E34" s="3468">
        <v>1.3300260000000002</v>
      </c>
      <c r="F34" s="4823">
        <f t="shared" si="2"/>
        <v>-0.22135141480023945</v>
      </c>
      <c r="G34" s="3468">
        <v>7.980156</v>
      </c>
      <c r="H34" s="3537">
        <f t="shared" si="3"/>
        <v>-0.22135141480023968</v>
      </c>
      <c r="I34" s="79"/>
      <c r="J34" s="3470"/>
    </row>
    <row r="35" spans="2:10" ht="30" customHeight="1">
      <c r="B35" s="3472"/>
      <c r="C35" s="3473"/>
      <c r="D35" s="3456">
        <v>2018</v>
      </c>
      <c r="E35" s="3468">
        <v>1.7377799999999999</v>
      </c>
      <c r="F35" s="4823">
        <f t="shared" si="2"/>
        <v>0.30657596167292955</v>
      </c>
      <c r="G35" s="3468">
        <v>10.426680000000001</v>
      </c>
      <c r="H35" s="3537">
        <f t="shared" si="3"/>
        <v>0.30657596167292978</v>
      </c>
      <c r="J35" s="79"/>
    </row>
    <row r="36" spans="2:10" ht="30" customHeight="1">
      <c r="B36" s="3472"/>
      <c r="C36" s="3473"/>
      <c r="D36" s="3456">
        <v>2019</v>
      </c>
      <c r="E36" s="3468">
        <v>1.6187499999999999</v>
      </c>
      <c r="F36" s="4823">
        <f t="shared" si="2"/>
        <v>-6.849543670660263E-2</v>
      </c>
      <c r="G36" s="3468">
        <v>9.7125000000000004</v>
      </c>
      <c r="H36" s="3537">
        <f t="shared" si="3"/>
        <v>-6.8495436706602741E-2</v>
      </c>
      <c r="J36" s="79"/>
    </row>
    <row r="37" spans="2:10" ht="30" customHeight="1">
      <c r="B37" s="3474"/>
      <c r="C37" s="3475"/>
      <c r="D37" s="3456" t="s">
        <v>1033</v>
      </c>
      <c r="E37" s="3468" t="s">
        <v>2332</v>
      </c>
      <c r="F37" s="3468" t="s">
        <v>2332</v>
      </c>
      <c r="G37" s="3468" t="s">
        <v>2332</v>
      </c>
      <c r="H37" s="4901" t="s">
        <v>2332</v>
      </c>
      <c r="I37" s="3477"/>
      <c r="J37" s="79"/>
    </row>
    <row r="38" spans="2:10" ht="30" customHeight="1">
      <c r="B38" s="3474"/>
      <c r="C38" s="3477"/>
      <c r="D38" s="3456">
        <v>2021</v>
      </c>
      <c r="E38" s="3468">
        <v>1.81867</v>
      </c>
      <c r="F38" s="3468" t="s">
        <v>2332</v>
      </c>
      <c r="G38" s="3476">
        <v>10.91202</v>
      </c>
      <c r="H38" s="4901" t="s">
        <v>2332</v>
      </c>
      <c r="I38" s="3477"/>
      <c r="J38" s="79"/>
    </row>
    <row r="39" spans="2:10" ht="30" customHeight="1">
      <c r="B39" s="3474"/>
      <c r="C39" s="3477"/>
      <c r="D39" s="3478">
        <v>2022</v>
      </c>
      <c r="E39" s="3468">
        <v>1.880123</v>
      </c>
      <c r="F39" s="4823">
        <f>E39/E38-1</f>
        <v>3.3790077364227677E-2</v>
      </c>
      <c r="G39" s="3476">
        <v>15.040984</v>
      </c>
      <c r="H39" s="3537">
        <f>+G39/G38-1</f>
        <v>0.37838676981897024</v>
      </c>
      <c r="I39" s="3477"/>
    </row>
    <row r="40" spans="2:10" ht="30" customHeight="1" thickBot="1">
      <c r="B40" s="3474"/>
      <c r="C40" s="3477"/>
      <c r="D40" s="3479" t="s">
        <v>1959</v>
      </c>
      <c r="E40" s="4023">
        <v>1.7337880000000001</v>
      </c>
      <c r="F40" s="4823">
        <f>E40/E39-1</f>
        <v>-7.7832673713368661E-2</v>
      </c>
      <c r="G40" s="3476">
        <v>14.56382</v>
      </c>
      <c r="H40" s="3537">
        <f>+G40/G39-1</f>
        <v>-3.1724254211027647E-2</v>
      </c>
      <c r="I40" s="79"/>
      <c r="J40" s="79"/>
    </row>
    <row r="41" spans="2:10" ht="25.25" hidden="1" customHeight="1" thickBot="1">
      <c r="B41" s="3474"/>
      <c r="C41" s="3480"/>
      <c r="D41" s="5736" t="s">
        <v>1047</v>
      </c>
      <c r="E41" s="5737"/>
      <c r="F41" s="5737"/>
      <c r="G41" s="5737"/>
      <c r="H41" s="5738"/>
      <c r="I41" s="3481"/>
      <c r="J41" s="79"/>
    </row>
    <row r="42" spans="2:10" ht="25.25" hidden="1" customHeight="1">
      <c r="B42" s="3482"/>
      <c r="C42" s="3483"/>
      <c r="D42" s="3484">
        <v>2017</v>
      </c>
      <c r="E42" s="3485">
        <v>890</v>
      </c>
      <c r="F42" s="3486"/>
      <c r="G42" s="3487">
        <v>5341.1</v>
      </c>
      <c r="H42" s="3488"/>
      <c r="J42" s="79"/>
    </row>
    <row r="43" spans="2:10" ht="25.25" hidden="1" customHeight="1">
      <c r="B43" s="3489"/>
      <c r="D43" s="3490">
        <v>2018</v>
      </c>
      <c r="E43" s="3491">
        <v>1318</v>
      </c>
      <c r="F43" s="3492">
        <f>+E43/E42-1</f>
        <v>0.48089887640449436</v>
      </c>
      <c r="G43" s="3493">
        <v>7906.3</v>
      </c>
      <c r="H43" s="3494">
        <f>+G42/G43-1</f>
        <v>-0.32445012205456403</v>
      </c>
      <c r="I43" s="3495"/>
      <c r="J43" s="79"/>
    </row>
    <row r="44" spans="2:10" ht="25.25" hidden="1" customHeight="1">
      <c r="D44" s="3496">
        <v>2019</v>
      </c>
      <c r="E44" s="3497">
        <v>1218</v>
      </c>
      <c r="F44" s="85">
        <f>+E44/E43-1</f>
        <v>-7.5872534142640391E-2</v>
      </c>
      <c r="G44" s="3498">
        <v>7300</v>
      </c>
      <c r="H44" s="3494">
        <f>+G44/G43-1</f>
        <v>-7.6685681039171283E-2</v>
      </c>
      <c r="I44" s="3499"/>
      <c r="J44" s="79"/>
    </row>
    <row r="45" spans="2:10" ht="25.25" hidden="1" customHeight="1" thickBot="1">
      <c r="C45" s="3458"/>
      <c r="D45" s="3500" t="s">
        <v>856</v>
      </c>
      <c r="E45" s="3501">
        <v>1062</v>
      </c>
      <c r="F45" s="3502">
        <f>+E45/E44-1</f>
        <v>-0.1280788177339901</v>
      </c>
      <c r="G45" s="3503">
        <v>6370</v>
      </c>
      <c r="H45" s="3494">
        <f>+G45/G44-1</f>
        <v>-0.12739726027397258</v>
      </c>
      <c r="J45" s="79"/>
    </row>
    <row r="46" spans="2:10">
      <c r="D46" s="3504" t="s">
        <v>1520</v>
      </c>
      <c r="F46" s="3505"/>
      <c r="G46" s="3505"/>
      <c r="H46" s="3505"/>
      <c r="I46" s="1053"/>
      <c r="J46" s="79"/>
    </row>
    <row r="47" spans="2:10" s="3506" customFormat="1">
      <c r="B47" s="77"/>
      <c r="C47" s="3446"/>
      <c r="D47" s="1053" t="s">
        <v>1519</v>
      </c>
      <c r="E47" s="79"/>
      <c r="F47" s="79"/>
      <c r="G47" s="79"/>
      <c r="H47" s="79"/>
      <c r="I47" s="77"/>
      <c r="J47" s="77"/>
    </row>
    <row r="48" spans="2:10" s="3506" customFormat="1">
      <c r="B48" s="77"/>
      <c r="C48" s="3446"/>
      <c r="D48" s="1053" t="s">
        <v>200</v>
      </c>
      <c r="E48" s="79"/>
      <c r="F48" s="79"/>
      <c r="G48" s="79"/>
      <c r="H48" s="79"/>
      <c r="I48" s="77"/>
      <c r="J48" s="77"/>
    </row>
    <row r="49" spans="2:18">
      <c r="B49" s="5752" t="s">
        <v>674</v>
      </c>
      <c r="C49" s="5752"/>
      <c r="D49" s="5752"/>
      <c r="E49" s="5752"/>
      <c r="F49" s="5752"/>
      <c r="G49" s="5752"/>
      <c r="H49" s="5752"/>
      <c r="I49" s="5752"/>
      <c r="J49" s="5752"/>
      <c r="K49" s="224"/>
      <c r="L49" s="224"/>
      <c r="M49" s="224"/>
      <c r="N49" s="224"/>
      <c r="O49" s="224"/>
      <c r="P49" s="224"/>
      <c r="Q49" s="224"/>
      <c r="R49" s="224"/>
    </row>
    <row r="50" spans="2:18">
      <c r="B50" s="5752" t="s">
        <v>17</v>
      </c>
      <c r="C50" s="5752"/>
      <c r="D50" s="5752"/>
      <c r="E50" s="5752"/>
      <c r="F50" s="5752"/>
      <c r="G50" s="5752"/>
      <c r="H50" s="5752"/>
      <c r="I50" s="5752"/>
      <c r="J50" s="5752"/>
      <c r="K50" s="224"/>
      <c r="L50" s="224"/>
      <c r="M50" s="224"/>
      <c r="N50" s="224"/>
      <c r="O50" s="224"/>
      <c r="P50" s="224"/>
      <c r="Q50" s="224"/>
      <c r="R50" s="224"/>
    </row>
    <row r="51" spans="2:18" ht="25.9" thickBot="1">
      <c r="B51" s="3428"/>
      <c r="C51" s="3428"/>
      <c r="D51" s="3428"/>
      <c r="E51" s="3428"/>
      <c r="F51" s="3428"/>
      <c r="G51" s="3428"/>
      <c r="H51" s="3428"/>
      <c r="I51" s="3428"/>
      <c r="J51" s="3428"/>
      <c r="K51" s="3428"/>
      <c r="L51" s="3428"/>
      <c r="M51" s="3428"/>
      <c r="N51" s="3428"/>
      <c r="O51" s="3428"/>
      <c r="P51" s="3428"/>
      <c r="Q51" s="3428"/>
      <c r="R51" s="3428"/>
    </row>
    <row r="52" spans="2:18" ht="30" customHeight="1" thickBot="1">
      <c r="B52" s="5742" t="s">
        <v>18</v>
      </c>
      <c r="C52" s="5743"/>
      <c r="D52" s="5743"/>
      <c r="E52" s="5743"/>
      <c r="F52" s="5743"/>
      <c r="G52" s="5743"/>
      <c r="H52" s="5743"/>
      <c r="I52" s="5743"/>
      <c r="J52" s="5744"/>
      <c r="K52" s="3428"/>
      <c r="L52" s="3428"/>
      <c r="M52" s="3428"/>
      <c r="N52" s="3428"/>
      <c r="O52" s="3428"/>
      <c r="P52" s="3428"/>
      <c r="Q52" s="3428"/>
      <c r="R52" s="3428"/>
    </row>
    <row r="53" spans="2:18" ht="30" customHeight="1">
      <c r="B53" s="5747" t="s">
        <v>129</v>
      </c>
      <c r="C53" s="5739" t="s">
        <v>606</v>
      </c>
      <c r="D53" s="5740"/>
      <c r="E53" s="5739" t="s">
        <v>607</v>
      </c>
      <c r="F53" s="5740"/>
      <c r="G53" s="5741" t="s">
        <v>778</v>
      </c>
      <c r="H53" s="5740"/>
      <c r="I53" s="5745" t="s">
        <v>779</v>
      </c>
      <c r="J53" s="5746"/>
      <c r="K53" s="3428"/>
      <c r="L53" s="3428"/>
      <c r="M53" s="3428"/>
      <c r="N53" s="3428"/>
      <c r="O53" s="3428"/>
      <c r="P53" s="3428"/>
      <c r="Q53" s="3428"/>
      <c r="R53" s="3428"/>
    </row>
    <row r="54" spans="2:18" ht="30" customHeight="1" thickBot="1">
      <c r="B54" s="5748"/>
      <c r="C54" s="3507" t="s">
        <v>507</v>
      </c>
      <c r="D54" s="3508" t="s">
        <v>20</v>
      </c>
      <c r="E54" s="3507" t="s">
        <v>507</v>
      </c>
      <c r="F54" s="3508" t="s">
        <v>20</v>
      </c>
      <c r="G54" s="3509" t="s">
        <v>19</v>
      </c>
      <c r="H54" s="3510" t="s">
        <v>608</v>
      </c>
      <c r="I54" s="3511" t="s">
        <v>32</v>
      </c>
      <c r="J54" s="3512" t="s">
        <v>499</v>
      </c>
      <c r="K54" s="3428"/>
      <c r="L54" s="3428"/>
      <c r="M54" s="3428"/>
      <c r="N54" s="3428"/>
      <c r="O54" s="3428"/>
      <c r="P54" s="3428"/>
      <c r="Q54" s="3428"/>
      <c r="R54" s="3428"/>
    </row>
    <row r="55" spans="2:18" ht="20" hidden="1" customHeight="1">
      <c r="B55" s="3513">
        <v>2005</v>
      </c>
      <c r="C55" s="86">
        <v>1076.99</v>
      </c>
      <c r="D55" s="3514">
        <v>145.08000000000001</v>
      </c>
      <c r="E55" s="3515">
        <v>8137.26</v>
      </c>
      <c r="F55" s="3516">
        <v>1480.731</v>
      </c>
      <c r="G55" s="86">
        <f>+C55+D55</f>
        <v>1222.07</v>
      </c>
      <c r="H55" s="3517">
        <f>+F55+E55</f>
        <v>9617.991</v>
      </c>
      <c r="I55" s="3518">
        <v>0.50419999999999998</v>
      </c>
      <c r="J55" s="3460">
        <v>0.54159999999999997</v>
      </c>
      <c r="K55" s="3428"/>
      <c r="L55" s="3428"/>
      <c r="M55" s="3428"/>
      <c r="N55" s="3428"/>
      <c r="O55" s="3428"/>
      <c r="P55" s="3428"/>
      <c r="Q55" s="3428"/>
      <c r="R55" s="3428"/>
    </row>
    <row r="56" spans="2:18" ht="20" hidden="1" customHeight="1">
      <c r="B56" s="3513">
        <v>2006</v>
      </c>
      <c r="C56" s="86">
        <v>894.42</v>
      </c>
      <c r="D56" s="3514">
        <v>143.05000000000001</v>
      </c>
      <c r="E56" s="3515">
        <v>6865.6940000000004</v>
      </c>
      <c r="F56" s="3516">
        <v>1402.4860000000001</v>
      </c>
      <c r="G56" s="86">
        <f t="shared" ref="G56:G65" si="4">+C56+D56</f>
        <v>1037.47</v>
      </c>
      <c r="H56" s="3517">
        <f t="shared" ref="H56:H65" si="5">+F56+E56</f>
        <v>8268.18</v>
      </c>
      <c r="I56" s="3518">
        <f>+G56/G55-1</f>
        <v>-0.15105517687202852</v>
      </c>
      <c r="J56" s="3460">
        <f>+H56/H55-1</f>
        <v>-0.14034230225418176</v>
      </c>
      <c r="K56" s="3428"/>
      <c r="L56" s="3428"/>
      <c r="M56" s="3428"/>
      <c r="N56" s="3428"/>
      <c r="O56" s="3428"/>
      <c r="P56" s="3428"/>
      <c r="Q56" s="3428"/>
      <c r="R56" s="3428"/>
    </row>
    <row r="57" spans="2:18" ht="20" hidden="1" customHeight="1">
      <c r="B57" s="3513">
        <v>2007</v>
      </c>
      <c r="C57" s="86">
        <v>827.34</v>
      </c>
      <c r="D57" s="3514">
        <v>159.30000000000001</v>
      </c>
      <c r="E57" s="3515">
        <v>7348.9139999999998</v>
      </c>
      <c r="F57" s="3516">
        <v>1640.558</v>
      </c>
      <c r="G57" s="86">
        <f t="shared" si="4"/>
        <v>986.6400000000001</v>
      </c>
      <c r="H57" s="3517">
        <f t="shared" si="5"/>
        <v>8989.4719999999998</v>
      </c>
      <c r="I57" s="3518">
        <f t="shared" ref="I57:I62" si="6">+G57/G56-1</f>
        <v>-4.8994187783743093E-2</v>
      </c>
      <c r="J57" s="3460">
        <f t="shared" ref="J57:J62" si="7">+H57/H56-1</f>
        <v>8.7237094499635903E-2</v>
      </c>
      <c r="K57" s="3428"/>
      <c r="L57" s="3428"/>
      <c r="M57" s="3428"/>
      <c r="N57" s="3428"/>
      <c r="O57" s="3428"/>
      <c r="P57" s="3428"/>
      <c r="Q57" s="3428"/>
      <c r="R57" s="3428"/>
    </row>
    <row r="58" spans="2:18" ht="20" hidden="1" customHeight="1">
      <c r="B58" s="3513">
        <v>2008</v>
      </c>
      <c r="C58" s="86">
        <v>1163.49</v>
      </c>
      <c r="D58" s="3514">
        <v>147.21</v>
      </c>
      <c r="E58" s="3515">
        <v>11835.821</v>
      </c>
      <c r="F58" s="3516">
        <v>1655.953</v>
      </c>
      <c r="G58" s="86">
        <f t="shared" si="4"/>
        <v>1310.7</v>
      </c>
      <c r="H58" s="3517">
        <f t="shared" si="5"/>
        <v>13491.773999999999</v>
      </c>
      <c r="I58" s="3518">
        <f t="shared" si="6"/>
        <v>0.32844806616395039</v>
      </c>
      <c r="J58" s="3460">
        <f t="shared" si="7"/>
        <v>0.50084165121155055</v>
      </c>
      <c r="K58" s="3428"/>
      <c r="L58" s="3428"/>
      <c r="M58" s="3428"/>
      <c r="N58" s="3428"/>
      <c r="O58" s="3428"/>
      <c r="P58" s="3428"/>
      <c r="Q58" s="3428"/>
      <c r="R58" s="3428"/>
    </row>
    <row r="59" spans="2:18" ht="20" hidden="1" customHeight="1">
      <c r="B59" s="3513">
        <v>2009</v>
      </c>
      <c r="C59" s="86">
        <v>1107.3699999999999</v>
      </c>
      <c r="D59" s="3514">
        <v>160.06</v>
      </c>
      <c r="E59" s="3515">
        <v>11886.44</v>
      </c>
      <c r="F59" s="3519">
        <v>1846.067</v>
      </c>
      <c r="G59" s="86">
        <f>+C59+D59</f>
        <v>1267.4299999999998</v>
      </c>
      <c r="H59" s="3517">
        <f t="shared" si="5"/>
        <v>13732.507000000001</v>
      </c>
      <c r="I59" s="3518">
        <f t="shared" si="6"/>
        <v>-3.3012893873502813E-2</v>
      </c>
      <c r="J59" s="3460">
        <f t="shared" si="7"/>
        <v>1.7842946376066093E-2</v>
      </c>
      <c r="K59" s="3428"/>
      <c r="L59" s="3428"/>
      <c r="M59" s="3428"/>
      <c r="N59" s="3428"/>
      <c r="O59" s="3428"/>
      <c r="P59" s="3428"/>
      <c r="Q59" s="3428"/>
      <c r="R59" s="3428"/>
    </row>
    <row r="60" spans="2:18" ht="20" hidden="1" customHeight="1">
      <c r="B60" s="3513">
        <v>2010</v>
      </c>
      <c r="C60" s="86">
        <v>1394.68</v>
      </c>
      <c r="D60" s="3514">
        <v>212.06</v>
      </c>
      <c r="E60" s="3515">
        <v>15105.403</v>
      </c>
      <c r="F60" s="3519">
        <v>2442.395</v>
      </c>
      <c r="G60" s="86">
        <f t="shared" si="4"/>
        <v>1606.74</v>
      </c>
      <c r="H60" s="3517">
        <f t="shared" si="5"/>
        <v>17547.797999999999</v>
      </c>
      <c r="I60" s="3518">
        <f t="shared" si="6"/>
        <v>0.26771498228699042</v>
      </c>
      <c r="J60" s="3460">
        <f t="shared" si="7"/>
        <v>0.27782916841039995</v>
      </c>
      <c r="K60" s="3428"/>
      <c r="L60" s="3428"/>
      <c r="M60" s="3428"/>
      <c r="N60" s="3428"/>
      <c r="O60" s="3428"/>
      <c r="P60" s="3428"/>
      <c r="Q60" s="3428"/>
      <c r="R60" s="3428"/>
    </row>
    <row r="61" spans="2:18" ht="30" customHeight="1">
      <c r="B61" s="3520">
        <v>2011</v>
      </c>
      <c r="C61" s="3521">
        <v>1407.9960000000001</v>
      </c>
      <c r="D61" s="3522">
        <v>176.541</v>
      </c>
      <c r="E61" s="3523">
        <f>16.47591549*1000</f>
        <v>16475.915489999999</v>
      </c>
      <c r="F61" s="3524">
        <v>2279.3740700000003</v>
      </c>
      <c r="G61" s="3525">
        <f>+C61+D61</f>
        <v>1584.537</v>
      </c>
      <c r="H61" s="3526">
        <f t="shared" si="5"/>
        <v>18755.289560000001</v>
      </c>
      <c r="I61" s="3527">
        <f t="shared" si="6"/>
        <v>-1.381866387841213E-2</v>
      </c>
      <c r="J61" s="3528">
        <f t="shared" si="7"/>
        <v>6.8811571685518658E-2</v>
      </c>
      <c r="K61" s="3428"/>
      <c r="L61" s="3428"/>
      <c r="M61" s="3428"/>
      <c r="N61" s="3428"/>
      <c r="O61" s="3428"/>
      <c r="P61" s="3428"/>
      <c r="Q61" s="3428"/>
      <c r="R61" s="3428"/>
    </row>
    <row r="62" spans="2:18" ht="30" customHeight="1">
      <c r="B62" s="3513">
        <v>2012</v>
      </c>
      <c r="C62" s="3525">
        <v>1480.69</v>
      </c>
      <c r="D62" s="3529">
        <v>192.21</v>
      </c>
      <c r="E62" s="3530">
        <f>16.86220772*1000</f>
        <v>16862.207720000002</v>
      </c>
      <c r="F62" s="3531">
        <f>2.46331258*1000</f>
        <v>2463.3125800000003</v>
      </c>
      <c r="G62" s="3525">
        <f>+C62+D62</f>
        <v>1672.9</v>
      </c>
      <c r="H62" s="3526">
        <f>19.38876609*1000</f>
        <v>19388.766090000001</v>
      </c>
      <c r="I62" s="3518">
        <f t="shared" si="6"/>
        <v>5.5765816765402265E-2</v>
      </c>
      <c r="J62" s="3460">
        <f t="shared" si="7"/>
        <v>3.3775886422518164E-2</v>
      </c>
      <c r="K62" s="3428"/>
      <c r="L62" s="3428"/>
      <c r="M62" s="3428"/>
      <c r="N62" s="3428"/>
      <c r="O62" s="3428"/>
      <c r="P62" s="3428"/>
      <c r="Q62" s="3428"/>
      <c r="R62" s="3428"/>
    </row>
    <row r="63" spans="2:18" ht="30" customHeight="1">
      <c r="B63" s="3513">
        <v>2013</v>
      </c>
      <c r="C63" s="3525">
        <v>1690.5</v>
      </c>
      <c r="D63" s="3529">
        <v>153.51</v>
      </c>
      <c r="E63" s="3530">
        <f>19.04535389*1000</f>
        <v>19045.353890000002</v>
      </c>
      <c r="F63" s="3531">
        <f>2.04651743*1000</f>
        <v>2046.5174300000001</v>
      </c>
      <c r="G63" s="3525">
        <f t="shared" si="4"/>
        <v>1844.01</v>
      </c>
      <c r="H63" s="3526">
        <f>22.17051529*1000</f>
        <v>22170.515289999999</v>
      </c>
      <c r="I63" s="3518">
        <f t="shared" ref="I63:J65" si="8">+G63/G62-1</f>
        <v>0.10228345986012299</v>
      </c>
      <c r="J63" s="3460">
        <f t="shared" si="8"/>
        <v>0.14347221412066657</v>
      </c>
      <c r="K63" s="3428"/>
      <c r="L63" s="3428"/>
      <c r="M63" s="3428"/>
      <c r="N63" s="3428"/>
      <c r="O63" s="3428"/>
      <c r="P63" s="3428"/>
      <c r="Q63" s="3428"/>
      <c r="R63" s="3428"/>
    </row>
    <row r="64" spans="2:18" ht="30" customHeight="1">
      <c r="B64" s="3513">
        <v>2014</v>
      </c>
      <c r="C64" s="3525">
        <v>1925.18</v>
      </c>
      <c r="D64" s="3529">
        <v>178.92</v>
      </c>
      <c r="E64" s="3530">
        <v>22484.19</v>
      </c>
      <c r="F64" s="3531">
        <v>2399.21</v>
      </c>
      <c r="G64" s="3525">
        <f t="shared" si="4"/>
        <v>2104.1</v>
      </c>
      <c r="H64" s="3526">
        <f t="shared" si="5"/>
        <v>24883.399999999998</v>
      </c>
      <c r="I64" s="3518">
        <f t="shared" si="8"/>
        <v>0.14104587285318404</v>
      </c>
      <c r="J64" s="3460">
        <f t="shared" si="8"/>
        <v>0.12236453120346025</v>
      </c>
      <c r="K64" s="78"/>
    </row>
    <row r="65" spans="2:11" ht="30" customHeight="1">
      <c r="B65" s="3513">
        <v>2015</v>
      </c>
      <c r="C65" s="3525">
        <v>1830.75</v>
      </c>
      <c r="D65" s="3529">
        <v>198.16</v>
      </c>
      <c r="E65" s="3530">
        <v>21958.16</v>
      </c>
      <c r="F65" s="3531">
        <f>2.658008*1000</f>
        <v>2658.0080000000003</v>
      </c>
      <c r="G65" s="3525">
        <f t="shared" si="4"/>
        <v>2028.91</v>
      </c>
      <c r="H65" s="3526">
        <f t="shared" si="5"/>
        <v>24616.168000000001</v>
      </c>
      <c r="I65" s="3518">
        <f t="shared" ref="I65:I71" si="9">+G65/G64-1</f>
        <v>-3.5734993583955044E-2</v>
      </c>
      <c r="J65" s="3460">
        <f t="shared" si="8"/>
        <v>-1.0739368414284023E-2</v>
      </c>
      <c r="K65" s="78"/>
    </row>
    <row r="66" spans="2:11" ht="30" customHeight="1">
      <c r="B66" s="3513">
        <v>2016</v>
      </c>
      <c r="C66" s="3525">
        <v>2251.42</v>
      </c>
      <c r="D66" s="3529">
        <v>206.393</v>
      </c>
      <c r="E66" s="3530">
        <v>27357.790720000001</v>
      </c>
      <c r="F66" s="3531">
        <v>2795.3379099999997</v>
      </c>
      <c r="G66" s="3525">
        <v>2457.8166999999999</v>
      </c>
      <c r="H66" s="3526">
        <v>30153.128629999999</v>
      </c>
      <c r="I66" s="3518">
        <f t="shared" si="9"/>
        <v>0.21139759772488653</v>
      </c>
      <c r="J66" s="3460">
        <f t="shared" ref="J66:J72" si="10">+H66/H65-1</f>
        <v>0.22493186713707836</v>
      </c>
      <c r="K66" s="78"/>
    </row>
    <row r="67" spans="2:11" ht="30" customHeight="1">
      <c r="B67" s="3513">
        <v>2017</v>
      </c>
      <c r="C67" s="3525">
        <v>2167.4962</v>
      </c>
      <c r="D67" s="3529">
        <v>204.11509000000001</v>
      </c>
      <c r="E67" s="3530">
        <v>25985.808719999997</v>
      </c>
      <c r="F67" s="3531">
        <v>2713.1898300000003</v>
      </c>
      <c r="G67" s="3525">
        <v>2371.6112899999998</v>
      </c>
      <c r="H67" s="3526">
        <v>28698.99855</v>
      </c>
      <c r="I67" s="3518">
        <f t="shared" si="9"/>
        <v>-3.5073978462266897E-2</v>
      </c>
      <c r="J67" s="3460">
        <f t="shared" si="10"/>
        <v>-4.8224849163852723E-2</v>
      </c>
      <c r="K67" s="78"/>
    </row>
    <row r="68" spans="2:11" ht="30" customHeight="1">
      <c r="B68" s="3513">
        <v>2018</v>
      </c>
      <c r="C68" s="3525">
        <v>2183.5923199999997</v>
      </c>
      <c r="D68" s="3529">
        <v>206.77989000000002</v>
      </c>
      <c r="E68" s="3530">
        <v>26680.439599999998</v>
      </c>
      <c r="F68" s="3531">
        <v>2758.6676000000002</v>
      </c>
      <c r="G68" s="3525">
        <f>+D68+C68</f>
        <v>2390.3722099999995</v>
      </c>
      <c r="H68" s="3526">
        <f>+F68+E68</f>
        <v>29439.107199999999</v>
      </c>
      <c r="I68" s="3518">
        <f t="shared" si="9"/>
        <v>7.9106218118905058E-3</v>
      </c>
      <c r="J68" s="3460">
        <f t="shared" si="10"/>
        <v>2.5788657702134232E-2</v>
      </c>
      <c r="K68" s="78"/>
    </row>
    <row r="69" spans="2:11" ht="30" customHeight="1">
      <c r="B69" s="3532">
        <v>2019</v>
      </c>
      <c r="C69" s="3533">
        <v>2208.5538999999999</v>
      </c>
      <c r="D69" s="3534">
        <v>308.42237</v>
      </c>
      <c r="E69" s="3535">
        <v>26888.95</v>
      </c>
      <c r="F69" s="3536">
        <v>4020.91</v>
      </c>
      <c r="G69" s="3525">
        <f>+D69+C69</f>
        <v>2516.9762700000001</v>
      </c>
      <c r="H69" s="3526">
        <f>+F69+E69</f>
        <v>30909.86</v>
      </c>
      <c r="I69" s="3518">
        <f t="shared" si="9"/>
        <v>5.2964161593896941E-2</v>
      </c>
      <c r="J69" s="3537">
        <f t="shared" si="10"/>
        <v>4.9959150935120711E-2</v>
      </c>
      <c r="K69" s="78"/>
    </row>
    <row r="70" spans="2:11" ht="30" customHeight="1">
      <c r="B70" s="3513">
        <v>2020</v>
      </c>
      <c r="C70" s="3538">
        <v>1889.2</v>
      </c>
      <c r="D70" s="3539">
        <v>290.7</v>
      </c>
      <c r="E70" s="3530">
        <v>22857.79</v>
      </c>
      <c r="F70" s="3540">
        <v>3728.95</v>
      </c>
      <c r="G70" s="3525">
        <f>+D70+C70</f>
        <v>2179.9</v>
      </c>
      <c r="H70" s="3526">
        <f>+F70+E70</f>
        <v>26586.74</v>
      </c>
      <c r="I70" s="3518">
        <f>+G70/G69-1</f>
        <v>-0.13392111559319553</v>
      </c>
      <c r="J70" s="3537">
        <f t="shared" si="10"/>
        <v>-0.13986216695902209</v>
      </c>
      <c r="K70" s="78"/>
    </row>
    <row r="71" spans="2:11" ht="30" customHeight="1">
      <c r="B71" s="3513">
        <v>2021</v>
      </c>
      <c r="C71" s="3538">
        <v>2276.3293900000003</v>
      </c>
      <c r="D71" s="3541">
        <v>366.31157999999999</v>
      </c>
      <c r="E71" s="3530">
        <v>27668.898669999999</v>
      </c>
      <c r="F71" s="3540">
        <v>4734.2399800000003</v>
      </c>
      <c r="G71" s="3525">
        <v>2642.6409700000004</v>
      </c>
      <c r="H71" s="3526">
        <v>32403.138650000001</v>
      </c>
      <c r="I71" s="3518">
        <f t="shared" si="9"/>
        <v>0.21227623744208457</v>
      </c>
      <c r="J71" s="3537">
        <f t="shared" si="10"/>
        <v>0.2187706597348904</v>
      </c>
      <c r="K71" s="251"/>
    </row>
    <row r="72" spans="2:11" ht="30" customHeight="1">
      <c r="B72" s="3513">
        <v>2022</v>
      </c>
      <c r="C72" s="3538">
        <v>2667.72615</v>
      </c>
      <c r="D72" s="3542">
        <v>620.44718999999998</v>
      </c>
      <c r="E72" s="3530">
        <v>36477.71297</v>
      </c>
      <c r="F72" s="3540">
        <v>8189.7732400000004</v>
      </c>
      <c r="G72" s="3525">
        <v>3288.1733399999998</v>
      </c>
      <c r="H72" s="3526">
        <v>44667.486210000003</v>
      </c>
      <c r="I72" s="3518">
        <f>G72/G71-1</f>
        <v>0.24427547189658516</v>
      </c>
      <c r="J72" s="3537">
        <f t="shared" si="10"/>
        <v>0.37849258037847511</v>
      </c>
      <c r="K72" s="251"/>
    </row>
    <row r="73" spans="2:11" ht="30" customHeight="1" thickBot="1">
      <c r="B73" s="3543" t="s">
        <v>1959</v>
      </c>
      <c r="C73" s="3544">
        <v>2356.1</v>
      </c>
      <c r="D73" s="3545">
        <v>362.26</v>
      </c>
      <c r="E73" s="3546">
        <v>33217.5</v>
      </c>
      <c r="F73" s="3547">
        <v>5116.7</v>
      </c>
      <c r="G73" s="3548">
        <f>C73+D73</f>
        <v>2718.3599999999997</v>
      </c>
      <c r="H73" s="3549">
        <f>E73+F73</f>
        <v>38334.199999999997</v>
      </c>
      <c r="I73" s="3550">
        <f>G73/G72-1</f>
        <v>-0.17329175839616784</v>
      </c>
      <c r="J73" s="3551">
        <f>+H73/H72-1</f>
        <v>-0.14178738826323589</v>
      </c>
      <c r="K73" s="251"/>
    </row>
    <row r="74" spans="2:11" ht="25.25" hidden="1" customHeight="1" thickBot="1">
      <c r="B74" s="5749" t="s">
        <v>928</v>
      </c>
      <c r="C74" s="5750"/>
      <c r="D74" s="5750"/>
      <c r="E74" s="5750"/>
      <c r="F74" s="5750"/>
      <c r="G74" s="5750"/>
      <c r="H74" s="5750"/>
      <c r="I74" s="5750"/>
      <c r="J74" s="5751"/>
      <c r="K74" s="78"/>
    </row>
    <row r="75" spans="2:11" ht="20" hidden="1" customHeight="1">
      <c r="B75" s="3552">
        <v>2017</v>
      </c>
      <c r="C75" s="3553">
        <v>1616</v>
      </c>
      <c r="D75" s="3554">
        <v>143.97999999999999</v>
      </c>
      <c r="E75" s="3555">
        <v>19320</v>
      </c>
      <c r="F75" s="3556">
        <v>1931</v>
      </c>
      <c r="G75" s="3557">
        <f>+C75+D75</f>
        <v>1759.98</v>
      </c>
      <c r="H75" s="3558">
        <f>+E75+F75</f>
        <v>21251</v>
      </c>
      <c r="I75" s="3559"/>
      <c r="J75" s="3560"/>
      <c r="K75" s="78"/>
    </row>
    <row r="76" spans="2:11" ht="25.25" hidden="1" customHeight="1">
      <c r="B76" s="3561">
        <v>2018</v>
      </c>
      <c r="C76" s="3562">
        <f>1138.54+580.98</f>
        <v>1719.52</v>
      </c>
      <c r="D76" s="3563">
        <f>96.9+50.9</f>
        <v>147.80000000000001</v>
      </c>
      <c r="E76" s="3564">
        <v>21022</v>
      </c>
      <c r="F76" s="3565">
        <v>1979</v>
      </c>
      <c r="G76" s="3566">
        <f>+C76+D76</f>
        <v>1867.32</v>
      </c>
      <c r="H76" s="3565">
        <f>+E76+F76</f>
        <v>23001</v>
      </c>
      <c r="I76" s="3567">
        <f t="shared" ref="I76:J78" si="11">+G76/G75-1</f>
        <v>6.098932942419788E-2</v>
      </c>
      <c r="J76" s="3494">
        <f t="shared" si="11"/>
        <v>8.2349065926309306E-2</v>
      </c>
      <c r="K76" s="78"/>
    </row>
    <row r="77" spans="2:11" ht="25.25" hidden="1" customHeight="1">
      <c r="B77" s="3561">
        <v>2019</v>
      </c>
      <c r="C77" s="3562">
        <f>1084.51+549.94</f>
        <v>1634.45</v>
      </c>
      <c r="D77" s="3563">
        <f>144+70.4</f>
        <v>214.4</v>
      </c>
      <c r="E77" s="3564">
        <v>19907</v>
      </c>
      <c r="F77" s="3565">
        <v>2795</v>
      </c>
      <c r="G77" s="3566">
        <f>+C77+D77</f>
        <v>1848.8500000000001</v>
      </c>
      <c r="H77" s="3565">
        <f>+E77+F77</f>
        <v>22702</v>
      </c>
      <c r="I77" s="3567">
        <f t="shared" si="11"/>
        <v>-9.891180943812361E-3</v>
      </c>
      <c r="J77" s="3494">
        <f t="shared" si="11"/>
        <v>-1.2999434807182242E-2</v>
      </c>
      <c r="K77" s="78"/>
    </row>
    <row r="78" spans="2:11" ht="25.25" hidden="1" customHeight="1" thickBot="1">
      <c r="B78" s="3568">
        <v>2020</v>
      </c>
      <c r="C78" s="3569">
        <f>896.29+426.31</f>
        <v>1322.6</v>
      </c>
      <c r="D78" s="3570">
        <f>103.5+68.1</f>
        <v>171.6</v>
      </c>
      <c r="E78" s="3571">
        <v>16022</v>
      </c>
      <c r="F78" s="3572">
        <v>2198</v>
      </c>
      <c r="G78" s="3566">
        <f>+C78+D78</f>
        <v>1494.1999999999998</v>
      </c>
      <c r="H78" s="3572">
        <f>+E78+F78</f>
        <v>18220</v>
      </c>
      <c r="I78" s="3567">
        <f t="shared" si="11"/>
        <v>-0.19182194337020331</v>
      </c>
      <c r="J78" s="3494">
        <f t="shared" si="11"/>
        <v>-0.19742753942383928</v>
      </c>
      <c r="K78" s="78"/>
    </row>
    <row r="79" spans="2:11" ht="29.75" customHeight="1">
      <c r="B79" s="3573" t="str">
        <f>D46</f>
        <v>Source: Agricultural Division (Agriculture, Fisheries, Food Security and Rural Development)</v>
      </c>
      <c r="C79" s="3505"/>
      <c r="D79" s="3505"/>
      <c r="E79" s="3505"/>
      <c r="F79" s="3505"/>
      <c r="G79" s="3505"/>
      <c r="H79" s="3505"/>
      <c r="I79" s="3505"/>
      <c r="J79" s="3505"/>
    </row>
    <row r="80" spans="2:11" ht="29.75" customHeight="1">
      <c r="B80" s="1053" t="s">
        <v>1831</v>
      </c>
      <c r="D80" s="78"/>
      <c r="I80" s="79"/>
      <c r="J80" s="79"/>
    </row>
    <row r="81" spans="2:18">
      <c r="B81" s="1053" t="s">
        <v>200</v>
      </c>
      <c r="C81" s="3574"/>
      <c r="D81" s="78"/>
      <c r="E81" s="3574"/>
      <c r="F81" s="77"/>
      <c r="G81" s="77"/>
      <c r="H81" s="77"/>
      <c r="R81" s="3574"/>
    </row>
    <row r="82" spans="2:18">
      <c r="C82" s="77"/>
      <c r="D82" s="77"/>
      <c r="E82" s="77"/>
      <c r="F82" s="77"/>
      <c r="G82" s="77"/>
      <c r="H82" s="77"/>
      <c r="I82" s="3542"/>
      <c r="J82" s="3438"/>
      <c r="K82" s="3575"/>
      <c r="L82" s="3576"/>
    </row>
    <row r="85" spans="2:18" ht="28.5" customHeight="1">
      <c r="C85" s="77"/>
      <c r="D85" s="3577"/>
      <c r="E85" s="77"/>
      <c r="F85" s="77"/>
      <c r="G85" s="77"/>
      <c r="H85" s="77"/>
      <c r="I85" s="224"/>
    </row>
    <row r="86" spans="2:18" ht="15.75" customHeight="1">
      <c r="C86" s="77"/>
      <c r="D86" s="3577"/>
      <c r="E86" s="77"/>
      <c r="F86" s="77"/>
      <c r="G86" s="77"/>
      <c r="H86" s="77"/>
      <c r="I86" s="3430"/>
    </row>
    <row r="87" spans="2:18">
      <c r="C87" s="77"/>
      <c r="D87" s="3577"/>
      <c r="E87" s="77"/>
      <c r="F87" s="77"/>
      <c r="G87" s="77"/>
      <c r="H87" s="77"/>
    </row>
    <row r="88" spans="2:18">
      <c r="C88" s="77"/>
      <c r="D88" s="3577"/>
      <c r="E88" s="77"/>
      <c r="F88" s="77"/>
      <c r="G88" s="77"/>
      <c r="H88" s="77"/>
    </row>
    <row r="89" spans="2:18">
      <c r="C89" s="77"/>
      <c r="D89" s="77"/>
      <c r="E89" s="77"/>
      <c r="F89" s="77"/>
      <c r="G89" s="77"/>
      <c r="H89" s="77"/>
    </row>
    <row r="90" spans="2:18">
      <c r="C90" s="77"/>
      <c r="D90" s="77"/>
      <c r="E90" s="77"/>
      <c r="F90" s="77"/>
      <c r="G90" s="77"/>
      <c r="H90" s="77"/>
    </row>
    <row r="91" spans="2:18">
      <c r="C91" s="77"/>
      <c r="D91" s="77"/>
      <c r="E91" s="77"/>
      <c r="F91" s="77"/>
      <c r="G91" s="77"/>
      <c r="H91" s="77"/>
    </row>
    <row r="92" spans="2:18">
      <c r="C92" s="77"/>
      <c r="D92" s="77"/>
      <c r="E92" s="77"/>
      <c r="F92" s="77"/>
      <c r="G92" s="77"/>
      <c r="H92" s="77"/>
    </row>
    <row r="93" spans="2:18">
      <c r="C93" s="77"/>
      <c r="D93" s="77"/>
      <c r="E93" s="77"/>
      <c r="F93" s="77"/>
      <c r="G93" s="77"/>
      <c r="H93" s="77"/>
    </row>
    <row r="94" spans="2:18">
      <c r="C94" s="77"/>
      <c r="D94" s="77"/>
      <c r="E94" s="77"/>
      <c r="F94" s="77"/>
      <c r="G94" s="77"/>
      <c r="H94" s="77"/>
    </row>
    <row r="95" spans="2:18">
      <c r="C95" s="77"/>
      <c r="D95" s="77"/>
      <c r="E95" s="77"/>
      <c r="F95" s="77"/>
      <c r="G95" s="77"/>
      <c r="H95" s="77"/>
    </row>
    <row r="96" spans="2:18">
      <c r="C96" s="77"/>
      <c r="D96" s="77"/>
      <c r="E96" s="77"/>
      <c r="F96" s="77"/>
      <c r="G96" s="77"/>
      <c r="H96" s="77"/>
    </row>
    <row r="102" s="77" customFormat="1"/>
  </sheetData>
  <mergeCells count="23">
    <mergeCell ref="B74:J74"/>
    <mergeCell ref="B2:R2"/>
    <mergeCell ref="B3:R3"/>
    <mergeCell ref="D5:E5"/>
    <mergeCell ref="D6:E6"/>
    <mergeCell ref="D7:E7"/>
    <mergeCell ref="D8:E8"/>
    <mergeCell ref="B16:J16"/>
    <mergeCell ref="B17:J17"/>
    <mergeCell ref="D9:E9"/>
    <mergeCell ref="D10:E10"/>
    <mergeCell ref="D11:E11"/>
    <mergeCell ref="D13:E13"/>
    <mergeCell ref="B49:J49"/>
    <mergeCell ref="B50:J50"/>
    <mergeCell ref="B18:J18"/>
    <mergeCell ref="D41:H41"/>
    <mergeCell ref="C53:D53"/>
    <mergeCell ref="E53:F53"/>
    <mergeCell ref="G53:H53"/>
    <mergeCell ref="B52:J52"/>
    <mergeCell ref="I53:J53"/>
    <mergeCell ref="B53:B54"/>
  </mergeCells>
  <printOptions horizontalCentered="1" verticalCentered="1"/>
  <pageMargins left="0.25" right="0.25" top="0.75" bottom="0.75" header="0.3" footer="0.3"/>
  <pageSetup scale="40" firstPageNumber="103" orientation="landscape" useFirstPageNumber="1" r:id="rId1"/>
  <headerFooter scaleWithDoc="0" alignWithMargins="0">
    <oddFooter xml:space="preserve">&amp;C113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00B0F0"/>
    <pageSetUpPr fitToPage="1"/>
  </sheetPr>
  <dimension ref="A1:V93"/>
  <sheetViews>
    <sheetView view="pageBreakPreview" zoomScale="30" zoomScaleNormal="80" zoomScaleSheetLayoutView="30" workbookViewId="0">
      <pane xSplit="3" topLeftCell="E1" activePane="topRight" state="frozen"/>
      <selection activeCell="B44" sqref="B44"/>
      <selection pane="topRight" activeCell="B44" sqref="B44"/>
    </sheetView>
  </sheetViews>
  <sheetFormatPr defaultColWidth="9.46484375" defaultRowHeight="36"/>
  <cols>
    <col min="1" max="1" width="3.33203125" style="887" customWidth="1"/>
    <col min="2" max="2" width="61.46484375" style="887" customWidth="1"/>
    <col min="3" max="3" width="46.6640625" style="887" customWidth="1"/>
    <col min="4" max="4" width="43.33203125" style="887" customWidth="1"/>
    <col min="5" max="5" width="43.6640625" style="887" customWidth="1"/>
    <col min="6" max="6" width="43.46484375" style="887" customWidth="1"/>
    <col min="7" max="9" width="35.46484375" style="887" customWidth="1"/>
    <col min="10" max="10" width="36.46484375" style="887" customWidth="1"/>
    <col min="11" max="11" width="35.46484375" style="887" customWidth="1"/>
    <col min="12" max="12" width="46.33203125" style="887" customWidth="1"/>
    <col min="13" max="13" width="44.6640625" style="887" customWidth="1"/>
    <col min="14" max="14" width="41.46484375" style="887" bestFit="1" customWidth="1"/>
    <col min="15" max="15" width="38.33203125" style="887" bestFit="1" customWidth="1"/>
    <col min="16" max="16" width="4.6640625" style="887" customWidth="1"/>
    <col min="17" max="17" width="4.46484375" style="887" customWidth="1"/>
    <col min="18" max="18" width="58.33203125" style="887" bestFit="1" customWidth="1"/>
    <col min="19" max="22" width="14.46484375" style="887" customWidth="1"/>
    <col min="23" max="16384" width="9.46484375" style="887"/>
  </cols>
  <sheetData>
    <row r="1" spans="2:20" ht="35.25" customHeight="1">
      <c r="B1" s="886"/>
      <c r="C1" s="886"/>
      <c r="D1" s="886"/>
      <c r="E1" s="5762" t="s">
        <v>675</v>
      </c>
      <c r="F1" s="5762"/>
      <c r="G1" s="5762"/>
      <c r="H1" s="5762"/>
      <c r="I1" s="5762"/>
      <c r="J1" s="5762"/>
      <c r="K1" s="5762"/>
      <c r="L1" s="5762"/>
      <c r="M1" s="5762"/>
      <c r="N1" s="886"/>
      <c r="O1" s="886"/>
      <c r="P1" s="886"/>
      <c r="Q1" s="886"/>
      <c r="R1" s="886"/>
      <c r="S1" s="886"/>
    </row>
    <row r="2" spans="2:20" ht="30" customHeight="1">
      <c r="B2" s="928"/>
      <c r="C2" s="928"/>
      <c r="D2" s="928"/>
      <c r="E2" s="5763" t="s">
        <v>827</v>
      </c>
      <c r="F2" s="5763"/>
      <c r="G2" s="5763"/>
      <c r="H2" s="5763"/>
      <c r="I2" s="5763"/>
      <c r="J2" s="5763"/>
      <c r="K2" s="5763"/>
      <c r="L2" s="5763"/>
      <c r="M2" s="5763"/>
      <c r="N2" s="928"/>
      <c r="O2" s="928"/>
      <c r="P2" s="928"/>
      <c r="Q2" s="928"/>
      <c r="R2" s="928"/>
      <c r="S2" s="928"/>
      <c r="T2" s="928"/>
    </row>
    <row r="3" spans="2:20" ht="15" customHeight="1" thickBot="1"/>
    <row r="4" spans="2:20" ht="30" customHeight="1" thickBot="1">
      <c r="E4" s="5764" t="s">
        <v>129</v>
      </c>
      <c r="F4" s="5770" t="s">
        <v>201</v>
      </c>
      <c r="G4" s="5771"/>
      <c r="H4" s="5771"/>
      <c r="I4" s="5771"/>
      <c r="J4" s="5771"/>
      <c r="K4" s="5771"/>
      <c r="L4" s="5771"/>
      <c r="M4" s="2630"/>
      <c r="N4" s="929"/>
      <c r="O4" s="929"/>
    </row>
    <row r="5" spans="2:20" ht="30" customHeight="1">
      <c r="E5" s="5765"/>
      <c r="F5" s="5772" t="s">
        <v>301</v>
      </c>
      <c r="G5" s="5774" t="s">
        <v>302</v>
      </c>
      <c r="H5" s="5776" t="s">
        <v>303</v>
      </c>
      <c r="I5" s="5778" t="s">
        <v>1857</v>
      </c>
      <c r="J5" s="5778" t="s">
        <v>1858</v>
      </c>
      <c r="K5" s="5774" t="s">
        <v>175</v>
      </c>
      <c r="L5" s="5780" t="s">
        <v>412</v>
      </c>
      <c r="M5" s="5782" t="s">
        <v>1522</v>
      </c>
      <c r="P5" s="929"/>
    </row>
    <row r="6" spans="2:20" ht="41.25" customHeight="1" thickBot="1">
      <c r="E6" s="5766"/>
      <c r="F6" s="5773"/>
      <c r="G6" s="5775"/>
      <c r="H6" s="5777"/>
      <c r="I6" s="5779"/>
      <c r="J6" s="5779"/>
      <c r="K6" s="5775"/>
      <c r="L6" s="5781"/>
      <c r="M6" s="5783"/>
      <c r="N6" s="930"/>
      <c r="O6" s="930"/>
    </row>
    <row r="7" spans="2:20" ht="40.25" hidden="1" customHeight="1" thickBot="1">
      <c r="E7" s="898">
        <v>2011</v>
      </c>
      <c r="F7" s="931">
        <v>466</v>
      </c>
      <c r="G7" s="932">
        <v>198</v>
      </c>
      <c r="H7" s="2512">
        <v>169</v>
      </c>
      <c r="I7" s="931">
        <v>71</v>
      </c>
      <c r="J7" s="931">
        <v>12</v>
      </c>
      <c r="K7" s="933">
        <v>470</v>
      </c>
      <c r="L7" s="934">
        <f t="shared" ref="L7:L14" si="0">SUM(F7:K7)</f>
        <v>1386</v>
      </c>
      <c r="M7" s="2627"/>
      <c r="N7" s="930"/>
      <c r="O7" s="930"/>
    </row>
    <row r="8" spans="2:20" ht="40.25" hidden="1" customHeight="1">
      <c r="E8" s="898">
        <v>2012</v>
      </c>
      <c r="F8" s="935">
        <v>441.92727513636362</v>
      </c>
      <c r="G8" s="935">
        <v>503.85046531818176</v>
      </c>
      <c r="H8" s="1774">
        <v>151.14782390909087</v>
      </c>
      <c r="I8" s="935">
        <v>3.6121995454545455</v>
      </c>
      <c r="J8" s="935">
        <v>10.645990090909089</v>
      </c>
      <c r="K8" s="936">
        <v>597.70235703159085</v>
      </c>
      <c r="L8" s="937">
        <f t="shared" si="0"/>
        <v>1708.8861110315906</v>
      </c>
      <c r="M8" s="2627"/>
      <c r="N8" s="930"/>
      <c r="O8" s="930"/>
      <c r="P8" s="938"/>
    </row>
    <row r="9" spans="2:20" ht="40.25" customHeight="1">
      <c r="E9" s="898">
        <v>2013</v>
      </c>
      <c r="F9" s="2754">
        <v>492.3</v>
      </c>
      <c r="G9" s="2754">
        <v>386.66</v>
      </c>
      <c r="H9" s="2755">
        <v>148.47999999999999</v>
      </c>
      <c r="I9" s="2754">
        <v>107.21</v>
      </c>
      <c r="J9" s="2754">
        <v>7.14</v>
      </c>
      <c r="K9" s="2755">
        <v>497.54</v>
      </c>
      <c r="L9" s="2771">
        <f t="shared" si="0"/>
        <v>1639.3300000000002</v>
      </c>
      <c r="M9" s="2627"/>
      <c r="N9" s="930"/>
      <c r="O9" s="930"/>
      <c r="P9" s="938"/>
    </row>
    <row r="10" spans="2:20" ht="40.25" customHeight="1">
      <c r="E10" s="898">
        <v>2014</v>
      </c>
      <c r="F10" s="2754">
        <v>384.66829331818178</v>
      </c>
      <c r="G10" s="2754">
        <v>406.86691736363633</v>
      </c>
      <c r="H10" s="2755">
        <v>155.49739009090905</v>
      </c>
      <c r="I10" s="2754">
        <v>85.000963300681804</v>
      </c>
      <c r="J10" s="2754">
        <v>3.6082938636363631</v>
      </c>
      <c r="K10" s="2755">
        <v>659.04540608977254</v>
      </c>
      <c r="L10" s="2772">
        <f t="shared" si="0"/>
        <v>1694.687264026818</v>
      </c>
      <c r="M10" s="2628">
        <f>L10/L9-1</f>
        <v>3.3768224839914929E-2</v>
      </c>
      <c r="N10" s="930"/>
      <c r="O10" s="930"/>
      <c r="P10" s="938"/>
    </row>
    <row r="11" spans="2:20" ht="40.25" customHeight="1">
      <c r="E11" s="898">
        <v>2015</v>
      </c>
      <c r="F11" s="2754">
        <v>374.01</v>
      </c>
      <c r="G11" s="2754">
        <v>505.44</v>
      </c>
      <c r="H11" s="2754">
        <v>86.96</v>
      </c>
      <c r="I11" s="2754">
        <v>0.43</v>
      </c>
      <c r="J11" s="2754">
        <v>3.58</v>
      </c>
      <c r="K11" s="2756">
        <v>645.10504514193178</v>
      </c>
      <c r="L11" s="2773">
        <f t="shared" si="0"/>
        <v>1615.525045141932</v>
      </c>
      <c r="M11" s="2628">
        <f t="shared" ref="M11:M17" si="1">L11/L10-1</f>
        <v>-4.6711992569522964E-2</v>
      </c>
      <c r="N11" s="930"/>
      <c r="O11" s="930"/>
      <c r="P11" s="938"/>
    </row>
    <row r="12" spans="2:20" ht="40.25" customHeight="1">
      <c r="E12" s="898">
        <v>2016</v>
      </c>
      <c r="F12" s="2754">
        <v>517.59719377272722</v>
      </c>
      <c r="G12" s="2754">
        <v>435.3441632272727</v>
      </c>
      <c r="H12" s="2754">
        <v>146.59188027272725</v>
      </c>
      <c r="I12" s="2754">
        <v>1.3472727272727272</v>
      </c>
      <c r="J12" s="2754">
        <v>1.7143191818181815</v>
      </c>
      <c r="K12" s="2756">
        <v>629.76667179954541</v>
      </c>
      <c r="L12" s="2773">
        <f t="shared" si="0"/>
        <v>1732.3615009813634</v>
      </c>
      <c r="M12" s="2628">
        <f t="shared" si="1"/>
        <v>7.2321042741350317E-2</v>
      </c>
      <c r="N12" s="930"/>
      <c r="O12" s="930"/>
      <c r="P12" s="938"/>
    </row>
    <row r="13" spans="2:20" ht="40.25" customHeight="1">
      <c r="E13" s="898">
        <v>2017</v>
      </c>
      <c r="F13" s="2754">
        <v>537.79709977272717</v>
      </c>
      <c r="G13" s="2754">
        <v>403.08882295454544</v>
      </c>
      <c r="H13" s="2754">
        <v>109.77960304545452</v>
      </c>
      <c r="I13" s="2754">
        <v>0.70818181818181813</v>
      </c>
      <c r="J13" s="2754">
        <v>5.154501999999999</v>
      </c>
      <c r="K13" s="2755">
        <v>612.09035436345448</v>
      </c>
      <c r="L13" s="2773">
        <f t="shared" si="0"/>
        <v>1668.6185639543635</v>
      </c>
      <c r="M13" s="2628">
        <f t="shared" si="1"/>
        <v>-3.6795401531891758E-2</v>
      </c>
      <c r="N13" s="930"/>
      <c r="O13" s="930"/>
      <c r="P13" s="938"/>
    </row>
    <row r="14" spans="2:20" ht="40.25" customHeight="1">
      <c r="E14" s="898">
        <v>2018</v>
      </c>
      <c r="F14" s="2754">
        <v>351.33773813636361</v>
      </c>
      <c r="G14" s="2754">
        <v>390.14154172727274</v>
      </c>
      <c r="H14" s="2754">
        <v>75.814393954545437</v>
      </c>
      <c r="I14" s="2754">
        <v>6.8636363636363634E-2</v>
      </c>
      <c r="J14" s="2754">
        <v>2.993441909090909</v>
      </c>
      <c r="K14" s="2756">
        <v>812.61288581704503</v>
      </c>
      <c r="L14" s="2773">
        <f t="shared" si="0"/>
        <v>1632.9686379079542</v>
      </c>
      <c r="M14" s="2628">
        <f t="shared" si="1"/>
        <v>-2.1364934333419239E-2</v>
      </c>
      <c r="N14" s="930"/>
      <c r="O14" s="930"/>
      <c r="P14" s="938"/>
    </row>
    <row r="15" spans="2:20" ht="40.25" customHeight="1">
      <c r="E15" s="898">
        <v>2019</v>
      </c>
      <c r="F15" s="2754">
        <v>408.6</v>
      </c>
      <c r="G15" s="2754">
        <v>388.1</v>
      </c>
      <c r="H15" s="2754">
        <v>126.6</v>
      </c>
      <c r="I15" s="2754">
        <v>3.9545454545454536E-2</v>
      </c>
      <c r="J15" s="2754">
        <v>2.5</v>
      </c>
      <c r="K15" s="2756">
        <v>627.20000000000005</v>
      </c>
      <c r="L15" s="2773">
        <f>+SUM(F15:K15)</f>
        <v>1553.0395454545455</v>
      </c>
      <c r="M15" s="2628">
        <f t="shared" si="1"/>
        <v>-4.8947108106012549E-2</v>
      </c>
      <c r="N15" s="930"/>
      <c r="O15" s="930"/>
      <c r="P15" s="938"/>
    </row>
    <row r="16" spans="2:20" ht="40.25" customHeight="1">
      <c r="E16" s="898">
        <v>2020</v>
      </c>
      <c r="F16" s="2754">
        <v>334.9323813181818</v>
      </c>
      <c r="G16" s="2754">
        <v>302.39070036363637</v>
      </c>
      <c r="H16" s="2754">
        <v>69.939137954545458</v>
      </c>
      <c r="I16" s="2754">
        <v>6.6742931818181814</v>
      </c>
      <c r="J16" s="2754">
        <v>3.3122028636363634</v>
      </c>
      <c r="K16" s="2755">
        <v>551.93879796045451</v>
      </c>
      <c r="L16" s="2773">
        <f>+SUM(F16:K16)</f>
        <v>1269.1875136422727</v>
      </c>
      <c r="M16" s="2628">
        <f t="shared" si="1"/>
        <v>-0.18277192789008767</v>
      </c>
      <c r="N16" s="930"/>
      <c r="O16" s="930"/>
      <c r="P16" s="938"/>
    </row>
    <row r="17" spans="2:20" ht="40.25" customHeight="1">
      <c r="E17" s="898">
        <v>2021</v>
      </c>
      <c r="F17" s="2754">
        <v>321.88906581818179</v>
      </c>
      <c r="G17" s="2756">
        <v>276.26938568181811</v>
      </c>
      <c r="H17" s="2754">
        <v>76.95554218181816</v>
      </c>
      <c r="I17" s="2754">
        <v>1.7909090909090906E-2</v>
      </c>
      <c r="J17" s="2754">
        <v>7.3716006363636355</v>
      </c>
      <c r="K17" s="2756">
        <v>700.07</v>
      </c>
      <c r="L17" s="2773">
        <f>+SUM(F17:K17)</f>
        <v>1382.5735034090908</v>
      </c>
      <c r="M17" s="2628">
        <f t="shared" si="1"/>
        <v>8.9337460814932435E-2</v>
      </c>
      <c r="N17" s="930"/>
      <c r="O17" s="930"/>
      <c r="P17" s="938"/>
    </row>
    <row r="18" spans="2:20" ht="40.25" customHeight="1">
      <c r="E18" s="893">
        <v>2022</v>
      </c>
      <c r="F18" s="2955">
        <v>328.83358263636359</v>
      </c>
      <c r="G18" s="2756">
        <v>288.33601645454542</v>
      </c>
      <c r="H18" s="2955">
        <v>70.806950681818165</v>
      </c>
      <c r="I18" s="2955">
        <v>0.69954545454545447</v>
      </c>
      <c r="J18" s="2955">
        <v>7.0708201818181813</v>
      </c>
      <c r="K18" s="2756">
        <v>746.90884516704546</v>
      </c>
      <c r="L18" s="2773">
        <f>+SUM(F18:K18)</f>
        <v>1442.6557605761363</v>
      </c>
      <c r="M18" s="2628">
        <f>L18/L17-1</f>
        <v>4.3456826721253616E-2</v>
      </c>
      <c r="N18" s="930"/>
      <c r="O18" s="930"/>
      <c r="P18" s="938"/>
    </row>
    <row r="19" spans="2:20" ht="40.25" customHeight="1" thickBot="1">
      <c r="E19" s="898" t="s">
        <v>1959</v>
      </c>
      <c r="F19" s="2757">
        <v>317.4970045454545</v>
      </c>
      <c r="G19" s="2758">
        <v>236.18366818181815</v>
      </c>
      <c r="H19" s="2757">
        <v>58.141940909090906</v>
      </c>
      <c r="I19" s="2757">
        <v>0.44318181818181812</v>
      </c>
      <c r="J19" s="2757">
        <v>2.5149454545454546</v>
      </c>
      <c r="K19" s="2758">
        <v>761.76212273409089</v>
      </c>
      <c r="L19" s="2773">
        <f>+SUM(F19:K19)</f>
        <v>1376.5428636431816</v>
      </c>
      <c r="M19" s="2629">
        <f>L19/L18-1</f>
        <v>-4.5827215847079161E-2</v>
      </c>
      <c r="N19" s="930"/>
      <c r="O19" s="930"/>
      <c r="P19" s="938"/>
    </row>
    <row r="20" spans="2:20" ht="34.25" hidden="1" customHeight="1" thickBot="1">
      <c r="E20" s="5767" t="s">
        <v>932</v>
      </c>
      <c r="F20" s="5768"/>
      <c r="G20" s="5768"/>
      <c r="H20" s="5768"/>
      <c r="I20" s="5768"/>
      <c r="J20" s="5768"/>
      <c r="K20" s="5768"/>
      <c r="L20" s="5768"/>
      <c r="M20" s="5769"/>
      <c r="O20" s="930"/>
      <c r="P20" s="930"/>
      <c r="Q20" s="938"/>
    </row>
    <row r="21" spans="2:20" ht="40.25" hidden="1" customHeight="1">
      <c r="E21" s="939">
        <v>2018</v>
      </c>
      <c r="F21" s="940">
        <v>179.69862281818183</v>
      </c>
      <c r="G21" s="940">
        <v>241.13164890909087</v>
      </c>
      <c r="H21" s="940">
        <v>49.387358227272728</v>
      </c>
      <c r="I21" s="941">
        <v>3.0454545454545453E-2</v>
      </c>
      <c r="J21" s="942">
        <v>0.55745454545454542</v>
      </c>
      <c r="K21" s="943">
        <f>262.430401154727*0+374</f>
        <v>374</v>
      </c>
      <c r="L21" s="943">
        <v>262.43040115472724</v>
      </c>
      <c r="M21" s="944">
        <f>SUM(F21:K21)</f>
        <v>844.80553904545445</v>
      </c>
      <c r="O21" s="930"/>
      <c r="P21" s="930"/>
      <c r="Q21" s="938"/>
    </row>
    <row r="22" spans="2:20" ht="40.25" hidden="1" customHeight="1">
      <c r="E22" s="939">
        <v>2019</v>
      </c>
      <c r="F22" s="940">
        <v>208.86595145454544</v>
      </c>
      <c r="G22" s="940">
        <v>251.19578872727271</v>
      </c>
      <c r="H22" s="940">
        <v>94.671657909090911</v>
      </c>
      <c r="I22" s="941">
        <v>2.1818181818181816E-2</v>
      </c>
      <c r="J22" s="942">
        <v>1.2441754999999999</v>
      </c>
      <c r="K22" s="943">
        <f>189.098232578636*0+278.1</f>
        <v>278.10000000000002</v>
      </c>
      <c r="L22" s="943">
        <v>189.09823257863633</v>
      </c>
      <c r="M22" s="944">
        <f>SUM(F22:K22)</f>
        <v>834.09939177272724</v>
      </c>
      <c r="O22" s="930"/>
      <c r="P22" s="930"/>
      <c r="Q22" s="938"/>
    </row>
    <row r="23" spans="2:20" ht="40.25" hidden="1" customHeight="1" thickBot="1">
      <c r="E23" s="1767">
        <v>2020</v>
      </c>
      <c r="F23" s="945">
        <v>201.49106913636362</v>
      </c>
      <c r="G23" s="940">
        <v>191.88318972727299</v>
      </c>
      <c r="H23" s="940">
        <v>49.719741681818178</v>
      </c>
      <c r="I23" s="941">
        <v>8.0987804545454534</v>
      </c>
      <c r="J23" s="946">
        <v>1.4295460454545454</v>
      </c>
      <c r="K23" s="943">
        <f>163.973392931364*0+222</f>
        <v>222</v>
      </c>
      <c r="L23" s="943">
        <v>163.97339293136361</v>
      </c>
      <c r="M23" s="944">
        <f>SUM(F23:K23)</f>
        <v>674.62232704545477</v>
      </c>
      <c r="N23" s="947"/>
      <c r="O23" s="930"/>
      <c r="P23" s="930"/>
      <c r="Q23" s="938"/>
    </row>
    <row r="24" spans="2:20" ht="40.25" customHeight="1">
      <c r="E24" s="948" t="str">
        <f>B79</f>
        <v>Source: Department of Agriculture, Fisheries, Food Security and Rural Development</v>
      </c>
      <c r="F24" s="925"/>
      <c r="G24" s="925"/>
      <c r="H24" s="925"/>
      <c r="I24" s="925"/>
      <c r="J24" s="925"/>
      <c r="K24" s="925"/>
      <c r="L24" s="925"/>
      <c r="O24" s="949"/>
      <c r="P24" s="949"/>
      <c r="Q24" s="949"/>
      <c r="R24" s="950"/>
    </row>
    <row r="25" spans="2:20" ht="18" customHeight="1"/>
    <row r="26" spans="2:20" ht="30" customHeight="1">
      <c r="B26" s="886"/>
      <c r="C26" s="5762" t="s">
        <v>676</v>
      </c>
      <c r="D26" s="5762"/>
      <c r="E26" s="5762"/>
      <c r="F26" s="5762"/>
      <c r="G26" s="5762"/>
      <c r="H26" s="5762"/>
      <c r="I26" s="5762"/>
      <c r="J26" s="5762"/>
      <c r="K26" s="5762"/>
      <c r="L26" s="5762"/>
      <c r="M26" s="5762"/>
      <c r="N26" s="5762"/>
      <c r="O26" s="886"/>
      <c r="P26" s="886"/>
      <c r="Q26" s="886"/>
      <c r="R26" s="886"/>
      <c r="S26" s="886"/>
      <c r="T26" s="928"/>
    </row>
    <row r="27" spans="2:20" ht="30" customHeight="1">
      <c r="C27" s="5763" t="s">
        <v>780</v>
      </c>
      <c r="D27" s="5763"/>
      <c r="E27" s="5763"/>
      <c r="F27" s="5763"/>
      <c r="G27" s="5763"/>
      <c r="H27" s="5763"/>
      <c r="I27" s="5763"/>
      <c r="J27" s="5763"/>
      <c r="K27" s="5763"/>
      <c r="L27" s="5763"/>
      <c r="M27" s="5763"/>
      <c r="N27" s="5763"/>
      <c r="O27" s="928"/>
      <c r="P27" s="928"/>
      <c r="Q27" s="928"/>
      <c r="R27" s="928"/>
      <c r="S27" s="928"/>
      <c r="T27" s="928"/>
    </row>
    <row r="28" spans="2:20" ht="30" customHeight="1">
      <c r="B28" s="928"/>
      <c r="C28" s="5763" t="s">
        <v>396</v>
      </c>
      <c r="D28" s="5763"/>
      <c r="E28" s="5763"/>
      <c r="F28" s="5763"/>
      <c r="G28" s="5763"/>
      <c r="H28" s="5763"/>
      <c r="I28" s="5763"/>
      <c r="J28" s="5763"/>
      <c r="K28" s="5763"/>
      <c r="L28" s="5763"/>
      <c r="M28" s="5763"/>
      <c r="N28" s="5763"/>
      <c r="O28" s="928"/>
      <c r="P28" s="928"/>
      <c r="Q28" s="928"/>
      <c r="R28" s="928"/>
      <c r="S28" s="928"/>
      <c r="T28" s="928"/>
    </row>
    <row r="29" spans="2:20" ht="12.75" customHeight="1" thickBot="1">
      <c r="D29" s="951"/>
      <c r="E29" s="951"/>
      <c r="F29" s="951"/>
      <c r="G29" s="951"/>
      <c r="H29" s="951"/>
      <c r="I29" s="951"/>
      <c r="J29" s="929"/>
      <c r="K29" s="951"/>
      <c r="L29" s="952"/>
      <c r="M29" s="5763"/>
      <c r="N29" s="5763"/>
      <c r="O29" s="5763"/>
      <c r="P29" s="928"/>
      <c r="Q29" s="928"/>
      <c r="R29" s="928"/>
      <c r="S29" s="953"/>
    </row>
    <row r="30" spans="2:20" ht="40.25" customHeight="1" thickBot="1">
      <c r="C30" s="3579" t="s">
        <v>931</v>
      </c>
      <c r="D30" s="3580">
        <v>2012</v>
      </c>
      <c r="E30" s="3581">
        <v>2013</v>
      </c>
      <c r="F30" s="3581">
        <v>2014</v>
      </c>
      <c r="G30" s="3581">
        <v>2015</v>
      </c>
      <c r="H30" s="3581">
        <v>2016</v>
      </c>
      <c r="I30" s="3581">
        <v>2017</v>
      </c>
      <c r="J30" s="3582">
        <v>2018</v>
      </c>
      <c r="K30" s="3582">
        <v>2019</v>
      </c>
      <c r="L30" s="3582">
        <v>2020</v>
      </c>
      <c r="M30" s="3582">
        <v>2021</v>
      </c>
      <c r="N30" s="3582">
        <v>2022</v>
      </c>
      <c r="O30" s="3583" t="s">
        <v>1959</v>
      </c>
      <c r="P30" s="929"/>
    </row>
    <row r="31" spans="2:20" ht="40.25" customHeight="1">
      <c r="C31" s="3584" t="s">
        <v>1859</v>
      </c>
      <c r="D31" s="3585">
        <v>110.54557954545453</v>
      </c>
      <c r="E31" s="3585">
        <v>147.82</v>
      </c>
      <c r="F31" s="3585">
        <v>134.15274772727273</v>
      </c>
      <c r="G31" s="3585">
        <v>118.09</v>
      </c>
      <c r="H31" s="3585">
        <v>93.91</v>
      </c>
      <c r="I31" s="3585">
        <v>85.354202272727264</v>
      </c>
      <c r="J31" s="3586">
        <v>66.87208409090907</v>
      </c>
      <c r="K31" s="3586">
        <v>53.2</v>
      </c>
      <c r="L31" s="3587">
        <v>59.2</v>
      </c>
      <c r="M31" s="3587">
        <f>+'[175]Fisheries by LS Annual'!$H$8</f>
        <v>47.356268181818173</v>
      </c>
      <c r="N31" s="3588">
        <v>102.24238636363636</v>
      </c>
      <c r="O31" s="3589">
        <v>100.95225909090908</v>
      </c>
      <c r="P31" s="954"/>
    </row>
    <row r="32" spans="2:20" ht="40.25" customHeight="1">
      <c r="C32" s="3584" t="s">
        <v>1860</v>
      </c>
      <c r="D32" s="3585">
        <v>85.072454545454534</v>
      </c>
      <c r="E32" s="3585">
        <v>47.39</v>
      </c>
      <c r="F32" s="3585">
        <v>166.76444545454547</v>
      </c>
      <c r="G32" s="3585">
        <v>106</v>
      </c>
      <c r="H32" s="3585">
        <v>92.28</v>
      </c>
      <c r="I32" s="3585">
        <v>72.428529545454523</v>
      </c>
      <c r="J32" s="3587">
        <v>110.83811818181816</v>
      </c>
      <c r="K32" s="3587">
        <v>87.1</v>
      </c>
      <c r="L32" s="3587">
        <v>71.293604545454542</v>
      </c>
      <c r="M32" s="3587">
        <f>+'[175]Fisheries by LS Annual'!$H$5</f>
        <v>67.784556818181827</v>
      </c>
      <c r="N32" s="3588">
        <v>63.001290909090905</v>
      </c>
      <c r="O32" s="3590">
        <v>61.686027272727273</v>
      </c>
      <c r="P32" s="954"/>
    </row>
    <row r="33" spans="2:22" ht="40.25" customHeight="1">
      <c r="C33" s="3584" t="s">
        <v>1861</v>
      </c>
      <c r="D33" s="3585">
        <v>82.018727272727261</v>
      </c>
      <c r="E33" s="3585">
        <v>36.82</v>
      </c>
      <c r="F33" s="3585">
        <v>45.839609090909086</v>
      </c>
      <c r="G33" s="3585">
        <v>56.44</v>
      </c>
      <c r="H33" s="3585">
        <v>36.659999999999997</v>
      </c>
      <c r="I33" s="3585">
        <v>38.297543181818185</v>
      </c>
      <c r="J33" s="3587">
        <v>34.884540909090909</v>
      </c>
      <c r="K33" s="3587">
        <v>36</v>
      </c>
      <c r="L33" s="3587">
        <v>34.662504545454546</v>
      </c>
      <c r="M33" s="3587">
        <f>+'[175]Fisheries by LS Annual'!$H$12</f>
        <v>34.252945454545447</v>
      </c>
      <c r="N33" s="3588">
        <v>105.43397272727272</v>
      </c>
      <c r="O33" s="3590">
        <v>129.09601818181818</v>
      </c>
      <c r="P33" s="954"/>
    </row>
    <row r="34" spans="2:22" ht="40.25" customHeight="1">
      <c r="C34" s="3584" t="s">
        <v>1862</v>
      </c>
      <c r="D34" s="3585">
        <v>84.846938727272715</v>
      </c>
      <c r="E34" s="3585">
        <v>87.21</v>
      </c>
      <c r="F34" s="3585">
        <v>77.669227272727269</v>
      </c>
      <c r="G34" s="3585">
        <v>58.68</v>
      </c>
      <c r="H34" s="3585">
        <v>56.7</v>
      </c>
      <c r="I34" s="3585">
        <v>66.703493636363618</v>
      </c>
      <c r="J34" s="3587">
        <v>63.975263636363628</v>
      </c>
      <c r="K34" s="3587">
        <v>50.2</v>
      </c>
      <c r="L34" s="3587">
        <v>40.702804545454541</v>
      </c>
      <c r="M34" s="3587">
        <f>+'[175]Fisheries by LS Annual'!$H$6</f>
        <v>55.253199999999993</v>
      </c>
      <c r="N34" s="3588">
        <v>50.088208181818182</v>
      </c>
      <c r="O34" s="3590">
        <v>44.506599090909084</v>
      </c>
      <c r="P34" s="954"/>
    </row>
    <row r="35" spans="2:22" ht="40.25" customHeight="1">
      <c r="C35" s="3584" t="s">
        <v>1863</v>
      </c>
      <c r="D35" s="3585">
        <v>81.622050690909091</v>
      </c>
      <c r="E35" s="3585">
        <v>62.97</v>
      </c>
      <c r="F35" s="3585">
        <v>53.820709090909084</v>
      </c>
      <c r="G35" s="3585">
        <v>59.02</v>
      </c>
      <c r="H35" s="3585">
        <v>71.78</v>
      </c>
      <c r="I35" s="3585">
        <v>66.83220818181816</v>
      </c>
      <c r="J35" s="3587">
        <v>68.062624090909082</v>
      </c>
      <c r="K35" s="3587">
        <v>74.3</v>
      </c>
      <c r="L35" s="3587">
        <v>67.712797727272715</v>
      </c>
      <c r="M35" s="3587">
        <f>+'[175]Fisheries by LS Annual'!$H$9</f>
        <v>61.069027272727261</v>
      </c>
      <c r="N35" s="3588">
        <v>64.182570454545456</v>
      </c>
      <c r="O35" s="3590">
        <v>91.310943181818175</v>
      </c>
      <c r="P35" s="954"/>
    </row>
    <row r="36" spans="2:22" ht="40.25" customHeight="1">
      <c r="C36" s="3584" t="s">
        <v>1871</v>
      </c>
      <c r="D36" s="3585">
        <v>530.87826590909071</v>
      </c>
      <c r="E36" s="3585">
        <v>540.67999999999995</v>
      </c>
      <c r="F36" s="3585">
        <v>541.54139545454541</v>
      </c>
      <c r="G36" s="3585">
        <v>497.46</v>
      </c>
      <c r="H36" s="3585">
        <v>590.04</v>
      </c>
      <c r="I36" s="3585">
        <v>487.49817727272728</v>
      </c>
      <c r="J36" s="3587">
        <v>454.68305909090901</v>
      </c>
      <c r="K36" s="3587">
        <v>442.6</v>
      </c>
      <c r="L36" s="3587">
        <v>353.78326363636353</v>
      </c>
      <c r="M36" s="3587">
        <f>+'[175]Fisheries by LS Annual'!$H$13</f>
        <v>373.0262454545454</v>
      </c>
      <c r="N36" s="3588">
        <v>317.95906818181811</v>
      </c>
      <c r="O36" s="3590">
        <v>268.73993181818179</v>
      </c>
      <c r="P36" s="954"/>
    </row>
    <row r="37" spans="2:22" ht="40.25" customHeight="1">
      <c r="C37" s="3584" t="s">
        <v>1864</v>
      </c>
      <c r="D37" s="3585">
        <v>115.78683636363637</v>
      </c>
      <c r="E37" s="3585">
        <v>101.58</v>
      </c>
      <c r="F37" s="3585">
        <v>60.002059090909086</v>
      </c>
      <c r="G37" s="3585">
        <v>77.88</v>
      </c>
      <c r="H37" s="3585">
        <v>113.93</v>
      </c>
      <c r="I37" s="3585">
        <v>125.33920454545454</v>
      </c>
      <c r="J37" s="3587">
        <v>110.57783181818182</v>
      </c>
      <c r="K37" s="3587">
        <v>134.9</v>
      </c>
      <c r="L37" s="3587">
        <v>145.95667272727269</v>
      </c>
      <c r="M37" s="3587">
        <f>+'[175]Fisheries by LS Annual'!$H$10</f>
        <v>107.03613636363636</v>
      </c>
      <c r="N37" s="3588">
        <v>95.855361363636376</v>
      </c>
      <c r="O37" s="3590">
        <v>83.054983863636352</v>
      </c>
      <c r="P37" s="954"/>
    </row>
    <row r="38" spans="2:22" ht="40.25" customHeight="1">
      <c r="C38" s="3584" t="s">
        <v>1865</v>
      </c>
      <c r="D38" s="3585">
        <v>306.63983636363639</v>
      </c>
      <c r="E38" s="3585">
        <v>305.52999999999997</v>
      </c>
      <c r="F38" s="3585">
        <v>322.56612727272727</v>
      </c>
      <c r="G38" s="3585">
        <v>320.8</v>
      </c>
      <c r="H38" s="3585">
        <v>359.84</v>
      </c>
      <c r="I38" s="3585">
        <v>383.18243863636371</v>
      </c>
      <c r="J38" s="3587">
        <v>345.57946363636358</v>
      </c>
      <c r="K38" s="3587">
        <v>333.4</v>
      </c>
      <c r="L38" s="3587">
        <v>302.80043181818178</v>
      </c>
      <c r="M38" s="3587">
        <f>+'[175]Fisheries by LS Annual'!$H$7</f>
        <v>388.70229090909089</v>
      </c>
      <c r="N38" s="3588">
        <v>423.51988636363637</v>
      </c>
      <c r="O38" s="3590">
        <v>366.58522718181814</v>
      </c>
      <c r="P38" s="954"/>
    </row>
    <row r="39" spans="2:22" ht="40.25" customHeight="1" thickBot="1">
      <c r="C39" s="3584" t="s">
        <v>1866</v>
      </c>
      <c r="D39" s="3591">
        <v>311.47542161340908</v>
      </c>
      <c r="E39" s="3591">
        <v>309.33999999999997</v>
      </c>
      <c r="F39" s="3591">
        <v>292.3309435722727</v>
      </c>
      <c r="G39" s="3591">
        <v>321.14989677829544</v>
      </c>
      <c r="H39" s="3591">
        <v>317.22000000000003</v>
      </c>
      <c r="I39" s="3591">
        <v>342.98276668163629</v>
      </c>
      <c r="J39" s="3592">
        <v>377.49565245340909</v>
      </c>
      <c r="K39" s="3592">
        <v>341.1</v>
      </c>
      <c r="L39" s="3592">
        <v>193.07205682409091</v>
      </c>
      <c r="M39" s="3592">
        <f>+'[175]Fisheries by LS Annual'!$H$4+'[175]Fisheries by LS Annual'!$H$11+'[175]Fisheries by LS Annual'!$H$14</f>
        <v>248.09666752090902</v>
      </c>
      <c r="N39" s="3588">
        <v>220.37301603068181</v>
      </c>
      <c r="O39" s="3590">
        <v>230.617110325</v>
      </c>
      <c r="P39" s="954"/>
    </row>
    <row r="40" spans="2:22" ht="40.25" customHeight="1" thickBot="1">
      <c r="C40" s="3593" t="s">
        <v>412</v>
      </c>
      <c r="D40" s="3594">
        <f t="shared" ref="D40:O40" si="2">SUM(D31:D39)</f>
        <v>1708.8861110315904</v>
      </c>
      <c r="E40" s="3594">
        <f t="shared" si="2"/>
        <v>1639.3399999999997</v>
      </c>
      <c r="F40" s="3594">
        <f t="shared" si="2"/>
        <v>1694.6872640268182</v>
      </c>
      <c r="G40" s="3595">
        <f t="shared" si="2"/>
        <v>1615.5198967782953</v>
      </c>
      <c r="H40" s="3594">
        <f t="shared" si="2"/>
        <v>1732.36</v>
      </c>
      <c r="I40" s="3594">
        <f t="shared" si="2"/>
        <v>1668.6185639543637</v>
      </c>
      <c r="J40" s="3596">
        <f t="shared" si="2"/>
        <v>1632.9686379079544</v>
      </c>
      <c r="K40" s="3597">
        <f>SUM(K31:K39)</f>
        <v>1552.8000000000002</v>
      </c>
      <c r="L40" s="3598">
        <f t="shared" si="2"/>
        <v>1269.1841363695453</v>
      </c>
      <c r="M40" s="3598">
        <f t="shared" si="2"/>
        <v>1382.5773379754544</v>
      </c>
      <c r="N40" s="3599">
        <f t="shared" si="2"/>
        <v>1442.6557605761363</v>
      </c>
      <c r="O40" s="3600">
        <f t="shared" si="2"/>
        <v>1376.5491000068182</v>
      </c>
      <c r="P40" s="930"/>
    </row>
    <row r="41" spans="2:22" ht="40.25" customHeight="1" thickBot="1">
      <c r="C41" s="3601" t="s">
        <v>397</v>
      </c>
      <c r="D41" s="3602">
        <v>-3.1E-2</v>
      </c>
      <c r="E41" s="3602">
        <f t="shared" ref="E41:M41" si="3">+E40/D40-1</f>
        <v>-4.0696750112626523E-2</v>
      </c>
      <c r="F41" s="3602">
        <f t="shared" si="3"/>
        <v>3.3761918837348359E-2</v>
      </c>
      <c r="G41" s="3603">
        <f t="shared" si="3"/>
        <v>-4.6715030512715305E-2</v>
      </c>
      <c r="H41" s="3603">
        <f t="shared" si="3"/>
        <v>7.2323530929399027E-2</v>
      </c>
      <c r="I41" s="3603">
        <f t="shared" si="3"/>
        <v>-3.6794566975476339E-2</v>
      </c>
      <c r="J41" s="3602">
        <f t="shared" si="3"/>
        <v>-2.1364934333419239E-2</v>
      </c>
      <c r="K41" s="3602">
        <f t="shared" si="3"/>
        <v>-4.9093801342480536E-2</v>
      </c>
      <c r="L41" s="3602">
        <f t="shared" si="3"/>
        <v>-0.18264803170431143</v>
      </c>
      <c r="M41" s="3602">
        <f t="shared" si="3"/>
        <v>8.9343380803881045E-2</v>
      </c>
      <c r="N41" s="3603">
        <f>+N40/M40-1</f>
        <v>4.3453932702713249E-2</v>
      </c>
      <c r="O41" s="3604">
        <f>+O40/N40-1</f>
        <v>-4.5822893011509436E-2</v>
      </c>
      <c r="P41" s="955"/>
    </row>
    <row r="42" spans="2:22" ht="39" customHeight="1">
      <c r="C42" s="956" t="str">
        <f>B79</f>
        <v>Source: Department of Agriculture, Fisheries, Food Security and Rural Development</v>
      </c>
      <c r="Q42" s="927"/>
      <c r="T42" s="927"/>
    </row>
    <row r="43" spans="2:22" ht="36.4">
      <c r="C43" s="956" t="s">
        <v>200</v>
      </c>
      <c r="Q43" s="888"/>
      <c r="T43" s="927"/>
    </row>
    <row r="44" spans="2:22" ht="36.4">
      <c r="C44" s="956" t="s">
        <v>1872</v>
      </c>
      <c r="Q44" s="888"/>
      <c r="T44" s="927"/>
    </row>
    <row r="45" spans="2:22" ht="36.4">
      <c r="C45" s="956" t="s">
        <v>1867</v>
      </c>
      <c r="Q45" s="888"/>
      <c r="T45" s="927"/>
    </row>
    <row r="46" spans="2:22" ht="12.75" customHeight="1"/>
    <row r="47" spans="2:22">
      <c r="B47" s="5762" t="s">
        <v>677</v>
      </c>
      <c r="C47" s="5762"/>
      <c r="D47" s="5762"/>
      <c r="E47" s="5762"/>
      <c r="F47" s="5762"/>
      <c r="G47" s="5762"/>
      <c r="H47" s="5762"/>
      <c r="I47" s="5762"/>
      <c r="J47" s="5762"/>
      <c r="K47" s="5762"/>
      <c r="L47" s="5762"/>
      <c r="M47" s="5762"/>
      <c r="N47" s="5762"/>
      <c r="O47" s="5762"/>
      <c r="P47" s="886"/>
      <c r="Q47" s="886"/>
      <c r="R47" s="886"/>
      <c r="S47" s="886"/>
    </row>
    <row r="48" spans="2:22">
      <c r="B48" s="5762" t="s">
        <v>525</v>
      </c>
      <c r="C48" s="5762"/>
      <c r="D48" s="5762"/>
      <c r="E48" s="5762"/>
      <c r="F48" s="5762"/>
      <c r="G48" s="5762"/>
      <c r="H48" s="5762"/>
      <c r="I48" s="5762"/>
      <c r="J48" s="5762"/>
      <c r="K48" s="5762"/>
      <c r="L48" s="5762"/>
      <c r="M48" s="5762"/>
      <c r="N48" s="5762"/>
      <c r="O48" s="5762"/>
      <c r="P48" s="886"/>
      <c r="Q48" s="886"/>
      <c r="R48" s="886"/>
      <c r="S48" s="886"/>
      <c r="T48" s="886"/>
      <c r="U48" s="886"/>
      <c r="V48" s="886"/>
    </row>
    <row r="49" spans="2:22" ht="36.4" thickBot="1">
      <c r="B49" s="5762" t="s">
        <v>311</v>
      </c>
      <c r="C49" s="5762"/>
      <c r="D49" s="5762"/>
      <c r="E49" s="5762"/>
      <c r="F49" s="5762"/>
      <c r="G49" s="5762"/>
      <c r="H49" s="5762"/>
      <c r="I49" s="5762"/>
      <c r="J49" s="5762"/>
      <c r="K49" s="5762"/>
      <c r="L49" s="5762"/>
      <c r="M49" s="5762"/>
      <c r="N49" s="5762"/>
      <c r="O49" s="5762"/>
      <c r="P49" s="886"/>
      <c r="Q49" s="886"/>
      <c r="R49" s="886"/>
      <c r="S49" s="886"/>
      <c r="T49" s="886"/>
      <c r="U49" s="886"/>
      <c r="V49" s="886"/>
    </row>
    <row r="50" spans="2:22" ht="30" customHeight="1" thickBot="1">
      <c r="B50" s="889" t="s">
        <v>33</v>
      </c>
      <c r="C50" s="890" t="s">
        <v>46</v>
      </c>
      <c r="D50" s="890" t="s">
        <v>34</v>
      </c>
      <c r="E50" s="890" t="s">
        <v>35</v>
      </c>
      <c r="F50" s="890" t="s">
        <v>38</v>
      </c>
      <c r="G50" s="890" t="s">
        <v>487</v>
      </c>
      <c r="H50" s="890" t="s">
        <v>39</v>
      </c>
      <c r="I50" s="890" t="s">
        <v>37</v>
      </c>
      <c r="J50" s="890" t="s">
        <v>36</v>
      </c>
      <c r="K50" s="890" t="s">
        <v>510</v>
      </c>
      <c r="L50" s="890" t="s">
        <v>729</v>
      </c>
      <c r="M50" s="890" t="s">
        <v>730</v>
      </c>
      <c r="N50" s="1768" t="s">
        <v>47</v>
      </c>
      <c r="O50" s="891" t="s">
        <v>394</v>
      </c>
    </row>
    <row r="51" spans="2:22" s="892" customFormat="1" ht="44.75" customHeight="1">
      <c r="B51" s="4853" t="s">
        <v>322</v>
      </c>
      <c r="C51" s="1775">
        <v>191810</v>
      </c>
      <c r="D51" s="1775">
        <v>8933</v>
      </c>
      <c r="E51" s="1775">
        <v>1369</v>
      </c>
      <c r="F51" s="1775">
        <v>14434</v>
      </c>
      <c r="G51" s="1775">
        <v>0</v>
      </c>
      <c r="H51" s="1776">
        <v>146</v>
      </c>
      <c r="I51" s="1775">
        <v>4628</v>
      </c>
      <c r="J51" s="1775">
        <v>427</v>
      </c>
      <c r="K51" s="1775">
        <v>1453</v>
      </c>
      <c r="L51" s="1775">
        <v>42799</v>
      </c>
      <c r="M51" s="1775">
        <v>0</v>
      </c>
      <c r="N51" s="1775">
        <v>314561.25</v>
      </c>
      <c r="O51" s="1777">
        <f>SUM(C51:N51)</f>
        <v>580560.25</v>
      </c>
      <c r="P51" s="892">
        <v>10244</v>
      </c>
      <c r="Q51" s="892">
        <v>304317.25</v>
      </c>
    </row>
    <row r="52" spans="2:22" s="892" customFormat="1" ht="44.75" customHeight="1">
      <c r="B52" s="893" t="s">
        <v>40</v>
      </c>
      <c r="C52" s="1778">
        <v>187997</v>
      </c>
      <c r="D52" s="1778">
        <v>67253</v>
      </c>
      <c r="E52" s="1778">
        <v>5220</v>
      </c>
      <c r="F52" s="1778">
        <v>60797</v>
      </c>
      <c r="G52" s="1778">
        <v>1231</v>
      </c>
      <c r="H52" s="1776">
        <v>3402</v>
      </c>
      <c r="I52" s="1778">
        <v>2034</v>
      </c>
      <c r="J52" s="1778">
        <v>3945</v>
      </c>
      <c r="K52" s="1778">
        <v>114</v>
      </c>
      <c r="L52" s="1778">
        <v>65066</v>
      </c>
      <c r="M52" s="1778">
        <v>0</v>
      </c>
      <c r="N52" s="1778">
        <v>552635.11</v>
      </c>
      <c r="O52" s="1779">
        <f t="shared" ref="O52:O60" si="4">SUM(C52:N52)</f>
        <v>949694.11</v>
      </c>
      <c r="P52" s="892">
        <v>0</v>
      </c>
      <c r="Q52" s="892">
        <v>551442.11</v>
      </c>
    </row>
    <row r="53" spans="2:22" s="892" customFormat="1" ht="44.75" customHeight="1">
      <c r="B53" s="893" t="s">
        <v>41</v>
      </c>
      <c r="C53" s="1778">
        <v>241750</v>
      </c>
      <c r="D53" s="1778">
        <v>187791</v>
      </c>
      <c r="E53" s="1778">
        <v>76229</v>
      </c>
      <c r="F53" s="1778">
        <v>250449</v>
      </c>
      <c r="G53" s="1778">
        <v>0</v>
      </c>
      <c r="H53" s="1776">
        <v>3780</v>
      </c>
      <c r="I53" s="1778">
        <v>78783</v>
      </c>
      <c r="J53" s="1778">
        <v>0</v>
      </c>
      <c r="K53" s="1778">
        <v>7515</v>
      </c>
      <c r="L53" s="1778">
        <v>5069</v>
      </c>
      <c r="M53" s="1778">
        <v>0</v>
      </c>
      <c r="N53" s="1778">
        <v>213253.38</v>
      </c>
      <c r="O53" s="1779">
        <f t="shared" si="4"/>
        <v>1064619.3799999999</v>
      </c>
      <c r="P53" s="892">
        <v>0</v>
      </c>
      <c r="Q53" s="892">
        <v>213253.38</v>
      </c>
    </row>
    <row r="54" spans="2:22" s="892" customFormat="1" ht="44.75" customHeight="1">
      <c r="B54" s="893" t="s">
        <v>42</v>
      </c>
      <c r="C54" s="1778">
        <v>1781047</v>
      </c>
      <c r="D54" s="1778">
        <v>2284496</v>
      </c>
      <c r="E54" s="1778">
        <v>750825</v>
      </c>
      <c r="F54" s="1778">
        <v>84017</v>
      </c>
      <c r="G54" s="1778">
        <v>0</v>
      </c>
      <c r="H54" s="1776">
        <v>5118</v>
      </c>
      <c r="I54" s="1778">
        <v>19867</v>
      </c>
      <c r="J54" s="1778">
        <v>34459</v>
      </c>
      <c r="K54" s="1778">
        <v>1346</v>
      </c>
      <c r="L54" s="1778">
        <v>269568</v>
      </c>
      <c r="M54" s="1778">
        <v>2760</v>
      </c>
      <c r="N54" s="1778">
        <v>1076618.26</v>
      </c>
      <c r="O54" s="1779">
        <f t="shared" si="4"/>
        <v>6310121.2599999998</v>
      </c>
      <c r="P54" s="892">
        <v>0</v>
      </c>
      <c r="Q54" s="892">
        <v>1069491.26</v>
      </c>
    </row>
    <row r="55" spans="2:22" s="892" customFormat="1" ht="44.75" customHeight="1">
      <c r="B55" s="893" t="s">
        <v>43</v>
      </c>
      <c r="C55" s="1778">
        <v>6068</v>
      </c>
      <c r="D55" s="1778">
        <v>0</v>
      </c>
      <c r="E55" s="1778">
        <v>0</v>
      </c>
      <c r="F55" s="1778">
        <v>61717</v>
      </c>
      <c r="G55" s="1778">
        <v>0</v>
      </c>
      <c r="H55" s="1776">
        <v>10110</v>
      </c>
      <c r="I55" s="1778">
        <v>310738</v>
      </c>
      <c r="J55" s="1778">
        <v>2772489</v>
      </c>
      <c r="K55" s="1778">
        <v>653</v>
      </c>
      <c r="L55" s="1778">
        <v>18757</v>
      </c>
      <c r="M55" s="1778">
        <v>0</v>
      </c>
      <c r="N55" s="1778">
        <v>140540.51</v>
      </c>
      <c r="O55" s="1779">
        <f t="shared" si="4"/>
        <v>3321072.51</v>
      </c>
      <c r="P55" s="892">
        <v>0</v>
      </c>
      <c r="Q55" s="892">
        <v>140540.51</v>
      </c>
    </row>
    <row r="56" spans="2:22" s="892" customFormat="1" ht="44.75" customHeight="1">
      <c r="B56" s="893" t="s">
        <v>497</v>
      </c>
      <c r="C56" s="1778">
        <v>556501</v>
      </c>
      <c r="D56" s="1778">
        <v>52931</v>
      </c>
      <c r="E56" s="1778">
        <v>5803</v>
      </c>
      <c r="F56" s="1778">
        <v>142127</v>
      </c>
      <c r="G56" s="1778">
        <v>0</v>
      </c>
      <c r="H56" s="1776">
        <v>0</v>
      </c>
      <c r="I56" s="1778">
        <v>39110</v>
      </c>
      <c r="J56" s="1778">
        <v>702068</v>
      </c>
      <c r="K56" s="1778">
        <v>20536</v>
      </c>
      <c r="L56" s="1778">
        <v>72579</v>
      </c>
      <c r="M56" s="1778">
        <v>0</v>
      </c>
      <c r="N56" s="1778">
        <v>546899.47</v>
      </c>
      <c r="O56" s="1779">
        <f t="shared" si="4"/>
        <v>2138554.4699999997</v>
      </c>
      <c r="P56" s="892">
        <v>0</v>
      </c>
      <c r="Q56" s="892">
        <v>539966.47</v>
      </c>
    </row>
    <row r="57" spans="2:22" s="892" customFormat="1" ht="44.75" customHeight="1">
      <c r="B57" s="893" t="s">
        <v>44</v>
      </c>
      <c r="C57" s="1778">
        <v>575131</v>
      </c>
      <c r="D57" s="1778">
        <v>344583</v>
      </c>
      <c r="E57" s="1778">
        <v>25107</v>
      </c>
      <c r="F57" s="1778">
        <v>48988</v>
      </c>
      <c r="G57" s="1778">
        <v>0</v>
      </c>
      <c r="H57" s="1776">
        <v>2523</v>
      </c>
      <c r="I57" s="1778">
        <v>43262</v>
      </c>
      <c r="J57" s="1778">
        <v>0</v>
      </c>
      <c r="K57" s="1778">
        <v>3223</v>
      </c>
      <c r="L57" s="1778">
        <v>276442</v>
      </c>
      <c r="M57" s="1778">
        <v>1967</v>
      </c>
      <c r="N57" s="1778">
        <v>323472.98</v>
      </c>
      <c r="O57" s="1779">
        <f t="shared" si="4"/>
        <v>1644698.98</v>
      </c>
      <c r="P57" s="892">
        <v>2763</v>
      </c>
      <c r="Q57" s="892">
        <v>320709.98</v>
      </c>
    </row>
    <row r="58" spans="2:22" s="892" customFormat="1" ht="44.75" customHeight="1">
      <c r="B58" s="893" t="s">
        <v>640</v>
      </c>
      <c r="C58" s="1778">
        <v>9042</v>
      </c>
      <c r="D58" s="1778">
        <v>2586</v>
      </c>
      <c r="E58" s="1778">
        <v>0</v>
      </c>
      <c r="F58" s="1778">
        <v>55416</v>
      </c>
      <c r="G58" s="1778">
        <v>0</v>
      </c>
      <c r="H58" s="1776">
        <v>3872</v>
      </c>
      <c r="I58" s="1778">
        <v>106356</v>
      </c>
      <c r="J58" s="1778">
        <v>0</v>
      </c>
      <c r="K58" s="1778">
        <v>7326</v>
      </c>
      <c r="L58" s="1778">
        <v>0</v>
      </c>
      <c r="M58" s="1778">
        <v>0</v>
      </c>
      <c r="N58" s="1778">
        <v>452255.08</v>
      </c>
      <c r="O58" s="1779">
        <f t="shared" si="4"/>
        <v>636853.08000000007</v>
      </c>
      <c r="P58" s="892">
        <v>0</v>
      </c>
      <c r="Q58" s="892">
        <v>452255.08</v>
      </c>
    </row>
    <row r="59" spans="2:22" s="892" customFormat="1" ht="44.75" customHeight="1">
      <c r="B59" s="893" t="s">
        <v>45</v>
      </c>
      <c r="C59" s="1778">
        <v>444091</v>
      </c>
      <c r="D59" s="1778">
        <v>54356</v>
      </c>
      <c r="E59" s="1778">
        <v>4438</v>
      </c>
      <c r="F59" s="1778">
        <v>36773</v>
      </c>
      <c r="G59" s="1778">
        <v>7350</v>
      </c>
      <c r="H59" s="1776">
        <v>0</v>
      </c>
      <c r="I59" s="1778">
        <v>0</v>
      </c>
      <c r="J59" s="1778">
        <v>0</v>
      </c>
      <c r="K59" s="1778">
        <v>89</v>
      </c>
      <c r="L59" s="1778">
        <v>12928</v>
      </c>
      <c r="M59" s="1778">
        <v>0</v>
      </c>
      <c r="N59" s="1778">
        <v>763836.58</v>
      </c>
      <c r="O59" s="1779">
        <f t="shared" si="4"/>
        <v>1323861.58</v>
      </c>
      <c r="P59" s="892">
        <v>0</v>
      </c>
      <c r="Q59" s="892">
        <v>763836.58</v>
      </c>
    </row>
    <row r="60" spans="2:22" s="892" customFormat="1" ht="44.75" customHeight="1">
      <c r="B60" s="893" t="s">
        <v>323</v>
      </c>
      <c r="C60" s="1778">
        <v>1425867</v>
      </c>
      <c r="D60" s="1778">
        <v>2443172</v>
      </c>
      <c r="E60" s="1778">
        <v>311413</v>
      </c>
      <c r="F60" s="1778">
        <v>210818</v>
      </c>
      <c r="G60" s="1778">
        <v>0</v>
      </c>
      <c r="H60" s="1776">
        <v>0</v>
      </c>
      <c r="I60" s="1778">
        <v>30249</v>
      </c>
      <c r="J60" s="1778">
        <v>114021</v>
      </c>
      <c r="K60" s="1778">
        <v>3029</v>
      </c>
      <c r="L60" s="1778">
        <v>991688</v>
      </c>
      <c r="M60" s="1778">
        <v>0</v>
      </c>
      <c r="N60" s="1778">
        <v>694149.73</v>
      </c>
      <c r="O60" s="1779">
        <f t="shared" si="4"/>
        <v>6224406.7300000004</v>
      </c>
      <c r="P60" s="892">
        <v>0</v>
      </c>
      <c r="Q60" s="892">
        <v>694149.73</v>
      </c>
    </row>
    <row r="61" spans="2:22" s="892" customFormat="1" ht="44.75" customHeight="1" thickBot="1">
      <c r="B61" s="894" t="s">
        <v>642</v>
      </c>
      <c r="C61" s="1778">
        <v>935008.98</v>
      </c>
      <c r="D61" s="1778">
        <v>250896.19</v>
      </c>
      <c r="E61" s="1778">
        <v>20262.53</v>
      </c>
      <c r="F61" s="1780">
        <v>205893.39</v>
      </c>
      <c r="G61" s="1780">
        <v>0</v>
      </c>
      <c r="H61" s="1781">
        <v>4413.6499999999996</v>
      </c>
      <c r="I61" s="1780">
        <v>134789.79999999999</v>
      </c>
      <c r="J61" s="1780">
        <v>0</v>
      </c>
      <c r="K61" s="1780">
        <v>26731.34</v>
      </c>
      <c r="L61" s="1782">
        <v>87018.4</v>
      </c>
      <c r="M61" s="1778">
        <v>0</v>
      </c>
      <c r="N61" s="1778">
        <v>1173809.5288000002</v>
      </c>
      <c r="O61" s="1794">
        <f>SUM(C61:N61)</f>
        <v>2838823.8087999998</v>
      </c>
      <c r="P61" s="892">
        <v>5019.5600000000004</v>
      </c>
      <c r="Q61" s="892">
        <v>1162480.9388000001</v>
      </c>
    </row>
    <row r="62" spans="2:22" s="892" customFormat="1" ht="40.25" hidden="1" customHeight="1" thickTop="1" thickBot="1">
      <c r="B62" s="894" t="s">
        <v>1023</v>
      </c>
      <c r="C62" s="1783"/>
      <c r="D62" s="1783"/>
      <c r="E62" s="1784"/>
      <c r="F62" s="1784"/>
      <c r="G62" s="1784"/>
      <c r="H62" s="1785"/>
      <c r="I62" s="1784"/>
      <c r="J62" s="1784"/>
      <c r="K62" s="1784"/>
      <c r="L62" s="1783"/>
      <c r="M62" s="1783"/>
      <c r="N62" s="1783"/>
      <c r="O62" s="1786"/>
    </row>
    <row r="63" spans="2:22" s="892" customFormat="1" ht="58.25" customHeight="1">
      <c r="B63" s="895" t="s">
        <v>1962</v>
      </c>
      <c r="C63" s="1787">
        <f>SUM(C51:C61)</f>
        <v>6354312.9800000004</v>
      </c>
      <c r="D63" s="1787">
        <f t="shared" ref="D63:N63" si="5">SUM(D51:D61)</f>
        <v>5696997.1900000004</v>
      </c>
      <c r="E63" s="1787">
        <f t="shared" si="5"/>
        <v>1200666.53</v>
      </c>
      <c r="F63" s="1787">
        <f t="shared" si="5"/>
        <v>1171429.3900000001</v>
      </c>
      <c r="G63" s="1787">
        <f t="shared" si="5"/>
        <v>8581</v>
      </c>
      <c r="H63" s="1787">
        <f t="shared" si="5"/>
        <v>33364.65</v>
      </c>
      <c r="I63" s="1787">
        <f t="shared" si="5"/>
        <v>769816.8</v>
      </c>
      <c r="J63" s="1787">
        <f t="shared" si="5"/>
        <v>3627409</v>
      </c>
      <c r="K63" s="1787">
        <f t="shared" si="5"/>
        <v>72015.34</v>
      </c>
      <c r="L63" s="1787">
        <f t="shared" si="5"/>
        <v>1841914.4</v>
      </c>
      <c r="M63" s="1787">
        <f t="shared" si="5"/>
        <v>4727</v>
      </c>
      <c r="N63" s="2650">
        <f t="shared" si="5"/>
        <v>6252031.8788000001</v>
      </c>
      <c r="O63" s="1777">
        <f>SUM(C63:N63)</f>
        <v>27033266.158800002</v>
      </c>
    </row>
    <row r="64" spans="2:22" s="892" customFormat="1" ht="58.25" customHeight="1">
      <c r="B64" s="894" t="s">
        <v>2325</v>
      </c>
      <c r="C64" s="2649">
        <v>6344622</v>
      </c>
      <c r="D64" s="1780">
        <v>6287329</v>
      </c>
      <c r="E64" s="1780">
        <v>1396783</v>
      </c>
      <c r="F64" s="1780">
        <v>789313</v>
      </c>
      <c r="G64" s="1780">
        <v>7695</v>
      </c>
      <c r="H64" s="1780">
        <v>109971</v>
      </c>
      <c r="I64" s="1780">
        <v>630699</v>
      </c>
      <c r="J64" s="1780">
        <v>3147821</v>
      </c>
      <c r="K64" s="1780">
        <v>47979</v>
      </c>
      <c r="L64" s="2649">
        <v>1625782</v>
      </c>
      <c r="M64" s="1780">
        <v>2020</v>
      </c>
      <c r="N64" s="3578">
        <v>5706711</v>
      </c>
      <c r="O64" s="1790">
        <f>SUM(C64:N64)</f>
        <v>26096725</v>
      </c>
      <c r="R64" s="3238"/>
    </row>
    <row r="65" spans="1:18" s="892" customFormat="1" ht="58.25" customHeight="1">
      <c r="B65" s="894" t="s">
        <v>1824</v>
      </c>
      <c r="C65" s="1778">
        <v>5647016.4595999997</v>
      </c>
      <c r="D65" s="1780">
        <v>5340240.0169000002</v>
      </c>
      <c r="E65" s="1780">
        <v>1391573.5098999999</v>
      </c>
      <c r="F65" s="1780">
        <v>613890.37109999999</v>
      </c>
      <c r="G65" s="1780">
        <v>161.19999999999999</v>
      </c>
      <c r="H65" s="1780">
        <v>112480.55349999999</v>
      </c>
      <c r="I65" s="1780">
        <v>616090.35010000004</v>
      </c>
      <c r="J65" s="1780">
        <v>1212929</v>
      </c>
      <c r="K65" s="1780">
        <v>38653.681799999998</v>
      </c>
      <c r="L65" s="2649">
        <v>918423.42879999999</v>
      </c>
      <c r="M65" s="1780">
        <v>0</v>
      </c>
      <c r="N65" s="2513">
        <v>6235071.2401879998</v>
      </c>
      <c r="O65" s="1790">
        <v>22126529.811887998</v>
      </c>
    </row>
    <row r="66" spans="1:18" s="892" customFormat="1" ht="58.25" customHeight="1">
      <c r="A66" s="896"/>
      <c r="B66" s="894" t="s">
        <v>1870</v>
      </c>
      <c r="C66" s="1788">
        <v>5690128.9999000002</v>
      </c>
      <c r="D66" s="1780">
        <v>5457350.2247000001</v>
      </c>
      <c r="E66" s="1780">
        <v>1229065.1916999999</v>
      </c>
      <c r="F66" s="1780">
        <v>1194541.2579999999</v>
      </c>
      <c r="G66" s="1780">
        <v>54673.391000000003</v>
      </c>
      <c r="H66" s="1780">
        <v>36909.537400000001</v>
      </c>
      <c r="I66" s="1780">
        <v>458023.2721</v>
      </c>
      <c r="J66" s="1780">
        <v>913601</v>
      </c>
      <c r="K66" s="1780">
        <v>49760.499499999998</v>
      </c>
      <c r="L66" s="1788">
        <v>1111144.58</v>
      </c>
      <c r="M66" s="1780">
        <v>8850.7049999999999</v>
      </c>
      <c r="N66" s="1789">
        <v>4544394.6504270006</v>
      </c>
      <c r="O66" s="1790">
        <f t="shared" ref="O66:O71" si="6">+SUM(C66:N66)</f>
        <v>20748443.309727002</v>
      </c>
      <c r="Q66" s="897"/>
    </row>
    <row r="67" spans="1:18" s="892" customFormat="1" ht="58.25" customHeight="1">
      <c r="A67" s="896"/>
      <c r="B67" s="898" t="s">
        <v>929</v>
      </c>
      <c r="C67" s="1788">
        <v>7101878</v>
      </c>
      <c r="D67" s="1780">
        <v>7844345</v>
      </c>
      <c r="E67" s="1778">
        <v>2308583</v>
      </c>
      <c r="F67" s="1780">
        <v>945294</v>
      </c>
      <c r="G67" s="1780">
        <v>238</v>
      </c>
      <c r="H67" s="1780">
        <v>28309</v>
      </c>
      <c r="I67" s="1780">
        <v>469892</v>
      </c>
      <c r="J67" s="1780">
        <v>2211768</v>
      </c>
      <c r="K67" s="1780">
        <v>51138</v>
      </c>
      <c r="L67" s="1780">
        <v>1136461</v>
      </c>
      <c r="M67" s="1780">
        <v>2132</v>
      </c>
      <c r="N67" s="1782">
        <v>5089672</v>
      </c>
      <c r="O67" s="1779">
        <f t="shared" si="6"/>
        <v>27189710</v>
      </c>
      <c r="P67" s="899"/>
      <c r="Q67" s="897"/>
    </row>
    <row r="68" spans="1:18" s="892" customFormat="1" ht="58.25" customHeight="1">
      <c r="A68" s="896"/>
      <c r="B68" s="893" t="s">
        <v>823</v>
      </c>
      <c r="C68" s="1791">
        <v>6109797.1669999994</v>
      </c>
      <c r="D68" s="1791">
        <v>8146248.9724000003</v>
      </c>
      <c r="E68" s="1791">
        <v>1440529.6899000001</v>
      </c>
      <c r="F68" s="1791">
        <v>622474.25300000003</v>
      </c>
      <c r="G68" s="1791">
        <v>757.2</v>
      </c>
      <c r="H68" s="1791">
        <v>26107.5357</v>
      </c>
      <c r="I68" s="1791">
        <v>564135.06000000006</v>
      </c>
      <c r="J68" s="1791">
        <v>2433435.9701999999</v>
      </c>
      <c r="K68" s="1791">
        <v>80293</v>
      </c>
      <c r="L68" s="1791">
        <v>1682929</v>
      </c>
      <c r="M68" s="1791">
        <v>6251</v>
      </c>
      <c r="N68" s="1791">
        <v>6638876</v>
      </c>
      <c r="O68" s="1779">
        <f t="shared" si="6"/>
        <v>27751834.848199997</v>
      </c>
      <c r="P68" s="900"/>
      <c r="Q68" s="897"/>
    </row>
    <row r="69" spans="1:18" s="892" customFormat="1" ht="58.25" customHeight="1">
      <c r="A69" s="896"/>
      <c r="B69" s="893" t="s">
        <v>767</v>
      </c>
      <c r="C69" s="1792">
        <v>8386268.5300000003</v>
      </c>
      <c r="D69" s="1792">
        <v>7138252.1174999997</v>
      </c>
      <c r="E69" s="1792">
        <v>1655748.5245999999</v>
      </c>
      <c r="F69" s="1792">
        <v>778976.69169999997</v>
      </c>
      <c r="G69" s="1792">
        <v>5877</v>
      </c>
      <c r="H69" s="1792">
        <v>51679.155500000001</v>
      </c>
      <c r="I69" s="1792">
        <v>604387.28009999997</v>
      </c>
      <c r="J69" s="1792">
        <v>3207992.0174000002</v>
      </c>
      <c r="K69" s="1792">
        <v>98526</v>
      </c>
      <c r="L69" s="1792">
        <v>1729697</v>
      </c>
      <c r="M69" s="1792">
        <v>12158</v>
      </c>
      <c r="N69" s="1792">
        <v>4022024</v>
      </c>
      <c r="O69" s="1779">
        <f t="shared" si="6"/>
        <v>27691586.316799998</v>
      </c>
      <c r="P69" s="900"/>
      <c r="Q69" s="897"/>
    </row>
    <row r="70" spans="1:18" s="892" customFormat="1" ht="58.25" customHeight="1">
      <c r="B70" s="893" t="s">
        <v>711</v>
      </c>
      <c r="C70" s="1792">
        <v>7684501.9868000001</v>
      </c>
      <c r="D70" s="1792">
        <v>7321004.8800999997</v>
      </c>
      <c r="E70" s="1792">
        <v>2120492.9172999999</v>
      </c>
      <c r="F70" s="1792">
        <v>852233.10100000002</v>
      </c>
      <c r="G70" s="1792">
        <v>9015</v>
      </c>
      <c r="H70" s="1792">
        <v>18922.012699999999</v>
      </c>
      <c r="I70" s="1792">
        <v>336179.26620000001</v>
      </c>
      <c r="J70" s="1792">
        <v>2996117.1231</v>
      </c>
      <c r="K70" s="1792">
        <v>86033</v>
      </c>
      <c r="L70" s="1792" t="s">
        <v>54</v>
      </c>
      <c r="M70" s="1792" t="s">
        <v>54</v>
      </c>
      <c r="N70" s="1792">
        <v>5658740</v>
      </c>
      <c r="O70" s="1779">
        <f t="shared" si="6"/>
        <v>27083239.2872</v>
      </c>
      <c r="P70" s="900"/>
      <c r="Q70" s="897"/>
      <c r="R70" s="901"/>
    </row>
    <row r="71" spans="1:18" s="892" customFormat="1" ht="58.25" customHeight="1" thickBot="1">
      <c r="B71" s="902" t="s">
        <v>641</v>
      </c>
      <c r="C71" s="1793">
        <v>5451696.0700000003</v>
      </c>
      <c r="D71" s="1793">
        <v>7988027.1900000004</v>
      </c>
      <c r="E71" s="1793">
        <v>1270361.1599999999</v>
      </c>
      <c r="F71" s="1793">
        <v>733034.53</v>
      </c>
      <c r="G71" s="1793">
        <v>3080.05</v>
      </c>
      <c r="H71" s="1793">
        <v>39889.42</v>
      </c>
      <c r="I71" s="1793">
        <v>580942.41</v>
      </c>
      <c r="J71" s="1793">
        <v>3150676</v>
      </c>
      <c r="K71" s="1793">
        <v>61675</v>
      </c>
      <c r="L71" s="1793" t="s">
        <v>54</v>
      </c>
      <c r="M71" s="1793" t="s">
        <v>54</v>
      </c>
      <c r="N71" s="1793">
        <v>5594457</v>
      </c>
      <c r="O71" s="1794">
        <f t="shared" si="6"/>
        <v>24873838.830000002</v>
      </c>
      <c r="P71" s="900"/>
      <c r="Q71" s="897"/>
    </row>
    <row r="72" spans="1:18" s="892" customFormat="1" ht="36.4" hidden="1" thickBot="1">
      <c r="B72" s="903" t="s">
        <v>655</v>
      </c>
      <c r="C72" s="904">
        <v>5572544.0736999996</v>
      </c>
      <c r="D72" s="904">
        <v>6829584.1426999997</v>
      </c>
      <c r="E72" s="904">
        <v>2226914.9147999999</v>
      </c>
      <c r="F72" s="904">
        <v>826578.12760000001</v>
      </c>
      <c r="G72" s="904">
        <v>617953.55556900008</v>
      </c>
      <c r="H72" s="904">
        <v>45921.361199999999</v>
      </c>
      <c r="I72" s="904">
        <v>1001479.6585</v>
      </c>
      <c r="J72" s="904">
        <v>2303555</v>
      </c>
      <c r="K72" s="905"/>
      <c r="L72" s="904">
        <v>34087.892200000002</v>
      </c>
      <c r="M72" s="905"/>
      <c r="N72" s="906" t="s">
        <v>506</v>
      </c>
      <c r="O72" s="906" t="s">
        <v>506</v>
      </c>
      <c r="P72" s="907">
        <v>6698542.8748739995</v>
      </c>
      <c r="Q72" s="908">
        <f>SUM(C72:P72)</f>
        <v>26157161.601142999</v>
      </c>
    </row>
    <row r="73" spans="1:18" s="892" customFormat="1" ht="36.4" hidden="1" thickBot="1">
      <c r="B73" s="909" t="s">
        <v>498</v>
      </c>
      <c r="C73" s="910">
        <v>7027674.7599999998</v>
      </c>
      <c r="D73" s="910">
        <v>6704320.4199999999</v>
      </c>
      <c r="E73" s="910">
        <v>2049878.32</v>
      </c>
      <c r="F73" s="910">
        <v>824411.55</v>
      </c>
      <c r="G73" s="910">
        <v>753598.83000000007</v>
      </c>
      <c r="H73" s="910">
        <v>82690.89</v>
      </c>
      <c r="I73" s="910">
        <v>1248580.8</v>
      </c>
      <c r="J73" s="910">
        <v>2658471.2000000002</v>
      </c>
      <c r="K73" s="911"/>
      <c r="L73" s="910">
        <v>6137.76</v>
      </c>
      <c r="M73" s="911"/>
      <c r="N73" s="910" t="s">
        <v>506</v>
      </c>
      <c r="O73" s="910" t="s">
        <v>506</v>
      </c>
      <c r="P73" s="912">
        <v>4496991.25</v>
      </c>
      <c r="Q73" s="913">
        <f>SUM(C73:P73)</f>
        <v>25852755.780000005</v>
      </c>
    </row>
    <row r="74" spans="1:18" ht="36.4" hidden="1" thickBot="1">
      <c r="B74" s="914" t="s">
        <v>441</v>
      </c>
      <c r="C74" s="915">
        <v>7015237.25</v>
      </c>
      <c r="D74" s="915">
        <v>7136844.8499999996</v>
      </c>
      <c r="E74" s="915">
        <v>2496861.92</v>
      </c>
      <c r="F74" s="915">
        <v>574908.39</v>
      </c>
      <c r="G74" s="915">
        <v>147060.79999999999</v>
      </c>
      <c r="H74" s="915">
        <v>32889.85</v>
      </c>
      <c r="I74" s="915">
        <v>984989.85</v>
      </c>
      <c r="J74" s="915">
        <v>1293408.5</v>
      </c>
      <c r="K74" s="905"/>
      <c r="L74" s="915"/>
      <c r="M74" s="905"/>
      <c r="N74" s="915" t="s">
        <v>506</v>
      </c>
      <c r="O74" s="906"/>
      <c r="P74" s="906"/>
      <c r="Q74" s="915">
        <v>5115915.08</v>
      </c>
      <c r="R74" s="916">
        <f>SUM(C74:Q74)</f>
        <v>24798116.490000002</v>
      </c>
    </row>
    <row r="75" spans="1:18" ht="36.4" hidden="1" thickBot="1">
      <c r="B75" s="917" t="s">
        <v>1</v>
      </c>
      <c r="C75" s="915">
        <v>8064717.2199999997</v>
      </c>
      <c r="D75" s="915">
        <v>5383337.8600000003</v>
      </c>
      <c r="E75" s="915">
        <v>2471759.7000000002</v>
      </c>
      <c r="F75" s="915">
        <v>1384283.78</v>
      </c>
      <c r="G75" s="915">
        <v>603839.74</v>
      </c>
      <c r="H75" s="915">
        <v>84065.24</v>
      </c>
      <c r="I75" s="915">
        <v>770149.84000000008</v>
      </c>
      <c r="J75" s="915">
        <v>892985</v>
      </c>
      <c r="K75" s="905"/>
      <c r="L75" s="915"/>
      <c r="M75" s="905"/>
      <c r="N75" s="915" t="s">
        <v>506</v>
      </c>
      <c r="O75" s="906"/>
      <c r="P75" s="906"/>
      <c r="Q75" s="915">
        <v>4642626.45</v>
      </c>
      <c r="R75" s="916">
        <f>SUM(C75:Q75)</f>
        <v>24297764.829999998</v>
      </c>
    </row>
    <row r="76" spans="1:18" ht="36.4" hidden="1" thickBot="1">
      <c r="B76" s="917" t="s">
        <v>324</v>
      </c>
      <c r="C76" s="915">
        <v>6398459.1200000001</v>
      </c>
      <c r="D76" s="915">
        <v>6748469.6799999997</v>
      </c>
      <c r="E76" s="915">
        <v>2488587.36</v>
      </c>
      <c r="F76" s="915">
        <v>1266189.76</v>
      </c>
      <c r="G76" s="915">
        <v>1214889.8</v>
      </c>
      <c r="H76" s="915">
        <v>88874.4</v>
      </c>
      <c r="I76" s="915">
        <v>389093.95999999996</v>
      </c>
      <c r="J76" s="915">
        <v>1044156</v>
      </c>
      <c r="K76" s="905"/>
      <c r="L76" s="915"/>
      <c r="M76" s="905"/>
      <c r="N76" s="915" t="s">
        <v>506</v>
      </c>
      <c r="O76" s="906"/>
      <c r="P76" s="906"/>
      <c r="Q76" s="915">
        <v>4423560.6330000004</v>
      </c>
      <c r="R76" s="916">
        <f>SUM(C76:Q76)</f>
        <v>24062280.713000003</v>
      </c>
    </row>
    <row r="77" spans="1:18" ht="36.4" hidden="1" thickBot="1">
      <c r="B77" s="914" t="s">
        <v>479</v>
      </c>
      <c r="C77" s="915">
        <v>5141801</v>
      </c>
      <c r="D77" s="915">
        <v>2266606.9700000002</v>
      </c>
      <c r="E77" s="915">
        <v>1473963.35</v>
      </c>
      <c r="F77" s="915">
        <v>1173876</v>
      </c>
      <c r="G77" s="915">
        <v>432475.15</v>
      </c>
      <c r="H77" s="915">
        <v>793019</v>
      </c>
      <c r="I77" s="915">
        <v>95114.5</v>
      </c>
      <c r="J77" s="915">
        <v>6410690</v>
      </c>
      <c r="K77" s="905"/>
      <c r="L77" s="915"/>
      <c r="M77" s="905"/>
      <c r="N77" s="915" t="s">
        <v>506</v>
      </c>
      <c r="O77" s="906"/>
      <c r="P77" s="906"/>
      <c r="Q77" s="915">
        <v>3907599.22</v>
      </c>
      <c r="R77" s="916">
        <f>SUM(C77:Q77)</f>
        <v>21695145.189999998</v>
      </c>
    </row>
    <row r="78" spans="1:18" ht="36.4" hidden="1" thickBot="1">
      <c r="B78" s="918" t="s">
        <v>828</v>
      </c>
      <c r="C78" s="919">
        <v>6014849</v>
      </c>
      <c r="D78" s="919">
        <v>2451811.88</v>
      </c>
      <c r="E78" s="919">
        <v>260734.81</v>
      </c>
      <c r="F78" s="919">
        <v>1071677</v>
      </c>
      <c r="G78" s="919">
        <v>497728.27</v>
      </c>
      <c r="H78" s="919">
        <v>855116.22</v>
      </c>
      <c r="I78" s="919">
        <v>49580.32</v>
      </c>
      <c r="J78" s="919">
        <v>4266968.55</v>
      </c>
      <c r="K78" s="911"/>
      <c r="L78" s="920" t="s">
        <v>506</v>
      </c>
      <c r="M78" s="911"/>
      <c r="N78" s="919" t="s">
        <v>506</v>
      </c>
      <c r="O78" s="921" t="s">
        <v>506</v>
      </c>
      <c r="P78" s="922">
        <v>5447250</v>
      </c>
      <c r="Q78" s="908">
        <v>3409778.61</v>
      </c>
      <c r="R78" s="923">
        <f>SUM(C78:Q78)</f>
        <v>24325494.66</v>
      </c>
    </row>
    <row r="79" spans="1:18" ht="36.4">
      <c r="B79" s="924" t="s">
        <v>1950</v>
      </c>
      <c r="C79" s="360"/>
      <c r="D79" s="360"/>
      <c r="E79" s="360"/>
      <c r="F79" s="360"/>
      <c r="G79" s="925"/>
      <c r="H79" s="925"/>
      <c r="I79" s="925"/>
      <c r="J79" s="925"/>
      <c r="K79" s="925"/>
      <c r="L79" s="925"/>
      <c r="M79" s="925"/>
      <c r="N79" s="925"/>
      <c r="O79" s="925"/>
    </row>
    <row r="80" spans="1:18" ht="36.4">
      <c r="B80" s="926" t="s">
        <v>1951</v>
      </c>
      <c r="O80" s="927"/>
    </row>
    <row r="81" spans="2:21" ht="36.4">
      <c r="B81" s="956" t="s">
        <v>200</v>
      </c>
      <c r="O81" s="927"/>
    </row>
    <row r="82" spans="2:21" ht="36.4">
      <c r="B82" s="926" t="s">
        <v>1869</v>
      </c>
    </row>
    <row r="83" spans="2:21" ht="22.5" customHeight="1"/>
    <row r="84" spans="2:21">
      <c r="U84" s="927"/>
    </row>
    <row r="93" spans="2:21">
      <c r="B93" s="887" t="s">
        <v>747</v>
      </c>
    </row>
  </sheetData>
  <mergeCells count="20">
    <mergeCell ref="J5:J6"/>
    <mergeCell ref="K5:K6"/>
    <mergeCell ref="L5:L6"/>
    <mergeCell ref="M5:M6"/>
    <mergeCell ref="E1:M1"/>
    <mergeCell ref="E2:M2"/>
    <mergeCell ref="B47:O47"/>
    <mergeCell ref="B48:O48"/>
    <mergeCell ref="B49:O49"/>
    <mergeCell ref="M29:O29"/>
    <mergeCell ref="E4:E6"/>
    <mergeCell ref="E20:M20"/>
    <mergeCell ref="F4:L4"/>
    <mergeCell ref="F5:F6"/>
    <mergeCell ref="G5:G6"/>
    <mergeCell ref="H5:H6"/>
    <mergeCell ref="I5:I6"/>
    <mergeCell ref="C26:N26"/>
    <mergeCell ref="C27:N27"/>
    <mergeCell ref="C28:N28"/>
  </mergeCells>
  <printOptions horizontalCentered="1" verticalCentered="1"/>
  <pageMargins left="0.25" right="0.25" top="0.75" bottom="0.75" header="0.3" footer="0.3"/>
  <pageSetup scale="18" firstPageNumber="103" orientation="landscape" useFirstPageNumber="1" r:id="rId1"/>
  <headerFooter scaleWithDoc="0" alignWithMargins="0">
    <oddFooter xml:space="preserve">&amp;C114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tabColor rgb="FF00B0F0"/>
    <pageSetUpPr fitToPage="1"/>
  </sheetPr>
  <dimension ref="A1:U75"/>
  <sheetViews>
    <sheetView view="pageBreakPreview" topLeftCell="B1" zoomScale="27" zoomScaleNormal="70" zoomScaleSheetLayoutView="100" workbookViewId="0">
      <selection activeCell="B44" sqref="B44"/>
    </sheetView>
  </sheetViews>
  <sheetFormatPr defaultColWidth="52.46484375" defaultRowHeight="43.15"/>
  <cols>
    <col min="1" max="1" width="52.46484375" style="1685" hidden="1" customWidth="1"/>
    <col min="2" max="2" width="12.46484375" style="1685" customWidth="1"/>
    <col min="3" max="3" width="174.46484375" style="1685" customWidth="1"/>
    <col min="4" max="7" width="15.46484375" style="1687" hidden="1" customWidth="1"/>
    <col min="8" max="8" width="25.46484375" style="1687" hidden="1" customWidth="1"/>
    <col min="9" max="10" width="31.33203125" style="1687" customWidth="1"/>
    <col min="11" max="20" width="31.33203125" style="1685" customWidth="1"/>
    <col min="21" max="21" width="30.33203125" style="1685" bestFit="1" customWidth="1"/>
    <col min="22" max="22" width="13.33203125" style="1685" customWidth="1"/>
    <col min="23" max="16384" width="52.46484375" style="1685"/>
  </cols>
  <sheetData>
    <row r="1" spans="3:21" ht="20" customHeight="1"/>
    <row r="2" spans="3:21" ht="40.25" customHeight="1">
      <c r="C2" s="5784" t="s">
        <v>678</v>
      </c>
      <c r="D2" s="5784"/>
      <c r="E2" s="5784"/>
      <c r="F2" s="5784"/>
      <c r="G2" s="5784"/>
      <c r="H2" s="5784"/>
      <c r="I2" s="5784"/>
      <c r="J2" s="5784"/>
      <c r="K2" s="5784"/>
      <c r="L2" s="5784"/>
      <c r="M2" s="5784"/>
      <c r="N2" s="5784"/>
      <c r="O2" s="5784"/>
      <c r="P2" s="5784"/>
      <c r="Q2" s="5784"/>
      <c r="R2" s="5784"/>
      <c r="S2" s="5784"/>
      <c r="T2" s="5784"/>
      <c r="U2" s="5784"/>
    </row>
    <row r="3" spans="3:21" ht="40.25" customHeight="1">
      <c r="C3" s="5785" t="s">
        <v>515</v>
      </c>
      <c r="D3" s="5785"/>
      <c r="E3" s="5785"/>
      <c r="F3" s="5785"/>
      <c r="G3" s="5785"/>
      <c r="H3" s="5785"/>
      <c r="I3" s="5785"/>
      <c r="J3" s="5785"/>
      <c r="K3" s="5785"/>
      <c r="L3" s="5785"/>
      <c r="M3" s="5785"/>
      <c r="N3" s="5785"/>
      <c r="O3" s="5785"/>
      <c r="P3" s="5785"/>
      <c r="Q3" s="5785"/>
      <c r="R3" s="5785"/>
      <c r="S3" s="5785"/>
      <c r="T3" s="5785"/>
      <c r="U3" s="5785"/>
    </row>
    <row r="4" spans="3:21" ht="40.25" customHeight="1">
      <c r="C4" s="5785" t="s">
        <v>513</v>
      </c>
      <c r="D4" s="5785"/>
      <c r="E4" s="5785"/>
      <c r="F4" s="5785"/>
      <c r="G4" s="5785"/>
      <c r="H4" s="5785"/>
      <c r="I4" s="5785"/>
      <c r="J4" s="5785"/>
      <c r="K4" s="5785"/>
      <c r="L4" s="5785"/>
      <c r="M4" s="5785"/>
      <c r="N4" s="5785"/>
      <c r="O4" s="5785"/>
      <c r="P4" s="5785"/>
      <c r="Q4" s="5785"/>
      <c r="R4" s="5785"/>
      <c r="S4" s="5785"/>
      <c r="T4" s="5785"/>
      <c r="U4" s="5785"/>
    </row>
    <row r="5" spans="3:21" ht="17" customHeight="1">
      <c r="C5" s="2069"/>
      <c r="D5" s="2069"/>
      <c r="E5" s="2069"/>
      <c r="F5" s="2069"/>
      <c r="G5" s="2069"/>
      <c r="H5" s="2069"/>
      <c r="I5" s="2069"/>
      <c r="J5" s="2069"/>
      <c r="K5" s="2069"/>
      <c r="L5" s="2069"/>
      <c r="M5" s="2069"/>
      <c r="N5" s="2069"/>
      <c r="O5" s="2069"/>
      <c r="P5" s="2069"/>
      <c r="Q5" s="2069"/>
      <c r="R5" s="2069"/>
      <c r="S5" s="2069"/>
      <c r="T5" s="2069"/>
    </row>
    <row r="6" spans="3:21" ht="24" customHeight="1" thickBot="1"/>
    <row r="7" spans="3:21" ht="42.5" customHeight="1" thickBot="1">
      <c r="C7" s="4141" t="s">
        <v>74</v>
      </c>
      <c r="D7" s="4142">
        <v>2006</v>
      </c>
      <c r="E7" s="4142">
        <v>2007</v>
      </c>
      <c r="F7" s="4142">
        <v>2008</v>
      </c>
      <c r="G7" s="4142">
        <v>2009</v>
      </c>
      <c r="H7" s="4142" t="s">
        <v>315</v>
      </c>
      <c r="I7" s="4694">
        <v>2011</v>
      </c>
      <c r="J7" s="4695">
        <v>2012</v>
      </c>
      <c r="K7" s="4695">
        <v>2013</v>
      </c>
      <c r="L7" s="4695">
        <v>2014</v>
      </c>
      <c r="M7" s="4695">
        <v>2015</v>
      </c>
      <c r="N7" s="4695">
        <v>2016</v>
      </c>
      <c r="O7" s="4695">
        <v>2017</v>
      </c>
      <c r="P7" s="4695">
        <v>2018</v>
      </c>
      <c r="Q7" s="4143" t="s">
        <v>858</v>
      </c>
      <c r="R7" s="4143" t="s">
        <v>1076</v>
      </c>
      <c r="S7" s="4143" t="s">
        <v>1533</v>
      </c>
      <c r="T7" s="4144" t="s">
        <v>1958</v>
      </c>
      <c r="U7" s="4145" t="s">
        <v>1959</v>
      </c>
    </row>
    <row r="8" spans="3:21" ht="30" customHeight="1">
      <c r="C8" s="4146"/>
      <c r="D8" s="4147"/>
      <c r="E8" s="4147"/>
      <c r="F8" s="4147"/>
      <c r="G8" s="4147"/>
      <c r="H8" s="2071"/>
      <c r="I8" s="4148"/>
      <c r="J8" s="4149"/>
      <c r="K8" s="4149"/>
      <c r="L8" s="4149"/>
      <c r="M8" s="4149"/>
      <c r="N8" s="4149"/>
      <c r="O8" s="4149"/>
      <c r="P8" s="4149"/>
      <c r="Q8" s="4149"/>
      <c r="R8" s="4149"/>
      <c r="S8" s="4149"/>
      <c r="T8" s="4150"/>
      <c r="U8" s="4151"/>
    </row>
    <row r="9" spans="3:21" ht="49.25" customHeight="1">
      <c r="C9" s="4146" t="s">
        <v>488</v>
      </c>
      <c r="D9" s="4152">
        <v>70210.702420528367</v>
      </c>
      <c r="E9" s="4152">
        <v>78307.954841210463</v>
      </c>
      <c r="F9" s="4152">
        <v>83716.635303711199</v>
      </c>
      <c r="G9" s="4152">
        <v>80255.272816805911</v>
      </c>
      <c r="H9" s="2071">
        <v>82.769441452648834</v>
      </c>
      <c r="I9" s="4153">
        <v>79.7</v>
      </c>
      <c r="J9" s="4153">
        <v>91.637595474503598</v>
      </c>
      <c r="K9" s="4153">
        <v>105.84900179793414</v>
      </c>
      <c r="L9" s="4153">
        <v>119.89208954073624</v>
      </c>
      <c r="M9" s="4153">
        <v>140.1</v>
      </c>
      <c r="N9" s="4153">
        <v>138.1</v>
      </c>
      <c r="O9" s="4153">
        <v>146.1</v>
      </c>
      <c r="P9" s="4153">
        <v>148.3566327843738</v>
      </c>
      <c r="Q9" s="4153">
        <v>182.79985984475553</v>
      </c>
      <c r="R9" s="4153">
        <v>121.29578153954736</v>
      </c>
      <c r="S9" s="4153">
        <v>129.96241069424067</v>
      </c>
      <c r="T9" s="2841">
        <v>179.87608711903837</v>
      </c>
      <c r="U9" s="3246">
        <v>207.55285196528581</v>
      </c>
    </row>
    <row r="10" spans="3:21" ht="30" customHeight="1">
      <c r="C10" s="4146"/>
      <c r="D10" s="4152"/>
      <c r="E10" s="4152"/>
      <c r="F10" s="4152"/>
      <c r="G10" s="4152"/>
      <c r="H10" s="2071"/>
      <c r="I10" s="4153"/>
      <c r="J10" s="4153"/>
      <c r="K10" s="4153"/>
      <c r="L10" s="4153"/>
      <c r="M10" s="4153"/>
      <c r="N10" s="4153"/>
      <c r="O10" s="4153"/>
      <c r="P10" s="4153"/>
      <c r="Q10" s="4153"/>
      <c r="R10" s="4153"/>
      <c r="S10" s="4153"/>
      <c r="T10" s="2841"/>
      <c r="U10" s="3246"/>
    </row>
    <row r="11" spans="3:21" ht="59" customHeight="1">
      <c r="C11" s="4154" t="s">
        <v>1034</v>
      </c>
      <c r="D11" s="4152">
        <v>30530.064173262937</v>
      </c>
      <c r="E11" s="4152">
        <v>29854.393472896856</v>
      </c>
      <c r="F11" s="4152">
        <v>28999.949132245925</v>
      </c>
      <c r="G11" s="4152">
        <v>28312.882359235351</v>
      </c>
      <c r="H11" s="2071">
        <v>28.195893024120728</v>
      </c>
      <c r="I11" s="4153">
        <v>26.655697282461649</v>
      </c>
      <c r="J11" s="4153">
        <v>32.09595253901383</v>
      </c>
      <c r="K11" s="4153">
        <v>33.135636717818826</v>
      </c>
      <c r="L11" s="4153">
        <v>34.618875007863053</v>
      </c>
      <c r="M11" s="4153">
        <v>32.063019539247072</v>
      </c>
      <c r="N11" s="4153">
        <v>35.47858996105635</v>
      </c>
      <c r="O11" s="4153">
        <v>35.510340403489323</v>
      </c>
      <c r="P11" s="4153">
        <v>37.634393023358882</v>
      </c>
      <c r="Q11" s="4153">
        <v>40.479279548279095</v>
      </c>
      <c r="R11" s="4153">
        <v>38.714962931914684</v>
      </c>
      <c r="S11" s="4153">
        <v>35.195104959898423</v>
      </c>
      <c r="T11" s="2841">
        <v>28.861077697433572</v>
      </c>
      <c r="U11" s="3246">
        <v>29.038478612605161</v>
      </c>
    </row>
    <row r="12" spans="3:21" ht="30" customHeight="1">
      <c r="C12" s="4146"/>
      <c r="D12" s="4152" t="s">
        <v>390</v>
      </c>
      <c r="E12" s="4152" t="s">
        <v>390</v>
      </c>
      <c r="F12" s="4152" t="s">
        <v>390</v>
      </c>
      <c r="G12" s="4152" t="s">
        <v>390</v>
      </c>
      <c r="H12" s="2071" t="s">
        <v>390</v>
      </c>
      <c r="I12" s="4153" t="s">
        <v>390</v>
      </c>
      <c r="J12" s="4153" t="s">
        <v>390</v>
      </c>
      <c r="K12" s="4153" t="s">
        <v>390</v>
      </c>
      <c r="L12" s="4153" t="s">
        <v>390</v>
      </c>
      <c r="M12" s="4153"/>
      <c r="N12" s="4153"/>
      <c r="O12" s="4153"/>
      <c r="P12" s="4153"/>
      <c r="Q12" s="4153"/>
      <c r="R12" s="4153"/>
      <c r="S12" s="4153"/>
      <c r="T12" s="2841"/>
      <c r="U12" s="3246"/>
    </row>
    <row r="13" spans="3:21" ht="53" customHeight="1">
      <c r="C13" s="4146" t="s">
        <v>1027</v>
      </c>
      <c r="D13" s="4152">
        <v>137147.9195938973</v>
      </c>
      <c r="E13" s="4152">
        <v>166138.51196900921</v>
      </c>
      <c r="F13" s="4152">
        <v>140902.61908462661</v>
      </c>
      <c r="G13" s="4152">
        <v>116680.4606496537</v>
      </c>
      <c r="H13" s="2071">
        <v>107.29957282722317</v>
      </c>
      <c r="I13" s="4153">
        <v>127.47781579244068</v>
      </c>
      <c r="J13" s="4153">
        <v>115.38048720006877</v>
      </c>
      <c r="K13" s="4153">
        <v>77.970672046839155</v>
      </c>
      <c r="L13" s="4153">
        <v>65.328285158845375</v>
      </c>
      <c r="M13" s="4153">
        <v>70.163421407108885</v>
      </c>
      <c r="N13" s="4153">
        <v>85.213204380000008</v>
      </c>
      <c r="O13" s="4153">
        <v>97.177499279683644</v>
      </c>
      <c r="P13" s="4153">
        <v>91.328850785098325</v>
      </c>
      <c r="Q13" s="4153">
        <v>89.94510481492128</v>
      </c>
      <c r="R13" s="4153">
        <v>80.739661989567779</v>
      </c>
      <c r="S13" s="4153">
        <v>190.63199168755912</v>
      </c>
      <c r="T13" s="2841">
        <v>271.94762064072307</v>
      </c>
      <c r="U13" s="3246">
        <v>330.32661941319861</v>
      </c>
    </row>
    <row r="14" spans="3:21" ht="30" customHeight="1">
      <c r="C14" s="4146"/>
      <c r="D14" s="4152"/>
      <c r="E14" s="4152"/>
      <c r="F14" s="4152"/>
      <c r="G14" s="4152"/>
      <c r="H14" s="2071"/>
      <c r="I14" s="4153"/>
      <c r="J14" s="4153"/>
      <c r="K14" s="4153"/>
      <c r="L14" s="4153"/>
      <c r="M14" s="4153"/>
      <c r="N14" s="4153"/>
      <c r="O14" s="4153"/>
      <c r="P14" s="4153"/>
      <c r="Q14" s="4153"/>
      <c r="R14" s="4153"/>
      <c r="S14" s="4153"/>
      <c r="T14" s="2841"/>
      <c r="U14" s="3246"/>
    </row>
    <row r="15" spans="3:21" ht="50.55" customHeight="1">
      <c r="C15" s="4146" t="s">
        <v>1024</v>
      </c>
      <c r="D15" s="4152">
        <v>5264.1425834182237</v>
      </c>
      <c r="E15" s="4152">
        <v>5251.1447311849897</v>
      </c>
      <c r="F15" s="4152">
        <v>5245.5062307340895</v>
      </c>
      <c r="G15" s="4152">
        <v>5208.0888342634471</v>
      </c>
      <c r="H15" s="2071">
        <v>4.8013233995137616</v>
      </c>
      <c r="I15" s="4153">
        <v>4.963139264141204</v>
      </c>
      <c r="J15" s="4153">
        <v>4.9667011516476292</v>
      </c>
      <c r="K15" s="4153">
        <v>3.3761385408368989</v>
      </c>
      <c r="L15" s="4153">
        <v>3.8470277249614551</v>
      </c>
      <c r="M15" s="4153">
        <v>4.4381292171227056</v>
      </c>
      <c r="N15" s="4153">
        <v>4.8139889345119578</v>
      </c>
      <c r="O15" s="4153">
        <v>3.6684277743521956</v>
      </c>
      <c r="P15" s="4153">
        <v>3.1586822350247945</v>
      </c>
      <c r="Q15" s="4153">
        <v>2.8376403574882647</v>
      </c>
      <c r="R15" s="4153">
        <v>1.6372777319133709</v>
      </c>
      <c r="S15" s="4153">
        <v>1.8848893892759107</v>
      </c>
      <c r="T15" s="2841">
        <v>2.6826696533044672</v>
      </c>
      <c r="U15" s="3246">
        <v>3.3529697785594976</v>
      </c>
    </row>
    <row r="16" spans="3:21" ht="30" customHeight="1">
      <c r="C16" s="4146"/>
      <c r="D16" s="4152"/>
      <c r="E16" s="4152"/>
      <c r="F16" s="4152"/>
      <c r="G16" s="4152"/>
      <c r="H16" s="2071"/>
      <c r="I16" s="4153"/>
      <c r="J16" s="4153"/>
      <c r="K16" s="4153"/>
      <c r="L16" s="4153"/>
      <c r="M16" s="4153"/>
      <c r="N16" s="4153"/>
      <c r="O16" s="4153"/>
      <c r="P16" s="4153"/>
      <c r="Q16" s="4153"/>
      <c r="R16" s="4153"/>
      <c r="S16" s="4153"/>
      <c r="T16" s="2841"/>
      <c r="U16" s="3246"/>
    </row>
    <row r="17" spans="3:21" ht="53" customHeight="1">
      <c r="C17" s="4146" t="s">
        <v>1025</v>
      </c>
      <c r="D17" s="4152">
        <v>39534.445299025821</v>
      </c>
      <c r="E17" s="4152">
        <v>38233.27691624991</v>
      </c>
      <c r="F17" s="4152">
        <v>36023.354045603359</v>
      </c>
      <c r="G17" s="4152">
        <v>39764.705282961739</v>
      </c>
      <c r="H17" s="2071">
        <v>34.736160229312475</v>
      </c>
      <c r="I17" s="4153">
        <v>31.553331123432919</v>
      </c>
      <c r="J17" s="4153">
        <v>30.1387850761386</v>
      </c>
      <c r="K17" s="4153">
        <v>28.829667232253023</v>
      </c>
      <c r="L17" s="4153">
        <v>27.339269420874672</v>
      </c>
      <c r="M17" s="4153">
        <v>28.186162753766567</v>
      </c>
      <c r="N17" s="4153">
        <v>24.957665630751276</v>
      </c>
      <c r="O17" s="4153">
        <v>24.13987025007896</v>
      </c>
      <c r="P17" s="4153">
        <v>23.989451943310517</v>
      </c>
      <c r="Q17" s="4153">
        <v>25.115441831728901</v>
      </c>
      <c r="R17" s="4153">
        <v>24.646340367200466</v>
      </c>
      <c r="S17" s="4153">
        <v>26.219151489078353</v>
      </c>
      <c r="T17" s="2841">
        <v>29.352638515089719</v>
      </c>
      <c r="U17" s="3246">
        <v>29.531301664949062</v>
      </c>
    </row>
    <row r="18" spans="3:21" ht="30" customHeight="1">
      <c r="C18" s="4146"/>
      <c r="D18" s="4152"/>
      <c r="E18" s="4152"/>
      <c r="F18" s="4152"/>
      <c r="G18" s="4152"/>
      <c r="H18" s="2071"/>
      <c r="I18" s="4153"/>
      <c r="J18" s="4153"/>
      <c r="K18" s="4153"/>
      <c r="L18" s="4153"/>
      <c r="M18" s="4153"/>
      <c r="N18" s="4153"/>
      <c r="O18" s="4153"/>
      <c r="P18" s="4153"/>
      <c r="Q18" s="4153"/>
      <c r="R18" s="4153"/>
      <c r="S18" s="4153"/>
      <c r="T18" s="2841"/>
      <c r="U18" s="3246"/>
    </row>
    <row r="19" spans="3:21" ht="57" customHeight="1">
      <c r="C19" s="4154" t="s">
        <v>1035</v>
      </c>
      <c r="D19" s="4152">
        <v>6313.9103258390342</v>
      </c>
      <c r="E19" s="4152">
        <v>6304.6915372123349</v>
      </c>
      <c r="F19" s="4152">
        <v>6912.5195792978593</v>
      </c>
      <c r="G19" s="4152">
        <v>6220.9378914934068</v>
      </c>
      <c r="H19" s="2071">
        <v>6.3513205540327027</v>
      </c>
      <c r="I19" s="4153">
        <v>7.0756180107694497</v>
      </c>
      <c r="J19" s="4153">
        <v>7.5029628662434122</v>
      </c>
      <c r="K19" s="4153">
        <v>10.160374781928004</v>
      </c>
      <c r="L19" s="4153">
        <v>13.556480939993115</v>
      </c>
      <c r="M19" s="4153">
        <v>13.44278107201985</v>
      </c>
      <c r="N19" s="4153">
        <v>18.04561567</v>
      </c>
      <c r="O19" s="4153">
        <v>16.056888805726466</v>
      </c>
      <c r="P19" s="4153">
        <v>15.311952694822246</v>
      </c>
      <c r="Q19" s="4153">
        <v>16.470744575461488</v>
      </c>
      <c r="R19" s="4153">
        <v>16.853679312791176</v>
      </c>
      <c r="S19" s="4153">
        <v>35.33599703224565</v>
      </c>
      <c r="T19" s="2841">
        <v>22.602504883268352</v>
      </c>
      <c r="U19" s="3246">
        <v>22.687132329847564</v>
      </c>
    </row>
    <row r="20" spans="3:21" ht="30" customHeight="1">
      <c r="C20" s="4146"/>
      <c r="D20" s="4152"/>
      <c r="E20" s="4152"/>
      <c r="F20" s="4152"/>
      <c r="G20" s="4152"/>
      <c r="H20" s="2071"/>
      <c r="I20" s="4153"/>
      <c r="J20" s="4153"/>
      <c r="K20" s="4153"/>
      <c r="L20" s="4153"/>
      <c r="M20" s="4153"/>
      <c r="N20" s="4153"/>
      <c r="O20" s="4153"/>
      <c r="P20" s="4153"/>
      <c r="Q20" s="4153"/>
      <c r="R20" s="4153"/>
      <c r="S20" s="4153"/>
      <c r="T20" s="2841"/>
      <c r="U20" s="3246"/>
    </row>
    <row r="21" spans="3:21" ht="59" customHeight="1">
      <c r="C21" s="4146" t="s">
        <v>1036</v>
      </c>
      <c r="D21" s="4152">
        <v>8277.7579870939408</v>
      </c>
      <c r="E21" s="4152">
        <v>8653.5646426816293</v>
      </c>
      <c r="F21" s="4152">
        <v>8612.0589482417145</v>
      </c>
      <c r="G21" s="4152">
        <v>8629.7949473094941</v>
      </c>
      <c r="H21" s="2071">
        <v>8.0052494012353925</v>
      </c>
      <c r="I21" s="4153">
        <v>9.2774742665576859</v>
      </c>
      <c r="J21" s="4153">
        <v>9.0148056737827176</v>
      </c>
      <c r="K21" s="4153">
        <v>11.678013652249309</v>
      </c>
      <c r="L21" s="4153">
        <v>11.826878019507307</v>
      </c>
      <c r="M21" s="4153">
        <v>13.220655178933152</v>
      </c>
      <c r="N21" s="4153">
        <v>14.29143129</v>
      </c>
      <c r="O21" s="4153">
        <v>13.991726378484843</v>
      </c>
      <c r="P21" s="4153">
        <v>24.447724881253638</v>
      </c>
      <c r="Q21" s="4153">
        <v>31.40541195189849</v>
      </c>
      <c r="R21" s="4153">
        <v>42.652629508701352</v>
      </c>
      <c r="S21" s="4153">
        <v>47.494348059176339</v>
      </c>
      <c r="T21" s="2841">
        <v>49.895239851945014</v>
      </c>
      <c r="U21" s="3246">
        <v>45.166447333072334</v>
      </c>
    </row>
    <row r="22" spans="3:21" ht="30" customHeight="1">
      <c r="C22" s="4146"/>
      <c r="D22" s="4152" t="s">
        <v>390</v>
      </c>
      <c r="E22" s="4152" t="s">
        <v>390</v>
      </c>
      <c r="F22" s="4152" t="s">
        <v>390</v>
      </c>
      <c r="G22" s="4152" t="s">
        <v>390</v>
      </c>
      <c r="H22" s="2071"/>
      <c r="I22" s="4153"/>
      <c r="J22" s="4153"/>
      <c r="K22" s="4153"/>
      <c r="L22" s="4153"/>
      <c r="M22" s="4153"/>
      <c r="N22" s="4153"/>
      <c r="O22" s="4153"/>
      <c r="P22" s="4153"/>
      <c r="Q22" s="4153"/>
      <c r="R22" s="4153"/>
      <c r="S22" s="4153"/>
      <c r="T22" s="2841"/>
      <c r="U22" s="3246"/>
    </row>
    <row r="23" spans="3:21" ht="51" customHeight="1">
      <c r="C23" s="4146" t="s">
        <v>1037</v>
      </c>
      <c r="D23" s="4152">
        <v>5671.330989054607</v>
      </c>
      <c r="E23" s="4152">
        <v>5734.0665645971721</v>
      </c>
      <c r="F23" s="4152">
        <v>6006.338353364773</v>
      </c>
      <c r="G23" s="4152">
        <v>6359.6752147930656</v>
      </c>
      <c r="H23" s="2071">
        <v>6.5882557139978069</v>
      </c>
      <c r="I23" s="4153">
        <v>6.7565920315238817</v>
      </c>
      <c r="J23" s="4153">
        <v>7.8115029907584583</v>
      </c>
      <c r="K23" s="4153">
        <v>7.0958580178418753</v>
      </c>
      <c r="L23" s="4153">
        <v>7.0676611293445921</v>
      </c>
      <c r="M23" s="4153">
        <v>6.6343614796068602</v>
      </c>
      <c r="N23" s="4153">
        <v>5.5931391207474999</v>
      </c>
      <c r="O23" s="4153">
        <v>5.9981321560001701</v>
      </c>
      <c r="P23" s="4153">
        <v>5.7766820508636849</v>
      </c>
      <c r="Q23" s="4153">
        <v>5.6963574113155477</v>
      </c>
      <c r="R23" s="4153">
        <v>4.1524942340708844</v>
      </c>
      <c r="S23" s="4153">
        <v>4.0957058909546351</v>
      </c>
      <c r="T23" s="2841">
        <v>7.6324766100822599</v>
      </c>
      <c r="U23" s="3246">
        <v>7.9272696467930981</v>
      </c>
    </row>
    <row r="24" spans="3:21" ht="30" customHeight="1">
      <c r="C24" s="4146"/>
      <c r="D24" s="4152"/>
      <c r="E24" s="4152"/>
      <c r="F24" s="4152"/>
      <c r="G24" s="4152"/>
      <c r="H24" s="2071"/>
      <c r="I24" s="4153"/>
      <c r="J24" s="4153"/>
      <c r="K24" s="4153"/>
      <c r="L24" s="4153"/>
      <c r="M24" s="4153"/>
      <c r="N24" s="4153"/>
      <c r="O24" s="4153"/>
      <c r="P24" s="4153"/>
      <c r="Q24" s="4153"/>
      <c r="R24" s="4153"/>
      <c r="S24" s="4153"/>
      <c r="T24" s="2841"/>
      <c r="U24" s="3246"/>
    </row>
    <row r="25" spans="3:21" ht="47" customHeight="1">
      <c r="C25" s="4146" t="s">
        <v>1028</v>
      </c>
      <c r="D25" s="4152">
        <v>9823.9883844275828</v>
      </c>
      <c r="E25" s="4152">
        <v>12004.03640947155</v>
      </c>
      <c r="F25" s="4152">
        <v>10705.933129612791</v>
      </c>
      <c r="G25" s="4152">
        <v>10430.680353252043</v>
      </c>
      <c r="H25" s="2071">
        <v>10.368311928441248</v>
      </c>
      <c r="I25" s="4153">
        <v>10.727637030978727</v>
      </c>
      <c r="J25" s="4153">
        <v>11.702686635378193</v>
      </c>
      <c r="K25" s="4153">
        <v>14.049270517724491</v>
      </c>
      <c r="L25" s="4153">
        <v>13.505827160640973</v>
      </c>
      <c r="M25" s="4153">
        <v>14.286938326646695</v>
      </c>
      <c r="N25" s="4153">
        <v>10.557372253778986</v>
      </c>
      <c r="O25" s="4153">
        <v>12.006315939447378</v>
      </c>
      <c r="P25" s="4153">
        <v>13.31543706966961</v>
      </c>
      <c r="Q25" s="4153">
        <v>13.685330520204561</v>
      </c>
      <c r="R25" s="4153">
        <v>7.3978876349992673</v>
      </c>
      <c r="S25" s="4153">
        <v>7.1859203305640227</v>
      </c>
      <c r="T25" s="2841">
        <v>6.7158362695064762</v>
      </c>
      <c r="U25" s="3246">
        <v>6.5810644123659463</v>
      </c>
    </row>
    <row r="26" spans="3:21" ht="30" customHeight="1">
      <c r="C26" s="4146"/>
      <c r="D26" s="4152"/>
      <c r="E26" s="4152"/>
      <c r="F26" s="4152"/>
      <c r="G26" s="4152"/>
      <c r="H26" s="2071"/>
      <c r="I26" s="4153"/>
      <c r="J26" s="4153"/>
      <c r="K26" s="4153"/>
      <c r="L26" s="4153"/>
      <c r="M26" s="4153"/>
      <c r="N26" s="4153"/>
      <c r="O26" s="4153"/>
      <c r="P26" s="4153"/>
      <c r="Q26" s="4153"/>
      <c r="R26" s="4153"/>
      <c r="S26" s="4153"/>
      <c r="T26" s="2841"/>
      <c r="U26" s="3246"/>
    </row>
    <row r="27" spans="3:21" ht="57" customHeight="1">
      <c r="C27" s="4146" t="s">
        <v>1038</v>
      </c>
      <c r="D27" s="4152">
        <v>28938.468792541949</v>
      </c>
      <c r="E27" s="4152">
        <v>39291.509979314855</v>
      </c>
      <c r="F27" s="4152">
        <v>44958.573263102044</v>
      </c>
      <c r="G27" s="4152">
        <v>46725.129710331894</v>
      </c>
      <c r="H27" s="2071">
        <v>44.819136399467482</v>
      </c>
      <c r="I27" s="4153">
        <v>54.230287312552477</v>
      </c>
      <c r="J27" s="4153">
        <v>53.684554733558691</v>
      </c>
      <c r="K27" s="4153">
        <v>37.787059412135925</v>
      </c>
      <c r="L27" s="4153">
        <v>38.016224150112443</v>
      </c>
      <c r="M27" s="4153">
        <v>39.018093699340525</v>
      </c>
      <c r="N27" s="4153">
        <v>33.011025499999988</v>
      </c>
      <c r="O27" s="4153">
        <v>42.732289657105703</v>
      </c>
      <c r="P27" s="4153">
        <v>53.380227687079881</v>
      </c>
      <c r="Q27" s="4153">
        <v>39.265895530213257</v>
      </c>
      <c r="R27" s="4153">
        <v>32.337751179300206</v>
      </c>
      <c r="S27" s="4153">
        <v>38.465742821780211</v>
      </c>
      <c r="T27" s="2841">
        <v>39.944693072671853</v>
      </c>
      <c r="U27" s="3246">
        <v>44.65489292476375</v>
      </c>
    </row>
    <row r="28" spans="3:21" ht="32" customHeight="1">
      <c r="C28" s="4146"/>
      <c r="D28" s="4152"/>
      <c r="E28" s="4152"/>
      <c r="F28" s="4152"/>
      <c r="G28" s="4152"/>
      <c r="H28" s="2071"/>
      <c r="I28" s="4153"/>
      <c r="J28" s="4153"/>
      <c r="K28" s="4153"/>
      <c r="L28" s="4153"/>
      <c r="M28" s="4153"/>
      <c r="N28" s="4153"/>
      <c r="O28" s="4153"/>
      <c r="P28" s="4153"/>
      <c r="Q28" s="4153"/>
      <c r="R28" s="4153"/>
      <c r="S28" s="4153"/>
      <c r="T28" s="2841"/>
      <c r="U28" s="3246"/>
    </row>
    <row r="29" spans="3:21" ht="53" customHeight="1">
      <c r="C29" s="4146" t="s">
        <v>1029</v>
      </c>
      <c r="D29" s="4152">
        <v>9102.9684668286918</v>
      </c>
      <c r="E29" s="4152">
        <v>7750.6674193590025</v>
      </c>
      <c r="F29" s="4152">
        <v>7368.778291625471</v>
      </c>
      <c r="G29" s="4152">
        <v>4935.838872193619</v>
      </c>
      <c r="H29" s="2071">
        <v>6.2592820167616727</v>
      </c>
      <c r="I29" s="4153">
        <v>6.977538493999508</v>
      </c>
      <c r="J29" s="4153">
        <v>5.4772669665189548</v>
      </c>
      <c r="K29" s="4153">
        <v>6.8667095387971084</v>
      </c>
      <c r="L29" s="4153">
        <v>5.8225800362350268</v>
      </c>
      <c r="M29" s="4153">
        <v>6.3418451222689391</v>
      </c>
      <c r="N29" s="4153">
        <v>5.2595043335925915</v>
      </c>
      <c r="O29" s="4153">
        <v>4.7192241960569623</v>
      </c>
      <c r="P29" s="4153">
        <v>5.1987682619645073</v>
      </c>
      <c r="Q29" s="4153">
        <v>4.9519965823872969</v>
      </c>
      <c r="R29" s="4153">
        <v>5.0705764515733822</v>
      </c>
      <c r="S29" s="4153">
        <v>4.6440914012421493</v>
      </c>
      <c r="T29" s="2841">
        <v>6.402965333267244</v>
      </c>
      <c r="U29" s="3246">
        <v>4.7751798740632898</v>
      </c>
    </row>
    <row r="30" spans="3:21" ht="30" customHeight="1">
      <c r="C30" s="4146"/>
      <c r="D30" s="4152"/>
      <c r="E30" s="4152"/>
      <c r="F30" s="4152"/>
      <c r="G30" s="4152"/>
      <c r="H30" s="2071"/>
      <c r="I30" s="4153"/>
      <c r="J30" s="4153"/>
      <c r="K30" s="4153"/>
      <c r="L30" s="4153"/>
      <c r="M30" s="4153"/>
      <c r="N30" s="4153"/>
      <c r="O30" s="4153"/>
      <c r="P30" s="4153"/>
      <c r="Q30" s="4153"/>
      <c r="R30" s="4153"/>
      <c r="S30" s="4153"/>
      <c r="T30" s="2841"/>
      <c r="U30" s="3246"/>
    </row>
    <row r="31" spans="3:21" ht="65" customHeight="1">
      <c r="C31" s="4146" t="s">
        <v>489</v>
      </c>
      <c r="D31" s="4152">
        <v>10563.840171194155</v>
      </c>
      <c r="E31" s="4152">
        <v>11739.218296325378</v>
      </c>
      <c r="F31" s="4152">
        <v>10840.67720793403</v>
      </c>
      <c r="G31" s="4152">
        <v>9076.5365713430219</v>
      </c>
      <c r="H31" s="2071">
        <v>17.589895131765203</v>
      </c>
      <c r="I31" s="4153">
        <v>16.918714356251517</v>
      </c>
      <c r="J31" s="4153">
        <v>16.501429144881349</v>
      </c>
      <c r="K31" s="4153">
        <v>16.567186490547876</v>
      </c>
      <c r="L31" s="4153">
        <v>18.762700012909832</v>
      </c>
      <c r="M31" s="4153">
        <v>17.016556301742284</v>
      </c>
      <c r="N31" s="4153">
        <v>19.102957109224302</v>
      </c>
      <c r="O31" s="4153">
        <v>17.366838518721899</v>
      </c>
      <c r="P31" s="4153">
        <v>11.94125532261771</v>
      </c>
      <c r="Q31" s="4153">
        <v>14.005176745992321</v>
      </c>
      <c r="R31" s="4153">
        <v>14.990893234062465</v>
      </c>
      <c r="S31" s="4153">
        <v>16.322631069916174</v>
      </c>
      <c r="T31" s="2841">
        <v>16.920453757670181</v>
      </c>
      <c r="U31" s="3246">
        <v>21.368845223609942</v>
      </c>
    </row>
    <row r="32" spans="3:21" ht="30" customHeight="1">
      <c r="C32" s="4146"/>
      <c r="D32" s="4152"/>
      <c r="E32" s="4152"/>
      <c r="F32" s="4152"/>
      <c r="G32" s="4152"/>
      <c r="H32" s="2071"/>
      <c r="I32" s="4153"/>
      <c r="J32" s="4153"/>
      <c r="K32" s="4153"/>
      <c r="L32" s="4153"/>
      <c r="M32" s="4153"/>
      <c r="N32" s="4153"/>
      <c r="O32" s="4153"/>
      <c r="P32" s="4153"/>
      <c r="Q32" s="4153"/>
      <c r="R32" s="4153"/>
      <c r="S32" s="4153"/>
      <c r="T32" s="2841"/>
      <c r="U32" s="3246"/>
    </row>
    <row r="33" spans="3:21" ht="57" customHeight="1">
      <c r="C33" s="4146" t="s">
        <v>1026</v>
      </c>
      <c r="D33" s="4152">
        <v>2065.5323737722342</v>
      </c>
      <c r="E33" s="4152">
        <v>2444.0146399820092</v>
      </c>
      <c r="F33" s="4152">
        <v>2891.8489181254795</v>
      </c>
      <c r="G33" s="4152">
        <v>3421.7430732432376</v>
      </c>
      <c r="H33" s="2071">
        <v>4.0487335233534658</v>
      </c>
      <c r="I33" s="4153">
        <v>3.8020142042449074</v>
      </c>
      <c r="J33" s="4153">
        <v>4.5701013858990001</v>
      </c>
      <c r="K33" s="4153">
        <v>5.1456793898158653</v>
      </c>
      <c r="L33" s="4153">
        <v>5.7628850393829749</v>
      </c>
      <c r="M33" s="4153">
        <v>8.3421398099263655</v>
      </c>
      <c r="N33" s="4153">
        <v>12.644671629874612</v>
      </c>
      <c r="O33" s="4153">
        <v>12.823695265410382</v>
      </c>
      <c r="P33" s="4153">
        <v>12.892050772874015</v>
      </c>
      <c r="Q33" s="4153">
        <v>9.66268735234347</v>
      </c>
      <c r="R33" s="4153">
        <v>10.034908308454833</v>
      </c>
      <c r="S33" s="4153">
        <v>12.96393344583738</v>
      </c>
      <c r="T33" s="2841">
        <v>12.08534616909434</v>
      </c>
      <c r="U33" s="3246">
        <v>18.903127327888704</v>
      </c>
    </row>
    <row r="34" spans="3:21" ht="30" customHeight="1" thickBot="1">
      <c r="C34" s="4146"/>
      <c r="D34" s="4152"/>
      <c r="E34" s="4152"/>
      <c r="F34" s="4152"/>
      <c r="G34" s="4152"/>
      <c r="H34" s="4155"/>
      <c r="I34" s="4152"/>
      <c r="J34" s="4152"/>
      <c r="K34" s="4152"/>
      <c r="L34" s="4152"/>
      <c r="M34" s="4152"/>
      <c r="N34" s="4152"/>
      <c r="O34" s="4152"/>
      <c r="P34" s="4156"/>
      <c r="Q34" s="4156"/>
      <c r="R34" s="4157"/>
      <c r="S34" s="4156"/>
      <c r="T34" s="4158"/>
      <c r="U34" s="4159"/>
    </row>
    <row r="35" spans="3:21" ht="48.5" customHeight="1">
      <c r="C35" s="4160" t="s">
        <v>442</v>
      </c>
      <c r="D35" s="4161">
        <f t="shared" ref="D35:S35" si="0">SUM(D9:D34)</f>
        <v>363445.07156088477</v>
      </c>
      <c r="E35" s="4161">
        <f t="shared" si="0"/>
        <v>411707.05141949537</v>
      </c>
      <c r="F35" s="4161">
        <f t="shared" si="0"/>
        <v>393184.79148822534</v>
      </c>
      <c r="G35" s="4161">
        <f t="shared" si="0"/>
        <v>366021.74657687993</v>
      </c>
      <c r="H35" s="4161">
        <f t="shared" si="0"/>
        <v>361.832575601874</v>
      </c>
      <c r="I35" s="4162">
        <f t="shared" si="0"/>
        <v>386.11585916935474</v>
      </c>
      <c r="J35" s="4162">
        <f t="shared" si="0"/>
        <v>390.48483183839329</v>
      </c>
      <c r="K35" s="4162">
        <f t="shared" si="0"/>
        <v>358.51126813672261</v>
      </c>
      <c r="L35" s="4162">
        <f t="shared" si="0"/>
        <v>365.3467833414071</v>
      </c>
      <c r="M35" s="4162">
        <f t="shared" si="0"/>
        <v>393.25410390772987</v>
      </c>
      <c r="N35" s="4162">
        <f t="shared" si="0"/>
        <v>407.0691658135375</v>
      </c>
      <c r="O35" s="4162">
        <f t="shared" si="0"/>
        <v>432.29124862455797</v>
      </c>
      <c r="P35" s="4162">
        <f t="shared" si="0"/>
        <v>446.73210951231169</v>
      </c>
      <c r="Q35" s="4163">
        <f t="shared" si="0"/>
        <v>476.32092706698955</v>
      </c>
      <c r="R35" s="4162">
        <f t="shared" si="0"/>
        <v>400.52484442409724</v>
      </c>
      <c r="S35" s="4162">
        <f t="shared" si="0"/>
        <v>550.40191827176898</v>
      </c>
      <c r="T35" s="4162">
        <f>SUM(T9:T34)</f>
        <v>674.91960957309482</v>
      </c>
      <c r="U35" s="4164">
        <f>SUM(U9:U34)</f>
        <v>771.8661805070027</v>
      </c>
    </row>
    <row r="36" spans="3:21" ht="48.5" customHeight="1" thickBot="1">
      <c r="C36" s="4165" t="s">
        <v>397</v>
      </c>
      <c r="D36" s="4166" t="e">
        <f>D35/#REF!-1</f>
        <v>#REF!</v>
      </c>
      <c r="E36" s="4166">
        <f>E35/D35-1</f>
        <v>0.13279029937409859</v>
      </c>
      <c r="F36" s="4166">
        <f>F35/E35-1</f>
        <v>-4.4988930520884818E-2</v>
      </c>
      <c r="G36" s="4166">
        <f>G35/F35-1</f>
        <v>-6.908467850074218E-2</v>
      </c>
      <c r="H36" s="4166">
        <f>H35/G35-1</f>
        <v>-0.99901144514230145</v>
      </c>
      <c r="I36" s="4166">
        <f>I35/H35-1</f>
        <v>6.7111932990244982E-2</v>
      </c>
      <c r="J36" s="4166">
        <f t="shared" ref="J36:K36" si="1">J35/I35-1</f>
        <v>1.1315185753927537E-2</v>
      </c>
      <c r="K36" s="4166">
        <f t="shared" si="1"/>
        <v>-8.1881704728810845E-2</v>
      </c>
      <c r="L36" s="4166">
        <f t="shared" ref="L36" si="2">L35/K35-1</f>
        <v>1.9066388736427964E-2</v>
      </c>
      <c r="M36" s="4166">
        <f t="shared" ref="M36" si="3">M35/L35-1</f>
        <v>7.6385838985871368E-2</v>
      </c>
      <c r="N36" s="4166">
        <f t="shared" ref="N36" si="4">N35/M35-1</f>
        <v>3.5130115028752629E-2</v>
      </c>
      <c r="O36" s="4166">
        <f t="shared" ref="O36" si="5">O35/N35-1</f>
        <v>6.1960189887174444E-2</v>
      </c>
      <c r="P36" s="4166">
        <f t="shared" ref="P36" si="6">P35/O35-1</f>
        <v>3.3405397249425928E-2</v>
      </c>
      <c r="Q36" s="4167">
        <f t="shared" ref="Q36" si="7">Q35/P35-1</f>
        <v>6.6233917205950066E-2</v>
      </c>
      <c r="R36" s="4168">
        <f t="shared" ref="R36" si="8">R35/Q35-1</f>
        <v>-0.15912818088765679</v>
      </c>
      <c r="S36" s="4168">
        <f t="shared" ref="S36" si="9">S35/R35-1</f>
        <v>0.37420169044238816</v>
      </c>
      <c r="T36" s="4168">
        <f t="shared" ref="T36" si="10">T35/S35-1</f>
        <v>0.22623048206718543</v>
      </c>
      <c r="U36" s="4169">
        <f t="shared" ref="U36" si="11">U35/T35-1</f>
        <v>0.1436416568118819</v>
      </c>
    </row>
    <row r="37" spans="3:21" ht="43.9">
      <c r="C37" s="1747" t="s">
        <v>661</v>
      </c>
      <c r="D37" s="1685"/>
      <c r="E37" s="1685"/>
      <c r="F37" s="1685"/>
      <c r="G37" s="1685"/>
      <c r="H37" s="4170"/>
      <c r="I37" s="4170"/>
      <c r="R37" s="4171"/>
      <c r="S37" s="4172"/>
      <c r="T37" s="4173"/>
    </row>
    <row r="38" spans="3:21" ht="43.9">
      <c r="C38" s="1747" t="s">
        <v>200</v>
      </c>
      <c r="D38" s="4170"/>
      <c r="E38" s="4170"/>
      <c r="F38" s="4170"/>
      <c r="G38" s="4170"/>
      <c r="H38" s="4170"/>
      <c r="I38" s="4170"/>
    </row>
    <row r="39" spans="3:21" s="4176" customFormat="1" ht="43.9">
      <c r="C39" s="1747" t="s">
        <v>312</v>
      </c>
      <c r="D39" s="4174"/>
      <c r="E39" s="4174"/>
      <c r="F39" s="4174"/>
      <c r="G39" s="4174"/>
      <c r="H39" s="4174"/>
      <c r="I39" s="4174"/>
      <c r="J39" s="4175"/>
    </row>
    <row r="40" spans="3:21" ht="43.9">
      <c r="C40" s="1747"/>
      <c r="D40" s="4170"/>
      <c r="E40" s="4170"/>
      <c r="F40" s="4170"/>
      <c r="G40" s="4170"/>
      <c r="H40" s="4170"/>
      <c r="I40" s="4170"/>
    </row>
    <row r="41" spans="3:21">
      <c r="D41" s="4170"/>
      <c r="E41" s="4170"/>
      <c r="F41" s="4170"/>
      <c r="G41" s="4170"/>
      <c r="H41" s="4170"/>
      <c r="I41" s="4170"/>
    </row>
    <row r="42" spans="3:21">
      <c r="D42" s="4170"/>
      <c r="E42" s="4170"/>
      <c r="F42" s="4170"/>
      <c r="G42" s="4170"/>
      <c r="H42" s="4170"/>
      <c r="I42" s="4170"/>
    </row>
    <row r="43" spans="3:21">
      <c r="D43" s="4170"/>
      <c r="E43" s="4170"/>
      <c r="F43" s="4170"/>
      <c r="G43" s="4170"/>
      <c r="H43" s="4170"/>
      <c r="I43" s="4170"/>
    </row>
    <row r="44" spans="3:21">
      <c r="D44" s="4170"/>
      <c r="E44" s="4170"/>
      <c r="F44" s="4170"/>
      <c r="G44" s="4170"/>
      <c r="H44" s="4170"/>
      <c r="I44" s="4170"/>
    </row>
    <row r="45" spans="3:21">
      <c r="D45" s="4170"/>
      <c r="E45" s="4170"/>
      <c r="F45" s="4170"/>
      <c r="G45" s="4170"/>
      <c r="H45" s="4170"/>
      <c r="I45" s="4170"/>
    </row>
    <row r="46" spans="3:21">
      <c r="D46" s="4170"/>
      <c r="E46" s="4170"/>
      <c r="F46" s="4170"/>
      <c r="G46" s="4170"/>
      <c r="H46" s="4170"/>
      <c r="I46" s="4170"/>
    </row>
    <row r="47" spans="3:21">
      <c r="D47" s="4170"/>
      <c r="E47" s="4170"/>
      <c r="F47" s="4170"/>
      <c r="G47" s="4170"/>
      <c r="H47" s="4170"/>
      <c r="I47" s="4170"/>
    </row>
    <row r="48" spans="3:21">
      <c r="D48" s="4170"/>
      <c r="E48" s="4170"/>
      <c r="F48" s="4170"/>
      <c r="G48" s="4170"/>
      <c r="H48" s="4170"/>
      <c r="I48" s="4170"/>
    </row>
    <row r="49" spans="4:9">
      <c r="D49" s="4170"/>
      <c r="E49" s="4170"/>
      <c r="F49" s="4170"/>
      <c r="G49" s="4170"/>
      <c r="H49" s="4170"/>
      <c r="I49" s="4170"/>
    </row>
    <row r="50" spans="4:9">
      <c r="D50" s="4170"/>
      <c r="E50" s="4170"/>
      <c r="F50" s="4170"/>
      <c r="G50" s="4170"/>
      <c r="H50" s="4170"/>
      <c r="I50" s="4170"/>
    </row>
    <row r="51" spans="4:9">
      <c r="D51" s="4170"/>
      <c r="E51" s="4170"/>
      <c r="F51" s="4170"/>
      <c r="G51" s="4170"/>
      <c r="H51" s="4170"/>
      <c r="I51" s="4170"/>
    </row>
    <row r="52" spans="4:9">
      <c r="D52" s="4170"/>
      <c r="E52" s="4170"/>
      <c r="F52" s="4170"/>
      <c r="G52" s="4170"/>
      <c r="H52" s="4170"/>
      <c r="I52" s="4170"/>
    </row>
    <row r="53" spans="4:9">
      <c r="D53" s="4170"/>
      <c r="E53" s="4170"/>
      <c r="F53" s="4170"/>
      <c r="G53" s="4170"/>
      <c r="H53" s="4170"/>
      <c r="I53" s="4170"/>
    </row>
    <row r="54" spans="4:9">
      <c r="D54" s="4170"/>
      <c r="E54" s="4170"/>
      <c r="F54" s="4170"/>
      <c r="G54" s="4170"/>
      <c r="H54" s="4170"/>
      <c r="I54" s="4170"/>
    </row>
    <row r="55" spans="4:9">
      <c r="D55" s="4170"/>
      <c r="E55" s="4170"/>
      <c r="F55" s="4170"/>
      <c r="G55" s="4170"/>
      <c r="H55" s="4170"/>
      <c r="I55" s="4170"/>
    </row>
    <row r="75" spans="3:3">
      <c r="C75" s="1685" t="s">
        <v>747</v>
      </c>
    </row>
  </sheetData>
  <mergeCells count="3">
    <mergeCell ref="C2:U2"/>
    <mergeCell ref="C3:U3"/>
    <mergeCell ref="C4:U4"/>
  </mergeCells>
  <printOptions horizontalCentered="1" verticalCentered="1"/>
  <pageMargins left="0.25" right="0.25" top="0.75" bottom="0.75" header="0.3" footer="0.3"/>
  <pageSetup scale="22" firstPageNumber="103" orientation="landscape" useFirstPageNumber="1" r:id="rId1"/>
  <headerFooter scaleWithDoc="0" alignWithMargins="0">
    <oddFooter xml:space="preserve">&amp;C115
</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00B0F0"/>
    <pageSetUpPr fitToPage="1"/>
  </sheetPr>
  <dimension ref="A1:E203"/>
  <sheetViews>
    <sheetView view="pageBreakPreview" zoomScale="50" zoomScaleNormal="50" zoomScaleSheetLayoutView="50" workbookViewId="0">
      <selection activeCell="B5" sqref="B5:B76"/>
    </sheetView>
  </sheetViews>
  <sheetFormatPr defaultColWidth="9.46484375" defaultRowHeight="25.5"/>
  <cols>
    <col min="1" max="1" width="5.46484375" style="957" customWidth="1"/>
    <col min="2" max="2" width="40.33203125" style="957" customWidth="1"/>
    <col min="3" max="4" width="56.46484375" style="957" customWidth="1"/>
    <col min="5" max="5" width="59.6640625" style="957" customWidth="1"/>
    <col min="6" max="16384" width="9.46484375" style="957"/>
  </cols>
  <sheetData>
    <row r="1" spans="2:5">
      <c r="B1" s="5786" t="s">
        <v>679</v>
      </c>
      <c r="C1" s="5786"/>
      <c r="D1" s="5786"/>
      <c r="E1" s="5786"/>
    </row>
    <row r="2" spans="2:5">
      <c r="B2" s="5786" t="s">
        <v>1363</v>
      </c>
      <c r="C2" s="5786"/>
      <c r="D2" s="5786"/>
      <c r="E2" s="5786"/>
    </row>
    <row r="3" spans="2:5" ht="8.25" customHeight="1" thickBot="1">
      <c r="B3" s="5787"/>
      <c r="C3" s="5787"/>
      <c r="D3" s="5787"/>
      <c r="E3" s="5787"/>
    </row>
    <row r="4" spans="2:5" ht="25.9" thickBot="1">
      <c r="B4" s="958" t="s">
        <v>390</v>
      </c>
      <c r="C4" s="3605" t="s">
        <v>122</v>
      </c>
      <c r="D4" s="959" t="s">
        <v>541</v>
      </c>
      <c r="E4" s="3359" t="s">
        <v>542</v>
      </c>
    </row>
    <row r="5" spans="2:5" ht="24.75" customHeight="1" thickBot="1">
      <c r="B5" s="5788" t="s">
        <v>547</v>
      </c>
      <c r="C5" s="960"/>
      <c r="D5" s="961" t="s">
        <v>543</v>
      </c>
      <c r="E5" s="3360" t="s">
        <v>544</v>
      </c>
    </row>
    <row r="6" spans="2:5" ht="18" hidden="1" customHeight="1">
      <c r="B6" s="5789"/>
      <c r="C6" s="962">
        <v>2000</v>
      </c>
      <c r="D6" s="963">
        <v>158883</v>
      </c>
      <c r="E6" s="964">
        <v>87382</v>
      </c>
    </row>
    <row r="7" spans="2:5" ht="18" hidden="1" customHeight="1">
      <c r="B7" s="5789"/>
      <c r="C7" s="962">
        <v>2002</v>
      </c>
      <c r="D7" s="963">
        <v>137213</v>
      </c>
      <c r="E7" s="964">
        <v>64004</v>
      </c>
    </row>
    <row r="8" spans="2:5" ht="18" hidden="1" customHeight="1">
      <c r="B8" s="5789"/>
      <c r="C8" s="962">
        <v>2003</v>
      </c>
      <c r="D8" s="963">
        <v>139363</v>
      </c>
      <c r="E8" s="964">
        <v>70554</v>
      </c>
    </row>
    <row r="9" spans="2:5" ht="18" hidden="1" customHeight="1">
      <c r="B9" s="5789"/>
      <c r="C9" s="962">
        <v>2004</v>
      </c>
      <c r="D9" s="963">
        <v>156523</v>
      </c>
      <c r="E9" s="964">
        <v>160179</v>
      </c>
    </row>
    <row r="10" spans="2:5" ht="18" hidden="1" customHeight="1">
      <c r="B10" s="5789"/>
      <c r="C10" s="962">
        <v>2005</v>
      </c>
      <c r="D10" s="963">
        <v>159982</v>
      </c>
      <c r="E10" s="964">
        <v>98312</v>
      </c>
    </row>
    <row r="11" spans="2:5" ht="18" hidden="1" customHeight="1">
      <c r="B11" s="5789"/>
      <c r="C11" s="962">
        <v>2006</v>
      </c>
      <c r="D11" s="963">
        <v>194235</v>
      </c>
      <c r="E11" s="964">
        <v>79133</v>
      </c>
    </row>
    <row r="12" spans="2:5" ht="18" hidden="1" customHeight="1">
      <c r="B12" s="5789"/>
      <c r="C12" s="962">
        <v>2007</v>
      </c>
      <c r="D12" s="963">
        <v>178872</v>
      </c>
      <c r="E12" s="965">
        <v>129616</v>
      </c>
    </row>
    <row r="13" spans="2:5" ht="18" hidden="1" customHeight="1">
      <c r="B13" s="5789"/>
      <c r="C13" s="962">
        <v>2008</v>
      </c>
      <c r="D13" s="963">
        <v>154840</v>
      </c>
      <c r="E13" s="965">
        <v>202366</v>
      </c>
    </row>
    <row r="14" spans="2:5" ht="18" hidden="1" customHeight="1">
      <c r="B14" s="5789"/>
      <c r="C14" s="962">
        <v>2009</v>
      </c>
      <c r="D14" s="963">
        <v>128837</v>
      </c>
      <c r="E14" s="965">
        <v>69244</v>
      </c>
    </row>
    <row r="15" spans="2:5" ht="18" hidden="1" customHeight="1">
      <c r="B15" s="5789"/>
      <c r="C15" s="962">
        <v>2010</v>
      </c>
      <c r="D15" s="963">
        <v>109644</v>
      </c>
      <c r="E15" s="965">
        <v>72661</v>
      </c>
    </row>
    <row r="16" spans="2:5" ht="18" hidden="1" customHeight="1">
      <c r="B16" s="5789"/>
      <c r="C16" s="962">
        <v>2011</v>
      </c>
      <c r="D16" s="963">
        <v>102002</v>
      </c>
      <c r="E16" s="965">
        <v>63477</v>
      </c>
    </row>
    <row r="17" spans="2:5" ht="18" hidden="1" customHeight="1">
      <c r="B17" s="5789"/>
      <c r="C17" s="962">
        <v>2012</v>
      </c>
      <c r="D17" s="963">
        <v>103645</v>
      </c>
      <c r="E17" s="966">
        <v>79876</v>
      </c>
    </row>
    <row r="18" spans="2:5" ht="18" hidden="1" customHeight="1">
      <c r="B18" s="5789"/>
      <c r="C18" s="962">
        <v>2013</v>
      </c>
      <c r="D18" s="963">
        <v>90589</v>
      </c>
      <c r="E18" s="966">
        <v>121508</v>
      </c>
    </row>
    <row r="19" spans="2:5" ht="18" hidden="1" customHeight="1">
      <c r="B19" s="5789"/>
      <c r="C19" s="962">
        <v>2014</v>
      </c>
      <c r="D19" s="963">
        <v>85080</v>
      </c>
      <c r="E19" s="966">
        <v>353941</v>
      </c>
    </row>
    <row r="20" spans="2:5" ht="18" hidden="1" customHeight="1">
      <c r="B20" s="5789"/>
      <c r="C20" s="962">
        <v>2015</v>
      </c>
      <c r="D20" s="963">
        <v>87594</v>
      </c>
      <c r="E20" s="3361">
        <v>215408</v>
      </c>
    </row>
    <row r="21" spans="2:5" ht="24.75" hidden="1" customHeight="1">
      <c r="B21" s="5789"/>
      <c r="C21" s="962">
        <v>2016</v>
      </c>
      <c r="D21" s="963">
        <f>98282+4895+3308+2492+11357</f>
        <v>120334</v>
      </c>
      <c r="E21" s="965">
        <f>452+47413+7851+516</f>
        <v>56232</v>
      </c>
    </row>
    <row r="22" spans="2:5" ht="24.75" customHeight="1">
      <c r="B22" s="5789"/>
      <c r="C22" s="967">
        <v>2017</v>
      </c>
      <c r="D22" s="968">
        <f>107046+4183+0+2741+0+12243</f>
        <v>126213</v>
      </c>
      <c r="E22" s="965">
        <f>642+0+90189+0+2004+542</f>
        <v>93377</v>
      </c>
    </row>
    <row r="23" spans="2:5" ht="24.75" customHeight="1">
      <c r="B23" s="5789"/>
      <c r="C23" s="962">
        <v>2018</v>
      </c>
      <c r="D23" s="963">
        <f>93493+3682+5512+3793+7398</f>
        <v>113878</v>
      </c>
      <c r="E23" s="965">
        <f>1700+84897+178+2159+593</f>
        <v>89527</v>
      </c>
    </row>
    <row r="24" spans="2:5" ht="24.75" customHeight="1">
      <c r="B24" s="5789"/>
      <c r="C24" s="962">
        <v>2019</v>
      </c>
      <c r="D24" s="969">
        <v>104629</v>
      </c>
      <c r="E24" s="3361">
        <v>58015</v>
      </c>
    </row>
    <row r="25" spans="2:5" ht="24.75" customHeight="1">
      <c r="B25" s="5789"/>
      <c r="C25" s="962">
        <v>2020</v>
      </c>
      <c r="D25" s="970">
        <v>91359</v>
      </c>
      <c r="E25" s="965">
        <v>618</v>
      </c>
    </row>
    <row r="26" spans="2:5" ht="24.75" customHeight="1">
      <c r="B26" s="5789"/>
      <c r="C26" s="962">
        <v>2021</v>
      </c>
      <c r="D26" s="970">
        <v>101100</v>
      </c>
      <c r="E26" s="965">
        <v>1311</v>
      </c>
    </row>
    <row r="27" spans="2:5" ht="24.75" customHeight="1">
      <c r="B27" s="5789"/>
      <c r="C27" s="971">
        <v>2022</v>
      </c>
      <c r="D27" s="2644">
        <v>99170</v>
      </c>
      <c r="E27" s="2962">
        <v>746</v>
      </c>
    </row>
    <row r="28" spans="2:5" ht="24.75" customHeight="1" thickBot="1">
      <c r="B28" s="5789"/>
      <c r="C28" s="2566">
        <v>2023</v>
      </c>
      <c r="D28" s="972">
        <v>91111</v>
      </c>
      <c r="E28" s="973">
        <v>844</v>
      </c>
    </row>
    <row r="29" spans="2:5" ht="24.75" customHeight="1" thickTop="1" thickBot="1">
      <c r="B29" s="5789"/>
      <c r="C29" s="974"/>
      <c r="D29" s="975" t="s">
        <v>545</v>
      </c>
      <c r="E29" s="976" t="s">
        <v>546</v>
      </c>
    </row>
    <row r="30" spans="2:5" ht="24.75" hidden="1" customHeight="1">
      <c r="B30" s="5789"/>
      <c r="C30" s="977">
        <v>2000</v>
      </c>
      <c r="D30" s="978">
        <v>481</v>
      </c>
      <c r="E30" s="964">
        <v>493</v>
      </c>
    </row>
    <row r="31" spans="2:5" ht="24.75" hidden="1" customHeight="1">
      <c r="B31" s="5789"/>
      <c r="C31" s="977">
        <v>2002</v>
      </c>
      <c r="D31" s="978">
        <v>500</v>
      </c>
      <c r="E31" s="964">
        <v>546</v>
      </c>
    </row>
    <row r="32" spans="2:5" ht="24.75" hidden="1" customHeight="1">
      <c r="B32" s="5789"/>
      <c r="C32" s="977">
        <v>2003</v>
      </c>
      <c r="D32" s="978">
        <v>20</v>
      </c>
      <c r="E32" s="964">
        <v>24</v>
      </c>
    </row>
    <row r="33" spans="2:5" ht="24.75" hidden="1" customHeight="1">
      <c r="B33" s="5789"/>
      <c r="C33" s="977">
        <v>2004</v>
      </c>
      <c r="D33" s="978">
        <v>59</v>
      </c>
      <c r="E33" s="964">
        <v>39</v>
      </c>
    </row>
    <row r="34" spans="2:5" ht="24.75" hidden="1" customHeight="1">
      <c r="B34" s="5789"/>
      <c r="C34" s="977">
        <v>2005</v>
      </c>
      <c r="D34" s="978">
        <v>544</v>
      </c>
      <c r="E34" s="964">
        <v>46</v>
      </c>
    </row>
    <row r="35" spans="2:5" ht="24.75" hidden="1" customHeight="1">
      <c r="B35" s="5789"/>
      <c r="C35" s="977">
        <v>2006</v>
      </c>
      <c r="D35" s="978">
        <v>11</v>
      </c>
      <c r="E35" s="964">
        <v>33</v>
      </c>
    </row>
    <row r="36" spans="2:5" ht="24.75" hidden="1" customHeight="1">
      <c r="B36" s="5789"/>
      <c r="C36" s="977">
        <v>2007</v>
      </c>
      <c r="D36" s="963">
        <v>44</v>
      </c>
      <c r="E36" s="979">
        <v>30</v>
      </c>
    </row>
    <row r="37" spans="2:5" ht="24.75" hidden="1" customHeight="1">
      <c r="B37" s="5789"/>
      <c r="C37" s="962">
        <v>2008</v>
      </c>
      <c r="D37" s="963">
        <v>899</v>
      </c>
      <c r="E37" s="979">
        <v>1140</v>
      </c>
    </row>
    <row r="38" spans="2:5" ht="24.75" hidden="1" customHeight="1">
      <c r="B38" s="5789"/>
      <c r="C38" s="962">
        <v>2009</v>
      </c>
      <c r="D38" s="963">
        <v>145</v>
      </c>
      <c r="E38" s="979">
        <v>542</v>
      </c>
    </row>
    <row r="39" spans="2:5" ht="24.75" hidden="1" customHeight="1">
      <c r="B39" s="5789"/>
      <c r="C39" s="962">
        <v>2010</v>
      </c>
      <c r="D39" s="963">
        <v>350</v>
      </c>
      <c r="E39" s="979">
        <v>350</v>
      </c>
    </row>
    <row r="40" spans="2:5" ht="24.75" hidden="1" customHeight="1">
      <c r="B40" s="5789"/>
      <c r="C40" s="962">
        <v>2011</v>
      </c>
      <c r="D40" s="963">
        <v>4</v>
      </c>
      <c r="E40" s="979">
        <v>4</v>
      </c>
    </row>
    <row r="41" spans="2:5" ht="24.75" hidden="1" customHeight="1">
      <c r="B41" s="5789"/>
      <c r="C41" s="977">
        <v>2012</v>
      </c>
      <c r="D41" s="978">
        <v>2293</v>
      </c>
      <c r="E41" s="964">
        <v>1708</v>
      </c>
    </row>
    <row r="42" spans="2:5" ht="24.75" hidden="1" customHeight="1">
      <c r="B42" s="5789"/>
      <c r="C42" s="962">
        <v>2013</v>
      </c>
      <c r="D42" s="978">
        <v>172</v>
      </c>
      <c r="E42" s="964">
        <v>122</v>
      </c>
    </row>
    <row r="43" spans="2:5" ht="24.75" hidden="1" customHeight="1">
      <c r="B43" s="5789"/>
      <c r="C43" s="962">
        <v>2014</v>
      </c>
      <c r="D43" s="978">
        <v>2660</v>
      </c>
      <c r="E43" s="964">
        <v>2719</v>
      </c>
    </row>
    <row r="44" spans="2:5" ht="24.75" hidden="1" customHeight="1">
      <c r="B44" s="5789"/>
      <c r="C44" s="962">
        <v>2015</v>
      </c>
      <c r="D44" s="978">
        <v>9</v>
      </c>
      <c r="E44" s="3362">
        <v>159</v>
      </c>
    </row>
    <row r="45" spans="2:5" ht="24.75" hidden="1" customHeight="1">
      <c r="B45" s="5789"/>
      <c r="C45" s="962">
        <v>2016</v>
      </c>
      <c r="D45" s="978">
        <v>678</v>
      </c>
      <c r="E45" s="964">
        <v>199</v>
      </c>
    </row>
    <row r="46" spans="2:5" ht="24.75" customHeight="1">
      <c r="B46" s="5789"/>
      <c r="C46" s="967">
        <v>2017</v>
      </c>
      <c r="D46" s="980">
        <v>49</v>
      </c>
      <c r="E46" s="964">
        <v>10</v>
      </c>
    </row>
    <row r="47" spans="2:5" ht="24.75" customHeight="1">
      <c r="B47" s="5789"/>
      <c r="C47" s="962">
        <v>2018</v>
      </c>
      <c r="D47" s="978">
        <f>244+523</f>
        <v>767</v>
      </c>
      <c r="E47" s="964">
        <f>671+288</f>
        <v>959</v>
      </c>
    </row>
    <row r="48" spans="2:5" ht="24.75" customHeight="1">
      <c r="B48" s="5789"/>
      <c r="C48" s="962">
        <v>2019</v>
      </c>
      <c r="D48" s="981">
        <v>104</v>
      </c>
      <c r="E48" s="964">
        <v>46</v>
      </c>
    </row>
    <row r="49" spans="2:5" ht="24.75" customHeight="1">
      <c r="B49" s="5789"/>
      <c r="C49" s="962">
        <v>2020</v>
      </c>
      <c r="D49" s="982">
        <v>19</v>
      </c>
      <c r="E49" s="3362">
        <v>0</v>
      </c>
    </row>
    <row r="50" spans="2:5" ht="24.75" customHeight="1">
      <c r="B50" s="5789"/>
      <c r="C50" s="2575">
        <v>2021</v>
      </c>
      <c r="D50" s="983">
        <v>0</v>
      </c>
      <c r="E50" s="3363">
        <v>0</v>
      </c>
    </row>
    <row r="51" spans="2:5" ht="24.75" customHeight="1">
      <c r="B51" s="5789"/>
      <c r="C51" s="2965">
        <v>2022</v>
      </c>
      <c r="D51" s="3954">
        <v>188</v>
      </c>
      <c r="E51" s="3363">
        <v>0</v>
      </c>
    </row>
    <row r="52" spans="2:5" ht="24.75" customHeight="1" thickBot="1">
      <c r="B52" s="5789"/>
      <c r="C52" s="2581">
        <v>2023</v>
      </c>
      <c r="D52" s="972">
        <v>0</v>
      </c>
      <c r="E52" s="973">
        <v>110</v>
      </c>
    </row>
    <row r="53" spans="2:5" ht="24.75" customHeight="1" thickTop="1" thickBot="1">
      <c r="B53" s="5789"/>
      <c r="C53" s="984"/>
      <c r="D53" s="985" t="s">
        <v>123</v>
      </c>
      <c r="E53" s="986" t="s">
        <v>123</v>
      </c>
    </row>
    <row r="54" spans="2:5" ht="24.75" hidden="1" customHeight="1">
      <c r="B54" s="5789"/>
      <c r="C54" s="962">
        <v>2000</v>
      </c>
      <c r="D54" s="963">
        <v>159364</v>
      </c>
      <c r="E54" s="965">
        <v>87875</v>
      </c>
    </row>
    <row r="55" spans="2:5" ht="24.75" hidden="1" customHeight="1">
      <c r="B55" s="5789"/>
      <c r="C55" s="962">
        <v>2002</v>
      </c>
      <c r="D55" s="963">
        <v>137713</v>
      </c>
      <c r="E55" s="965">
        <v>64550</v>
      </c>
    </row>
    <row r="56" spans="2:5" ht="24.75" hidden="1" customHeight="1">
      <c r="B56" s="5789"/>
      <c r="C56" s="962">
        <v>2003</v>
      </c>
      <c r="D56" s="963">
        <v>139383</v>
      </c>
      <c r="E56" s="965">
        <v>70578</v>
      </c>
    </row>
    <row r="57" spans="2:5" ht="24.75" hidden="1" customHeight="1">
      <c r="B57" s="5789"/>
      <c r="C57" s="962">
        <v>2004</v>
      </c>
      <c r="D57" s="987">
        <v>156582</v>
      </c>
      <c r="E57" s="988">
        <v>160218</v>
      </c>
    </row>
    <row r="58" spans="2:5" ht="24.75" hidden="1" customHeight="1">
      <c r="B58" s="5789"/>
      <c r="C58" s="962">
        <v>2005</v>
      </c>
      <c r="D58" s="963">
        <v>160526</v>
      </c>
      <c r="E58" s="965">
        <v>98358</v>
      </c>
    </row>
    <row r="59" spans="2:5" ht="24.75" hidden="1" customHeight="1">
      <c r="B59" s="5789"/>
      <c r="C59" s="962">
        <v>2006</v>
      </c>
      <c r="D59" s="963">
        <v>194246</v>
      </c>
      <c r="E59" s="965">
        <v>79166</v>
      </c>
    </row>
    <row r="60" spans="2:5" ht="24.75" hidden="1" customHeight="1">
      <c r="B60" s="5789"/>
      <c r="C60" s="962">
        <v>2007</v>
      </c>
      <c r="D60" s="963">
        <v>178916</v>
      </c>
      <c r="E60" s="965">
        <v>129646</v>
      </c>
    </row>
    <row r="61" spans="2:5" ht="24.75" hidden="1" customHeight="1">
      <c r="B61" s="5789"/>
      <c r="C61" s="962">
        <v>2008</v>
      </c>
      <c r="D61" s="963">
        <v>155739</v>
      </c>
      <c r="E61" s="965">
        <v>203506</v>
      </c>
    </row>
    <row r="62" spans="2:5" ht="24.75" hidden="1" customHeight="1">
      <c r="B62" s="5789"/>
      <c r="C62" s="962">
        <v>2009</v>
      </c>
      <c r="D62" s="963">
        <v>128982</v>
      </c>
      <c r="E62" s="965">
        <v>69786</v>
      </c>
    </row>
    <row r="63" spans="2:5" ht="24.75" hidden="1" customHeight="1">
      <c r="B63" s="5789"/>
      <c r="C63" s="962">
        <v>2010</v>
      </c>
      <c r="D63" s="963">
        <v>109994</v>
      </c>
      <c r="E63" s="965">
        <v>73011</v>
      </c>
    </row>
    <row r="64" spans="2:5" ht="24.75" hidden="1" customHeight="1">
      <c r="B64" s="5789"/>
      <c r="C64" s="962">
        <v>2011</v>
      </c>
      <c r="D64" s="963">
        <v>102006</v>
      </c>
      <c r="E64" s="965">
        <v>63481</v>
      </c>
    </row>
    <row r="65" spans="2:5" ht="24.75" hidden="1" customHeight="1">
      <c r="B65" s="5789"/>
      <c r="C65" s="962">
        <v>2012</v>
      </c>
      <c r="D65" s="963">
        <v>105938</v>
      </c>
      <c r="E65" s="965">
        <v>81584</v>
      </c>
    </row>
    <row r="66" spans="2:5" ht="24.75" hidden="1" customHeight="1">
      <c r="B66" s="5789"/>
      <c r="C66" s="962">
        <v>2013</v>
      </c>
      <c r="D66" s="963">
        <v>90761</v>
      </c>
      <c r="E66" s="965">
        <v>121630</v>
      </c>
    </row>
    <row r="67" spans="2:5" s="989" customFormat="1" ht="24.75" hidden="1" customHeight="1">
      <c r="B67" s="5789"/>
      <c r="C67" s="962">
        <v>2014</v>
      </c>
      <c r="D67" s="963">
        <v>87740</v>
      </c>
      <c r="E67" s="965">
        <v>356660</v>
      </c>
    </row>
    <row r="68" spans="2:5" s="989" customFormat="1" ht="24.75" hidden="1" customHeight="1">
      <c r="B68" s="5789"/>
      <c r="C68" s="967">
        <v>2015</v>
      </c>
      <c r="D68" s="990">
        <v>87603</v>
      </c>
      <c r="E68" s="3364">
        <v>215567</v>
      </c>
    </row>
    <row r="69" spans="2:5" s="989" customFormat="1" ht="24.75" hidden="1" customHeight="1">
      <c r="B69" s="5789"/>
      <c r="C69" s="991">
        <v>2016</v>
      </c>
      <c r="D69" s="992">
        <f t="shared" ref="D69:E73" si="0">D45+D21</f>
        <v>121012</v>
      </c>
      <c r="E69" s="3365">
        <f t="shared" si="0"/>
        <v>56431</v>
      </c>
    </row>
    <row r="70" spans="2:5" s="989" customFormat="1" ht="24.75" customHeight="1">
      <c r="B70" s="5789"/>
      <c r="C70" s="991">
        <v>2017</v>
      </c>
      <c r="D70" s="992">
        <f t="shared" si="0"/>
        <v>126262</v>
      </c>
      <c r="E70" s="3365">
        <f t="shared" si="0"/>
        <v>93387</v>
      </c>
    </row>
    <row r="71" spans="2:5" s="989" customFormat="1" ht="24.75" customHeight="1">
      <c r="B71" s="5789"/>
      <c r="C71" s="991">
        <v>2018</v>
      </c>
      <c r="D71" s="992">
        <f t="shared" si="0"/>
        <v>114645</v>
      </c>
      <c r="E71" s="3365">
        <f t="shared" si="0"/>
        <v>90486</v>
      </c>
    </row>
    <row r="72" spans="2:5" s="989" customFormat="1" ht="24.75" customHeight="1">
      <c r="B72" s="5789"/>
      <c r="C72" s="993">
        <v>2019</v>
      </c>
      <c r="D72" s="992">
        <f t="shared" si="0"/>
        <v>104733</v>
      </c>
      <c r="E72" s="3365">
        <f t="shared" si="0"/>
        <v>58061</v>
      </c>
    </row>
    <row r="73" spans="2:5" s="989" customFormat="1" ht="24.75" customHeight="1">
      <c r="B73" s="5789"/>
      <c r="C73" s="993">
        <v>2020</v>
      </c>
      <c r="D73" s="992">
        <f t="shared" si="0"/>
        <v>91378</v>
      </c>
      <c r="E73" s="3365">
        <f t="shared" si="0"/>
        <v>618</v>
      </c>
    </row>
    <row r="74" spans="2:5" s="989" customFormat="1" ht="24.75" customHeight="1">
      <c r="B74" s="5789"/>
      <c r="C74" s="993">
        <v>2021</v>
      </c>
      <c r="D74" s="992">
        <v>101100</v>
      </c>
      <c r="E74" s="3365">
        <v>1311</v>
      </c>
    </row>
    <row r="75" spans="2:5" s="989" customFormat="1" ht="24.75" customHeight="1">
      <c r="B75" s="5789"/>
      <c r="C75" s="2960">
        <v>2022</v>
      </c>
      <c r="D75" s="2963">
        <v>99358</v>
      </c>
      <c r="E75" s="3365">
        <v>746</v>
      </c>
    </row>
    <row r="76" spans="2:5" s="989" customFormat="1" ht="24.75" customHeight="1" thickBot="1">
      <c r="B76" s="5790"/>
      <c r="C76" s="993">
        <v>2023</v>
      </c>
      <c r="D76" s="972">
        <v>91111</v>
      </c>
      <c r="E76" s="973">
        <v>954</v>
      </c>
    </row>
    <row r="77" spans="2:5" ht="24.75" customHeight="1" thickTop="1" thickBot="1">
      <c r="B77" s="5788" t="s">
        <v>548</v>
      </c>
      <c r="C77" s="995"/>
      <c r="D77" s="996" t="s">
        <v>543</v>
      </c>
      <c r="E77" s="997" t="s">
        <v>544</v>
      </c>
    </row>
    <row r="78" spans="2:5" ht="24.75" hidden="1" customHeight="1">
      <c r="B78" s="5789"/>
      <c r="C78" s="998">
        <v>2004</v>
      </c>
      <c r="D78" s="990">
        <v>181350</v>
      </c>
      <c r="E78" s="3363">
        <v>20</v>
      </c>
    </row>
    <row r="79" spans="2:5" ht="24.75" hidden="1" customHeight="1">
      <c r="B79" s="5789"/>
      <c r="C79" s="998">
        <v>2005</v>
      </c>
      <c r="D79" s="990">
        <v>129096</v>
      </c>
      <c r="E79" s="3363">
        <v>1654</v>
      </c>
    </row>
    <row r="80" spans="2:5" ht="24.75" hidden="1" customHeight="1">
      <c r="B80" s="5789"/>
      <c r="C80" s="962">
        <v>2006</v>
      </c>
      <c r="D80" s="963">
        <v>119342</v>
      </c>
      <c r="E80" s="964">
        <v>0</v>
      </c>
    </row>
    <row r="81" spans="2:5" ht="24.75" hidden="1" customHeight="1">
      <c r="B81" s="5789"/>
      <c r="C81" s="962">
        <v>2007</v>
      </c>
      <c r="D81" s="963">
        <v>60172</v>
      </c>
      <c r="E81" s="979">
        <v>455</v>
      </c>
    </row>
    <row r="82" spans="2:5" ht="24.75" hidden="1" customHeight="1">
      <c r="B82" s="5789"/>
      <c r="C82" s="962">
        <v>2008</v>
      </c>
      <c r="D82" s="963">
        <v>40753</v>
      </c>
      <c r="E82" s="979">
        <v>126</v>
      </c>
    </row>
    <row r="83" spans="2:5" ht="24.75" hidden="1" customHeight="1">
      <c r="B83" s="5789"/>
      <c r="C83" s="962">
        <v>2009</v>
      </c>
      <c r="D83" s="963">
        <v>51428</v>
      </c>
      <c r="E83" s="979">
        <v>35</v>
      </c>
    </row>
    <row r="84" spans="2:5" ht="24.75" hidden="1" customHeight="1">
      <c r="B84" s="5789"/>
      <c r="C84" s="962">
        <v>2010</v>
      </c>
      <c r="D84" s="963">
        <v>59968</v>
      </c>
      <c r="E84" s="979">
        <v>0</v>
      </c>
    </row>
    <row r="85" spans="2:5" ht="24.75" hidden="1" customHeight="1">
      <c r="B85" s="5789"/>
      <c r="C85" s="962">
        <v>2011</v>
      </c>
      <c r="D85" s="963">
        <v>41272</v>
      </c>
      <c r="E85" s="979">
        <v>0</v>
      </c>
    </row>
    <row r="86" spans="2:5" ht="24.75" hidden="1" customHeight="1">
      <c r="B86" s="5789"/>
      <c r="C86" s="962">
        <v>2012</v>
      </c>
      <c r="D86" s="963">
        <v>38291</v>
      </c>
      <c r="E86" s="965">
        <v>0</v>
      </c>
    </row>
    <row r="87" spans="2:5" ht="24.75" hidden="1" customHeight="1" thickTop="1">
      <c r="B87" s="5789"/>
      <c r="C87" s="962">
        <v>2013</v>
      </c>
      <c r="D87" s="963">
        <v>41518</v>
      </c>
      <c r="E87" s="965">
        <v>0</v>
      </c>
    </row>
    <row r="88" spans="2:5" s="989" customFormat="1" ht="24.75" hidden="1" customHeight="1">
      <c r="B88" s="5789"/>
      <c r="C88" s="962">
        <v>2014</v>
      </c>
      <c r="D88" s="963">
        <v>50840</v>
      </c>
      <c r="E88" s="965">
        <v>3617</v>
      </c>
    </row>
    <row r="89" spans="2:5" s="989" customFormat="1" ht="24.75" hidden="1" customHeight="1" thickTop="1">
      <c r="B89" s="5789"/>
      <c r="C89" s="962">
        <v>2015</v>
      </c>
      <c r="D89" s="963">
        <v>65474</v>
      </c>
      <c r="E89" s="3361">
        <v>0</v>
      </c>
    </row>
    <row r="90" spans="2:5" s="989" customFormat="1" ht="24.75" hidden="1" customHeight="1">
      <c r="B90" s="5789"/>
      <c r="C90" s="962">
        <v>2016</v>
      </c>
      <c r="D90" s="963">
        <v>47091</v>
      </c>
      <c r="E90" s="965">
        <v>0</v>
      </c>
    </row>
    <row r="91" spans="2:5" s="989" customFormat="1" ht="24.75" customHeight="1">
      <c r="B91" s="5789"/>
      <c r="C91" s="998">
        <v>2017</v>
      </c>
      <c r="D91" s="968">
        <v>52074</v>
      </c>
      <c r="E91" s="965">
        <v>0</v>
      </c>
    </row>
    <row r="92" spans="2:5" s="989" customFormat="1" ht="24.75" customHeight="1">
      <c r="B92" s="5789"/>
      <c r="C92" s="962">
        <v>2018</v>
      </c>
      <c r="D92" s="963">
        <v>48751</v>
      </c>
      <c r="E92" s="965">
        <v>0</v>
      </c>
    </row>
    <row r="93" spans="2:5" s="989" customFormat="1" ht="24.75" customHeight="1">
      <c r="B93" s="5789"/>
      <c r="C93" s="962">
        <v>2019</v>
      </c>
      <c r="D93" s="963">
        <v>52569</v>
      </c>
      <c r="E93" s="3361">
        <v>0</v>
      </c>
    </row>
    <row r="94" spans="2:5" s="989" customFormat="1" ht="24.75" customHeight="1">
      <c r="B94" s="5789"/>
      <c r="C94" s="962">
        <v>2020</v>
      </c>
      <c r="D94" s="999">
        <v>27012</v>
      </c>
      <c r="E94" s="3361">
        <v>6284</v>
      </c>
    </row>
    <row r="95" spans="2:5" s="989" customFormat="1" ht="24.75" customHeight="1">
      <c r="B95" s="5789"/>
      <c r="C95" s="2575">
        <v>2021</v>
      </c>
      <c r="D95" s="2565">
        <v>102469</v>
      </c>
      <c r="E95" s="3364">
        <v>19406</v>
      </c>
    </row>
    <row r="96" spans="2:5" s="989" customFormat="1" ht="24.75" customHeight="1">
      <c r="B96" s="5789"/>
      <c r="C96" s="2959">
        <v>2022</v>
      </c>
      <c r="D96" s="2565">
        <v>159215</v>
      </c>
      <c r="E96" s="3364">
        <v>0</v>
      </c>
    </row>
    <row r="97" spans="2:5" s="989" customFormat="1" ht="24.75" customHeight="1" thickBot="1">
      <c r="B97" s="5789"/>
      <c r="C97" s="994">
        <v>2023</v>
      </c>
      <c r="D97" s="992">
        <v>70075</v>
      </c>
      <c r="E97" s="3365">
        <v>0</v>
      </c>
    </row>
    <row r="98" spans="2:5" ht="24.75" customHeight="1" thickTop="1" thickBot="1">
      <c r="B98" s="5789"/>
      <c r="C98" s="1000"/>
      <c r="D98" s="1001" t="s">
        <v>545</v>
      </c>
      <c r="E98" s="986" t="s">
        <v>546</v>
      </c>
    </row>
    <row r="99" spans="2:5" ht="24.75" hidden="1" customHeight="1">
      <c r="B99" s="5789"/>
      <c r="C99" s="977">
        <v>2000</v>
      </c>
      <c r="D99" s="963" t="s">
        <v>124</v>
      </c>
      <c r="E99" s="1002" t="s">
        <v>124</v>
      </c>
    </row>
    <row r="100" spans="2:5" ht="24.75" hidden="1" customHeight="1">
      <c r="B100" s="5789"/>
      <c r="C100" s="977">
        <v>2002</v>
      </c>
      <c r="D100" s="963" t="s">
        <v>124</v>
      </c>
      <c r="E100" s="1002" t="s">
        <v>124</v>
      </c>
    </row>
    <row r="101" spans="2:5" ht="24.75" hidden="1" customHeight="1">
      <c r="B101" s="5789"/>
      <c r="C101" s="977">
        <v>2003</v>
      </c>
      <c r="D101" s="963" t="s">
        <v>124</v>
      </c>
      <c r="E101" s="1002" t="s">
        <v>124</v>
      </c>
    </row>
    <row r="102" spans="2:5" ht="24.75" hidden="1" customHeight="1">
      <c r="B102" s="5789"/>
      <c r="C102" s="977">
        <v>2004</v>
      </c>
      <c r="D102" s="963" t="s">
        <v>124</v>
      </c>
      <c r="E102" s="1002" t="s">
        <v>124</v>
      </c>
    </row>
    <row r="103" spans="2:5" ht="24.75" hidden="1" customHeight="1">
      <c r="B103" s="5789"/>
      <c r="C103" s="977">
        <v>2005</v>
      </c>
      <c r="D103" s="963" t="s">
        <v>124</v>
      </c>
      <c r="E103" s="1002" t="s">
        <v>124</v>
      </c>
    </row>
    <row r="104" spans="2:5" ht="24.75" hidden="1" customHeight="1">
      <c r="B104" s="5789"/>
      <c r="C104" s="977">
        <v>2006</v>
      </c>
      <c r="D104" s="963" t="s">
        <v>124</v>
      </c>
      <c r="E104" s="1002" t="s">
        <v>124</v>
      </c>
    </row>
    <row r="105" spans="2:5" ht="24.75" hidden="1" customHeight="1">
      <c r="B105" s="5789"/>
      <c r="C105" s="977">
        <v>2007</v>
      </c>
      <c r="D105" s="963" t="s">
        <v>124</v>
      </c>
      <c r="E105" s="1002" t="s">
        <v>124</v>
      </c>
    </row>
    <row r="106" spans="2:5" ht="24.75" hidden="1" customHeight="1">
      <c r="B106" s="5789"/>
      <c r="C106" s="962">
        <v>2008</v>
      </c>
      <c r="D106" s="963" t="s">
        <v>124</v>
      </c>
      <c r="E106" s="1002" t="s">
        <v>124</v>
      </c>
    </row>
    <row r="107" spans="2:5" ht="24.75" hidden="1" customHeight="1">
      <c r="B107" s="5789"/>
      <c r="C107" s="962">
        <v>2009</v>
      </c>
      <c r="D107" s="963" t="s">
        <v>124</v>
      </c>
      <c r="E107" s="1002" t="s">
        <v>124</v>
      </c>
    </row>
    <row r="108" spans="2:5" ht="24.75" hidden="1" customHeight="1">
      <c r="B108" s="5789"/>
      <c r="C108" s="962">
        <v>2010</v>
      </c>
      <c r="D108" s="963" t="s">
        <v>124</v>
      </c>
      <c r="E108" s="1002" t="s">
        <v>124</v>
      </c>
    </row>
    <row r="109" spans="2:5" ht="24.75" hidden="1" customHeight="1">
      <c r="B109" s="5789"/>
      <c r="C109" s="962">
        <v>2011</v>
      </c>
      <c r="D109" s="963" t="s">
        <v>124</v>
      </c>
      <c r="E109" s="1002" t="s">
        <v>124</v>
      </c>
    </row>
    <row r="110" spans="2:5" ht="24.75" hidden="1" customHeight="1">
      <c r="B110" s="5789"/>
      <c r="C110" s="962">
        <v>2012</v>
      </c>
      <c r="D110" s="963" t="s">
        <v>124</v>
      </c>
      <c r="E110" s="979" t="s">
        <v>124</v>
      </c>
    </row>
    <row r="111" spans="2:5" ht="24.75" hidden="1" customHeight="1">
      <c r="B111" s="5789"/>
      <c r="C111" s="962">
        <v>2013</v>
      </c>
      <c r="D111" s="963" t="s">
        <v>124</v>
      </c>
      <c r="E111" s="979" t="s">
        <v>124</v>
      </c>
    </row>
    <row r="112" spans="2:5" s="989" customFormat="1" ht="24.75" hidden="1" customHeight="1">
      <c r="B112" s="5789"/>
      <c r="C112" s="962">
        <v>2014</v>
      </c>
      <c r="D112" s="963" t="s">
        <v>124</v>
      </c>
      <c r="E112" s="979" t="s">
        <v>124</v>
      </c>
    </row>
    <row r="113" spans="2:5" s="989" customFormat="1" ht="24.75" hidden="1" customHeight="1">
      <c r="B113" s="5789"/>
      <c r="C113" s="962">
        <v>2015</v>
      </c>
      <c r="D113" s="963" t="s">
        <v>124</v>
      </c>
      <c r="E113" s="3361" t="s">
        <v>124</v>
      </c>
    </row>
    <row r="114" spans="2:5" s="989" customFormat="1" ht="24.75" hidden="1" customHeight="1">
      <c r="B114" s="5789"/>
      <c r="C114" s="962">
        <v>2016</v>
      </c>
      <c r="D114" s="963">
        <v>0</v>
      </c>
      <c r="E114" s="3361">
        <v>0</v>
      </c>
    </row>
    <row r="115" spans="2:5" s="989" customFormat="1" ht="24.75" customHeight="1">
      <c r="B115" s="5789"/>
      <c r="C115" s="998">
        <v>2017</v>
      </c>
      <c r="D115" s="963">
        <v>0</v>
      </c>
      <c r="E115" s="3361">
        <v>0</v>
      </c>
    </row>
    <row r="116" spans="2:5" s="989" customFormat="1" ht="24.75" customHeight="1">
      <c r="B116" s="5789"/>
      <c r="C116" s="962">
        <v>2018</v>
      </c>
      <c r="D116" s="970">
        <v>0</v>
      </c>
      <c r="E116" s="3361">
        <v>0</v>
      </c>
    </row>
    <row r="117" spans="2:5" s="989" customFormat="1" ht="24.75" customHeight="1">
      <c r="B117" s="5789"/>
      <c r="C117" s="962">
        <v>2019</v>
      </c>
      <c r="D117" s="970">
        <v>0</v>
      </c>
      <c r="E117" s="965">
        <v>0</v>
      </c>
    </row>
    <row r="118" spans="2:5" s="989" customFormat="1" ht="24.75" customHeight="1">
      <c r="B118" s="5789"/>
      <c r="C118" s="962">
        <v>2020</v>
      </c>
      <c r="D118" s="970">
        <v>0</v>
      </c>
      <c r="E118" s="965">
        <v>0</v>
      </c>
    </row>
    <row r="119" spans="2:5" s="989" customFormat="1" ht="24.5" customHeight="1">
      <c r="B119" s="5789"/>
      <c r="C119" s="971">
        <v>2021</v>
      </c>
      <c r="D119" s="2644">
        <v>0</v>
      </c>
      <c r="E119" s="3364">
        <v>0</v>
      </c>
    </row>
    <row r="120" spans="2:5" s="989" customFormat="1" ht="24.5" customHeight="1">
      <c r="B120" s="5789"/>
      <c r="C120" s="971">
        <v>2022</v>
      </c>
      <c r="D120" s="2644">
        <v>188</v>
      </c>
      <c r="E120" s="3364">
        <v>0</v>
      </c>
    </row>
    <row r="121" spans="2:5" s="989" customFormat="1" ht="24.5" customHeight="1" thickBot="1">
      <c r="B121" s="5789"/>
      <c r="C121" s="994">
        <v>2023</v>
      </c>
      <c r="D121" s="992">
        <v>0</v>
      </c>
      <c r="E121" s="3365">
        <v>110</v>
      </c>
    </row>
    <row r="122" spans="2:5" ht="24.75" customHeight="1" thickTop="1" thickBot="1">
      <c r="B122" s="5789"/>
      <c r="C122" s="1003"/>
      <c r="D122" s="985" t="s">
        <v>123</v>
      </c>
      <c r="E122" s="986" t="s">
        <v>123</v>
      </c>
    </row>
    <row r="123" spans="2:5" ht="24.75" hidden="1" customHeight="1">
      <c r="B123" s="5789"/>
      <c r="C123" s="962">
        <v>2000</v>
      </c>
      <c r="D123" s="963">
        <v>136040</v>
      </c>
      <c r="E123" s="979" t="s">
        <v>124</v>
      </c>
    </row>
    <row r="124" spans="2:5" ht="24.75" hidden="1" customHeight="1">
      <c r="B124" s="5789"/>
      <c r="C124" s="962">
        <v>2002</v>
      </c>
      <c r="D124" s="963">
        <v>119615</v>
      </c>
      <c r="E124" s="979" t="s">
        <v>124</v>
      </c>
    </row>
    <row r="125" spans="2:5" ht="24.75" hidden="1" customHeight="1">
      <c r="B125" s="5789"/>
      <c r="C125" s="962">
        <v>2003</v>
      </c>
      <c r="D125" s="987">
        <v>127090</v>
      </c>
      <c r="E125" s="988">
        <v>1654</v>
      </c>
    </row>
    <row r="126" spans="2:5" ht="24.75" hidden="1" customHeight="1">
      <c r="B126" s="5789"/>
      <c r="C126" s="962">
        <v>2004</v>
      </c>
      <c r="D126" s="987">
        <v>181350</v>
      </c>
      <c r="E126" s="988">
        <v>20</v>
      </c>
    </row>
    <row r="127" spans="2:5" ht="24.75" hidden="1" customHeight="1">
      <c r="B127" s="5789"/>
      <c r="C127" s="962">
        <v>2005</v>
      </c>
      <c r="D127" s="963">
        <v>129096</v>
      </c>
      <c r="E127" s="965">
        <v>1654</v>
      </c>
    </row>
    <row r="128" spans="2:5" ht="24.75" hidden="1" customHeight="1">
      <c r="B128" s="5789"/>
      <c r="C128" s="962">
        <v>2006</v>
      </c>
      <c r="D128" s="963">
        <v>119342</v>
      </c>
      <c r="E128" s="965">
        <v>0</v>
      </c>
    </row>
    <row r="129" spans="2:5" ht="24.75" hidden="1" customHeight="1">
      <c r="B129" s="5789"/>
      <c r="C129" s="962">
        <v>2007</v>
      </c>
      <c r="D129" s="963">
        <v>60172</v>
      </c>
      <c r="E129" s="979">
        <v>455</v>
      </c>
    </row>
    <row r="130" spans="2:5" ht="24.75" hidden="1" customHeight="1">
      <c r="B130" s="5789"/>
      <c r="C130" s="962">
        <v>2008</v>
      </c>
      <c r="D130" s="963">
        <v>40753</v>
      </c>
      <c r="E130" s="979">
        <v>126</v>
      </c>
    </row>
    <row r="131" spans="2:5" ht="24.75" hidden="1" customHeight="1">
      <c r="B131" s="5789"/>
      <c r="C131" s="962">
        <v>2009</v>
      </c>
      <c r="D131" s="963">
        <v>51428</v>
      </c>
      <c r="E131" s="979">
        <v>35</v>
      </c>
    </row>
    <row r="132" spans="2:5" ht="24.75" hidden="1" customHeight="1">
      <c r="B132" s="5789"/>
      <c r="C132" s="962">
        <v>2010</v>
      </c>
      <c r="D132" s="963">
        <v>59968</v>
      </c>
      <c r="E132" s="979">
        <v>0</v>
      </c>
    </row>
    <row r="133" spans="2:5" ht="24.75" hidden="1" customHeight="1">
      <c r="B133" s="5789"/>
      <c r="C133" s="962">
        <v>2011</v>
      </c>
      <c r="D133" s="963">
        <v>41272</v>
      </c>
      <c r="E133" s="979">
        <v>0</v>
      </c>
    </row>
    <row r="134" spans="2:5" ht="24.75" hidden="1" customHeight="1">
      <c r="B134" s="5789"/>
      <c r="C134" s="962">
        <v>2012</v>
      </c>
      <c r="D134" s="963">
        <v>38291</v>
      </c>
      <c r="E134" s="979">
        <v>0</v>
      </c>
    </row>
    <row r="135" spans="2:5" ht="24.75" hidden="1" customHeight="1">
      <c r="B135" s="5789"/>
      <c r="C135" s="962">
        <v>2013</v>
      </c>
      <c r="D135" s="963">
        <v>41518</v>
      </c>
      <c r="E135" s="979">
        <v>0</v>
      </c>
    </row>
    <row r="136" spans="2:5" s="989" customFormat="1" ht="24.75" hidden="1" customHeight="1">
      <c r="B136" s="5789"/>
      <c r="C136" s="962">
        <v>2014</v>
      </c>
      <c r="D136" s="963">
        <v>50840</v>
      </c>
      <c r="E136" s="965">
        <v>3617</v>
      </c>
    </row>
    <row r="137" spans="2:5" s="989" customFormat="1" ht="24.75" hidden="1" customHeight="1">
      <c r="B137" s="5789"/>
      <c r="C137" s="962">
        <v>2015</v>
      </c>
      <c r="D137" s="963">
        <v>65474</v>
      </c>
      <c r="E137" s="3361">
        <v>0</v>
      </c>
    </row>
    <row r="138" spans="2:5" s="989" customFormat="1" ht="24.75" hidden="1" customHeight="1">
      <c r="B138" s="5789"/>
      <c r="C138" s="967">
        <v>2016</v>
      </c>
      <c r="D138" s="968">
        <f t="shared" ref="D138:E143" si="1">+D90+D114</f>
        <v>47091</v>
      </c>
      <c r="E138" s="2962">
        <f t="shared" si="1"/>
        <v>0</v>
      </c>
    </row>
    <row r="139" spans="2:5" s="989" customFormat="1" ht="24.75" customHeight="1">
      <c r="B139" s="5789"/>
      <c r="C139" s="2575">
        <v>2017</v>
      </c>
      <c r="D139" s="2567">
        <f t="shared" si="1"/>
        <v>52074</v>
      </c>
      <c r="E139" s="2962">
        <f t="shared" si="1"/>
        <v>0</v>
      </c>
    </row>
    <row r="140" spans="2:5" s="989" customFormat="1" ht="24.75" customHeight="1">
      <c r="B140" s="5789"/>
      <c r="C140" s="2575">
        <v>2018</v>
      </c>
      <c r="D140" s="2567">
        <f t="shared" si="1"/>
        <v>48751</v>
      </c>
      <c r="E140" s="2962">
        <f t="shared" si="1"/>
        <v>0</v>
      </c>
    </row>
    <row r="141" spans="2:5" s="989" customFormat="1" ht="24.75" customHeight="1">
      <c r="B141" s="5789"/>
      <c r="C141" s="993">
        <v>2019</v>
      </c>
      <c r="D141" s="2567">
        <f t="shared" si="1"/>
        <v>52569</v>
      </c>
      <c r="E141" s="2962">
        <f t="shared" si="1"/>
        <v>0</v>
      </c>
    </row>
    <row r="142" spans="2:5" s="989" customFormat="1" ht="24.75" customHeight="1">
      <c r="B142" s="5789"/>
      <c r="C142" s="993">
        <v>2020</v>
      </c>
      <c r="D142" s="2567">
        <f t="shared" si="1"/>
        <v>27012</v>
      </c>
      <c r="E142" s="2962">
        <f t="shared" si="1"/>
        <v>6284</v>
      </c>
    </row>
    <row r="143" spans="2:5" s="989" customFormat="1" ht="24.75" customHeight="1">
      <c r="B143" s="5789"/>
      <c r="C143" s="993">
        <v>2021</v>
      </c>
      <c r="D143" s="2567">
        <f t="shared" si="1"/>
        <v>102469</v>
      </c>
      <c r="E143" s="2962">
        <f t="shared" si="1"/>
        <v>19406</v>
      </c>
    </row>
    <row r="144" spans="2:5" s="989" customFormat="1" ht="24.75" customHeight="1">
      <c r="B144" s="5789"/>
      <c r="C144" s="2960">
        <v>2022</v>
      </c>
      <c r="D144" s="2961">
        <v>159215</v>
      </c>
      <c r="E144" s="2962">
        <v>0</v>
      </c>
    </row>
    <row r="145" spans="2:5" s="989" customFormat="1" ht="24.75" customHeight="1" thickBot="1">
      <c r="B145" s="5790"/>
      <c r="C145" s="994">
        <v>2023</v>
      </c>
      <c r="D145" s="992">
        <v>70075</v>
      </c>
      <c r="E145" s="2964">
        <v>110</v>
      </c>
    </row>
    <row r="146" spans="2:5" ht="24.75" customHeight="1" thickTop="1" thickBot="1">
      <c r="B146" s="5788" t="s">
        <v>549</v>
      </c>
      <c r="C146" s="1004"/>
      <c r="D146" s="2596" t="s">
        <v>543</v>
      </c>
      <c r="E146" s="2568" t="s">
        <v>544</v>
      </c>
    </row>
    <row r="147" spans="2:5" ht="24.75" hidden="1" customHeight="1">
      <c r="B147" s="5789"/>
      <c r="C147" s="2575">
        <v>2000</v>
      </c>
      <c r="D147" s="2569">
        <v>12561</v>
      </c>
      <c r="E147" s="964">
        <v>2244</v>
      </c>
    </row>
    <row r="148" spans="2:5" ht="24.75" hidden="1" customHeight="1">
      <c r="B148" s="5789"/>
      <c r="C148" s="2575">
        <v>2002</v>
      </c>
      <c r="D148" s="2569">
        <v>13666</v>
      </c>
      <c r="E148" s="964">
        <v>3025</v>
      </c>
    </row>
    <row r="149" spans="2:5" ht="24.75" hidden="1" customHeight="1">
      <c r="B149" s="5789"/>
      <c r="C149" s="2575">
        <v>2003</v>
      </c>
      <c r="D149" s="2569">
        <v>14255</v>
      </c>
      <c r="E149" s="964">
        <v>3143</v>
      </c>
    </row>
    <row r="150" spans="2:5" ht="24.75" hidden="1" customHeight="1">
      <c r="B150" s="5789"/>
      <c r="C150" s="2575">
        <v>2004</v>
      </c>
      <c r="D150" s="2569">
        <v>16370</v>
      </c>
      <c r="E150" s="964">
        <v>3566</v>
      </c>
    </row>
    <row r="151" spans="2:5" ht="24.75" hidden="1" customHeight="1">
      <c r="B151" s="5789"/>
      <c r="C151" s="2575">
        <v>2005</v>
      </c>
      <c r="D151" s="2569">
        <v>18918</v>
      </c>
      <c r="E151" s="964">
        <v>4438</v>
      </c>
    </row>
    <row r="152" spans="2:5" ht="24.75" hidden="1" customHeight="1">
      <c r="B152" s="5789"/>
      <c r="C152" s="2575">
        <v>2006</v>
      </c>
      <c r="D152" s="2570">
        <v>15343.5</v>
      </c>
      <c r="E152" s="964">
        <v>4022</v>
      </c>
    </row>
    <row r="153" spans="2:5" ht="24.75" hidden="1" customHeight="1">
      <c r="B153" s="5789"/>
      <c r="C153" s="2576">
        <v>2007</v>
      </c>
      <c r="D153" s="2569">
        <v>20894.5</v>
      </c>
      <c r="E153" s="965">
        <v>2840.5</v>
      </c>
    </row>
    <row r="154" spans="2:5" ht="24.75" hidden="1" customHeight="1">
      <c r="B154" s="5789"/>
      <c r="C154" s="2575">
        <v>2008</v>
      </c>
      <c r="D154" s="2569">
        <v>20155.5</v>
      </c>
      <c r="E154" s="965">
        <v>2689.5</v>
      </c>
    </row>
    <row r="155" spans="2:5" ht="24.75" hidden="1" customHeight="1">
      <c r="B155" s="5789"/>
      <c r="C155" s="2575">
        <v>2009</v>
      </c>
      <c r="D155" s="2569">
        <v>17991</v>
      </c>
      <c r="E155" s="965">
        <v>2679.5</v>
      </c>
    </row>
    <row r="156" spans="2:5" ht="24.75" hidden="1" customHeight="1">
      <c r="B156" s="5789"/>
      <c r="C156" s="2575">
        <v>2010</v>
      </c>
      <c r="D156" s="2569">
        <v>17877.5</v>
      </c>
      <c r="E156" s="965">
        <v>2722</v>
      </c>
    </row>
    <row r="157" spans="2:5" ht="24.75" hidden="1" customHeight="1">
      <c r="B157" s="5789"/>
      <c r="C157" s="2575">
        <v>2011</v>
      </c>
      <c r="D157" s="2569">
        <v>17356</v>
      </c>
      <c r="E157" s="965">
        <v>2712</v>
      </c>
    </row>
    <row r="158" spans="2:5" ht="24.75" hidden="1" customHeight="1">
      <c r="B158" s="5789"/>
      <c r="C158" s="2575">
        <v>2012</v>
      </c>
      <c r="D158" s="2569">
        <v>16382</v>
      </c>
      <c r="E158" s="965">
        <v>2694</v>
      </c>
    </row>
    <row r="159" spans="2:5" ht="24.75" hidden="1" customHeight="1">
      <c r="B159" s="5789"/>
      <c r="C159" s="2575">
        <v>2013</v>
      </c>
      <c r="D159" s="2569">
        <v>16698</v>
      </c>
      <c r="E159" s="965">
        <v>2591</v>
      </c>
    </row>
    <row r="160" spans="2:5" s="989" customFormat="1" ht="24.75" hidden="1" customHeight="1">
      <c r="B160" s="5789"/>
      <c r="C160" s="2575">
        <v>2014</v>
      </c>
      <c r="D160" s="2569">
        <v>15680</v>
      </c>
      <c r="E160" s="965">
        <v>2473</v>
      </c>
    </row>
    <row r="161" spans="2:5" s="989" customFormat="1" ht="24.75" hidden="1" customHeight="1">
      <c r="B161" s="5789"/>
      <c r="C161" s="2575">
        <v>2015</v>
      </c>
      <c r="D161" s="2569">
        <v>16947</v>
      </c>
      <c r="E161" s="3361">
        <v>2925</v>
      </c>
    </row>
    <row r="162" spans="2:5" s="989" customFormat="1" ht="24.75" hidden="1" customHeight="1">
      <c r="B162" s="5789"/>
      <c r="C162" s="2575">
        <v>2016</v>
      </c>
      <c r="D162" s="2569">
        <f>6306+6222+6222+238+118+118</f>
        <v>19224</v>
      </c>
      <c r="E162" s="965">
        <f>888+847+847+22.5+69+69</f>
        <v>2742.5</v>
      </c>
    </row>
    <row r="163" spans="2:5" s="989" customFormat="1" ht="24.75" customHeight="1">
      <c r="B163" s="5789"/>
      <c r="C163" s="2575">
        <v>2017</v>
      </c>
      <c r="D163" s="2567">
        <f>5912+6343+6343+21+18+18</f>
        <v>18655</v>
      </c>
      <c r="E163" s="965">
        <f>1155+704+704+1+1+1</f>
        <v>2566</v>
      </c>
    </row>
    <row r="164" spans="2:5" s="989" customFormat="1" ht="24.75" customHeight="1">
      <c r="B164" s="5789"/>
      <c r="C164" s="2575">
        <v>2018</v>
      </c>
      <c r="D164" s="2569">
        <f>5156+39540+39540+68+16+16</f>
        <v>84336</v>
      </c>
      <c r="E164" s="3361">
        <f>1066+721+721+1+0+0</f>
        <v>2509</v>
      </c>
    </row>
    <row r="165" spans="2:5" s="989" customFormat="1" ht="24.75" customHeight="1">
      <c r="B165" s="5789"/>
      <c r="C165" s="2575">
        <v>2019</v>
      </c>
      <c r="D165" s="2569">
        <v>22941</v>
      </c>
      <c r="E165" s="3361">
        <v>3869</v>
      </c>
    </row>
    <row r="166" spans="2:5" s="989" customFormat="1" ht="24.75" customHeight="1">
      <c r="B166" s="5789"/>
      <c r="C166" s="2575">
        <v>2020</v>
      </c>
      <c r="D166" s="2569">
        <v>21308</v>
      </c>
      <c r="E166" s="965">
        <v>10016</v>
      </c>
    </row>
    <row r="167" spans="2:5" s="989" customFormat="1" ht="24.75" customHeight="1">
      <c r="B167" s="5789"/>
      <c r="C167" s="2575">
        <v>2021</v>
      </c>
      <c r="D167" s="2569">
        <v>22397</v>
      </c>
      <c r="E167" s="965">
        <v>11035</v>
      </c>
    </row>
    <row r="168" spans="2:5" s="989" customFormat="1" ht="24.75" customHeight="1">
      <c r="B168" s="5789"/>
      <c r="C168" s="2959">
        <v>2022</v>
      </c>
      <c r="D168" s="2565">
        <v>23522</v>
      </c>
      <c r="E168" s="2962">
        <v>11450</v>
      </c>
    </row>
    <row r="169" spans="2:5" s="989" customFormat="1" ht="24.75" customHeight="1" thickBot="1">
      <c r="B169" s="5789"/>
      <c r="C169" s="994">
        <v>2023</v>
      </c>
      <c r="D169" s="992">
        <v>25794</v>
      </c>
      <c r="E169" s="3365">
        <v>13375</v>
      </c>
    </row>
    <row r="170" spans="2:5" ht="24.75" customHeight="1" thickTop="1" thickBot="1">
      <c r="B170" s="5789"/>
      <c r="C170" s="2577"/>
      <c r="D170" s="2571" t="s">
        <v>545</v>
      </c>
      <c r="E170" s="986" t="s">
        <v>546</v>
      </c>
    </row>
    <row r="171" spans="2:5" s="989" customFormat="1" ht="24.75" hidden="1" customHeight="1">
      <c r="B171" s="5789"/>
      <c r="C171" s="2575">
        <v>2016</v>
      </c>
      <c r="D171" s="2569">
        <f>31+17+17+24+15+15</f>
        <v>119</v>
      </c>
      <c r="E171" s="965">
        <f>29+17+17+12+6+6</f>
        <v>87</v>
      </c>
    </row>
    <row r="172" spans="2:5" s="989" customFormat="1" ht="24.75" customHeight="1">
      <c r="B172" s="5789"/>
      <c r="C172" s="2575">
        <v>2017</v>
      </c>
      <c r="D172" s="2567">
        <f>34+12+12+0+0+0</f>
        <v>58</v>
      </c>
      <c r="E172" s="965">
        <f>33+27+27+0+0+0</f>
        <v>87</v>
      </c>
    </row>
    <row r="173" spans="2:5" s="989" customFormat="1" ht="24.75" customHeight="1">
      <c r="B173" s="5789"/>
      <c r="C173" s="2575">
        <v>2018</v>
      </c>
      <c r="D173" s="2569">
        <f>20+35+35+2+2+2</f>
        <v>96</v>
      </c>
      <c r="E173" s="965">
        <f>30+62+62+2+2+2</f>
        <v>160</v>
      </c>
    </row>
    <row r="174" spans="2:5" s="989" customFormat="1" ht="24.75" customHeight="1">
      <c r="B174" s="5789"/>
      <c r="C174" s="2575">
        <v>2019</v>
      </c>
      <c r="D174" s="2569">
        <v>155</v>
      </c>
      <c r="E174" s="965">
        <v>107</v>
      </c>
    </row>
    <row r="175" spans="2:5" s="989" customFormat="1" ht="24.75" customHeight="1">
      <c r="B175" s="5789"/>
      <c r="C175" s="2575">
        <v>2020</v>
      </c>
      <c r="D175" s="2569">
        <v>5</v>
      </c>
      <c r="E175" s="965">
        <v>1</v>
      </c>
    </row>
    <row r="176" spans="2:5" s="989" customFormat="1" ht="24.75" customHeight="1">
      <c r="B176" s="5789"/>
      <c r="C176" s="2575">
        <v>2021</v>
      </c>
      <c r="D176" s="2569">
        <v>174</v>
      </c>
      <c r="E176" s="965">
        <v>76</v>
      </c>
    </row>
    <row r="177" spans="2:5" s="989" customFormat="1" ht="24.75" customHeight="1">
      <c r="B177" s="5789"/>
      <c r="C177" s="2959">
        <v>2022</v>
      </c>
      <c r="D177" s="2644">
        <v>429</v>
      </c>
      <c r="E177" s="965">
        <v>215</v>
      </c>
    </row>
    <row r="178" spans="2:5" s="989" customFormat="1" ht="24.75" customHeight="1" thickBot="1">
      <c r="B178" s="5789"/>
      <c r="C178" s="994">
        <v>2023</v>
      </c>
      <c r="D178" s="992">
        <v>183</v>
      </c>
      <c r="E178" s="3365">
        <v>91</v>
      </c>
    </row>
    <row r="179" spans="2:5" ht="24.75" customHeight="1" thickTop="1" thickBot="1">
      <c r="B179" s="5789"/>
      <c r="C179" s="1004"/>
      <c r="D179" s="2572" t="s">
        <v>123</v>
      </c>
      <c r="E179" s="986" t="s">
        <v>123</v>
      </c>
    </row>
    <row r="180" spans="2:5" ht="24.75" hidden="1" customHeight="1">
      <c r="B180" s="5789"/>
      <c r="C180" s="2575">
        <v>2000</v>
      </c>
      <c r="D180" s="2569">
        <v>13669</v>
      </c>
      <c r="E180" s="964">
        <v>3243</v>
      </c>
    </row>
    <row r="181" spans="2:5" ht="24.75" hidden="1" customHeight="1">
      <c r="B181" s="5789"/>
      <c r="C181" s="2575">
        <v>2002</v>
      </c>
      <c r="D181" s="2569">
        <v>17346</v>
      </c>
      <c r="E181" s="964">
        <v>6553</v>
      </c>
    </row>
    <row r="182" spans="2:5" ht="24.75" hidden="1" customHeight="1">
      <c r="B182" s="5789"/>
      <c r="C182" s="2575">
        <v>2003</v>
      </c>
      <c r="D182" s="2573">
        <v>17909</v>
      </c>
      <c r="E182" s="1005">
        <v>6681</v>
      </c>
    </row>
    <row r="183" spans="2:5" ht="24.75" hidden="1" customHeight="1" thickBot="1">
      <c r="B183" s="5789"/>
      <c r="C183" s="2575">
        <v>2004</v>
      </c>
      <c r="D183" s="2573">
        <v>21412</v>
      </c>
      <c r="E183" s="1005">
        <v>8312</v>
      </c>
    </row>
    <row r="184" spans="2:5" ht="24.75" hidden="1" customHeight="1">
      <c r="B184" s="5789"/>
      <c r="C184" s="2578">
        <v>2005</v>
      </c>
      <c r="D184" s="2574">
        <v>23949</v>
      </c>
      <c r="E184" s="3366">
        <v>11863</v>
      </c>
    </row>
    <row r="185" spans="2:5" ht="24.75" hidden="1" customHeight="1">
      <c r="B185" s="5789"/>
      <c r="C185" s="2575">
        <v>2006</v>
      </c>
      <c r="D185" s="2569">
        <v>20746</v>
      </c>
      <c r="E185" s="964">
        <v>9257</v>
      </c>
    </row>
    <row r="186" spans="2:5" ht="24.75" hidden="1" customHeight="1">
      <c r="B186" s="5789"/>
      <c r="C186" s="2575">
        <v>2007</v>
      </c>
      <c r="D186" s="2569">
        <v>25515</v>
      </c>
      <c r="E186" s="964">
        <v>7314.5</v>
      </c>
    </row>
    <row r="187" spans="2:5" ht="24.75" hidden="1" customHeight="1">
      <c r="B187" s="5789"/>
      <c r="C187" s="2575">
        <v>2008</v>
      </c>
      <c r="D187" s="2569">
        <v>30075.5</v>
      </c>
      <c r="E187" s="964">
        <v>12428</v>
      </c>
    </row>
    <row r="188" spans="2:5" ht="24.75" hidden="1" customHeight="1">
      <c r="B188" s="5789"/>
      <c r="C188" s="2575">
        <v>2009</v>
      </c>
      <c r="D188" s="2569">
        <v>22182</v>
      </c>
      <c r="E188" s="964">
        <v>6706.5</v>
      </c>
    </row>
    <row r="189" spans="2:5" ht="24.75" hidden="1" customHeight="1">
      <c r="B189" s="5789"/>
      <c r="C189" s="2575">
        <v>2010</v>
      </c>
      <c r="D189" s="2569">
        <v>23388</v>
      </c>
      <c r="E189" s="965">
        <v>7955</v>
      </c>
    </row>
    <row r="190" spans="2:5" ht="24.75" hidden="1" customHeight="1">
      <c r="B190" s="5789"/>
      <c r="C190" s="2575">
        <v>2011</v>
      </c>
      <c r="D190" s="2569">
        <v>27081</v>
      </c>
      <c r="E190" s="965">
        <v>12118</v>
      </c>
    </row>
    <row r="191" spans="2:5" ht="24.75" hidden="1" customHeight="1">
      <c r="B191" s="5789"/>
      <c r="C191" s="2575">
        <v>2012</v>
      </c>
      <c r="D191" s="2569">
        <v>34033.5</v>
      </c>
      <c r="E191" s="964">
        <v>19859.5</v>
      </c>
    </row>
    <row r="192" spans="2:5" ht="24.75" hidden="1" customHeight="1">
      <c r="B192" s="5789"/>
      <c r="C192" s="2575">
        <v>2013</v>
      </c>
      <c r="D192" s="2569">
        <v>26939</v>
      </c>
      <c r="E192" s="964">
        <v>13026.5</v>
      </c>
    </row>
    <row r="193" spans="1:5" s="989" customFormat="1" ht="24.75" hidden="1" customHeight="1">
      <c r="B193" s="5789"/>
      <c r="C193" s="2575">
        <v>2014</v>
      </c>
      <c r="D193" s="2569">
        <v>18628</v>
      </c>
      <c r="E193" s="964">
        <v>5459</v>
      </c>
    </row>
    <row r="194" spans="1:5" s="989" customFormat="1" ht="24.75" hidden="1" customHeight="1">
      <c r="B194" s="5789"/>
      <c r="C194" s="2575">
        <v>2015</v>
      </c>
      <c r="D194" s="2569">
        <v>17221.5</v>
      </c>
      <c r="E194" s="3364">
        <v>3090</v>
      </c>
    </row>
    <row r="195" spans="1:5" s="989" customFormat="1" ht="24.75" hidden="1" customHeight="1">
      <c r="B195" s="5789"/>
      <c r="C195" s="2575">
        <v>2016</v>
      </c>
      <c r="D195" s="2567">
        <f t="shared" ref="D195:E200" si="2">D171+D162</f>
        <v>19343</v>
      </c>
      <c r="E195" s="965">
        <f t="shared" si="2"/>
        <v>2829.5</v>
      </c>
    </row>
    <row r="196" spans="1:5" s="989" customFormat="1" ht="24.75" customHeight="1">
      <c r="B196" s="5789"/>
      <c r="C196" s="2575">
        <v>2017</v>
      </c>
      <c r="D196" s="2567">
        <f t="shared" si="2"/>
        <v>18713</v>
      </c>
      <c r="E196" s="965">
        <f t="shared" si="2"/>
        <v>2653</v>
      </c>
    </row>
    <row r="197" spans="1:5" s="989" customFormat="1" ht="24.75" customHeight="1">
      <c r="B197" s="5789"/>
      <c r="C197" s="2575">
        <v>2018</v>
      </c>
      <c r="D197" s="2567">
        <f t="shared" si="2"/>
        <v>84432</v>
      </c>
      <c r="E197" s="965">
        <f t="shared" si="2"/>
        <v>2669</v>
      </c>
    </row>
    <row r="198" spans="1:5" s="989" customFormat="1" ht="24.5" customHeight="1">
      <c r="A198" s="1006"/>
      <c r="B198" s="5789"/>
      <c r="C198" s="993">
        <v>2019</v>
      </c>
      <c r="D198" s="2567">
        <f t="shared" si="2"/>
        <v>23096</v>
      </c>
      <c r="E198" s="965">
        <f t="shared" si="2"/>
        <v>3976</v>
      </c>
    </row>
    <row r="199" spans="1:5" s="989" customFormat="1" ht="24.75" customHeight="1">
      <c r="A199" s="1006"/>
      <c r="B199" s="5789"/>
      <c r="C199" s="993">
        <v>2020</v>
      </c>
      <c r="D199" s="2567">
        <f t="shared" si="2"/>
        <v>21313</v>
      </c>
      <c r="E199" s="965">
        <f t="shared" si="2"/>
        <v>10017</v>
      </c>
    </row>
    <row r="200" spans="1:5" s="989" customFormat="1" ht="24.75" customHeight="1">
      <c r="A200" s="1006"/>
      <c r="B200" s="5789"/>
      <c r="C200" s="993">
        <v>2021</v>
      </c>
      <c r="D200" s="2582">
        <f t="shared" si="2"/>
        <v>22571</v>
      </c>
      <c r="E200" s="2583">
        <f t="shared" si="2"/>
        <v>11111</v>
      </c>
    </row>
    <row r="201" spans="1:5" ht="27" customHeight="1">
      <c r="B201" s="5789"/>
      <c r="C201" s="2580">
        <v>2022</v>
      </c>
      <c r="D201" s="2956">
        <v>23951</v>
      </c>
      <c r="E201" s="3367">
        <v>11665</v>
      </c>
    </row>
    <row r="202" spans="1:5" ht="27" customHeight="1" thickBot="1">
      <c r="A202" s="3956"/>
      <c r="B202" s="3955"/>
      <c r="C202" s="3606">
        <v>2023</v>
      </c>
      <c r="D202" s="2958">
        <v>25977</v>
      </c>
      <c r="E202" s="3368">
        <v>13466</v>
      </c>
    </row>
    <row r="203" spans="1:5">
      <c r="B203" s="2579" t="s">
        <v>501</v>
      </c>
      <c r="C203" s="2579"/>
      <c r="D203" s="2957"/>
      <c r="E203" s="2957"/>
    </row>
  </sheetData>
  <mergeCells count="6">
    <mergeCell ref="B1:E1"/>
    <mergeCell ref="B2:E2"/>
    <mergeCell ref="B3:E3"/>
    <mergeCell ref="B77:B145"/>
    <mergeCell ref="B146:B201"/>
    <mergeCell ref="B5:B76"/>
  </mergeCells>
  <printOptions horizontalCentered="1" verticalCentered="1"/>
  <pageMargins left="0.25" right="0.25" top="0.75" bottom="0.75" header="0.3" footer="0.3"/>
  <pageSetup scale="37" firstPageNumber="103" orientation="portrait" useFirstPageNumber="1" r:id="rId1"/>
  <headerFooter scaleWithDoc="0" alignWithMargins="0">
    <oddFooter xml:space="preserve">&amp;C116
</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F0"/>
    <pageSetUpPr fitToPage="1"/>
  </sheetPr>
  <dimension ref="B1:M172"/>
  <sheetViews>
    <sheetView view="pageBreakPreview" zoomScale="60" zoomScaleNormal="60" workbookViewId="0">
      <selection activeCell="B44" sqref="B44"/>
    </sheetView>
  </sheetViews>
  <sheetFormatPr defaultColWidth="9.46484375" defaultRowHeight="22.9"/>
  <cols>
    <col min="1" max="1" width="9.46484375" style="4177"/>
    <col min="2" max="2" width="29" style="4210" customWidth="1"/>
    <col min="3" max="4" width="30.46484375" style="4177" customWidth="1"/>
    <col min="5" max="5" width="30.46484375" style="1569" customWidth="1"/>
    <col min="6" max="7" width="30.46484375" style="4177" customWidth="1"/>
    <col min="8" max="8" width="30.46484375" style="1569" customWidth="1"/>
    <col min="9" max="16384" width="9.46484375" style="4177"/>
  </cols>
  <sheetData>
    <row r="1" spans="2:8">
      <c r="B1" s="5798" t="s">
        <v>680</v>
      </c>
      <c r="C1" s="5798"/>
      <c r="D1" s="5798"/>
      <c r="E1" s="5798"/>
      <c r="F1" s="5798"/>
      <c r="G1" s="5798"/>
      <c r="H1" s="5798"/>
    </row>
    <row r="2" spans="2:8">
      <c r="B2" s="5798" t="s">
        <v>125</v>
      </c>
      <c r="C2" s="5798"/>
      <c r="D2" s="5798"/>
      <c r="E2" s="5798"/>
      <c r="F2" s="5798"/>
      <c r="G2" s="5798"/>
      <c r="H2" s="5798"/>
    </row>
    <row r="3" spans="2:8" ht="13.25" customHeight="1" thickBot="1">
      <c r="B3" s="4178"/>
      <c r="C3" s="4178"/>
      <c r="D3" s="4178"/>
      <c r="E3" s="4178"/>
      <c r="F3" s="4178"/>
      <c r="G3" s="4178"/>
      <c r="H3" s="4178"/>
    </row>
    <row r="4" spans="2:8" ht="33.5" customHeight="1" thickBot="1">
      <c r="B4" s="5799" t="s">
        <v>126</v>
      </c>
      <c r="C4" s="5800"/>
      <c r="D4" s="5800"/>
      <c r="E4" s="5801"/>
      <c r="F4" s="5799" t="s">
        <v>127</v>
      </c>
      <c r="G4" s="5800"/>
      <c r="H4" s="5801"/>
    </row>
    <row r="5" spans="2:8" ht="23.25" thickBot="1">
      <c r="B5" s="5802" t="s">
        <v>128</v>
      </c>
      <c r="C5" s="5803"/>
      <c r="D5" s="5803"/>
      <c r="E5" s="5803"/>
      <c r="F5" s="5803"/>
      <c r="G5" s="5803"/>
      <c r="H5" s="5804"/>
    </row>
    <row r="6" spans="2:8" ht="22.25" customHeight="1" thickBot="1">
      <c r="B6" s="4179" t="s">
        <v>129</v>
      </c>
      <c r="C6" s="4180" t="s">
        <v>130</v>
      </c>
      <c r="D6" s="4181" t="s">
        <v>131</v>
      </c>
      <c r="E6" s="4182" t="s">
        <v>132</v>
      </c>
      <c r="F6" s="4183" t="s">
        <v>133</v>
      </c>
      <c r="G6" s="4180" t="s">
        <v>134</v>
      </c>
      <c r="H6" s="4184" t="s">
        <v>135</v>
      </c>
    </row>
    <row r="7" spans="2:8" hidden="1">
      <c r="B7" s="4185"/>
      <c r="C7" s="4186"/>
      <c r="E7" s="4187"/>
      <c r="F7" s="4188"/>
      <c r="G7" s="4189"/>
      <c r="H7" s="4190"/>
    </row>
    <row r="8" spans="2:8" hidden="1">
      <c r="B8" s="4185" t="s">
        <v>76</v>
      </c>
      <c r="C8" s="4186">
        <v>15443</v>
      </c>
      <c r="D8" s="4191">
        <v>15067</v>
      </c>
      <c r="E8" s="4192">
        <v>30510</v>
      </c>
      <c r="F8" s="4193">
        <v>148966</v>
      </c>
      <c r="G8" s="4194">
        <v>158868</v>
      </c>
      <c r="H8" s="4195">
        <v>307834</v>
      </c>
    </row>
    <row r="9" spans="2:8" hidden="1">
      <c r="B9" s="4185"/>
      <c r="C9" s="4186"/>
      <c r="D9" s="4191"/>
      <c r="E9" s="4192"/>
      <c r="F9" s="4193"/>
      <c r="G9" s="4194"/>
      <c r="H9" s="4195"/>
    </row>
    <row r="10" spans="2:8" hidden="1">
      <c r="B10" s="4185">
        <v>1999</v>
      </c>
      <c r="C10" s="4196">
        <v>15527</v>
      </c>
      <c r="D10" s="4197">
        <v>15504</v>
      </c>
      <c r="E10" s="4198">
        <v>31031</v>
      </c>
      <c r="F10" s="4199">
        <v>177751</v>
      </c>
      <c r="G10" s="4196">
        <v>180751</v>
      </c>
      <c r="H10" s="4200">
        <v>358136</v>
      </c>
    </row>
    <row r="11" spans="2:8" hidden="1">
      <c r="B11" s="4185"/>
      <c r="C11" s="4201"/>
      <c r="D11" s="4197"/>
      <c r="E11" s="4198"/>
      <c r="F11" s="4199"/>
      <c r="G11" s="4196"/>
      <c r="H11" s="4200"/>
    </row>
    <row r="12" spans="2:8" hidden="1">
      <c r="B12" s="4185">
        <v>2000</v>
      </c>
      <c r="C12" s="4196">
        <v>16093</v>
      </c>
      <c r="D12" s="4197">
        <v>16099</v>
      </c>
      <c r="E12" s="4198">
        <f>+C12+D12</f>
        <v>32192</v>
      </c>
      <c r="F12" s="4199">
        <v>193222</v>
      </c>
      <c r="G12" s="4196">
        <v>201086</v>
      </c>
      <c r="H12" s="4200">
        <f>G12+F12</f>
        <v>394308</v>
      </c>
    </row>
    <row r="13" spans="2:8" hidden="1">
      <c r="B13" s="4185"/>
      <c r="C13" s="4196"/>
      <c r="D13" s="4197"/>
      <c r="E13" s="4198"/>
      <c r="F13" s="4199"/>
      <c r="G13" s="4196"/>
      <c r="H13" s="4200"/>
    </row>
    <row r="14" spans="2:8" hidden="1">
      <c r="B14" s="4202">
        <v>2001</v>
      </c>
      <c r="C14" s="4196">
        <v>16432</v>
      </c>
      <c r="D14" s="4197">
        <v>16352</v>
      </c>
      <c r="E14" s="4198">
        <f>+C14+D14</f>
        <v>32784</v>
      </c>
      <c r="F14" s="4199">
        <v>198682</v>
      </c>
      <c r="G14" s="4196">
        <v>204979</v>
      </c>
      <c r="H14" s="4200">
        <f>G14+F14</f>
        <v>403661</v>
      </c>
    </row>
    <row r="15" spans="2:8" hidden="1">
      <c r="B15" s="4202"/>
      <c r="C15" s="4196"/>
      <c r="D15" s="4197"/>
      <c r="E15" s="4198"/>
      <c r="F15" s="4199"/>
      <c r="G15" s="4196"/>
      <c r="H15" s="4200"/>
    </row>
    <row r="16" spans="2:8" hidden="1">
      <c r="B16" s="4202">
        <v>2002</v>
      </c>
      <c r="C16" s="4196">
        <v>16231</v>
      </c>
      <c r="D16" s="4197">
        <v>16259</v>
      </c>
      <c r="E16" s="4198">
        <f>+C16+D16</f>
        <v>32490</v>
      </c>
      <c r="F16" s="4199">
        <v>199287</v>
      </c>
      <c r="G16" s="4196">
        <v>205190</v>
      </c>
      <c r="H16" s="4200">
        <f>G16+F16</f>
        <v>404477</v>
      </c>
    </row>
    <row r="17" spans="2:8" hidden="1">
      <c r="B17" s="4202"/>
      <c r="C17" s="4196"/>
      <c r="D17" s="4197"/>
      <c r="E17" s="4198"/>
      <c r="F17" s="4199"/>
      <c r="G17" s="4196"/>
      <c r="H17" s="4200"/>
    </row>
    <row r="18" spans="2:8" hidden="1">
      <c r="B18" s="4202">
        <v>2003</v>
      </c>
      <c r="C18" s="4196">
        <v>16374</v>
      </c>
      <c r="D18" s="4197">
        <v>16404</v>
      </c>
      <c r="E18" s="4198">
        <f>+C18+D18</f>
        <v>32778</v>
      </c>
      <c r="F18" s="4199">
        <v>210561</v>
      </c>
      <c r="G18" s="4196">
        <v>216919</v>
      </c>
      <c r="H18" s="4200">
        <f>G18+F18</f>
        <v>427480</v>
      </c>
    </row>
    <row r="19" spans="2:8" hidden="1">
      <c r="B19" s="4202"/>
      <c r="C19" s="4196"/>
      <c r="D19" s="4197"/>
      <c r="E19" s="4198"/>
      <c r="F19" s="4199"/>
      <c r="G19" s="4196"/>
      <c r="H19" s="4200"/>
    </row>
    <row r="20" spans="2:8" hidden="1">
      <c r="B20" s="4202">
        <v>2004</v>
      </c>
      <c r="C20" s="4196">
        <v>17290</v>
      </c>
      <c r="D20" s="4197">
        <v>17254</v>
      </c>
      <c r="E20" s="4198">
        <f>+C20+D20</f>
        <v>34544</v>
      </c>
      <c r="F20" s="4199">
        <v>227866</v>
      </c>
      <c r="G20" s="4196">
        <v>236584</v>
      </c>
      <c r="H20" s="4200">
        <f>G20+F20</f>
        <v>464450</v>
      </c>
    </row>
    <row r="21" spans="2:8" hidden="1">
      <c r="B21" s="4202"/>
      <c r="C21" s="4196"/>
      <c r="D21" s="4197"/>
      <c r="E21" s="4198"/>
      <c r="F21" s="4199"/>
      <c r="G21" s="4196"/>
      <c r="H21" s="4200"/>
    </row>
    <row r="22" spans="2:8" hidden="1">
      <c r="B22" s="4202">
        <v>2005</v>
      </c>
      <c r="C22" s="4196">
        <v>16260</v>
      </c>
      <c r="D22" s="4197">
        <v>16260</v>
      </c>
      <c r="E22" s="4198">
        <f>+C22+D22</f>
        <v>32520</v>
      </c>
      <c r="F22" s="4199">
        <v>206468</v>
      </c>
      <c r="G22" s="4196">
        <v>212628</v>
      </c>
      <c r="H22" s="4200">
        <f>G22+F22</f>
        <v>419096</v>
      </c>
    </row>
    <row r="23" spans="2:8" hidden="1">
      <c r="B23" s="4202"/>
      <c r="C23" s="4196"/>
      <c r="D23" s="4197"/>
      <c r="E23" s="4198"/>
      <c r="F23" s="4199"/>
      <c r="G23" s="4196"/>
      <c r="H23" s="4200"/>
    </row>
    <row r="24" spans="2:8" hidden="1">
      <c r="B24" s="4202">
        <v>2006</v>
      </c>
      <c r="C24" s="4196">
        <v>17430</v>
      </c>
      <c r="D24" s="4197">
        <v>17430</v>
      </c>
      <c r="E24" s="4198">
        <f>+C24+D24</f>
        <v>34860</v>
      </c>
      <c r="F24" s="4199">
        <v>200404</v>
      </c>
      <c r="G24" s="4196">
        <v>211738</v>
      </c>
      <c r="H24" s="4200">
        <f>G24+F24</f>
        <v>412142</v>
      </c>
    </row>
    <row r="25" spans="2:8" hidden="1">
      <c r="B25" s="4202"/>
      <c r="C25" s="4196"/>
      <c r="D25" s="4197"/>
      <c r="E25" s="4198"/>
      <c r="F25" s="4199"/>
      <c r="G25" s="4196"/>
      <c r="H25" s="4200"/>
    </row>
    <row r="26" spans="2:8" ht="18" hidden="1" customHeight="1">
      <c r="B26" s="4202">
        <v>2007</v>
      </c>
      <c r="C26" s="4196">
        <v>14119</v>
      </c>
      <c r="D26" s="4197">
        <v>14084</v>
      </c>
      <c r="E26" s="4198">
        <f>+C26+D26</f>
        <v>28203</v>
      </c>
      <c r="F26" s="4199">
        <v>185322</v>
      </c>
      <c r="G26" s="4196">
        <v>191420</v>
      </c>
      <c r="H26" s="4200">
        <f>G26+F26</f>
        <v>376742</v>
      </c>
    </row>
    <row r="27" spans="2:8" ht="18" hidden="1" customHeight="1">
      <c r="B27" s="4202"/>
      <c r="C27" s="4196"/>
      <c r="D27" s="4197"/>
      <c r="E27" s="4198"/>
      <c r="F27" s="4199"/>
      <c r="G27" s="4196"/>
      <c r="H27" s="4200"/>
    </row>
    <row r="28" spans="2:8" ht="18" hidden="1" customHeight="1">
      <c r="B28" s="4202">
        <v>2008</v>
      </c>
      <c r="C28" s="4196">
        <v>13417</v>
      </c>
      <c r="D28" s="4197">
        <v>13274</v>
      </c>
      <c r="E28" s="4198">
        <f>+C28+D28</f>
        <v>26691</v>
      </c>
      <c r="F28" s="4199">
        <v>153926</v>
      </c>
      <c r="G28" s="4196">
        <v>167970</v>
      </c>
      <c r="H28" s="4200">
        <f>G28+F28</f>
        <v>321896</v>
      </c>
    </row>
    <row r="29" spans="2:8" ht="18" hidden="1" customHeight="1">
      <c r="B29" s="4202"/>
      <c r="C29" s="4196"/>
      <c r="D29" s="4197"/>
      <c r="E29" s="4198"/>
      <c r="F29" s="4199"/>
      <c r="G29" s="4196"/>
      <c r="H29" s="4200"/>
    </row>
    <row r="30" spans="2:8" ht="18" hidden="1" customHeight="1">
      <c r="B30" s="4202">
        <v>2009</v>
      </c>
      <c r="C30" s="4196">
        <v>11158</v>
      </c>
      <c r="D30" s="4197">
        <v>11056</v>
      </c>
      <c r="E30" s="4198">
        <f>+C30+D30</f>
        <v>22214</v>
      </c>
      <c r="F30" s="4199">
        <v>119602</v>
      </c>
      <c r="G30" s="4196">
        <v>129405</v>
      </c>
      <c r="H30" s="4200">
        <f>G30+F30</f>
        <v>249007</v>
      </c>
    </row>
    <row r="31" spans="2:8" ht="18" hidden="1" customHeight="1">
      <c r="B31" s="4202"/>
      <c r="C31" s="4196"/>
      <c r="D31" s="4197"/>
      <c r="E31" s="4198"/>
      <c r="F31" s="4199"/>
      <c r="G31" s="4196"/>
      <c r="H31" s="4200"/>
    </row>
    <row r="32" spans="2:8" ht="18" hidden="1" customHeight="1">
      <c r="B32" s="4202">
        <v>2010</v>
      </c>
      <c r="C32" s="4196">
        <v>11088</v>
      </c>
      <c r="D32" s="4197">
        <v>12104</v>
      </c>
      <c r="E32" s="4198">
        <f>+C32+D32</f>
        <v>23192</v>
      </c>
      <c r="F32" s="4199">
        <v>115493</v>
      </c>
      <c r="G32" s="4196">
        <v>126587</v>
      </c>
      <c r="H32" s="4200">
        <f>G32+F32</f>
        <v>242080</v>
      </c>
    </row>
    <row r="33" spans="2:13" ht="18" hidden="1" customHeight="1">
      <c r="B33" s="4202"/>
      <c r="C33" s="4196"/>
      <c r="D33" s="4197"/>
      <c r="E33" s="4198"/>
      <c r="F33" s="4199"/>
      <c r="G33" s="4196"/>
      <c r="H33" s="4200"/>
    </row>
    <row r="34" spans="2:13" ht="18" hidden="1" customHeight="1">
      <c r="B34" s="4202">
        <v>2011</v>
      </c>
      <c r="C34" s="4196">
        <v>11512</v>
      </c>
      <c r="D34" s="4197">
        <v>11444</v>
      </c>
      <c r="E34" s="4198">
        <f>+C34+D34</f>
        <v>22956</v>
      </c>
      <c r="F34" s="4199">
        <v>110084</v>
      </c>
      <c r="G34" s="4196">
        <v>123094</v>
      </c>
      <c r="H34" s="4200">
        <f>G34+F34</f>
        <v>233178</v>
      </c>
    </row>
    <row r="35" spans="2:13" ht="18" hidden="1" customHeight="1">
      <c r="B35" s="4202"/>
      <c r="C35" s="4196"/>
      <c r="D35" s="4197"/>
      <c r="E35" s="4198"/>
      <c r="F35" s="4199"/>
      <c r="G35" s="4196"/>
      <c r="H35" s="4200"/>
    </row>
    <row r="36" spans="2:13" ht="18" hidden="1" customHeight="1">
      <c r="B36" s="4202">
        <v>2012</v>
      </c>
      <c r="C36" s="4196">
        <v>11595</v>
      </c>
      <c r="D36" s="4197">
        <v>11571</v>
      </c>
      <c r="E36" s="4198">
        <f>+C36+D36</f>
        <v>23166</v>
      </c>
      <c r="F36" s="4199">
        <v>105930</v>
      </c>
      <c r="G36" s="4196">
        <v>120212</v>
      </c>
      <c r="H36" s="4200">
        <f>G36+F36</f>
        <v>226142</v>
      </c>
    </row>
    <row r="37" spans="2:13" ht="12" customHeight="1">
      <c r="B37" s="4202"/>
      <c r="C37" s="4196"/>
      <c r="D37" s="4197"/>
      <c r="E37" s="4198"/>
      <c r="F37" s="4199"/>
      <c r="G37" s="4196"/>
      <c r="H37" s="4200"/>
    </row>
    <row r="38" spans="2:13" ht="26.55" customHeight="1">
      <c r="B38" s="4752">
        <v>2013</v>
      </c>
      <c r="C38" s="4753">
        <v>9798</v>
      </c>
      <c r="D38" s="4754">
        <v>10333</v>
      </c>
      <c r="E38" s="4755">
        <f>+C38+D38</f>
        <v>20131</v>
      </c>
      <c r="F38" s="4756">
        <v>101091</v>
      </c>
      <c r="G38" s="4753">
        <v>106601</v>
      </c>
      <c r="H38" s="4757">
        <f>G38+F38</f>
        <v>207692</v>
      </c>
    </row>
    <row r="39" spans="2:13" ht="15.5" customHeight="1">
      <c r="B39" s="4752"/>
      <c r="C39" s="4753"/>
      <c r="D39" s="4754"/>
      <c r="E39" s="4755"/>
      <c r="F39" s="4756"/>
      <c r="G39" s="4753"/>
      <c r="H39" s="4757"/>
    </row>
    <row r="40" spans="2:13" ht="23" customHeight="1">
      <c r="B40" s="4752">
        <v>2014</v>
      </c>
      <c r="C40" s="4753">
        <v>9717.1434078129241</v>
      </c>
      <c r="D40" s="4754">
        <v>10089.856592187076</v>
      </c>
      <c r="E40" s="4755">
        <f>+C40+D40</f>
        <v>19807</v>
      </c>
      <c r="F40" s="4756">
        <v>95708</v>
      </c>
      <c r="G40" s="4753">
        <v>99379</v>
      </c>
      <c r="H40" s="4757">
        <f>G40+F40</f>
        <v>195087</v>
      </c>
    </row>
    <row r="41" spans="2:13" ht="18" customHeight="1">
      <c r="B41" s="4752"/>
      <c r="C41" s="4753"/>
      <c r="D41" s="4754"/>
      <c r="E41" s="4755"/>
      <c r="F41" s="4756"/>
      <c r="G41" s="4753"/>
      <c r="H41" s="4757"/>
    </row>
    <row r="42" spans="2:13" ht="23" customHeight="1">
      <c r="B42" s="4758">
        <v>2015</v>
      </c>
      <c r="C42" s="4753">
        <v>8564</v>
      </c>
      <c r="D42" s="4753">
        <v>8569</v>
      </c>
      <c r="E42" s="4755">
        <f>+C42+D42</f>
        <v>17133</v>
      </c>
      <c r="F42" s="4759">
        <v>95725</v>
      </c>
      <c r="G42" s="4753">
        <v>96932</v>
      </c>
      <c r="H42" s="4755">
        <f>G42+F42</f>
        <v>192657</v>
      </c>
      <c r="I42" s="4203"/>
      <c r="J42" s="4203"/>
      <c r="K42" s="4203"/>
      <c r="L42" s="4203"/>
      <c r="M42" s="4203"/>
    </row>
    <row r="43" spans="2:13" ht="18" customHeight="1">
      <c r="B43" s="4758"/>
      <c r="C43" s="4753"/>
      <c r="D43" s="4753"/>
      <c r="E43" s="4755"/>
      <c r="F43" s="4759"/>
      <c r="G43" s="4753"/>
      <c r="H43" s="4755"/>
      <c r="I43" s="4203"/>
      <c r="J43" s="4203"/>
      <c r="K43" s="4203"/>
      <c r="L43" s="4203"/>
      <c r="M43" s="4203"/>
    </row>
    <row r="44" spans="2:13" ht="20" customHeight="1">
      <c r="B44" s="4758">
        <v>2016</v>
      </c>
      <c r="C44" s="4753">
        <v>8784</v>
      </c>
      <c r="D44" s="4753">
        <v>8784</v>
      </c>
      <c r="E44" s="4755">
        <f>+C44+D44</f>
        <v>17568</v>
      </c>
      <c r="F44" s="4760">
        <v>97687</v>
      </c>
      <c r="G44" s="4761">
        <v>98175</v>
      </c>
      <c r="H44" s="4762">
        <f>G44+F44</f>
        <v>195862</v>
      </c>
      <c r="I44" s="4204"/>
      <c r="J44" s="4204"/>
      <c r="K44" s="4204"/>
      <c r="L44" s="4203"/>
      <c r="M44" s="4203"/>
    </row>
    <row r="45" spans="2:13" ht="14.75" customHeight="1">
      <c r="B45" s="4758"/>
      <c r="C45" s="4763"/>
      <c r="D45" s="4763"/>
      <c r="E45" s="4764"/>
      <c r="F45" s="4759"/>
      <c r="G45" s="4763"/>
      <c r="H45" s="4762"/>
      <c r="I45" s="4204"/>
      <c r="J45" s="4204"/>
      <c r="K45" s="4204"/>
      <c r="L45" s="4203"/>
      <c r="M45" s="4203"/>
    </row>
    <row r="46" spans="2:13" ht="20.75" customHeight="1">
      <c r="B46" s="4758">
        <v>2017</v>
      </c>
      <c r="C46" s="4763">
        <v>9269</v>
      </c>
      <c r="D46" s="4763">
        <v>9257</v>
      </c>
      <c r="E46" s="4764">
        <f>+C46+D46</f>
        <v>18526</v>
      </c>
      <c r="F46" s="4765">
        <v>98590</v>
      </c>
      <c r="G46" s="4766">
        <v>98534</v>
      </c>
      <c r="H46" s="4762">
        <f>G46+F46</f>
        <v>197124</v>
      </c>
      <c r="I46" s="4204"/>
      <c r="J46" s="4204"/>
      <c r="K46" s="4204"/>
      <c r="L46" s="4203"/>
      <c r="M46" s="4203"/>
    </row>
    <row r="47" spans="2:13" ht="14" customHeight="1">
      <c r="B47" s="4758"/>
      <c r="C47" s="4763"/>
      <c r="D47" s="4763"/>
      <c r="E47" s="4764"/>
      <c r="F47" s="4765"/>
      <c r="G47" s="4766"/>
      <c r="H47" s="4762"/>
      <c r="I47" s="4204"/>
      <c r="J47" s="4204"/>
      <c r="K47" s="4204"/>
      <c r="L47" s="4203"/>
      <c r="M47" s="4203"/>
    </row>
    <row r="48" spans="2:13" ht="20" customHeight="1">
      <c r="B48" s="4758">
        <v>2018</v>
      </c>
      <c r="C48" s="4763">
        <v>9212</v>
      </c>
      <c r="D48" s="4763">
        <v>9198</v>
      </c>
      <c r="E48" s="4757">
        <f>+C48+D48</f>
        <v>18410</v>
      </c>
      <c r="F48" s="4765">
        <v>96596</v>
      </c>
      <c r="G48" s="4766">
        <v>96145</v>
      </c>
      <c r="H48" s="4767">
        <f>G48+F48</f>
        <v>192741</v>
      </c>
      <c r="I48" s="4204"/>
      <c r="J48" s="4204"/>
      <c r="K48" s="4204"/>
      <c r="L48" s="4203"/>
      <c r="M48" s="4203"/>
    </row>
    <row r="49" spans="2:13" ht="14.75" customHeight="1">
      <c r="B49" s="4758"/>
      <c r="C49" s="4763"/>
      <c r="D49" s="4763"/>
      <c r="E49" s="4757"/>
      <c r="F49" s="4765"/>
      <c r="G49" s="4766"/>
      <c r="H49" s="4768"/>
      <c r="I49" s="4204"/>
      <c r="J49" s="4204"/>
      <c r="K49" s="4204"/>
      <c r="L49" s="4203"/>
      <c r="M49" s="4203"/>
    </row>
    <row r="50" spans="2:13" ht="22.25" customHeight="1">
      <c r="B50" s="4758">
        <v>2019</v>
      </c>
      <c r="C50" s="4763">
        <v>8967</v>
      </c>
      <c r="D50" s="4763">
        <v>8958</v>
      </c>
      <c r="E50" s="4757">
        <f>+C50+D50</f>
        <v>17925</v>
      </c>
      <c r="F50" s="4765">
        <v>100068</v>
      </c>
      <c r="G50" s="4766">
        <v>98719</v>
      </c>
      <c r="H50" s="4767">
        <f>G50+F50</f>
        <v>198787</v>
      </c>
      <c r="I50" s="4204"/>
      <c r="J50" s="4204"/>
      <c r="K50" s="4204"/>
      <c r="L50" s="4203"/>
      <c r="M50" s="4203"/>
    </row>
    <row r="51" spans="2:13" ht="12" customHeight="1">
      <c r="B51" s="4758"/>
      <c r="C51" s="4763"/>
      <c r="D51" s="4763"/>
      <c r="E51" s="4757"/>
      <c r="F51" s="4765"/>
      <c r="G51" s="4766"/>
      <c r="H51" s="4767"/>
      <c r="I51" s="4204"/>
      <c r="J51" s="4204"/>
      <c r="K51" s="4204"/>
      <c r="L51" s="4203"/>
      <c r="M51" s="4203"/>
    </row>
    <row r="52" spans="2:13" ht="22.25" customHeight="1">
      <c r="B52" s="4758">
        <v>2020</v>
      </c>
      <c r="C52" s="4763">
        <v>4529</v>
      </c>
      <c r="D52" s="4763">
        <v>4520</v>
      </c>
      <c r="E52" s="4757">
        <f>+C52+D52</f>
        <v>9049</v>
      </c>
      <c r="F52" s="4765">
        <v>23125</v>
      </c>
      <c r="G52" s="4766">
        <v>24414</v>
      </c>
      <c r="H52" s="4767">
        <f>G52+F52</f>
        <v>47539</v>
      </c>
      <c r="I52" s="4204"/>
      <c r="J52" s="4204"/>
      <c r="K52" s="4204"/>
      <c r="L52" s="4203"/>
      <c r="M52" s="4203"/>
    </row>
    <row r="53" spans="2:13" ht="18" customHeight="1">
      <c r="B53" s="4758"/>
      <c r="C53" s="4763"/>
      <c r="D53" s="4763"/>
      <c r="E53" s="4757"/>
      <c r="F53" s="4765"/>
      <c r="G53" s="4766"/>
      <c r="H53" s="4767"/>
      <c r="I53" s="4204"/>
      <c r="J53" s="4204"/>
      <c r="K53" s="4204"/>
      <c r="L53" s="4203"/>
      <c r="M53" s="4203"/>
    </row>
    <row r="54" spans="2:13" ht="19.25" customHeight="1">
      <c r="B54" s="4758">
        <v>2021</v>
      </c>
      <c r="C54" s="4763">
        <v>5623</v>
      </c>
      <c r="D54" s="4763">
        <v>5612</v>
      </c>
      <c r="E54" s="4757">
        <f>+C54+D54</f>
        <v>11235</v>
      </c>
      <c r="F54" s="4765">
        <v>19078</v>
      </c>
      <c r="G54" s="4766">
        <v>19005</v>
      </c>
      <c r="H54" s="4767">
        <f>G54+F54</f>
        <v>38083</v>
      </c>
      <c r="I54" s="4204"/>
      <c r="J54" s="4204"/>
      <c r="K54" s="4204"/>
      <c r="L54" s="4203"/>
      <c r="M54" s="4203"/>
    </row>
    <row r="55" spans="2:13" ht="18" customHeight="1">
      <c r="B55" s="4758"/>
      <c r="C55" s="4763"/>
      <c r="D55" s="4763"/>
      <c r="E55" s="4757"/>
      <c r="F55" s="4765"/>
      <c r="G55" s="4766"/>
      <c r="H55" s="4767"/>
      <c r="I55" s="4204"/>
      <c r="J55" s="4204"/>
      <c r="K55" s="4204"/>
      <c r="L55" s="4203"/>
      <c r="M55" s="4203"/>
    </row>
    <row r="56" spans="2:13" ht="21" customHeight="1">
      <c r="B56" s="4758">
        <v>2022</v>
      </c>
      <c r="C56" s="4763">
        <v>8121</v>
      </c>
      <c r="D56" s="4763">
        <v>8131</v>
      </c>
      <c r="E56" s="4757">
        <f>+C56+D56</f>
        <v>16252</v>
      </c>
      <c r="F56" s="4765">
        <v>45122</v>
      </c>
      <c r="G56" s="4766">
        <v>44263</v>
      </c>
      <c r="H56" s="4767">
        <f>G56+F56</f>
        <v>89385</v>
      </c>
      <c r="I56" s="4204"/>
      <c r="J56" s="4204"/>
      <c r="K56" s="4204"/>
      <c r="L56" s="4203"/>
      <c r="M56" s="4203"/>
    </row>
    <row r="57" spans="2:13" ht="18" customHeight="1">
      <c r="B57" s="4758"/>
      <c r="C57" s="4763"/>
      <c r="D57" s="4769"/>
      <c r="E57" s="4770"/>
      <c r="F57" s="4765"/>
      <c r="G57" s="4771"/>
      <c r="H57" s="4768"/>
      <c r="I57" s="4204"/>
      <c r="J57" s="4204"/>
      <c r="K57" s="4204"/>
      <c r="L57" s="4203"/>
      <c r="M57" s="4203"/>
    </row>
    <row r="58" spans="2:13" ht="23.75" hidden="1" customHeight="1" thickBot="1">
      <c r="B58" s="4772"/>
      <c r="C58" s="4773"/>
      <c r="D58" s="4773"/>
      <c r="E58" s="4774"/>
      <c r="F58" s="4775"/>
      <c r="G58" s="4776"/>
      <c r="H58" s="4777"/>
      <c r="I58" s="4204"/>
      <c r="J58" s="4204"/>
      <c r="K58" s="4204"/>
      <c r="L58" s="4203"/>
      <c r="M58" s="4203"/>
    </row>
    <row r="59" spans="2:13" ht="29.75" hidden="1" customHeight="1">
      <c r="B59" s="5805" t="s">
        <v>923</v>
      </c>
      <c r="C59" s="5806"/>
      <c r="D59" s="5806"/>
      <c r="E59" s="5806"/>
      <c r="F59" s="5806"/>
      <c r="G59" s="5806"/>
      <c r="H59" s="5807"/>
      <c r="I59" s="4204"/>
      <c r="J59" s="4204"/>
      <c r="K59" s="4204"/>
      <c r="L59" s="4203"/>
      <c r="M59" s="4203"/>
    </row>
    <row r="60" spans="2:13" ht="29.75" hidden="1" customHeight="1">
      <c r="B60" s="4778">
        <v>2018</v>
      </c>
      <c r="C60" s="4779">
        <v>6963</v>
      </c>
      <c r="D60" s="4779">
        <v>6951</v>
      </c>
      <c r="E60" s="4780">
        <f>+C60+D60</f>
        <v>13914</v>
      </c>
      <c r="F60" s="4781">
        <v>72034</v>
      </c>
      <c r="G60" s="4782">
        <v>73477</v>
      </c>
      <c r="H60" s="4783">
        <f>G60+F60</f>
        <v>145511</v>
      </c>
      <c r="I60" s="4204"/>
      <c r="J60" s="4204"/>
      <c r="K60" s="4204"/>
      <c r="L60" s="4203"/>
      <c r="M60" s="4203"/>
    </row>
    <row r="61" spans="2:13" ht="29.75" hidden="1" customHeight="1" thickBot="1">
      <c r="B61" s="4778">
        <v>2019</v>
      </c>
      <c r="C61" s="4779">
        <v>6671</v>
      </c>
      <c r="D61" s="4779">
        <v>6664</v>
      </c>
      <c r="E61" s="4780">
        <f>+C61+D61</f>
        <v>13335</v>
      </c>
      <c r="F61" s="4781">
        <v>74961</v>
      </c>
      <c r="G61" s="4782">
        <v>75182</v>
      </c>
      <c r="H61" s="4783">
        <f>G61+F61</f>
        <v>150143</v>
      </c>
    </row>
    <row r="62" spans="2:13" ht="22.25" customHeight="1" thickBot="1">
      <c r="B62" s="4772">
        <v>2023</v>
      </c>
      <c r="C62" s="4773">
        <v>8433</v>
      </c>
      <c r="D62" s="4773">
        <v>8448</v>
      </c>
      <c r="E62" s="4774">
        <f>+C62+D62</f>
        <v>16881</v>
      </c>
      <c r="F62" s="4775">
        <v>63700</v>
      </c>
      <c r="G62" s="4776">
        <v>62307</v>
      </c>
      <c r="H62" s="4777">
        <f>G62+F62</f>
        <v>126007</v>
      </c>
      <c r="I62" s="4204"/>
      <c r="J62" s="4204"/>
      <c r="K62" s="4204"/>
      <c r="L62" s="4203"/>
      <c r="M62" s="4203"/>
    </row>
    <row r="63" spans="2:13" ht="18" customHeight="1" thickBot="1">
      <c r="B63" s="4784"/>
      <c r="C63" s="4785"/>
      <c r="D63" s="4785"/>
      <c r="E63" s="4786"/>
      <c r="F63" s="4787"/>
      <c r="G63" s="4787"/>
      <c r="H63" s="4788"/>
      <c r="I63" s="4204"/>
      <c r="J63" s="4204"/>
      <c r="K63" s="4204"/>
      <c r="L63" s="4203"/>
      <c r="M63" s="4203"/>
    </row>
    <row r="64" spans="2:13" ht="23.25" hidden="1" thickBot="1">
      <c r="B64" s="4789"/>
      <c r="C64" s="4790"/>
      <c r="D64" s="4790"/>
      <c r="E64" s="4791"/>
      <c r="F64" s="4792"/>
      <c r="G64" s="4792"/>
      <c r="H64" s="4777"/>
      <c r="I64" s="4203"/>
    </row>
    <row r="65" spans="2:8" ht="23.25" thickBot="1">
      <c r="B65" s="5791" t="s">
        <v>136</v>
      </c>
      <c r="C65" s="5792"/>
      <c r="D65" s="5792"/>
      <c r="E65" s="5792"/>
      <c r="F65" s="5792"/>
      <c r="G65" s="5792"/>
      <c r="H65" s="5793"/>
    </row>
    <row r="66" spans="2:8" ht="23.25" hidden="1" thickBot="1">
      <c r="B66" s="4789"/>
      <c r="C66" s="4793" t="s">
        <v>130</v>
      </c>
      <c r="D66" s="4794" t="s">
        <v>131</v>
      </c>
      <c r="E66" s="4795" t="s">
        <v>132</v>
      </c>
      <c r="F66" s="4772" t="s">
        <v>133</v>
      </c>
      <c r="G66" s="4793" t="s">
        <v>134</v>
      </c>
      <c r="H66" s="4796" t="s">
        <v>135</v>
      </c>
    </row>
    <row r="67" spans="2:8" hidden="1">
      <c r="B67" s="4797"/>
      <c r="C67" s="4798"/>
      <c r="D67" s="1773"/>
      <c r="E67" s="4799"/>
      <c r="F67" s="4800"/>
      <c r="G67" s="4801"/>
      <c r="H67" s="4802"/>
    </row>
    <row r="68" spans="2:8" hidden="1">
      <c r="B68" s="4797" t="s">
        <v>76</v>
      </c>
      <c r="C68" s="4803">
        <v>5312</v>
      </c>
      <c r="D68" s="4804">
        <v>5312</v>
      </c>
      <c r="E68" s="4805">
        <v>10624</v>
      </c>
      <c r="F68" s="4806">
        <v>178564</v>
      </c>
      <c r="G68" s="4803">
        <v>168310</v>
      </c>
      <c r="H68" s="4807">
        <v>346874</v>
      </c>
    </row>
    <row r="69" spans="2:8" hidden="1">
      <c r="B69" s="4797"/>
      <c r="C69" s="4803"/>
      <c r="D69" s="4804"/>
      <c r="E69" s="4805"/>
      <c r="F69" s="4806"/>
      <c r="G69" s="4803"/>
      <c r="H69" s="4807"/>
    </row>
    <row r="70" spans="2:8" hidden="1">
      <c r="B70" s="4797">
        <v>1999</v>
      </c>
      <c r="C70" s="4763">
        <v>5748</v>
      </c>
      <c r="D70" s="4754">
        <v>5764</v>
      </c>
      <c r="E70" s="4764">
        <v>11512</v>
      </c>
      <c r="F70" s="4756">
        <v>179905</v>
      </c>
      <c r="G70" s="4763">
        <v>181933</v>
      </c>
      <c r="H70" s="4757">
        <v>361838</v>
      </c>
    </row>
    <row r="71" spans="2:8" hidden="1">
      <c r="B71" s="4797"/>
      <c r="C71" s="4763"/>
      <c r="D71" s="4754"/>
      <c r="E71" s="4764"/>
      <c r="F71" s="4756"/>
      <c r="G71" s="4763"/>
      <c r="H71" s="4757"/>
    </row>
    <row r="72" spans="2:8" hidden="1">
      <c r="B72" s="4797">
        <v>2000</v>
      </c>
      <c r="C72" s="4763">
        <v>5012</v>
      </c>
      <c r="D72" s="4754">
        <v>4966</v>
      </c>
      <c r="E72" s="4764">
        <f>+D72+C72</f>
        <v>9978</v>
      </c>
      <c r="F72" s="4756">
        <v>178112</v>
      </c>
      <c r="G72" s="4763">
        <v>173566</v>
      </c>
      <c r="H72" s="4757">
        <f>G72+F72</f>
        <v>351678</v>
      </c>
    </row>
    <row r="73" spans="2:8" hidden="1">
      <c r="B73" s="4797"/>
      <c r="C73" s="4763"/>
      <c r="D73" s="4754"/>
      <c r="E73" s="4764"/>
      <c r="F73" s="4756"/>
      <c r="G73" s="4763"/>
      <c r="H73" s="4757"/>
    </row>
    <row r="74" spans="2:8" hidden="1">
      <c r="B74" s="4752">
        <v>2001</v>
      </c>
      <c r="C74" s="4763">
        <v>4318</v>
      </c>
      <c r="D74" s="4754">
        <v>4653</v>
      </c>
      <c r="E74" s="4764">
        <f>+D74+C74</f>
        <v>8971</v>
      </c>
      <c r="F74" s="4756">
        <v>153973</v>
      </c>
      <c r="G74" s="4763">
        <v>148242</v>
      </c>
      <c r="H74" s="4757">
        <f>G74+F74</f>
        <v>302215</v>
      </c>
    </row>
    <row r="75" spans="2:8" hidden="1">
      <c r="B75" s="4752"/>
      <c r="C75" s="4763"/>
      <c r="D75" s="4754"/>
      <c r="E75" s="4764"/>
      <c r="F75" s="4756"/>
      <c r="G75" s="4763"/>
      <c r="H75" s="4757"/>
    </row>
    <row r="76" spans="2:8" hidden="1">
      <c r="B76" s="4752">
        <v>2002</v>
      </c>
      <c r="C76" s="4763">
        <v>4098</v>
      </c>
      <c r="D76" s="4754">
        <v>4100</v>
      </c>
      <c r="E76" s="4764">
        <f>+D76+C76</f>
        <v>8198</v>
      </c>
      <c r="F76" s="4756">
        <v>138586</v>
      </c>
      <c r="G76" s="4763">
        <v>137072</v>
      </c>
      <c r="H76" s="4757">
        <f>G76+F76</f>
        <v>275658</v>
      </c>
    </row>
    <row r="77" spans="2:8" hidden="1">
      <c r="B77" s="4752"/>
      <c r="C77" s="4763"/>
      <c r="D77" s="4754"/>
      <c r="E77" s="4764"/>
      <c r="F77" s="4756"/>
      <c r="G77" s="4763"/>
      <c r="H77" s="4757"/>
    </row>
    <row r="78" spans="2:8" hidden="1">
      <c r="B78" s="4752">
        <v>2003</v>
      </c>
      <c r="C78" s="4763">
        <v>4518</v>
      </c>
      <c r="D78" s="4754">
        <v>4518</v>
      </c>
      <c r="E78" s="4764">
        <f>+D78+C78</f>
        <v>9036</v>
      </c>
      <c r="F78" s="4756">
        <v>157186</v>
      </c>
      <c r="G78" s="4763">
        <v>153421</v>
      </c>
      <c r="H78" s="4757">
        <f>G78+F78</f>
        <v>310607</v>
      </c>
    </row>
    <row r="79" spans="2:8" hidden="1">
      <c r="B79" s="4752"/>
      <c r="C79" s="4763"/>
      <c r="D79" s="4754"/>
      <c r="E79" s="4764"/>
      <c r="F79" s="4756"/>
      <c r="G79" s="4763"/>
      <c r="H79" s="4757"/>
    </row>
    <row r="80" spans="2:8" hidden="1">
      <c r="B80" s="4752">
        <v>2004</v>
      </c>
      <c r="C80" s="4763">
        <v>4978</v>
      </c>
      <c r="D80" s="4754">
        <v>5033</v>
      </c>
      <c r="E80" s="4764">
        <f>+D80+C80</f>
        <v>10011</v>
      </c>
      <c r="F80" s="4756">
        <v>180875</v>
      </c>
      <c r="G80" s="4763">
        <v>173240</v>
      </c>
      <c r="H80" s="4757">
        <f>G80+F80</f>
        <v>354115</v>
      </c>
    </row>
    <row r="81" spans="2:8" hidden="1">
      <c r="B81" s="4752"/>
      <c r="C81" s="4763"/>
      <c r="D81" s="4754"/>
      <c r="E81" s="4764"/>
      <c r="F81" s="4756"/>
      <c r="G81" s="4763"/>
      <c r="H81" s="4757"/>
    </row>
    <row r="82" spans="2:8" hidden="1">
      <c r="B82" s="4752">
        <v>2005</v>
      </c>
      <c r="C82" s="4763">
        <v>5970</v>
      </c>
      <c r="D82" s="4754">
        <v>5969</v>
      </c>
      <c r="E82" s="4764">
        <f>+D82+C82</f>
        <v>11939</v>
      </c>
      <c r="F82" s="4756">
        <v>199617</v>
      </c>
      <c r="G82" s="4763">
        <v>194732</v>
      </c>
      <c r="H82" s="4757">
        <f>G82+F82</f>
        <v>394349</v>
      </c>
    </row>
    <row r="83" spans="2:8" hidden="1">
      <c r="B83" s="4752"/>
      <c r="C83" s="4763"/>
      <c r="D83" s="4754"/>
      <c r="E83" s="4764"/>
      <c r="F83" s="4756"/>
      <c r="G83" s="4763"/>
      <c r="H83" s="4757"/>
    </row>
    <row r="84" spans="2:8" hidden="1">
      <c r="B84" s="4752">
        <v>2006</v>
      </c>
      <c r="C84" s="4763">
        <v>6492</v>
      </c>
      <c r="D84" s="4754">
        <v>6477</v>
      </c>
      <c r="E84" s="4764">
        <f>+D84+C84</f>
        <v>12969</v>
      </c>
      <c r="F84" s="4756">
        <v>209085</v>
      </c>
      <c r="G84" s="4763">
        <v>204876</v>
      </c>
      <c r="H84" s="4757">
        <f>G84+F84</f>
        <v>413961</v>
      </c>
    </row>
    <row r="85" spans="2:8" ht="18" hidden="1" customHeight="1">
      <c r="B85" s="4752"/>
      <c r="C85" s="4763"/>
      <c r="D85" s="4754"/>
      <c r="E85" s="4764"/>
      <c r="F85" s="4756"/>
      <c r="G85" s="4763"/>
      <c r="H85" s="4757"/>
    </row>
    <row r="86" spans="2:8" ht="18" hidden="1" customHeight="1">
      <c r="B86" s="4752">
        <v>2007</v>
      </c>
      <c r="C86" s="4763">
        <v>6111</v>
      </c>
      <c r="D86" s="4754">
        <v>6113</v>
      </c>
      <c r="E86" s="4764">
        <f>+D86+C86</f>
        <v>12224</v>
      </c>
      <c r="F86" s="4756">
        <v>213527</v>
      </c>
      <c r="G86" s="4763">
        <v>205251</v>
      </c>
      <c r="H86" s="4757">
        <f>G86+F86</f>
        <v>418778</v>
      </c>
    </row>
    <row r="87" spans="2:8" ht="18" hidden="1" customHeight="1">
      <c r="B87" s="4752"/>
      <c r="C87" s="4763"/>
      <c r="D87" s="4754"/>
      <c r="E87" s="4764"/>
      <c r="F87" s="4756"/>
      <c r="G87" s="4763"/>
      <c r="H87" s="4757"/>
    </row>
    <row r="88" spans="2:8" ht="18" hidden="1" customHeight="1">
      <c r="B88" s="4752">
        <v>2008</v>
      </c>
      <c r="C88" s="4763">
        <v>6079</v>
      </c>
      <c r="D88" s="4754">
        <v>6062</v>
      </c>
      <c r="E88" s="4764">
        <f>+D88+C88</f>
        <v>12141</v>
      </c>
      <c r="F88" s="4756">
        <v>233024</v>
      </c>
      <c r="G88" s="4763">
        <v>233205</v>
      </c>
      <c r="H88" s="4757">
        <f>G88+F88</f>
        <v>466229</v>
      </c>
    </row>
    <row r="89" spans="2:8" ht="18" hidden="1" customHeight="1">
      <c r="B89" s="4752"/>
      <c r="C89" s="4763"/>
      <c r="D89" s="4754"/>
      <c r="E89" s="4764"/>
      <c r="F89" s="4756"/>
      <c r="G89" s="4763"/>
      <c r="H89" s="4757"/>
    </row>
    <row r="90" spans="2:8" ht="18" hidden="1" customHeight="1">
      <c r="B90" s="4752">
        <v>2009</v>
      </c>
      <c r="C90" s="4763">
        <v>5047</v>
      </c>
      <c r="D90" s="4754">
        <v>5033</v>
      </c>
      <c r="E90" s="4764">
        <f>+D90+C90</f>
        <v>10080</v>
      </c>
      <c r="F90" s="4756">
        <v>229819</v>
      </c>
      <c r="G90" s="4763">
        <v>229446</v>
      </c>
      <c r="H90" s="4757">
        <f>G90+F90</f>
        <v>459265</v>
      </c>
    </row>
    <row r="91" spans="2:8" ht="18" hidden="1" customHeight="1">
      <c r="B91" s="4752"/>
      <c r="C91" s="4763"/>
      <c r="D91" s="4754"/>
      <c r="E91" s="4764"/>
      <c r="F91" s="4756"/>
      <c r="G91" s="4763"/>
      <c r="H91" s="4757"/>
    </row>
    <row r="92" spans="2:8" ht="18" hidden="1" customHeight="1">
      <c r="B92" s="4752">
        <v>2010</v>
      </c>
      <c r="C92" s="4763">
        <v>6380</v>
      </c>
      <c r="D92" s="4754">
        <v>6361</v>
      </c>
      <c r="E92" s="4764">
        <f>+D92+C92</f>
        <v>12741</v>
      </c>
      <c r="F92" s="4756">
        <v>276444</v>
      </c>
      <c r="G92" s="4763">
        <v>275653</v>
      </c>
      <c r="H92" s="4757">
        <f>G92+F92</f>
        <v>552097</v>
      </c>
    </row>
    <row r="93" spans="2:8" ht="18" hidden="1" customHeight="1">
      <c r="B93" s="4752"/>
      <c r="C93" s="4763"/>
      <c r="D93" s="4754"/>
      <c r="E93" s="4764"/>
      <c r="F93" s="4756"/>
      <c r="G93" s="4763"/>
      <c r="H93" s="4757"/>
    </row>
    <row r="94" spans="2:8" ht="18" hidden="1" customHeight="1">
      <c r="B94" s="4784">
        <v>2011</v>
      </c>
      <c r="C94" s="4808">
        <v>6761</v>
      </c>
      <c r="D94" s="4785">
        <v>6750</v>
      </c>
      <c r="E94" s="4809">
        <f>+D94+C94</f>
        <v>13511</v>
      </c>
      <c r="F94" s="4810">
        <v>272529</v>
      </c>
      <c r="G94" s="4808">
        <v>274054</v>
      </c>
      <c r="H94" s="4811">
        <f>G94+F94</f>
        <v>546583</v>
      </c>
    </row>
    <row r="95" spans="2:8" ht="18" hidden="1" customHeight="1">
      <c r="B95" s="4812"/>
      <c r="C95" s="4763"/>
      <c r="D95" s="4754"/>
      <c r="E95" s="4764"/>
      <c r="F95" s="4756"/>
      <c r="G95" s="4763"/>
      <c r="H95" s="4757"/>
    </row>
    <row r="96" spans="2:8" ht="18" hidden="1" customHeight="1">
      <c r="B96" s="4752">
        <v>2012</v>
      </c>
      <c r="C96" s="4763">
        <v>6746</v>
      </c>
      <c r="D96" s="4754">
        <v>6746</v>
      </c>
      <c r="E96" s="4764">
        <f>+D96+C96</f>
        <v>13492</v>
      </c>
      <c r="F96" s="4756">
        <v>278232</v>
      </c>
      <c r="G96" s="4763">
        <v>278819</v>
      </c>
      <c r="H96" s="4757">
        <f>G96+F96</f>
        <v>557051</v>
      </c>
    </row>
    <row r="97" spans="2:12" ht="12.5" customHeight="1">
      <c r="B97" s="4752"/>
      <c r="C97" s="4763"/>
      <c r="D97" s="4754"/>
      <c r="E97" s="4764"/>
      <c r="F97" s="4756"/>
      <c r="G97" s="4763"/>
      <c r="H97" s="4757"/>
    </row>
    <row r="98" spans="2:12" ht="21" customHeight="1">
      <c r="B98" s="4758">
        <v>2013</v>
      </c>
      <c r="C98" s="4813">
        <v>6787</v>
      </c>
      <c r="D98" s="4754">
        <v>6863</v>
      </c>
      <c r="E98" s="4764">
        <f>+D98+C98</f>
        <v>13650</v>
      </c>
      <c r="F98" s="4756">
        <v>291205</v>
      </c>
      <c r="G98" s="4763">
        <v>294433</v>
      </c>
      <c r="H98" s="4757">
        <f>G98+F98</f>
        <v>585638</v>
      </c>
    </row>
    <row r="99" spans="2:12" ht="12.5" customHeight="1">
      <c r="B99" s="4758"/>
      <c r="C99" s="4813"/>
      <c r="D99" s="4754"/>
      <c r="E99" s="4764"/>
      <c r="F99" s="4756"/>
      <c r="G99" s="4763"/>
      <c r="H99" s="4757"/>
    </row>
    <row r="100" spans="2:12" ht="22.25" customHeight="1">
      <c r="B100" s="4758">
        <v>2014</v>
      </c>
      <c r="C100" s="4813">
        <v>7514.65235199771</v>
      </c>
      <c r="D100" s="4754">
        <v>7541.34764800229</v>
      </c>
      <c r="E100" s="4764">
        <f>+D100+C100</f>
        <v>15056</v>
      </c>
      <c r="F100" s="4756">
        <v>306832</v>
      </c>
      <c r="G100" s="4763">
        <v>307922</v>
      </c>
      <c r="H100" s="4757">
        <f>G100+F100</f>
        <v>614754</v>
      </c>
    </row>
    <row r="101" spans="2:12" s="4205" customFormat="1" ht="14" customHeight="1">
      <c r="B101" s="4758"/>
      <c r="C101" s="4813"/>
      <c r="D101" s="4754"/>
      <c r="E101" s="4764"/>
      <c r="F101" s="4756"/>
      <c r="G101" s="4763"/>
      <c r="H101" s="4757"/>
      <c r="I101" s="4206"/>
      <c r="J101" s="4206"/>
      <c r="K101" s="4206"/>
      <c r="L101" s="4206"/>
    </row>
    <row r="102" spans="2:12" s="4205" customFormat="1" ht="21" customHeight="1">
      <c r="B102" s="4752">
        <v>2015</v>
      </c>
      <c r="C102" s="4763">
        <v>7663</v>
      </c>
      <c r="D102" s="4813">
        <v>7663</v>
      </c>
      <c r="E102" s="4764">
        <f>+D102+C102</f>
        <v>15326</v>
      </c>
      <c r="F102" s="4756">
        <v>314936</v>
      </c>
      <c r="G102" s="4763">
        <v>317542</v>
      </c>
      <c r="H102" s="4757">
        <f>G102+F102</f>
        <v>632478</v>
      </c>
      <c r="I102" s="4206"/>
      <c r="J102" s="4206"/>
      <c r="K102" s="4206"/>
      <c r="L102" s="4206"/>
    </row>
    <row r="103" spans="2:12" s="4205" customFormat="1" ht="14.75" customHeight="1">
      <c r="B103" s="4752"/>
      <c r="C103" s="4763"/>
      <c r="D103" s="4813"/>
      <c r="E103" s="4764"/>
      <c r="F103" s="4754"/>
      <c r="G103" s="4763"/>
      <c r="H103" s="4757"/>
      <c r="I103" s="4206"/>
      <c r="J103" s="4206"/>
      <c r="K103" s="4206"/>
      <c r="L103" s="4206"/>
    </row>
    <row r="104" spans="2:12" s="4205" customFormat="1" ht="18" customHeight="1">
      <c r="B104" s="4758">
        <v>2016</v>
      </c>
      <c r="C104" s="4763">
        <v>8079</v>
      </c>
      <c r="D104" s="4763">
        <v>8079</v>
      </c>
      <c r="E104" s="4764">
        <f>D104+C104</f>
        <v>16158</v>
      </c>
      <c r="F104" s="4813">
        <v>320680</v>
      </c>
      <c r="G104" s="4763">
        <v>324164</v>
      </c>
      <c r="H104" s="4764">
        <f>G104+F104</f>
        <v>644844</v>
      </c>
      <c r="I104" s="4206"/>
      <c r="J104" s="4206"/>
      <c r="K104" s="4206"/>
      <c r="L104" s="4206"/>
    </row>
    <row r="105" spans="2:12" s="4205" customFormat="1" ht="14" customHeight="1">
      <c r="B105" s="4752"/>
      <c r="C105" s="4763"/>
      <c r="D105" s="4813"/>
      <c r="E105" s="4764"/>
      <c r="F105" s="4754"/>
      <c r="G105" s="4763"/>
      <c r="H105" s="4764"/>
      <c r="I105" s="4206"/>
      <c r="J105" s="4206"/>
      <c r="K105" s="4206"/>
      <c r="L105" s="4206"/>
    </row>
    <row r="106" spans="2:12" s="4205" customFormat="1" ht="18" customHeight="1">
      <c r="B106" s="4758">
        <v>2017</v>
      </c>
      <c r="C106" s="4763">
        <v>8442</v>
      </c>
      <c r="D106" s="4763">
        <v>8437</v>
      </c>
      <c r="E106" s="4764">
        <f>D106+C106</f>
        <v>16879</v>
      </c>
      <c r="F106" s="4813">
        <v>345784</v>
      </c>
      <c r="G106" s="4763">
        <v>350013</v>
      </c>
      <c r="H106" s="4764">
        <f>G106+F106</f>
        <v>695797</v>
      </c>
      <c r="I106" s="4206"/>
      <c r="J106" s="4206"/>
      <c r="K106" s="4206"/>
      <c r="L106" s="4206"/>
    </row>
    <row r="107" spans="2:12" s="4205" customFormat="1" ht="14" customHeight="1">
      <c r="B107" s="4752"/>
      <c r="C107" s="4763"/>
      <c r="D107" s="4813"/>
      <c r="E107" s="4764"/>
      <c r="F107" s="4754"/>
      <c r="G107" s="4763"/>
      <c r="H107" s="4764"/>
      <c r="I107" s="4206"/>
      <c r="J107" s="4206"/>
      <c r="K107" s="4206"/>
      <c r="L107" s="4206"/>
    </row>
    <row r="108" spans="2:12" s="4205" customFormat="1" ht="18" customHeight="1">
      <c r="B108" s="4758">
        <v>2018</v>
      </c>
      <c r="C108" s="4763">
        <v>8793</v>
      </c>
      <c r="D108" s="4763">
        <v>8792</v>
      </c>
      <c r="E108" s="4764">
        <f>D108+C108</f>
        <v>17585</v>
      </c>
      <c r="F108" s="4813">
        <v>359527</v>
      </c>
      <c r="G108" s="4763">
        <v>353330</v>
      </c>
      <c r="H108" s="4764">
        <f>G108+F108</f>
        <v>712857</v>
      </c>
      <c r="I108" s="4206"/>
      <c r="J108" s="4206"/>
      <c r="K108" s="4206"/>
      <c r="L108" s="4206"/>
    </row>
    <row r="109" spans="2:12" s="4205" customFormat="1" ht="15.5" customHeight="1">
      <c r="B109" s="4752"/>
      <c r="C109" s="4763"/>
      <c r="D109" s="4763"/>
      <c r="E109" s="4764"/>
      <c r="F109" s="4754"/>
      <c r="G109" s="4763"/>
      <c r="H109" s="4764"/>
      <c r="I109" s="4206"/>
      <c r="J109" s="4206"/>
      <c r="K109" s="4206"/>
      <c r="L109" s="4206"/>
    </row>
    <row r="110" spans="2:12" s="4205" customFormat="1" ht="18" customHeight="1">
      <c r="B110" s="4758">
        <v>2019</v>
      </c>
      <c r="C110" s="4763">
        <v>8481</v>
      </c>
      <c r="D110" s="4763">
        <v>8480</v>
      </c>
      <c r="E110" s="4764">
        <f>D110+C110</f>
        <v>16961</v>
      </c>
      <c r="F110" s="4759">
        <v>379929</v>
      </c>
      <c r="G110" s="4813">
        <v>384083</v>
      </c>
      <c r="H110" s="4764">
        <f>G110+F110</f>
        <v>764012</v>
      </c>
      <c r="I110" s="4206"/>
      <c r="J110" s="4206"/>
      <c r="K110" s="4206"/>
      <c r="L110" s="4206"/>
    </row>
    <row r="111" spans="2:12" s="4205" customFormat="1" ht="15.5" customHeight="1">
      <c r="B111" s="4758"/>
      <c r="C111" s="4813"/>
      <c r="D111" s="4813"/>
      <c r="E111" s="4764"/>
      <c r="F111" s="4759"/>
      <c r="G111" s="4813"/>
      <c r="H111" s="4764"/>
      <c r="I111" s="4206"/>
      <c r="J111" s="4206"/>
      <c r="K111" s="4206"/>
      <c r="L111" s="4206"/>
    </row>
    <row r="112" spans="2:12" s="4205" customFormat="1" ht="18" customHeight="1">
      <c r="B112" s="4758">
        <v>2020</v>
      </c>
      <c r="C112" s="4813">
        <v>3973</v>
      </c>
      <c r="D112" s="4813">
        <v>3971</v>
      </c>
      <c r="E112" s="4764">
        <f>D112+C112</f>
        <v>7944</v>
      </c>
      <c r="F112" s="4759">
        <v>135309</v>
      </c>
      <c r="G112" s="4813">
        <v>141092</v>
      </c>
      <c r="H112" s="4764">
        <f>G112+F112</f>
        <v>276401</v>
      </c>
      <c r="I112" s="4206"/>
      <c r="J112" s="4206"/>
      <c r="K112" s="4206"/>
      <c r="L112" s="4206"/>
    </row>
    <row r="113" spans="2:12" s="4205" customFormat="1" ht="14.75" customHeight="1">
      <c r="B113" s="4758"/>
      <c r="C113" s="4813"/>
      <c r="D113" s="4813"/>
      <c r="E113" s="4764"/>
      <c r="F113" s="4759"/>
      <c r="G113" s="4813"/>
      <c r="H113" s="4764"/>
      <c r="I113" s="4206"/>
      <c r="J113" s="4206"/>
      <c r="K113" s="4206"/>
      <c r="L113" s="4206"/>
    </row>
    <row r="114" spans="2:12" s="4205" customFormat="1" ht="18.5" customHeight="1">
      <c r="B114" s="4758">
        <v>2021</v>
      </c>
      <c r="C114" s="4813">
        <v>5607</v>
      </c>
      <c r="D114" s="4813">
        <v>5605</v>
      </c>
      <c r="E114" s="4764">
        <f>D114+C114</f>
        <v>11212</v>
      </c>
      <c r="F114" s="4759">
        <v>216731</v>
      </c>
      <c r="G114" s="4813">
        <v>214267</v>
      </c>
      <c r="H114" s="4764">
        <f>G114+F114</f>
        <v>430998</v>
      </c>
      <c r="I114" s="4206"/>
      <c r="J114" s="4206"/>
      <c r="K114" s="4206"/>
      <c r="L114" s="4206"/>
    </row>
    <row r="115" spans="2:12" s="4205" customFormat="1" ht="14.75" customHeight="1">
      <c r="B115" s="4758"/>
      <c r="C115" s="4813"/>
      <c r="D115" s="4813"/>
      <c r="E115" s="4764"/>
      <c r="F115" s="4759"/>
      <c r="G115" s="4813"/>
      <c r="H115" s="4764"/>
      <c r="I115" s="4206"/>
      <c r="J115" s="4206"/>
      <c r="K115" s="4206"/>
      <c r="L115" s="4206"/>
    </row>
    <row r="116" spans="2:12" s="4205" customFormat="1" ht="18" customHeight="1">
      <c r="B116" s="4758">
        <v>2022</v>
      </c>
      <c r="C116" s="4754">
        <v>8230</v>
      </c>
      <c r="D116" s="4763">
        <v>8230</v>
      </c>
      <c r="E116" s="4814">
        <f>D116+C116</f>
        <v>16460</v>
      </c>
      <c r="F116" s="4759">
        <v>378150</v>
      </c>
      <c r="G116" s="4769">
        <v>377966</v>
      </c>
      <c r="H116" s="4764">
        <f>G116+F116</f>
        <v>756116</v>
      </c>
      <c r="I116" s="4206"/>
      <c r="J116" s="4206"/>
      <c r="K116" s="4206"/>
      <c r="L116" s="4206"/>
    </row>
    <row r="117" spans="2:12" s="4205" customFormat="1" ht="21.5" hidden="1" customHeight="1" thickBot="1">
      <c r="B117" s="4752"/>
      <c r="C117" s="4754"/>
      <c r="D117" s="4754"/>
      <c r="E117" s="4814"/>
      <c r="F117" s="4754"/>
      <c r="G117" s="4754"/>
      <c r="H117" s="4757"/>
      <c r="I117" s="4206"/>
      <c r="J117" s="4206"/>
      <c r="K117" s="4206"/>
      <c r="L117" s="4206"/>
    </row>
    <row r="118" spans="2:12" s="4205" customFormat="1" ht="24" hidden="1" customHeight="1">
      <c r="B118" s="5794" t="s">
        <v>923</v>
      </c>
      <c r="C118" s="5795"/>
      <c r="D118" s="5795"/>
      <c r="E118" s="5795"/>
      <c r="F118" s="5795"/>
      <c r="G118" s="5795"/>
      <c r="H118" s="5796"/>
      <c r="I118" s="4206"/>
      <c r="J118" s="4206"/>
      <c r="K118" s="4206"/>
      <c r="L118" s="4206"/>
    </row>
    <row r="119" spans="2:12" s="4205" customFormat="1" ht="24" hidden="1" customHeight="1">
      <c r="B119" s="4815">
        <v>2018</v>
      </c>
      <c r="C119" s="4816">
        <v>6746</v>
      </c>
      <c r="D119" s="4816">
        <v>6745</v>
      </c>
      <c r="E119" s="4817">
        <f>D119+C119</f>
        <v>13491</v>
      </c>
      <c r="F119" s="4816">
        <v>271272</v>
      </c>
      <c r="G119" s="4816">
        <v>272801</v>
      </c>
      <c r="H119" s="4780">
        <f>G119+F119</f>
        <v>544073</v>
      </c>
      <c r="I119" s="4206"/>
      <c r="J119" s="4206"/>
      <c r="K119" s="4206"/>
      <c r="L119" s="4206"/>
    </row>
    <row r="120" spans="2:12" s="4205" customFormat="1" ht="24" hidden="1" customHeight="1" thickBot="1">
      <c r="B120" s="4815">
        <v>2019</v>
      </c>
      <c r="C120" s="4816">
        <v>6451</v>
      </c>
      <c r="D120" s="4816">
        <v>6451</v>
      </c>
      <c r="E120" s="4817">
        <f>D120+C120</f>
        <v>12902</v>
      </c>
      <c r="F120" s="4816">
        <v>284874</v>
      </c>
      <c r="G120" s="4816">
        <v>297063</v>
      </c>
      <c r="H120" s="4780">
        <f>G120+F120</f>
        <v>581937</v>
      </c>
      <c r="I120" s="4206"/>
      <c r="J120" s="4206"/>
      <c r="K120" s="4206"/>
      <c r="L120" s="4206"/>
    </row>
    <row r="121" spans="2:12" s="4205" customFormat="1" ht="14.75" customHeight="1">
      <c r="B121" s="4758"/>
      <c r="C121" s="4763"/>
      <c r="D121" s="4763"/>
      <c r="E121" s="4764"/>
      <c r="F121" s="4754"/>
      <c r="G121" s="4763"/>
      <c r="H121" s="4764"/>
      <c r="I121" s="4206"/>
      <c r="J121" s="4206"/>
      <c r="K121" s="4206"/>
      <c r="L121" s="4206"/>
    </row>
    <row r="122" spans="2:12" s="4205" customFormat="1" ht="19.25" customHeight="1" thickBot="1">
      <c r="B122" s="4772" t="s">
        <v>1959</v>
      </c>
      <c r="C122" s="4818">
        <v>7563</v>
      </c>
      <c r="D122" s="4818">
        <v>7559</v>
      </c>
      <c r="E122" s="4791">
        <f>D122+C122</f>
        <v>15122</v>
      </c>
      <c r="F122" s="4819">
        <v>390845</v>
      </c>
      <c r="G122" s="4818">
        <v>394056</v>
      </c>
      <c r="H122" s="4820">
        <v>784901</v>
      </c>
      <c r="I122" s="4206"/>
      <c r="J122" s="4206"/>
      <c r="K122" s="4206"/>
      <c r="L122" s="4206"/>
    </row>
    <row r="123" spans="2:12" ht="23.25">
      <c r="B123" s="4207" t="s">
        <v>502</v>
      </c>
    </row>
    <row r="124" spans="2:12" ht="23.25">
      <c r="B124" s="4208" t="s">
        <v>466</v>
      </c>
      <c r="C124" s="4209"/>
      <c r="D124" s="4209"/>
    </row>
    <row r="125" spans="2:12" ht="23.25">
      <c r="B125" s="4207" t="s">
        <v>268</v>
      </c>
    </row>
    <row r="126" spans="2:12">
      <c r="C126" s="4191"/>
      <c r="D126" s="4191"/>
      <c r="E126" s="4211"/>
      <c r="F126" s="4191"/>
      <c r="G126" s="4191"/>
      <c r="H126" s="4211"/>
    </row>
    <row r="127" spans="2:12">
      <c r="C127" s="4191"/>
      <c r="D127" s="4191"/>
      <c r="E127" s="4211"/>
      <c r="F127" s="4191"/>
      <c r="G127" s="4191"/>
      <c r="H127" s="4211"/>
    </row>
    <row r="128" spans="2:12">
      <c r="C128" s="4191"/>
      <c r="D128" s="4191"/>
      <c r="E128" s="4211"/>
      <c r="F128" s="4191"/>
      <c r="G128" s="4191"/>
      <c r="H128" s="4211"/>
    </row>
    <row r="130" spans="2:8">
      <c r="E130" s="4212"/>
      <c r="F130" s="4213"/>
      <c r="G130" s="4213"/>
      <c r="H130" s="4212"/>
    </row>
    <row r="132" spans="2:8">
      <c r="E132" s="4212"/>
    </row>
    <row r="134" spans="2:8">
      <c r="E134" s="4212"/>
    </row>
    <row r="141" spans="2:8" ht="24" customHeight="1"/>
    <row r="143" spans="2:8">
      <c r="B143" s="5797"/>
    </row>
    <row r="144" spans="2:8">
      <c r="B144" s="5797"/>
    </row>
    <row r="145" spans="2:2">
      <c r="B145" s="5797"/>
    </row>
    <row r="146" spans="2:2">
      <c r="B146" s="5797"/>
    </row>
    <row r="147" spans="2:2">
      <c r="B147" s="5797"/>
    </row>
    <row r="148" spans="2:2">
      <c r="B148" s="5797"/>
    </row>
    <row r="149" spans="2:2">
      <c r="B149" s="5797"/>
    </row>
    <row r="150" spans="2:2">
      <c r="B150" s="5797"/>
    </row>
    <row r="151" spans="2:2">
      <c r="B151" s="5797"/>
    </row>
    <row r="152" spans="2:2">
      <c r="B152" s="5797"/>
    </row>
    <row r="153" spans="2:2">
      <c r="B153" s="5797"/>
    </row>
    <row r="154" spans="2:2">
      <c r="B154" s="5797"/>
    </row>
    <row r="155" spans="2:2">
      <c r="B155" s="5797"/>
    </row>
    <row r="156" spans="2:2">
      <c r="B156" s="5797"/>
    </row>
    <row r="157" spans="2:2">
      <c r="B157" s="5797"/>
    </row>
    <row r="158" spans="2:2">
      <c r="B158" s="5797"/>
    </row>
    <row r="159" spans="2:2">
      <c r="B159" s="5797"/>
    </row>
    <row r="160" spans="2:2">
      <c r="B160" s="5797"/>
    </row>
    <row r="161" spans="2:2">
      <c r="B161" s="5797"/>
    </row>
    <row r="162" spans="2:2">
      <c r="B162" s="5797"/>
    </row>
    <row r="163" spans="2:2">
      <c r="B163" s="5797"/>
    </row>
    <row r="164" spans="2:2">
      <c r="B164" s="5797"/>
    </row>
    <row r="165" spans="2:2">
      <c r="B165" s="5797"/>
    </row>
    <row r="166" spans="2:2">
      <c r="B166" s="5797"/>
    </row>
    <row r="167" spans="2:2">
      <c r="B167" s="5797"/>
    </row>
    <row r="168" spans="2:2">
      <c r="B168" s="5797"/>
    </row>
    <row r="169" spans="2:2">
      <c r="B169" s="5797"/>
    </row>
    <row r="170" spans="2:2">
      <c r="B170" s="5797"/>
    </row>
    <row r="171" spans="2:2">
      <c r="B171" s="5797"/>
    </row>
    <row r="172" spans="2:2">
      <c r="B172" s="5797"/>
    </row>
  </sheetData>
  <mergeCells count="9">
    <mergeCell ref="B65:H65"/>
    <mergeCell ref="B118:H118"/>
    <mergeCell ref="B143:B172"/>
    <mergeCell ref="B1:H1"/>
    <mergeCell ref="B2:H2"/>
    <mergeCell ref="B4:E4"/>
    <mergeCell ref="F4:H4"/>
    <mergeCell ref="B5:H5"/>
    <mergeCell ref="B59:H59"/>
  </mergeCells>
  <printOptions horizontalCentered="1" verticalCentered="1"/>
  <pageMargins left="0.25" right="0.25" top="0.75" bottom="0.75" header="0.3" footer="0.3"/>
  <pageSetup scale="47" firstPageNumber="103" orientation="portrait" useFirstPageNumber="1" r:id="rId1"/>
  <headerFooter scaleWithDoc="0" alignWithMargins="0">
    <oddFooter xml:space="preserve">&amp;C117
</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rgb="FF00B0F0"/>
    <pageSetUpPr fitToPage="1"/>
  </sheetPr>
  <dimension ref="B1:AD80"/>
  <sheetViews>
    <sheetView view="pageBreakPreview" topLeftCell="B1" zoomScale="50" zoomScaleNormal="100" zoomScaleSheetLayoutView="50" workbookViewId="0">
      <pane xSplit="16" topLeftCell="S1" activePane="topRight" state="frozen"/>
      <selection activeCell="B44" sqref="B44"/>
      <selection pane="topRight" activeCell="B44" sqref="B44"/>
    </sheetView>
  </sheetViews>
  <sheetFormatPr defaultColWidth="9.46484375" defaultRowHeight="25.5"/>
  <cols>
    <col min="1" max="1" width="0" style="77" hidden="1" customWidth="1"/>
    <col min="2" max="2" width="52.6640625" style="77" customWidth="1"/>
    <col min="3" max="9" width="13.46484375" style="77" hidden="1" customWidth="1"/>
    <col min="10" max="14" width="13.46484375" style="79" hidden="1" customWidth="1"/>
    <col min="15" max="15" width="20.46484375" style="79" hidden="1" customWidth="1"/>
    <col min="16" max="16" width="20.46484375" style="250" hidden="1" customWidth="1"/>
    <col min="17" max="17" width="20.46484375" style="79" hidden="1" customWidth="1"/>
    <col min="18" max="18" width="21.46484375" style="77" customWidth="1"/>
    <col min="19" max="23" width="20.46484375" style="77" customWidth="1"/>
    <col min="24" max="24" width="19.46484375" style="77" customWidth="1"/>
    <col min="25" max="25" width="19.46484375" style="79" customWidth="1"/>
    <col min="26" max="26" width="19" style="77" customWidth="1"/>
    <col min="27" max="29" width="20.46484375" style="77" customWidth="1"/>
    <col min="30" max="30" width="20.33203125" style="77" bestFit="1" customWidth="1"/>
    <col min="31" max="16384" width="9.46484375" style="77"/>
  </cols>
  <sheetData>
    <row r="1" spans="2:30" ht="26" customHeight="1">
      <c r="B1" s="5808" t="s">
        <v>681</v>
      </c>
      <c r="C1" s="5808"/>
      <c r="D1" s="5808"/>
      <c r="E1" s="5808"/>
      <c r="F1" s="5808"/>
      <c r="G1" s="5808"/>
      <c r="H1" s="5808"/>
      <c r="I1" s="5808"/>
      <c r="J1" s="5808"/>
      <c r="K1" s="5808"/>
      <c r="L1" s="5808"/>
      <c r="M1" s="5808"/>
      <c r="N1" s="5808"/>
      <c r="O1" s="5808"/>
      <c r="P1" s="5808"/>
      <c r="Q1" s="5808"/>
      <c r="R1" s="5808"/>
      <c r="S1" s="5808"/>
      <c r="T1" s="5808"/>
      <c r="U1" s="5808"/>
      <c r="V1" s="5808"/>
      <c r="W1" s="5808"/>
      <c r="X1" s="5808"/>
      <c r="Y1" s="5808"/>
      <c r="Z1" s="5808"/>
      <c r="AA1" s="5808"/>
      <c r="AB1" s="5808"/>
      <c r="AC1" s="5808"/>
      <c r="AD1" s="5808"/>
    </row>
    <row r="2" spans="2:30" ht="26" customHeight="1">
      <c r="B2" s="5808" t="s">
        <v>202</v>
      </c>
      <c r="C2" s="5808"/>
      <c r="D2" s="5808"/>
      <c r="E2" s="5808"/>
      <c r="F2" s="5808"/>
      <c r="G2" s="5808"/>
      <c r="H2" s="5808"/>
      <c r="I2" s="5808"/>
      <c r="J2" s="5808"/>
      <c r="K2" s="5808"/>
      <c r="L2" s="5808"/>
      <c r="M2" s="5808"/>
      <c r="N2" s="5808"/>
      <c r="O2" s="5808"/>
      <c r="P2" s="5808"/>
      <c r="Q2" s="5808"/>
      <c r="R2" s="5808"/>
      <c r="S2" s="5808"/>
      <c r="T2" s="5808"/>
      <c r="U2" s="5808"/>
      <c r="V2" s="5808"/>
      <c r="W2" s="5808"/>
      <c r="X2" s="5808"/>
      <c r="Y2" s="5808"/>
      <c r="Z2" s="5808"/>
      <c r="AA2" s="5808"/>
      <c r="AB2" s="5808"/>
      <c r="AC2" s="5808"/>
      <c r="AD2" s="5808"/>
    </row>
    <row r="3" spans="2:30" ht="25.9" thickBot="1">
      <c r="C3" s="221"/>
      <c r="D3" s="221"/>
      <c r="E3" s="221"/>
      <c r="F3" s="221"/>
      <c r="G3" s="221"/>
      <c r="H3" s="221"/>
      <c r="I3" s="221"/>
      <c r="J3" s="223"/>
      <c r="K3" s="223"/>
      <c r="L3" s="223"/>
      <c r="M3" s="223"/>
      <c r="N3" s="223"/>
      <c r="O3" s="223"/>
      <c r="P3" s="1007"/>
      <c r="Q3" s="223"/>
      <c r="R3" s="221"/>
      <c r="S3" s="221"/>
      <c r="AD3" s="2970"/>
    </row>
    <row r="4" spans="2:30" ht="12.75" hidden="1" customHeight="1">
      <c r="B4" s="224" t="s">
        <v>394</v>
      </c>
      <c r="C4" s="1008"/>
      <c r="D4" s="1008"/>
      <c r="E4" s="1008"/>
      <c r="F4" s="1008"/>
      <c r="G4" s="1008"/>
      <c r="H4" s="1008"/>
      <c r="I4" s="1008"/>
      <c r="J4" s="1008"/>
      <c r="K4" s="1008"/>
      <c r="L4" s="1008"/>
      <c r="M4" s="1008"/>
      <c r="N4" s="1008"/>
      <c r="O4" s="1008"/>
      <c r="P4" s="1008"/>
      <c r="Q4" s="1008"/>
      <c r="R4" s="1008"/>
    </row>
    <row r="5" spans="2:30" ht="28.25" customHeight="1" thickBot="1">
      <c r="B5" s="5809" t="s">
        <v>394</v>
      </c>
      <c r="C5" s="5810"/>
      <c r="D5" s="5810"/>
      <c r="E5" s="5810"/>
      <c r="F5" s="5810"/>
      <c r="G5" s="5810"/>
      <c r="H5" s="5810"/>
      <c r="I5" s="5810"/>
      <c r="J5" s="5810"/>
      <c r="K5" s="5810"/>
      <c r="L5" s="5810"/>
      <c r="M5" s="5810"/>
      <c r="N5" s="5810"/>
      <c r="O5" s="5810"/>
      <c r="P5" s="5810"/>
      <c r="Q5" s="5810"/>
      <c r="R5" s="5810"/>
      <c r="S5" s="5810"/>
      <c r="T5" s="5810"/>
      <c r="U5" s="5810"/>
      <c r="V5" s="5810"/>
      <c r="W5" s="5810"/>
      <c r="X5" s="5810"/>
      <c r="Y5" s="5810"/>
      <c r="Z5" s="5810"/>
      <c r="AA5" s="5810"/>
      <c r="AB5" s="5810"/>
      <c r="AC5" s="5810"/>
      <c r="AD5" s="5811"/>
    </row>
    <row r="6" spans="2:30" ht="25.9" thickBot="1">
      <c r="B6" s="1009" t="s">
        <v>137</v>
      </c>
      <c r="C6" s="1010">
        <v>1996</v>
      </c>
      <c r="D6" s="1010">
        <v>1997</v>
      </c>
      <c r="E6" s="1010">
        <v>1998</v>
      </c>
      <c r="F6" s="1010">
        <v>1999</v>
      </c>
      <c r="G6" s="1010">
        <v>2000</v>
      </c>
      <c r="H6" s="1010">
        <v>2001</v>
      </c>
      <c r="I6" s="1011">
        <v>2002</v>
      </c>
      <c r="J6" s="1011">
        <v>2003</v>
      </c>
      <c r="K6" s="1011">
        <v>2004</v>
      </c>
      <c r="L6" s="1012">
        <v>2005</v>
      </c>
      <c r="M6" s="1011">
        <v>2006</v>
      </c>
      <c r="N6" s="1012">
        <v>2007</v>
      </c>
      <c r="O6" s="1013">
        <v>2008</v>
      </c>
      <c r="P6" s="1014">
        <v>2009</v>
      </c>
      <c r="Q6" s="1014">
        <v>2010</v>
      </c>
      <c r="R6" s="1014">
        <v>2011</v>
      </c>
      <c r="S6" s="1014">
        <v>2012</v>
      </c>
      <c r="T6" s="1011">
        <v>2013</v>
      </c>
      <c r="U6" s="1011">
        <v>2014</v>
      </c>
      <c r="V6" s="1015">
        <v>2015</v>
      </c>
      <c r="W6" s="1011">
        <v>2016</v>
      </c>
      <c r="X6" s="1011">
        <v>2017</v>
      </c>
      <c r="Y6" s="1015">
        <v>2018</v>
      </c>
      <c r="Z6" s="1011">
        <v>2019</v>
      </c>
      <c r="AA6" s="1055">
        <v>2020</v>
      </c>
      <c r="AB6" s="2633">
        <v>2021</v>
      </c>
      <c r="AC6" s="1035">
        <v>2022</v>
      </c>
      <c r="AD6" s="3110" t="s">
        <v>1959</v>
      </c>
    </row>
    <row r="7" spans="2:30" ht="28.25" customHeight="1">
      <c r="B7" s="1016" t="s">
        <v>138</v>
      </c>
      <c r="D7" s="78"/>
      <c r="I7" s="1017"/>
      <c r="J7" s="1017"/>
      <c r="K7" s="1017"/>
      <c r="M7" s="1017"/>
      <c r="O7" s="1018"/>
      <c r="P7" s="1019"/>
      <c r="Q7" s="1018"/>
      <c r="R7" s="1018"/>
      <c r="S7" s="1020"/>
      <c r="T7" s="1017"/>
      <c r="U7" s="1017"/>
      <c r="V7" s="1018"/>
      <c r="W7" s="249"/>
      <c r="X7" s="249"/>
      <c r="Y7" s="86"/>
      <c r="Z7" s="452"/>
      <c r="AA7" s="1056"/>
      <c r="AB7" s="2634"/>
      <c r="AC7" s="2967"/>
      <c r="AD7" s="82"/>
    </row>
    <row r="8" spans="2:30" ht="28.25" customHeight="1">
      <c r="B8" s="1016" t="s">
        <v>139</v>
      </c>
      <c r="C8" s="78">
        <v>19969</v>
      </c>
      <c r="D8" s="78">
        <v>19429</v>
      </c>
      <c r="E8" s="78">
        <v>23806</v>
      </c>
      <c r="F8" s="78">
        <v>24888</v>
      </c>
      <c r="G8" s="78">
        <v>24347</v>
      </c>
      <c r="H8" s="78">
        <v>24077</v>
      </c>
      <c r="I8" s="249">
        <v>24499</v>
      </c>
      <c r="J8" s="249">
        <v>22952</v>
      </c>
      <c r="K8" s="249">
        <f t="shared" ref="K8:Z8" si="0">+K21+K34</f>
        <v>24232</v>
      </c>
      <c r="L8" s="249">
        <f t="shared" si="0"/>
        <v>21930</v>
      </c>
      <c r="M8" s="249">
        <f t="shared" si="0"/>
        <v>24429</v>
      </c>
      <c r="N8" s="249">
        <f t="shared" si="0"/>
        <v>16373</v>
      </c>
      <c r="O8" s="249">
        <f t="shared" si="0"/>
        <v>15423</v>
      </c>
      <c r="P8" s="249">
        <f t="shared" si="0"/>
        <v>13323</v>
      </c>
      <c r="Q8" s="249">
        <f t="shared" si="0"/>
        <v>14921</v>
      </c>
      <c r="R8" s="249">
        <f t="shared" si="0"/>
        <v>14814</v>
      </c>
      <c r="S8" s="249">
        <f t="shared" si="0"/>
        <v>14319</v>
      </c>
      <c r="T8" s="249">
        <f t="shared" si="0"/>
        <v>12028</v>
      </c>
      <c r="U8" s="249">
        <f t="shared" si="0"/>
        <v>11986</v>
      </c>
      <c r="V8" s="1019">
        <f t="shared" si="0"/>
        <v>10772</v>
      </c>
      <c r="W8" s="249">
        <f t="shared" si="0"/>
        <v>11512</v>
      </c>
      <c r="X8" s="249">
        <f t="shared" si="0"/>
        <v>11527</v>
      </c>
      <c r="Y8" s="1021">
        <f t="shared" si="0"/>
        <v>11848</v>
      </c>
      <c r="Z8" s="84">
        <f t="shared" si="0"/>
        <v>12268</v>
      </c>
      <c r="AA8" s="84">
        <v>4780</v>
      </c>
      <c r="AB8" s="2635">
        <v>5418</v>
      </c>
      <c r="AC8" s="86">
        <v>5617</v>
      </c>
      <c r="AD8" s="4214">
        <v>9623</v>
      </c>
    </row>
    <row r="9" spans="2:30" ht="28.25" customHeight="1">
      <c r="B9" s="1016"/>
      <c r="C9" s="78"/>
      <c r="D9" s="78"/>
      <c r="F9" s="78"/>
      <c r="G9" s="78"/>
      <c r="H9" s="78"/>
      <c r="I9" s="249"/>
      <c r="J9" s="249"/>
      <c r="K9" s="249"/>
      <c r="L9" s="250"/>
      <c r="M9" s="249"/>
      <c r="N9" s="250"/>
      <c r="O9" s="1019"/>
      <c r="P9" s="1019"/>
      <c r="Q9" s="1019"/>
      <c r="R9" s="1019"/>
      <c r="S9" s="249"/>
      <c r="T9" s="1017"/>
      <c r="U9" s="1017"/>
      <c r="V9" s="1018"/>
      <c r="W9" s="249"/>
      <c r="X9" s="249"/>
      <c r="Y9" s="1022"/>
      <c r="Z9" s="452"/>
      <c r="AA9" s="452"/>
      <c r="AB9" s="2636"/>
      <c r="AC9" s="1022"/>
      <c r="AD9" s="3458"/>
    </row>
    <row r="10" spans="2:30" ht="28.25" customHeight="1">
      <c r="B10" s="1016" t="s">
        <v>140</v>
      </c>
      <c r="C10" s="78"/>
      <c r="D10" s="78"/>
      <c r="F10" s="78"/>
      <c r="G10" s="78"/>
      <c r="H10" s="78"/>
      <c r="I10" s="249"/>
      <c r="J10" s="249"/>
      <c r="K10" s="249"/>
      <c r="L10" s="250"/>
      <c r="M10" s="249"/>
      <c r="N10" s="250"/>
      <c r="O10" s="1019"/>
      <c r="P10" s="1019"/>
      <c r="Q10" s="1019"/>
      <c r="R10" s="1019"/>
      <c r="S10" s="249"/>
      <c r="T10" s="1017"/>
      <c r="U10" s="1017"/>
      <c r="V10" s="1018"/>
      <c r="W10" s="249"/>
      <c r="X10" s="249"/>
      <c r="Y10" s="1022"/>
      <c r="Z10" s="452"/>
      <c r="AA10" s="452"/>
      <c r="AB10" s="2636"/>
      <c r="AC10" s="1022"/>
      <c r="AD10" s="3458"/>
    </row>
    <row r="11" spans="2:30" ht="28.25" customHeight="1">
      <c r="B11" s="1016" t="s">
        <v>139</v>
      </c>
      <c r="C11" s="78">
        <v>17049</v>
      </c>
      <c r="D11" s="78">
        <v>17837</v>
      </c>
      <c r="E11" s="78">
        <v>12110</v>
      </c>
      <c r="F11" s="78">
        <v>13100</v>
      </c>
      <c r="G11" s="78">
        <v>13062</v>
      </c>
      <c r="H11" s="78">
        <v>13938</v>
      </c>
      <c r="I11" s="249">
        <v>13457</v>
      </c>
      <c r="J11" s="249">
        <v>16508</v>
      </c>
      <c r="K11" s="249">
        <f t="shared" ref="K11:Z11" si="1">+K24+K37</f>
        <v>18003</v>
      </c>
      <c r="L11" s="249">
        <f t="shared" si="1"/>
        <v>20048</v>
      </c>
      <c r="M11" s="249">
        <f t="shared" si="1"/>
        <v>20718</v>
      </c>
      <c r="N11" s="249">
        <f t="shared" si="1"/>
        <v>20857</v>
      </c>
      <c r="O11" s="249">
        <f t="shared" si="1"/>
        <v>20448</v>
      </c>
      <c r="P11" s="249">
        <f t="shared" si="1"/>
        <v>16184</v>
      </c>
      <c r="Q11" s="249">
        <f t="shared" si="1"/>
        <v>19224</v>
      </c>
      <c r="R11" s="249">
        <f t="shared" si="1"/>
        <v>19403</v>
      </c>
      <c r="S11" s="249">
        <f t="shared" si="1"/>
        <v>20413</v>
      </c>
      <c r="T11" s="249">
        <f t="shared" si="1"/>
        <v>19453</v>
      </c>
      <c r="U11" s="249">
        <f t="shared" si="1"/>
        <v>20106</v>
      </c>
      <c r="V11" s="1019">
        <f t="shared" si="1"/>
        <v>19025</v>
      </c>
      <c r="W11" s="249">
        <f t="shared" si="1"/>
        <v>19634</v>
      </c>
      <c r="X11" s="249">
        <f t="shared" si="1"/>
        <v>21454</v>
      </c>
      <c r="Y11" s="1021">
        <f t="shared" si="1"/>
        <v>21437</v>
      </c>
      <c r="Z11" s="84">
        <f t="shared" si="1"/>
        <v>20367</v>
      </c>
      <c r="AA11" s="84">
        <v>10395</v>
      </c>
      <c r="AB11" s="2635">
        <v>11962</v>
      </c>
      <c r="AC11" s="86">
        <v>9386</v>
      </c>
      <c r="AD11" s="4214">
        <v>15599</v>
      </c>
    </row>
    <row r="12" spans="2:30" ht="28.25" customHeight="1">
      <c r="B12" s="1016"/>
      <c r="C12" s="78"/>
      <c r="D12" s="78"/>
      <c r="F12" s="78"/>
      <c r="G12" s="78"/>
      <c r="H12" s="78"/>
      <c r="I12" s="249"/>
      <c r="J12" s="249"/>
      <c r="K12" s="249"/>
      <c r="L12" s="250"/>
      <c r="M12" s="249"/>
      <c r="N12" s="250"/>
      <c r="O12" s="1019"/>
      <c r="P12" s="1019"/>
      <c r="Q12" s="1019"/>
      <c r="R12" s="1019"/>
      <c r="S12" s="249"/>
      <c r="T12" s="1017"/>
      <c r="U12" s="1017"/>
      <c r="V12" s="1018"/>
      <c r="W12" s="249"/>
      <c r="X12" s="249"/>
      <c r="Y12" s="1022"/>
      <c r="Z12" s="452"/>
      <c r="AA12" s="452"/>
      <c r="AB12" s="2636"/>
      <c r="AC12" s="1022"/>
      <c r="AD12" s="3458"/>
    </row>
    <row r="13" spans="2:30" ht="28.25" customHeight="1">
      <c r="B13" s="1016" t="s">
        <v>141</v>
      </c>
      <c r="C13" s="78"/>
      <c r="D13" s="78"/>
      <c r="F13" s="78"/>
      <c r="G13" s="78"/>
      <c r="H13" s="78"/>
      <c r="I13" s="249"/>
      <c r="J13" s="1019"/>
      <c r="K13" s="249"/>
      <c r="L13" s="250"/>
      <c r="M13" s="249"/>
      <c r="N13" s="250"/>
      <c r="O13" s="1019"/>
      <c r="P13" s="1019"/>
      <c r="Q13" s="1019"/>
      <c r="R13" s="1019"/>
      <c r="S13" s="249"/>
      <c r="T13" s="1017"/>
      <c r="U13" s="1017"/>
      <c r="V13" s="1018"/>
      <c r="W13" s="249"/>
      <c r="X13" s="249"/>
      <c r="Y13" s="1022"/>
      <c r="Z13" s="452"/>
      <c r="AA13" s="452"/>
      <c r="AB13" s="2636"/>
      <c r="AC13" s="1022"/>
      <c r="AD13" s="3458"/>
    </row>
    <row r="14" spans="2:30" ht="28.25" customHeight="1">
      <c r="B14" s="1016" t="s">
        <v>139</v>
      </c>
      <c r="C14" s="78">
        <v>7732</v>
      </c>
      <c r="D14" s="78">
        <v>5713</v>
      </c>
      <c r="E14" s="77">
        <v>6499</v>
      </c>
      <c r="F14" s="78">
        <v>4390</v>
      </c>
      <c r="G14" s="78">
        <v>5633</v>
      </c>
      <c r="H14" s="78">
        <v>4874</v>
      </c>
      <c r="I14" s="250">
        <v>2896</v>
      </c>
      <c r="J14" s="250">
        <v>2354</v>
      </c>
      <c r="K14" s="249">
        <f t="shared" ref="K14:Z14" si="2">+K27+K40</f>
        <v>2320</v>
      </c>
      <c r="L14" s="249">
        <f t="shared" si="2"/>
        <v>2483</v>
      </c>
      <c r="M14" s="249">
        <f t="shared" si="2"/>
        <v>2682</v>
      </c>
      <c r="N14" s="249">
        <f t="shared" si="2"/>
        <v>3197</v>
      </c>
      <c r="O14" s="249">
        <f t="shared" si="2"/>
        <v>2962</v>
      </c>
      <c r="P14" s="249">
        <f t="shared" si="2"/>
        <v>2785</v>
      </c>
      <c r="Q14" s="249">
        <f t="shared" si="2"/>
        <v>2738</v>
      </c>
      <c r="R14" s="249">
        <f t="shared" si="2"/>
        <v>2329</v>
      </c>
      <c r="S14" s="249">
        <f t="shared" si="2"/>
        <v>1941</v>
      </c>
      <c r="T14" s="249">
        <f t="shared" si="2"/>
        <v>2300</v>
      </c>
      <c r="U14" s="249">
        <f t="shared" si="2"/>
        <v>2771</v>
      </c>
      <c r="V14" s="1019">
        <f t="shared" si="2"/>
        <v>2661</v>
      </c>
      <c r="W14" s="249">
        <f t="shared" si="2"/>
        <v>2580</v>
      </c>
      <c r="X14" s="249">
        <f t="shared" si="2"/>
        <v>2630</v>
      </c>
      <c r="Y14" s="1021">
        <f t="shared" si="2"/>
        <v>2710</v>
      </c>
      <c r="Z14" s="84">
        <f t="shared" si="2"/>
        <v>2360</v>
      </c>
      <c r="AA14" s="84">
        <v>1812</v>
      </c>
      <c r="AB14" s="2635">
        <v>382</v>
      </c>
      <c r="AC14" s="86">
        <v>195</v>
      </c>
      <c r="AD14" s="3458">
        <v>495</v>
      </c>
    </row>
    <row r="15" spans="2:30" ht="17.25" customHeight="1" thickBot="1">
      <c r="B15" s="1016"/>
      <c r="C15" s="78"/>
      <c r="D15" s="78"/>
      <c r="F15" s="78"/>
      <c r="G15" s="78"/>
      <c r="H15" s="78"/>
      <c r="I15" s="250"/>
      <c r="J15" s="250"/>
      <c r="K15" s="249"/>
      <c r="L15" s="250"/>
      <c r="M15" s="249"/>
      <c r="N15" s="250"/>
      <c r="O15" s="249"/>
      <c r="Q15" s="249"/>
      <c r="R15" s="249"/>
      <c r="S15" s="249"/>
      <c r="T15" s="1017"/>
      <c r="U15" s="1017"/>
      <c r="V15" s="1018"/>
      <c r="W15" s="1017"/>
      <c r="X15" s="1017"/>
      <c r="Y15" s="1022"/>
      <c r="Z15" s="1023"/>
      <c r="AA15" s="452"/>
      <c r="AB15" s="2636"/>
      <c r="AC15" s="1022"/>
      <c r="AD15" s="2971"/>
    </row>
    <row r="16" spans="2:30" s="224" customFormat="1" ht="28.25" customHeight="1" thickBot="1">
      <c r="B16" s="1024" t="s">
        <v>394</v>
      </c>
      <c r="C16" s="1025"/>
      <c r="D16" s="1025"/>
      <c r="E16" s="1026"/>
      <c r="F16" s="1025"/>
      <c r="G16" s="1025"/>
      <c r="H16" s="1025"/>
      <c r="I16" s="1027"/>
      <c r="J16" s="1027"/>
      <c r="K16" s="1028">
        <f>K14+K11+K8</f>
        <v>44555</v>
      </c>
      <c r="L16" s="1028">
        <f t="shared" ref="L16:U16" si="3">L14+L11+L8</f>
        <v>44461</v>
      </c>
      <c r="M16" s="1028">
        <f t="shared" si="3"/>
        <v>47829</v>
      </c>
      <c r="N16" s="1028">
        <f t="shared" si="3"/>
        <v>40427</v>
      </c>
      <c r="O16" s="1028">
        <f t="shared" si="3"/>
        <v>38833</v>
      </c>
      <c r="P16" s="1028">
        <f t="shared" si="3"/>
        <v>32292</v>
      </c>
      <c r="Q16" s="1028">
        <f t="shared" si="3"/>
        <v>36883</v>
      </c>
      <c r="R16" s="1028">
        <f t="shared" si="3"/>
        <v>36546</v>
      </c>
      <c r="S16" s="1028">
        <f t="shared" si="3"/>
        <v>36673</v>
      </c>
      <c r="T16" s="1028">
        <f t="shared" si="3"/>
        <v>33781</v>
      </c>
      <c r="U16" s="1028">
        <f t="shared" si="3"/>
        <v>34863</v>
      </c>
      <c r="V16" s="1029">
        <f t="shared" ref="V16:AD16" si="4">V14+V11+V8</f>
        <v>32458</v>
      </c>
      <c r="W16" s="1028">
        <f t="shared" si="4"/>
        <v>33726</v>
      </c>
      <c r="X16" s="1029">
        <f t="shared" si="4"/>
        <v>35611</v>
      </c>
      <c r="Y16" s="1029">
        <f t="shared" si="4"/>
        <v>35995</v>
      </c>
      <c r="Z16" s="1029">
        <f t="shared" si="4"/>
        <v>34995</v>
      </c>
      <c r="AA16" s="1057">
        <f t="shared" si="4"/>
        <v>16987</v>
      </c>
      <c r="AB16" s="2637">
        <f t="shared" si="4"/>
        <v>17762</v>
      </c>
      <c r="AC16" s="2639">
        <f t="shared" si="4"/>
        <v>15198</v>
      </c>
      <c r="AD16" s="3371">
        <f t="shared" si="4"/>
        <v>25717</v>
      </c>
    </row>
    <row r="17" spans="2:30" s="224" customFormat="1" ht="15.75" customHeight="1" thickBot="1">
      <c r="B17" s="1030"/>
      <c r="C17" s="1025"/>
      <c r="D17" s="1025"/>
      <c r="E17" s="1026"/>
      <c r="F17" s="1025"/>
      <c r="G17" s="1025"/>
      <c r="H17" s="1025"/>
      <c r="I17" s="1027"/>
      <c r="J17" s="1027"/>
      <c r="K17" s="1027"/>
      <c r="L17" s="1027"/>
      <c r="M17" s="1027"/>
      <c r="N17" s="1027"/>
      <c r="O17" s="1027"/>
      <c r="P17" s="1027"/>
      <c r="Q17" s="1027"/>
      <c r="R17" s="1027"/>
      <c r="S17" s="1027"/>
      <c r="T17" s="1027"/>
      <c r="U17" s="1027"/>
      <c r="V17" s="1027"/>
      <c r="W17" s="1027"/>
      <c r="X17" s="1027"/>
      <c r="Y17" s="1027"/>
      <c r="Z17" s="1027"/>
      <c r="AA17" s="1031"/>
      <c r="AB17" s="1031"/>
      <c r="AC17" s="1031"/>
      <c r="AD17" s="3370"/>
    </row>
    <row r="18" spans="2:30" ht="28.25" customHeight="1" thickBot="1">
      <c r="B18" s="5812" t="s">
        <v>142</v>
      </c>
      <c r="C18" s="5813"/>
      <c r="D18" s="5813"/>
      <c r="E18" s="5813"/>
      <c r="F18" s="5813"/>
      <c r="G18" s="5813"/>
      <c r="H18" s="5813"/>
      <c r="I18" s="5813"/>
      <c r="J18" s="5813"/>
      <c r="K18" s="5813"/>
      <c r="L18" s="5813"/>
      <c r="M18" s="5813"/>
      <c r="N18" s="5813"/>
      <c r="O18" s="5813"/>
      <c r="P18" s="5813"/>
      <c r="Q18" s="5813"/>
      <c r="R18" s="5813"/>
      <c r="S18" s="5813"/>
      <c r="T18" s="5813"/>
      <c r="U18" s="5813"/>
      <c r="V18" s="5813"/>
      <c r="W18" s="5813"/>
      <c r="X18" s="5813"/>
      <c r="Y18" s="5813"/>
      <c r="Z18" s="5813"/>
      <c r="AA18" s="5813"/>
      <c r="AB18" s="5813"/>
      <c r="AC18" s="5813"/>
      <c r="AD18" s="5814"/>
    </row>
    <row r="19" spans="2:30" ht="25.9" thickBot="1">
      <c r="B19" s="1024"/>
      <c r="C19" s="1032">
        <v>1996</v>
      </c>
      <c r="D19" s="1032">
        <v>1997</v>
      </c>
      <c r="E19" s="1026">
        <v>1998</v>
      </c>
      <c r="F19" s="1026">
        <v>1999</v>
      </c>
      <c r="G19" s="1026">
        <v>2000</v>
      </c>
      <c r="H19" s="1026">
        <v>2001</v>
      </c>
      <c r="I19" s="1033">
        <v>2002</v>
      </c>
      <c r="J19" s="1033">
        <v>2003</v>
      </c>
      <c r="K19" s="352">
        <v>2004</v>
      </c>
      <c r="L19" s="352">
        <v>2005</v>
      </c>
      <c r="M19" s="352">
        <v>2006</v>
      </c>
      <c r="N19" s="352">
        <v>2007</v>
      </c>
      <c r="O19" s="352">
        <v>2008</v>
      </c>
      <c r="P19" s="248">
        <v>2009</v>
      </c>
      <c r="Q19" s="1034">
        <v>2010</v>
      </c>
      <c r="R19" s="1034">
        <v>2011</v>
      </c>
      <c r="S19" s="1034">
        <v>2012</v>
      </c>
      <c r="T19" s="1034">
        <v>2013</v>
      </c>
      <c r="U19" s="1034">
        <v>2014</v>
      </c>
      <c r="V19" s="1034">
        <v>2015</v>
      </c>
      <c r="W19" s="352">
        <v>2016</v>
      </c>
      <c r="X19" s="352">
        <v>2017</v>
      </c>
      <c r="Y19" s="1035">
        <v>2018</v>
      </c>
      <c r="Z19" s="1036">
        <v>2019</v>
      </c>
      <c r="AA19" s="1055">
        <v>2020</v>
      </c>
      <c r="AB19" s="1035">
        <v>2021</v>
      </c>
      <c r="AC19" s="1035">
        <v>2022</v>
      </c>
      <c r="AD19" s="3110">
        <v>2023</v>
      </c>
    </row>
    <row r="20" spans="2:30" ht="28.25" customHeight="1">
      <c r="B20" s="1016" t="s">
        <v>138</v>
      </c>
      <c r="I20" s="1017"/>
      <c r="J20" s="1017"/>
      <c r="K20" s="1017"/>
      <c r="M20" s="1017"/>
      <c r="O20" s="1018"/>
      <c r="P20" s="1019"/>
      <c r="Q20" s="1018"/>
      <c r="R20" s="1018"/>
      <c r="S20" s="1020"/>
      <c r="T20" s="1037"/>
      <c r="U20" s="1037"/>
      <c r="V20" s="1018"/>
      <c r="W20" s="1017"/>
      <c r="X20" s="1017"/>
      <c r="Y20" s="1022"/>
      <c r="Z20" s="452"/>
      <c r="AA20" s="1058"/>
      <c r="AB20" s="1022"/>
      <c r="AC20" s="1022"/>
      <c r="AD20" s="82"/>
    </row>
    <row r="21" spans="2:30" ht="28.25" customHeight="1">
      <c r="B21" s="1016" t="s">
        <v>139</v>
      </c>
      <c r="C21" s="78">
        <v>16662</v>
      </c>
      <c r="D21" s="78">
        <v>15790</v>
      </c>
      <c r="E21" s="78">
        <v>19001</v>
      </c>
      <c r="F21" s="78">
        <v>20124</v>
      </c>
      <c r="G21" s="78">
        <v>20220</v>
      </c>
      <c r="H21" s="78">
        <v>21122</v>
      </c>
      <c r="I21" s="249">
        <v>21780</v>
      </c>
      <c r="J21" s="249">
        <v>20270</v>
      </c>
      <c r="K21" s="249">
        <v>21284</v>
      </c>
      <c r="L21" s="250">
        <v>19146</v>
      </c>
      <c r="M21" s="249">
        <v>21184</v>
      </c>
      <c r="N21" s="250">
        <v>13329</v>
      </c>
      <c r="O21" s="1019">
        <v>12409</v>
      </c>
      <c r="P21" s="1019">
        <v>10206</v>
      </c>
      <c r="Q21" s="1019">
        <v>10674</v>
      </c>
      <c r="R21" s="1019">
        <v>10604</v>
      </c>
      <c r="S21" s="249">
        <v>10139</v>
      </c>
      <c r="T21" s="249">
        <v>7616</v>
      </c>
      <c r="U21" s="249">
        <v>6732</v>
      </c>
      <c r="V21" s="1019">
        <v>5276</v>
      </c>
      <c r="W21" s="249">
        <v>5800</v>
      </c>
      <c r="X21" s="249">
        <v>5750</v>
      </c>
      <c r="Y21" s="249">
        <v>5937</v>
      </c>
      <c r="Z21" s="249">
        <v>6064</v>
      </c>
      <c r="AA21" s="84">
        <v>2182</v>
      </c>
      <c r="AB21" s="86">
        <v>1826</v>
      </c>
      <c r="AC21" s="86">
        <v>1764</v>
      </c>
      <c r="AD21" s="4214">
        <v>4311</v>
      </c>
    </row>
    <row r="22" spans="2:30" ht="28.25" customHeight="1">
      <c r="B22" s="1016"/>
      <c r="C22" s="78"/>
      <c r="D22" s="78"/>
      <c r="E22" s="78"/>
      <c r="F22" s="78"/>
      <c r="G22" s="78"/>
      <c r="H22" s="78"/>
      <c r="I22" s="249"/>
      <c r="J22" s="249"/>
      <c r="K22" s="249"/>
      <c r="L22" s="250"/>
      <c r="M22" s="249"/>
      <c r="N22" s="250"/>
      <c r="O22" s="1019"/>
      <c r="P22" s="1019"/>
      <c r="Q22" s="1018"/>
      <c r="R22" s="1018"/>
      <c r="S22" s="1017"/>
      <c r="T22" s="1037"/>
      <c r="U22" s="1037"/>
      <c r="V22" s="1018"/>
      <c r="W22" s="249"/>
      <c r="X22" s="249"/>
      <c r="Y22" s="249"/>
      <c r="Z22" s="249"/>
      <c r="AA22" s="84"/>
      <c r="AB22" s="86"/>
      <c r="AC22" s="86"/>
      <c r="AD22" s="3458"/>
    </row>
    <row r="23" spans="2:30" ht="28.25" customHeight="1">
      <c r="B23" s="1016" t="s">
        <v>140</v>
      </c>
      <c r="C23" s="78"/>
      <c r="D23" s="78"/>
      <c r="E23" s="78"/>
      <c r="F23" s="78"/>
      <c r="G23" s="78"/>
      <c r="H23" s="78"/>
      <c r="I23" s="249"/>
      <c r="J23" s="249"/>
      <c r="K23" s="249"/>
      <c r="L23" s="250"/>
      <c r="M23" s="249"/>
      <c r="N23" s="250"/>
      <c r="O23" s="1019"/>
      <c r="P23" s="1019"/>
      <c r="Q23" s="1018"/>
      <c r="R23" s="1018"/>
      <c r="S23" s="1017"/>
      <c r="T23" s="1037"/>
      <c r="U23" s="1037"/>
      <c r="V23" s="1018"/>
      <c r="W23" s="249"/>
      <c r="X23" s="249"/>
      <c r="Y23" s="249"/>
      <c r="Z23" s="249"/>
      <c r="AA23" s="84"/>
      <c r="AB23" s="86"/>
      <c r="AC23" s="86"/>
      <c r="AD23" s="3458"/>
    </row>
    <row r="24" spans="2:30" ht="28.25" customHeight="1">
      <c r="B24" s="1016" t="s">
        <v>139</v>
      </c>
      <c r="C24" s="78">
        <v>9702</v>
      </c>
      <c r="D24" s="78">
        <v>11536</v>
      </c>
      <c r="E24" s="78">
        <v>7332</v>
      </c>
      <c r="F24" s="78">
        <v>7326</v>
      </c>
      <c r="G24" s="78">
        <v>7904</v>
      </c>
      <c r="H24" s="78">
        <v>8532</v>
      </c>
      <c r="I24" s="249">
        <v>8400</v>
      </c>
      <c r="J24" s="249">
        <v>10767</v>
      </c>
      <c r="K24" s="249">
        <v>11698</v>
      </c>
      <c r="L24" s="250">
        <v>11866</v>
      </c>
      <c r="M24" s="249">
        <v>12214</v>
      </c>
      <c r="N24" s="250">
        <v>13024</v>
      </c>
      <c r="O24" s="1019">
        <v>12460</v>
      </c>
      <c r="P24" s="1019">
        <v>10186</v>
      </c>
      <c r="Q24" s="1019">
        <v>11745</v>
      </c>
      <c r="R24" s="1019">
        <v>11024</v>
      </c>
      <c r="S24" s="249">
        <v>11927</v>
      </c>
      <c r="T24" s="249">
        <v>11091</v>
      </c>
      <c r="U24" s="249">
        <v>11368</v>
      </c>
      <c r="V24" s="1019">
        <v>10275</v>
      </c>
      <c r="W24" s="249">
        <v>10182</v>
      </c>
      <c r="X24" s="249">
        <v>11421</v>
      </c>
      <c r="Y24" s="249">
        <v>10906</v>
      </c>
      <c r="Z24" s="249">
        <v>10463</v>
      </c>
      <c r="AA24" s="84">
        <v>5975</v>
      </c>
      <c r="AB24" s="86">
        <v>5478</v>
      </c>
      <c r="AC24" s="86">
        <v>4227</v>
      </c>
      <c r="AD24" s="4214">
        <v>7187</v>
      </c>
    </row>
    <row r="25" spans="2:30" ht="28.25" customHeight="1">
      <c r="B25" s="1016"/>
      <c r="C25" s="78"/>
      <c r="D25" s="78"/>
      <c r="E25" s="78"/>
      <c r="F25" s="78"/>
      <c r="G25" s="78"/>
      <c r="H25" s="78"/>
      <c r="I25" s="249"/>
      <c r="J25" s="249"/>
      <c r="K25" s="249"/>
      <c r="L25" s="250"/>
      <c r="M25" s="249"/>
      <c r="N25" s="250"/>
      <c r="O25" s="1019"/>
      <c r="P25" s="1019"/>
      <c r="Q25" s="1018"/>
      <c r="R25" s="1018"/>
      <c r="S25" s="1017"/>
      <c r="T25" s="1037"/>
      <c r="U25" s="1037"/>
      <c r="V25" s="1018"/>
      <c r="W25" s="249"/>
      <c r="X25" s="249"/>
      <c r="Y25" s="249"/>
      <c r="Z25" s="249"/>
      <c r="AA25" s="84"/>
      <c r="AB25" s="86"/>
      <c r="AC25" s="86"/>
      <c r="AD25" s="3458"/>
    </row>
    <row r="26" spans="2:30" ht="28.25" customHeight="1">
      <c r="B26" s="1016" t="s">
        <v>141</v>
      </c>
      <c r="C26" s="78"/>
      <c r="D26" s="78"/>
      <c r="E26" s="78"/>
      <c r="F26" s="78"/>
      <c r="G26" s="78"/>
      <c r="H26" s="78"/>
      <c r="I26" s="249"/>
      <c r="J26" s="249"/>
      <c r="K26" s="249"/>
      <c r="L26" s="250"/>
      <c r="M26" s="249"/>
      <c r="N26" s="250"/>
      <c r="O26" s="1019"/>
      <c r="P26" s="1019"/>
      <c r="Q26" s="1018"/>
      <c r="R26" s="1018"/>
      <c r="S26" s="1017"/>
      <c r="T26" s="1037"/>
      <c r="U26" s="1037"/>
      <c r="V26" s="1018"/>
      <c r="W26" s="249"/>
      <c r="X26" s="249"/>
      <c r="Y26" s="249"/>
      <c r="Z26" s="249"/>
      <c r="AA26" s="84"/>
      <c r="AB26" s="86"/>
      <c r="AC26" s="86"/>
      <c r="AD26" s="3458"/>
    </row>
    <row r="27" spans="2:30" ht="28.25" customHeight="1">
      <c r="B27" s="1016" t="s">
        <v>139</v>
      </c>
      <c r="C27" s="78">
        <v>2267</v>
      </c>
      <c r="D27" s="78">
        <v>1717</v>
      </c>
      <c r="E27" s="78">
        <v>2592</v>
      </c>
      <c r="F27" s="78">
        <v>3518</v>
      </c>
      <c r="G27" s="78">
        <v>4814</v>
      </c>
      <c r="H27" s="78">
        <v>3762</v>
      </c>
      <c r="I27" s="249">
        <v>2310</v>
      </c>
      <c r="J27" s="249">
        <v>1741</v>
      </c>
      <c r="K27" s="249">
        <v>1562</v>
      </c>
      <c r="L27" s="250">
        <v>1510</v>
      </c>
      <c r="M27" s="249">
        <v>1462</v>
      </c>
      <c r="N27" s="250">
        <v>1850</v>
      </c>
      <c r="O27" s="1019">
        <v>1822</v>
      </c>
      <c r="P27" s="1019">
        <v>1820</v>
      </c>
      <c r="Q27" s="1019">
        <v>1723</v>
      </c>
      <c r="R27" s="1019">
        <v>1393</v>
      </c>
      <c r="S27" s="249">
        <v>1115</v>
      </c>
      <c r="T27" s="249">
        <v>1424</v>
      </c>
      <c r="U27" s="249">
        <v>1707</v>
      </c>
      <c r="V27" s="1019">
        <v>1582</v>
      </c>
      <c r="W27" s="249">
        <v>1586</v>
      </c>
      <c r="X27" s="249">
        <v>1349</v>
      </c>
      <c r="Y27" s="249">
        <v>1567</v>
      </c>
      <c r="Z27" s="249">
        <v>1399</v>
      </c>
      <c r="AA27" s="84">
        <v>893</v>
      </c>
      <c r="AB27" s="86">
        <v>356</v>
      </c>
      <c r="AC27" s="86">
        <v>181</v>
      </c>
      <c r="AD27" s="3458">
        <v>397</v>
      </c>
    </row>
    <row r="28" spans="2:30" ht="15" customHeight="1" thickBot="1">
      <c r="B28" s="1016"/>
      <c r="C28" s="78"/>
      <c r="D28" s="78"/>
      <c r="E28" s="78"/>
      <c r="F28" s="78"/>
      <c r="G28" s="78"/>
      <c r="H28" s="78"/>
      <c r="I28" s="250"/>
      <c r="J28" s="250"/>
      <c r="K28" s="249"/>
      <c r="L28" s="250"/>
      <c r="M28" s="249"/>
      <c r="N28" s="250"/>
      <c r="O28" s="249"/>
      <c r="Q28" s="249"/>
      <c r="R28" s="250"/>
      <c r="S28" s="249"/>
      <c r="T28" s="1037"/>
      <c r="U28" s="1037"/>
      <c r="V28" s="1018"/>
      <c r="W28" s="1017"/>
      <c r="X28" s="1017"/>
      <c r="Y28" s="1022"/>
      <c r="Z28" s="1023"/>
      <c r="AA28" s="1059"/>
      <c r="AB28" s="2638"/>
      <c r="AC28" s="2968"/>
      <c r="AD28" s="2971"/>
    </row>
    <row r="29" spans="2:30" s="224" customFormat="1" ht="28.25" customHeight="1" thickBot="1">
      <c r="B29" s="1024" t="s">
        <v>394</v>
      </c>
      <c r="C29" s="1025"/>
      <c r="D29" s="1025"/>
      <c r="E29" s="1025"/>
      <c r="F29" s="1025"/>
      <c r="G29" s="1025"/>
      <c r="H29" s="1025"/>
      <c r="I29" s="1027"/>
      <c r="J29" s="1027"/>
      <c r="K29" s="1028">
        <f>K27+K24+K21</f>
        <v>34544</v>
      </c>
      <c r="L29" s="1028">
        <f t="shared" ref="L29:AD29" si="5">L27+L24+L21</f>
        <v>32522</v>
      </c>
      <c r="M29" s="1028">
        <f t="shared" si="5"/>
        <v>34860</v>
      </c>
      <c r="N29" s="1028">
        <f t="shared" si="5"/>
        <v>28203</v>
      </c>
      <c r="O29" s="1028">
        <f t="shared" si="5"/>
        <v>26691</v>
      </c>
      <c r="P29" s="1028">
        <f t="shared" si="5"/>
        <v>22212</v>
      </c>
      <c r="Q29" s="1028">
        <f t="shared" si="5"/>
        <v>24142</v>
      </c>
      <c r="R29" s="1028">
        <f t="shared" si="5"/>
        <v>23021</v>
      </c>
      <c r="S29" s="1028">
        <f t="shared" si="5"/>
        <v>23181</v>
      </c>
      <c r="T29" s="1028">
        <f t="shared" si="5"/>
        <v>20131</v>
      </c>
      <c r="U29" s="1028">
        <f t="shared" si="5"/>
        <v>19807</v>
      </c>
      <c r="V29" s="1028">
        <f t="shared" si="5"/>
        <v>17133</v>
      </c>
      <c r="W29" s="1028">
        <f t="shared" si="5"/>
        <v>17568</v>
      </c>
      <c r="X29" s="1028">
        <f t="shared" si="5"/>
        <v>18520</v>
      </c>
      <c r="Y29" s="1028">
        <f t="shared" si="5"/>
        <v>18410</v>
      </c>
      <c r="Z29" s="1028">
        <f t="shared" si="5"/>
        <v>17926</v>
      </c>
      <c r="AA29" s="1057">
        <f t="shared" si="5"/>
        <v>9050</v>
      </c>
      <c r="AB29" s="2639">
        <f t="shared" si="5"/>
        <v>7660</v>
      </c>
      <c r="AC29" s="2639">
        <f t="shared" si="5"/>
        <v>6172</v>
      </c>
      <c r="AD29" s="3371">
        <f t="shared" si="5"/>
        <v>11895</v>
      </c>
    </row>
    <row r="30" spans="2:30" s="224" customFormat="1" ht="19.5" customHeight="1" thickBot="1">
      <c r="B30" s="1030"/>
      <c r="C30" s="1025"/>
      <c r="D30" s="1025"/>
      <c r="E30" s="1025"/>
      <c r="F30" s="1025"/>
      <c r="G30" s="1025"/>
      <c r="H30" s="1025"/>
      <c r="I30" s="1027"/>
      <c r="J30" s="1027"/>
      <c r="K30" s="1027"/>
      <c r="L30" s="1027"/>
      <c r="M30" s="1027"/>
      <c r="N30" s="1027"/>
      <c r="O30" s="1027"/>
      <c r="P30" s="1027"/>
      <c r="Q30" s="1027"/>
      <c r="R30" s="1027"/>
      <c r="S30" s="1027"/>
      <c r="T30" s="1027"/>
      <c r="U30" s="1027"/>
      <c r="V30" s="1027"/>
      <c r="W30" s="1027"/>
      <c r="X30" s="1027"/>
      <c r="Y30" s="1027"/>
      <c r="Z30" s="1027"/>
      <c r="AA30" s="1031"/>
      <c r="AB30" s="1031"/>
      <c r="AC30" s="1031"/>
      <c r="AD30" s="3370"/>
    </row>
    <row r="31" spans="2:30" ht="28.25" customHeight="1" thickBot="1">
      <c r="B31" s="5815" t="s">
        <v>143</v>
      </c>
      <c r="C31" s="5816"/>
      <c r="D31" s="5816"/>
      <c r="E31" s="5816"/>
      <c r="F31" s="5816"/>
      <c r="G31" s="5816"/>
      <c r="H31" s="5816"/>
      <c r="I31" s="5816"/>
      <c r="J31" s="5816"/>
      <c r="K31" s="5816"/>
      <c r="L31" s="5816"/>
      <c r="M31" s="5816"/>
      <c r="N31" s="5816"/>
      <c r="O31" s="5816"/>
      <c r="P31" s="5816"/>
      <c r="Q31" s="5816"/>
      <c r="R31" s="5816"/>
      <c r="S31" s="5816"/>
      <c r="T31" s="5816"/>
      <c r="U31" s="5816"/>
      <c r="V31" s="5816"/>
      <c r="W31" s="5816"/>
      <c r="X31" s="5816"/>
      <c r="Y31" s="5816"/>
      <c r="Z31" s="5816"/>
      <c r="AA31" s="5816"/>
      <c r="AB31" s="5816"/>
      <c r="AC31" s="5816"/>
      <c r="AD31" s="5817"/>
    </row>
    <row r="32" spans="2:30" ht="25.9" thickBot="1">
      <c r="B32" s="1024"/>
      <c r="C32" s="1038">
        <v>1996</v>
      </c>
      <c r="D32" s="1038">
        <v>1997</v>
      </c>
      <c r="E32" s="1038">
        <v>1998</v>
      </c>
      <c r="F32" s="1038">
        <v>1999</v>
      </c>
      <c r="G32" s="1038">
        <v>2000</v>
      </c>
      <c r="H32" s="1038">
        <v>2001</v>
      </c>
      <c r="I32" s="1039">
        <v>2002</v>
      </c>
      <c r="J32" s="1039">
        <v>2003</v>
      </c>
      <c r="K32" s="1039">
        <v>2004</v>
      </c>
      <c r="L32" s="1040">
        <v>2005</v>
      </c>
      <c r="M32" s="1039">
        <v>2006</v>
      </c>
      <c r="N32" s="1040">
        <v>2007</v>
      </c>
      <c r="O32" s="1041">
        <v>2008</v>
      </c>
      <c r="P32" s="1042">
        <v>2009</v>
      </c>
      <c r="Q32" s="1042">
        <v>2010</v>
      </c>
      <c r="R32" s="1042">
        <v>2011</v>
      </c>
      <c r="S32" s="1042">
        <v>2012</v>
      </c>
      <c r="T32" s="1042">
        <v>2013</v>
      </c>
      <c r="U32" s="1042">
        <v>2014</v>
      </c>
      <c r="V32" s="1042">
        <v>2015</v>
      </c>
      <c r="W32" s="248">
        <v>2016</v>
      </c>
      <c r="X32" s="352">
        <v>2017</v>
      </c>
      <c r="Y32" s="1043">
        <v>2018</v>
      </c>
      <c r="Z32" s="1036">
        <v>2019</v>
      </c>
      <c r="AA32" s="1055">
        <v>2020</v>
      </c>
      <c r="AB32" s="1035">
        <v>2021</v>
      </c>
      <c r="AC32" s="1035">
        <v>2022</v>
      </c>
      <c r="AD32" s="3372">
        <v>2023</v>
      </c>
    </row>
    <row r="33" spans="2:30" ht="28.25" customHeight="1">
      <c r="B33" s="1016" t="s">
        <v>138</v>
      </c>
      <c r="I33" s="1017"/>
      <c r="J33" s="1017"/>
      <c r="K33" s="1017"/>
      <c r="M33" s="1017"/>
      <c r="O33" s="1018"/>
      <c r="P33" s="1019"/>
      <c r="Q33" s="1018"/>
      <c r="R33" s="1018"/>
      <c r="S33" s="1020"/>
      <c r="T33" s="1037"/>
      <c r="U33" s="1037"/>
      <c r="V33" s="1044"/>
      <c r="W33" s="1045"/>
      <c r="X33" s="1037"/>
      <c r="Y33" s="1046"/>
      <c r="Z33" s="1047"/>
      <c r="AA33" s="1060"/>
      <c r="AB33" s="2640"/>
      <c r="AC33" s="2969"/>
      <c r="AD33" s="82"/>
    </row>
    <row r="34" spans="2:30" ht="28.25" customHeight="1">
      <c r="B34" s="1016" t="s">
        <v>139</v>
      </c>
      <c r="C34" s="78">
        <v>3307</v>
      </c>
      <c r="D34" s="78">
        <v>3639</v>
      </c>
      <c r="E34" s="78">
        <v>4805</v>
      </c>
      <c r="F34" s="78">
        <v>4764</v>
      </c>
      <c r="G34" s="78">
        <v>4127</v>
      </c>
      <c r="H34" s="78">
        <v>2955</v>
      </c>
      <c r="I34" s="249">
        <v>2719</v>
      </c>
      <c r="J34" s="249">
        <v>2682</v>
      </c>
      <c r="K34" s="249">
        <v>2948</v>
      </c>
      <c r="L34" s="250">
        <v>2784</v>
      </c>
      <c r="M34" s="249">
        <v>3245</v>
      </c>
      <c r="N34" s="250">
        <v>3044</v>
      </c>
      <c r="O34" s="1019">
        <v>3014</v>
      </c>
      <c r="P34" s="1019">
        <v>3117</v>
      </c>
      <c r="Q34" s="1019">
        <v>4247</v>
      </c>
      <c r="R34" s="1019">
        <v>4210</v>
      </c>
      <c r="S34" s="249">
        <v>4180</v>
      </c>
      <c r="T34" s="249">
        <v>4412</v>
      </c>
      <c r="U34" s="249">
        <v>5254</v>
      </c>
      <c r="V34" s="1019">
        <v>5496</v>
      </c>
      <c r="W34" s="249">
        <v>5712</v>
      </c>
      <c r="X34" s="249">
        <v>5777</v>
      </c>
      <c r="Y34" s="249">
        <v>5911</v>
      </c>
      <c r="Z34" s="249">
        <v>6204</v>
      </c>
      <c r="AA34" s="84">
        <v>2598</v>
      </c>
      <c r="AB34" s="86">
        <v>3592</v>
      </c>
      <c r="AC34" s="86">
        <v>3853</v>
      </c>
      <c r="AD34" s="4214">
        <v>5312</v>
      </c>
    </row>
    <row r="35" spans="2:30" ht="28.25" customHeight="1">
      <c r="B35" s="1016"/>
      <c r="C35" s="78"/>
      <c r="D35" s="78"/>
      <c r="E35" s="78"/>
      <c r="F35" s="78"/>
      <c r="G35" s="78"/>
      <c r="H35" s="78"/>
      <c r="I35" s="249"/>
      <c r="J35" s="249"/>
      <c r="K35" s="249"/>
      <c r="L35" s="250"/>
      <c r="M35" s="249"/>
      <c r="N35" s="250"/>
      <c r="O35" s="1019"/>
      <c r="P35" s="1019"/>
      <c r="Q35" s="1018"/>
      <c r="R35" s="1018"/>
      <c r="S35" s="1017"/>
      <c r="T35" s="1037"/>
      <c r="U35" s="1037"/>
      <c r="V35" s="1018"/>
      <c r="W35" s="249"/>
      <c r="X35" s="249"/>
      <c r="Y35" s="249"/>
      <c r="Z35" s="249"/>
      <c r="AA35" s="84"/>
      <c r="AB35" s="86"/>
      <c r="AC35" s="86"/>
      <c r="AD35" s="3458"/>
    </row>
    <row r="36" spans="2:30" ht="28.25" customHeight="1">
      <c r="B36" s="1016" t="s">
        <v>140</v>
      </c>
      <c r="C36" s="78"/>
      <c r="D36" s="78"/>
      <c r="E36" s="78"/>
      <c r="F36" s="78"/>
      <c r="G36" s="78"/>
      <c r="H36" s="78"/>
      <c r="I36" s="249"/>
      <c r="J36" s="249"/>
      <c r="K36" s="249"/>
      <c r="L36" s="250"/>
      <c r="M36" s="249"/>
      <c r="N36" s="250"/>
      <c r="O36" s="1019"/>
      <c r="P36" s="1019"/>
      <c r="Q36" s="1018"/>
      <c r="R36" s="1018"/>
      <c r="S36" s="1017"/>
      <c r="T36" s="1037"/>
      <c r="U36" s="1037"/>
      <c r="V36" s="1018"/>
      <c r="W36" s="249"/>
      <c r="X36" s="249"/>
      <c r="Y36" s="249"/>
      <c r="Z36" s="249"/>
      <c r="AA36" s="84"/>
      <c r="AB36" s="86"/>
      <c r="AC36" s="86"/>
      <c r="AD36" s="3458"/>
    </row>
    <row r="37" spans="2:30" ht="28.25" customHeight="1">
      <c r="B37" s="1016" t="s">
        <v>139</v>
      </c>
      <c r="C37" s="78">
        <v>7347</v>
      </c>
      <c r="D37" s="78">
        <v>6301</v>
      </c>
      <c r="E37" s="78">
        <v>4778</v>
      </c>
      <c r="F37" s="78">
        <v>5774</v>
      </c>
      <c r="G37" s="78">
        <v>5158</v>
      </c>
      <c r="H37" s="78">
        <v>5406</v>
      </c>
      <c r="I37" s="249">
        <v>5057</v>
      </c>
      <c r="J37" s="249">
        <v>5741</v>
      </c>
      <c r="K37" s="249">
        <v>6305</v>
      </c>
      <c r="L37" s="250">
        <v>8182</v>
      </c>
      <c r="M37" s="249">
        <v>8504</v>
      </c>
      <c r="N37" s="250">
        <v>7833</v>
      </c>
      <c r="O37" s="1019">
        <v>7988</v>
      </c>
      <c r="P37" s="1019">
        <v>5998</v>
      </c>
      <c r="Q37" s="1019">
        <v>7479</v>
      </c>
      <c r="R37" s="1019">
        <v>8379</v>
      </c>
      <c r="S37" s="249">
        <v>8486</v>
      </c>
      <c r="T37" s="249">
        <v>8362</v>
      </c>
      <c r="U37" s="249">
        <v>8738</v>
      </c>
      <c r="V37" s="1019">
        <v>8750</v>
      </c>
      <c r="W37" s="249">
        <v>9452</v>
      </c>
      <c r="X37" s="249">
        <v>10033</v>
      </c>
      <c r="Y37" s="249">
        <v>10531</v>
      </c>
      <c r="Z37" s="249">
        <v>9904</v>
      </c>
      <c r="AA37" s="84">
        <v>4420</v>
      </c>
      <c r="AB37" s="86">
        <v>6484</v>
      </c>
      <c r="AC37" s="86">
        <v>5159</v>
      </c>
      <c r="AD37" s="4214">
        <v>8412</v>
      </c>
    </row>
    <row r="38" spans="2:30" ht="28.25" customHeight="1">
      <c r="B38" s="1016"/>
      <c r="C38" s="78"/>
      <c r="D38" s="78"/>
      <c r="E38" s="78"/>
      <c r="F38" s="78"/>
      <c r="G38" s="78"/>
      <c r="H38" s="78"/>
      <c r="I38" s="249"/>
      <c r="J38" s="249"/>
      <c r="K38" s="249"/>
      <c r="L38" s="250"/>
      <c r="M38" s="249"/>
      <c r="N38" s="250"/>
      <c r="O38" s="1019"/>
      <c r="P38" s="1019"/>
      <c r="Q38" s="1018"/>
      <c r="R38" s="1018"/>
      <c r="S38" s="1017"/>
      <c r="T38" s="1037"/>
      <c r="U38" s="1037"/>
      <c r="V38" s="1018"/>
      <c r="W38" s="249"/>
      <c r="X38" s="249"/>
      <c r="Y38" s="249"/>
      <c r="Z38" s="249"/>
      <c r="AA38" s="84"/>
      <c r="AB38" s="86"/>
      <c r="AC38" s="86"/>
      <c r="AD38" s="3458"/>
    </row>
    <row r="39" spans="2:30" ht="28.25" customHeight="1">
      <c r="B39" s="1016" t="s">
        <v>141</v>
      </c>
      <c r="C39" s="78"/>
      <c r="D39" s="78"/>
      <c r="E39" s="78"/>
      <c r="F39" s="78"/>
      <c r="G39" s="78"/>
      <c r="H39" s="78"/>
      <c r="I39" s="249"/>
      <c r="J39" s="249"/>
      <c r="K39" s="249"/>
      <c r="L39" s="250"/>
      <c r="M39" s="249"/>
      <c r="N39" s="250"/>
      <c r="O39" s="1019"/>
      <c r="P39" s="1019"/>
      <c r="Q39" s="1018"/>
      <c r="R39" s="1018"/>
      <c r="S39" s="1017"/>
      <c r="T39" s="1037"/>
      <c r="U39" s="1037"/>
      <c r="V39" s="1018"/>
      <c r="W39" s="249"/>
      <c r="X39" s="249"/>
      <c r="Y39" s="249"/>
      <c r="Z39" s="249"/>
      <c r="AA39" s="84"/>
      <c r="AB39" s="86"/>
      <c r="AC39" s="86"/>
      <c r="AD39" s="3458"/>
    </row>
    <row r="40" spans="2:30" ht="28.25" customHeight="1">
      <c r="B40" s="1016" t="s">
        <v>139</v>
      </c>
      <c r="C40" s="78">
        <v>5465</v>
      </c>
      <c r="D40" s="78">
        <v>3996</v>
      </c>
      <c r="E40" s="78">
        <v>3907</v>
      </c>
      <c r="F40" s="78">
        <v>872</v>
      </c>
      <c r="G40" s="78">
        <v>819</v>
      </c>
      <c r="H40" s="78">
        <v>1112</v>
      </c>
      <c r="I40" s="249">
        <v>586</v>
      </c>
      <c r="J40" s="249">
        <v>613</v>
      </c>
      <c r="K40" s="249">
        <v>758</v>
      </c>
      <c r="L40" s="250">
        <v>973</v>
      </c>
      <c r="M40" s="1019">
        <v>1220</v>
      </c>
      <c r="N40" s="249">
        <v>1347</v>
      </c>
      <c r="O40" s="250">
        <v>1140</v>
      </c>
      <c r="P40" s="1019">
        <v>965</v>
      </c>
      <c r="Q40" s="1019">
        <v>1015</v>
      </c>
      <c r="R40" s="1019">
        <v>936</v>
      </c>
      <c r="S40" s="249">
        <v>826</v>
      </c>
      <c r="T40" s="249">
        <v>876</v>
      </c>
      <c r="U40" s="249">
        <v>1064</v>
      </c>
      <c r="V40" s="1019">
        <v>1079</v>
      </c>
      <c r="W40" s="249">
        <v>994</v>
      </c>
      <c r="X40" s="249">
        <v>1281</v>
      </c>
      <c r="Y40" s="249">
        <v>1143</v>
      </c>
      <c r="Z40" s="249">
        <v>961</v>
      </c>
      <c r="AA40" s="84">
        <v>919</v>
      </c>
      <c r="AB40" s="86">
        <v>26</v>
      </c>
      <c r="AC40" s="86">
        <v>14</v>
      </c>
      <c r="AD40" s="3458">
        <v>98</v>
      </c>
    </row>
    <row r="41" spans="2:30" ht="17.25" customHeight="1" thickBot="1">
      <c r="B41" s="1016"/>
      <c r="C41" s="78"/>
      <c r="D41" s="78"/>
      <c r="E41" s="78"/>
      <c r="F41" s="78"/>
      <c r="G41" s="78"/>
      <c r="H41" s="78"/>
      <c r="I41" s="250"/>
      <c r="J41" s="250"/>
      <c r="K41" s="249"/>
      <c r="L41" s="249"/>
      <c r="M41" s="250"/>
      <c r="N41" s="249"/>
      <c r="O41" s="250"/>
      <c r="P41" s="249"/>
      <c r="Q41" s="250"/>
      <c r="R41" s="249"/>
      <c r="S41" s="249"/>
      <c r="T41" s="1037"/>
      <c r="U41" s="1037"/>
      <c r="V41" s="1018"/>
      <c r="W41" s="1017"/>
      <c r="X41" s="1017"/>
      <c r="Y41" s="1046"/>
      <c r="Z41" s="452"/>
      <c r="AA41" s="1059"/>
      <c r="AB41" s="1022"/>
      <c r="AC41" s="1022"/>
      <c r="AD41" s="82"/>
    </row>
    <row r="42" spans="2:30" ht="28.25" customHeight="1" thickBot="1">
      <c r="B42" s="1024" t="s">
        <v>394</v>
      </c>
      <c r="C42" s="1048"/>
      <c r="D42" s="1048"/>
      <c r="E42" s="1048"/>
      <c r="F42" s="1048"/>
      <c r="G42" s="1048"/>
      <c r="H42" s="1048"/>
      <c r="I42" s="1049"/>
      <c r="J42" s="1049"/>
      <c r="K42" s="1028">
        <f>K40+K37+K34</f>
        <v>10011</v>
      </c>
      <c r="L42" s="1028">
        <f t="shared" ref="L42:S42" si="6">L40+L37+L34</f>
        <v>11939</v>
      </c>
      <c r="M42" s="1028">
        <f t="shared" si="6"/>
        <v>12969</v>
      </c>
      <c r="N42" s="1028">
        <f t="shared" si="6"/>
        <v>12224</v>
      </c>
      <c r="O42" s="1028">
        <f t="shared" si="6"/>
        <v>12142</v>
      </c>
      <c r="P42" s="1028">
        <f t="shared" si="6"/>
        <v>10080</v>
      </c>
      <c r="Q42" s="1028">
        <f t="shared" si="6"/>
        <v>12741</v>
      </c>
      <c r="R42" s="1028">
        <f t="shared" si="6"/>
        <v>13525</v>
      </c>
      <c r="S42" s="1028">
        <f t="shared" si="6"/>
        <v>13492</v>
      </c>
      <c r="T42" s="1028">
        <f t="shared" ref="T42:AD42" si="7">T40+T37+T34</f>
        <v>13650</v>
      </c>
      <c r="U42" s="1028">
        <f t="shared" si="7"/>
        <v>15056</v>
      </c>
      <c r="V42" s="1029">
        <f t="shared" si="7"/>
        <v>15325</v>
      </c>
      <c r="W42" s="1028">
        <f t="shared" si="7"/>
        <v>16158</v>
      </c>
      <c r="X42" s="1029">
        <f t="shared" si="7"/>
        <v>17091</v>
      </c>
      <c r="Y42" s="1050">
        <f t="shared" si="7"/>
        <v>17585</v>
      </c>
      <c r="Z42" s="1051">
        <f t="shared" si="7"/>
        <v>17069</v>
      </c>
      <c r="AA42" s="1057">
        <f t="shared" si="7"/>
        <v>7937</v>
      </c>
      <c r="AB42" s="2639">
        <f t="shared" si="7"/>
        <v>10102</v>
      </c>
      <c r="AC42" s="1031">
        <f t="shared" si="7"/>
        <v>9026</v>
      </c>
      <c r="AD42" s="3373">
        <f t="shared" si="7"/>
        <v>13822</v>
      </c>
    </row>
    <row r="43" spans="2:30" ht="28.25" customHeight="1">
      <c r="B43" s="1052" t="s">
        <v>503</v>
      </c>
      <c r="C43" s="1052"/>
      <c r="D43" s="1052"/>
      <c r="E43" s="1052"/>
      <c r="F43" s="1052"/>
      <c r="G43" s="1052"/>
      <c r="H43" s="1052"/>
      <c r="I43" s="1052"/>
      <c r="J43" s="1052"/>
      <c r="K43" s="1052"/>
      <c r="L43" s="1052"/>
      <c r="M43" s="1052"/>
      <c r="N43" s="1052"/>
      <c r="O43" s="250"/>
      <c r="Q43" s="250"/>
      <c r="Z43" s="222"/>
      <c r="AD43" s="3369"/>
    </row>
    <row r="44" spans="2:30" ht="28.25" customHeight="1">
      <c r="B44" s="1053" t="s">
        <v>446</v>
      </c>
      <c r="C44" s="1053"/>
      <c r="D44" s="1053"/>
      <c r="E44" s="1053"/>
      <c r="F44" s="1053"/>
      <c r="G44" s="1053"/>
      <c r="H44" s="1053"/>
      <c r="I44" s="1053"/>
      <c r="J44" s="1053"/>
      <c r="K44" s="1053"/>
      <c r="L44" s="1053"/>
      <c r="M44" s="1053"/>
      <c r="N44" s="1053"/>
      <c r="O44" s="1053"/>
      <c r="U44" s="78"/>
      <c r="V44" s="78"/>
      <c r="W44" s="78"/>
      <c r="X44" s="78"/>
    </row>
    <row r="45" spans="2:30">
      <c r="B45" s="77" t="s">
        <v>268</v>
      </c>
      <c r="K45" s="250"/>
      <c r="L45" s="250"/>
      <c r="M45" s="250"/>
      <c r="N45" s="250"/>
      <c r="O45" s="250"/>
      <c r="Q45" s="250"/>
    </row>
    <row r="80" spans="2:2">
      <c r="B80" s="77" t="s">
        <v>747</v>
      </c>
    </row>
  </sheetData>
  <mergeCells count="5">
    <mergeCell ref="B1:AD1"/>
    <mergeCell ref="B2:AD2"/>
    <mergeCell ref="B5:AD5"/>
    <mergeCell ref="B18:AD18"/>
    <mergeCell ref="B31:AD31"/>
  </mergeCells>
  <phoneticPr fontId="47" type="noConversion"/>
  <printOptions horizontalCentered="1" verticalCentered="1"/>
  <pageMargins left="0.25" right="0.25" top="0.75" bottom="0.75" header="0.3" footer="0.3"/>
  <pageSetup scale="43" firstPageNumber="103" orientation="landscape" useFirstPageNumber="1" r:id="rId1"/>
  <headerFooter scaleWithDoc="0" alignWithMargins="0">
    <oddFooter xml:space="preserve">&amp;C118
</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rgb="FF00B0F0"/>
    <pageSetUpPr fitToPage="1"/>
  </sheetPr>
  <dimension ref="B1:AK78"/>
  <sheetViews>
    <sheetView view="pageBreakPreview" topLeftCell="B1" zoomScale="50" zoomScaleNormal="100" zoomScaleSheetLayoutView="50" workbookViewId="0">
      <selection activeCell="B44" sqref="B44"/>
    </sheetView>
  </sheetViews>
  <sheetFormatPr defaultColWidth="9.46484375" defaultRowHeight="27"/>
  <cols>
    <col min="1" max="1" width="0" style="4215" hidden="1" customWidth="1"/>
    <col min="2" max="2" width="3.6640625" style="4215" customWidth="1"/>
    <col min="3" max="3" width="52.46484375" style="4215" customWidth="1"/>
    <col min="4" max="10" width="9.46484375" style="4215" hidden="1" customWidth="1"/>
    <col min="11" max="11" width="13.46484375" style="4215" hidden="1" customWidth="1"/>
    <col min="12" max="16" width="12.46484375" style="4215" hidden="1" customWidth="1"/>
    <col min="17" max="17" width="12" style="4215" hidden="1" customWidth="1"/>
    <col min="18" max="22" width="13.46484375" style="4215" hidden="1" customWidth="1"/>
    <col min="23" max="24" width="20.46484375" style="4215" hidden="1" customWidth="1"/>
    <col min="25" max="33" width="24.6640625" style="4215" customWidth="1"/>
    <col min="34" max="34" width="28" style="4215" customWidth="1"/>
    <col min="35" max="35" width="24.6640625" style="4215" customWidth="1"/>
    <col min="36" max="36" width="5.33203125" style="4215" customWidth="1"/>
    <col min="37" max="16384" width="9.46484375" style="4215"/>
  </cols>
  <sheetData>
    <row r="1" spans="3:37">
      <c r="C1" s="5821" t="s">
        <v>682</v>
      </c>
      <c r="D1" s="5821"/>
      <c r="E1" s="5821"/>
      <c r="F1" s="5821"/>
      <c r="G1" s="5821"/>
      <c r="H1" s="5821"/>
      <c r="I1" s="5821"/>
      <c r="J1" s="5821"/>
      <c r="K1" s="5821"/>
      <c r="L1" s="5821"/>
      <c r="M1" s="5821"/>
      <c r="N1" s="5821"/>
      <c r="O1" s="5821"/>
      <c r="P1" s="5821"/>
      <c r="Q1" s="5821"/>
      <c r="R1" s="5821"/>
      <c r="S1" s="5821"/>
      <c r="T1" s="5821"/>
      <c r="U1" s="5821"/>
      <c r="V1" s="5821"/>
      <c r="W1" s="5821"/>
      <c r="X1" s="5821"/>
      <c r="Y1" s="5821"/>
      <c r="Z1" s="5821"/>
      <c r="AA1" s="5821"/>
      <c r="AB1" s="5821"/>
      <c r="AC1" s="5821"/>
      <c r="AD1" s="5821"/>
      <c r="AE1" s="5821"/>
      <c r="AF1" s="5821"/>
      <c r="AG1" s="5821"/>
      <c r="AH1" s="5821"/>
      <c r="AI1" s="5821"/>
    </row>
    <row r="2" spans="3:37">
      <c r="C2" s="5821" t="s">
        <v>511</v>
      </c>
      <c r="D2" s="5821"/>
      <c r="E2" s="5821"/>
      <c r="F2" s="5821"/>
      <c r="G2" s="5821"/>
      <c r="H2" s="5821"/>
      <c r="I2" s="5821"/>
      <c r="J2" s="5821"/>
      <c r="K2" s="5821"/>
      <c r="L2" s="5821"/>
      <c r="M2" s="5821"/>
      <c r="N2" s="5821"/>
      <c r="O2" s="5821"/>
      <c r="P2" s="5821"/>
      <c r="Q2" s="5821"/>
      <c r="R2" s="5821"/>
      <c r="S2" s="5821"/>
      <c r="T2" s="5821"/>
      <c r="U2" s="5821"/>
      <c r="V2" s="5821"/>
      <c r="W2" s="5821"/>
      <c r="X2" s="5821"/>
      <c r="Y2" s="5821"/>
      <c r="Z2" s="5821"/>
      <c r="AA2" s="5821"/>
      <c r="AB2" s="5821"/>
      <c r="AC2" s="5821"/>
      <c r="AD2" s="5821"/>
      <c r="AE2" s="5821"/>
      <c r="AF2" s="5821"/>
      <c r="AG2" s="5821"/>
      <c r="AH2" s="5821"/>
      <c r="AI2" s="5821"/>
    </row>
    <row r="3" spans="3:37" ht="27.4" thickBot="1">
      <c r="C3" s="5821" t="s">
        <v>1974</v>
      </c>
      <c r="D3" s="5821"/>
      <c r="E3" s="5821"/>
      <c r="F3" s="5821"/>
      <c r="G3" s="5821"/>
      <c r="H3" s="5821"/>
      <c r="I3" s="5821"/>
      <c r="J3" s="5821"/>
      <c r="K3" s="5821"/>
      <c r="L3" s="5821"/>
      <c r="M3" s="5821"/>
      <c r="N3" s="5821"/>
      <c r="O3" s="5821"/>
      <c r="P3" s="5821"/>
      <c r="Q3" s="5821"/>
      <c r="R3" s="5821"/>
      <c r="S3" s="5821"/>
      <c r="T3" s="5821"/>
      <c r="U3" s="5821"/>
      <c r="V3" s="5821"/>
      <c r="W3" s="5821"/>
      <c r="X3" s="5821"/>
      <c r="Y3" s="5821"/>
      <c r="Z3" s="5821"/>
      <c r="AA3" s="5821"/>
      <c r="AB3" s="5821"/>
      <c r="AC3" s="5821"/>
      <c r="AD3" s="5821"/>
      <c r="AE3" s="5821"/>
      <c r="AF3" s="5821"/>
      <c r="AG3" s="5821"/>
      <c r="AH3" s="5821"/>
      <c r="AI3" s="5821"/>
    </row>
    <row r="4" spans="3:37" ht="25.5" customHeight="1" thickBot="1">
      <c r="C4" s="4216"/>
      <c r="D4" s="4217"/>
      <c r="E4" s="4217"/>
      <c r="F4" s="4217"/>
      <c r="G4" s="4217" t="s">
        <v>107</v>
      </c>
      <c r="H4" s="4217"/>
      <c r="I4" s="4217"/>
      <c r="J4" s="4217"/>
      <c r="K4" s="4218"/>
      <c r="L4" s="4218"/>
      <c r="M4" s="4218"/>
      <c r="N4" s="4217"/>
      <c r="O4" s="4219"/>
      <c r="P4" s="4219"/>
      <c r="Q4" s="4220"/>
      <c r="R4" s="4221"/>
      <c r="S4" s="4220"/>
      <c r="T4" s="4220"/>
      <c r="U4" s="4220"/>
      <c r="V4" s="4222"/>
      <c r="W4" s="4223"/>
      <c r="X4" s="4223"/>
      <c r="Y4" s="4223"/>
      <c r="Z4" s="4223"/>
      <c r="AA4" s="4223"/>
      <c r="AB4" s="4223"/>
      <c r="AD4" s="4224"/>
      <c r="AE4" s="4225"/>
      <c r="AF4" s="4225"/>
      <c r="AG4" s="4225"/>
      <c r="AH4" s="4225"/>
      <c r="AI4" s="4225"/>
    </row>
    <row r="5" spans="3:37" ht="101.25" customHeight="1" thickBot="1">
      <c r="C5" s="4226" t="s">
        <v>108</v>
      </c>
      <c r="D5" s="4227">
        <v>1995</v>
      </c>
      <c r="E5" s="4228" t="s">
        <v>75</v>
      </c>
      <c r="F5" s="4228" t="s">
        <v>76</v>
      </c>
      <c r="G5" s="4228" t="s">
        <v>109</v>
      </c>
      <c r="H5" s="4228" t="s">
        <v>77</v>
      </c>
      <c r="I5" s="4228" t="s">
        <v>82</v>
      </c>
      <c r="J5" s="4228" t="s">
        <v>83</v>
      </c>
      <c r="K5" s="4229" t="s">
        <v>79</v>
      </c>
      <c r="L5" s="4229" t="s">
        <v>80</v>
      </c>
      <c r="M5" s="4229">
        <v>2003</v>
      </c>
      <c r="N5" s="4228">
        <v>2004</v>
      </c>
      <c r="O5" s="4230">
        <v>2005</v>
      </c>
      <c r="P5" s="4230">
        <v>2006</v>
      </c>
      <c r="Q5" s="4229">
        <v>2007</v>
      </c>
      <c r="R5" s="4231">
        <v>2008</v>
      </c>
      <c r="S5" s="4232">
        <v>2009</v>
      </c>
      <c r="T5" s="4232">
        <v>2010</v>
      </c>
      <c r="U5" s="4232">
        <v>2011</v>
      </c>
      <c r="V5" s="4232">
        <v>2012</v>
      </c>
      <c r="W5" s="4232">
        <v>2013</v>
      </c>
      <c r="X5" s="4232">
        <v>2014</v>
      </c>
      <c r="Y5" s="4233">
        <v>2015</v>
      </c>
      <c r="Z5" s="4233">
        <v>2016</v>
      </c>
      <c r="AA5" s="4233">
        <v>2017</v>
      </c>
      <c r="AB5" s="4233">
        <v>2018</v>
      </c>
      <c r="AC5" s="4233">
        <v>2019</v>
      </c>
      <c r="AD5" s="4233">
        <v>2020</v>
      </c>
      <c r="AE5" s="4233">
        <v>2021</v>
      </c>
      <c r="AF5" s="4233" t="s">
        <v>1958</v>
      </c>
      <c r="AG5" s="4234" t="s">
        <v>1959</v>
      </c>
      <c r="AH5" s="4235" t="s">
        <v>1961</v>
      </c>
      <c r="AI5" s="4236" t="s">
        <v>1975</v>
      </c>
    </row>
    <row r="6" spans="3:37" ht="30" customHeight="1">
      <c r="C6" s="4237"/>
      <c r="D6" s="4238"/>
      <c r="E6" s="4239"/>
      <c r="F6" s="4239"/>
      <c r="G6" s="4239"/>
      <c r="H6" s="4239"/>
      <c r="I6" s="4239"/>
      <c r="J6" s="4239"/>
      <c r="K6" s="4240"/>
      <c r="L6" s="4240"/>
      <c r="M6" s="4240"/>
      <c r="N6" s="4239"/>
      <c r="O6" s="4241"/>
      <c r="P6" s="4241"/>
      <c r="Q6" s="4242"/>
      <c r="R6" s="4243"/>
      <c r="S6" s="4244"/>
      <c r="T6" s="4244"/>
      <c r="U6" s="4244"/>
      <c r="V6" s="4244"/>
      <c r="W6" s="4244"/>
      <c r="X6" s="4244"/>
      <c r="Y6" s="4245"/>
      <c r="Z6" s="4245"/>
      <c r="AA6" s="4245"/>
      <c r="AB6" s="4245"/>
      <c r="AC6" s="4246"/>
      <c r="AD6" s="4247"/>
      <c r="AE6" s="4247"/>
      <c r="AF6" s="4248"/>
      <c r="AG6" s="4249"/>
      <c r="AH6" s="4250"/>
      <c r="AI6" s="4251"/>
    </row>
    <row r="7" spans="3:37" ht="30" customHeight="1">
      <c r="C7" s="4237" t="s">
        <v>110</v>
      </c>
      <c r="D7" s="4243">
        <v>62668</v>
      </c>
      <c r="E7" s="4243">
        <v>65636</v>
      </c>
      <c r="F7" s="4243">
        <v>69617</v>
      </c>
      <c r="G7" s="4243">
        <v>6.0699999999999997E-2</v>
      </c>
      <c r="H7" s="4243">
        <v>75639.03</v>
      </c>
      <c r="I7" s="4243">
        <v>79490.73</v>
      </c>
      <c r="J7" s="4243">
        <v>85074.68</v>
      </c>
      <c r="K7" s="4252">
        <v>88442.6</v>
      </c>
      <c r="L7" s="4252">
        <v>89083</v>
      </c>
      <c r="M7" s="4252">
        <v>93329</v>
      </c>
      <c r="N7" s="4253">
        <v>95877</v>
      </c>
      <c r="O7" s="4254">
        <v>98917</v>
      </c>
      <c r="P7" s="4254">
        <v>101635</v>
      </c>
      <c r="Q7" s="4252">
        <v>104784</v>
      </c>
      <c r="R7" s="4253">
        <v>103214</v>
      </c>
      <c r="S7" s="4252">
        <v>108000</v>
      </c>
      <c r="T7" s="4252">
        <v>104209</v>
      </c>
      <c r="U7" s="4252">
        <v>113506</v>
      </c>
      <c r="V7" s="4252">
        <v>112272</v>
      </c>
      <c r="W7" s="4252">
        <v>112742.863</v>
      </c>
      <c r="X7" s="4252">
        <v>111922.49</v>
      </c>
      <c r="Y7" s="4255">
        <v>116.13297800000001</v>
      </c>
      <c r="Z7" s="4255">
        <v>123.839353</v>
      </c>
      <c r="AA7" s="4255">
        <v>127.732</v>
      </c>
      <c r="AB7" s="4255">
        <v>126.916</v>
      </c>
      <c r="AC7" s="4255">
        <v>130.15700000000001</v>
      </c>
      <c r="AD7" s="4255">
        <v>136.52565299999998</v>
      </c>
      <c r="AE7" s="4255">
        <v>137.541033</v>
      </c>
      <c r="AF7" s="4255">
        <v>134.94968900000001</v>
      </c>
      <c r="AG7" s="4256">
        <v>139.61699999999999</v>
      </c>
      <c r="AH7" s="4257">
        <f>AG7/AF7-1</f>
        <v>3.4585563216822157E-2</v>
      </c>
      <c r="AI7" s="4258">
        <f>AG7/$AG$25</f>
        <v>0.36078795176986794</v>
      </c>
      <c r="AJ7" s="4243"/>
      <c r="AK7" s="4259"/>
    </row>
    <row r="8" spans="3:37" ht="30" customHeight="1">
      <c r="C8" s="4237"/>
      <c r="D8" s="4243"/>
      <c r="E8" s="4243"/>
      <c r="F8" s="4243"/>
      <c r="G8" s="4243"/>
      <c r="H8" s="4243"/>
      <c r="I8" s="4243"/>
      <c r="J8" s="4243"/>
      <c r="K8" s="4252"/>
      <c r="L8" s="4252"/>
      <c r="M8" s="4252"/>
      <c r="N8" s="4253"/>
      <c r="O8" s="4254"/>
      <c r="P8" s="4254"/>
      <c r="Q8" s="4252"/>
      <c r="R8" s="4253"/>
      <c r="S8" s="4252"/>
      <c r="T8" s="4252"/>
      <c r="U8" s="4252"/>
      <c r="V8" s="4252"/>
      <c r="W8" s="4252"/>
      <c r="X8" s="4252"/>
      <c r="Y8" s="4260"/>
      <c r="Z8" s="4260"/>
      <c r="AA8" s="4260"/>
      <c r="AB8" s="4260"/>
      <c r="AC8" s="4261"/>
      <c r="AD8" s="4261"/>
      <c r="AE8" s="4261"/>
      <c r="AF8" s="4261"/>
      <c r="AG8" s="4262"/>
      <c r="AH8" s="4257"/>
      <c r="AI8" s="4258"/>
      <c r="AJ8" s="4243"/>
    </row>
    <row r="9" spans="3:37" ht="30" customHeight="1">
      <c r="C9" s="4237" t="s">
        <v>1066</v>
      </c>
      <c r="D9" s="4243">
        <v>31156</v>
      </c>
      <c r="E9" s="4243">
        <v>32825</v>
      </c>
      <c r="F9" s="4243">
        <v>35074</v>
      </c>
      <c r="G9" s="4243">
        <v>7.0000000000000007E-2</v>
      </c>
      <c r="H9" s="4243">
        <v>37004.58</v>
      </c>
      <c r="I9" s="4243">
        <v>39004.25</v>
      </c>
      <c r="J9" s="4243">
        <v>40041.75</v>
      </c>
      <c r="K9" s="4252">
        <v>41981.916666666664</v>
      </c>
      <c r="L9" s="4252">
        <v>43460</v>
      </c>
      <c r="M9" s="4252">
        <v>44980</v>
      </c>
      <c r="N9" s="4253">
        <v>46347</v>
      </c>
      <c r="O9" s="4254">
        <v>47417</v>
      </c>
      <c r="P9" s="4254">
        <v>48697</v>
      </c>
      <c r="Q9" s="4252">
        <v>49199</v>
      </c>
      <c r="R9" s="4253">
        <v>51444</v>
      </c>
      <c r="S9" s="4252">
        <v>52748</v>
      </c>
      <c r="T9" s="4252">
        <v>53566</v>
      </c>
      <c r="U9" s="4252">
        <v>54415</v>
      </c>
      <c r="V9" s="4252">
        <v>55110</v>
      </c>
      <c r="W9" s="4252">
        <v>58560</v>
      </c>
      <c r="X9" s="4252">
        <v>59680</v>
      </c>
      <c r="Y9" s="4260">
        <v>59645</v>
      </c>
      <c r="Z9" s="4260">
        <v>58867</v>
      </c>
      <c r="AA9" s="4260">
        <v>59620</v>
      </c>
      <c r="AB9" s="4260">
        <v>60038</v>
      </c>
      <c r="AC9" s="4261">
        <v>60968</v>
      </c>
      <c r="AD9" s="4261">
        <v>61701</v>
      </c>
      <c r="AE9" s="4261">
        <v>63222</v>
      </c>
      <c r="AF9" s="4261">
        <v>63849</v>
      </c>
      <c r="AG9" s="4262">
        <v>64689</v>
      </c>
      <c r="AH9" s="4257">
        <f>AG9/AF9-1</f>
        <v>1.3156040031950367E-2</v>
      </c>
      <c r="AI9" s="4258"/>
      <c r="AJ9" s="4243"/>
      <c r="AK9" s="4259"/>
    </row>
    <row r="10" spans="3:37" ht="30" customHeight="1">
      <c r="C10" s="4237"/>
      <c r="D10" s="4243"/>
      <c r="E10" s="4243"/>
      <c r="F10" s="4243"/>
      <c r="G10" s="4243"/>
      <c r="H10" s="4243"/>
      <c r="I10" s="4243"/>
      <c r="J10" s="4243"/>
      <c r="K10" s="4252"/>
      <c r="L10" s="4252"/>
      <c r="M10" s="4252"/>
      <c r="N10" s="4253"/>
      <c r="O10" s="4254"/>
      <c r="P10" s="4254"/>
      <c r="Q10" s="4252"/>
      <c r="R10" s="4253"/>
      <c r="S10" s="4252"/>
      <c r="T10" s="4252"/>
      <c r="U10" s="4252"/>
      <c r="V10" s="4252"/>
      <c r="W10" s="4252"/>
      <c r="X10" s="4252"/>
      <c r="Y10" s="4260"/>
      <c r="Z10" s="4260"/>
      <c r="AA10" s="4260"/>
      <c r="AB10" s="4260"/>
      <c r="AC10" s="4261"/>
      <c r="AD10" s="4261"/>
      <c r="AE10" s="4261"/>
      <c r="AF10" s="4261"/>
      <c r="AG10" s="4262"/>
      <c r="AH10" s="4257"/>
      <c r="AI10" s="4258"/>
      <c r="AJ10" s="4243"/>
    </row>
    <row r="11" spans="3:37" ht="30" customHeight="1">
      <c r="C11" s="4237" t="s">
        <v>111</v>
      </c>
      <c r="D11" s="4263">
        <v>85683</v>
      </c>
      <c r="E11" s="4243">
        <v>58924</v>
      </c>
      <c r="F11" s="4243">
        <v>64250</v>
      </c>
      <c r="G11" s="4243">
        <v>9.0399999999999994E-2</v>
      </c>
      <c r="H11" s="4243">
        <v>70006.149999999994</v>
      </c>
      <c r="I11" s="4243">
        <v>79338.61</v>
      </c>
      <c r="J11" s="4243">
        <v>85192.46</v>
      </c>
      <c r="K11" s="4252">
        <v>88577.2</v>
      </c>
      <c r="L11" s="4252">
        <v>86679</v>
      </c>
      <c r="M11" s="4252">
        <v>91779</v>
      </c>
      <c r="N11" s="4253">
        <v>95697</v>
      </c>
      <c r="O11" s="4254">
        <v>101597</v>
      </c>
      <c r="P11" s="4254">
        <v>103431</v>
      </c>
      <c r="Q11" s="4252">
        <v>106924</v>
      </c>
      <c r="R11" s="4253">
        <v>105374</v>
      </c>
      <c r="S11" s="4252">
        <v>111288</v>
      </c>
      <c r="T11" s="4252">
        <v>106525</v>
      </c>
      <c r="U11" s="4252">
        <v>122098</v>
      </c>
      <c r="V11" s="4252">
        <v>122840</v>
      </c>
      <c r="W11" s="4252">
        <v>123322.151</v>
      </c>
      <c r="X11" s="4252">
        <v>121703.057</v>
      </c>
      <c r="Y11" s="4255">
        <v>122.79611</v>
      </c>
      <c r="Z11" s="4255">
        <v>125.56607399999999</v>
      </c>
      <c r="AA11" s="4255">
        <v>126.72</v>
      </c>
      <c r="AB11" s="4255">
        <v>124.837</v>
      </c>
      <c r="AC11" s="4255">
        <v>128.553</v>
      </c>
      <c r="AD11" s="4255">
        <v>120.388785</v>
      </c>
      <c r="AE11" s="4255">
        <v>120.091219</v>
      </c>
      <c r="AF11" s="4255">
        <v>126.188300999999</v>
      </c>
      <c r="AG11" s="4256">
        <v>133.85400000000001</v>
      </c>
      <c r="AH11" s="4257">
        <f>AG11/AF11-1</f>
        <v>6.0748095815958969E-2</v>
      </c>
      <c r="AI11" s="4258">
        <f>AG11/$AG$25</f>
        <v>0.34589563230984705</v>
      </c>
      <c r="AJ11" s="4243"/>
      <c r="AK11" s="4259"/>
    </row>
    <row r="12" spans="3:37" ht="30" customHeight="1">
      <c r="C12" s="4237"/>
      <c r="D12" s="4263"/>
      <c r="E12" s="4243"/>
      <c r="F12" s="4243"/>
      <c r="G12" s="4243"/>
      <c r="H12" s="4243"/>
      <c r="I12" s="4243"/>
      <c r="J12" s="4243"/>
      <c r="K12" s="4252"/>
      <c r="L12" s="4252"/>
      <c r="M12" s="4252"/>
      <c r="N12" s="4253"/>
      <c r="O12" s="4254"/>
      <c r="P12" s="4254"/>
      <c r="Q12" s="4252"/>
      <c r="R12" s="4253"/>
      <c r="S12" s="4252"/>
      <c r="T12" s="4252"/>
      <c r="U12" s="4252"/>
      <c r="V12" s="4252"/>
      <c r="W12" s="4252"/>
      <c r="X12" s="4252"/>
      <c r="Y12" s="4260"/>
      <c r="Z12" s="4260"/>
      <c r="AA12" s="4260"/>
      <c r="AB12" s="4260"/>
      <c r="AC12" s="4261"/>
      <c r="AD12" s="4261"/>
      <c r="AE12" s="4261"/>
      <c r="AF12" s="4261"/>
      <c r="AG12" s="4262"/>
      <c r="AH12" s="4257"/>
      <c r="AI12" s="4258"/>
      <c r="AJ12" s="4243"/>
    </row>
    <row r="13" spans="3:37" ht="30" customHeight="1">
      <c r="C13" s="4237" t="s">
        <v>1066</v>
      </c>
      <c r="D13" s="4263">
        <v>4608</v>
      </c>
      <c r="E13" s="4243">
        <v>4751</v>
      </c>
      <c r="F13" s="4243">
        <v>4851</v>
      </c>
      <c r="G13" s="4243">
        <v>2.1000000000000001E-2</v>
      </c>
      <c r="H13" s="4243">
        <v>4819.8999999999996</v>
      </c>
      <c r="I13" s="4243">
        <v>4942.33</v>
      </c>
      <c r="J13" s="4243">
        <v>5443.75</v>
      </c>
      <c r="K13" s="4252">
        <v>5210</v>
      </c>
      <c r="L13" s="4252">
        <v>5134</v>
      </c>
      <c r="M13" s="4252">
        <v>5134</v>
      </c>
      <c r="N13" s="4253">
        <v>5259</v>
      </c>
      <c r="O13" s="4254">
        <v>5423</v>
      </c>
      <c r="P13" s="4254">
        <v>5663</v>
      </c>
      <c r="Q13" s="4252">
        <v>5693</v>
      </c>
      <c r="R13" s="4253">
        <v>6104</v>
      </c>
      <c r="S13" s="4252">
        <v>6365</v>
      </c>
      <c r="T13" s="4252">
        <v>6493</v>
      </c>
      <c r="U13" s="4252">
        <v>6583</v>
      </c>
      <c r="V13" s="4252">
        <v>6574</v>
      </c>
      <c r="W13" s="4252">
        <v>6325</v>
      </c>
      <c r="X13" s="4252">
        <v>6430</v>
      </c>
      <c r="Y13" s="4260">
        <v>6372</v>
      </c>
      <c r="Z13" s="4260">
        <v>6994</v>
      </c>
      <c r="AA13" s="4260">
        <v>6991</v>
      </c>
      <c r="AB13" s="4260">
        <v>6271</v>
      </c>
      <c r="AC13" s="4261">
        <v>7205</v>
      </c>
      <c r="AD13" s="4261">
        <v>7207</v>
      </c>
      <c r="AE13" s="4261">
        <v>7350</v>
      </c>
      <c r="AF13" s="4261">
        <v>7464</v>
      </c>
      <c r="AG13" s="4262">
        <v>7477</v>
      </c>
      <c r="AH13" s="4257">
        <f>AG13/AF13-1</f>
        <v>1.741693461950744E-3</v>
      </c>
      <c r="AI13" s="4258"/>
      <c r="AJ13" s="4243"/>
      <c r="AK13" s="4259"/>
    </row>
    <row r="14" spans="3:37" ht="30" customHeight="1">
      <c r="C14" s="4237"/>
      <c r="D14" s="4263"/>
      <c r="E14" s="4243"/>
      <c r="F14" s="4243"/>
      <c r="G14" s="4243"/>
      <c r="H14" s="4243"/>
      <c r="I14" s="4243"/>
      <c r="J14" s="4243"/>
      <c r="K14" s="4252"/>
      <c r="L14" s="4252"/>
      <c r="M14" s="4252"/>
      <c r="N14" s="4253"/>
      <c r="O14" s="4254"/>
      <c r="P14" s="4254"/>
      <c r="Q14" s="4252"/>
      <c r="R14" s="4253"/>
      <c r="S14" s="4252"/>
      <c r="T14" s="4252"/>
      <c r="U14" s="4252"/>
      <c r="V14" s="4252"/>
      <c r="W14" s="4252"/>
      <c r="X14" s="4252"/>
      <c r="Y14" s="4260"/>
      <c r="Z14" s="4260"/>
      <c r="AA14" s="4260"/>
      <c r="AB14" s="4260"/>
      <c r="AC14" s="4261"/>
      <c r="AD14" s="4261"/>
      <c r="AE14" s="4261"/>
      <c r="AF14" s="4261"/>
      <c r="AG14" s="4262"/>
      <c r="AH14" s="4257"/>
      <c r="AI14" s="4258"/>
      <c r="AJ14" s="4243"/>
    </row>
    <row r="15" spans="3:37" ht="30" customHeight="1">
      <c r="C15" s="4237" t="s">
        <v>112</v>
      </c>
      <c r="D15" s="4239">
        <v>31403</v>
      </c>
      <c r="E15" s="4243">
        <v>27378</v>
      </c>
      <c r="F15" s="4243">
        <v>32998</v>
      </c>
      <c r="G15" s="4243">
        <v>0.20530000000000001</v>
      </c>
      <c r="H15" s="4243">
        <v>38611.1</v>
      </c>
      <c r="I15" s="4243">
        <v>41289.83</v>
      </c>
      <c r="J15" s="4243">
        <v>46670.3</v>
      </c>
      <c r="K15" s="4252">
        <v>48440.2</v>
      </c>
      <c r="L15" s="4252">
        <v>47317</v>
      </c>
      <c r="M15" s="4252">
        <v>53109</v>
      </c>
      <c r="N15" s="4253">
        <v>55446</v>
      </c>
      <c r="O15" s="4254">
        <v>56884</v>
      </c>
      <c r="P15" s="4254">
        <v>57485</v>
      </c>
      <c r="Q15" s="4252">
        <v>61227</v>
      </c>
      <c r="R15" s="4253">
        <v>65250</v>
      </c>
      <c r="S15" s="4252">
        <v>67093</v>
      </c>
      <c r="T15" s="4252">
        <v>61304</v>
      </c>
      <c r="U15" s="4252">
        <v>68749</v>
      </c>
      <c r="V15" s="4252">
        <v>66007</v>
      </c>
      <c r="W15" s="4252">
        <v>69877.013000000006</v>
      </c>
      <c r="X15" s="4252">
        <v>69590.414000000004</v>
      </c>
      <c r="Y15" s="4255">
        <v>69.646230000000003</v>
      </c>
      <c r="Z15" s="4255">
        <v>69.399903000000009</v>
      </c>
      <c r="AA15" s="4255">
        <v>76.05</v>
      </c>
      <c r="AB15" s="4255">
        <v>81.483000000000004</v>
      </c>
      <c r="AC15" s="4255">
        <v>81.561000000000007</v>
      </c>
      <c r="AD15" s="4255">
        <v>51.497990000000001</v>
      </c>
      <c r="AE15" s="4255">
        <v>66.308234999999996</v>
      </c>
      <c r="AF15" s="4255">
        <v>81.993762000000004</v>
      </c>
      <c r="AG15" s="4256">
        <v>83.093000000000004</v>
      </c>
      <c r="AH15" s="4257">
        <f>AG15/AF15-1</f>
        <v>1.3406361327828797E-2</v>
      </c>
      <c r="AI15" s="4258">
        <f>AG15/$AG$25</f>
        <v>0.21472280077937245</v>
      </c>
      <c r="AJ15" s="4243"/>
      <c r="AK15" s="4259"/>
    </row>
    <row r="16" spans="3:37" ht="30" customHeight="1">
      <c r="C16" s="4237"/>
      <c r="D16" s="4239"/>
      <c r="E16" s="4243"/>
      <c r="F16" s="4243"/>
      <c r="G16" s="4243"/>
      <c r="H16" s="4243"/>
      <c r="I16" s="4243"/>
      <c r="J16" s="4243"/>
      <c r="K16" s="4252"/>
      <c r="L16" s="4252"/>
      <c r="M16" s="4252"/>
      <c r="N16" s="4253"/>
      <c r="O16" s="4254"/>
      <c r="P16" s="4254"/>
      <c r="Q16" s="4252"/>
      <c r="R16" s="4253"/>
      <c r="S16" s="4252"/>
      <c r="T16" s="4252"/>
      <c r="U16" s="4252"/>
      <c r="V16" s="4252"/>
      <c r="W16" s="4252"/>
      <c r="X16" s="4252"/>
      <c r="Y16" s="4260"/>
      <c r="Z16" s="4260"/>
      <c r="AA16" s="4260"/>
      <c r="AB16" s="4260"/>
      <c r="AC16" s="4261"/>
      <c r="AD16" s="4261"/>
      <c r="AE16" s="4261"/>
      <c r="AF16" s="4261"/>
      <c r="AG16" s="4262"/>
      <c r="AH16" s="4257"/>
      <c r="AI16" s="4258"/>
      <c r="AJ16" s="4243"/>
    </row>
    <row r="17" spans="2:37" ht="30" customHeight="1">
      <c r="C17" s="4237" t="s">
        <v>1067</v>
      </c>
      <c r="D17" s="4239">
        <v>41</v>
      </c>
      <c r="E17" s="4243">
        <v>40</v>
      </c>
      <c r="F17" s="4243">
        <v>39</v>
      </c>
      <c r="G17" s="4243">
        <v>-2.5000000000000001E-2</v>
      </c>
      <c r="H17" s="4243">
        <v>37</v>
      </c>
      <c r="I17" s="4243">
        <v>36</v>
      </c>
      <c r="J17" s="4243">
        <v>36.833333333333336</v>
      </c>
      <c r="K17" s="4252">
        <v>33.333333333333336</v>
      </c>
      <c r="L17" s="4252">
        <v>33</v>
      </c>
      <c r="M17" s="4252">
        <v>48</v>
      </c>
      <c r="N17" s="4253">
        <v>48</v>
      </c>
      <c r="O17" s="4254">
        <v>52</v>
      </c>
      <c r="P17" s="4254">
        <v>54</v>
      </c>
      <c r="Q17" s="4252">
        <v>61</v>
      </c>
      <c r="R17" s="4253">
        <v>65</v>
      </c>
      <c r="S17" s="4252">
        <v>64</v>
      </c>
      <c r="T17" s="4252">
        <v>64</v>
      </c>
      <c r="U17" s="4252">
        <v>58</v>
      </c>
      <c r="V17" s="4252">
        <v>55</v>
      </c>
      <c r="W17" s="4252">
        <v>59</v>
      </c>
      <c r="X17" s="4252">
        <v>58</v>
      </c>
      <c r="Y17" s="4260">
        <v>57</v>
      </c>
      <c r="Z17" s="4260">
        <v>55</v>
      </c>
      <c r="AA17" s="4260">
        <v>61</v>
      </c>
      <c r="AB17" s="4260">
        <v>60</v>
      </c>
      <c r="AC17" s="4261">
        <v>62</v>
      </c>
      <c r="AD17" s="4261">
        <v>62</v>
      </c>
      <c r="AE17" s="4261">
        <v>61</v>
      </c>
      <c r="AF17" s="4261">
        <v>61</v>
      </c>
      <c r="AG17" s="4262">
        <v>62</v>
      </c>
      <c r="AH17" s="4257">
        <f>AG17/AF17-1</f>
        <v>1.6393442622950838E-2</v>
      </c>
      <c r="AI17" s="4258"/>
      <c r="AJ17" s="4243"/>
      <c r="AK17" s="4259"/>
    </row>
    <row r="18" spans="2:37" ht="30" customHeight="1">
      <c r="C18" s="4237"/>
      <c r="D18" s="4239"/>
      <c r="E18" s="4243"/>
      <c r="F18" s="4243"/>
      <c r="G18" s="4243"/>
      <c r="H18" s="4243"/>
      <c r="I18" s="4243"/>
      <c r="J18" s="4243"/>
      <c r="K18" s="4252"/>
      <c r="L18" s="4252"/>
      <c r="M18" s="4252"/>
      <c r="N18" s="4253"/>
      <c r="O18" s="4254"/>
      <c r="P18" s="4254"/>
      <c r="Q18" s="4252"/>
      <c r="R18" s="4253"/>
      <c r="S18" s="4252"/>
      <c r="T18" s="4252"/>
      <c r="U18" s="4252"/>
      <c r="V18" s="4252"/>
      <c r="W18" s="4252"/>
      <c r="X18" s="4252"/>
      <c r="Y18" s="4260"/>
      <c r="Z18" s="4260"/>
      <c r="AA18" s="4260"/>
      <c r="AB18" s="4260"/>
      <c r="AC18" s="4261"/>
      <c r="AD18" s="4261"/>
      <c r="AE18" s="4261"/>
      <c r="AF18" s="4261"/>
      <c r="AG18" s="4262"/>
      <c r="AH18" s="4257"/>
      <c r="AI18" s="4258"/>
      <c r="AJ18" s="4243"/>
    </row>
    <row r="19" spans="2:37" ht="30" customHeight="1">
      <c r="C19" s="4237" t="s">
        <v>113</v>
      </c>
      <c r="D19" s="4243">
        <v>12697</v>
      </c>
      <c r="E19" s="4243">
        <v>10911</v>
      </c>
      <c r="F19" s="4243">
        <v>11287</v>
      </c>
      <c r="G19" s="4243">
        <v>3.4500000000000003E-2</v>
      </c>
      <c r="H19" s="4243">
        <v>11640.35</v>
      </c>
      <c r="I19" s="4243">
        <v>12271.2</v>
      </c>
      <c r="J19" s="4243">
        <v>13249.26</v>
      </c>
      <c r="K19" s="4252">
        <v>12954.5</v>
      </c>
      <c r="L19" s="4252">
        <v>12710</v>
      </c>
      <c r="M19" s="4252">
        <v>13221</v>
      </c>
      <c r="N19" s="4253">
        <v>13031</v>
      </c>
      <c r="O19" s="4254">
        <v>12522</v>
      </c>
      <c r="P19" s="4254">
        <v>12982</v>
      </c>
      <c r="Q19" s="4252">
        <v>15789</v>
      </c>
      <c r="R19" s="4253">
        <v>18626</v>
      </c>
      <c r="S19" s="4252">
        <v>19001</v>
      </c>
      <c r="T19" s="4252">
        <v>28919</v>
      </c>
      <c r="U19" s="4252">
        <v>18761</v>
      </c>
      <c r="V19" s="4252">
        <v>17679</v>
      </c>
      <c r="W19" s="4252">
        <v>17624.061000000002</v>
      </c>
      <c r="X19" s="4252">
        <v>17672.727999999999</v>
      </c>
      <c r="Y19" s="4255">
        <v>17.998813999999999</v>
      </c>
      <c r="Z19" s="4255">
        <v>18.518922</v>
      </c>
      <c r="AA19" s="4255">
        <v>18.256</v>
      </c>
      <c r="AB19" s="4255">
        <v>17.492999999999999</v>
      </c>
      <c r="AC19" s="4255">
        <v>18.326000000000001</v>
      </c>
      <c r="AD19" s="4255">
        <v>17.763891000000001</v>
      </c>
      <c r="AE19" s="4255">
        <v>18.743362000000001</v>
      </c>
      <c r="AF19" s="4255">
        <v>20.498129000000002</v>
      </c>
      <c r="AG19" s="4256">
        <v>20.814</v>
      </c>
      <c r="AH19" s="4257">
        <f>AG19/AF19-1</f>
        <v>1.5409747884794545E-2</v>
      </c>
      <c r="AI19" s="4258">
        <f>AG19/$AG$25</f>
        <v>5.3786003338691081E-2</v>
      </c>
      <c r="AJ19" s="4243"/>
      <c r="AK19" s="4259"/>
    </row>
    <row r="20" spans="2:37" ht="30" customHeight="1">
      <c r="C20" s="4237"/>
      <c r="D20" s="4243"/>
      <c r="E20" s="4243"/>
      <c r="F20" s="4243"/>
      <c r="G20" s="4243"/>
      <c r="H20" s="4243"/>
      <c r="I20" s="4243"/>
      <c r="J20" s="4243"/>
      <c r="K20" s="4252"/>
      <c r="L20" s="4252"/>
      <c r="M20" s="4252"/>
      <c r="N20" s="4253"/>
      <c r="O20" s="4254"/>
      <c r="P20" s="4254"/>
      <c r="Q20" s="4252"/>
      <c r="R20" s="4253"/>
      <c r="S20" s="4252"/>
      <c r="T20" s="4252"/>
      <c r="U20" s="4252"/>
      <c r="V20" s="4252"/>
      <c r="W20" s="4252"/>
      <c r="X20" s="4252"/>
      <c r="Y20" s="4260"/>
      <c r="Z20" s="4260"/>
      <c r="AA20" s="4260"/>
      <c r="AB20" s="4260"/>
      <c r="AC20" s="4261"/>
      <c r="AD20" s="4261"/>
      <c r="AE20" s="4261"/>
      <c r="AF20" s="4261"/>
      <c r="AG20" s="4262"/>
      <c r="AH20" s="4257"/>
      <c r="AI20" s="4258"/>
      <c r="AJ20" s="4243"/>
    </row>
    <row r="21" spans="2:37" ht="30" customHeight="1">
      <c r="C21" s="4237" t="s">
        <v>1068</v>
      </c>
      <c r="D21" s="4243">
        <v>139</v>
      </c>
      <c r="E21" s="4243">
        <v>134</v>
      </c>
      <c r="F21" s="4243">
        <v>125</v>
      </c>
      <c r="G21" s="4243">
        <v>-6.7199999999999996E-2</v>
      </c>
      <c r="H21" s="4243">
        <v>120</v>
      </c>
      <c r="I21" s="4243">
        <v>117</v>
      </c>
      <c r="J21" s="4243">
        <v>114.16666666666667</v>
      </c>
      <c r="K21" s="4252">
        <v>116.91666666666667</v>
      </c>
      <c r="L21" s="4252">
        <v>112</v>
      </c>
      <c r="M21" s="4252">
        <v>112</v>
      </c>
      <c r="N21" s="4253">
        <v>96</v>
      </c>
      <c r="O21" s="4254">
        <v>98</v>
      </c>
      <c r="P21" s="4254">
        <v>112</v>
      </c>
      <c r="Q21" s="4252">
        <v>101</v>
      </c>
      <c r="R21" s="4253">
        <v>98</v>
      </c>
      <c r="S21" s="4252">
        <f>R21*1.02</f>
        <v>99.960000000000008</v>
      </c>
      <c r="T21" s="4252">
        <v>100</v>
      </c>
      <c r="U21" s="4252">
        <v>101</v>
      </c>
      <c r="V21" s="4252">
        <v>100</v>
      </c>
      <c r="W21" s="4252">
        <v>98</v>
      </c>
      <c r="X21" s="4252">
        <v>98</v>
      </c>
      <c r="Y21" s="4260">
        <v>98</v>
      </c>
      <c r="Z21" s="4260">
        <v>94</v>
      </c>
      <c r="AA21" s="4260">
        <v>93</v>
      </c>
      <c r="AB21" s="4260">
        <v>91</v>
      </c>
      <c r="AC21" s="4261">
        <v>90</v>
      </c>
      <c r="AD21" s="4261">
        <v>87</v>
      </c>
      <c r="AE21" s="4261">
        <v>88</v>
      </c>
      <c r="AF21" s="4261">
        <v>88</v>
      </c>
      <c r="AG21" s="4262">
        <v>85</v>
      </c>
      <c r="AH21" s="4257">
        <f>AG21/AF21-1</f>
        <v>-3.4090909090909061E-2</v>
      </c>
      <c r="AI21" s="4258"/>
      <c r="AJ21" s="4243"/>
      <c r="AK21" s="4259"/>
    </row>
    <row r="22" spans="2:37" ht="30" customHeight="1">
      <c r="C22" s="4264"/>
      <c r="D22" s="4243"/>
      <c r="E22" s="4243"/>
      <c r="F22" s="4243"/>
      <c r="G22" s="4243"/>
      <c r="H22" s="4243"/>
      <c r="I22" s="4243"/>
      <c r="J22" s="4243"/>
      <c r="K22" s="4252"/>
      <c r="L22" s="4252"/>
      <c r="M22" s="4252"/>
      <c r="N22" s="4253"/>
      <c r="O22" s="4254"/>
      <c r="P22" s="4254"/>
      <c r="Q22" s="4254"/>
      <c r="R22" s="4252"/>
      <c r="S22" s="4252"/>
      <c r="T22" s="4252"/>
      <c r="U22" s="4252"/>
      <c r="V22" s="4252"/>
      <c r="W22" s="4252"/>
      <c r="X22" s="4252"/>
      <c r="Y22" s="4260"/>
      <c r="Z22" s="4260"/>
      <c r="AA22" s="4260"/>
      <c r="AB22" s="4260"/>
      <c r="AC22" s="4261"/>
      <c r="AD22" s="4261"/>
      <c r="AE22" s="4261"/>
      <c r="AF22" s="4261"/>
      <c r="AG22" s="4262"/>
      <c r="AH22" s="4257"/>
      <c r="AI22" s="4258"/>
      <c r="AJ22" s="4243"/>
    </row>
    <row r="23" spans="2:37" ht="30" customHeight="1">
      <c r="C23" s="4264" t="s">
        <v>114</v>
      </c>
      <c r="D23" s="4243">
        <v>2282</v>
      </c>
      <c r="E23" s="4243">
        <v>2367</v>
      </c>
      <c r="F23" s="4243">
        <v>2605</v>
      </c>
      <c r="G23" s="4243">
        <v>0.10050000000000001</v>
      </c>
      <c r="H23" s="4243">
        <v>2931.12</v>
      </c>
      <c r="I23" s="4243">
        <v>3270.79</v>
      </c>
      <c r="J23" s="4243">
        <v>3892.97</v>
      </c>
      <c r="K23" s="4252">
        <v>5002.5</v>
      </c>
      <c r="L23" s="4252">
        <v>3619</v>
      </c>
      <c r="M23" s="4252">
        <v>4720</v>
      </c>
      <c r="N23" s="4253">
        <v>6513</v>
      </c>
      <c r="O23" s="4254">
        <v>7480</v>
      </c>
      <c r="P23" s="4254">
        <v>8865</v>
      </c>
      <c r="Q23" s="4254">
        <v>9117</v>
      </c>
      <c r="R23" s="4252">
        <v>9511</v>
      </c>
      <c r="S23" s="4252">
        <v>9741</v>
      </c>
      <c r="T23" s="4252">
        <v>9134</v>
      </c>
      <c r="U23" s="4252">
        <v>10263</v>
      </c>
      <c r="V23" s="4252">
        <v>10526</v>
      </c>
      <c r="W23" s="4252">
        <v>10912.832</v>
      </c>
      <c r="X23" s="4252">
        <v>11050.361000000001</v>
      </c>
      <c r="Y23" s="4255">
        <v>10.965843999999999</v>
      </c>
      <c r="Z23" s="4255">
        <v>10.904838</v>
      </c>
      <c r="AA23" s="4255">
        <v>10.896000000000001</v>
      </c>
      <c r="AB23" s="4255">
        <v>10.893000000000001</v>
      </c>
      <c r="AC23" s="4255">
        <v>10.901</v>
      </c>
      <c r="AD23" s="4255">
        <v>10.296633800000002</v>
      </c>
      <c r="AE23" s="4255">
        <v>10.190211439999999</v>
      </c>
      <c r="AF23" s="4255">
        <v>10.033519119999998</v>
      </c>
      <c r="AG23" s="4256">
        <v>9.6</v>
      </c>
      <c r="AH23" s="4257">
        <f>AG23/AF23-1</f>
        <v>-4.3207085651120747E-2</v>
      </c>
      <c r="AI23" s="4258">
        <f>AG23/$AG$25</f>
        <v>2.480761180222131E-2</v>
      </c>
      <c r="AJ23" s="4243"/>
      <c r="AK23" s="4259"/>
    </row>
    <row r="24" spans="2:37" ht="30" customHeight="1">
      <c r="C24" s="4265"/>
      <c r="D24" s="4266"/>
      <c r="E24" s="4266"/>
      <c r="F24" s="4266"/>
      <c r="G24" s="4266"/>
      <c r="H24" s="4266"/>
      <c r="I24" s="4266"/>
      <c r="J24" s="4266"/>
      <c r="K24" s="4267"/>
      <c r="L24" s="4268"/>
      <c r="M24" s="4269"/>
      <c r="N24" s="4270"/>
      <c r="O24" s="4271"/>
      <c r="P24" s="4271"/>
      <c r="Q24" s="4271"/>
      <c r="R24" s="4269"/>
      <c r="S24" s="4269"/>
      <c r="T24" s="4269"/>
      <c r="U24" s="4269"/>
      <c r="V24" s="4269"/>
      <c r="W24" s="4269"/>
      <c r="X24" s="4269"/>
      <c r="Y24" s="4272"/>
      <c r="Z24" s="4272"/>
      <c r="AA24" s="4272"/>
      <c r="AB24" s="4272"/>
      <c r="AC24" s="4273"/>
      <c r="AD24" s="4272"/>
      <c r="AE24" s="4272"/>
      <c r="AF24" s="4274"/>
      <c r="AG24" s="4275"/>
      <c r="AH24" s="4257"/>
      <c r="AI24" s="4276"/>
      <c r="AJ24" s="4243"/>
    </row>
    <row r="25" spans="2:37" ht="30" customHeight="1">
      <c r="B25" s="4277"/>
      <c r="C25" s="4278" t="s">
        <v>115</v>
      </c>
      <c r="D25" s="4279">
        <v>163330</v>
      </c>
      <c r="E25" s="4279">
        <v>165217</v>
      </c>
      <c r="F25" s="4279">
        <v>180757</v>
      </c>
      <c r="G25" s="4279">
        <v>9.4100000000000003E-2</v>
      </c>
      <c r="H25" s="4279">
        <v>198827.74</v>
      </c>
      <c r="I25" s="4279">
        <v>215661.23</v>
      </c>
      <c r="J25" s="4279">
        <v>234079.68</v>
      </c>
      <c r="K25" s="4280">
        <v>243416.9</v>
      </c>
      <c r="L25" s="4281">
        <v>239409</v>
      </c>
      <c r="M25" s="4280">
        <f t="shared" ref="M25:S25" si="0">M23+M19+M15+M11+M7</f>
        <v>256158</v>
      </c>
      <c r="N25" s="4280">
        <f t="shared" si="0"/>
        <v>266564</v>
      </c>
      <c r="O25" s="4282">
        <f t="shared" si="0"/>
        <v>277400</v>
      </c>
      <c r="P25" s="4280">
        <f t="shared" si="0"/>
        <v>284398</v>
      </c>
      <c r="Q25" s="4282">
        <f t="shared" si="0"/>
        <v>297841</v>
      </c>
      <c r="R25" s="4283">
        <f t="shared" si="0"/>
        <v>301975</v>
      </c>
      <c r="S25" s="4283">
        <f t="shared" si="0"/>
        <v>315123</v>
      </c>
      <c r="T25" s="4283">
        <f>+T23+T19+T15+T11+T7</f>
        <v>310091</v>
      </c>
      <c r="U25" s="4283">
        <f>+U23+U19+U15+U11+U7</f>
        <v>333377</v>
      </c>
      <c r="V25" s="4283">
        <f>+V23+V19+V15+V11+V7</f>
        <v>329324</v>
      </c>
      <c r="W25" s="4283">
        <f t="shared" ref="W25:AB25" si="1">+W7+W11+W15+W19+W23</f>
        <v>334478.92</v>
      </c>
      <c r="X25" s="4283">
        <f t="shared" si="1"/>
        <v>331939.05</v>
      </c>
      <c r="Y25" s="4284">
        <f t="shared" si="1"/>
        <v>337.53997600000002</v>
      </c>
      <c r="Z25" s="4284">
        <f t="shared" si="1"/>
        <v>348.22908999999993</v>
      </c>
      <c r="AA25" s="4284">
        <f t="shared" si="1"/>
        <v>359.65400000000005</v>
      </c>
      <c r="AB25" s="4284">
        <f t="shared" si="1"/>
        <v>361.62199999999996</v>
      </c>
      <c r="AC25" s="4285">
        <f>AC7+AC11+AC15+AC19+AC23</f>
        <v>369.4980000000001</v>
      </c>
      <c r="AD25" s="4285">
        <f>AD7+AD11+AD15+AD19+AD23</f>
        <v>336.47295279999997</v>
      </c>
      <c r="AE25" s="4285">
        <f>AE7+AE11+AE15+AE19+AE23</f>
        <v>352.87406043999994</v>
      </c>
      <c r="AF25" s="4285">
        <f>AF7+AF11+AF15+AF19+AF23</f>
        <v>373.66340011999904</v>
      </c>
      <c r="AG25" s="4285">
        <f>AG7+AG11+AG15+AG19+AG23</f>
        <v>386.97800000000007</v>
      </c>
      <c r="AH25" s="4286">
        <f>AG25/AF25-1</f>
        <v>3.5632603770465954E-2</v>
      </c>
      <c r="AI25" s="4287">
        <f>AI7+AI11+AI15+AI19+AI23</f>
        <v>0.99999999999999989</v>
      </c>
      <c r="AJ25" s="4288"/>
    </row>
    <row r="26" spans="2:37" ht="30" customHeight="1">
      <c r="C26" s="4289"/>
      <c r="D26" s="4243"/>
      <c r="E26" s="4243"/>
      <c r="F26" s="4243"/>
      <c r="G26" s="4243"/>
      <c r="H26" s="4243"/>
      <c r="I26" s="4243"/>
      <c r="J26" s="4243"/>
      <c r="K26" s="4252"/>
      <c r="L26" s="4290"/>
      <c r="M26" s="4252"/>
      <c r="N26" s="4253"/>
      <c r="O26" s="4254"/>
      <c r="P26" s="4254"/>
      <c r="Q26" s="4254"/>
      <c r="R26" s="4252"/>
      <c r="S26" s="4252"/>
      <c r="T26" s="4252"/>
      <c r="U26" s="4252"/>
      <c r="V26" s="4252"/>
      <c r="W26" s="4252"/>
      <c r="X26" s="4252"/>
      <c r="Y26" s="4260"/>
      <c r="Z26" s="4260"/>
      <c r="AA26" s="4260"/>
      <c r="AB26" s="4260"/>
      <c r="AC26" s="4261"/>
      <c r="AD26" s="4260"/>
      <c r="AE26" s="4260"/>
      <c r="AF26" s="4274"/>
      <c r="AG26" s="4275"/>
      <c r="AH26" s="4291"/>
      <c r="AI26" s="4292"/>
      <c r="AJ26" s="4243"/>
    </row>
    <row r="27" spans="2:37" ht="30" customHeight="1">
      <c r="C27" s="4264" t="s">
        <v>116</v>
      </c>
      <c r="D27" s="4243">
        <v>8074</v>
      </c>
      <c r="E27" s="4243">
        <v>8190</v>
      </c>
      <c r="F27" s="4243">
        <v>8455</v>
      </c>
      <c r="G27" s="4243">
        <v>3.2399999999999998E-2</v>
      </c>
      <c r="H27" s="4243">
        <v>8506.1</v>
      </c>
      <c r="I27" s="4243">
        <v>10489</v>
      </c>
      <c r="J27" s="4243">
        <v>11758.7</v>
      </c>
      <c r="K27" s="4252">
        <v>12211.3</v>
      </c>
      <c r="L27" s="4290">
        <v>11939</v>
      </c>
      <c r="M27" s="4252">
        <v>11973</v>
      </c>
      <c r="N27" s="4253">
        <v>12134</v>
      </c>
      <c r="O27" s="4254">
        <v>13407</v>
      </c>
      <c r="P27" s="4254">
        <v>13071</v>
      </c>
      <c r="Q27" s="4254">
        <v>13185</v>
      </c>
      <c r="R27" s="4252">
        <v>14256</v>
      </c>
      <c r="S27" s="4252">
        <v>14313</v>
      </c>
      <c r="T27" s="4252">
        <v>14127</v>
      </c>
      <c r="U27" s="4252">
        <v>14599</v>
      </c>
      <c r="V27" s="4252">
        <v>14487.958915000001</v>
      </c>
      <c r="W27" s="4252">
        <v>14706</v>
      </c>
      <c r="X27" s="4252">
        <v>13918.281999999999</v>
      </c>
      <c r="Y27" s="4255">
        <v>13.714796</v>
      </c>
      <c r="Z27" s="4255">
        <v>13.769678000000001</v>
      </c>
      <c r="AA27" s="4255">
        <v>13.196</v>
      </c>
      <c r="AB27" s="4255">
        <v>12.288</v>
      </c>
      <c r="AC27" s="4255">
        <v>12.324999999999999</v>
      </c>
      <c r="AD27" s="4255">
        <v>12.016</v>
      </c>
      <c r="AE27" s="4255">
        <v>12.846200454000007</v>
      </c>
      <c r="AF27" s="4255">
        <v>12.256425241000008</v>
      </c>
      <c r="AG27" s="4256">
        <v>12.337</v>
      </c>
      <c r="AH27" s="4257">
        <f>AF27/AE27-1</f>
        <v>-4.5910478752988593E-2</v>
      </c>
      <c r="AI27" s="4258">
        <f>AG27/AG25</f>
        <v>3.1880365292083782E-2</v>
      </c>
      <c r="AJ27" s="4243"/>
    </row>
    <row r="28" spans="2:37" ht="30" customHeight="1">
      <c r="B28" s="4277"/>
      <c r="C28" s="4239"/>
      <c r="D28" s="4243"/>
      <c r="E28" s="4243"/>
      <c r="F28" s="4243"/>
      <c r="G28" s="4243"/>
      <c r="H28" s="4243"/>
      <c r="I28" s="4243"/>
      <c r="J28" s="4243"/>
      <c r="K28" s="4252"/>
      <c r="L28" s="4293"/>
      <c r="M28" s="4252"/>
      <c r="N28" s="4253"/>
      <c r="O28" s="4254"/>
      <c r="P28" s="4254"/>
      <c r="Q28" s="4254"/>
      <c r="R28" s="4252"/>
      <c r="S28" s="4252"/>
      <c r="T28" s="4252"/>
      <c r="U28" s="4252"/>
      <c r="V28" s="4252"/>
      <c r="W28" s="4252"/>
      <c r="X28" s="4252"/>
      <c r="Y28" s="4255"/>
      <c r="Z28" s="4255"/>
      <c r="AA28" s="4255"/>
      <c r="AB28" s="4255"/>
      <c r="AC28" s="4294"/>
      <c r="AD28" s="4294"/>
      <c r="AE28" s="4294"/>
      <c r="AF28" s="4294"/>
      <c r="AG28" s="4295"/>
      <c r="AH28" s="4257"/>
      <c r="AI28" s="4258"/>
      <c r="AJ28" s="4243"/>
    </row>
    <row r="29" spans="2:37" ht="30" customHeight="1">
      <c r="B29" s="4277"/>
      <c r="C29" s="4239" t="s">
        <v>117</v>
      </c>
      <c r="D29" s="4243">
        <v>25171</v>
      </c>
      <c r="E29" s="4243">
        <v>24628</v>
      </c>
      <c r="F29" s="4243">
        <v>23935</v>
      </c>
      <c r="G29" s="4243">
        <v>-2.81E-2</v>
      </c>
      <c r="H29" s="4243">
        <v>26749</v>
      </c>
      <c r="I29" s="4243">
        <v>28247.5</v>
      </c>
      <c r="J29" s="4243">
        <v>29107.8</v>
      </c>
      <c r="K29" s="4252">
        <v>29113.8</v>
      </c>
      <c r="L29" s="4290">
        <v>33212</v>
      </c>
      <c r="M29" s="4252">
        <v>37362</v>
      </c>
      <c r="N29" s="4253">
        <v>30439</v>
      </c>
      <c r="O29" s="4254">
        <v>33115</v>
      </c>
      <c r="P29" s="4254">
        <v>34423</v>
      </c>
      <c r="Q29" s="4254">
        <v>34672</v>
      </c>
      <c r="R29" s="4252">
        <v>36106</v>
      </c>
      <c r="S29" s="4252">
        <v>33957</v>
      </c>
      <c r="T29" s="4252">
        <v>36033</v>
      </c>
      <c r="U29" s="4252">
        <v>37234</v>
      </c>
      <c r="V29" s="4252">
        <v>37298.787844999999</v>
      </c>
      <c r="W29" s="4252">
        <v>33791</v>
      </c>
      <c r="X29" s="4252">
        <v>33574.387000000002</v>
      </c>
      <c r="Y29" s="4255">
        <v>30.013192</v>
      </c>
      <c r="Z29" s="4255">
        <v>29.431776999999997</v>
      </c>
      <c r="AA29" s="4255">
        <v>27.45</v>
      </c>
      <c r="AB29" s="4255">
        <v>24.315999999999999</v>
      </c>
      <c r="AC29" s="4255">
        <v>26.098195000000011</v>
      </c>
      <c r="AD29" s="4255">
        <v>19.042000000000002</v>
      </c>
      <c r="AE29" s="4255">
        <v>24.498111067739995</v>
      </c>
      <c r="AF29" s="4255">
        <v>23.485524805740003</v>
      </c>
      <c r="AG29" s="4256">
        <v>24.181000000000001</v>
      </c>
      <c r="AH29" s="4257">
        <f>AF29/AE29-1</f>
        <v>-4.1333238272945994E-2</v>
      </c>
      <c r="AI29" s="4258">
        <f>AG29/AG25</f>
        <v>6.2486756353074324E-2</v>
      </c>
      <c r="AJ29" s="4243"/>
    </row>
    <row r="30" spans="2:37" ht="30" customHeight="1">
      <c r="B30" s="4277"/>
      <c r="C30" s="4239"/>
      <c r="D30" s="4243"/>
      <c r="E30" s="4243"/>
      <c r="F30" s="4243"/>
      <c r="G30" s="4243"/>
      <c r="H30" s="4243"/>
      <c r="I30" s="4243"/>
      <c r="J30" s="4243"/>
      <c r="K30" s="4252"/>
      <c r="L30" s="4290"/>
      <c r="M30" s="4252"/>
      <c r="N30" s="4253"/>
      <c r="O30" s="4254"/>
      <c r="P30" s="4254"/>
      <c r="Q30" s="4296"/>
      <c r="R30" s="4252"/>
      <c r="S30" s="4252"/>
      <c r="T30" s="4252"/>
      <c r="U30" s="4252"/>
      <c r="V30" s="4252"/>
      <c r="W30" s="4252"/>
      <c r="X30" s="4252"/>
      <c r="Y30" s="4260"/>
      <c r="Z30" s="4260"/>
      <c r="AA30" s="4260"/>
      <c r="AB30" s="4260"/>
      <c r="AC30" s="4273"/>
      <c r="AD30" s="4260"/>
      <c r="AE30" s="4260"/>
      <c r="AF30" s="4255"/>
      <c r="AG30" s="4256"/>
      <c r="AH30" s="4291"/>
      <c r="AI30" s="4258"/>
      <c r="AJ30" s="4243"/>
    </row>
    <row r="31" spans="2:37" ht="30" customHeight="1">
      <c r="B31" s="4277"/>
      <c r="C31" s="4297" t="s">
        <v>118</v>
      </c>
      <c r="D31" s="4298">
        <v>196575</v>
      </c>
      <c r="E31" s="4299">
        <v>198035</v>
      </c>
      <c r="F31" s="4299">
        <v>213147</v>
      </c>
      <c r="G31" s="4299">
        <v>7.6300000000000007E-2</v>
      </c>
      <c r="H31" s="4299">
        <v>234083.04</v>
      </c>
      <c r="I31" s="4299">
        <v>254397.83</v>
      </c>
      <c r="J31" s="4299">
        <v>274946.18</v>
      </c>
      <c r="K31" s="4283">
        <v>284741.90000000002</v>
      </c>
      <c r="L31" s="4300">
        <v>284560</v>
      </c>
      <c r="M31" s="4283">
        <f t="shared" ref="M31:AD31" si="2">+M29+M27+M25</f>
        <v>305493</v>
      </c>
      <c r="N31" s="4283">
        <f t="shared" si="2"/>
        <v>309137</v>
      </c>
      <c r="O31" s="4301">
        <f t="shared" si="2"/>
        <v>323922</v>
      </c>
      <c r="P31" s="4283">
        <f t="shared" si="2"/>
        <v>331892</v>
      </c>
      <c r="Q31" s="4301">
        <f t="shared" si="2"/>
        <v>345698</v>
      </c>
      <c r="R31" s="4283">
        <f t="shared" si="2"/>
        <v>352337</v>
      </c>
      <c r="S31" s="4283">
        <f t="shared" si="2"/>
        <v>363393</v>
      </c>
      <c r="T31" s="4283">
        <f t="shared" si="2"/>
        <v>360251</v>
      </c>
      <c r="U31" s="4283">
        <f t="shared" si="2"/>
        <v>385210</v>
      </c>
      <c r="V31" s="4283">
        <f t="shared" si="2"/>
        <v>381110.74676000001</v>
      </c>
      <c r="W31" s="4283">
        <f t="shared" si="2"/>
        <v>382975.92</v>
      </c>
      <c r="X31" s="4283">
        <f t="shared" si="2"/>
        <v>379431.71899999998</v>
      </c>
      <c r="Y31" s="4284">
        <f t="shared" si="2"/>
        <v>381.26796400000001</v>
      </c>
      <c r="Z31" s="4284">
        <f t="shared" si="2"/>
        <v>391.43054499999994</v>
      </c>
      <c r="AA31" s="4284">
        <f t="shared" si="2"/>
        <v>400.30000000000007</v>
      </c>
      <c r="AB31" s="4284">
        <f t="shared" si="2"/>
        <v>398.22599999999994</v>
      </c>
      <c r="AC31" s="4285">
        <f t="shared" si="2"/>
        <v>407.92119500000013</v>
      </c>
      <c r="AD31" s="4284">
        <f t="shared" si="2"/>
        <v>367.53095279999997</v>
      </c>
      <c r="AE31" s="4284">
        <f>+AE29+AE27+AE25</f>
        <v>390.21837196173993</v>
      </c>
      <c r="AF31" s="4284">
        <f>+AF29+AF27+AF25</f>
        <v>409.40535016673903</v>
      </c>
      <c r="AG31" s="4284">
        <f>+AG29+AG27+AG25</f>
        <v>423.49600000000009</v>
      </c>
      <c r="AH31" s="4286">
        <f>AG31/AF31-1</f>
        <v>3.4417356362153928E-2</v>
      </c>
      <c r="AI31" s="4302"/>
      <c r="AJ31" s="4303"/>
    </row>
    <row r="32" spans="2:37" ht="30" customHeight="1" thickBot="1">
      <c r="C32" s="4304" t="s">
        <v>397</v>
      </c>
      <c r="D32" s="4305">
        <v>0.12809999999999999</v>
      </c>
      <c r="E32" s="4305">
        <v>0.12436185522761128</v>
      </c>
      <c r="F32" s="4305">
        <v>0.11229339376111322</v>
      </c>
      <c r="G32" s="4305">
        <v>9.4399999999999998E-2</v>
      </c>
      <c r="H32" s="4305">
        <v>0.11427141411013801</v>
      </c>
      <c r="I32" s="4305">
        <v>0.11103671756948556</v>
      </c>
      <c r="J32" s="4306">
        <v>10.586726464066532</v>
      </c>
      <c r="K32" s="4307">
        <v>10.224627987661808</v>
      </c>
      <c r="L32" s="4308">
        <v>11.67</v>
      </c>
      <c r="M32" s="4307">
        <v>12.230067464720959</v>
      </c>
      <c r="N32" s="4309">
        <v>9.8464434862213199</v>
      </c>
      <c r="O32" s="4310">
        <v>10.22314013867536</v>
      </c>
      <c r="P32" s="4311">
        <f t="shared" ref="P32:Y32" si="3">+P31/O31-1</f>
        <v>2.460468878310218E-2</v>
      </c>
      <c r="Q32" s="4312">
        <f t="shared" si="3"/>
        <v>4.159786918636188E-2</v>
      </c>
      <c r="R32" s="4311">
        <f t="shared" si="3"/>
        <v>1.9204623688884537E-2</v>
      </c>
      <c r="S32" s="4311">
        <f t="shared" si="3"/>
        <v>3.1379049035440421E-2</v>
      </c>
      <c r="T32" s="4311">
        <f t="shared" si="3"/>
        <v>-8.6462865272584066E-3</v>
      </c>
      <c r="U32" s="4311">
        <f t="shared" si="3"/>
        <v>6.9282250430949599E-2</v>
      </c>
      <c r="V32" s="4311">
        <f t="shared" si="3"/>
        <v>-1.0641606500350398E-2</v>
      </c>
      <c r="W32" s="4311">
        <f t="shared" si="3"/>
        <v>4.8940452502499454E-3</v>
      </c>
      <c r="X32" s="4311">
        <f t="shared" si="3"/>
        <v>-9.2543703531020594E-3</v>
      </c>
      <c r="Y32" s="4313">
        <f t="shared" si="3"/>
        <v>-0.99899516053901649</v>
      </c>
      <c r="Z32" s="4313">
        <f t="shared" ref="Z32:AG32" si="4">+Z31/Y31-1</f>
        <v>2.6654694229699016E-2</v>
      </c>
      <c r="AA32" s="4313">
        <f t="shared" si="4"/>
        <v>2.2659077359433288E-2</v>
      </c>
      <c r="AB32" s="4313">
        <f t="shared" si="4"/>
        <v>-5.1811141643770542E-3</v>
      </c>
      <c r="AC32" s="4313">
        <f t="shared" si="4"/>
        <v>2.4345961840764208E-2</v>
      </c>
      <c r="AD32" s="4313">
        <f t="shared" si="4"/>
        <v>-9.9014816329904498E-2</v>
      </c>
      <c r="AE32" s="4313">
        <f t="shared" si="4"/>
        <v>6.1729274742434725E-2</v>
      </c>
      <c r="AF32" s="4313">
        <f t="shared" si="4"/>
        <v>4.9169848432662588E-2</v>
      </c>
      <c r="AG32" s="4313">
        <f t="shared" si="4"/>
        <v>3.4417356362153928E-2</v>
      </c>
      <c r="AH32" s="4314"/>
      <c r="AI32" s="4315"/>
      <c r="AJ32" s="4316"/>
    </row>
    <row r="33" spans="3:35" ht="30" customHeight="1">
      <c r="C33" s="5818" t="s">
        <v>119</v>
      </c>
      <c r="D33" s="5819"/>
      <c r="E33" s="5819"/>
      <c r="F33" s="5819"/>
      <c r="G33" s="5819"/>
      <c r="H33" s="5819"/>
      <c r="I33" s="5819"/>
      <c r="J33" s="5819"/>
      <c r="K33" s="5820"/>
      <c r="L33" s="4317"/>
      <c r="M33" s="4318"/>
      <c r="N33" s="4318"/>
      <c r="O33" s="4318"/>
      <c r="P33" s="4319"/>
      <c r="Q33" s="4320"/>
      <c r="R33" s="4319"/>
      <c r="S33" s="4320"/>
      <c r="T33" s="4320"/>
      <c r="U33" s="4320"/>
      <c r="V33" s="4320"/>
      <c r="W33" s="4320"/>
      <c r="X33" s="4320"/>
      <c r="Y33" s="4321"/>
      <c r="Z33" s="4322"/>
      <c r="AA33" s="4322"/>
      <c r="AB33" s="4322"/>
      <c r="AC33" s="4323"/>
      <c r="AD33" s="4323"/>
      <c r="AE33" s="4323"/>
      <c r="AF33" s="4323"/>
      <c r="AG33" s="4323"/>
      <c r="AH33" s="4323"/>
      <c r="AI33" s="4323"/>
    </row>
    <row r="34" spans="3:35" ht="30" customHeight="1">
      <c r="C34" s="5188" t="s">
        <v>269</v>
      </c>
      <c r="D34" s="5188"/>
      <c r="E34" s="5188"/>
      <c r="F34" s="5188"/>
      <c r="G34" s="5188"/>
      <c r="H34" s="5188"/>
      <c r="I34" s="5188"/>
      <c r="J34" s="5188"/>
      <c r="K34" s="5188"/>
      <c r="L34" s="4317"/>
      <c r="M34" s="4318"/>
      <c r="N34" s="4318"/>
      <c r="O34" s="4318"/>
      <c r="P34" s="4320"/>
      <c r="Q34" s="4320"/>
      <c r="R34" s="4320"/>
      <c r="S34" s="4320"/>
      <c r="T34" s="4320"/>
      <c r="U34" s="4320"/>
      <c r="V34" s="4320"/>
      <c r="W34" s="4320"/>
      <c r="X34" s="4320"/>
      <c r="Y34" s="4321"/>
      <c r="Z34" s="4322"/>
      <c r="AA34" s="4322"/>
      <c r="AB34" s="4322"/>
      <c r="AC34" s="4323"/>
      <c r="AD34" s="4323"/>
      <c r="AE34" s="4323"/>
      <c r="AF34" s="4323"/>
      <c r="AG34" s="4323"/>
      <c r="AH34" s="4323"/>
      <c r="AI34" s="4323"/>
    </row>
    <row r="35" spans="3:35">
      <c r="C35" s="4215" t="s">
        <v>268</v>
      </c>
      <c r="L35" s="4239"/>
      <c r="M35" s="4239"/>
      <c r="N35" s="4239"/>
      <c r="O35" s="4239"/>
      <c r="P35" s="4239"/>
      <c r="Q35" s="4243"/>
      <c r="R35" s="4243"/>
      <c r="S35" s="4243"/>
      <c r="T35" s="4243"/>
      <c r="U35" s="4243"/>
      <c r="V35" s="4243"/>
      <c r="W35" s="4243"/>
      <c r="X35" s="4243"/>
      <c r="Y35" s="4243"/>
      <c r="Z35" s="4243"/>
      <c r="AA35" s="4243"/>
      <c r="AB35" s="4243"/>
      <c r="AC35" s="4324"/>
      <c r="AD35" s="4243"/>
      <c r="AE35" s="4243"/>
      <c r="AF35" s="4243"/>
      <c r="AG35" s="4243"/>
      <c r="AH35" s="4243"/>
      <c r="AI35" s="4243"/>
    </row>
    <row r="36" spans="3:35">
      <c r="C36" s="4239"/>
      <c r="D36" s="4239"/>
      <c r="E36" s="4239"/>
      <c r="F36" s="4239"/>
      <c r="G36" s="4239"/>
      <c r="H36" s="4239"/>
      <c r="I36" s="4239"/>
      <c r="J36" s="4239"/>
      <c r="K36" s="4239"/>
      <c r="L36" s="4239"/>
      <c r="M36" s="4325"/>
      <c r="N36" s="4325"/>
      <c r="O36" s="4325"/>
      <c r="P36" s="4325"/>
      <c r="Q36" s="4325"/>
      <c r="R36" s="4325"/>
      <c r="S36" s="4325"/>
      <c r="T36" s="4325"/>
      <c r="U36" s="4325"/>
      <c r="V36" s="4325"/>
      <c r="W36" s="4325"/>
      <c r="X36" s="4325"/>
      <c r="Y36" s="4325"/>
      <c r="Z36" s="4325"/>
      <c r="AA36" s="4325"/>
      <c r="AB36" s="4325"/>
      <c r="AC36" s="4243"/>
      <c r="AD36" s="4243"/>
      <c r="AE36" s="4243"/>
      <c r="AF36" s="4243"/>
      <c r="AG36" s="4243"/>
      <c r="AH36" s="4243"/>
      <c r="AI36" s="4243"/>
    </row>
    <row r="37" spans="3:35">
      <c r="N37" s="4326"/>
      <c r="O37" s="4326"/>
      <c r="P37" s="4326"/>
      <c r="Q37" s="4326"/>
      <c r="R37" s="4326"/>
      <c r="S37" s="4326"/>
      <c r="T37" s="4326"/>
      <c r="U37" s="4326"/>
      <c r="V37" s="4326"/>
      <c r="W37" s="4326"/>
      <c r="X37" s="4326"/>
      <c r="Y37" s="4326"/>
      <c r="Z37" s="4326"/>
      <c r="AA37" s="4326"/>
      <c r="AB37" s="4326"/>
    </row>
    <row r="78" spans="3:3">
      <c r="C78" s="4215" t="s">
        <v>747</v>
      </c>
    </row>
  </sheetData>
  <mergeCells count="4">
    <mergeCell ref="C33:K33"/>
    <mergeCell ref="C1:AI1"/>
    <mergeCell ref="C2:AI2"/>
    <mergeCell ref="C3:AI3"/>
  </mergeCells>
  <printOptions horizontalCentered="1" verticalCentered="1"/>
  <pageMargins left="0.25" right="0.25" top="0.75" bottom="0.75" header="0.3" footer="0.3"/>
  <pageSetup scale="41" firstPageNumber="103" orientation="landscape" useFirstPageNumber="1" r:id="rId1"/>
  <headerFooter scaleWithDoc="0" alignWithMargins="0">
    <oddFooter xml:space="preserve">&amp;C119
</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tabColor rgb="FF00B0F0"/>
    <pageSetUpPr fitToPage="1"/>
  </sheetPr>
  <dimension ref="B1:AH80"/>
  <sheetViews>
    <sheetView view="pageBreakPreview" topLeftCell="A4" zoomScale="40" zoomScaleNormal="100" zoomScaleSheetLayoutView="40" workbookViewId="0">
      <selection activeCell="Y31" sqref="Y31"/>
    </sheetView>
  </sheetViews>
  <sheetFormatPr defaultColWidth="9.46484375" defaultRowHeight="33"/>
  <cols>
    <col min="1" max="1" width="9.46484375" style="225"/>
    <col min="2" max="2" width="47.46484375" style="211" customWidth="1"/>
    <col min="3" max="8" width="9.46484375" style="225" hidden="1" customWidth="1"/>
    <col min="9" max="9" width="9" style="225" hidden="1" customWidth="1"/>
    <col min="10" max="16" width="9.46484375" style="225" hidden="1" customWidth="1"/>
    <col min="17" max="17" width="8" style="225" hidden="1" customWidth="1"/>
    <col min="18" max="18" width="13" style="225" hidden="1" customWidth="1"/>
    <col min="19" max="19" width="25.46484375" style="225" hidden="1" customWidth="1"/>
    <col min="20" max="22" width="25.46484375" style="225" customWidth="1"/>
    <col min="23" max="24" width="23.6640625" style="225" customWidth="1"/>
    <col min="25" max="27" width="23.6640625" style="239" customWidth="1"/>
    <col min="28" max="31" width="23.6640625" style="247" customWidth="1"/>
    <col min="32" max="33" width="23.6640625" style="225" customWidth="1"/>
    <col min="34" max="34" width="11.46484375" style="225" bestFit="1" customWidth="1"/>
    <col min="35" max="16384" width="9.46484375" style="225"/>
  </cols>
  <sheetData>
    <row r="1" spans="2:33" ht="27" customHeight="1">
      <c r="B1" s="5822" t="s">
        <v>683</v>
      </c>
      <c r="C1" s="5822"/>
      <c r="D1" s="5822"/>
      <c r="E1" s="5822"/>
      <c r="F1" s="5822"/>
      <c r="G1" s="5822"/>
      <c r="H1" s="5822"/>
      <c r="I1" s="5822"/>
      <c r="J1" s="5822"/>
      <c r="K1" s="5822"/>
      <c r="L1" s="5822"/>
      <c r="M1" s="5822"/>
      <c r="N1" s="5822"/>
      <c r="O1" s="5822"/>
      <c r="P1" s="5822"/>
      <c r="Q1" s="5822"/>
      <c r="R1" s="5822"/>
      <c r="S1" s="5822"/>
      <c r="T1" s="5822"/>
      <c r="U1" s="5822"/>
      <c r="V1" s="5822"/>
      <c r="W1" s="5822"/>
      <c r="X1" s="5822"/>
      <c r="Y1" s="5822"/>
      <c r="Z1" s="5822"/>
      <c r="AA1" s="5822"/>
      <c r="AB1" s="5822"/>
      <c r="AC1" s="5822"/>
      <c r="AD1" s="5822"/>
      <c r="AE1" s="5822"/>
      <c r="AF1" s="5822"/>
      <c r="AG1" s="5822"/>
    </row>
    <row r="2" spans="2:33" ht="30" customHeight="1">
      <c r="B2" s="5822" t="s">
        <v>1521</v>
      </c>
      <c r="C2" s="5822"/>
      <c r="D2" s="5822"/>
      <c r="E2" s="5822"/>
      <c r="F2" s="5822"/>
      <c r="G2" s="5822"/>
      <c r="H2" s="5822"/>
      <c r="I2" s="5822"/>
      <c r="J2" s="5822"/>
      <c r="K2" s="5822"/>
      <c r="L2" s="5822"/>
      <c r="M2" s="5822"/>
      <c r="N2" s="5822"/>
      <c r="O2" s="5822"/>
      <c r="P2" s="5822"/>
      <c r="Q2" s="5822"/>
      <c r="R2" s="5822"/>
      <c r="S2" s="5822"/>
      <c r="T2" s="5822"/>
      <c r="U2" s="5822"/>
      <c r="V2" s="5822"/>
      <c r="W2" s="5822"/>
      <c r="X2" s="5822"/>
      <c r="Y2" s="5822"/>
      <c r="Z2" s="5822"/>
      <c r="AA2" s="5822"/>
      <c r="AB2" s="5822"/>
      <c r="AC2" s="5822"/>
      <c r="AD2" s="5822"/>
      <c r="AE2" s="5822"/>
      <c r="AF2" s="5822"/>
      <c r="AG2" s="5822"/>
    </row>
    <row r="3" spans="2:33" ht="33.4" thickBot="1">
      <c r="B3" s="835"/>
      <c r="C3" s="226" t="s">
        <v>120</v>
      </c>
      <c r="D3" s="226"/>
      <c r="E3" s="226"/>
      <c r="F3" s="226"/>
      <c r="G3" s="226"/>
      <c r="H3" s="226"/>
      <c r="I3" s="226"/>
      <c r="J3" s="226"/>
      <c r="K3" s="226"/>
      <c r="L3" s="226"/>
      <c r="M3" s="226"/>
      <c r="N3" s="226"/>
      <c r="O3" s="227"/>
      <c r="P3" s="226"/>
      <c r="Q3" s="226"/>
      <c r="R3" s="226"/>
      <c r="S3" s="226"/>
      <c r="T3" s="226"/>
      <c r="U3" s="226"/>
      <c r="V3" s="226"/>
      <c r="W3" s="226"/>
      <c r="X3" s="226"/>
      <c r="Y3" s="228"/>
      <c r="Z3" s="228"/>
      <c r="AA3" s="228"/>
      <c r="AB3" s="228"/>
      <c r="AC3" s="228"/>
      <c r="AD3" s="228"/>
      <c r="AE3" s="228"/>
    </row>
    <row r="4" spans="2:33" ht="32.65" thickBot="1">
      <c r="B4" s="4327"/>
      <c r="C4" s="256">
        <v>1993</v>
      </c>
      <c r="D4" s="256">
        <v>1994</v>
      </c>
      <c r="E4" s="256">
        <v>1995</v>
      </c>
      <c r="F4" s="256">
        <v>1996</v>
      </c>
      <c r="G4" s="256">
        <v>1997</v>
      </c>
      <c r="H4" s="256">
        <v>1998</v>
      </c>
      <c r="I4" s="257">
        <v>1999</v>
      </c>
      <c r="J4" s="257">
        <v>2000</v>
      </c>
      <c r="K4" s="257">
        <v>2001</v>
      </c>
      <c r="L4" s="260">
        <v>2002</v>
      </c>
      <c r="M4" s="257">
        <v>2003</v>
      </c>
      <c r="N4" s="257">
        <v>2004</v>
      </c>
      <c r="O4" s="257">
        <v>2005</v>
      </c>
      <c r="P4" s="256">
        <v>2006</v>
      </c>
      <c r="Q4" s="257">
        <v>2007</v>
      </c>
      <c r="R4" s="256">
        <v>2008</v>
      </c>
      <c r="S4" s="261">
        <v>2009</v>
      </c>
      <c r="T4" s="261">
        <v>2010</v>
      </c>
      <c r="U4" s="83">
        <v>2011</v>
      </c>
      <c r="V4" s="83">
        <v>2012</v>
      </c>
      <c r="W4" s="262">
        <v>2013</v>
      </c>
      <c r="X4" s="261">
        <v>2014</v>
      </c>
      <c r="Y4" s="261">
        <v>2015</v>
      </c>
      <c r="Z4" s="261">
        <v>2016</v>
      </c>
      <c r="AA4" s="83">
        <v>2017</v>
      </c>
      <c r="AB4" s="262">
        <v>2018</v>
      </c>
      <c r="AC4" s="83">
        <v>2019</v>
      </c>
      <c r="AD4" s="83">
        <v>2020</v>
      </c>
      <c r="AE4" s="2338">
        <v>2021</v>
      </c>
      <c r="AF4" s="4721">
        <v>2022</v>
      </c>
      <c r="AG4" s="263" t="s">
        <v>1959</v>
      </c>
    </row>
    <row r="5" spans="2:33" ht="36.5" customHeight="1">
      <c r="B5" s="4328" t="s">
        <v>399</v>
      </c>
      <c r="C5" s="264">
        <v>13.6</v>
      </c>
      <c r="D5" s="264">
        <v>11.2</v>
      </c>
      <c r="E5" s="265">
        <v>11.2</v>
      </c>
      <c r="F5" s="265">
        <v>13.8</v>
      </c>
      <c r="G5" s="265">
        <v>19.5</v>
      </c>
      <c r="H5" s="266">
        <v>14.4</v>
      </c>
      <c r="I5" s="267">
        <v>8.8000000000000007</v>
      </c>
      <c r="J5" s="267">
        <v>17.8</v>
      </c>
      <c r="K5" s="267">
        <v>18.8</v>
      </c>
      <c r="L5" s="268">
        <v>12.6</v>
      </c>
      <c r="M5" s="267">
        <v>18.8</v>
      </c>
      <c r="N5" s="267">
        <v>19.36</v>
      </c>
      <c r="O5" s="258">
        <v>26.4</v>
      </c>
      <c r="P5" s="269">
        <v>35.9</v>
      </c>
      <c r="Q5" s="258">
        <v>18</v>
      </c>
      <c r="R5" s="270">
        <v>13.8</v>
      </c>
      <c r="S5" s="271">
        <v>-0.13800000000000001</v>
      </c>
      <c r="T5" s="272">
        <v>-0.192</v>
      </c>
      <c r="U5" s="273">
        <v>0.13800000000000001</v>
      </c>
      <c r="V5" s="273">
        <v>0.17199999999999999</v>
      </c>
      <c r="W5" s="3215">
        <v>4.4000000000000004E-2</v>
      </c>
      <c r="X5" s="3216">
        <v>-1.6E-2</v>
      </c>
      <c r="Y5" s="3216">
        <v>-4.7E-2</v>
      </c>
      <c r="Z5" s="3216">
        <v>-0.17499999999999999</v>
      </c>
      <c r="AA5" s="3217">
        <v>-0.14499999999999999</v>
      </c>
      <c r="AB5" s="3218">
        <v>4.2999999999999997E-2</v>
      </c>
      <c r="AC5" s="3219">
        <v>8.3000000000000004E-2</v>
      </c>
      <c r="AD5" s="3220">
        <v>-2.7999999999999997E-2</v>
      </c>
      <c r="AE5" s="3220">
        <v>-1.7000000000000001E-2</v>
      </c>
      <c r="AF5" s="3221">
        <v>0.09</v>
      </c>
      <c r="AG5" s="3222">
        <v>2.7E-2</v>
      </c>
    </row>
    <row r="6" spans="2:33" ht="20" customHeight="1">
      <c r="B6" s="4329"/>
      <c r="C6" s="264"/>
      <c r="D6" s="264"/>
      <c r="E6" s="265"/>
      <c r="F6" s="265"/>
      <c r="G6" s="265"/>
      <c r="H6" s="266"/>
      <c r="I6" s="267"/>
      <c r="J6" s="267"/>
      <c r="K6" s="267"/>
      <c r="L6" s="268"/>
      <c r="M6" s="267"/>
      <c r="N6" s="267"/>
      <c r="O6" s="258"/>
      <c r="P6" s="269"/>
      <c r="Q6" s="258"/>
      <c r="R6" s="258"/>
      <c r="S6" s="272"/>
      <c r="T6" s="272"/>
      <c r="U6" s="272"/>
      <c r="V6" s="272"/>
      <c r="W6" s="3216"/>
      <c r="X6" s="3216"/>
      <c r="Y6" s="3216"/>
      <c r="Z6" s="3216"/>
      <c r="AA6" s="3216"/>
      <c r="AB6" s="3216"/>
      <c r="AC6" s="3216"/>
      <c r="AD6" s="3223"/>
      <c r="AE6" s="3223"/>
      <c r="AF6" s="3224"/>
      <c r="AG6" s="3225"/>
    </row>
    <row r="7" spans="2:33">
      <c r="B7" s="4329" t="s">
        <v>400</v>
      </c>
      <c r="C7" s="264">
        <v>11.6</v>
      </c>
      <c r="D7" s="264">
        <v>10.6</v>
      </c>
      <c r="E7" s="265">
        <v>10.6</v>
      </c>
      <c r="F7" s="265">
        <v>12.6</v>
      </c>
      <c r="G7" s="265">
        <v>16.7</v>
      </c>
      <c r="H7" s="266">
        <v>12.8</v>
      </c>
      <c r="I7" s="267">
        <v>8.1999999999999993</v>
      </c>
      <c r="J7" s="267">
        <v>13.8</v>
      </c>
      <c r="K7" s="267">
        <v>20.2</v>
      </c>
      <c r="L7" s="268">
        <v>12.4</v>
      </c>
      <c r="M7" s="267">
        <v>18.829999999999998</v>
      </c>
      <c r="N7" s="267">
        <v>20.23</v>
      </c>
      <c r="O7" s="258">
        <v>26.210975142506744</v>
      </c>
      <c r="P7" s="269">
        <v>35.43</v>
      </c>
      <c r="Q7" s="258">
        <v>-5.5</v>
      </c>
      <c r="R7" s="258">
        <v>10.7</v>
      </c>
      <c r="S7" s="272">
        <v>-0.26700000000000002</v>
      </c>
      <c r="T7" s="272">
        <v>7.9000000000000001E-2</v>
      </c>
      <c r="U7" s="273">
        <v>2.5000000000000001E-2</v>
      </c>
      <c r="V7" s="273">
        <v>0.04</v>
      </c>
      <c r="W7" s="3215">
        <v>-2.2000000000000002E-2</v>
      </c>
      <c r="X7" s="3216">
        <v>-5.0000000000000001E-3</v>
      </c>
      <c r="Y7" s="3216">
        <v>-3.5000000000000003E-2</v>
      </c>
      <c r="Z7" s="3216">
        <v>-0.1875</v>
      </c>
      <c r="AA7" s="3217">
        <v>3.9E-2</v>
      </c>
      <c r="AB7" s="3218">
        <v>6.0999999999999999E-2</v>
      </c>
      <c r="AC7" s="3219">
        <v>-8.0000000000000002E-3</v>
      </c>
      <c r="AD7" s="3220">
        <v>-1.4999999999999999E-2</v>
      </c>
      <c r="AE7" s="3220">
        <v>0.03</v>
      </c>
      <c r="AF7" s="3226">
        <v>0.11599999999999999</v>
      </c>
      <c r="AG7" s="3227">
        <v>-2.1999999999999999E-2</v>
      </c>
    </row>
    <row r="8" spans="2:33" ht="20" customHeight="1">
      <c r="B8" s="4329"/>
      <c r="C8" s="264"/>
      <c r="D8" s="264"/>
      <c r="E8" s="265"/>
      <c r="F8" s="265"/>
      <c r="G8" s="265"/>
      <c r="H8" s="266"/>
      <c r="I8" s="267"/>
      <c r="J8" s="267"/>
      <c r="K8" s="267"/>
      <c r="L8" s="268"/>
      <c r="M8" s="267"/>
      <c r="N8" s="267"/>
      <c r="O8" s="258"/>
      <c r="P8" s="269"/>
      <c r="Q8" s="258"/>
      <c r="R8" s="258"/>
      <c r="S8" s="272"/>
      <c r="T8" s="272"/>
      <c r="U8" s="272"/>
      <c r="V8" s="272"/>
      <c r="W8" s="3216"/>
      <c r="X8" s="3216"/>
      <c r="Y8" s="3216"/>
      <c r="Z8" s="3216"/>
      <c r="AA8" s="3216"/>
      <c r="AB8" s="3216"/>
      <c r="AC8" s="3216"/>
      <c r="AD8" s="3223"/>
      <c r="AE8" s="3223"/>
      <c r="AF8" s="3224"/>
      <c r="AG8" s="3225"/>
    </row>
    <row r="9" spans="2:33">
      <c r="B9" s="4329" t="s">
        <v>401</v>
      </c>
      <c r="C9" s="264">
        <v>12.8</v>
      </c>
      <c r="D9" s="264">
        <v>11.8</v>
      </c>
      <c r="E9" s="265">
        <v>12.5</v>
      </c>
      <c r="F9" s="265">
        <v>15</v>
      </c>
      <c r="G9" s="265">
        <v>15.4</v>
      </c>
      <c r="H9" s="266">
        <v>12.6</v>
      </c>
      <c r="I9" s="267">
        <v>7.9</v>
      </c>
      <c r="J9" s="267">
        <v>16.399999999999999</v>
      </c>
      <c r="K9" s="267">
        <v>16.2</v>
      </c>
      <c r="L9" s="268">
        <v>12</v>
      </c>
      <c r="M9" s="267">
        <v>22.4</v>
      </c>
      <c r="N9" s="267">
        <v>18.600000000000001</v>
      </c>
      <c r="O9" s="258">
        <v>25.921617400874315</v>
      </c>
      <c r="P9" s="269">
        <v>31.5</v>
      </c>
      <c r="Q9" s="258">
        <v>-3.2</v>
      </c>
      <c r="R9" s="258">
        <v>12.3</v>
      </c>
      <c r="S9" s="272">
        <v>-0.28600000000000003</v>
      </c>
      <c r="T9" s="272">
        <v>0.06</v>
      </c>
      <c r="U9" s="273">
        <v>2.1000000000000001E-2</v>
      </c>
      <c r="V9" s="273">
        <v>4.8000000000000001E-2</v>
      </c>
      <c r="W9" s="3215">
        <v>-1.6E-2</v>
      </c>
      <c r="X9" s="3216">
        <v>-1.3999999999999999E-2</v>
      </c>
      <c r="Y9" s="3216">
        <v>-0.01</v>
      </c>
      <c r="Z9" s="3216">
        <v>-0.18899999999999997</v>
      </c>
      <c r="AA9" s="3217">
        <v>4.0999999999999995E-2</v>
      </c>
      <c r="AB9" s="3218">
        <v>3.3000000000000002E-2</v>
      </c>
      <c r="AC9" s="3219">
        <v>9.0000000000000011E-3</v>
      </c>
      <c r="AD9" s="3220">
        <v>-3.7000000000000005E-2</v>
      </c>
      <c r="AE9" s="3220">
        <v>2.4E-2</v>
      </c>
      <c r="AF9" s="3226">
        <v>0.23600000000000002</v>
      </c>
      <c r="AG9" s="3227">
        <v>-6.0000000000000001E-3</v>
      </c>
    </row>
    <row r="10" spans="2:33" ht="20" customHeight="1">
      <c r="B10" s="4329"/>
      <c r="C10" s="264"/>
      <c r="D10" s="264"/>
      <c r="E10" s="265"/>
      <c r="F10" s="265"/>
      <c r="G10" s="265"/>
      <c r="H10" s="266"/>
      <c r="I10" s="267"/>
      <c r="J10" s="267"/>
      <c r="K10" s="267"/>
      <c r="L10" s="268"/>
      <c r="M10" s="267"/>
      <c r="N10" s="267"/>
      <c r="O10" s="258"/>
      <c r="P10" s="269"/>
      <c r="Q10" s="258"/>
      <c r="R10" s="258"/>
      <c r="S10" s="272"/>
      <c r="T10" s="272"/>
      <c r="U10" s="272"/>
      <c r="V10" s="272"/>
      <c r="W10" s="3216"/>
      <c r="X10" s="3216"/>
      <c r="Y10" s="3216"/>
      <c r="Z10" s="3216"/>
      <c r="AA10" s="3216"/>
      <c r="AB10" s="3216"/>
      <c r="AC10" s="3216"/>
      <c r="AD10" s="3223"/>
      <c r="AE10" s="3223"/>
      <c r="AF10" s="3224"/>
      <c r="AG10" s="3225"/>
    </row>
    <row r="11" spans="2:33">
      <c r="B11" s="4329" t="s">
        <v>402</v>
      </c>
      <c r="C11" s="264">
        <v>14.6</v>
      </c>
      <c r="D11" s="264">
        <v>11.8</v>
      </c>
      <c r="E11" s="265">
        <v>11.5</v>
      </c>
      <c r="F11" s="265">
        <v>16.5</v>
      </c>
      <c r="G11" s="265">
        <v>15.7</v>
      </c>
      <c r="H11" s="266">
        <v>13.7</v>
      </c>
      <c r="I11" s="267">
        <v>11.2</v>
      </c>
      <c r="J11" s="267">
        <v>18.5</v>
      </c>
      <c r="K11" s="267">
        <v>17.600000000000001</v>
      </c>
      <c r="L11" s="268">
        <v>15.6</v>
      </c>
      <c r="M11" s="267">
        <v>21.53</v>
      </c>
      <c r="N11" s="267">
        <v>19.78</v>
      </c>
      <c r="O11" s="258">
        <v>32.183495256117247</v>
      </c>
      <c r="P11" s="269">
        <v>3.73</v>
      </c>
      <c r="Q11" s="258">
        <v>-2.4</v>
      </c>
      <c r="R11" s="258">
        <v>19.8</v>
      </c>
      <c r="S11" s="272">
        <v>-0.312</v>
      </c>
      <c r="T11" s="272">
        <v>7.2000000000000008E-2</v>
      </c>
      <c r="U11" s="273">
        <v>4.4000000000000004E-2</v>
      </c>
      <c r="V11" s="273">
        <v>6.2E-2</v>
      </c>
      <c r="W11" s="3215">
        <v>-2.5000000000000001E-2</v>
      </c>
      <c r="X11" s="3216">
        <v>-1.2E-2</v>
      </c>
      <c r="Y11" s="3216">
        <v>-4.4999999999999998E-2</v>
      </c>
      <c r="Z11" s="3216">
        <v>-0.19600000000000001</v>
      </c>
      <c r="AA11" s="3217">
        <v>2.5000000000000001E-2</v>
      </c>
      <c r="AB11" s="3218">
        <v>4.2999999999999997E-2</v>
      </c>
      <c r="AC11" s="3219">
        <v>9.0000000000000011E-3</v>
      </c>
      <c r="AD11" s="3220">
        <v>-7.5999999999999998E-2</v>
      </c>
      <c r="AE11" s="3220">
        <v>2.9000000000000001E-2</v>
      </c>
      <c r="AF11" s="3226">
        <v>0.218</v>
      </c>
      <c r="AG11" s="3227">
        <v>-6.9000000000000006E-2</v>
      </c>
    </row>
    <row r="12" spans="2:33" ht="20" customHeight="1">
      <c r="B12" s="4329"/>
      <c r="C12" s="264"/>
      <c r="D12" s="264"/>
      <c r="E12" s="265"/>
      <c r="F12" s="265"/>
      <c r="G12" s="265"/>
      <c r="H12" s="266"/>
      <c r="I12" s="267"/>
      <c r="J12" s="267"/>
      <c r="K12" s="267"/>
      <c r="L12" s="268"/>
      <c r="M12" s="267"/>
      <c r="N12" s="267"/>
      <c r="O12" s="258"/>
      <c r="P12" s="269"/>
      <c r="Q12" s="258"/>
      <c r="R12" s="258"/>
      <c r="S12" s="272"/>
      <c r="T12" s="272"/>
      <c r="U12" s="272"/>
      <c r="V12" s="272"/>
      <c r="W12" s="3216"/>
      <c r="X12" s="3216"/>
      <c r="Y12" s="3216"/>
      <c r="Z12" s="3216"/>
      <c r="AA12" s="3216"/>
      <c r="AB12" s="3216"/>
      <c r="AC12" s="3216"/>
      <c r="AD12" s="3223"/>
      <c r="AE12" s="3223"/>
      <c r="AF12" s="3224"/>
      <c r="AG12" s="3225"/>
    </row>
    <row r="13" spans="2:33">
      <c r="B13" s="4329" t="s">
        <v>403</v>
      </c>
      <c r="C13" s="264">
        <v>13.8</v>
      </c>
      <c r="D13" s="264">
        <v>11.5</v>
      </c>
      <c r="E13" s="265">
        <v>11.5</v>
      </c>
      <c r="F13" s="265">
        <v>15.2</v>
      </c>
      <c r="G13" s="265">
        <v>14.1</v>
      </c>
      <c r="H13" s="266">
        <v>12.1</v>
      </c>
      <c r="I13" s="267">
        <v>10</v>
      </c>
      <c r="J13" s="267">
        <v>16.7</v>
      </c>
      <c r="K13" s="267">
        <v>16.5</v>
      </c>
      <c r="L13" s="268">
        <v>15</v>
      </c>
      <c r="M13" s="267">
        <v>16.5</v>
      </c>
      <c r="N13" s="267">
        <v>19.66</v>
      </c>
      <c r="O13" s="258">
        <v>32.742429190736281</v>
      </c>
      <c r="P13" s="269">
        <v>7.4</v>
      </c>
      <c r="Q13" s="258">
        <v>0.3</v>
      </c>
      <c r="R13" s="258">
        <v>22.3</v>
      </c>
      <c r="S13" s="272">
        <v>-0.28000000000000003</v>
      </c>
      <c r="T13" s="272">
        <v>9.1999999999999998E-2</v>
      </c>
      <c r="U13" s="273">
        <v>9.6999999999999989E-2</v>
      </c>
      <c r="V13" s="273">
        <v>6.6000000000000003E-2</v>
      </c>
      <c r="W13" s="3215">
        <v>-4.5999999999999999E-2</v>
      </c>
      <c r="X13" s="3216">
        <v>-1.2E-2</v>
      </c>
      <c r="Y13" s="3216">
        <v>-2.4E-2</v>
      </c>
      <c r="Z13" s="3216">
        <v>-0.182</v>
      </c>
      <c r="AA13" s="3217">
        <v>3.1E-2</v>
      </c>
      <c r="AB13" s="3218">
        <v>5.2000000000000005E-2</v>
      </c>
      <c r="AC13" s="3219">
        <v>-3.0000000000000001E-3</v>
      </c>
      <c r="AD13" s="3220">
        <v>-9.6999999999999989E-2</v>
      </c>
      <c r="AE13" s="3220">
        <v>3.2000000000000001E-2</v>
      </c>
      <c r="AF13" s="3226">
        <v>0.23899999999999999</v>
      </c>
      <c r="AG13" s="3227">
        <v>-0.13600000000000001</v>
      </c>
    </row>
    <row r="14" spans="2:33" ht="20" customHeight="1">
      <c r="B14" s="4329"/>
      <c r="C14" s="264"/>
      <c r="D14" s="264"/>
      <c r="E14" s="265"/>
      <c r="F14" s="265"/>
      <c r="G14" s="265"/>
      <c r="H14" s="266"/>
      <c r="I14" s="267"/>
      <c r="J14" s="267"/>
      <c r="K14" s="267"/>
      <c r="L14" s="268"/>
      <c r="M14" s="267"/>
      <c r="N14" s="267"/>
      <c r="O14" s="258"/>
      <c r="P14" s="269"/>
      <c r="Q14" s="258"/>
      <c r="R14" s="258"/>
      <c r="S14" s="272"/>
      <c r="T14" s="272"/>
      <c r="U14" s="272"/>
      <c r="V14" s="272"/>
      <c r="W14" s="3216"/>
      <c r="X14" s="3216"/>
      <c r="Y14" s="3216"/>
      <c r="Z14" s="3216"/>
      <c r="AA14" s="3216"/>
      <c r="AB14" s="3216"/>
      <c r="AC14" s="3216"/>
      <c r="AD14" s="3223"/>
      <c r="AE14" s="3223"/>
      <c r="AF14" s="3224"/>
      <c r="AG14" s="3225"/>
    </row>
    <row r="15" spans="2:33">
      <c r="B15" s="4329" t="s">
        <v>404</v>
      </c>
      <c r="C15" s="264">
        <v>13.6</v>
      </c>
      <c r="D15" s="264">
        <v>11.7</v>
      </c>
      <c r="E15" s="265">
        <v>13.7</v>
      </c>
      <c r="F15" s="265">
        <v>16.100000000000001</v>
      </c>
      <c r="G15" s="265">
        <v>14.9</v>
      </c>
      <c r="H15" s="266">
        <v>12.5</v>
      </c>
      <c r="I15" s="267">
        <v>11.5</v>
      </c>
      <c r="J15" s="267">
        <v>18.2</v>
      </c>
      <c r="K15" s="267">
        <v>17.899999999999999</v>
      </c>
      <c r="L15" s="268">
        <v>15.6</v>
      </c>
      <c r="M15" s="267">
        <v>17.760000000000002</v>
      </c>
      <c r="N15" s="267">
        <v>21.89</v>
      </c>
      <c r="O15" s="258">
        <v>29.596856598327925</v>
      </c>
      <c r="P15" s="269">
        <v>8.02</v>
      </c>
      <c r="Q15" s="258">
        <v>2.2000000000000002</v>
      </c>
      <c r="R15" s="258">
        <v>32.6</v>
      </c>
      <c r="S15" s="272">
        <v>0.188</v>
      </c>
      <c r="T15" s="272">
        <v>8.4000000000000005E-2</v>
      </c>
      <c r="U15" s="273">
        <v>0.10400000000000001</v>
      </c>
      <c r="V15" s="273">
        <v>5.7000000000000002E-2</v>
      </c>
      <c r="W15" s="3215">
        <v>-4.7E-2</v>
      </c>
      <c r="X15" s="3216">
        <v>-1.2E-2</v>
      </c>
      <c r="Y15" s="3216">
        <v>-0.03</v>
      </c>
      <c r="Z15" s="3216">
        <v>-0.16200000000000001</v>
      </c>
      <c r="AA15" s="3217">
        <v>1.9E-2</v>
      </c>
      <c r="AB15" s="3218">
        <v>7.2000000000000008E-2</v>
      </c>
      <c r="AC15" s="3219">
        <v>-1E-3</v>
      </c>
      <c r="AD15" s="3220">
        <v>-0.105</v>
      </c>
      <c r="AE15" s="3220">
        <v>4.2000000000000003E-2</v>
      </c>
      <c r="AF15" s="3226">
        <v>0.26431189715384257</v>
      </c>
      <c r="AG15" s="3227">
        <v>-0.11799999999999999</v>
      </c>
    </row>
    <row r="16" spans="2:33" ht="20" customHeight="1">
      <c r="B16" s="4329"/>
      <c r="C16" s="264"/>
      <c r="D16" s="264"/>
      <c r="E16" s="265"/>
      <c r="F16" s="265"/>
      <c r="G16" s="265"/>
      <c r="H16" s="266"/>
      <c r="I16" s="267"/>
      <c r="J16" s="267"/>
      <c r="K16" s="267"/>
      <c r="L16" s="268"/>
      <c r="M16" s="267"/>
      <c r="N16" s="267"/>
      <c r="O16" s="258"/>
      <c r="P16" s="269"/>
      <c r="Q16" s="258"/>
      <c r="R16" s="258"/>
      <c r="S16" s="272"/>
      <c r="T16" s="272"/>
      <c r="U16" s="272"/>
      <c r="V16" s="272"/>
      <c r="W16" s="3216"/>
      <c r="X16" s="3216"/>
      <c r="Y16" s="3216"/>
      <c r="Z16" s="3216"/>
      <c r="AA16" s="3216"/>
      <c r="AB16" s="3216"/>
      <c r="AC16" s="3216"/>
      <c r="AD16" s="3223"/>
      <c r="AE16" s="3223"/>
      <c r="AF16" s="3224"/>
      <c r="AG16" s="3225"/>
    </row>
    <row r="17" spans="2:34">
      <c r="B17" s="4329" t="s">
        <v>405</v>
      </c>
      <c r="C17" s="264">
        <v>12.6</v>
      </c>
      <c r="D17" s="264">
        <v>11.6</v>
      </c>
      <c r="E17" s="265">
        <v>12</v>
      </c>
      <c r="F17" s="265">
        <v>14.2</v>
      </c>
      <c r="G17" s="265">
        <v>12.8</v>
      </c>
      <c r="H17" s="266">
        <v>9.9</v>
      </c>
      <c r="I17" s="267">
        <v>10.3</v>
      </c>
      <c r="J17" s="267">
        <v>17.2</v>
      </c>
      <c r="K17" s="267">
        <v>16.600000000000001</v>
      </c>
      <c r="L17" s="268">
        <v>14.3</v>
      </c>
      <c r="M17" s="267">
        <v>16.52</v>
      </c>
      <c r="N17" s="267">
        <v>20.6</v>
      </c>
      <c r="O17" s="258">
        <v>32.419266138547037</v>
      </c>
      <c r="P17" s="269">
        <v>6.67</v>
      </c>
      <c r="Q17" s="258">
        <v>3.2</v>
      </c>
      <c r="R17" s="258">
        <v>34.6</v>
      </c>
      <c r="S17" s="272">
        <v>-0.188</v>
      </c>
      <c r="T17" s="272">
        <v>8.3000000000000004E-2</v>
      </c>
      <c r="U17" s="273">
        <v>0.1</v>
      </c>
      <c r="V17" s="273">
        <v>4.8000000000000001E-2</v>
      </c>
      <c r="W17" s="3215">
        <v>-4.4000000000000004E-2</v>
      </c>
      <c r="X17" s="3216">
        <v>-1E-3</v>
      </c>
      <c r="Y17" s="3216">
        <v>-3.1E-2</v>
      </c>
      <c r="Z17" s="3216">
        <v>-0.14800000000000002</v>
      </c>
      <c r="AA17" s="3217">
        <v>6.0000000000000001E-3</v>
      </c>
      <c r="AB17" s="3218">
        <v>5.9000000000000004E-2</v>
      </c>
      <c r="AC17" s="3219">
        <v>-8.0000000000000002E-3</v>
      </c>
      <c r="AD17" s="3220">
        <v>-7.8E-2</v>
      </c>
      <c r="AE17" s="3220">
        <v>5.8999999999999997E-2</v>
      </c>
      <c r="AF17" s="3226">
        <v>0.31927920310730301</v>
      </c>
      <c r="AG17" s="3227">
        <v>-0.105</v>
      </c>
    </row>
    <row r="18" spans="2:34" ht="20" customHeight="1">
      <c r="B18" s="4329"/>
      <c r="C18" s="264"/>
      <c r="D18" s="264"/>
      <c r="E18" s="265"/>
      <c r="F18" s="265"/>
      <c r="G18" s="265"/>
      <c r="H18" s="266"/>
      <c r="I18" s="267"/>
      <c r="J18" s="267"/>
      <c r="K18" s="267"/>
      <c r="L18" s="268"/>
      <c r="M18" s="267"/>
      <c r="N18" s="267"/>
      <c r="O18" s="258"/>
      <c r="P18" s="269"/>
      <c r="Q18" s="258"/>
      <c r="R18" s="258"/>
      <c r="S18" s="272"/>
      <c r="T18" s="272"/>
      <c r="U18" s="272"/>
      <c r="V18" s="272"/>
      <c r="W18" s="3216"/>
      <c r="X18" s="3216"/>
      <c r="Y18" s="3216"/>
      <c r="Z18" s="3216"/>
      <c r="AA18" s="3216"/>
      <c r="AB18" s="3216"/>
      <c r="AC18" s="3216"/>
      <c r="AD18" s="3223"/>
      <c r="AE18" s="3223"/>
      <c r="AF18" s="3224"/>
      <c r="AG18" s="3225"/>
    </row>
    <row r="19" spans="2:34">
      <c r="B19" s="4329" t="s">
        <v>406</v>
      </c>
      <c r="C19" s="264">
        <v>13</v>
      </c>
      <c r="D19" s="264">
        <v>12.7</v>
      </c>
      <c r="E19" s="265">
        <v>12.2</v>
      </c>
      <c r="F19" s="265">
        <v>15.3</v>
      </c>
      <c r="G19" s="265">
        <v>14.7</v>
      </c>
      <c r="H19" s="266">
        <v>10.4</v>
      </c>
      <c r="I19" s="267">
        <v>12.8</v>
      </c>
      <c r="J19" s="267">
        <v>18.100000000000001</v>
      </c>
      <c r="K19" s="267">
        <v>15.7</v>
      </c>
      <c r="L19" s="268">
        <v>16.3</v>
      </c>
      <c r="M19" s="267">
        <v>17.7</v>
      </c>
      <c r="N19" s="267">
        <v>23.49</v>
      </c>
      <c r="O19" s="258">
        <v>33.983310770160593</v>
      </c>
      <c r="P19" s="269">
        <v>7.46</v>
      </c>
      <c r="Q19" s="258">
        <v>4.5999999999999996</v>
      </c>
      <c r="R19" s="258">
        <v>34.4</v>
      </c>
      <c r="S19" s="272">
        <v>-0.22699999999999998</v>
      </c>
      <c r="T19" s="272">
        <v>9.6000000000000002E-2</v>
      </c>
      <c r="U19" s="273">
        <v>9.6999999999999989E-2</v>
      </c>
      <c r="V19" s="273">
        <v>6.5000000000000002E-2</v>
      </c>
      <c r="W19" s="3215">
        <v>-2.6000000000000002E-2</v>
      </c>
      <c r="X19" s="3216">
        <v>0.01</v>
      </c>
      <c r="Y19" s="3216">
        <v>-2.1000000000000001E-2</v>
      </c>
      <c r="Z19" s="3216">
        <v>-0.184</v>
      </c>
      <c r="AA19" s="3217">
        <v>0.01</v>
      </c>
      <c r="AB19" s="3218">
        <v>0.11</v>
      </c>
      <c r="AC19" s="3219">
        <v>-6.9999999999999993E-3</v>
      </c>
      <c r="AD19" s="3220">
        <v>-7.8E-2</v>
      </c>
      <c r="AE19" s="3220">
        <v>0.05</v>
      </c>
      <c r="AF19" s="3226">
        <v>0.27811663196472863</v>
      </c>
      <c r="AG19" s="3227">
        <v>-1.4999999999999999E-2</v>
      </c>
      <c r="AH19" s="450"/>
    </row>
    <row r="20" spans="2:34" ht="20" customHeight="1">
      <c r="B20" s="4329"/>
      <c r="C20" s="264"/>
      <c r="D20" s="264"/>
      <c r="E20" s="265"/>
      <c r="F20" s="265"/>
      <c r="G20" s="265"/>
      <c r="H20" s="266"/>
      <c r="I20" s="267"/>
      <c r="J20" s="267"/>
      <c r="K20" s="267"/>
      <c r="L20" s="268"/>
      <c r="M20" s="267"/>
      <c r="N20" s="267"/>
      <c r="O20" s="258"/>
      <c r="P20" s="269"/>
      <c r="Q20" s="258"/>
      <c r="R20" s="258"/>
      <c r="S20" s="272"/>
      <c r="T20" s="272"/>
      <c r="U20" s="272"/>
      <c r="V20" s="272"/>
      <c r="W20" s="3216"/>
      <c r="X20" s="3216"/>
      <c r="Y20" s="3216"/>
      <c r="Z20" s="3216"/>
      <c r="AA20" s="3216"/>
      <c r="AB20" s="3216"/>
      <c r="AC20" s="3216"/>
      <c r="AD20" s="3223"/>
      <c r="AE20" s="3223"/>
      <c r="AF20" s="3224"/>
      <c r="AG20" s="3225"/>
    </row>
    <row r="21" spans="2:34">
      <c r="B21" s="4329" t="s">
        <v>407</v>
      </c>
      <c r="C21" s="264">
        <v>11.9</v>
      </c>
      <c r="D21" s="264">
        <v>12.2</v>
      </c>
      <c r="E21" s="265">
        <v>12.2</v>
      </c>
      <c r="F21" s="265">
        <v>15</v>
      </c>
      <c r="G21" s="265">
        <v>14.1</v>
      </c>
      <c r="H21" s="266">
        <v>9.8000000000000007</v>
      </c>
      <c r="I21" s="267">
        <v>12.9</v>
      </c>
      <c r="J21" s="267">
        <v>20.6</v>
      </c>
      <c r="K21" s="267">
        <v>16.399999999999999</v>
      </c>
      <c r="L21" s="268">
        <v>15.7</v>
      </c>
      <c r="M21" s="267">
        <v>18.11</v>
      </c>
      <c r="N21" s="267">
        <v>26.34</v>
      </c>
      <c r="O21" s="258">
        <v>37.335539066705778</v>
      </c>
      <c r="P21" s="269">
        <v>8.57</v>
      </c>
      <c r="Q21" s="258">
        <v>2.8</v>
      </c>
      <c r="R21" s="258">
        <v>23.2</v>
      </c>
      <c r="S21" s="272">
        <v>-0.19600000000000001</v>
      </c>
      <c r="T21" s="272">
        <v>9.9000000000000005E-2</v>
      </c>
      <c r="U21" s="273">
        <v>0.191</v>
      </c>
      <c r="V21" s="273">
        <v>6.6000000000000003E-2</v>
      </c>
      <c r="W21" s="3215">
        <v>-1.6E-2</v>
      </c>
      <c r="X21" s="3216">
        <v>6.9999999999999993E-3</v>
      </c>
      <c r="Y21" s="3216">
        <v>-4.4000000000000004E-2</v>
      </c>
      <c r="Z21" s="3216">
        <v>-0.17699999999999999</v>
      </c>
      <c r="AA21" s="3217">
        <v>0.02</v>
      </c>
      <c r="AB21" s="3218">
        <v>0.115</v>
      </c>
      <c r="AC21" s="3219">
        <v>-1.2E-2</v>
      </c>
      <c r="AD21" s="3220">
        <v>-8.1000000000000003E-2</v>
      </c>
      <c r="AE21" s="3220">
        <v>7.4099999999999999E-2</v>
      </c>
      <c r="AF21" s="3226">
        <v>0.25601254374549531</v>
      </c>
      <c r="AG21" s="3227">
        <v>1.2999999999999999E-2</v>
      </c>
    </row>
    <row r="22" spans="2:34" ht="20" customHeight="1">
      <c r="B22" s="4329"/>
      <c r="C22" s="264"/>
      <c r="D22" s="264"/>
      <c r="E22" s="265"/>
      <c r="F22" s="265"/>
      <c r="G22" s="265"/>
      <c r="H22" s="266"/>
      <c r="I22" s="267"/>
      <c r="J22" s="267"/>
      <c r="K22" s="267"/>
      <c r="L22" s="268"/>
      <c r="M22" s="267"/>
      <c r="N22" s="267"/>
      <c r="O22" s="258"/>
      <c r="P22" s="269"/>
      <c r="Q22" s="258"/>
      <c r="R22" s="258"/>
      <c r="S22" s="272"/>
      <c r="T22" s="272"/>
      <c r="U22" s="272"/>
      <c r="V22" s="272"/>
      <c r="W22" s="3216"/>
      <c r="X22" s="3216"/>
      <c r="Y22" s="3216"/>
      <c r="Z22" s="3216"/>
      <c r="AA22" s="3216"/>
      <c r="AB22" s="3216"/>
      <c r="AC22" s="3216"/>
      <c r="AD22" s="3223"/>
      <c r="AE22" s="3223"/>
      <c r="AF22" s="3224"/>
      <c r="AG22" s="3225"/>
    </row>
    <row r="23" spans="2:34">
      <c r="B23" s="4329" t="s">
        <v>408</v>
      </c>
      <c r="C23" s="264">
        <v>12.5</v>
      </c>
      <c r="D23" s="264">
        <v>10.7</v>
      </c>
      <c r="E23" s="265">
        <v>12.8</v>
      </c>
      <c r="F23" s="265">
        <v>16.8</v>
      </c>
      <c r="G23" s="265">
        <v>15.8</v>
      </c>
      <c r="H23" s="266">
        <v>10.1</v>
      </c>
      <c r="I23" s="267">
        <v>14.4</v>
      </c>
      <c r="J23" s="267">
        <v>21.3</v>
      </c>
      <c r="K23" s="267">
        <v>15.4</v>
      </c>
      <c r="L23" s="268">
        <v>15.9</v>
      </c>
      <c r="M23" s="267">
        <v>16.32</v>
      </c>
      <c r="N23" s="267">
        <v>24.28</v>
      </c>
      <c r="O23" s="258">
        <v>36.496121909391867</v>
      </c>
      <c r="P23" s="269">
        <v>3.55</v>
      </c>
      <c r="Q23" s="258">
        <v>6.7</v>
      </c>
      <c r="R23" s="258">
        <v>17.100000000000001</v>
      </c>
      <c r="S23" s="272">
        <v>-0.19899999999999998</v>
      </c>
      <c r="T23" s="272">
        <v>9.6999999999999989E-2</v>
      </c>
      <c r="U23" s="273">
        <v>0.18600000000000003</v>
      </c>
      <c r="V23" s="273">
        <v>7.1999999999999995E-2</v>
      </c>
      <c r="W23" s="3215">
        <v>-1.4999999999999999E-2</v>
      </c>
      <c r="X23" s="3216">
        <v>4.0000000000000001E-3</v>
      </c>
      <c r="Y23" s="3216">
        <v>-3.9E-2</v>
      </c>
      <c r="Z23" s="3216">
        <v>-0.16200000000000001</v>
      </c>
      <c r="AA23" s="3217">
        <v>2.5000000000000001E-2</v>
      </c>
      <c r="AB23" s="3218">
        <v>0.12</v>
      </c>
      <c r="AC23" s="3219">
        <v>-5.9999999999999995E-4</v>
      </c>
      <c r="AD23" s="3220">
        <v>-8.8000000000000009E-2</v>
      </c>
      <c r="AE23" s="3220">
        <v>0.123</v>
      </c>
      <c r="AF23" s="3226">
        <v>0.3210223640758556</v>
      </c>
      <c r="AG23" s="3227">
        <v>-1.975E-2</v>
      </c>
    </row>
    <row r="24" spans="2:34" ht="20" customHeight="1">
      <c r="B24" s="4329"/>
      <c r="C24" s="264"/>
      <c r="D24" s="264"/>
      <c r="E24" s="265"/>
      <c r="F24" s="265"/>
      <c r="G24" s="265"/>
      <c r="H24" s="266"/>
      <c r="I24" s="267"/>
      <c r="J24" s="267"/>
      <c r="K24" s="267"/>
      <c r="L24" s="268"/>
      <c r="M24" s="267"/>
      <c r="N24" s="267"/>
      <c r="O24" s="258"/>
      <c r="P24" s="269"/>
      <c r="Q24" s="258"/>
      <c r="R24" s="258"/>
      <c r="S24" s="272"/>
      <c r="T24" s="272"/>
      <c r="U24" s="272"/>
      <c r="V24" s="272"/>
      <c r="W24" s="3216"/>
      <c r="X24" s="3216"/>
      <c r="Y24" s="3216"/>
      <c r="Z24" s="3216"/>
      <c r="AA24" s="3216"/>
      <c r="AB24" s="3216"/>
      <c r="AC24" s="3216"/>
      <c r="AD24" s="3223"/>
      <c r="AE24" s="3223"/>
      <c r="AF24" s="3224"/>
      <c r="AG24" s="3225"/>
    </row>
    <row r="25" spans="2:34">
      <c r="B25" s="4329" t="s">
        <v>409</v>
      </c>
      <c r="C25" s="264">
        <v>12.4</v>
      </c>
      <c r="D25" s="264">
        <v>12.9</v>
      </c>
      <c r="E25" s="265">
        <v>13.7</v>
      </c>
      <c r="F25" s="265">
        <v>17.8</v>
      </c>
      <c r="G25" s="265">
        <v>16.7</v>
      </c>
      <c r="H25" s="266">
        <v>10.3</v>
      </c>
      <c r="I25" s="267">
        <v>14</v>
      </c>
      <c r="J25" s="267">
        <v>22.2</v>
      </c>
      <c r="K25" s="267">
        <v>15.6</v>
      </c>
      <c r="L25" s="268">
        <v>17.2</v>
      </c>
      <c r="M25" s="267">
        <v>18.28</v>
      </c>
      <c r="N25" s="267">
        <v>30.61</v>
      </c>
      <c r="O25" s="258">
        <v>35.918999526403454</v>
      </c>
      <c r="P25" s="269">
        <v>18</v>
      </c>
      <c r="Q25" s="258">
        <v>9.1</v>
      </c>
      <c r="R25" s="258">
        <v>4.4000000000000004</v>
      </c>
      <c r="S25" s="272">
        <v>-0.193</v>
      </c>
      <c r="T25" s="272">
        <v>0.114</v>
      </c>
      <c r="U25" s="273">
        <v>0.17499999999999999</v>
      </c>
      <c r="V25" s="273">
        <v>5.6000000000000008E-2</v>
      </c>
      <c r="W25" s="3215">
        <v>-0.02</v>
      </c>
      <c r="X25" s="3216">
        <v>-1.4999999999999999E-2</v>
      </c>
      <c r="Y25" s="3216">
        <v>-0.13699999999999998</v>
      </c>
      <c r="Z25" s="3216">
        <v>-0.14800000000000002</v>
      </c>
      <c r="AA25" s="3217">
        <v>2.7999999999999997E-2</v>
      </c>
      <c r="AB25" s="3218">
        <v>0.13900000000000001</v>
      </c>
      <c r="AC25" s="3219">
        <v>-2.5000000000000001E-2</v>
      </c>
      <c r="AD25" s="3220">
        <v>-6.6000000000000003E-2</v>
      </c>
      <c r="AE25" s="3220">
        <v>0.107</v>
      </c>
      <c r="AF25" s="3226">
        <v>0.26612687032082633</v>
      </c>
      <c r="AG25" s="3227">
        <v>-7.8510521808918085E-2</v>
      </c>
    </row>
    <row r="26" spans="2:34" ht="20" customHeight="1">
      <c r="B26" s="4329"/>
      <c r="C26" s="264"/>
      <c r="D26" s="264"/>
      <c r="E26" s="265"/>
      <c r="F26" s="265"/>
      <c r="G26" s="265"/>
      <c r="H26" s="266"/>
      <c r="I26" s="267"/>
      <c r="J26" s="267"/>
      <c r="K26" s="267"/>
      <c r="L26" s="268"/>
      <c r="M26" s="267"/>
      <c r="N26" s="267"/>
      <c r="O26" s="258"/>
      <c r="P26" s="269"/>
      <c r="Q26" s="258"/>
      <c r="R26" s="258"/>
      <c r="S26" s="272"/>
      <c r="T26" s="272"/>
      <c r="U26" s="272"/>
      <c r="V26" s="272"/>
      <c r="W26" s="3216"/>
      <c r="X26" s="3216"/>
      <c r="Y26" s="3216"/>
      <c r="Z26" s="3216"/>
      <c r="AA26" s="3216"/>
      <c r="AB26" s="3216"/>
      <c r="AC26" s="3216"/>
      <c r="AD26" s="3223"/>
      <c r="AE26" s="3223"/>
      <c r="AF26" s="3224"/>
      <c r="AG26" s="3225"/>
    </row>
    <row r="27" spans="2:34">
      <c r="B27" s="4329" t="s">
        <v>410</v>
      </c>
      <c r="C27" s="264">
        <v>12.7</v>
      </c>
      <c r="D27" s="264">
        <v>11.9</v>
      </c>
      <c r="E27" s="265">
        <v>14</v>
      </c>
      <c r="F27" s="265">
        <v>18</v>
      </c>
      <c r="G27" s="265">
        <v>15.5</v>
      </c>
      <c r="H27" s="266">
        <v>9.9</v>
      </c>
      <c r="I27" s="267">
        <v>15.4</v>
      </c>
      <c r="J27" s="267">
        <v>22.8</v>
      </c>
      <c r="K27" s="267">
        <v>13.4</v>
      </c>
      <c r="L27" s="268">
        <v>15.4</v>
      </c>
      <c r="M27" s="267">
        <v>17.84</v>
      </c>
      <c r="N27" s="267">
        <v>26.34</v>
      </c>
      <c r="O27" s="258">
        <v>36.003383021729078</v>
      </c>
      <c r="P27" s="269">
        <v>3.55</v>
      </c>
      <c r="Q27" s="258">
        <v>14.9</v>
      </c>
      <c r="R27" s="258">
        <v>-3.5</v>
      </c>
      <c r="S27" s="274">
        <v>-0.192</v>
      </c>
      <c r="T27" s="274">
        <v>0.10099999999999999</v>
      </c>
      <c r="U27" s="275">
        <v>0.17899999999999999</v>
      </c>
      <c r="V27" s="275">
        <v>4.2999999999999997E-2</v>
      </c>
      <c r="W27" s="3228">
        <v>-1.8000000000000002E-2</v>
      </c>
      <c r="X27" s="3229">
        <v>-0.02</v>
      </c>
      <c r="Y27" s="3229">
        <v>-0.13800000000000001</v>
      </c>
      <c r="Z27" s="3229">
        <v>-0.161</v>
      </c>
      <c r="AA27" s="1257">
        <v>0.04</v>
      </c>
      <c r="AB27" s="3230">
        <v>0.113</v>
      </c>
      <c r="AC27" s="3231">
        <v>-3.1E-2</v>
      </c>
      <c r="AD27" s="3232">
        <v>-6.8000000000000005E-2</v>
      </c>
      <c r="AE27" s="3233">
        <v>8.1000000000000003E-2</v>
      </c>
      <c r="AF27" s="3233">
        <v>0.21298500370505127</v>
      </c>
      <c r="AG27" s="3227">
        <v>-0.12222786188552663</v>
      </c>
    </row>
    <row r="28" spans="2:34" ht="43.25" customHeight="1" thickBot="1">
      <c r="B28" s="4330" t="s">
        <v>1054</v>
      </c>
      <c r="C28" s="276">
        <v>12.925000000000001</v>
      </c>
      <c r="D28" s="276">
        <v>11.716666666666667</v>
      </c>
      <c r="E28" s="277">
        <v>12.3</v>
      </c>
      <c r="F28" s="277">
        <v>15.52</v>
      </c>
      <c r="G28" s="277">
        <v>14.32</v>
      </c>
      <c r="H28" s="276">
        <v>11.541666666666666</v>
      </c>
      <c r="I28" s="259">
        <v>11.45</v>
      </c>
      <c r="J28" s="259">
        <v>18.633333333333336</v>
      </c>
      <c r="K28" s="259">
        <f>AVERAGE(K5:K27)</f>
        <v>16.691666666666666</v>
      </c>
      <c r="L28" s="259">
        <f t="shared" ref="L28:R28" si="0">AVERAGE(L5:L27)</f>
        <v>14.83333333333333</v>
      </c>
      <c r="M28" s="259">
        <f t="shared" si="0"/>
        <v>18.382499999999997</v>
      </c>
      <c r="N28" s="259">
        <f t="shared" si="0"/>
        <v>22.598333333333333</v>
      </c>
      <c r="O28" s="259">
        <f t="shared" si="0"/>
        <v>32.100999501791698</v>
      </c>
      <c r="P28" s="259">
        <f t="shared" si="0"/>
        <v>14.148333333333335</v>
      </c>
      <c r="Q28" s="259">
        <f t="shared" si="0"/>
        <v>4.2250000000000005</v>
      </c>
      <c r="R28" s="259">
        <f t="shared" si="0"/>
        <v>18.474999999999998</v>
      </c>
      <c r="S28" s="278">
        <f t="shared" ref="S28:Z28" si="1">AVERAGE(S5:S27)</f>
        <v>-0.19083333333333338</v>
      </c>
      <c r="T28" s="278">
        <f t="shared" si="1"/>
        <v>6.5416666666666665E-2</v>
      </c>
      <c r="U28" s="278">
        <f t="shared" si="1"/>
        <v>0.11308333333333333</v>
      </c>
      <c r="V28" s="278">
        <f t="shared" si="1"/>
        <v>6.6250000000000017E-2</v>
      </c>
      <c r="W28" s="3234">
        <f t="shared" si="1"/>
        <v>-2.0916666666666667E-2</v>
      </c>
      <c r="X28" s="3235">
        <f t="shared" si="1"/>
        <v>-7.1666666666666658E-3</v>
      </c>
      <c r="Y28" s="3235">
        <f t="shared" si="1"/>
        <v>-5.0083333333333334E-2</v>
      </c>
      <c r="Z28" s="3235">
        <f t="shared" si="1"/>
        <v>-0.172625</v>
      </c>
      <c r="AA28" s="1258">
        <f>AVERAGE(AA5:AA27)*0+0.03</f>
        <v>0.03</v>
      </c>
      <c r="AB28" s="1258">
        <f>AVERAGE(AB5:AB27)</f>
        <v>0.08</v>
      </c>
      <c r="AC28" s="3234">
        <f>AVERAGE(AC5:AC27)*0+-0.01</f>
        <v>-0.01</v>
      </c>
      <c r="AD28" s="1259">
        <f>AVERAGE(AD5:AD27)</f>
        <v>-6.8083333333333329E-2</v>
      </c>
      <c r="AE28" s="2340">
        <f>AVERAGE(AE5:AE27)</f>
        <v>5.2841666666666669E-2</v>
      </c>
      <c r="AF28" s="2966">
        <f>AVERAGE(AF5:AF27)</f>
        <v>0.23473787617275857</v>
      </c>
      <c r="AG28" s="3236">
        <f>AVERAGE(AG5:AG27)</f>
        <v>-5.429069864120372E-2</v>
      </c>
    </row>
    <row r="29" spans="2:34" ht="29" hidden="1" customHeight="1" thickBot="1">
      <c r="B29" s="4331" t="s">
        <v>918</v>
      </c>
      <c r="C29" s="229"/>
      <c r="D29" s="229"/>
      <c r="E29" s="230"/>
      <c r="F29" s="230"/>
      <c r="G29" s="230"/>
      <c r="H29" s="229"/>
      <c r="I29" s="229"/>
      <c r="J29" s="229"/>
      <c r="K29" s="229"/>
      <c r="L29" s="229"/>
      <c r="M29" s="229"/>
      <c r="N29" s="229"/>
      <c r="O29" s="229"/>
      <c r="P29" s="229"/>
      <c r="Q29" s="229"/>
      <c r="R29" s="229"/>
      <c r="S29" s="231">
        <f t="shared" ref="S29:AD29" si="2">AVERAGE(S5:S21)</f>
        <v>-0.18955555555555559</v>
      </c>
      <c r="T29" s="231">
        <f t="shared" si="2"/>
        <v>5.255555555555555E-2</v>
      </c>
      <c r="U29" s="231">
        <f t="shared" si="2"/>
        <v>9.0777777777777777E-2</v>
      </c>
      <c r="V29" s="231">
        <f t="shared" si="2"/>
        <v>6.9333333333333344E-2</v>
      </c>
      <c r="W29" s="231">
        <f t="shared" si="2"/>
        <v>-2.2000000000000002E-2</v>
      </c>
      <c r="X29" s="232">
        <f t="shared" si="2"/>
        <v>-6.1111111111111106E-3</v>
      </c>
      <c r="Y29" s="231">
        <f t="shared" si="2"/>
        <v>-3.1888888888888883E-2</v>
      </c>
      <c r="Z29" s="229">
        <f t="shared" si="2"/>
        <v>-0.17783333333333334</v>
      </c>
      <c r="AA29" s="233">
        <f t="shared" si="2"/>
        <v>5.1111111111111123E-3</v>
      </c>
      <c r="AB29" s="231">
        <f t="shared" si="2"/>
        <v>6.5333333333333327E-2</v>
      </c>
      <c r="AC29" s="231">
        <f t="shared" si="2"/>
        <v>6.8888888888888906E-3</v>
      </c>
      <c r="AD29" s="234">
        <f t="shared" si="2"/>
        <v>-6.6111111111111107E-2</v>
      </c>
      <c r="AE29" s="234">
        <f>AVERAGE(AE5:AE21)</f>
        <v>3.5900000000000001E-2</v>
      </c>
    </row>
    <row r="30" spans="2:34" ht="33.75">
      <c r="B30" s="4332" t="s">
        <v>119</v>
      </c>
      <c r="C30" s="235"/>
      <c r="D30" s="235"/>
      <c r="E30" s="235"/>
      <c r="F30" s="235"/>
      <c r="G30" s="235"/>
      <c r="H30" s="235"/>
      <c r="I30" s="235"/>
      <c r="O30" s="236"/>
      <c r="Q30" s="237"/>
      <c r="R30" s="238"/>
      <c r="S30" s="238"/>
      <c r="T30" s="238"/>
      <c r="U30" s="238"/>
      <c r="V30" s="238"/>
      <c r="W30" s="238"/>
      <c r="X30" s="238"/>
      <c r="Y30" s="238"/>
      <c r="Z30" s="238"/>
      <c r="AA30" s="238"/>
      <c r="AB30" s="238"/>
      <c r="AC30" s="238"/>
      <c r="AD30" s="238"/>
      <c r="AE30" s="238"/>
    </row>
    <row r="31" spans="2:34">
      <c r="B31" s="211" t="s">
        <v>268</v>
      </c>
      <c r="O31" s="236"/>
      <c r="Q31" s="237"/>
      <c r="AB31" s="239"/>
      <c r="AC31" s="239"/>
      <c r="AD31" s="239"/>
      <c r="AE31" s="239"/>
    </row>
    <row r="32" spans="2:34" ht="30">
      <c r="B32" s="5823" t="s">
        <v>684</v>
      </c>
      <c r="C32" s="5823"/>
      <c r="D32" s="5823"/>
      <c r="E32" s="5823"/>
      <c r="F32" s="5823"/>
      <c r="G32" s="5823"/>
      <c r="H32" s="5823"/>
      <c r="I32" s="5823"/>
      <c r="J32" s="5823"/>
      <c r="K32" s="5823"/>
      <c r="L32" s="5823"/>
      <c r="M32" s="5823"/>
      <c r="N32" s="5823"/>
      <c r="O32" s="5823"/>
      <c r="P32" s="5823"/>
      <c r="Q32" s="5823"/>
      <c r="R32" s="5823"/>
      <c r="S32" s="5823"/>
      <c r="T32" s="5823"/>
      <c r="U32" s="5823"/>
      <c r="V32" s="5823"/>
      <c r="W32" s="5823"/>
      <c r="X32" s="5823"/>
      <c r="Y32" s="5823"/>
      <c r="Z32" s="5823"/>
      <c r="AA32" s="5823"/>
      <c r="AB32" s="5823"/>
      <c r="AC32" s="5823"/>
      <c r="AD32" s="5823"/>
      <c r="AE32" s="5823"/>
      <c r="AF32" s="5823"/>
      <c r="AG32" s="5823"/>
    </row>
    <row r="33" spans="2:33" ht="30">
      <c r="B33" s="5823" t="s">
        <v>2367</v>
      </c>
      <c r="C33" s="5823"/>
      <c r="D33" s="5823"/>
      <c r="E33" s="5823"/>
      <c r="F33" s="5823"/>
      <c r="G33" s="5823"/>
      <c r="H33" s="5823"/>
      <c r="I33" s="5823"/>
      <c r="J33" s="5823"/>
      <c r="K33" s="5823"/>
      <c r="L33" s="5823"/>
      <c r="M33" s="5823"/>
      <c r="N33" s="5823"/>
      <c r="O33" s="5823"/>
      <c r="P33" s="5823"/>
      <c r="Q33" s="5823"/>
      <c r="R33" s="5823"/>
      <c r="S33" s="5823"/>
      <c r="T33" s="5823"/>
      <c r="U33" s="5823"/>
      <c r="V33" s="5823"/>
      <c r="W33" s="5823"/>
      <c r="X33" s="5823"/>
      <c r="Y33" s="5823"/>
      <c r="Z33" s="5823"/>
      <c r="AA33" s="5823"/>
      <c r="AB33" s="5823"/>
      <c r="AC33" s="5823"/>
      <c r="AD33" s="5823"/>
      <c r="AE33" s="5823"/>
      <c r="AF33" s="5823"/>
      <c r="AG33" s="5823"/>
    </row>
    <row r="34" spans="2:33" ht="33.4" thickBot="1">
      <c r="B34" s="835"/>
      <c r="C34" s="226" t="s">
        <v>121</v>
      </c>
      <c r="D34" s="226"/>
      <c r="E34" s="226"/>
      <c r="F34" s="226"/>
      <c r="G34" s="226"/>
      <c r="H34" s="226"/>
      <c r="I34" s="226"/>
      <c r="J34" s="226"/>
      <c r="K34" s="226"/>
      <c r="L34" s="226"/>
      <c r="M34" s="226"/>
      <c r="N34" s="226"/>
      <c r="O34" s="227"/>
      <c r="P34" s="226"/>
      <c r="Q34" s="240"/>
      <c r="R34" s="226"/>
      <c r="S34" s="226"/>
      <c r="T34" s="226"/>
      <c r="U34" s="226"/>
      <c r="V34" s="226"/>
      <c r="W34" s="226"/>
      <c r="X34" s="226"/>
      <c r="Y34" s="228"/>
      <c r="Z34" s="228"/>
      <c r="AA34" s="228"/>
      <c r="AB34" s="228"/>
      <c r="AC34" s="228"/>
      <c r="AD34" s="228"/>
      <c r="AE34" s="228"/>
    </row>
    <row r="35" spans="2:33" ht="32.65" thickBot="1">
      <c r="B35" s="4333"/>
      <c r="C35" s="4336">
        <v>1993</v>
      </c>
      <c r="D35" s="4336">
        <v>1994</v>
      </c>
      <c r="E35" s="4336">
        <v>1995</v>
      </c>
      <c r="F35" s="4336">
        <v>1996</v>
      </c>
      <c r="G35" s="4336">
        <v>1997</v>
      </c>
      <c r="H35" s="4336">
        <v>1998</v>
      </c>
      <c r="I35" s="4336">
        <v>1999</v>
      </c>
      <c r="J35" s="4336">
        <v>2000</v>
      </c>
      <c r="K35" s="4336">
        <v>2001</v>
      </c>
      <c r="L35" s="4336">
        <v>2002</v>
      </c>
      <c r="M35" s="4336">
        <v>2003</v>
      </c>
      <c r="N35" s="4336">
        <v>2004</v>
      </c>
      <c r="O35" s="4336">
        <v>2005</v>
      </c>
      <c r="P35" s="4336">
        <v>2006</v>
      </c>
      <c r="Q35" s="4336">
        <v>2007</v>
      </c>
      <c r="R35" s="4336">
        <v>2008</v>
      </c>
      <c r="S35" s="4336" t="s">
        <v>423</v>
      </c>
      <c r="T35" s="4336">
        <v>2010</v>
      </c>
      <c r="U35" s="4336" t="s">
        <v>475</v>
      </c>
      <c r="V35" s="4336">
        <v>2012</v>
      </c>
      <c r="W35" s="4336">
        <v>2013</v>
      </c>
      <c r="X35" s="4336">
        <v>2014</v>
      </c>
      <c r="Y35" s="4336">
        <v>2015</v>
      </c>
      <c r="Z35" s="4336">
        <v>2016</v>
      </c>
      <c r="AA35" s="4336">
        <v>2017</v>
      </c>
      <c r="AB35" s="262">
        <v>2018</v>
      </c>
      <c r="AC35" s="4337">
        <v>2019</v>
      </c>
      <c r="AD35" s="4337">
        <v>2020</v>
      </c>
      <c r="AE35" s="4337">
        <v>2021</v>
      </c>
      <c r="AF35" s="4720">
        <v>2022</v>
      </c>
      <c r="AG35" s="263" t="s">
        <v>1959</v>
      </c>
    </row>
    <row r="36" spans="2:33" ht="37.25" customHeight="1">
      <c r="B36" s="4329" t="s">
        <v>399</v>
      </c>
      <c r="C36" s="4338">
        <v>2.2305000000000001</v>
      </c>
      <c r="D36" s="4338">
        <v>2.0444</v>
      </c>
      <c r="E36" s="4339">
        <v>2.0699999999999998</v>
      </c>
      <c r="F36" s="4339">
        <v>2.48</v>
      </c>
      <c r="G36" s="4339">
        <v>2.97</v>
      </c>
      <c r="H36" s="4338">
        <v>2.3361000000000001</v>
      </c>
      <c r="I36" s="4340">
        <v>1.7456</v>
      </c>
      <c r="J36" s="4340">
        <v>2.6985000000000001</v>
      </c>
      <c r="K36" s="4340">
        <v>3.4925000000000002</v>
      </c>
      <c r="L36" s="4340">
        <v>2.33</v>
      </c>
      <c r="M36" s="4340">
        <v>3.19</v>
      </c>
      <c r="N36" s="4340">
        <v>3.19</v>
      </c>
      <c r="O36" s="4340">
        <v>4.7498964303938456</v>
      </c>
      <c r="P36" s="4340">
        <v>6.73</v>
      </c>
      <c r="Q36" s="4340">
        <v>6.61</v>
      </c>
      <c r="R36" s="4340">
        <v>8.27</v>
      </c>
      <c r="S36" s="4340">
        <v>5.2232000000000003</v>
      </c>
      <c r="T36" s="4340">
        <v>7.27</v>
      </c>
      <c r="U36" s="4340">
        <v>7.89</v>
      </c>
      <c r="V36" s="4340">
        <v>10.1717</v>
      </c>
      <c r="W36" s="4341">
        <v>10.06</v>
      </c>
      <c r="X36" s="4341">
        <v>9.8840793775148157</v>
      </c>
      <c r="Y36" s="4341">
        <v>9.2090338397375024</v>
      </c>
      <c r="Z36" s="4341">
        <v>5.4123999999999999</v>
      </c>
      <c r="AA36" s="4341">
        <v>6.4594595080025279</v>
      </c>
      <c r="AB36" s="615">
        <v>7.29</v>
      </c>
      <c r="AC36" s="3211">
        <v>7.6002999999999998</v>
      </c>
      <c r="AD36" s="3211">
        <v>7.27</v>
      </c>
      <c r="AE36" s="3211">
        <v>5.99</v>
      </c>
      <c r="AF36" s="3211">
        <v>8.9200999999999997</v>
      </c>
      <c r="AG36" s="4342">
        <v>12.109384099795196</v>
      </c>
    </row>
    <row r="37" spans="2:33" ht="20" customHeight="1">
      <c r="B37" s="4329"/>
      <c r="C37" s="4338"/>
      <c r="D37" s="4338"/>
      <c r="E37" s="4339"/>
      <c r="F37" s="4339"/>
      <c r="G37" s="4339"/>
      <c r="H37" s="4338"/>
      <c r="I37" s="4340"/>
      <c r="J37" s="4340"/>
      <c r="K37" s="4340"/>
      <c r="L37" s="4340"/>
      <c r="M37" s="4340"/>
      <c r="N37" s="4340"/>
      <c r="O37" s="4340"/>
      <c r="P37" s="4340"/>
      <c r="Q37" s="4340"/>
      <c r="R37" s="4340"/>
      <c r="S37" s="4340"/>
      <c r="T37" s="4339"/>
      <c r="U37" s="4339"/>
      <c r="V37" s="4340"/>
      <c r="W37" s="4341"/>
      <c r="X37" s="4341"/>
      <c r="Y37" s="4341"/>
      <c r="Z37" s="4341"/>
      <c r="AA37" s="4341"/>
      <c r="AB37" s="615"/>
      <c r="AC37" s="3213"/>
      <c r="AD37" s="3213"/>
      <c r="AE37" s="3213"/>
      <c r="AF37" s="3212"/>
      <c r="AG37" s="4343"/>
    </row>
    <row r="38" spans="2:33">
      <c r="B38" s="4329" t="s">
        <v>400</v>
      </c>
      <c r="C38" s="4338">
        <v>2.2652000000000001</v>
      </c>
      <c r="D38" s="4338">
        <v>2.1212</v>
      </c>
      <c r="E38" s="4339">
        <v>2.0699999999999998</v>
      </c>
      <c r="F38" s="4339">
        <v>2.58</v>
      </c>
      <c r="G38" s="4339">
        <v>2.81</v>
      </c>
      <c r="H38" s="4338">
        <v>2.2608000000000001</v>
      </c>
      <c r="I38" s="4340">
        <v>1.6659999999999999</v>
      </c>
      <c r="J38" s="4340">
        <v>3.1692</v>
      </c>
      <c r="K38" s="4340">
        <v>3.4283000000000001</v>
      </c>
      <c r="L38" s="4340">
        <v>2.59</v>
      </c>
      <c r="M38" s="4340">
        <v>2.59</v>
      </c>
      <c r="N38" s="4340">
        <v>3.6</v>
      </c>
      <c r="O38" s="4340">
        <v>4.9016000000000002</v>
      </c>
      <c r="P38" s="4340">
        <v>6.64</v>
      </c>
      <c r="Q38" s="4340">
        <v>6.34</v>
      </c>
      <c r="R38" s="4340">
        <v>8.35</v>
      </c>
      <c r="S38" s="4340">
        <v>4.5655000000000001</v>
      </c>
      <c r="T38" s="4340">
        <v>7.01</v>
      </c>
      <c r="U38" s="4340">
        <v>7.86</v>
      </c>
      <c r="V38" s="4340">
        <v>10.347799999999999</v>
      </c>
      <c r="W38" s="4341">
        <v>10.119999999999999</v>
      </c>
      <c r="X38" s="4341">
        <v>9.7150425245944732</v>
      </c>
      <c r="Y38" s="4341">
        <v>9.6253985818725951</v>
      </c>
      <c r="Z38" s="4341">
        <v>5.3289999999999997</v>
      </c>
      <c r="AA38" s="4341">
        <v>6.5315249064012129</v>
      </c>
      <c r="AB38" s="615">
        <v>6.87</v>
      </c>
      <c r="AC38" s="3213">
        <v>7.9006999999999996</v>
      </c>
      <c r="AD38" s="3213">
        <v>6.88</v>
      </c>
      <c r="AE38" s="3213">
        <v>6.36</v>
      </c>
      <c r="AF38" s="3213">
        <v>9.5165000000000006</v>
      </c>
      <c r="AG38" s="4344">
        <v>11.048</v>
      </c>
    </row>
    <row r="39" spans="2:33" ht="20" customHeight="1">
      <c r="B39" s="4329"/>
      <c r="C39" s="4338"/>
      <c r="D39" s="4338"/>
      <c r="E39" s="4339"/>
      <c r="F39" s="4339"/>
      <c r="G39" s="4339"/>
      <c r="H39" s="4338"/>
      <c r="I39" s="4340"/>
      <c r="J39" s="4340"/>
      <c r="K39" s="4340"/>
      <c r="L39" s="4340"/>
      <c r="M39" s="4340"/>
      <c r="N39" s="4340"/>
      <c r="O39" s="4340"/>
      <c r="P39" s="4340"/>
      <c r="Q39" s="4340"/>
      <c r="R39" s="4340"/>
      <c r="S39" s="4340"/>
      <c r="T39" s="4339"/>
      <c r="U39" s="4339"/>
      <c r="V39" s="4340"/>
      <c r="W39" s="4341"/>
      <c r="X39" s="4341"/>
      <c r="Y39" s="4341"/>
      <c r="Z39" s="4341"/>
      <c r="AA39" s="4341"/>
      <c r="AB39" s="615"/>
      <c r="AC39" s="3213"/>
      <c r="AD39" s="3213"/>
      <c r="AE39" s="3213"/>
      <c r="AF39" s="3213"/>
      <c r="AG39" s="4344"/>
    </row>
    <row r="40" spans="2:33">
      <c r="B40" s="4329" t="s">
        <v>401</v>
      </c>
      <c r="C40" s="4338">
        <v>2.3307000000000002</v>
      </c>
      <c r="D40" s="4338">
        <v>2.0171000000000001</v>
      </c>
      <c r="E40" s="4339">
        <v>2.0299999999999998</v>
      </c>
      <c r="F40" s="4339">
        <v>2.6</v>
      </c>
      <c r="G40" s="4339">
        <v>2.58</v>
      </c>
      <c r="H40" s="4338">
        <v>2.1636000000000002</v>
      </c>
      <c r="I40" s="4340">
        <v>1.8940999999999999</v>
      </c>
      <c r="J40" s="4340">
        <v>3.1331000000000002</v>
      </c>
      <c r="K40" s="4340">
        <v>3.1947000000000001</v>
      </c>
      <c r="L40" s="4340">
        <v>2.72</v>
      </c>
      <c r="M40" s="4340">
        <v>3.58</v>
      </c>
      <c r="N40" s="4340">
        <v>3</v>
      </c>
      <c r="O40" s="4340">
        <v>5.4676</v>
      </c>
      <c r="P40" s="4340">
        <v>6.29</v>
      </c>
      <c r="Q40" s="4340">
        <v>6.57</v>
      </c>
      <c r="R40" s="4340">
        <v>8.51</v>
      </c>
      <c r="S40" s="4340">
        <v>4.6478000000000002</v>
      </c>
      <c r="T40" s="4340">
        <v>7.1</v>
      </c>
      <c r="U40" s="4340">
        <v>8.1999999999999993</v>
      </c>
      <c r="V40" s="4340">
        <v>10.511699999999999</v>
      </c>
      <c r="W40" s="4341">
        <v>10</v>
      </c>
      <c r="X40" s="4341">
        <v>9.7839956234741408</v>
      </c>
      <c r="Y40" s="4341">
        <v>9.0439004202406732</v>
      </c>
      <c r="Z40" s="4341">
        <v>5.3521999999999998</v>
      </c>
      <c r="AA40" s="4341">
        <v>6.1794687001969137</v>
      </c>
      <c r="AB40" s="615">
        <v>6.91</v>
      </c>
      <c r="AC40" s="3213">
        <v>7.8799000000000001</v>
      </c>
      <c r="AD40" s="3213">
        <v>6.12</v>
      </c>
      <c r="AE40" s="3213">
        <v>6.72</v>
      </c>
      <c r="AF40" s="3213">
        <v>11.34</v>
      </c>
      <c r="AG40" s="4344">
        <v>11.383800000000001</v>
      </c>
    </row>
    <row r="41" spans="2:33" ht="20" customHeight="1">
      <c r="B41" s="4329"/>
      <c r="C41" s="4338"/>
      <c r="D41" s="4338"/>
      <c r="E41" s="4339"/>
      <c r="F41" s="4339"/>
      <c r="G41" s="4339"/>
      <c r="H41" s="4338"/>
      <c r="I41" s="4340"/>
      <c r="J41" s="4340"/>
      <c r="K41" s="4340"/>
      <c r="L41" s="4340"/>
      <c r="M41" s="4340"/>
      <c r="N41" s="4340"/>
      <c r="O41" s="4340"/>
      <c r="P41" s="4340"/>
      <c r="Q41" s="4340"/>
      <c r="R41" s="4340"/>
      <c r="S41" s="4340"/>
      <c r="T41" s="4339"/>
      <c r="U41" s="4339"/>
      <c r="V41" s="4340"/>
      <c r="W41" s="4341"/>
      <c r="X41" s="4341"/>
      <c r="Y41" s="4341"/>
      <c r="Z41" s="4341"/>
      <c r="AA41" s="4341"/>
      <c r="AB41" s="615"/>
      <c r="AC41" s="3213"/>
      <c r="AD41" s="3213"/>
      <c r="AE41" s="3213"/>
      <c r="AF41" s="3213"/>
      <c r="AG41" s="4344"/>
    </row>
    <row r="42" spans="2:33">
      <c r="B42" s="4329" t="s">
        <v>402</v>
      </c>
      <c r="C42" s="4338">
        <v>2.3096000000000001</v>
      </c>
      <c r="D42" s="4338">
        <v>2.0095999999999998</v>
      </c>
      <c r="E42" s="4339">
        <v>2.13</v>
      </c>
      <c r="F42" s="4339">
        <v>2.69</v>
      </c>
      <c r="G42" s="4339">
        <v>2.52</v>
      </c>
      <c r="H42" s="4338">
        <v>2.1661999999999999</v>
      </c>
      <c r="I42" s="4340">
        <v>2.0384000000000002</v>
      </c>
      <c r="J42" s="4340">
        <v>3.0188999999999999</v>
      </c>
      <c r="K42" s="4340">
        <v>2.9422999999999999</v>
      </c>
      <c r="L42" s="4340">
        <v>2.75</v>
      </c>
      <c r="M42" s="4340">
        <v>3.42</v>
      </c>
      <c r="N42" s="4340">
        <v>3.92</v>
      </c>
      <c r="O42" s="4340">
        <v>5.4865641845527193</v>
      </c>
      <c r="P42" s="4340">
        <v>6.8</v>
      </c>
      <c r="Q42" s="4340">
        <v>6.65</v>
      </c>
      <c r="R42" s="4340">
        <v>9.26</v>
      </c>
      <c r="S42" s="4340">
        <v>4.8689999999999998</v>
      </c>
      <c r="T42" s="4340">
        <v>7.52</v>
      </c>
      <c r="U42" s="4340">
        <v>9.15</v>
      </c>
      <c r="V42" s="4340">
        <v>10.6411</v>
      </c>
      <c r="W42" s="4341">
        <v>9.64</v>
      </c>
      <c r="X42" s="4341">
        <v>9.7715517670691536</v>
      </c>
      <c r="Y42" s="4341">
        <v>9.3912014679441018</v>
      </c>
      <c r="Z42" s="4341">
        <v>5.6521999999999997</v>
      </c>
      <c r="AA42" s="4341">
        <v>6.2912228771086891</v>
      </c>
      <c r="AB42" s="615">
        <v>7.17</v>
      </c>
      <c r="AC42" s="3213">
        <v>7.6712999999999996</v>
      </c>
      <c r="AD42" s="3213">
        <v>5.6</v>
      </c>
      <c r="AE42" s="3213">
        <v>6.81</v>
      </c>
      <c r="AF42" s="3213">
        <v>11.22</v>
      </c>
      <c r="AG42" s="4344">
        <v>10.200200000000001</v>
      </c>
    </row>
    <row r="43" spans="2:33" ht="20" customHeight="1">
      <c r="B43" s="4329"/>
      <c r="C43" s="4338"/>
      <c r="D43" s="4338"/>
      <c r="E43" s="4339"/>
      <c r="F43" s="4339"/>
      <c r="G43" s="4339"/>
      <c r="H43" s="4338"/>
      <c r="I43" s="4340"/>
      <c r="J43" s="4340"/>
      <c r="K43" s="4340"/>
      <c r="L43" s="4340"/>
      <c r="M43" s="4340"/>
      <c r="N43" s="4340"/>
      <c r="O43" s="4340"/>
      <c r="P43" s="4340"/>
      <c r="Q43" s="4340"/>
      <c r="R43" s="4340"/>
      <c r="S43" s="4340"/>
      <c r="T43" s="4339"/>
      <c r="U43" s="4339"/>
      <c r="V43" s="4340"/>
      <c r="W43" s="4341"/>
      <c r="X43" s="4341"/>
      <c r="Y43" s="4341"/>
      <c r="Z43" s="4341"/>
      <c r="AA43" s="4341"/>
      <c r="AB43" s="615"/>
      <c r="AC43" s="3213"/>
      <c r="AD43" s="3213"/>
      <c r="AE43" s="3213"/>
      <c r="AF43" s="3213"/>
      <c r="AG43" s="4344"/>
    </row>
    <row r="44" spans="2:33">
      <c r="B44" s="4329" t="s">
        <v>403</v>
      </c>
      <c r="C44" s="4338">
        <v>2.2905000000000002</v>
      </c>
      <c r="D44" s="4338">
        <v>2.0379999999999998</v>
      </c>
      <c r="E44" s="4339">
        <v>2.23</v>
      </c>
      <c r="F44" s="4339">
        <v>2.5499999999999998</v>
      </c>
      <c r="G44" s="4339">
        <v>2.54</v>
      </c>
      <c r="H44" s="4338">
        <v>2.1116999999999999</v>
      </c>
      <c r="I44" s="4340">
        <v>2.0449000000000002</v>
      </c>
      <c r="J44" s="4340">
        <v>3.1137000000000001</v>
      </c>
      <c r="K44" s="4340">
        <v>3.0219999999999998</v>
      </c>
      <c r="L44" s="4340">
        <v>2.7</v>
      </c>
      <c r="M44" s="4340">
        <v>2.52</v>
      </c>
      <c r="N44" s="4340">
        <v>3.2</v>
      </c>
      <c r="O44" s="4340">
        <v>5.2378999999999998</v>
      </c>
      <c r="P44" s="4340">
        <v>7.17</v>
      </c>
      <c r="Q44" s="4340">
        <v>6.92</v>
      </c>
      <c r="R44" s="4340">
        <v>9.51</v>
      </c>
      <c r="S44" s="4340">
        <v>5.4724000000000004</v>
      </c>
      <c r="T44" s="4340">
        <v>7.32</v>
      </c>
      <c r="U44" s="4340">
        <v>9.1300000000000008</v>
      </c>
      <c r="V44" s="4340">
        <v>10.4224</v>
      </c>
      <c r="W44" s="4341">
        <v>9.6448464816141968</v>
      </c>
      <c r="X44" s="4341">
        <v>9.7853856150102168</v>
      </c>
      <c r="Y44" s="4341">
        <v>9.3093192333909709</v>
      </c>
      <c r="Z44" s="4341">
        <v>5.9413</v>
      </c>
      <c r="AA44" s="4341">
        <v>6.078801120844803</v>
      </c>
      <c r="AB44" s="615">
        <v>7.49</v>
      </c>
      <c r="AC44" s="3213">
        <v>7.7083000000000004</v>
      </c>
      <c r="AD44" s="3213">
        <v>5.78</v>
      </c>
      <c r="AE44" s="3213">
        <v>6.87</v>
      </c>
      <c r="AF44" s="3213">
        <v>11.31</v>
      </c>
      <c r="AG44" s="4344">
        <v>9.1695903915407229</v>
      </c>
    </row>
    <row r="45" spans="2:33" ht="20" customHeight="1">
      <c r="B45" s="4329"/>
      <c r="C45" s="4338"/>
      <c r="D45" s="4338"/>
      <c r="E45" s="4339"/>
      <c r="F45" s="4339"/>
      <c r="G45" s="4339"/>
      <c r="H45" s="4338"/>
      <c r="I45" s="4340"/>
      <c r="J45" s="4340"/>
      <c r="K45" s="4340"/>
      <c r="L45" s="4340"/>
      <c r="M45" s="4340"/>
      <c r="N45" s="4340"/>
      <c r="O45" s="4340"/>
      <c r="P45" s="4340"/>
      <c r="Q45" s="4340"/>
      <c r="R45" s="4340"/>
      <c r="S45" s="4340"/>
      <c r="T45" s="4339"/>
      <c r="U45" s="4339"/>
      <c r="V45" s="4340"/>
      <c r="W45" s="4341"/>
      <c r="X45" s="4341"/>
      <c r="Y45" s="4341"/>
      <c r="Z45" s="4341"/>
      <c r="AA45" s="4341"/>
      <c r="AB45" s="615"/>
      <c r="AC45" s="3213"/>
      <c r="AD45" s="3213"/>
      <c r="AE45" s="3213"/>
      <c r="AF45" s="3213"/>
      <c r="AG45" s="4344"/>
    </row>
    <row r="46" spans="2:33">
      <c r="B46" s="4329" t="s">
        <v>404</v>
      </c>
      <c r="C46" s="4338">
        <v>2.2429000000000001</v>
      </c>
      <c r="D46" s="4338">
        <v>2.0609999999999999</v>
      </c>
      <c r="E46" s="4339">
        <v>2.15</v>
      </c>
      <c r="F46" s="4339">
        <v>2.46</v>
      </c>
      <c r="G46" s="4339">
        <v>2.4700000000000002</v>
      </c>
      <c r="H46" s="4338">
        <v>2</v>
      </c>
      <c r="I46" s="4340">
        <v>2.0762</v>
      </c>
      <c r="J46" s="4340">
        <v>3.198</v>
      </c>
      <c r="K46" s="4340">
        <v>3.1078000000000001</v>
      </c>
      <c r="L46" s="4340">
        <v>2.81</v>
      </c>
      <c r="M46" s="4340">
        <v>2.96</v>
      </c>
      <c r="N46" s="4340">
        <v>3.63</v>
      </c>
      <c r="O46" s="4340">
        <v>5.7609041417255362</v>
      </c>
      <c r="P46" s="4340">
        <v>7.23</v>
      </c>
      <c r="Q46" s="4340">
        <v>7.11</v>
      </c>
      <c r="R46" s="4340">
        <v>10.54</v>
      </c>
      <c r="S46" s="4340">
        <v>6.4641999999999999</v>
      </c>
      <c r="T46" s="4340">
        <v>7.35</v>
      </c>
      <c r="U46" s="4340">
        <v>9.19</v>
      </c>
      <c r="V46" s="4340">
        <v>10.2989</v>
      </c>
      <c r="W46" s="4341">
        <v>9.6519176143874095</v>
      </c>
      <c r="X46" s="4341">
        <v>9.9623318208297924</v>
      </c>
      <c r="Y46" s="4341">
        <v>9.2720774474893197</v>
      </c>
      <c r="Z46" s="4341">
        <v>6.1142000000000003</v>
      </c>
      <c r="AA46" s="4341">
        <v>5.8683557595128111</v>
      </c>
      <c r="AB46" s="615">
        <v>7.3</v>
      </c>
      <c r="AC46" s="3213">
        <v>7.5791000000000004</v>
      </c>
      <c r="AD46" s="3213">
        <v>6.2</v>
      </c>
      <c r="AE46" s="3213">
        <v>7.06</v>
      </c>
      <c r="AF46" s="3213">
        <v>12.0169</v>
      </c>
      <c r="AG46" s="4344">
        <v>9.3006314624210678</v>
      </c>
    </row>
    <row r="47" spans="2:33" ht="20" customHeight="1">
      <c r="B47" s="4329"/>
      <c r="C47" s="4338"/>
      <c r="D47" s="4338"/>
      <c r="E47" s="4339"/>
      <c r="F47" s="4339"/>
      <c r="G47" s="4339"/>
      <c r="H47" s="4338"/>
      <c r="I47" s="4340"/>
      <c r="J47" s="4340"/>
      <c r="K47" s="4340"/>
      <c r="L47" s="4340"/>
      <c r="M47" s="4340"/>
      <c r="N47" s="4340"/>
      <c r="O47" s="4340"/>
      <c r="P47" s="4340"/>
      <c r="Q47" s="4340"/>
      <c r="R47" s="4340"/>
      <c r="S47" s="4340"/>
      <c r="T47" s="4339"/>
      <c r="U47" s="4339"/>
      <c r="V47" s="4340"/>
      <c r="W47" s="4341"/>
      <c r="X47" s="4341"/>
      <c r="Y47" s="4341"/>
      <c r="Z47" s="4341"/>
      <c r="AA47" s="4341"/>
      <c r="AB47" s="615"/>
      <c r="AC47" s="3213"/>
      <c r="AD47" s="3213"/>
      <c r="AE47" s="3213"/>
      <c r="AF47" s="3213"/>
      <c r="AG47" s="4344"/>
    </row>
    <row r="48" spans="2:33">
      <c r="B48" s="4329" t="s">
        <v>405</v>
      </c>
      <c r="C48" s="4338">
        <v>2.1551999999999998</v>
      </c>
      <c r="D48" s="4338">
        <v>2.1015999999999999</v>
      </c>
      <c r="E48" s="4339">
        <v>2.0699999999999998</v>
      </c>
      <c r="F48" s="4339">
        <v>2.54</v>
      </c>
      <c r="G48" s="4339">
        <v>2.5</v>
      </c>
      <c r="H48" s="4338">
        <v>1.9419999999999999</v>
      </c>
      <c r="I48" s="4340">
        <v>2.2744</v>
      </c>
      <c r="J48" s="4340">
        <v>3.2458999999999998</v>
      </c>
      <c r="K48" s="4340">
        <v>3.0682999999999998</v>
      </c>
      <c r="L48" s="4340">
        <v>2.89</v>
      </c>
      <c r="M48" s="4340">
        <v>2.63</v>
      </c>
      <c r="N48" s="4340">
        <v>3.42</v>
      </c>
      <c r="O48" s="4340">
        <v>5.9316570550333152</v>
      </c>
      <c r="P48" s="4340">
        <v>7.1</v>
      </c>
      <c r="Q48" s="4340">
        <v>7.21</v>
      </c>
      <c r="R48" s="4340">
        <v>10.74</v>
      </c>
      <c r="S48" s="4340">
        <v>6.4641999999999999</v>
      </c>
      <c r="T48" s="4340">
        <v>7.5</v>
      </c>
      <c r="U48" s="4340">
        <v>9.11</v>
      </c>
      <c r="V48" s="4340">
        <v>10.526999999999999</v>
      </c>
      <c r="W48" s="4341">
        <v>9.9949606154830732</v>
      </c>
      <c r="X48" s="4341">
        <v>10.140971904052046</v>
      </c>
      <c r="Y48" s="4341">
        <v>9.4493335576031381</v>
      </c>
      <c r="Z48" s="4341">
        <v>5.6147999999999998</v>
      </c>
      <c r="AA48" s="4341">
        <v>5.9252740572887861</v>
      </c>
      <c r="AB48" s="615">
        <v>8.17</v>
      </c>
      <c r="AC48" s="3213">
        <v>7.6</v>
      </c>
      <c r="AD48" s="3213">
        <v>6.24</v>
      </c>
      <c r="AE48" s="3213">
        <v>7.34</v>
      </c>
      <c r="AF48" s="3213">
        <v>12.864100000000001</v>
      </c>
      <c r="AG48" s="4344">
        <v>9.6464999999999996</v>
      </c>
    </row>
    <row r="49" spans="2:33" ht="20" customHeight="1">
      <c r="B49" s="4329"/>
      <c r="C49" s="4338"/>
      <c r="D49" s="4338"/>
      <c r="E49" s="4339"/>
      <c r="F49" s="4339"/>
      <c r="G49" s="4339"/>
      <c r="H49" s="4338"/>
      <c r="I49" s="4340"/>
      <c r="J49" s="4340"/>
      <c r="K49" s="4340"/>
      <c r="L49" s="4340"/>
      <c r="M49" s="4340"/>
      <c r="N49" s="4340"/>
      <c r="O49" s="4340"/>
      <c r="P49" s="4340"/>
      <c r="Q49" s="4340"/>
      <c r="R49" s="4340"/>
      <c r="S49" s="4340"/>
      <c r="T49" s="4339"/>
      <c r="U49" s="4339"/>
      <c r="V49" s="4340"/>
      <c r="W49" s="4341"/>
      <c r="X49" s="4341"/>
      <c r="Y49" s="4341"/>
      <c r="Z49" s="4341"/>
      <c r="AA49" s="4341"/>
      <c r="AB49" s="615"/>
      <c r="AC49" s="3213"/>
      <c r="AD49" s="3213"/>
      <c r="AE49" s="3213"/>
      <c r="AF49" s="3213"/>
      <c r="AG49" s="4344"/>
    </row>
    <row r="50" spans="2:33">
      <c r="B50" s="4329" t="s">
        <v>406</v>
      </c>
      <c r="C50" s="4338">
        <v>2.1484999999999999</v>
      </c>
      <c r="D50" s="4338">
        <v>2.0834000000000001</v>
      </c>
      <c r="E50" s="4339">
        <v>2.14</v>
      </c>
      <c r="F50" s="4339">
        <v>2.68</v>
      </c>
      <c r="G50" s="4339">
        <v>2.54</v>
      </c>
      <c r="H50" s="4338">
        <v>1.8725000000000001</v>
      </c>
      <c r="I50" s="4340">
        <v>2.4445000000000001</v>
      </c>
      <c r="J50" s="4340">
        <v>3.4971999999999999</v>
      </c>
      <c r="K50" s="4340">
        <v>2.9258000000000002</v>
      </c>
      <c r="L50" s="4340">
        <v>3.07</v>
      </c>
      <c r="M50" s="4340">
        <v>2.83</v>
      </c>
      <c r="N50" s="4340">
        <v>3.76</v>
      </c>
      <c r="O50" s="4340">
        <v>6.4234999999999998</v>
      </c>
      <c r="P50" s="4340">
        <v>7.18</v>
      </c>
      <c r="Q50" s="4340">
        <v>7.35</v>
      </c>
      <c r="R50" s="4340">
        <v>10.72</v>
      </c>
      <c r="S50" s="4340">
        <v>6.2434000000000003</v>
      </c>
      <c r="T50" s="4340">
        <v>7.57</v>
      </c>
      <c r="U50" s="4340">
        <v>10.67</v>
      </c>
      <c r="V50" s="4340">
        <v>10.603999999999999</v>
      </c>
      <c r="W50" s="4341">
        <v>10.16573500552405</v>
      </c>
      <c r="X50" s="4341">
        <v>10.091390970765403</v>
      </c>
      <c r="Y50" s="4341">
        <v>9.0669130119606365</v>
      </c>
      <c r="Z50" s="4341">
        <v>5.6977000000000002</v>
      </c>
      <c r="AA50" s="4341">
        <v>6.1006375350122335</v>
      </c>
      <c r="AB50" s="615">
        <v>8.25</v>
      </c>
      <c r="AC50" s="3213">
        <v>7.51</v>
      </c>
      <c r="AD50" s="3213">
        <v>6.17</v>
      </c>
      <c r="AE50" s="3213">
        <v>7.2</v>
      </c>
      <c r="AF50" s="3213">
        <v>12.1952</v>
      </c>
      <c r="AG50" s="4344">
        <v>11.228300000000001</v>
      </c>
    </row>
    <row r="51" spans="2:33" ht="20" customHeight="1">
      <c r="B51" s="4329"/>
      <c r="C51" s="4338"/>
      <c r="D51" s="4338"/>
      <c r="E51" s="4339"/>
      <c r="F51" s="4339"/>
      <c r="G51" s="4339"/>
      <c r="H51" s="4338"/>
      <c r="I51" s="4340"/>
      <c r="J51" s="4340"/>
      <c r="K51" s="4340"/>
      <c r="L51" s="4340"/>
      <c r="M51" s="4340"/>
      <c r="N51" s="4340"/>
      <c r="O51" s="4340"/>
      <c r="P51" s="4340"/>
      <c r="Q51" s="4340"/>
      <c r="R51" s="4340"/>
      <c r="S51" s="4340"/>
      <c r="T51" s="4339"/>
      <c r="U51" s="4339"/>
      <c r="V51" s="4340"/>
      <c r="W51" s="4341"/>
      <c r="X51" s="4341"/>
      <c r="Y51" s="4341"/>
      <c r="Z51" s="4341"/>
      <c r="AA51" s="4341"/>
      <c r="AB51" s="615"/>
      <c r="AC51" s="3213"/>
      <c r="AD51" s="3213"/>
      <c r="AE51" s="3213"/>
      <c r="AF51" s="3213"/>
      <c r="AG51" s="4344"/>
    </row>
    <row r="52" spans="2:33">
      <c r="B52" s="4329" t="s">
        <v>407</v>
      </c>
      <c r="C52" s="4338">
        <v>2.1783999999999999</v>
      </c>
      <c r="D52" s="4338">
        <v>2.0828000000000002</v>
      </c>
      <c r="E52" s="4339">
        <v>2.25</v>
      </c>
      <c r="F52" s="4339">
        <v>2.9</v>
      </c>
      <c r="G52" s="4339">
        <v>2.54</v>
      </c>
      <c r="H52" s="4338">
        <v>1.9942</v>
      </c>
      <c r="I52" s="4340">
        <v>2.597</v>
      </c>
      <c r="J52" s="4340">
        <v>3.831</v>
      </c>
      <c r="K52" s="4340">
        <v>2.9733000000000001</v>
      </c>
      <c r="L52" s="4340">
        <v>3.09</v>
      </c>
      <c r="M52" s="4340">
        <v>3</v>
      </c>
      <c r="N52" s="4340">
        <v>4.17</v>
      </c>
      <c r="O52" s="4340">
        <v>6.4329000000000001</v>
      </c>
      <c r="P52" s="4340">
        <v>7.29</v>
      </c>
      <c r="Q52" s="4340">
        <v>7.17</v>
      </c>
      <c r="R52" s="4340">
        <v>9.6</v>
      </c>
      <c r="S52" s="4340">
        <v>6.5164</v>
      </c>
      <c r="T52" s="4340">
        <v>7.62</v>
      </c>
      <c r="U52" s="4340">
        <v>10.72</v>
      </c>
      <c r="V52" s="4340">
        <v>10.726000000000001</v>
      </c>
      <c r="W52" s="4341">
        <v>10.158495732668539</v>
      </c>
      <c r="X52" s="4341">
        <v>10.052892437355764</v>
      </c>
      <c r="Y52" s="4341">
        <v>9.1397671321571874</v>
      </c>
      <c r="Z52" s="4341">
        <v>5.6856999999999998</v>
      </c>
      <c r="AA52" s="4341">
        <v>6.2053815199351803</v>
      </c>
      <c r="AB52" s="615">
        <v>8.48</v>
      </c>
      <c r="AC52" s="3213">
        <v>7.62</v>
      </c>
      <c r="AD52" s="3213">
        <v>5.98</v>
      </c>
      <c r="AE52" s="3213">
        <v>7.67</v>
      </c>
      <c r="AF52" s="3213">
        <v>11.9815</v>
      </c>
      <c r="AG52" s="4344">
        <v>11.720800000000001</v>
      </c>
    </row>
    <row r="53" spans="2:33" ht="20" customHeight="1">
      <c r="B53" s="4329"/>
      <c r="C53" s="4338"/>
      <c r="D53" s="4338"/>
      <c r="E53" s="4339"/>
      <c r="F53" s="4339"/>
      <c r="G53" s="4339"/>
      <c r="H53" s="4338"/>
      <c r="I53" s="4340"/>
      <c r="J53" s="4340"/>
      <c r="K53" s="4340"/>
      <c r="L53" s="4340"/>
      <c r="M53" s="4340"/>
      <c r="N53" s="4340"/>
      <c r="O53" s="4340"/>
      <c r="P53" s="4340"/>
      <c r="Q53" s="4340"/>
      <c r="R53" s="4340"/>
      <c r="S53" s="4340"/>
      <c r="T53" s="4339"/>
      <c r="U53" s="4339"/>
      <c r="V53" s="4340"/>
      <c r="W53" s="4341"/>
      <c r="X53" s="4341"/>
      <c r="Y53" s="4341"/>
      <c r="Z53" s="4341"/>
      <c r="AA53" s="4341"/>
      <c r="AB53" s="615"/>
      <c r="AC53" s="3213"/>
      <c r="AD53" s="3213"/>
      <c r="AE53" s="3213"/>
      <c r="AF53" s="3213"/>
      <c r="AG53" s="4344"/>
    </row>
    <row r="54" spans="2:33">
      <c r="B54" s="4329" t="s">
        <v>408</v>
      </c>
      <c r="C54" s="4338">
        <v>2.2477</v>
      </c>
      <c r="D54" s="4338">
        <v>2.0939000000000001</v>
      </c>
      <c r="E54" s="4339">
        <v>2.2999999999999998</v>
      </c>
      <c r="F54" s="4339">
        <v>3.05</v>
      </c>
      <c r="G54" s="4339">
        <v>2.66</v>
      </c>
      <c r="H54" s="4338">
        <v>1.9875</v>
      </c>
      <c r="I54" s="4340">
        <v>2.5781999999999998</v>
      </c>
      <c r="J54" s="4340">
        <v>3.7848000000000002</v>
      </c>
      <c r="K54" s="4340">
        <v>2.9718</v>
      </c>
      <c r="L54" s="4340">
        <v>2.99</v>
      </c>
      <c r="M54" s="4340">
        <v>2.64</v>
      </c>
      <c r="N54" s="4340">
        <v>4.21</v>
      </c>
      <c r="O54" s="4340">
        <v>6.3084013810061235</v>
      </c>
      <c r="P54" s="4340">
        <v>6.79</v>
      </c>
      <c r="Q54" s="4340">
        <v>7.56</v>
      </c>
      <c r="R54" s="4340">
        <v>8.99</v>
      </c>
      <c r="S54" s="4340">
        <v>6.5590000000000002</v>
      </c>
      <c r="T54" s="4340">
        <v>7.87</v>
      </c>
      <c r="U54" s="4340">
        <v>10.64</v>
      </c>
      <c r="V54" s="4340">
        <v>10.408799999999999</v>
      </c>
      <c r="W54" s="4341">
        <v>10.102757262532659</v>
      </c>
      <c r="X54" s="4341">
        <v>9.7350941435766529</v>
      </c>
      <c r="Y54" s="4341">
        <v>7.5117119089611712</v>
      </c>
      <c r="Z54" s="4341">
        <v>6.2327000000000004</v>
      </c>
      <c r="AA54" s="4341">
        <v>6.2440706303305529</v>
      </c>
      <c r="AB54" s="615">
        <v>8.66</v>
      </c>
      <c r="AC54" s="3213">
        <v>7.29</v>
      </c>
      <c r="AD54" s="3213">
        <v>6.37</v>
      </c>
      <c r="AE54" s="3213">
        <v>8.49</v>
      </c>
      <c r="AF54" s="3213">
        <v>12.833399999999999</v>
      </c>
      <c r="AG54" s="4344">
        <v>11.1242</v>
      </c>
    </row>
    <row r="55" spans="2:33" ht="20" customHeight="1">
      <c r="B55" s="4329"/>
      <c r="C55" s="4338"/>
      <c r="D55" s="4338"/>
      <c r="E55" s="4339"/>
      <c r="F55" s="4339"/>
      <c r="G55" s="4339"/>
      <c r="H55" s="4338"/>
      <c r="I55" s="4340"/>
      <c r="J55" s="4340"/>
      <c r="K55" s="4340"/>
      <c r="L55" s="4340"/>
      <c r="M55" s="4340"/>
      <c r="N55" s="4340"/>
      <c r="O55" s="4340"/>
      <c r="P55" s="4340"/>
      <c r="Q55" s="4340"/>
      <c r="R55" s="4340"/>
      <c r="S55" s="4340"/>
      <c r="T55" s="4339"/>
      <c r="U55" s="4339"/>
      <c r="V55" s="4340"/>
      <c r="W55" s="4341"/>
      <c r="X55" s="4341"/>
      <c r="Y55" s="4341"/>
      <c r="Z55" s="4341"/>
      <c r="AA55" s="4341"/>
      <c r="AB55" s="615"/>
      <c r="AC55" s="3213"/>
      <c r="AD55" s="3213"/>
      <c r="AE55" s="3213"/>
      <c r="AF55" s="3213"/>
      <c r="AG55" s="4344"/>
    </row>
    <row r="56" spans="2:33">
      <c r="B56" s="4329" t="s">
        <v>409</v>
      </c>
      <c r="C56" s="4338">
        <v>2.1518000000000002</v>
      </c>
      <c r="D56" s="4338">
        <v>2.1293000000000002</v>
      </c>
      <c r="E56" s="4339">
        <v>2.34</v>
      </c>
      <c r="F56" s="4339">
        <v>3.01</v>
      </c>
      <c r="G56" s="4339">
        <v>2.63</v>
      </c>
      <c r="H56" s="4338">
        <v>1.8694999999999999</v>
      </c>
      <c r="I56" s="4340">
        <v>2.7441</v>
      </c>
      <c r="J56" s="4340">
        <v>3.8601000000000001</v>
      </c>
      <c r="K56" s="4340">
        <v>2.7134</v>
      </c>
      <c r="L56" s="4340">
        <v>3.19</v>
      </c>
      <c r="M56" s="4340">
        <v>3.03</v>
      </c>
      <c r="N56" s="4340">
        <v>5.14</v>
      </c>
      <c r="O56" s="4340">
        <v>6.7530923603629631</v>
      </c>
      <c r="P56" s="4340">
        <v>8.23</v>
      </c>
      <c r="Q56" s="4340">
        <v>7.8</v>
      </c>
      <c r="R56" s="4340">
        <v>7.72</v>
      </c>
      <c r="S56" s="4340">
        <v>6.6</v>
      </c>
      <c r="T56" s="4340">
        <v>7.76</v>
      </c>
      <c r="U56" s="4340">
        <v>10.56</v>
      </c>
      <c r="V56" s="4340">
        <v>10.220000000000001</v>
      </c>
      <c r="W56" s="4341">
        <v>10.084129004619504</v>
      </c>
      <c r="X56" s="4341">
        <v>9.624337852752582</v>
      </c>
      <c r="Y56" s="4341">
        <v>7.3374643027668629</v>
      </c>
      <c r="Z56" s="4341">
        <v>5.8110999999999997</v>
      </c>
      <c r="AA56" s="4341">
        <v>6.4778927306139593</v>
      </c>
      <c r="AB56" s="615">
        <v>8.2799999999999994</v>
      </c>
      <c r="AC56" s="3213">
        <v>7.17</v>
      </c>
      <c r="AD56" s="3213">
        <v>6.28</v>
      </c>
      <c r="AE56" s="3213">
        <v>8.2899999999999991</v>
      </c>
      <c r="AF56" s="3213">
        <v>12.102</v>
      </c>
      <c r="AG56" s="4344">
        <v>10.0131</v>
      </c>
    </row>
    <row r="57" spans="2:33" ht="20" customHeight="1">
      <c r="B57" s="4329"/>
      <c r="C57" s="4338"/>
      <c r="D57" s="4338"/>
      <c r="E57" s="4339"/>
      <c r="F57" s="4339"/>
      <c r="G57" s="4339"/>
      <c r="H57" s="4338"/>
      <c r="I57" s="4340"/>
      <c r="J57" s="4340"/>
      <c r="K57" s="4340"/>
      <c r="L57" s="4340"/>
      <c r="M57" s="4340"/>
      <c r="N57" s="4340"/>
      <c r="O57" s="4340"/>
      <c r="P57" s="4340"/>
      <c r="Q57" s="4340"/>
      <c r="R57" s="4340"/>
      <c r="S57" s="4340"/>
      <c r="T57" s="4339"/>
      <c r="U57" s="4339"/>
      <c r="V57" s="4340"/>
      <c r="W57" s="4341"/>
      <c r="X57" s="4341"/>
      <c r="Y57" s="4341"/>
      <c r="Z57" s="4341"/>
      <c r="AA57" s="4341"/>
      <c r="AB57" s="615"/>
      <c r="AC57" s="3213"/>
      <c r="AD57" s="3213"/>
      <c r="AE57" s="3213"/>
      <c r="AF57" s="3213"/>
      <c r="AG57" s="4344"/>
    </row>
    <row r="58" spans="2:33">
      <c r="B58" s="4329" t="s">
        <v>410</v>
      </c>
      <c r="C58" s="4338">
        <v>1.9552</v>
      </c>
      <c r="D58" s="4338">
        <v>2.0834000000000001</v>
      </c>
      <c r="E58" s="4339">
        <v>2.48</v>
      </c>
      <c r="F58" s="4339">
        <v>2.99</v>
      </c>
      <c r="G58" s="4339">
        <v>2.44</v>
      </c>
      <c r="H58" s="4338">
        <v>1.7307999999999999</v>
      </c>
      <c r="I58" s="4340">
        <v>2.8294999999999999</v>
      </c>
      <c r="J58" s="4340">
        <v>3.4925000000000002</v>
      </c>
      <c r="K58" s="4340">
        <v>2.4519000000000002</v>
      </c>
      <c r="L58" s="4340">
        <v>3.19</v>
      </c>
      <c r="M58" s="4340">
        <v>2.94</v>
      </c>
      <c r="N58" s="4340">
        <v>4.59</v>
      </c>
      <c r="O58" s="4340">
        <v>6.9604028943585545</v>
      </c>
      <c r="P58" s="4340">
        <v>6.56</v>
      </c>
      <c r="Q58" s="4340">
        <v>8.3800000000000008</v>
      </c>
      <c r="R58" s="4340">
        <v>6.33</v>
      </c>
      <c r="S58" s="4345">
        <v>6.68</v>
      </c>
      <c r="T58" s="4345">
        <v>8.06</v>
      </c>
      <c r="U58" s="4345">
        <v>10.39</v>
      </c>
      <c r="V58" s="4345">
        <v>10.241400000000001</v>
      </c>
      <c r="W58" s="4346">
        <v>10.144758270506921</v>
      </c>
      <c r="X58" s="4346">
        <v>9.1799967435974352</v>
      </c>
      <c r="Y58" s="4346">
        <v>6.7929682403925478</v>
      </c>
      <c r="Z58" s="4346">
        <v>6.2245999999999997</v>
      </c>
      <c r="AA58" s="4346">
        <v>6.5236810853398417</v>
      </c>
      <c r="AB58" s="4347">
        <v>7.77</v>
      </c>
      <c r="AC58" s="3214">
        <v>7.23</v>
      </c>
      <c r="AD58" s="3214">
        <v>6.64</v>
      </c>
      <c r="AE58" s="3214">
        <v>7.75</v>
      </c>
      <c r="AF58" s="3214">
        <v>11.0862</v>
      </c>
      <c r="AG58" s="4344">
        <v>9.2261000000000006</v>
      </c>
    </row>
    <row r="59" spans="2:33" ht="40.25" customHeight="1" thickBot="1">
      <c r="B59" s="4334" t="s">
        <v>1055</v>
      </c>
      <c r="C59" s="4348">
        <v>2.2088500000000004</v>
      </c>
      <c r="D59" s="4348">
        <v>2.0721416666666665</v>
      </c>
      <c r="E59" s="4348">
        <v>2.1883333333333335</v>
      </c>
      <c r="F59" s="4348">
        <v>2.7108333333333334</v>
      </c>
      <c r="G59" s="4348">
        <v>2.6</v>
      </c>
      <c r="H59" s="4348">
        <v>2.0362416666666663</v>
      </c>
      <c r="I59" s="4348">
        <v>2.2444083333333333</v>
      </c>
      <c r="J59" s="4348">
        <v>3.3369083333333331</v>
      </c>
      <c r="K59" s="4348">
        <f>AVERAGE(K36:K58)</f>
        <v>3.0243416666666669</v>
      </c>
      <c r="L59" s="4348">
        <f t="shared" ref="L59:AD59" si="3">AVERAGE(L36:L58)</f>
        <v>2.86</v>
      </c>
      <c r="M59" s="4348">
        <f t="shared" si="3"/>
        <v>2.9441666666666664</v>
      </c>
      <c r="N59" s="4348">
        <f t="shared" si="3"/>
        <v>3.8191666666666664</v>
      </c>
      <c r="O59" s="4348">
        <f t="shared" si="3"/>
        <v>5.8678682039527539</v>
      </c>
      <c r="P59" s="4348">
        <f t="shared" si="3"/>
        <v>7.0008333333333335</v>
      </c>
      <c r="Q59" s="4348">
        <f t="shared" si="3"/>
        <v>7.1391666666666671</v>
      </c>
      <c r="R59" s="4348">
        <f t="shared" si="3"/>
        <v>9.0449999999999982</v>
      </c>
      <c r="S59" s="4349">
        <f t="shared" si="3"/>
        <v>5.8587583333333333</v>
      </c>
      <c r="T59" s="4349">
        <f t="shared" si="3"/>
        <v>7.4958333333333345</v>
      </c>
      <c r="U59" s="4349">
        <f t="shared" si="3"/>
        <v>9.4591666666666665</v>
      </c>
      <c r="V59" s="4349">
        <f t="shared" si="3"/>
        <v>10.426733333333333</v>
      </c>
      <c r="W59" s="4350">
        <f t="shared" si="3"/>
        <v>9.9806333322780301</v>
      </c>
      <c r="X59" s="4350">
        <f t="shared" si="3"/>
        <v>9.8105892317160386</v>
      </c>
      <c r="Y59" s="4350">
        <f t="shared" si="3"/>
        <v>8.7624240953763941</v>
      </c>
      <c r="Z59" s="4350">
        <f t="shared" si="3"/>
        <v>5.7556583333333329</v>
      </c>
      <c r="AA59" s="4350">
        <f t="shared" si="3"/>
        <v>6.2404808692156264</v>
      </c>
      <c r="AB59" s="4350">
        <f t="shared" si="3"/>
        <v>7.72</v>
      </c>
      <c r="AC59" s="4350">
        <f t="shared" si="3"/>
        <v>7.5633000000000017</v>
      </c>
      <c r="AD59" s="4350">
        <f t="shared" si="3"/>
        <v>6.2941666666666665</v>
      </c>
      <c r="AE59" s="4350">
        <f>AVERAGE(AE36:AE58)</f>
        <v>7.2125000000000012</v>
      </c>
      <c r="AF59" s="4350">
        <f>AVERAGE(AF36:AF58)</f>
        <v>11.448824999999999</v>
      </c>
      <c r="AG59" s="4351">
        <f>AVERAGE(AG36:AG58)</f>
        <v>10.514217162813082</v>
      </c>
    </row>
    <row r="60" spans="2:33" ht="29" hidden="1" customHeight="1" thickBot="1">
      <c r="B60" s="4331" t="s">
        <v>918</v>
      </c>
      <c r="C60" s="241"/>
      <c r="D60" s="241"/>
      <c r="E60" s="241"/>
      <c r="F60" s="241"/>
      <c r="G60" s="241"/>
      <c r="H60" s="241"/>
      <c r="I60" s="241"/>
      <c r="J60" s="241"/>
      <c r="K60" s="241"/>
      <c r="L60" s="241"/>
      <c r="M60" s="241"/>
      <c r="N60" s="241"/>
      <c r="O60" s="242"/>
      <c r="P60" s="241"/>
      <c r="Q60" s="241"/>
      <c r="R60" s="242"/>
      <c r="S60" s="231">
        <f>AVERAGE(S36:S52)</f>
        <v>5.6073444444444442</v>
      </c>
      <c r="T60" s="232">
        <f t="shared" ref="T60:AD60" si="4">AVERAGE(T36:T52)</f>
        <v>7.3622222222222229</v>
      </c>
      <c r="U60" s="232">
        <f t="shared" si="4"/>
        <v>9.1022222222222222</v>
      </c>
      <c r="V60" s="232">
        <f t="shared" si="4"/>
        <v>10.47228888888889</v>
      </c>
      <c r="W60" s="232">
        <f t="shared" si="4"/>
        <v>9.9373283832974746</v>
      </c>
      <c r="X60" s="233">
        <f t="shared" si="4"/>
        <v>9.9097380045184238</v>
      </c>
      <c r="Y60" s="232">
        <f t="shared" si="4"/>
        <v>9.2785494102662369</v>
      </c>
      <c r="Z60" s="232">
        <f t="shared" si="4"/>
        <v>5.644388888888888</v>
      </c>
      <c r="AA60" s="232">
        <f t="shared" si="4"/>
        <v>6.1822362204781278</v>
      </c>
      <c r="AB60" s="231">
        <f t="shared" si="4"/>
        <v>7.5477777777777781</v>
      </c>
      <c r="AC60" s="232">
        <f t="shared" si="4"/>
        <v>7.6744000000000012</v>
      </c>
      <c r="AD60" s="234">
        <f t="shared" si="4"/>
        <v>6.2488888888888896</v>
      </c>
      <c r="AE60" s="234">
        <f>AVERAGE(AE36:AE52)</f>
        <v>6.8911111111111119</v>
      </c>
      <c r="AG60" s="2339"/>
    </row>
    <row r="61" spans="2:33" ht="33.5" customHeight="1">
      <c r="B61" s="4335" t="s">
        <v>749</v>
      </c>
      <c r="C61" s="243"/>
      <c r="D61" s="243"/>
      <c r="E61" s="243"/>
      <c r="F61" s="243"/>
      <c r="G61" s="243"/>
      <c r="H61" s="243"/>
      <c r="I61" s="243"/>
      <c r="J61" s="243"/>
      <c r="K61" s="243"/>
      <c r="L61" s="243"/>
      <c r="M61" s="243"/>
      <c r="N61" s="243"/>
      <c r="O61" s="236"/>
      <c r="S61" s="236"/>
      <c r="X61" s="244"/>
      <c r="AB61" s="245"/>
      <c r="AC61" s="239"/>
      <c r="AD61" s="246"/>
      <c r="AE61" s="246"/>
      <c r="AF61" s="2337"/>
    </row>
    <row r="62" spans="2:33" ht="33.75">
      <c r="B62" s="357" t="s">
        <v>119</v>
      </c>
      <c r="C62" s="235"/>
      <c r="D62" s="235"/>
      <c r="E62" s="235"/>
      <c r="F62" s="235"/>
      <c r="G62" s="235"/>
      <c r="H62" s="235"/>
      <c r="I62" s="235"/>
      <c r="J62" s="235"/>
      <c r="K62" s="235"/>
      <c r="L62" s="235"/>
      <c r="M62" s="235"/>
      <c r="N62" s="243"/>
      <c r="O62" s="236"/>
      <c r="AB62" s="239"/>
      <c r="AC62" s="239"/>
      <c r="AD62" s="239"/>
      <c r="AE62" s="239"/>
    </row>
    <row r="63" spans="2:33">
      <c r="B63" s="211" t="s">
        <v>268</v>
      </c>
      <c r="AB63" s="239"/>
      <c r="AC63" s="239"/>
      <c r="AD63" s="239"/>
      <c r="AE63" s="239"/>
    </row>
    <row r="64" spans="2:33">
      <c r="AB64" s="239"/>
      <c r="AC64" s="239"/>
      <c r="AD64" s="239"/>
      <c r="AE64" s="239"/>
    </row>
    <row r="65" spans="28:31">
      <c r="AB65" s="239"/>
      <c r="AC65" s="239"/>
      <c r="AD65" s="239"/>
      <c r="AE65" s="239"/>
    </row>
    <row r="66" spans="28:31">
      <c r="AB66" s="239"/>
      <c r="AC66" s="239"/>
      <c r="AD66" s="239"/>
      <c r="AE66" s="239"/>
    </row>
    <row r="67" spans="28:31">
      <c r="AB67" s="239"/>
      <c r="AC67" s="239"/>
      <c r="AD67" s="239"/>
      <c r="AE67" s="239"/>
    </row>
    <row r="68" spans="28:31">
      <c r="AB68" s="239"/>
      <c r="AC68" s="239"/>
      <c r="AD68" s="239"/>
      <c r="AE68" s="239"/>
    </row>
    <row r="69" spans="28:31">
      <c r="AB69" s="239"/>
      <c r="AC69" s="239"/>
      <c r="AD69" s="239"/>
      <c r="AE69" s="239"/>
    </row>
    <row r="70" spans="28:31">
      <c r="AB70" s="239"/>
      <c r="AC70" s="239"/>
      <c r="AD70" s="239"/>
      <c r="AE70" s="239"/>
    </row>
    <row r="71" spans="28:31">
      <c r="AB71" s="239"/>
      <c r="AC71" s="239"/>
      <c r="AD71" s="239"/>
      <c r="AE71" s="239"/>
    </row>
    <row r="72" spans="28:31">
      <c r="AB72" s="239"/>
      <c r="AC72" s="239"/>
      <c r="AD72" s="239"/>
      <c r="AE72" s="239"/>
    </row>
    <row r="73" spans="28:31">
      <c r="AB73" s="239"/>
      <c r="AC73" s="239"/>
      <c r="AD73" s="239"/>
      <c r="AE73" s="239"/>
    </row>
    <row r="74" spans="28:31">
      <c r="AB74" s="239"/>
      <c r="AC74" s="239"/>
      <c r="AD74" s="239"/>
      <c r="AE74" s="239"/>
    </row>
    <row r="75" spans="28:31">
      <c r="AB75" s="239"/>
      <c r="AC75" s="239"/>
      <c r="AD75" s="239"/>
      <c r="AE75" s="239"/>
    </row>
    <row r="76" spans="28:31">
      <c r="AB76" s="239"/>
      <c r="AC76" s="239"/>
      <c r="AD76" s="239"/>
      <c r="AE76" s="239"/>
    </row>
    <row r="77" spans="28:31">
      <c r="AB77" s="239"/>
      <c r="AC77" s="239"/>
      <c r="AD77" s="239"/>
      <c r="AE77" s="239"/>
    </row>
    <row r="78" spans="28:31">
      <c r="AB78" s="239"/>
      <c r="AC78" s="239"/>
      <c r="AD78" s="239"/>
      <c r="AE78" s="239"/>
    </row>
    <row r="79" spans="28:31">
      <c r="AB79" s="239"/>
      <c r="AC79" s="239"/>
      <c r="AD79" s="239"/>
      <c r="AE79" s="239"/>
    </row>
    <row r="80" spans="28:31">
      <c r="AB80" s="239"/>
      <c r="AC80" s="239"/>
      <c r="AD80" s="239"/>
      <c r="AE80" s="239"/>
    </row>
  </sheetData>
  <mergeCells count="4">
    <mergeCell ref="B1:AG1"/>
    <mergeCell ref="B2:AG2"/>
    <mergeCell ref="B32:AG32"/>
    <mergeCell ref="B33:AG33"/>
  </mergeCells>
  <phoneticPr fontId="47" type="noConversion"/>
  <printOptions horizontalCentered="1" verticalCentered="1"/>
  <pageMargins left="0.25" right="0.25" top="0.75" bottom="0.75" header="0.3" footer="0.3"/>
  <pageSetup scale="26" firstPageNumber="103" orientation="portrait" useFirstPageNumber="1" r:id="rId1"/>
  <headerFooter scaleWithDoc="0" alignWithMargins="0">
    <oddFooter xml:space="preserve">&amp;C120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2">
    <tabColor rgb="FF00B0F0"/>
    <pageSetUpPr fitToPage="1"/>
  </sheetPr>
  <dimension ref="B1:P78"/>
  <sheetViews>
    <sheetView view="pageBreakPreview" topLeftCell="B1" zoomScale="30" zoomScaleNormal="100" zoomScaleSheetLayoutView="30" workbookViewId="0">
      <pane xSplit="5" topLeftCell="I1" activePane="topRight" state="frozen"/>
      <selection activeCell="B44" sqref="B44"/>
      <selection pane="topRight" activeCell="B44" sqref="B44"/>
    </sheetView>
  </sheetViews>
  <sheetFormatPr defaultColWidth="9.46484375" defaultRowHeight="37.9"/>
  <cols>
    <col min="1" max="1" width="0" style="361" hidden="1" customWidth="1"/>
    <col min="2" max="2" width="45.6640625" style="361" customWidth="1"/>
    <col min="3" max="3" width="37.6640625" style="361" hidden="1" customWidth="1"/>
    <col min="4" max="4" width="38.33203125" style="361" hidden="1" customWidth="1"/>
    <col min="5" max="5" width="37.6640625" style="361" hidden="1" customWidth="1"/>
    <col min="6" max="6" width="38.33203125" style="361" hidden="1" customWidth="1"/>
    <col min="7" max="13" width="45.6640625" style="361" customWidth="1"/>
    <col min="14" max="14" width="37.6640625" style="4412" customWidth="1"/>
    <col min="15" max="15" width="33" style="361" customWidth="1"/>
    <col min="16" max="16" width="10.46484375" style="361" bestFit="1" customWidth="1"/>
    <col min="17" max="17" width="12" style="361" bestFit="1" customWidth="1"/>
    <col min="18" max="18" width="13.46484375" style="361" bestFit="1" customWidth="1"/>
    <col min="19" max="20" width="12" style="361" bestFit="1" customWidth="1"/>
    <col min="21" max="16384" width="9.46484375" style="361"/>
  </cols>
  <sheetData>
    <row r="1" spans="2:16" ht="44" customHeight="1">
      <c r="B1" s="5824" t="s">
        <v>685</v>
      </c>
      <c r="C1" s="5824"/>
      <c r="D1" s="5824"/>
      <c r="E1" s="5824"/>
      <c r="F1" s="5824"/>
      <c r="G1" s="5824"/>
      <c r="H1" s="5824"/>
      <c r="I1" s="5824"/>
      <c r="J1" s="5824"/>
      <c r="K1" s="5824"/>
      <c r="L1" s="5824"/>
      <c r="M1" s="5824"/>
      <c r="N1" s="5824"/>
      <c r="O1" s="5824"/>
    </row>
    <row r="2" spans="2:16" ht="30" customHeight="1">
      <c r="B2" s="5824" t="s">
        <v>594</v>
      </c>
      <c r="C2" s="5824"/>
      <c r="D2" s="5824"/>
      <c r="E2" s="5824"/>
      <c r="F2" s="5824"/>
      <c r="G2" s="5824"/>
      <c r="H2" s="5824"/>
      <c r="I2" s="5824"/>
      <c r="J2" s="5824"/>
      <c r="K2" s="5824"/>
      <c r="L2" s="5824"/>
      <c r="M2" s="5824"/>
      <c r="N2" s="5824"/>
      <c r="O2" s="5824"/>
    </row>
    <row r="3" spans="2:16" ht="30" customHeight="1">
      <c r="B3" s="5824" t="s">
        <v>1952</v>
      </c>
      <c r="C3" s="5824"/>
      <c r="D3" s="5824"/>
      <c r="E3" s="5824"/>
      <c r="F3" s="5824"/>
      <c r="G3" s="5824"/>
      <c r="H3" s="5824"/>
      <c r="I3" s="5824"/>
      <c r="J3" s="5824"/>
      <c r="K3" s="5824"/>
      <c r="L3" s="5824"/>
      <c r="M3" s="5824"/>
      <c r="N3" s="5824"/>
      <c r="O3" s="5824"/>
    </row>
    <row r="4" spans="2:16" ht="41" customHeight="1" thickBot="1">
      <c r="B4" s="4352"/>
      <c r="C4" s="4352"/>
      <c r="D4" s="4352"/>
      <c r="E4" s="487"/>
      <c r="F4" s="487"/>
      <c r="G4" s="487"/>
      <c r="H4" s="487"/>
      <c r="I4" s="487"/>
      <c r="J4" s="487"/>
      <c r="K4" s="487"/>
      <c r="L4" s="487"/>
      <c r="M4" s="487"/>
      <c r="N4" s="4353"/>
    </row>
    <row r="5" spans="2:16" ht="93.75" customHeight="1" thickBot="1">
      <c r="B5" s="4354" t="s">
        <v>108</v>
      </c>
      <c r="C5" s="4355">
        <v>2012</v>
      </c>
      <c r="D5" s="4356">
        <v>2013</v>
      </c>
      <c r="E5" s="4356">
        <v>2014</v>
      </c>
      <c r="F5" s="4356">
        <v>2015</v>
      </c>
      <c r="G5" s="4356">
        <v>2016</v>
      </c>
      <c r="H5" s="4356">
        <v>2017</v>
      </c>
      <c r="I5" s="4356">
        <v>2018</v>
      </c>
      <c r="J5" s="4356">
        <v>2019</v>
      </c>
      <c r="K5" s="4356">
        <v>2020</v>
      </c>
      <c r="L5" s="4355">
        <v>2021</v>
      </c>
      <c r="M5" s="4357">
        <v>2022</v>
      </c>
      <c r="N5" s="4358" t="s">
        <v>1959</v>
      </c>
      <c r="O5" s="4359" t="s">
        <v>1522</v>
      </c>
    </row>
    <row r="6" spans="2:16" ht="40.25" customHeight="1">
      <c r="B6" s="4360"/>
      <c r="C6" s="4361"/>
      <c r="D6" s="4362"/>
      <c r="E6" s="4362"/>
      <c r="F6" s="4362"/>
      <c r="G6" s="4362"/>
      <c r="H6" s="4362"/>
      <c r="I6" s="4362"/>
      <c r="J6" s="4363"/>
      <c r="K6" s="4364"/>
      <c r="L6" s="4363"/>
      <c r="M6" s="4364"/>
      <c r="N6" s="4366"/>
      <c r="O6" s="4367"/>
    </row>
    <row r="7" spans="2:16" ht="40.25" customHeight="1">
      <c r="B7" s="4360" t="s">
        <v>589</v>
      </c>
      <c r="C7" s="4361">
        <f>+'[176]Utilities '!$B$87</f>
        <v>27403926</v>
      </c>
      <c r="D7" s="4362">
        <f>+'[176]Utilities '!$B$105</f>
        <v>18704784</v>
      </c>
      <c r="E7" s="4362">
        <v>18460372</v>
      </c>
      <c r="F7" s="4362">
        <v>23276753</v>
      </c>
      <c r="G7" s="4368">
        <v>19.596274000000001</v>
      </c>
      <c r="H7" s="4368">
        <f>(+[177]Sheet3!$B$17)/1000000</f>
        <v>18.532516999999999</v>
      </c>
      <c r="I7" s="4368">
        <v>20.427785</v>
      </c>
      <c r="J7" s="4368">
        <v>24.509951999999998</v>
      </c>
      <c r="K7" s="4368">
        <v>7.6792740000000004</v>
      </c>
      <c r="L7" s="4368">
        <v>0.09</v>
      </c>
      <c r="M7" s="4369">
        <v>6.87697</v>
      </c>
      <c r="N7" s="4370">
        <v>10.294</v>
      </c>
      <c r="O7" s="4371">
        <f>+N7/M7-1</f>
        <v>0.4968801667013234</v>
      </c>
      <c r="P7" s="4372"/>
    </row>
    <row r="8" spans="2:16" ht="40.25" customHeight="1">
      <c r="B8" s="4360"/>
      <c r="C8" s="4361"/>
      <c r="D8" s="4362"/>
      <c r="E8" s="4362"/>
      <c r="F8" s="4362"/>
      <c r="G8" s="4368"/>
      <c r="H8" s="4368"/>
      <c r="I8" s="4368"/>
      <c r="J8" s="4373"/>
      <c r="K8" s="4373"/>
      <c r="L8" s="4373"/>
      <c r="M8" s="4374"/>
      <c r="N8" s="4366"/>
      <c r="O8" s="4371"/>
    </row>
    <row r="9" spans="2:16" ht="40.25" customHeight="1">
      <c r="B9" s="4360" t="s">
        <v>590</v>
      </c>
      <c r="C9" s="4361">
        <f>+'[176]Utilities '!$C$87</f>
        <v>273308815</v>
      </c>
      <c r="D9" s="4362">
        <f>+'[176]Utilities '!$C$105</f>
        <v>233080178</v>
      </c>
      <c r="E9" s="4362">
        <v>243404592</v>
      </c>
      <c r="F9" s="4362">
        <v>237971452</v>
      </c>
      <c r="G9" s="4368">
        <v>242.392752</v>
      </c>
      <c r="H9" s="4368">
        <f>(+[177]Sheet3!$C$17)/1000000</f>
        <v>265.46014300000002</v>
      </c>
      <c r="I9" s="4368">
        <v>282.114486</v>
      </c>
      <c r="J9" s="4368">
        <v>282.79992299999998</v>
      </c>
      <c r="K9" s="4368">
        <v>255.46329399999999</v>
      </c>
      <c r="L9" s="4368">
        <v>247.47795400000001</v>
      </c>
      <c r="M9" s="4369">
        <v>280.72128600000002</v>
      </c>
      <c r="N9" s="4370">
        <v>300.46499999999997</v>
      </c>
      <c r="O9" s="4371">
        <f>+N9/M9-1</f>
        <v>7.0332087321657299E-2</v>
      </c>
      <c r="P9" s="4372"/>
    </row>
    <row r="10" spans="2:16" ht="40.25" customHeight="1">
      <c r="B10" s="4360"/>
      <c r="C10" s="4361"/>
      <c r="D10" s="4362"/>
      <c r="E10" s="4362"/>
      <c r="F10" s="4362"/>
      <c r="G10" s="4368"/>
      <c r="H10" s="4368"/>
      <c r="I10" s="4368"/>
      <c r="J10" s="4368"/>
      <c r="K10" s="4368"/>
      <c r="L10" s="4368"/>
      <c r="M10" s="4369"/>
      <c r="N10" s="4366"/>
      <c r="O10" s="4371"/>
    </row>
    <row r="11" spans="2:16" ht="40.25" customHeight="1">
      <c r="B11" s="4360" t="s">
        <v>585</v>
      </c>
      <c r="C11" s="4361">
        <f>+'[176]Utilities '!$D$87</f>
        <v>1039777426</v>
      </c>
      <c r="D11" s="4362">
        <f>+'[176]Utilities '!$D$105</f>
        <v>1047323622</v>
      </c>
      <c r="E11" s="4362">
        <v>1012754945</v>
      </c>
      <c r="F11" s="4362">
        <v>1051560916</v>
      </c>
      <c r="G11" s="4368">
        <v>1057.107702</v>
      </c>
      <c r="H11" s="4368">
        <f>(+[177]Sheet3!$D$17)/1000000</f>
        <v>1076.309074</v>
      </c>
      <c r="I11" s="4368">
        <v>1092.8740780000001</v>
      </c>
      <c r="J11" s="4368">
        <v>1105.040219</v>
      </c>
      <c r="K11" s="4368">
        <v>1194.1461589999999</v>
      </c>
      <c r="L11" s="4368">
        <v>1804.0369949999999</v>
      </c>
      <c r="M11" s="4369">
        <v>1770.633552</v>
      </c>
      <c r="N11" s="4368">
        <v>1756.527</v>
      </c>
      <c r="O11" s="4371">
        <f>+N11/M11-1</f>
        <v>-7.9669517072383789E-3</v>
      </c>
      <c r="P11" s="4372"/>
    </row>
    <row r="12" spans="2:16" ht="40.25" customHeight="1">
      <c r="B12" s="4360"/>
      <c r="C12" s="4361"/>
      <c r="D12" s="4362"/>
      <c r="E12" s="4362"/>
      <c r="F12" s="4362"/>
      <c r="G12" s="4368"/>
      <c r="H12" s="4368"/>
      <c r="I12" s="4368"/>
      <c r="J12" s="4368"/>
      <c r="K12" s="4368"/>
      <c r="L12" s="4368"/>
      <c r="M12" s="4369"/>
      <c r="N12" s="4366"/>
      <c r="O12" s="4371"/>
    </row>
    <row r="13" spans="2:16" ht="40.25" customHeight="1">
      <c r="B13" s="4360" t="s">
        <v>591</v>
      </c>
      <c r="C13" s="4361">
        <f>+'[176]Utilities '!$E$87</f>
        <v>239058793</v>
      </c>
      <c r="D13" s="4362">
        <f>+'[176]Utilities '!$E$105</f>
        <v>211911902</v>
      </c>
      <c r="E13" s="4362">
        <v>206850291</v>
      </c>
      <c r="F13" s="4362">
        <v>221502859</v>
      </c>
      <c r="G13" s="4368">
        <v>232.423664</v>
      </c>
      <c r="H13" s="4368">
        <f>(+[177]Sheet3!$E$17)/1000000</f>
        <v>214.172235</v>
      </c>
      <c r="I13" s="4368">
        <v>250.911711</v>
      </c>
      <c r="J13" s="4368">
        <v>232.678922</v>
      </c>
      <c r="K13" s="4368">
        <v>197.77139299999999</v>
      </c>
      <c r="L13" s="4368">
        <v>192.68874700000001</v>
      </c>
      <c r="M13" s="4369">
        <v>209.26412199999999</v>
      </c>
      <c r="N13" s="4370">
        <v>222.01300000000001</v>
      </c>
      <c r="O13" s="4371">
        <f>+N13/M13-1</f>
        <v>6.0922426062122614E-2</v>
      </c>
      <c r="P13" s="4372"/>
    </row>
    <row r="14" spans="2:16" ht="40.25" customHeight="1">
      <c r="B14" s="4360"/>
      <c r="C14" s="4361"/>
      <c r="D14" s="4362"/>
      <c r="E14" s="4362"/>
      <c r="F14" s="4362"/>
      <c r="G14" s="4368"/>
      <c r="H14" s="4368"/>
      <c r="I14" s="4368"/>
      <c r="J14" s="4368"/>
      <c r="K14" s="4368"/>
      <c r="L14" s="4368"/>
      <c r="M14" s="4369"/>
      <c r="N14" s="4366"/>
      <c r="O14" s="4371"/>
    </row>
    <row r="15" spans="2:16" ht="40.25" customHeight="1">
      <c r="B15" s="4360" t="s">
        <v>592</v>
      </c>
      <c r="C15" s="4361">
        <f>+'[176]Utilities '!$F$87</f>
        <v>307932624</v>
      </c>
      <c r="D15" s="4362">
        <f>+'[176]Utilities '!$F$105</f>
        <v>327623502</v>
      </c>
      <c r="E15" s="4362">
        <v>301813618</v>
      </c>
      <c r="F15" s="4362">
        <v>300420815</v>
      </c>
      <c r="G15" s="4368">
        <v>294.66938299999998</v>
      </c>
      <c r="H15" s="4368">
        <f>(+[177]Sheet3!$F$17)/1000000</f>
        <v>322.59531700000002</v>
      </c>
      <c r="I15" s="4368">
        <v>334.02693399999998</v>
      </c>
      <c r="J15" s="4368">
        <v>302.21017599999999</v>
      </c>
      <c r="K15" s="4368">
        <v>210.835252</v>
      </c>
      <c r="L15" s="4368">
        <v>221.62892299999999</v>
      </c>
      <c r="M15" s="4369">
        <v>272.659086</v>
      </c>
      <c r="N15" s="4370">
        <v>268.23899999999998</v>
      </c>
      <c r="O15" s="4371">
        <f>+N15/M15-1</f>
        <v>-1.6211035050561318E-2</v>
      </c>
      <c r="P15" s="4372"/>
    </row>
    <row r="16" spans="2:16" ht="40.25" customHeight="1">
      <c r="B16" s="4360"/>
      <c r="C16" s="4361"/>
      <c r="D16" s="4362"/>
      <c r="E16" s="4362"/>
      <c r="F16" s="4362"/>
      <c r="G16" s="4362"/>
      <c r="H16" s="4362"/>
      <c r="I16" s="4362"/>
      <c r="J16" s="4362"/>
      <c r="K16" s="4375"/>
      <c r="L16" s="4375"/>
      <c r="M16" s="4364"/>
      <c r="N16" s="4366"/>
      <c r="O16" s="4376"/>
    </row>
    <row r="17" spans="2:16" ht="40.25" customHeight="1" thickBot="1">
      <c r="B17" s="4377" t="s">
        <v>412</v>
      </c>
      <c r="C17" s="4378">
        <f>SUM(C7:C15)</f>
        <v>1887481584</v>
      </c>
      <c r="D17" s="4379">
        <f>SUM(D7:D15)</f>
        <v>1838643988</v>
      </c>
      <c r="E17" s="4379">
        <f>SUM(E7:E15)</f>
        <v>1783283818</v>
      </c>
      <c r="F17" s="4379">
        <f t="shared" ref="F17:I17" si="0">F7+F9+F11+F13+F15</f>
        <v>1834732795</v>
      </c>
      <c r="G17" s="4380">
        <f t="shared" si="0"/>
        <v>1846.1897749999998</v>
      </c>
      <c r="H17" s="4380">
        <f t="shared" si="0"/>
        <v>1897.0692860000001</v>
      </c>
      <c r="I17" s="4380">
        <f t="shared" si="0"/>
        <v>1980.354994</v>
      </c>
      <c r="J17" s="4380">
        <f>J7+J9+J11+J13+J15</f>
        <v>1947.239192</v>
      </c>
      <c r="K17" s="4380">
        <f>K7+K9+K11+K13+K15</f>
        <v>1865.895372</v>
      </c>
      <c r="L17" s="4381">
        <f>L7+L9+L11+L13+L15</f>
        <v>2465.9226189999999</v>
      </c>
      <c r="M17" s="4381">
        <f>M7+M9+M11+M13+M15</f>
        <v>2540.1550160000002</v>
      </c>
      <c r="N17" s="4381">
        <f t="shared" ref="N17" si="1">N7+N9+N11+N13+N15</f>
        <v>2557.538</v>
      </c>
      <c r="O17" s="4382">
        <f>+N17/M17-1</f>
        <v>6.8432768435420233E-3</v>
      </c>
    </row>
    <row r="18" spans="2:16" ht="40.25" customHeight="1">
      <c r="B18" s="4383" t="s">
        <v>593</v>
      </c>
      <c r="C18" s="4383"/>
      <c r="D18" s="4383"/>
      <c r="E18" s="4384"/>
      <c r="F18" s="4384"/>
      <c r="G18" s="4384"/>
      <c r="H18" s="4384"/>
      <c r="I18" s="4384"/>
      <c r="J18" s="4384"/>
      <c r="K18" s="4384"/>
      <c r="L18" s="4384"/>
      <c r="M18" s="4384"/>
      <c r="N18" s="4385"/>
    </row>
    <row r="19" spans="2:16" ht="40.25" customHeight="1">
      <c r="B19" s="211" t="s">
        <v>268</v>
      </c>
      <c r="C19" s="4383"/>
      <c r="D19" s="4383"/>
      <c r="E19" s="4384"/>
      <c r="F19" s="4384"/>
      <c r="G19" s="4384"/>
      <c r="H19" s="4384"/>
      <c r="I19" s="4384"/>
      <c r="J19" s="4384"/>
      <c r="K19" s="4384"/>
      <c r="L19" s="4384"/>
      <c r="M19" s="4384"/>
      <c r="N19" s="4385"/>
    </row>
    <row r="20" spans="2:16" ht="47" customHeight="1">
      <c r="B20" s="5824" t="s">
        <v>686</v>
      </c>
      <c r="C20" s="5824"/>
      <c r="D20" s="5824"/>
      <c r="E20" s="5824"/>
      <c r="F20" s="5824"/>
      <c r="G20" s="5824"/>
      <c r="H20" s="5824"/>
      <c r="I20" s="5824"/>
      <c r="J20" s="5824"/>
      <c r="K20" s="5824"/>
      <c r="L20" s="5824"/>
      <c r="M20" s="5824"/>
      <c r="N20" s="5824"/>
      <c r="O20" s="5824"/>
    </row>
    <row r="21" spans="2:16" ht="37.25" customHeight="1">
      <c r="B21" s="5824" t="s">
        <v>594</v>
      </c>
      <c r="C21" s="5824"/>
      <c r="D21" s="5824"/>
      <c r="E21" s="5824"/>
      <c r="F21" s="5824"/>
      <c r="G21" s="5824"/>
      <c r="H21" s="5824"/>
      <c r="I21" s="5824"/>
      <c r="J21" s="5824"/>
      <c r="K21" s="5824"/>
      <c r="L21" s="5824"/>
      <c r="M21" s="5824"/>
      <c r="N21" s="5824"/>
      <c r="O21" s="5824"/>
    </row>
    <row r="22" spans="2:16" ht="31.25" customHeight="1">
      <c r="B22" s="5824" t="s">
        <v>1953</v>
      </c>
      <c r="C22" s="5824"/>
      <c r="D22" s="5824"/>
      <c r="E22" s="5824"/>
      <c r="F22" s="5824"/>
      <c r="G22" s="5824"/>
      <c r="H22" s="5824"/>
      <c r="I22" s="5824"/>
      <c r="J22" s="5824"/>
      <c r="K22" s="5824"/>
      <c r="L22" s="5824"/>
      <c r="M22" s="5824"/>
      <c r="N22" s="5824"/>
      <c r="O22" s="5824"/>
    </row>
    <row r="23" spans="2:16" ht="40.25" customHeight="1" thickBot="1">
      <c r="B23" s="4386"/>
      <c r="C23" s="4386"/>
      <c r="D23" s="4386"/>
      <c r="E23" s="4386"/>
      <c r="F23" s="4386"/>
      <c r="G23" s="4386"/>
      <c r="H23" s="4386"/>
      <c r="I23" s="4386"/>
      <c r="J23" s="4386"/>
      <c r="K23" s="4386"/>
      <c r="L23" s="4386"/>
      <c r="M23" s="4386"/>
      <c r="N23" s="4387"/>
      <c r="O23" s="4386"/>
    </row>
    <row r="24" spans="2:16" ht="89.25" customHeight="1" thickBot="1">
      <c r="B24" s="4388" t="s">
        <v>108</v>
      </c>
      <c r="C24" s="4389">
        <v>2012</v>
      </c>
      <c r="D24" s="4389">
        <v>2013</v>
      </c>
      <c r="E24" s="4389">
        <v>2014</v>
      </c>
      <c r="F24" s="4390">
        <v>2015</v>
      </c>
      <c r="G24" s="4391">
        <v>2016</v>
      </c>
      <c r="H24" s="4391">
        <v>2017</v>
      </c>
      <c r="I24" s="4391">
        <v>2018</v>
      </c>
      <c r="J24" s="4391">
        <v>2019</v>
      </c>
      <c r="K24" s="4391">
        <v>2020</v>
      </c>
      <c r="L24" s="4392">
        <v>2021</v>
      </c>
      <c r="M24" s="4390">
        <v>2022</v>
      </c>
      <c r="N24" s="4394">
        <v>2023</v>
      </c>
      <c r="O24" s="4393" t="s">
        <v>1522</v>
      </c>
    </row>
    <row r="25" spans="2:16" ht="40.25" customHeight="1">
      <c r="B25" s="4360"/>
      <c r="C25" s="4395"/>
      <c r="D25" s="4395"/>
      <c r="E25" s="4395"/>
      <c r="F25" s="4396"/>
      <c r="G25" s="4397"/>
      <c r="H25" s="4398"/>
      <c r="I25" s="487"/>
      <c r="J25" s="4397"/>
      <c r="K25" s="4398"/>
      <c r="L25" s="4399"/>
      <c r="M25" s="487"/>
      <c r="N25" s="4400"/>
      <c r="O25" s="4365"/>
    </row>
    <row r="26" spans="2:16" ht="40.25" customHeight="1">
      <c r="B26" s="4360" t="s">
        <v>589</v>
      </c>
      <c r="C26" s="4401">
        <v>1342137.6099999999</v>
      </c>
      <c r="D26" s="4401">
        <v>1342137.6099999999</v>
      </c>
      <c r="E26" s="4401">
        <v>1342137.6099999999</v>
      </c>
      <c r="F26" s="4401">
        <v>1546973.06</v>
      </c>
      <c r="G26" s="4402">
        <f>(2373284838/1000)/1000000</f>
        <v>2.373284838</v>
      </c>
      <c r="H26" s="4403">
        <f>(+[177]Sheet3!$J$17)/1000000</f>
        <v>1.23167122</v>
      </c>
      <c r="I26" s="4403">
        <v>1.3556689399999999</v>
      </c>
      <c r="J26" s="4403">
        <v>1.64232361</v>
      </c>
      <c r="K26" s="4403">
        <v>0.51058671999999994</v>
      </c>
      <c r="L26" s="4403">
        <v>2.3931600000000005E-3</v>
      </c>
      <c r="M26" s="4404">
        <v>0.45614646999999997</v>
      </c>
      <c r="N26" s="4405">
        <v>0.68400000000000005</v>
      </c>
      <c r="O26" s="4371">
        <f>+N26/M26-1</f>
        <v>0.49951834549985685</v>
      </c>
    </row>
    <row r="27" spans="2:16" ht="40.25" customHeight="1">
      <c r="B27" s="4360"/>
      <c r="C27" s="4401"/>
      <c r="D27" s="4401"/>
      <c r="E27" s="4401"/>
      <c r="F27" s="4401"/>
      <c r="G27" s="4402"/>
      <c r="H27" s="4403"/>
      <c r="I27" s="4403"/>
      <c r="J27" s="4403"/>
      <c r="K27" s="4403"/>
      <c r="L27" s="4403"/>
      <c r="M27" s="4404"/>
      <c r="N27" s="4405"/>
      <c r="O27" s="4371"/>
      <c r="P27" s="361" t="s">
        <v>390</v>
      </c>
    </row>
    <row r="28" spans="2:16" ht="40.25" customHeight="1">
      <c r="B28" s="4360" t="s">
        <v>590</v>
      </c>
      <c r="C28" s="4401">
        <v>9557049.8900000006</v>
      </c>
      <c r="D28" s="4401">
        <v>9557049.8900000006</v>
      </c>
      <c r="E28" s="4401">
        <v>9557049.8900000006</v>
      </c>
      <c r="F28" s="4401">
        <v>9523178.0600000005</v>
      </c>
      <c r="G28" s="4402">
        <v>9.7668377300000007</v>
      </c>
      <c r="H28" s="4403">
        <f>(+[177]Sheet3!$K$17)/1000000</f>
        <v>10.522614279999999</v>
      </c>
      <c r="I28" s="4403">
        <v>11.193372980000001</v>
      </c>
      <c r="J28" s="4403">
        <v>11.13269814</v>
      </c>
      <c r="K28" s="4403">
        <v>9.3400332100000014</v>
      </c>
      <c r="L28" s="4403">
        <v>8.2237064899999996</v>
      </c>
      <c r="M28" s="4404">
        <v>9.32836848</v>
      </c>
      <c r="N28" s="4405">
        <v>9.984</v>
      </c>
      <c r="O28" s="4371">
        <f>+N28/M28-1</f>
        <v>7.0283621557796883E-2</v>
      </c>
    </row>
    <row r="29" spans="2:16" ht="40.25" customHeight="1">
      <c r="B29" s="4360"/>
      <c r="C29" s="4401"/>
      <c r="D29" s="4401"/>
      <c r="E29" s="4401"/>
      <c r="F29" s="4401"/>
      <c r="G29" s="4402"/>
      <c r="H29" s="4403"/>
      <c r="I29" s="4403"/>
      <c r="J29" s="4403"/>
      <c r="K29" s="4403"/>
      <c r="L29" s="4403"/>
      <c r="M29" s="4404"/>
      <c r="N29" s="4405"/>
      <c r="O29" s="4371"/>
    </row>
    <row r="30" spans="2:16" ht="40.25" customHeight="1">
      <c r="B30" s="4360" t="s">
        <v>585</v>
      </c>
      <c r="C30" s="4401">
        <v>26110924.48</v>
      </c>
      <c r="D30" s="4401">
        <v>26110924.48</v>
      </c>
      <c r="E30" s="4401">
        <v>26110924.48</v>
      </c>
      <c r="F30" s="4401">
        <v>27646262.700000003</v>
      </c>
      <c r="G30" s="4402">
        <v>29.310127619999996</v>
      </c>
      <c r="H30" s="4403">
        <f>(+[177]Sheet3!$L$17)/1000000</f>
        <v>30.153147180000005</v>
      </c>
      <c r="I30" s="4403">
        <v>30.93369895</v>
      </c>
      <c r="J30" s="4403">
        <v>33.292501059999999</v>
      </c>
      <c r="K30" s="4403">
        <v>32.494080550000007</v>
      </c>
      <c r="L30" s="4403">
        <v>30.237172349999998</v>
      </c>
      <c r="M30" s="4404">
        <v>29.419026690000003</v>
      </c>
      <c r="N30" s="4405">
        <v>29.167000000000002</v>
      </c>
      <c r="O30" s="4371">
        <f>+N30/M30-1</f>
        <v>-8.5667922550839437E-3</v>
      </c>
    </row>
    <row r="31" spans="2:16" ht="40.25" customHeight="1">
      <c r="B31" s="4360"/>
      <c r="C31" s="4401"/>
      <c r="D31" s="4401"/>
      <c r="E31" s="4401"/>
      <c r="F31" s="4401"/>
      <c r="G31" s="4402"/>
      <c r="H31" s="4403"/>
      <c r="I31" s="4403"/>
      <c r="J31" s="4403"/>
      <c r="K31" s="4403"/>
      <c r="L31" s="4403"/>
      <c r="M31" s="4404"/>
      <c r="N31" s="4405"/>
      <c r="O31" s="4371"/>
    </row>
    <row r="32" spans="2:16" ht="40.25" customHeight="1">
      <c r="B32" s="4360" t="s">
        <v>591</v>
      </c>
      <c r="C32" s="4401">
        <v>5213029.879999999</v>
      </c>
      <c r="D32" s="4401">
        <v>5213029.879999999</v>
      </c>
      <c r="E32" s="4401">
        <v>5213029.879999999</v>
      </c>
      <c r="F32" s="4401">
        <v>5655348.1999999993</v>
      </c>
      <c r="G32" s="4402">
        <v>6.0497447699999993</v>
      </c>
      <c r="H32" s="4403">
        <f>(+[177]Sheet3!$M$17)/1000000</f>
        <v>5.9574239499999999</v>
      </c>
      <c r="I32" s="4403">
        <v>6.0357261800000011</v>
      </c>
      <c r="J32" s="4403">
        <v>6.0907227300000004</v>
      </c>
      <c r="K32" s="4403">
        <v>5.1070453299999992</v>
      </c>
      <c r="L32" s="4403">
        <v>4.4819407599999996</v>
      </c>
      <c r="M32" s="4404">
        <v>4.8674995599999997</v>
      </c>
      <c r="N32" s="4405">
        <v>5.1639999999999997</v>
      </c>
      <c r="O32" s="4371">
        <f>+N32/M32-1</f>
        <v>6.0914322917781538E-2</v>
      </c>
    </row>
    <row r="33" spans="2:15" ht="40.25" customHeight="1">
      <c r="B33" s="4360"/>
      <c r="C33" s="4401"/>
      <c r="D33" s="4401"/>
      <c r="E33" s="4401"/>
      <c r="F33" s="4401"/>
      <c r="G33" s="4402"/>
      <c r="H33" s="4403"/>
      <c r="I33" s="4403"/>
      <c r="J33" s="4403"/>
      <c r="K33" s="4403"/>
      <c r="L33" s="4403"/>
      <c r="M33" s="4404"/>
      <c r="N33" s="4405"/>
      <c r="O33" s="4371"/>
    </row>
    <row r="34" spans="2:15" ht="40.25" customHeight="1">
      <c r="B34" s="4360" t="s">
        <v>592</v>
      </c>
      <c r="C34" s="4401">
        <v>12059136.09</v>
      </c>
      <c r="D34" s="4401">
        <v>12059136.09</v>
      </c>
      <c r="E34" s="4401">
        <v>12059136.09</v>
      </c>
      <c r="F34" s="4401">
        <v>12083708.369999999</v>
      </c>
      <c r="G34" s="4402">
        <v>11.95395568</v>
      </c>
      <c r="H34" s="4403">
        <f>(+[177]Sheet3!$N$17)/1000000</f>
        <v>13.007937860000002</v>
      </c>
      <c r="I34" s="4403">
        <v>12.537206370000002</v>
      </c>
      <c r="J34" s="4403">
        <v>12.100995529999999</v>
      </c>
      <c r="K34" s="4403">
        <v>7.7023245600000001</v>
      </c>
      <c r="L34" s="4403">
        <v>8.10053716</v>
      </c>
      <c r="M34" s="4404">
        <v>9.9656895900000002</v>
      </c>
      <c r="N34" s="4405">
        <v>9.8040000000000003</v>
      </c>
      <c r="O34" s="4371">
        <f>+N34/M34-1</f>
        <v>-1.6224626358244842E-2</v>
      </c>
    </row>
    <row r="35" spans="2:15" ht="40.25" customHeight="1">
      <c r="B35" s="4360"/>
      <c r="C35" s="4395"/>
      <c r="D35" s="4395"/>
      <c r="E35" s="4395"/>
      <c r="F35" s="4406"/>
      <c r="G35" s="4407"/>
      <c r="H35" s="4375"/>
      <c r="I35" s="4364"/>
      <c r="J35" s="4407"/>
      <c r="K35" s="4407"/>
      <c r="L35" s="4361"/>
      <c r="M35" s="4364"/>
      <c r="N35" s="4405"/>
      <c r="O35" s="4376"/>
    </row>
    <row r="36" spans="2:15" ht="40.25" customHeight="1" thickBot="1">
      <c r="B36" s="4377" t="s">
        <v>412</v>
      </c>
      <c r="C36" s="4408">
        <f t="shared" ref="C36:I36" si="2">C26+C28+C30+C32+C34</f>
        <v>54282277.950000003</v>
      </c>
      <c r="D36" s="4408">
        <f t="shared" si="2"/>
        <v>54282277.950000003</v>
      </c>
      <c r="E36" s="4408">
        <f t="shared" si="2"/>
        <v>54282277.950000003</v>
      </c>
      <c r="F36" s="4408">
        <f t="shared" si="2"/>
        <v>56455470.390000008</v>
      </c>
      <c r="G36" s="4409">
        <f t="shared" si="2"/>
        <v>59.453950637999995</v>
      </c>
      <c r="H36" s="4409">
        <f t="shared" si="2"/>
        <v>60.872794490000004</v>
      </c>
      <c r="I36" s="4409">
        <f t="shared" si="2"/>
        <v>62.055673419999998</v>
      </c>
      <c r="J36" s="4409">
        <f>J26+J28+J30+J32+J34</f>
        <v>64.259241070000002</v>
      </c>
      <c r="K36" s="4409">
        <f>K26+K28+K30+K32+K34</f>
        <v>55.154070370000007</v>
      </c>
      <c r="L36" s="4410">
        <f>L26+L28+L30+L32+L34</f>
        <v>51.045749919999999</v>
      </c>
      <c r="M36" s="4410">
        <f>M26+M28+M30+M32+M34</f>
        <v>54.036730790000007</v>
      </c>
      <c r="N36" s="4410">
        <f t="shared" ref="N36" si="3">N26+N28+N30+N32+N34</f>
        <v>54.803000000000004</v>
      </c>
      <c r="O36" s="4411">
        <f>+M36/L36-1</f>
        <v>5.8594121443754643E-2</v>
      </c>
    </row>
    <row r="37" spans="2:15" ht="38" customHeight="1">
      <c r="B37" s="4383" t="s">
        <v>593</v>
      </c>
    </row>
    <row r="78" spans="2:2">
      <c r="B78" s="361" t="s">
        <v>747</v>
      </c>
    </row>
  </sheetData>
  <mergeCells count="6">
    <mergeCell ref="B21:O21"/>
    <mergeCell ref="B2:O2"/>
    <mergeCell ref="B1:O1"/>
    <mergeCell ref="B3:O3"/>
    <mergeCell ref="B22:O22"/>
    <mergeCell ref="B20:O20"/>
  </mergeCells>
  <printOptions horizontalCentered="1" verticalCentered="1"/>
  <pageMargins left="0.25" right="0.25" top="0.75" bottom="0.75" header="0.3" footer="0.3"/>
  <pageSetup scale="31" firstPageNumber="103" orientation="landscape" useFirstPageNumber="1" r:id="rId1"/>
  <headerFooter scaleWithDoc="0" alignWithMargins="0">
    <oddFooter xml:space="preserve">&amp;C121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F0"/>
    <pageSetUpPr fitToPage="1"/>
  </sheetPr>
  <dimension ref="B1:P41"/>
  <sheetViews>
    <sheetView view="pageBreakPreview" topLeftCell="B2" zoomScale="30" zoomScaleNormal="90" zoomScaleSheetLayoutView="30" workbookViewId="0">
      <selection activeCell="B44" sqref="B44"/>
    </sheetView>
  </sheetViews>
  <sheetFormatPr defaultColWidth="9.46484375" defaultRowHeight="43.15"/>
  <cols>
    <col min="1" max="1" width="9.46484375" style="1305"/>
    <col min="2" max="2" width="172.46484375" style="1305" customWidth="1"/>
    <col min="3" max="10" width="26.6640625" style="1305" customWidth="1"/>
    <col min="11" max="12" width="26.6640625" style="1870" customWidth="1"/>
    <col min="13" max="15" width="26.6640625" style="4486" customWidth="1"/>
    <col min="16" max="16" width="29.46484375" style="1305" customWidth="1"/>
    <col min="17" max="16384" width="9.46484375" style="1305"/>
  </cols>
  <sheetData>
    <row r="1" spans="2:16" ht="41.75" customHeight="1">
      <c r="B1" s="5825" t="s">
        <v>687</v>
      </c>
      <c r="C1" s="5825"/>
      <c r="D1" s="5825"/>
      <c r="E1" s="5825"/>
      <c r="F1" s="5825"/>
      <c r="G1" s="5825"/>
      <c r="H1" s="5825"/>
      <c r="I1" s="5825"/>
      <c r="J1" s="5825"/>
      <c r="K1" s="5825"/>
      <c r="L1" s="5825"/>
      <c r="M1" s="5825"/>
      <c r="N1" s="5825"/>
      <c r="O1" s="5825"/>
      <c r="P1" s="5825"/>
    </row>
    <row r="2" spans="2:16" ht="41.75" customHeight="1">
      <c r="B2" s="5825" t="s">
        <v>1954</v>
      </c>
      <c r="C2" s="5825"/>
      <c r="D2" s="5825"/>
      <c r="E2" s="5825"/>
      <c r="F2" s="5825"/>
      <c r="G2" s="5825"/>
      <c r="H2" s="5825"/>
      <c r="I2" s="5825"/>
      <c r="J2" s="5825"/>
      <c r="K2" s="5825"/>
      <c r="L2" s="5825"/>
      <c r="M2" s="5825"/>
      <c r="N2" s="5825"/>
      <c r="O2" s="5825"/>
      <c r="P2" s="5825"/>
    </row>
    <row r="3" spans="2:16" s="1935" customFormat="1" ht="41.75" customHeight="1">
      <c r="B3" s="5826" t="s">
        <v>1040</v>
      </c>
      <c r="C3" s="5826"/>
      <c r="D3" s="5826"/>
      <c r="E3" s="5826"/>
      <c r="F3" s="5826"/>
      <c r="G3" s="5826"/>
      <c r="H3" s="5826"/>
      <c r="I3" s="5826"/>
      <c r="J3" s="5826"/>
      <c r="K3" s="5826"/>
      <c r="L3" s="5826"/>
      <c r="M3" s="5826"/>
      <c r="N3" s="5826"/>
      <c r="O3" s="5826"/>
      <c r="P3" s="5826"/>
    </row>
    <row r="4" spans="2:16" ht="41.75" customHeight="1">
      <c r="B4" s="5825" t="s">
        <v>500</v>
      </c>
      <c r="C4" s="5825"/>
      <c r="D4" s="5825"/>
      <c r="E4" s="5825"/>
      <c r="F4" s="5825"/>
      <c r="G4" s="5825"/>
      <c r="H4" s="5825"/>
      <c r="I4" s="5825"/>
      <c r="J4" s="5825"/>
      <c r="K4" s="5825"/>
      <c r="L4" s="5825"/>
      <c r="M4" s="5825"/>
      <c r="N4" s="5825"/>
      <c r="O4" s="5825"/>
      <c r="P4" s="5825"/>
    </row>
    <row r="5" spans="2:16" ht="23.55" customHeight="1" thickBot="1">
      <c r="B5" s="4854"/>
      <c r="C5" s="4854"/>
      <c r="D5" s="4854"/>
      <c r="E5" s="4854"/>
      <c r="F5" s="4854"/>
      <c r="G5" s="4854"/>
      <c r="H5" s="4854"/>
      <c r="I5" s="4854"/>
      <c r="J5" s="4854"/>
      <c r="K5" s="4854"/>
      <c r="L5" s="4854"/>
      <c r="M5" s="4854"/>
      <c r="N5" s="4854"/>
      <c r="O5" s="4854"/>
      <c r="P5" s="4854"/>
    </row>
    <row r="6" spans="2:16">
      <c r="B6" s="4453"/>
      <c r="C6" s="5834">
        <v>2010</v>
      </c>
      <c r="D6" s="5833">
        <v>2011</v>
      </c>
      <c r="E6" s="5833">
        <v>2012</v>
      </c>
      <c r="F6" s="5831">
        <v>2013</v>
      </c>
      <c r="G6" s="5831">
        <v>2014</v>
      </c>
      <c r="H6" s="5831">
        <v>2015</v>
      </c>
      <c r="I6" s="5831">
        <v>2016</v>
      </c>
      <c r="J6" s="5833">
        <v>2017</v>
      </c>
      <c r="K6" s="5833">
        <v>2018</v>
      </c>
      <c r="L6" s="5833">
        <v>2019</v>
      </c>
      <c r="M6" s="5827">
        <v>2020</v>
      </c>
      <c r="N6" s="5827">
        <v>2021</v>
      </c>
      <c r="O6" s="5831">
        <v>2022</v>
      </c>
      <c r="P6" s="5829" t="s">
        <v>1959</v>
      </c>
    </row>
    <row r="7" spans="2:16" ht="41" customHeight="1" thickBot="1">
      <c r="B7" s="4454"/>
      <c r="C7" s="5835"/>
      <c r="D7" s="5832"/>
      <c r="E7" s="5832"/>
      <c r="F7" s="5832"/>
      <c r="G7" s="5832"/>
      <c r="H7" s="5832"/>
      <c r="I7" s="5832"/>
      <c r="J7" s="5832"/>
      <c r="K7" s="5832"/>
      <c r="L7" s="5832"/>
      <c r="M7" s="5828"/>
      <c r="N7" s="5828"/>
      <c r="O7" s="5832"/>
      <c r="P7" s="5830"/>
    </row>
    <row r="8" spans="2:16" ht="40.25" customHeight="1">
      <c r="B8" s="4455"/>
      <c r="C8" s="4456"/>
      <c r="D8" s="4457"/>
      <c r="E8" s="4457"/>
      <c r="F8" s="1931"/>
      <c r="G8" s="4458"/>
      <c r="H8" s="4459"/>
      <c r="I8" s="4460"/>
      <c r="J8" s="1931"/>
      <c r="K8" s="4457"/>
      <c r="L8" s="4457"/>
      <c r="M8" s="4458"/>
      <c r="N8" s="4461"/>
      <c r="O8" s="4460"/>
      <c r="P8" s="4462"/>
    </row>
    <row r="9" spans="2:16" ht="45" customHeight="1">
      <c r="B9" s="4463" t="s">
        <v>399</v>
      </c>
      <c r="C9" s="4456">
        <v>90.947935477179584</v>
      </c>
      <c r="D9" s="4464">
        <v>92.398650822035833</v>
      </c>
      <c r="E9" s="4464">
        <v>96.354350674462438</v>
      </c>
      <c r="F9" s="1905">
        <v>100.47</v>
      </c>
      <c r="G9" s="4465">
        <v>99.47</v>
      </c>
      <c r="H9" s="4466">
        <v>103.19</v>
      </c>
      <c r="I9" s="4467">
        <v>99.68</v>
      </c>
      <c r="J9" s="4464">
        <v>99.11105417696912</v>
      </c>
      <c r="K9" s="4464">
        <v>100</v>
      </c>
      <c r="L9" s="4464">
        <v>102.729469884342</v>
      </c>
      <c r="M9" s="4464">
        <v>99.719644252185006</v>
      </c>
      <c r="N9" s="4465">
        <v>100.66838416394801</v>
      </c>
      <c r="O9" s="4467">
        <v>105.078473404915</v>
      </c>
      <c r="P9" s="4468">
        <v>111.76</v>
      </c>
    </row>
    <row r="10" spans="2:16" ht="40.25" customHeight="1">
      <c r="B10" s="4463"/>
      <c r="C10" s="4469"/>
      <c r="D10" s="1931"/>
      <c r="E10" s="1931"/>
      <c r="F10" s="1905"/>
      <c r="G10" s="4465"/>
      <c r="H10" s="4467"/>
      <c r="I10" s="4464"/>
      <c r="J10" s="1931"/>
      <c r="K10" s="1931"/>
      <c r="L10" s="1931"/>
      <c r="M10" s="1931"/>
      <c r="N10" s="4458"/>
      <c r="O10" s="4470"/>
      <c r="P10" s="4471"/>
    </row>
    <row r="11" spans="2:16" ht="45" customHeight="1">
      <c r="B11" s="4463" t="s">
        <v>400</v>
      </c>
      <c r="C11" s="4456">
        <v>90.897635109472148</v>
      </c>
      <c r="D11" s="4464">
        <v>91.8341720140928</v>
      </c>
      <c r="E11" s="4464">
        <v>96.069858059565561</v>
      </c>
      <c r="F11" s="1905">
        <v>99.82</v>
      </c>
      <c r="G11" s="4464">
        <v>102.9</v>
      </c>
      <c r="H11" s="2075">
        <v>102.48</v>
      </c>
      <c r="I11" s="4464">
        <v>99.91</v>
      </c>
      <c r="J11" s="4464">
        <v>98.047338628135691</v>
      </c>
      <c r="K11" s="4464">
        <v>100.754654960764</v>
      </c>
      <c r="L11" s="4464">
        <v>102.77610234194999</v>
      </c>
      <c r="M11" s="4464">
        <v>99.487632468335704</v>
      </c>
      <c r="N11" s="4465">
        <v>100.39</v>
      </c>
      <c r="O11" s="4467">
        <v>105.28993332738099</v>
      </c>
      <c r="P11" s="4468">
        <v>111.97</v>
      </c>
    </row>
    <row r="12" spans="2:16" ht="40.25" customHeight="1">
      <c r="B12" s="4463"/>
      <c r="C12" s="4456"/>
      <c r="D12" s="4464"/>
      <c r="E12" s="4464"/>
      <c r="F12" s="1905"/>
      <c r="G12" s="4464"/>
      <c r="H12" s="2075"/>
      <c r="I12" s="4464"/>
      <c r="J12" s="1931"/>
      <c r="K12" s="4464"/>
      <c r="L12" s="4464"/>
      <c r="M12" s="4464"/>
      <c r="N12" s="4465"/>
      <c r="O12" s="4467"/>
      <c r="P12" s="4468"/>
    </row>
    <row r="13" spans="2:16" ht="45" customHeight="1">
      <c r="B13" s="4463" t="s">
        <v>401</v>
      </c>
      <c r="C13" s="4456">
        <v>90.917645127422418</v>
      </c>
      <c r="D13" s="4464">
        <v>92.589574121307706</v>
      </c>
      <c r="E13" s="4464">
        <v>96.287504519232854</v>
      </c>
      <c r="F13" s="1905">
        <v>99.51</v>
      </c>
      <c r="G13" s="4464">
        <v>103.23</v>
      </c>
      <c r="H13" s="2075">
        <v>102.23</v>
      </c>
      <c r="I13" s="4464">
        <v>98.5</v>
      </c>
      <c r="J13" s="4464">
        <v>98.153537642257987</v>
      </c>
      <c r="K13" s="4464">
        <v>100.61933120099199</v>
      </c>
      <c r="L13" s="4464">
        <v>102.3373098</v>
      </c>
      <c r="M13" s="4464">
        <v>99.554771094680902</v>
      </c>
      <c r="N13" s="4465">
        <v>100.46</v>
      </c>
      <c r="O13" s="4467">
        <v>105.97027271043299</v>
      </c>
      <c r="P13" s="4468">
        <v>113.52</v>
      </c>
    </row>
    <row r="14" spans="2:16" ht="40.25" customHeight="1">
      <c r="B14" s="4463"/>
      <c r="C14" s="4456"/>
      <c r="D14" s="4464"/>
      <c r="E14" s="4464"/>
      <c r="F14" s="1905"/>
      <c r="G14" s="4464"/>
      <c r="H14" s="2075"/>
      <c r="I14" s="4464"/>
      <c r="J14" s="1931"/>
      <c r="K14" s="4464"/>
      <c r="L14" s="4464"/>
      <c r="M14" s="4472"/>
      <c r="N14" s="4465"/>
      <c r="O14" s="4467"/>
      <c r="P14" s="4468"/>
    </row>
    <row r="15" spans="2:16" ht="45" customHeight="1">
      <c r="B15" s="4463" t="s">
        <v>402</v>
      </c>
      <c r="C15" s="4456">
        <v>91.411386274655982</v>
      </c>
      <c r="D15" s="4464">
        <v>92.787430107758112</v>
      </c>
      <c r="E15" s="4464">
        <v>96.310870901800712</v>
      </c>
      <c r="F15" s="1905">
        <v>99.52</v>
      </c>
      <c r="G15" s="4464">
        <v>102.82</v>
      </c>
      <c r="H15" s="2075">
        <v>102.4</v>
      </c>
      <c r="I15" s="4464">
        <v>99.04</v>
      </c>
      <c r="J15" s="4464">
        <v>99.233291873096391</v>
      </c>
      <c r="K15" s="4464">
        <v>100.466939106293</v>
      </c>
      <c r="L15" s="4464">
        <v>102.21164779999999</v>
      </c>
      <c r="M15" s="4464">
        <v>99.235095790970504</v>
      </c>
      <c r="N15" s="2075">
        <v>101.11944749974801</v>
      </c>
      <c r="O15" s="4467">
        <v>106.434581068683</v>
      </c>
      <c r="P15" s="4468">
        <v>114.06</v>
      </c>
    </row>
    <row r="16" spans="2:16" ht="40.25" customHeight="1">
      <c r="B16" s="4463"/>
      <c r="C16" s="4456"/>
      <c r="D16" s="4464"/>
      <c r="E16" s="4464"/>
      <c r="F16" s="1905"/>
      <c r="G16" s="4464"/>
      <c r="H16" s="2075"/>
      <c r="I16" s="4464"/>
      <c r="J16" s="1931"/>
      <c r="K16" s="4464"/>
      <c r="L16" s="4464"/>
      <c r="M16" s="4464"/>
      <c r="N16" s="2075"/>
      <c r="O16" s="4467"/>
      <c r="P16" s="4468"/>
    </row>
    <row r="17" spans="2:16" ht="45" customHeight="1">
      <c r="B17" s="4463" t="s">
        <v>403</v>
      </c>
      <c r="C17" s="4456">
        <v>91.133324756609213</v>
      </c>
      <c r="D17" s="4464">
        <v>93.725849186415516</v>
      </c>
      <c r="E17" s="4464">
        <v>96.300101003924212</v>
      </c>
      <c r="F17" s="1905">
        <v>99.63</v>
      </c>
      <c r="G17" s="4464">
        <v>102.09</v>
      </c>
      <c r="H17" s="2075">
        <v>102.17</v>
      </c>
      <c r="I17" s="4464">
        <v>98.12</v>
      </c>
      <c r="J17" s="4464">
        <v>98.961540168224843</v>
      </c>
      <c r="K17" s="4464">
        <v>101.10365753701799</v>
      </c>
      <c r="L17" s="4464">
        <v>102.0551798</v>
      </c>
      <c r="M17" s="4464">
        <v>99.040329999442406</v>
      </c>
      <c r="N17" s="2075">
        <v>101.486073140865</v>
      </c>
      <c r="O17" s="4467">
        <v>108.08456999086501</v>
      </c>
      <c r="P17" s="4468">
        <v>112.63</v>
      </c>
    </row>
    <row r="18" spans="2:16" ht="40.25" customHeight="1">
      <c r="B18" s="4463"/>
      <c r="C18" s="4456"/>
      <c r="D18" s="4464"/>
      <c r="E18" s="4464"/>
      <c r="F18" s="1905"/>
      <c r="G18" s="4464"/>
      <c r="H18" s="2075"/>
      <c r="I18" s="4464"/>
      <c r="J18" s="1931"/>
      <c r="K18" s="4464"/>
      <c r="L18" s="4464"/>
      <c r="M18" s="4464"/>
      <c r="N18" s="2075"/>
      <c r="O18" s="4467"/>
      <c r="P18" s="4468"/>
    </row>
    <row r="19" spans="2:16" ht="45" customHeight="1">
      <c r="B19" s="4463" t="s">
        <v>404</v>
      </c>
      <c r="C19" s="4456">
        <v>91.533724530771082</v>
      </c>
      <c r="D19" s="4464">
        <v>94.169584745038634</v>
      </c>
      <c r="E19" s="4464">
        <v>97.147767689774298</v>
      </c>
      <c r="F19" s="1905">
        <v>99.64</v>
      </c>
      <c r="G19" s="4464">
        <v>102.16</v>
      </c>
      <c r="H19" s="2075">
        <v>102.31</v>
      </c>
      <c r="I19" s="4464">
        <v>97.98</v>
      </c>
      <c r="J19" s="4464">
        <v>98.997753292659169</v>
      </c>
      <c r="K19" s="4464">
        <v>101.447815553555</v>
      </c>
      <c r="L19" s="4464">
        <v>102.08288640000001</v>
      </c>
      <c r="M19" s="4464">
        <v>99.053431499643906</v>
      </c>
      <c r="N19" s="2075">
        <v>101.943952159481</v>
      </c>
      <c r="O19" s="4467">
        <v>108.317079220707</v>
      </c>
      <c r="P19" s="4468">
        <v>112.59</v>
      </c>
    </row>
    <row r="20" spans="2:16" ht="40.25" customHeight="1">
      <c r="B20" s="4463"/>
      <c r="C20" s="4456"/>
      <c r="D20" s="4464"/>
      <c r="E20" s="4464"/>
      <c r="F20" s="1905"/>
      <c r="G20" s="4464"/>
      <c r="H20" s="2075"/>
      <c r="I20" s="4464"/>
      <c r="J20" s="1931"/>
      <c r="K20" s="4464"/>
      <c r="L20" s="4464"/>
      <c r="M20" s="4464"/>
      <c r="N20" s="2075"/>
      <c r="O20" s="4467"/>
      <c r="P20" s="4468"/>
    </row>
    <row r="21" spans="2:16" ht="45" customHeight="1">
      <c r="B21" s="4463" t="s">
        <v>405</v>
      </c>
      <c r="C21" s="4456">
        <v>91.600571522810029</v>
      </c>
      <c r="D21" s="4464">
        <v>94.781595023578774</v>
      </c>
      <c r="E21" s="4464">
        <v>97.047516425919554</v>
      </c>
      <c r="F21" s="1905">
        <v>99.18</v>
      </c>
      <c r="G21" s="4464">
        <v>102.09</v>
      </c>
      <c r="H21" s="2075">
        <v>101.85</v>
      </c>
      <c r="I21" s="4464">
        <v>98.37</v>
      </c>
      <c r="J21" s="4464">
        <v>97.56840505397119</v>
      </c>
      <c r="K21" s="4464">
        <v>101.561875815042</v>
      </c>
      <c r="L21" s="4464">
        <v>101.258182414088</v>
      </c>
      <c r="M21" s="4464">
        <v>99.2793577694611</v>
      </c>
      <c r="N21" s="2075">
        <v>102.132763198589</v>
      </c>
      <c r="O21" s="4467">
        <v>109.66475759311</v>
      </c>
      <c r="P21" s="4468">
        <v>112.51</v>
      </c>
    </row>
    <row r="22" spans="2:16" ht="40.25" customHeight="1">
      <c r="B22" s="4463"/>
      <c r="C22" s="4456"/>
      <c r="D22" s="4464"/>
      <c r="E22" s="4464"/>
      <c r="F22" s="1905"/>
      <c r="G22" s="4464"/>
      <c r="H22" s="2075"/>
      <c r="I22" s="4464"/>
      <c r="J22" s="1931"/>
      <c r="K22" s="4464"/>
      <c r="L22" s="4464"/>
      <c r="M22" s="4464"/>
      <c r="N22" s="2075"/>
      <c r="O22" s="4467"/>
      <c r="P22" s="4468"/>
    </row>
    <row r="23" spans="2:16" ht="45" customHeight="1">
      <c r="B23" s="4463" t="s">
        <v>406</v>
      </c>
      <c r="C23" s="4456">
        <v>91.809640897696042</v>
      </c>
      <c r="D23" s="4464">
        <v>94.389593619949892</v>
      </c>
      <c r="E23" s="4464">
        <v>97.260792586823314</v>
      </c>
      <c r="F23" s="1905">
        <v>97.67</v>
      </c>
      <c r="G23" s="4464">
        <v>104.54</v>
      </c>
      <c r="H23" s="2075">
        <v>101.91</v>
      </c>
      <c r="I23" s="4464">
        <v>99.21</v>
      </c>
      <c r="J23" s="4464">
        <v>97.266579706414248</v>
      </c>
      <c r="K23" s="4464">
        <v>101.57984540208</v>
      </c>
      <c r="L23" s="4464">
        <v>101.174339950679</v>
      </c>
      <c r="M23" s="4464">
        <v>100.94</v>
      </c>
      <c r="N23" s="2075">
        <v>102.93</v>
      </c>
      <c r="O23" s="4467">
        <v>110.71250656969001</v>
      </c>
      <c r="P23" s="4468">
        <v>112.66</v>
      </c>
    </row>
    <row r="24" spans="2:16" ht="40.25" customHeight="1">
      <c r="B24" s="4463"/>
      <c r="C24" s="4456"/>
      <c r="D24" s="4464"/>
      <c r="E24" s="4464"/>
      <c r="F24" s="1905"/>
      <c r="G24" s="4464"/>
      <c r="H24" s="2075"/>
      <c r="I24" s="4464"/>
      <c r="J24" s="1931"/>
      <c r="K24" s="4464"/>
      <c r="L24" s="4464"/>
      <c r="M24" s="4464"/>
      <c r="N24" s="2075"/>
      <c r="O24" s="4467"/>
      <c r="P24" s="4468"/>
    </row>
    <row r="25" spans="2:16" ht="45" customHeight="1">
      <c r="B25" s="4463" t="s">
        <v>407</v>
      </c>
      <c r="C25" s="4456">
        <v>91.76907228567066</v>
      </c>
      <c r="D25" s="4464">
        <v>94.158816216025343</v>
      </c>
      <c r="E25" s="4464">
        <v>97.068042902035316</v>
      </c>
      <c r="F25" s="1905">
        <v>98.36</v>
      </c>
      <c r="G25" s="4464">
        <v>103.76</v>
      </c>
      <c r="H25" s="2075">
        <v>101.45</v>
      </c>
      <c r="I25" s="4464">
        <v>98.73</v>
      </c>
      <c r="J25" s="4464">
        <v>98.705610765219902</v>
      </c>
      <c r="K25" s="4464">
        <v>101.409898308962</v>
      </c>
      <c r="L25" s="4464">
        <v>101.10165474594901</v>
      </c>
      <c r="M25" s="4464">
        <v>101.121393460034</v>
      </c>
      <c r="N25" s="2075">
        <v>103.25661064724</v>
      </c>
      <c r="O25" s="4467">
        <v>111.380983396693</v>
      </c>
      <c r="P25" s="4468">
        <v>114.3</v>
      </c>
    </row>
    <row r="26" spans="2:16" ht="40.25" customHeight="1">
      <c r="B26" s="4463"/>
      <c r="C26" s="4456"/>
      <c r="D26" s="4464"/>
      <c r="E26" s="4464"/>
      <c r="F26" s="1905"/>
      <c r="G26" s="4464"/>
      <c r="H26" s="2075"/>
      <c r="I26" s="4464"/>
      <c r="J26" s="1931"/>
      <c r="K26" s="4464"/>
      <c r="L26" s="4464"/>
      <c r="M26" s="4464"/>
      <c r="N26" s="2075"/>
      <c r="O26" s="4467"/>
      <c r="P26" s="4468"/>
    </row>
    <row r="27" spans="2:16" ht="45" customHeight="1">
      <c r="B27" s="4463" t="s">
        <v>408</v>
      </c>
      <c r="C27" s="4456">
        <v>91.576371993694522</v>
      </c>
      <c r="D27" s="4464">
        <v>94.919363587179802</v>
      </c>
      <c r="E27" s="4464">
        <v>101.78365146869224</v>
      </c>
      <c r="F27" s="1905">
        <v>98.22</v>
      </c>
      <c r="G27" s="4464">
        <v>103.32</v>
      </c>
      <c r="H27" s="2075">
        <v>100.14</v>
      </c>
      <c r="I27" s="4464">
        <v>98.03</v>
      </c>
      <c r="J27" s="4464">
        <v>98.79643695367217</v>
      </c>
      <c r="K27" s="4464">
        <v>101.831705984324</v>
      </c>
      <c r="L27" s="4464">
        <v>100.9118</v>
      </c>
      <c r="M27" s="4464">
        <v>100.92056498375599</v>
      </c>
      <c r="N27" s="2075">
        <v>104.044921582857</v>
      </c>
      <c r="O27" s="4467">
        <v>111.336155609926</v>
      </c>
      <c r="P27" s="4468">
        <v>114.54</v>
      </c>
    </row>
    <row r="28" spans="2:16" ht="40.25" customHeight="1">
      <c r="B28" s="4463"/>
      <c r="C28" s="4456"/>
      <c r="D28" s="4464"/>
      <c r="E28" s="4464"/>
      <c r="F28" s="1905"/>
      <c r="G28" s="4464"/>
      <c r="H28" s="2075"/>
      <c r="I28" s="4464"/>
      <c r="J28" s="1931"/>
      <c r="K28" s="4464"/>
      <c r="L28" s="4464"/>
      <c r="M28" s="4464"/>
      <c r="N28" s="2075"/>
      <c r="O28" s="4467"/>
      <c r="P28" s="4468"/>
    </row>
    <row r="29" spans="2:16" ht="45" customHeight="1">
      <c r="B29" s="4463" t="s">
        <v>409</v>
      </c>
      <c r="C29" s="4456">
        <v>91.304742445775744</v>
      </c>
      <c r="D29" s="4464">
        <v>95.134886815480314</v>
      </c>
      <c r="E29" s="4464">
        <v>101.52113169835495</v>
      </c>
      <c r="F29" s="1905">
        <v>99.16</v>
      </c>
      <c r="G29" s="4464">
        <v>103.03</v>
      </c>
      <c r="H29" s="2075">
        <v>99.84</v>
      </c>
      <c r="I29" s="4464">
        <v>97.69</v>
      </c>
      <c r="J29" s="4464">
        <v>99.706205997346558</v>
      </c>
      <c r="K29" s="4464">
        <v>101.870902415638</v>
      </c>
      <c r="L29" s="4464">
        <v>101.2672</v>
      </c>
      <c r="M29" s="4464">
        <v>100.491035584579</v>
      </c>
      <c r="N29" s="2075">
        <v>105.147862995701</v>
      </c>
      <c r="O29" s="4467">
        <v>112.444440778331</v>
      </c>
      <c r="P29" s="4468">
        <v>115.03</v>
      </c>
    </row>
    <row r="30" spans="2:16" ht="40.25" customHeight="1">
      <c r="B30" s="4463"/>
      <c r="C30" s="4456"/>
      <c r="D30" s="4464"/>
      <c r="E30" s="4464"/>
      <c r="F30" s="1905"/>
      <c r="G30" s="4464"/>
      <c r="H30" s="2075"/>
      <c r="I30" s="4464"/>
      <c r="J30" s="1931"/>
      <c r="K30" s="4464"/>
      <c r="L30" s="4464"/>
      <c r="M30" s="4464"/>
      <c r="N30" s="2075"/>
      <c r="O30" s="4467"/>
      <c r="P30" s="4468"/>
    </row>
    <row r="31" spans="2:16" ht="45" customHeight="1">
      <c r="B31" s="4463" t="s">
        <v>410</v>
      </c>
      <c r="C31" s="4456">
        <v>91.266772881623993</v>
      </c>
      <c r="D31" s="4464">
        <v>95.633153320297211</v>
      </c>
      <c r="E31" s="4464">
        <v>100.42604464363332</v>
      </c>
      <c r="F31" s="1905">
        <v>99.68</v>
      </c>
      <c r="G31" s="4464">
        <v>103.34</v>
      </c>
      <c r="H31" s="2075">
        <v>100.65</v>
      </c>
      <c r="I31" s="4464">
        <v>97.8</v>
      </c>
      <c r="J31" s="4464">
        <v>99.731711498598756</v>
      </c>
      <c r="K31" s="4464">
        <v>101.89592593925499</v>
      </c>
      <c r="L31" s="4464">
        <v>101.1818</v>
      </c>
      <c r="M31" s="4464">
        <v>100.808505238596</v>
      </c>
      <c r="N31" s="2075">
        <v>104.99208424811501</v>
      </c>
      <c r="O31" s="4467">
        <v>112.234972948806</v>
      </c>
      <c r="P31" s="4468">
        <v>114.56</v>
      </c>
    </row>
    <row r="32" spans="2:16" ht="40.25" customHeight="1">
      <c r="B32" s="4463"/>
      <c r="C32" s="4469"/>
      <c r="D32" s="1931"/>
      <c r="E32" s="1931"/>
      <c r="F32" s="4473"/>
      <c r="G32" s="4473"/>
      <c r="H32" s="4474"/>
      <c r="I32" s="4464"/>
      <c r="J32" s="4464"/>
      <c r="K32" s="1931"/>
      <c r="L32" s="1931"/>
      <c r="M32" s="1931"/>
      <c r="N32" s="1870"/>
      <c r="O32" s="4470"/>
      <c r="P32" s="4471"/>
    </row>
    <row r="33" spans="2:16" ht="45" customHeight="1">
      <c r="B33" s="4475" t="s">
        <v>98</v>
      </c>
      <c r="C33" s="4476">
        <f t="shared" ref="C33:F33" si="0">AVERAGE(C9:C31)</f>
        <v>91.347401941948434</v>
      </c>
      <c r="D33" s="4477">
        <f t="shared" si="0"/>
        <v>93.87688913159667</v>
      </c>
      <c r="E33" s="4477">
        <f t="shared" si="0"/>
        <v>97.798136047851571</v>
      </c>
      <c r="F33" s="4477">
        <f t="shared" si="0"/>
        <v>99.238333333333344</v>
      </c>
      <c r="G33" s="4477">
        <f>AVERAGE(G9:G31)</f>
        <v>102.72916666666664</v>
      </c>
      <c r="H33" s="4478">
        <f t="shared" ref="H33:P33" si="1">AVERAGE(H9:H31)</f>
        <v>101.71833333333335</v>
      </c>
      <c r="I33" s="4477">
        <f t="shared" si="1"/>
        <v>98.588333333333324</v>
      </c>
      <c r="J33" s="4477">
        <f t="shared" si="1"/>
        <v>98.689955479713831</v>
      </c>
      <c r="K33" s="4477">
        <f t="shared" si="1"/>
        <v>101.21187935199357</v>
      </c>
      <c r="L33" s="4477">
        <f t="shared" si="1"/>
        <v>101.75729776141735</v>
      </c>
      <c r="M33" s="4477">
        <f t="shared" si="1"/>
        <v>99.97098017847371</v>
      </c>
      <c r="N33" s="4479">
        <f t="shared" si="1"/>
        <v>102.38100830304533</v>
      </c>
      <c r="O33" s="4480">
        <f t="shared" si="1"/>
        <v>108.91239388496167</v>
      </c>
      <c r="P33" s="4481">
        <f t="shared" si="1"/>
        <v>113.34416666666665</v>
      </c>
    </row>
    <row r="34" spans="2:16" ht="40.25" customHeight="1">
      <c r="B34" s="5836" t="s">
        <v>1030</v>
      </c>
      <c r="C34" s="4482"/>
      <c r="D34" s="4482"/>
      <c r="E34" s="4482"/>
      <c r="F34" s="4483"/>
      <c r="G34" s="4483"/>
      <c r="H34" s="4484"/>
      <c r="I34" s="4484"/>
      <c r="J34" s="4484"/>
      <c r="K34" s="4482"/>
      <c r="L34" s="4482"/>
      <c r="M34" s="4485"/>
      <c r="O34" s="4487"/>
      <c r="P34" s="4488"/>
    </row>
    <row r="35" spans="2:16" ht="40.25" customHeight="1">
      <c r="B35" s="5837"/>
      <c r="C35" s="1931"/>
      <c r="D35" s="1931"/>
      <c r="E35" s="1931"/>
      <c r="F35" s="4483"/>
      <c r="G35" s="1931"/>
      <c r="H35" s="4483"/>
      <c r="I35" s="4483"/>
      <c r="J35" s="1931"/>
      <c r="K35" s="1931"/>
      <c r="L35" s="1931"/>
      <c r="M35" s="4489"/>
      <c r="O35" s="4487"/>
      <c r="P35" s="4488"/>
    </row>
    <row r="36" spans="2:16" ht="45" customHeight="1">
      <c r="B36" s="4490" t="s">
        <v>98</v>
      </c>
      <c r="C36" s="4491">
        <v>3.3000000000000002E-2</v>
      </c>
      <c r="D36" s="4491">
        <f t="shared" ref="D36" si="2">+D33/C33-1</f>
        <v>2.769084983123804E-2</v>
      </c>
      <c r="E36" s="4491">
        <f t="shared" ref="E36" si="3">+E33/D33-1</f>
        <v>4.1770098610299122E-2</v>
      </c>
      <c r="F36" s="4491">
        <f t="shared" ref="F36" si="4">+F33/E33-1</f>
        <v>1.4726224278723388E-2</v>
      </c>
      <c r="G36" s="4491">
        <f t="shared" ref="G36:O36" si="5">+G33/F33-1</f>
        <v>3.517625917404188E-2</v>
      </c>
      <c r="H36" s="4492">
        <f t="shared" si="5"/>
        <v>-9.8397890894338369E-3</v>
      </c>
      <c r="I36" s="4493">
        <f t="shared" si="5"/>
        <v>-3.0771247398863055E-2</v>
      </c>
      <c r="J36" s="4494">
        <f t="shared" si="5"/>
        <v>1.0307725361065057E-3</v>
      </c>
      <c r="K36" s="4493">
        <f t="shared" si="5"/>
        <v>2.5554007599062567E-2</v>
      </c>
      <c r="L36" s="4493">
        <f t="shared" si="5"/>
        <v>5.3888774017023522E-3</v>
      </c>
      <c r="M36" s="4493">
        <f>+M33/L33-1</f>
        <v>-1.7554687695538918E-2</v>
      </c>
      <c r="N36" s="4491">
        <f t="shared" si="5"/>
        <v>2.4107277134515437E-2</v>
      </c>
      <c r="O36" s="4495">
        <f t="shared" si="5"/>
        <v>6.3794894093869292E-2</v>
      </c>
      <c r="P36" s="4496">
        <f>+P33/O33-1</f>
        <v>4.0691170431769397E-2</v>
      </c>
    </row>
    <row r="37" spans="2:16" ht="40.25" customHeight="1" thickBot="1">
      <c r="B37" s="4497"/>
      <c r="C37" s="4498"/>
      <c r="D37" s="4498"/>
      <c r="E37" s="4498"/>
      <c r="F37" s="4499"/>
      <c r="G37" s="4500"/>
      <c r="H37" s="4501"/>
      <c r="I37" s="4498"/>
      <c r="J37" s="4498"/>
      <c r="K37" s="4498"/>
      <c r="L37" s="4498"/>
      <c r="M37" s="4498"/>
      <c r="N37" s="4502"/>
      <c r="O37" s="4503"/>
      <c r="P37" s="4504"/>
    </row>
    <row r="38" spans="2:16" ht="45" customHeight="1" thickBot="1">
      <c r="B38" s="4497" t="s">
        <v>1039</v>
      </c>
      <c r="C38" s="4500">
        <v>4.2000000000000003E-2</v>
      </c>
      <c r="D38" s="4500">
        <f t="shared" ref="D38:K38" si="6">D31/C31-1</f>
        <v>4.7841950589581517E-2</v>
      </c>
      <c r="E38" s="4500">
        <f t="shared" si="6"/>
        <v>5.0117466139421474E-2</v>
      </c>
      <c r="F38" s="4500">
        <f t="shared" si="6"/>
        <v>-7.4287964469843537E-3</v>
      </c>
      <c r="G38" s="4500">
        <f t="shared" si="6"/>
        <v>3.6717495987158788E-2</v>
      </c>
      <c r="H38" s="4501">
        <f t="shared" si="6"/>
        <v>-2.6030578672343707E-2</v>
      </c>
      <c r="I38" s="4498">
        <f t="shared" si="6"/>
        <v>-2.8315946348733356E-2</v>
      </c>
      <c r="J38" s="4498">
        <f t="shared" si="6"/>
        <v>1.975165131491563E-2</v>
      </c>
      <c r="K38" s="4498">
        <f t="shared" si="6"/>
        <v>2.1700363987904092E-2</v>
      </c>
      <c r="L38" s="4498">
        <f t="shared" ref="L38:O38" si="7">+L31/K31-1</f>
        <v>-7.0083855921847515E-3</v>
      </c>
      <c r="M38" s="4505">
        <f t="shared" si="7"/>
        <v>-3.6893469122312172E-3</v>
      </c>
      <c r="N38" s="4506">
        <f t="shared" si="7"/>
        <v>4.1500258332540563E-2</v>
      </c>
      <c r="O38" s="4507">
        <f t="shared" si="7"/>
        <v>6.8985093043536061E-2</v>
      </c>
      <c r="P38" s="4508">
        <f>+P31/O31-1</f>
        <v>2.0715709106594815E-2</v>
      </c>
    </row>
    <row r="39" spans="2:16" ht="40.25" customHeight="1">
      <c r="B39" s="1317" t="s">
        <v>738</v>
      </c>
      <c r="C39" s="1317"/>
      <c r="D39" s="1317"/>
      <c r="E39" s="1317"/>
      <c r="F39" s="1317"/>
      <c r="G39" s="1317"/>
      <c r="H39" s="1317"/>
      <c r="I39" s="1317"/>
      <c r="J39" s="1317"/>
      <c r="K39" s="1317"/>
      <c r="L39" s="1317"/>
      <c r="M39" s="4509"/>
      <c r="N39" s="4509"/>
      <c r="O39" s="4510"/>
    </row>
    <row r="40" spans="2:16" ht="40.25" customHeight="1">
      <c r="B40" s="1317" t="s">
        <v>200</v>
      </c>
      <c r="C40" s="1317"/>
      <c r="D40" s="1317"/>
      <c r="E40" s="1317"/>
      <c r="F40" s="1306"/>
    </row>
    <row r="41" spans="2:16" s="1316" customFormat="1" ht="40.25" customHeight="1">
      <c r="K41" s="4511"/>
      <c r="L41" s="4511"/>
      <c r="M41" s="4512"/>
      <c r="N41" s="4512"/>
      <c r="O41" s="4512"/>
    </row>
  </sheetData>
  <mergeCells count="19">
    <mergeCell ref="B34:B35"/>
    <mergeCell ref="K6:K7"/>
    <mergeCell ref="L6:L7"/>
    <mergeCell ref="M6:M7"/>
    <mergeCell ref="F6:F7"/>
    <mergeCell ref="B1:P1"/>
    <mergeCell ref="B2:P2"/>
    <mergeCell ref="B3:P3"/>
    <mergeCell ref="B4:P4"/>
    <mergeCell ref="N6:N7"/>
    <mergeCell ref="P6:P7"/>
    <mergeCell ref="O6:O7"/>
    <mergeCell ref="G6:G7"/>
    <mergeCell ref="H6:H7"/>
    <mergeCell ref="I6:I7"/>
    <mergeCell ref="J6:J7"/>
    <mergeCell ref="E6:E7"/>
    <mergeCell ref="C6:C7"/>
    <mergeCell ref="D6:D7"/>
  </mergeCells>
  <printOptions horizontalCentered="1" verticalCentered="1"/>
  <pageMargins left="0.25" right="0.25" top="0.75" bottom="0.75" header="0.3" footer="0.3"/>
  <pageSetup scale="24" firstPageNumber="103" orientation="landscape" useFirstPageNumber="1" r:id="rId1"/>
  <headerFooter scaleWithDoc="0" alignWithMargins="0">
    <oddFooter xml:space="preserve">&amp;C122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F0"/>
    <pageSetUpPr fitToPage="1"/>
  </sheetPr>
  <dimension ref="A1:AH71"/>
  <sheetViews>
    <sheetView view="pageBreakPreview" zoomScale="20" zoomScaleNormal="80" zoomScaleSheetLayoutView="20" workbookViewId="0">
      <pane xSplit="1" ySplit="6" topLeftCell="E59" activePane="bottomRight" state="frozen"/>
      <selection activeCell="B44" sqref="B44"/>
      <selection pane="topRight" activeCell="B44" sqref="B44"/>
      <selection pane="bottomLeft" activeCell="B44" sqref="B44"/>
      <selection pane="bottomRight" activeCell="B44" sqref="B44"/>
    </sheetView>
  </sheetViews>
  <sheetFormatPr defaultColWidth="9.46484375" defaultRowHeight="30" customHeight="1"/>
  <cols>
    <col min="1" max="1" width="200.46484375" style="1061" customWidth="1"/>
    <col min="2" max="7" width="63" style="1061" customWidth="1"/>
    <col min="8" max="10" width="65.6640625" style="1064" customWidth="1"/>
    <col min="11" max="15" width="65.6640625" style="1061" customWidth="1"/>
    <col min="16" max="16" width="62.6640625" style="1061" customWidth="1"/>
    <col min="17" max="17" width="16.46484375" style="1061" customWidth="1"/>
    <col min="18" max="16384" width="9.46484375" style="1061"/>
  </cols>
  <sheetData>
    <row r="1" spans="1:16" ht="66.5" customHeight="1">
      <c r="A1" s="5838" t="s">
        <v>688</v>
      </c>
      <c r="B1" s="5838"/>
      <c r="C1" s="5838"/>
      <c r="D1" s="5838"/>
      <c r="E1" s="5838"/>
      <c r="F1" s="5838"/>
      <c r="G1" s="5838"/>
      <c r="H1" s="5838"/>
      <c r="I1" s="5838"/>
      <c r="J1" s="5838"/>
      <c r="K1" s="5838"/>
      <c r="L1" s="5838"/>
      <c r="M1" s="5838"/>
      <c r="N1" s="5838"/>
      <c r="O1" s="5838"/>
      <c r="P1" s="5838"/>
    </row>
    <row r="2" spans="1:16" ht="60.5" customHeight="1">
      <c r="A2" s="5838" t="s">
        <v>516</v>
      </c>
      <c r="B2" s="5838"/>
      <c r="C2" s="5838"/>
      <c r="D2" s="5838"/>
      <c r="E2" s="5838"/>
      <c r="F2" s="5838"/>
      <c r="G2" s="5838"/>
      <c r="H2" s="5838"/>
      <c r="I2" s="5838"/>
      <c r="J2" s="5838"/>
      <c r="K2" s="5838"/>
      <c r="L2" s="5838"/>
      <c r="M2" s="5838"/>
      <c r="N2" s="5838"/>
      <c r="O2" s="5838"/>
      <c r="P2" s="5838"/>
    </row>
    <row r="3" spans="1:16" ht="77" customHeight="1">
      <c r="A3" s="5838" t="s">
        <v>1042</v>
      </c>
      <c r="B3" s="5838"/>
      <c r="C3" s="5838"/>
      <c r="D3" s="5838"/>
      <c r="E3" s="5838"/>
      <c r="F3" s="5838"/>
      <c r="G3" s="5838"/>
      <c r="H3" s="5838"/>
      <c r="I3" s="5838"/>
      <c r="J3" s="5838"/>
      <c r="K3" s="5838"/>
      <c r="L3" s="5838"/>
      <c r="M3" s="5838"/>
      <c r="N3" s="5838"/>
      <c r="O3" s="5838"/>
      <c r="P3" s="5838"/>
    </row>
    <row r="4" spans="1:16" ht="26" customHeight="1" thickBot="1">
      <c r="A4" s="4824"/>
      <c r="B4" s="4824"/>
      <c r="C4" s="4824"/>
      <c r="D4" s="4824"/>
      <c r="E4" s="4824"/>
      <c r="F4" s="4824"/>
      <c r="G4" s="4824"/>
      <c r="H4" s="4824"/>
      <c r="I4" s="4824"/>
      <c r="J4" s="4824"/>
      <c r="K4" s="4824"/>
      <c r="L4" s="4824"/>
      <c r="M4" s="4824"/>
      <c r="N4" s="4824"/>
      <c r="O4" s="4824"/>
      <c r="P4" s="4824"/>
    </row>
    <row r="5" spans="1:16" ht="30" customHeight="1">
      <c r="A5" s="5846" t="s">
        <v>74</v>
      </c>
      <c r="B5" s="5848" t="s">
        <v>859</v>
      </c>
      <c r="C5" s="5848">
        <v>2010</v>
      </c>
      <c r="D5" s="5852">
        <v>2011</v>
      </c>
      <c r="E5" s="5841">
        <v>2012</v>
      </c>
      <c r="F5" s="5850">
        <v>2013</v>
      </c>
      <c r="G5" s="5841">
        <v>2014</v>
      </c>
      <c r="H5" s="5850">
        <v>2015</v>
      </c>
      <c r="I5" s="5841">
        <v>2016</v>
      </c>
      <c r="J5" s="5841">
        <v>2017</v>
      </c>
      <c r="K5" s="5839">
        <v>2018</v>
      </c>
      <c r="L5" s="5841">
        <v>2019</v>
      </c>
      <c r="M5" s="5841">
        <v>2020</v>
      </c>
      <c r="N5" s="5843">
        <v>2021</v>
      </c>
      <c r="O5" s="5845">
        <v>2022</v>
      </c>
      <c r="P5" s="5854" t="s">
        <v>1959</v>
      </c>
    </row>
    <row r="6" spans="1:16" ht="42" customHeight="1" thickBot="1">
      <c r="A6" s="5847"/>
      <c r="B6" s="5849"/>
      <c r="C6" s="5849"/>
      <c r="D6" s="5853"/>
      <c r="E6" s="5842"/>
      <c r="F6" s="5856"/>
      <c r="G6" s="5842"/>
      <c r="H6" s="5851"/>
      <c r="I6" s="5842"/>
      <c r="J6" s="5842"/>
      <c r="K6" s="5840"/>
      <c r="L6" s="5842"/>
      <c r="M6" s="5842"/>
      <c r="N6" s="5844"/>
      <c r="O6" s="5842"/>
      <c r="P6" s="5855"/>
    </row>
    <row r="7" spans="1:16" ht="30" customHeight="1">
      <c r="A7" s="2261"/>
      <c r="B7" s="4675"/>
      <c r="C7" s="4671"/>
      <c r="D7" s="4672"/>
      <c r="E7" s="4536"/>
      <c r="F7" s="4672"/>
      <c r="G7" s="4536"/>
      <c r="H7" s="2263"/>
      <c r="I7" s="2263"/>
      <c r="J7" s="2487"/>
      <c r="K7" s="2262"/>
      <c r="L7" s="2488"/>
      <c r="M7" s="2330"/>
      <c r="N7" s="2330"/>
      <c r="O7" s="3612"/>
      <c r="P7" s="3260"/>
    </row>
    <row r="8" spans="1:16" s="1062" customFormat="1" ht="63" customHeight="1">
      <c r="A8" s="2489" t="s">
        <v>781</v>
      </c>
      <c r="B8" s="4667">
        <v>100</v>
      </c>
      <c r="C8" s="3613">
        <v>91.3</v>
      </c>
      <c r="D8" s="3613">
        <v>93.9</v>
      </c>
      <c r="E8" s="4537">
        <v>97.8</v>
      </c>
      <c r="F8" s="3613">
        <v>99.2</v>
      </c>
      <c r="G8" s="4537">
        <v>102.7</v>
      </c>
      <c r="H8" s="2490">
        <f>'CPI '!H33</f>
        <v>101.71833333333335</v>
      </c>
      <c r="I8" s="2490">
        <f>'CPI '!I33</f>
        <v>98.588333333333324</v>
      </c>
      <c r="J8" s="2264">
        <v>98.689955479713831</v>
      </c>
      <c r="K8" s="2264">
        <v>101.21187935199357</v>
      </c>
      <c r="L8" s="2264">
        <v>101.75729775538285</v>
      </c>
      <c r="M8" s="2264">
        <v>99.971259782386468</v>
      </c>
      <c r="N8" s="2264">
        <v>102.38070745801734</v>
      </c>
      <c r="O8" s="3613">
        <v>108.91239388496167</v>
      </c>
      <c r="P8" s="3261">
        <v>113.34</v>
      </c>
    </row>
    <row r="9" spans="1:16" ht="40.25" customHeight="1">
      <c r="A9" s="2261"/>
      <c r="B9" s="4668"/>
      <c r="C9" s="4665"/>
      <c r="D9" s="4665"/>
      <c r="E9" s="4538"/>
      <c r="F9" s="4665"/>
      <c r="G9" s="4538"/>
      <c r="H9" s="2263"/>
      <c r="I9" s="2263"/>
      <c r="J9" s="2491"/>
      <c r="K9" s="2491"/>
      <c r="L9" s="2265"/>
      <c r="M9" s="2265"/>
      <c r="N9" s="2265"/>
      <c r="O9" s="3614"/>
      <c r="P9" s="3262"/>
    </row>
    <row r="10" spans="1:16" ht="60" customHeight="1">
      <c r="A10" s="2261" t="s">
        <v>1187</v>
      </c>
      <c r="B10" s="4669">
        <v>27.368561710673866</v>
      </c>
      <c r="C10" s="4666">
        <v>86.7</v>
      </c>
      <c r="D10" s="4666">
        <v>89.1</v>
      </c>
      <c r="E10" s="4539">
        <v>94.9</v>
      </c>
      <c r="F10" s="4666">
        <v>99.7</v>
      </c>
      <c r="G10" s="4539">
        <v>101.7</v>
      </c>
      <c r="H10" s="2266">
        <v>101.97</v>
      </c>
      <c r="I10" s="2266">
        <v>98.7</v>
      </c>
      <c r="J10" s="2492">
        <v>97.247697042243885</v>
      </c>
      <c r="K10" s="2492">
        <v>101.20413172161911</v>
      </c>
      <c r="L10" s="2267">
        <v>103.39116457280925</v>
      </c>
      <c r="M10" s="2267">
        <v>102.54904177434251</v>
      </c>
      <c r="N10" s="2267">
        <v>102.50207578443967</v>
      </c>
      <c r="O10" s="3615">
        <v>108.21804482780891</v>
      </c>
      <c r="P10" s="3263">
        <v>115.24</v>
      </c>
    </row>
    <row r="11" spans="1:16" ht="40.25" customHeight="1">
      <c r="A11" s="2261"/>
      <c r="B11" s="4669"/>
      <c r="C11" s="4666"/>
      <c r="D11" s="4666"/>
      <c r="E11" s="4539"/>
      <c r="F11" s="4666"/>
      <c r="G11" s="4539"/>
      <c r="H11" s="2266"/>
      <c r="I11" s="2266"/>
      <c r="J11" s="2492"/>
      <c r="K11" s="2492"/>
      <c r="L11" s="2267"/>
      <c r="M11" s="2267"/>
      <c r="N11" s="2267"/>
      <c r="O11" s="3615"/>
      <c r="P11" s="3263"/>
    </row>
    <row r="12" spans="1:16" ht="68.75" customHeight="1">
      <c r="A12" s="2261" t="s">
        <v>100</v>
      </c>
      <c r="B12" s="4669">
        <v>2.4900000000000002</v>
      </c>
      <c r="C12" s="4666">
        <v>77.7</v>
      </c>
      <c r="D12" s="4666">
        <v>78.900000000000006</v>
      </c>
      <c r="E12" s="4539">
        <v>84.4</v>
      </c>
      <c r="F12" s="4666">
        <v>94.8</v>
      </c>
      <c r="G12" s="4539">
        <v>93.2</v>
      </c>
      <c r="H12" s="2266">
        <v>93.26</v>
      </c>
      <c r="I12" s="2266">
        <v>99.19</v>
      </c>
      <c r="J12" s="2492">
        <v>97.979679804229661</v>
      </c>
      <c r="K12" s="2492">
        <v>101.50150323956625</v>
      </c>
      <c r="L12" s="2267">
        <v>104.86885413439074</v>
      </c>
      <c r="M12" s="2267">
        <v>102.52685570030285</v>
      </c>
      <c r="N12" s="2267">
        <v>103.66095917829341</v>
      </c>
      <c r="O12" s="3615">
        <v>108.62591936111325</v>
      </c>
      <c r="P12" s="3263">
        <v>118.88</v>
      </c>
    </row>
    <row r="13" spans="1:16" ht="50.75" customHeight="1">
      <c r="A13" s="2261"/>
      <c r="B13" s="4669"/>
      <c r="C13" s="4666"/>
      <c r="D13" s="4666"/>
      <c r="E13" s="4539"/>
      <c r="F13" s="4666"/>
      <c r="G13" s="4539"/>
      <c r="H13" s="2266"/>
      <c r="I13" s="2266"/>
      <c r="J13" s="2492"/>
      <c r="K13" s="2492"/>
      <c r="L13" s="2267"/>
      <c r="M13" s="2267"/>
      <c r="N13" s="2267"/>
      <c r="O13" s="3615"/>
      <c r="P13" s="3263"/>
    </row>
    <row r="14" spans="1:16" ht="84" customHeight="1">
      <c r="A14" s="4821" t="s">
        <v>101</v>
      </c>
      <c r="B14" s="4669">
        <v>2.79</v>
      </c>
      <c r="C14" s="4666">
        <v>86.6</v>
      </c>
      <c r="D14" s="4666">
        <v>94.5</v>
      </c>
      <c r="E14" s="4539">
        <v>106.8</v>
      </c>
      <c r="F14" s="4666">
        <v>101.4</v>
      </c>
      <c r="G14" s="4539">
        <v>116.2</v>
      </c>
      <c r="H14" s="2266">
        <v>125.64</v>
      </c>
      <c r="I14" s="2266">
        <v>124.73</v>
      </c>
      <c r="J14" s="2492">
        <v>105.8682018851416</v>
      </c>
      <c r="K14" s="2492">
        <v>94.504141013759636</v>
      </c>
      <c r="L14" s="2267">
        <v>92.160593010122213</v>
      </c>
      <c r="M14" s="2267">
        <v>97.800906048404002</v>
      </c>
      <c r="N14" s="2267">
        <v>101.84487007122807</v>
      </c>
      <c r="O14" s="3615">
        <v>98.106338207086893</v>
      </c>
      <c r="P14" s="3263">
        <v>100.38</v>
      </c>
    </row>
    <row r="15" spans="1:16" ht="25.25" customHeight="1">
      <c r="A15" s="2261"/>
      <c r="B15" s="4669"/>
      <c r="C15" s="4666"/>
      <c r="D15" s="4666"/>
      <c r="E15" s="4539"/>
      <c r="F15" s="4666"/>
      <c r="G15" s="4539"/>
      <c r="H15" s="2266"/>
      <c r="I15" s="2266"/>
      <c r="J15" s="2492"/>
      <c r="K15" s="2492"/>
      <c r="L15" s="2267"/>
      <c r="M15" s="2267"/>
      <c r="N15" s="2267"/>
      <c r="O15" s="3615"/>
      <c r="P15" s="3263"/>
    </row>
    <row r="16" spans="1:16" ht="135.5" customHeight="1">
      <c r="A16" s="2493" t="s">
        <v>2316</v>
      </c>
      <c r="B16" s="4669">
        <v>26.52</v>
      </c>
      <c r="C16" s="4666">
        <v>82</v>
      </c>
      <c r="D16" s="4666">
        <v>83.9</v>
      </c>
      <c r="E16" s="4539">
        <v>84.9</v>
      </c>
      <c r="F16" s="4666">
        <v>81.400000000000006</v>
      </c>
      <c r="G16" s="4539">
        <v>85.5</v>
      </c>
      <c r="H16" s="2266">
        <v>91.1</v>
      </c>
      <c r="I16" s="2266">
        <v>88.15</v>
      </c>
      <c r="J16" s="2492">
        <v>94.320820842278351</v>
      </c>
      <c r="K16" s="2492">
        <v>103.56493146057507</v>
      </c>
      <c r="L16" s="2267">
        <v>101.55202263838758</v>
      </c>
      <c r="M16" s="2267">
        <v>96.774474511401877</v>
      </c>
      <c r="N16" s="2267">
        <v>103.38807789845164</v>
      </c>
      <c r="O16" s="3615">
        <v>128.35278894949974</v>
      </c>
      <c r="P16" s="3263">
        <v>124.65</v>
      </c>
    </row>
    <row r="17" spans="1:16" ht="23" customHeight="1">
      <c r="A17" s="2261"/>
      <c r="B17" s="4669"/>
      <c r="C17" s="4666"/>
      <c r="D17" s="4666"/>
      <c r="E17" s="4539"/>
      <c r="F17" s="4666"/>
      <c r="G17" s="4539"/>
      <c r="H17" s="2266"/>
      <c r="I17" s="2266"/>
      <c r="J17" s="2492"/>
      <c r="K17" s="2492"/>
      <c r="L17" s="2267"/>
      <c r="M17" s="2267"/>
      <c r="N17" s="2267"/>
      <c r="O17" s="3615"/>
      <c r="P17" s="3263"/>
    </row>
    <row r="18" spans="1:16" s="1063" customFormat="1" ht="132.5" customHeight="1">
      <c r="A18" s="2493" t="s">
        <v>2317</v>
      </c>
      <c r="B18" s="4669">
        <v>3.833770350195973</v>
      </c>
      <c r="C18" s="4666">
        <v>111.7</v>
      </c>
      <c r="D18" s="4666">
        <v>104.7</v>
      </c>
      <c r="E18" s="4539">
        <v>108.8</v>
      </c>
      <c r="F18" s="4666">
        <v>120.4</v>
      </c>
      <c r="G18" s="4539">
        <v>117.3</v>
      </c>
      <c r="H18" s="2266">
        <v>108.3</v>
      </c>
      <c r="I18" s="2266">
        <v>103.5</v>
      </c>
      <c r="J18" s="2492">
        <v>101.25018705801757</v>
      </c>
      <c r="K18" s="2492">
        <v>98.826394368216953</v>
      </c>
      <c r="L18" s="2267">
        <v>98.550185808704057</v>
      </c>
      <c r="M18" s="2267">
        <v>99.438396823412276</v>
      </c>
      <c r="N18" s="2267">
        <v>100.84690455062712</v>
      </c>
      <c r="O18" s="3615">
        <v>109.18595529871357</v>
      </c>
      <c r="P18" s="3263">
        <v>114.66</v>
      </c>
    </row>
    <row r="19" spans="1:16" ht="40.25" customHeight="1">
      <c r="A19" s="2261"/>
      <c r="B19" s="4669"/>
      <c r="C19" s="4666"/>
      <c r="D19" s="4666"/>
      <c r="E19" s="4539"/>
      <c r="F19" s="4666"/>
      <c r="G19" s="4539"/>
      <c r="H19" s="2266"/>
      <c r="I19" s="2266"/>
      <c r="J19" s="2492"/>
      <c r="K19" s="2492"/>
      <c r="L19" s="2267"/>
      <c r="M19" s="2267"/>
      <c r="N19" s="2267"/>
      <c r="O19" s="3615"/>
      <c r="P19" s="3263"/>
    </row>
    <row r="20" spans="1:16" ht="65" customHeight="1">
      <c r="A20" s="2261" t="s">
        <v>102</v>
      </c>
      <c r="B20" s="4669">
        <v>3.34</v>
      </c>
      <c r="C20" s="4666">
        <v>94.2</v>
      </c>
      <c r="D20" s="4666">
        <v>96.7</v>
      </c>
      <c r="E20" s="4539">
        <v>100.1</v>
      </c>
      <c r="F20" s="4666">
        <v>103.8</v>
      </c>
      <c r="G20" s="4539">
        <v>104.1</v>
      </c>
      <c r="H20" s="2266">
        <v>100.59961135325538</v>
      </c>
      <c r="I20" s="2266">
        <v>101.55</v>
      </c>
      <c r="J20" s="2492">
        <v>101.04396768276372</v>
      </c>
      <c r="K20" s="2492">
        <v>101.20523281000125</v>
      </c>
      <c r="L20" s="2267">
        <v>102.41714578720224</v>
      </c>
      <c r="M20" s="2267">
        <v>103.93782462670107</v>
      </c>
      <c r="N20" s="2267">
        <v>108.83708147656266</v>
      </c>
      <c r="O20" s="3615">
        <v>111.06032919837016</v>
      </c>
      <c r="P20" s="3263">
        <v>111.7</v>
      </c>
    </row>
    <row r="21" spans="1:16" ht="40.25" customHeight="1">
      <c r="A21" s="2261"/>
      <c r="B21" s="4669"/>
      <c r="C21" s="4666"/>
      <c r="D21" s="4666"/>
      <c r="E21" s="4539"/>
      <c r="F21" s="4666"/>
      <c r="G21" s="4539"/>
      <c r="H21" s="2266"/>
      <c r="I21" s="2266"/>
      <c r="J21" s="2492"/>
      <c r="K21" s="2492"/>
      <c r="L21" s="2267"/>
      <c r="M21" s="2267"/>
      <c r="N21" s="2267"/>
      <c r="O21" s="3615"/>
      <c r="P21" s="3263"/>
    </row>
    <row r="22" spans="1:16" ht="56.75" customHeight="1">
      <c r="A22" s="2261" t="s">
        <v>92</v>
      </c>
      <c r="B22" s="4669">
        <v>11.68</v>
      </c>
      <c r="C22" s="4666">
        <v>93.4</v>
      </c>
      <c r="D22" s="4666">
        <v>97.3</v>
      </c>
      <c r="E22" s="4539">
        <v>101.1</v>
      </c>
      <c r="F22" s="4666">
        <v>100.4</v>
      </c>
      <c r="G22" s="4539">
        <v>105.1</v>
      </c>
      <c r="H22" s="2266">
        <v>100.46</v>
      </c>
      <c r="I22" s="2266">
        <v>95.78</v>
      </c>
      <c r="J22" s="2492">
        <v>97.657989675152692</v>
      </c>
      <c r="K22" s="2492">
        <v>101.34971293595025</v>
      </c>
      <c r="L22" s="2267">
        <v>105.16691719471426</v>
      </c>
      <c r="M22" s="2267">
        <v>99.61900782001436</v>
      </c>
      <c r="N22" s="2267">
        <v>104.42112823562097</v>
      </c>
      <c r="O22" s="3615">
        <v>110.17397316280768</v>
      </c>
      <c r="P22" s="3263">
        <v>114.72</v>
      </c>
    </row>
    <row r="23" spans="1:16" ht="46.25" customHeight="1">
      <c r="A23" s="2261"/>
      <c r="B23" s="4669"/>
      <c r="C23" s="4666"/>
      <c r="D23" s="4666"/>
      <c r="E23" s="4539" t="s">
        <v>390</v>
      </c>
      <c r="F23" s="4666"/>
      <c r="G23" s="4539"/>
      <c r="H23" s="2266"/>
      <c r="I23" s="2266"/>
      <c r="J23" s="2492"/>
      <c r="K23" s="2492"/>
      <c r="L23" s="2267"/>
      <c r="M23" s="2267"/>
      <c r="N23" s="2267"/>
      <c r="O23" s="3615"/>
      <c r="P23" s="3263"/>
    </row>
    <row r="24" spans="1:16" ht="54" customHeight="1">
      <c r="A24" s="2261" t="s">
        <v>1188</v>
      </c>
      <c r="B24" s="4669">
        <v>6.03</v>
      </c>
      <c r="C24" s="4666">
        <v>76.5</v>
      </c>
      <c r="D24" s="4666">
        <v>78.099999999999994</v>
      </c>
      <c r="E24" s="4539">
        <v>80</v>
      </c>
      <c r="F24" s="4666">
        <v>84.9</v>
      </c>
      <c r="G24" s="4539">
        <v>82.1</v>
      </c>
      <c r="H24" s="2266">
        <v>88.65</v>
      </c>
      <c r="I24" s="2266">
        <v>91.92</v>
      </c>
      <c r="J24" s="2492">
        <v>100</v>
      </c>
      <c r="K24" s="2492">
        <v>99.898209509087579</v>
      </c>
      <c r="L24" s="2267">
        <v>99.761147485719391</v>
      </c>
      <c r="M24" s="2267">
        <v>99.339907695522172</v>
      </c>
      <c r="N24" s="2267">
        <v>101.52459751630791</v>
      </c>
      <c r="O24" s="3615">
        <v>101.29274238201718</v>
      </c>
      <c r="P24" s="3263">
        <v>101.21</v>
      </c>
    </row>
    <row r="25" spans="1:16" ht="46.25" customHeight="1">
      <c r="A25" s="2261"/>
      <c r="B25" s="4669"/>
      <c r="C25" s="4666"/>
      <c r="D25" s="4666"/>
      <c r="E25" s="4539" t="s">
        <v>390</v>
      </c>
      <c r="F25" s="4666"/>
      <c r="G25" s="4539"/>
      <c r="H25" s="2266"/>
      <c r="I25" s="2266"/>
      <c r="J25" s="2492"/>
      <c r="K25" s="2492"/>
      <c r="L25" s="2267"/>
      <c r="M25" s="2267"/>
      <c r="N25" s="2267"/>
      <c r="O25" s="3615"/>
      <c r="P25" s="3263"/>
    </row>
    <row r="26" spans="1:16" ht="63" customHeight="1">
      <c r="A26" s="2261" t="s">
        <v>103</v>
      </c>
      <c r="B26" s="4669">
        <v>1.7</v>
      </c>
      <c r="C26" s="4666">
        <v>176.3</v>
      </c>
      <c r="D26" s="4666">
        <v>174.6</v>
      </c>
      <c r="E26" s="4539">
        <v>193.4</v>
      </c>
      <c r="F26" s="4666">
        <v>162.6</v>
      </c>
      <c r="G26" s="4539">
        <v>176.4</v>
      </c>
      <c r="H26" s="2266">
        <v>168.13</v>
      </c>
      <c r="I26" s="2266">
        <v>129.82</v>
      </c>
      <c r="J26" s="2492">
        <v>106.78639271214895</v>
      </c>
      <c r="K26" s="2492">
        <v>98.477556435943754</v>
      </c>
      <c r="L26" s="2267">
        <v>93.541960460702853</v>
      </c>
      <c r="M26" s="2267">
        <v>88.037911098653481</v>
      </c>
      <c r="N26" s="2267">
        <v>87.078498884686439</v>
      </c>
      <c r="O26" s="3615">
        <v>90.544231338041456</v>
      </c>
      <c r="P26" s="3263">
        <v>89.18</v>
      </c>
    </row>
    <row r="27" spans="1:16" ht="46.25" customHeight="1">
      <c r="A27" s="2261"/>
      <c r="B27" s="4669"/>
      <c r="C27" s="4666"/>
      <c r="D27" s="4666"/>
      <c r="E27" s="4539" t="s">
        <v>390</v>
      </c>
      <c r="F27" s="4666"/>
      <c r="G27" s="4539"/>
      <c r="H27" s="2266"/>
      <c r="I27" s="2266"/>
      <c r="J27" s="2492"/>
      <c r="K27" s="2492"/>
      <c r="L27" s="2267"/>
      <c r="M27" s="2267"/>
      <c r="N27" s="2267"/>
      <c r="O27" s="3615"/>
      <c r="P27" s="3263"/>
    </row>
    <row r="28" spans="1:16" ht="63" customHeight="1">
      <c r="A28" s="2261" t="s">
        <v>104</v>
      </c>
      <c r="B28" s="4669">
        <v>4.3</v>
      </c>
      <c r="C28" s="4666">
        <v>80.900000000000006</v>
      </c>
      <c r="D28" s="4666">
        <v>86.3</v>
      </c>
      <c r="E28" s="4539">
        <v>84.7</v>
      </c>
      <c r="F28" s="4666">
        <v>85.6</v>
      </c>
      <c r="G28" s="4539">
        <v>90.5</v>
      </c>
      <c r="H28" s="2266">
        <v>97.8818043664849</v>
      </c>
      <c r="I28" s="2266">
        <v>99.8406754944683</v>
      </c>
      <c r="J28" s="2492">
        <v>100</v>
      </c>
      <c r="K28" s="2492">
        <v>100</v>
      </c>
      <c r="L28" s="2267">
        <v>100.00636455706568</v>
      </c>
      <c r="M28" s="2267">
        <v>100.05151554001759</v>
      </c>
      <c r="N28" s="2267">
        <v>99.434360844228578</v>
      </c>
      <c r="O28" s="3615">
        <v>98.349394866813654</v>
      </c>
      <c r="P28" s="3263">
        <v>98.82</v>
      </c>
    </row>
    <row r="29" spans="1:16" ht="46.25" customHeight="1">
      <c r="A29" s="2261"/>
      <c r="B29" s="4669"/>
      <c r="C29" s="4666"/>
      <c r="D29" s="4666"/>
      <c r="E29" s="4539"/>
      <c r="F29" s="4666"/>
      <c r="G29" s="4539"/>
      <c r="H29" s="2266"/>
      <c r="I29" s="2266"/>
      <c r="J29" s="2492"/>
      <c r="K29" s="2492"/>
      <c r="L29" s="2267"/>
      <c r="M29" s="2267"/>
      <c r="N29" s="2267"/>
      <c r="O29" s="3615"/>
      <c r="P29" s="3263"/>
    </row>
    <row r="30" spans="1:16" ht="67.25" customHeight="1">
      <c r="A30" s="2261" t="s">
        <v>105</v>
      </c>
      <c r="B30" s="4669">
        <v>3.8462930528477033</v>
      </c>
      <c r="C30" s="4666">
        <v>91.2</v>
      </c>
      <c r="D30" s="4666">
        <v>91.4</v>
      </c>
      <c r="E30" s="4539">
        <v>93.3</v>
      </c>
      <c r="F30" s="4666">
        <v>95.3</v>
      </c>
      <c r="G30" s="4539">
        <v>88.1</v>
      </c>
      <c r="H30" s="2266">
        <v>94.078442488101018</v>
      </c>
      <c r="I30" s="2266">
        <v>100.15258239915795</v>
      </c>
      <c r="J30" s="2492">
        <v>100.88122703441523</v>
      </c>
      <c r="K30" s="2492">
        <v>97.868996361423271</v>
      </c>
      <c r="L30" s="2267">
        <v>96.921727721989669</v>
      </c>
      <c r="M30" s="2267">
        <v>99.435938734745648</v>
      </c>
      <c r="N30" s="2267">
        <v>98.27061742056317</v>
      </c>
      <c r="O30" s="3615">
        <v>99.110394765976196</v>
      </c>
      <c r="P30" s="3263">
        <v>108.89</v>
      </c>
    </row>
    <row r="31" spans="1:16" ht="46.25" customHeight="1">
      <c r="A31" s="2261"/>
      <c r="B31" s="4669"/>
      <c r="C31" s="4666"/>
      <c r="D31" s="4666"/>
      <c r="E31" s="4539"/>
      <c r="F31" s="4666"/>
      <c r="G31" s="4539" t="s">
        <v>390</v>
      </c>
      <c r="H31" s="2268"/>
      <c r="I31" s="2266"/>
      <c r="J31" s="2492"/>
      <c r="K31" s="2492"/>
      <c r="L31" s="2267"/>
      <c r="M31" s="2267"/>
      <c r="N31" s="2267"/>
      <c r="O31" s="3615"/>
      <c r="P31" s="3263"/>
    </row>
    <row r="32" spans="1:16" ht="55.25" customHeight="1">
      <c r="A32" s="2261" t="s">
        <v>106</v>
      </c>
      <c r="B32" s="4669">
        <v>6.1</v>
      </c>
      <c r="C32" s="4666">
        <v>104.9</v>
      </c>
      <c r="D32" s="4666">
        <v>112.6</v>
      </c>
      <c r="E32" s="4539">
        <v>116.3</v>
      </c>
      <c r="F32" s="4666">
        <v>118</v>
      </c>
      <c r="G32" s="4539">
        <v>123.7</v>
      </c>
      <c r="H32" s="2266">
        <v>101.43</v>
      </c>
      <c r="I32" s="2266">
        <v>98.2</v>
      </c>
      <c r="J32" s="2492">
        <v>99.891349533787221</v>
      </c>
      <c r="K32" s="2492">
        <v>99.560555392729327</v>
      </c>
      <c r="L32" s="2267">
        <v>100.96009218726033</v>
      </c>
      <c r="M32" s="2267">
        <v>98.884431029291534</v>
      </c>
      <c r="N32" s="2267">
        <v>98.693166886007461</v>
      </c>
      <c r="O32" s="3615">
        <v>101.92273030047527</v>
      </c>
      <c r="P32" s="3263">
        <v>106.87</v>
      </c>
    </row>
    <row r="33" spans="1:17" ht="40.25" customHeight="1" thickBot="1">
      <c r="A33" s="2494"/>
      <c r="B33" s="4670"/>
      <c r="C33" s="4673"/>
      <c r="D33" s="4673"/>
      <c r="E33" s="4540"/>
      <c r="F33" s="4673"/>
      <c r="G33" s="4540"/>
      <c r="H33" s="2496"/>
      <c r="I33" s="2496"/>
      <c r="J33" s="2269"/>
      <c r="K33" s="2269"/>
      <c r="L33" s="2497"/>
      <c r="M33" s="2269"/>
      <c r="N33" s="2269"/>
      <c r="O33" s="2269"/>
      <c r="P33" s="3264"/>
    </row>
    <row r="34" spans="1:17" ht="65.75" customHeight="1">
      <c r="A34" s="1262" t="s">
        <v>739</v>
      </c>
      <c r="B34" s="1260"/>
      <c r="C34" s="4674"/>
      <c r="D34" s="4674"/>
      <c r="E34" s="1260"/>
      <c r="F34" s="4674"/>
      <c r="G34" s="4674"/>
      <c r="H34" s="1261"/>
      <c r="I34" s="1261"/>
      <c r="J34" s="1261"/>
      <c r="K34" s="1261"/>
      <c r="L34" s="1260"/>
      <c r="M34" s="1260"/>
      <c r="N34" s="1260"/>
      <c r="O34" s="1260"/>
      <c r="P34" s="3259"/>
    </row>
    <row r="35" spans="1:17" ht="60.5" customHeight="1">
      <c r="A35" s="1262" t="s">
        <v>200</v>
      </c>
      <c r="B35" s="1260"/>
      <c r="C35" s="1260"/>
      <c r="D35" s="1260"/>
      <c r="E35" s="1260"/>
      <c r="F35" s="1260"/>
      <c r="G35" s="1260"/>
      <c r="H35" s="1261"/>
      <c r="I35" s="1261"/>
      <c r="J35" s="1261"/>
      <c r="K35" s="1260"/>
      <c r="L35" s="1260"/>
      <c r="M35" s="1260"/>
      <c r="N35" s="1260"/>
      <c r="O35" s="1260"/>
    </row>
    <row r="36" spans="1:17" ht="62" customHeight="1">
      <c r="A36" s="5838" t="s">
        <v>689</v>
      </c>
      <c r="B36" s="5838"/>
      <c r="C36" s="5838"/>
      <c r="D36" s="5838"/>
      <c r="E36" s="5838"/>
      <c r="F36" s="5838"/>
      <c r="G36" s="5838"/>
      <c r="H36" s="5838"/>
      <c r="I36" s="5838"/>
      <c r="J36" s="5838"/>
      <c r="K36" s="5838"/>
      <c r="L36" s="5838"/>
      <c r="M36" s="5838"/>
      <c r="N36" s="5838"/>
      <c r="O36" s="5838"/>
      <c r="P36" s="5838"/>
    </row>
    <row r="37" spans="1:17" ht="62" customHeight="1">
      <c r="A37" s="5838" t="s">
        <v>516</v>
      </c>
      <c r="B37" s="5838"/>
      <c r="C37" s="5838"/>
      <c r="D37" s="5838"/>
      <c r="E37" s="5838"/>
      <c r="F37" s="5838"/>
      <c r="G37" s="5838"/>
      <c r="H37" s="5838"/>
      <c r="I37" s="5838"/>
      <c r="J37" s="5838"/>
      <c r="K37" s="5838"/>
      <c r="L37" s="5838"/>
      <c r="M37" s="5838"/>
      <c r="N37" s="5838"/>
      <c r="O37" s="5838"/>
      <c r="P37" s="5838"/>
    </row>
    <row r="38" spans="1:17" ht="62" customHeight="1">
      <c r="A38" s="5838" t="s">
        <v>1041</v>
      </c>
      <c r="B38" s="5838"/>
      <c r="C38" s="5838"/>
      <c r="D38" s="5838"/>
      <c r="E38" s="5838"/>
      <c r="F38" s="5838"/>
      <c r="G38" s="5838"/>
      <c r="H38" s="5838"/>
      <c r="I38" s="5838"/>
      <c r="J38" s="5838"/>
      <c r="K38" s="5838"/>
      <c r="L38" s="5838"/>
      <c r="M38" s="5838"/>
      <c r="N38" s="5838"/>
      <c r="O38" s="5838"/>
      <c r="P38" s="5838"/>
    </row>
    <row r="39" spans="1:17" ht="62" customHeight="1">
      <c r="A39" s="5838" t="s">
        <v>99</v>
      </c>
      <c r="B39" s="5838"/>
      <c r="C39" s="5838"/>
      <c r="D39" s="5838"/>
      <c r="E39" s="5838"/>
      <c r="F39" s="5838"/>
      <c r="G39" s="5838"/>
      <c r="H39" s="5838"/>
      <c r="I39" s="5838"/>
      <c r="J39" s="5838"/>
      <c r="K39" s="5838"/>
      <c r="L39" s="5838"/>
      <c r="M39" s="5838"/>
      <c r="N39" s="5838"/>
      <c r="O39" s="5838"/>
      <c r="P39" s="5838"/>
    </row>
    <row r="40" spans="1:17" ht="26" customHeight="1" thickBot="1">
      <c r="A40" s="4855"/>
      <c r="B40" s="4855"/>
      <c r="C40" s="4855"/>
      <c r="D40" s="4824"/>
      <c r="E40" s="4824"/>
      <c r="F40" s="4824"/>
      <c r="G40" s="4855"/>
      <c r="H40" s="4855"/>
      <c r="I40" s="4855"/>
      <c r="J40" s="4855"/>
      <c r="K40" s="4855"/>
      <c r="L40" s="4855"/>
      <c r="M40" s="4855"/>
      <c r="N40" s="4855"/>
      <c r="O40" s="4855"/>
      <c r="P40" s="4855"/>
    </row>
    <row r="41" spans="1:17" ht="63" customHeight="1" thickBot="1">
      <c r="A41" s="2249" t="s">
        <v>74</v>
      </c>
      <c r="B41" s="2250" t="s">
        <v>859</v>
      </c>
      <c r="C41" s="2498">
        <f t="shared" ref="C41:F41" si="0">C5</f>
        <v>2010</v>
      </c>
      <c r="D41" s="2498">
        <f t="shared" si="0"/>
        <v>2011</v>
      </c>
      <c r="E41" s="2498">
        <f t="shared" si="0"/>
        <v>2012</v>
      </c>
      <c r="F41" s="2498">
        <f t="shared" si="0"/>
        <v>2013</v>
      </c>
      <c r="G41" s="2498">
        <f>G5</f>
        <v>2014</v>
      </c>
      <c r="H41" s="2498">
        <v>2015</v>
      </c>
      <c r="I41" s="2499">
        <v>2016</v>
      </c>
      <c r="J41" s="2499">
        <v>2017</v>
      </c>
      <c r="K41" s="2499">
        <v>2018</v>
      </c>
      <c r="L41" s="2499">
        <v>2019</v>
      </c>
      <c r="M41" s="2251" t="s">
        <v>1076</v>
      </c>
      <c r="N41" s="2251">
        <v>2021</v>
      </c>
      <c r="O41" s="2251" t="s">
        <v>1958</v>
      </c>
      <c r="P41" s="3265" t="s">
        <v>1959</v>
      </c>
      <c r="Q41" s="3607"/>
    </row>
    <row r="42" spans="1:17" ht="30" customHeight="1">
      <c r="A42" s="2261"/>
      <c r="B42" s="2253"/>
      <c r="C42" s="4536"/>
      <c r="D42" s="4671"/>
      <c r="E42" s="4671"/>
      <c r="F42" s="4671"/>
      <c r="G42" s="4536"/>
      <c r="H42" s="3612"/>
      <c r="I42" s="2487"/>
      <c r="J42" s="2487"/>
      <c r="K42" s="2257"/>
      <c r="L42" s="2330"/>
      <c r="M42" s="2330"/>
      <c r="N42" s="2252"/>
      <c r="O42" s="3612"/>
      <c r="P42" s="3260"/>
      <c r="Q42" s="3607"/>
    </row>
    <row r="43" spans="1:17" ht="54" customHeight="1">
      <c r="A43" s="2489" t="s">
        <v>781</v>
      </c>
      <c r="B43" s="2254">
        <f>B8</f>
        <v>100</v>
      </c>
      <c r="C43" s="2500">
        <v>3.1638418079096065E-2</v>
      </c>
      <c r="D43" s="2500">
        <f t="shared" ref="D43" si="1">+D8/C8-1</f>
        <v>2.8477546549835697E-2</v>
      </c>
      <c r="E43" s="4857">
        <f t="shared" ref="E43" si="2">+E8/D8-1</f>
        <v>4.1533546325878579E-2</v>
      </c>
      <c r="F43" s="4857">
        <f t="shared" ref="F43" si="3">+F8/E8-1</f>
        <v>1.4314928425357865E-2</v>
      </c>
      <c r="G43" s="4857">
        <f t="shared" ref="G43" si="4">+G8/F8-1</f>
        <v>3.5282258064516236E-2</v>
      </c>
      <c r="H43" s="4857">
        <f t="shared" ref="H43:L43" si="5">+H8/G8-1</f>
        <v>-9.5585848750404656E-3</v>
      </c>
      <c r="I43" s="4857">
        <f t="shared" si="5"/>
        <v>-3.0771247398863055E-2</v>
      </c>
      <c r="J43" s="4857">
        <f t="shared" si="5"/>
        <v>1.0307725361065057E-3</v>
      </c>
      <c r="K43" s="4858">
        <f t="shared" si="5"/>
        <v>2.5554007599062567E-2</v>
      </c>
      <c r="L43" s="4858">
        <f t="shared" si="5"/>
        <v>5.3888773420798231E-3</v>
      </c>
      <c r="M43" s="4858">
        <f>M8/L8-1</f>
        <v>-1.7551939884349999E-2</v>
      </c>
      <c r="N43" s="4859">
        <f>N8/M8-1</f>
        <v>2.4101403552137413E-2</v>
      </c>
      <c r="O43" s="4860">
        <f>O8/N8-1</f>
        <v>6.3798020048090986E-2</v>
      </c>
      <c r="P43" s="4861">
        <f>P8/O8-1</f>
        <v>4.0652913383897982E-2</v>
      </c>
      <c r="Q43" s="3608" t="e">
        <f>SUM(Q45:Q68)</f>
        <v>#REF!</v>
      </c>
    </row>
    <row r="44" spans="1:17" ht="40.25" customHeight="1">
      <c r="A44" s="2261"/>
      <c r="B44" s="2255"/>
      <c r="C44" s="4665"/>
      <c r="D44" s="4665"/>
      <c r="E44" s="4862"/>
      <c r="F44" s="4862"/>
      <c r="G44" s="4863"/>
      <c r="H44" s="4864"/>
      <c r="I44" s="4865"/>
      <c r="J44" s="4865"/>
      <c r="K44" s="4866"/>
      <c r="L44" s="4865"/>
      <c r="M44" s="4866"/>
      <c r="N44" s="4867"/>
      <c r="O44" s="4868"/>
      <c r="P44" s="4856" t="s">
        <v>390</v>
      </c>
      <c r="Q44" s="3607"/>
    </row>
    <row r="45" spans="1:17" ht="62.75" customHeight="1">
      <c r="A45" s="2261" t="s">
        <v>1187</v>
      </c>
      <c r="B45" s="2258">
        <f>B10</f>
        <v>27.368561710673866</v>
      </c>
      <c r="C45" s="2256">
        <v>-2.3014959723820505E-3</v>
      </c>
      <c r="D45" s="2256">
        <f t="shared" ref="D45:H45" si="6">+D10/C10-1</f>
        <v>2.7681660899653959E-2</v>
      </c>
      <c r="E45" s="4865">
        <f t="shared" si="6"/>
        <v>6.509539842873191E-2</v>
      </c>
      <c r="F45" s="4865">
        <f t="shared" si="6"/>
        <v>5.0579557428872546E-2</v>
      </c>
      <c r="G45" s="4865">
        <f t="shared" si="6"/>
        <v>2.006018054162495E-2</v>
      </c>
      <c r="H45" s="4865">
        <f t="shared" si="6"/>
        <v>2.6548672566371057E-3</v>
      </c>
      <c r="I45" s="4865">
        <f>+I10/H10-1</f>
        <v>-3.2068255369226195E-2</v>
      </c>
      <c r="J45" s="4865">
        <f t="shared" ref="J45:L45" si="7">+J10/I10-1</f>
        <v>-1.4714315681419676E-2</v>
      </c>
      <c r="K45" s="4866">
        <f t="shared" si="7"/>
        <v>4.0684096381804924E-2</v>
      </c>
      <c r="L45" s="4866">
        <f t="shared" si="7"/>
        <v>2.1610114270887548E-2</v>
      </c>
      <c r="M45" s="4866">
        <f>+M10/L10-1</f>
        <v>-8.1450170519522525E-3</v>
      </c>
      <c r="N45" s="4867">
        <f t="shared" ref="N45:O59" si="8">N10/M10-1</f>
        <v>-4.5798565340271491E-4</v>
      </c>
      <c r="O45" s="4868">
        <f t="shared" si="8"/>
        <v>5.5764422326332497E-2</v>
      </c>
      <c r="P45" s="4856">
        <f>P10/O10-1</f>
        <v>6.4887100699001499E-2</v>
      </c>
      <c r="Q45" s="3609" t="e">
        <f>#REF!*B45/$B$43</f>
        <v>#REF!</v>
      </c>
    </row>
    <row r="46" spans="1:17" ht="46.25" customHeight="1">
      <c r="A46" s="2261"/>
      <c r="B46" s="2258"/>
      <c r="C46" s="4865"/>
      <c r="D46" s="2256"/>
      <c r="E46" s="4865"/>
      <c r="F46" s="4865"/>
      <c r="G46" s="4865"/>
      <c r="H46" s="4865"/>
      <c r="I46" s="4865"/>
      <c r="J46" s="4865"/>
      <c r="K46" s="4866"/>
      <c r="L46" s="4865"/>
      <c r="M46" s="4866"/>
      <c r="N46" s="4867"/>
      <c r="O46" s="4868"/>
      <c r="P46" s="4856" t="s">
        <v>390</v>
      </c>
      <c r="Q46" s="3609"/>
    </row>
    <row r="47" spans="1:17" ht="60.75" customHeight="1">
      <c r="A47" s="2261" t="s">
        <v>100</v>
      </c>
      <c r="B47" s="4869">
        <f t="shared" ref="B47:B67" si="9">B12</f>
        <v>2.4900000000000002</v>
      </c>
      <c r="C47" s="4865">
        <v>3.8770053475935873E-2</v>
      </c>
      <c r="D47" s="4865">
        <f t="shared" ref="D47" si="10">+D12/C12-1</f>
        <v>1.5444015444015413E-2</v>
      </c>
      <c r="E47" s="4865">
        <f t="shared" ref="E47" si="11">+E12/D12-1</f>
        <v>6.9708491761723668E-2</v>
      </c>
      <c r="F47" s="4865">
        <f t="shared" ref="F47" si="12">+F12/E12-1</f>
        <v>0.12322274881516582</v>
      </c>
      <c r="G47" s="4865">
        <f t="shared" ref="G47" si="13">+G12/F12-1</f>
        <v>-1.6877637130801593E-2</v>
      </c>
      <c r="H47" s="4865">
        <f t="shared" ref="H47" si="14">+H12/G12-1</f>
        <v>6.4377682403438108E-4</v>
      </c>
      <c r="I47" s="4865">
        <f t="shared" ref="I47:M47" si="15">+I12/H12-1</f>
        <v>6.358567445850305E-2</v>
      </c>
      <c r="J47" s="4865">
        <f t="shared" si="15"/>
        <v>-1.2202038469304677E-2</v>
      </c>
      <c r="K47" s="4866">
        <f t="shared" si="15"/>
        <v>3.5944426868647072E-2</v>
      </c>
      <c r="L47" s="4866">
        <f t="shared" si="15"/>
        <v>3.3175379549569728E-2</v>
      </c>
      <c r="M47" s="4866">
        <f t="shared" si="15"/>
        <v>-2.23326406435852E-2</v>
      </c>
      <c r="N47" s="4867">
        <f t="shared" si="8"/>
        <v>1.10615259801361E-2</v>
      </c>
      <c r="O47" s="4868">
        <f t="shared" si="8"/>
        <v>4.7896143564331473E-2</v>
      </c>
      <c r="P47" s="4856">
        <f>P12/O12-1</f>
        <v>9.4398102213508972E-2</v>
      </c>
      <c r="Q47" s="3609" t="e">
        <f>#REF!*B47/$B$43</f>
        <v>#REF!</v>
      </c>
    </row>
    <row r="48" spans="1:17" ht="46.25" customHeight="1">
      <c r="A48" s="2261"/>
      <c r="B48" s="4869"/>
      <c r="C48" s="4865"/>
      <c r="D48" s="4865"/>
      <c r="E48" s="4865"/>
      <c r="F48" s="4865"/>
      <c r="G48" s="4865"/>
      <c r="H48" s="4865"/>
      <c r="I48" s="4865"/>
      <c r="J48" s="4865"/>
      <c r="K48" s="4866"/>
      <c r="L48" s="4865"/>
      <c r="M48" s="4866"/>
      <c r="N48" s="4867"/>
      <c r="O48" s="4868"/>
      <c r="P48" s="4856" t="s">
        <v>390</v>
      </c>
      <c r="Q48" s="3609"/>
    </row>
    <row r="49" spans="1:17" ht="79.25" customHeight="1">
      <c r="A49" s="4821" t="s">
        <v>101</v>
      </c>
      <c r="B49" s="4869">
        <f t="shared" si="9"/>
        <v>2.79</v>
      </c>
      <c r="C49" s="4865">
        <v>3.7125748502993883E-2</v>
      </c>
      <c r="D49" s="4865">
        <f t="shared" ref="D49" si="16">+D14/C14-1</f>
        <v>9.1224018475750679E-2</v>
      </c>
      <c r="E49" s="4865">
        <f t="shared" ref="E49" si="17">+E14/D14-1</f>
        <v>0.13015873015873014</v>
      </c>
      <c r="F49" s="4865">
        <f t="shared" ref="F49" si="18">+F14/E14-1</f>
        <v>-5.056179775280889E-2</v>
      </c>
      <c r="G49" s="4865">
        <f t="shared" ref="G49" si="19">+G14/F14-1</f>
        <v>0.14595660749506889</v>
      </c>
      <c r="H49" s="4865">
        <f t="shared" ref="H49" si="20">+H14/G14-1</f>
        <v>8.1239242685025692E-2</v>
      </c>
      <c r="I49" s="4865">
        <f t="shared" ref="I49:L49" si="21">+I14/H14-1</f>
        <v>-7.2429162687042137E-3</v>
      </c>
      <c r="J49" s="4865">
        <f t="shared" si="21"/>
        <v>-0.15122102232709378</v>
      </c>
      <c r="K49" s="4866">
        <f t="shared" si="21"/>
        <v>-0.10734158764414503</v>
      </c>
      <c r="L49" s="4866">
        <f t="shared" si="21"/>
        <v>-2.4798363103434862E-2</v>
      </c>
      <c r="M49" s="4866">
        <f>+M14/L14-1</f>
        <v>6.1200919547710564E-2</v>
      </c>
      <c r="N49" s="4867">
        <f t="shared" si="8"/>
        <v>4.1348942317800397E-2</v>
      </c>
      <c r="O49" s="4868">
        <f t="shared" si="8"/>
        <v>-3.6708101856544495E-2</v>
      </c>
      <c r="P49" s="4856">
        <f>P14/O14-1</f>
        <v>2.3175483199808777E-2</v>
      </c>
      <c r="Q49" s="3610" t="e">
        <f>#REF!*B49/$B$43</f>
        <v>#REF!</v>
      </c>
    </row>
    <row r="50" spans="1:17" ht="46.25" customHeight="1">
      <c r="A50" s="2261"/>
      <c r="B50" s="4869"/>
      <c r="C50" s="4865"/>
      <c r="D50" s="4865"/>
      <c r="E50" s="4865"/>
      <c r="F50" s="4865"/>
      <c r="G50" s="4865"/>
      <c r="H50" s="4865"/>
      <c r="I50" s="4865"/>
      <c r="J50" s="4865"/>
      <c r="K50" s="4866"/>
      <c r="L50" s="4866"/>
      <c r="M50" s="4866"/>
      <c r="N50" s="4867"/>
      <c r="O50" s="4868"/>
      <c r="P50" s="4856" t="s">
        <v>390</v>
      </c>
      <c r="Q50" s="3609"/>
    </row>
    <row r="51" spans="1:17" s="1063" customFormat="1" ht="138.75">
      <c r="A51" s="2493" t="s">
        <v>2316</v>
      </c>
      <c r="B51" s="4869">
        <f t="shared" si="9"/>
        <v>26.52</v>
      </c>
      <c r="C51" s="4865">
        <v>6.2176165803108807E-2</v>
      </c>
      <c r="D51" s="4865">
        <f t="shared" ref="D51" si="22">+D16/C16-1</f>
        <v>2.3170731707317094E-2</v>
      </c>
      <c r="E51" s="4865">
        <f t="shared" ref="E51" si="23">+E16/D16-1</f>
        <v>1.1918951132300348E-2</v>
      </c>
      <c r="F51" s="4865">
        <f t="shared" ref="F51" si="24">+F16/E16-1</f>
        <v>-4.1224970553592422E-2</v>
      </c>
      <c r="G51" s="4865">
        <f t="shared" ref="G51" si="25">+G16/F16-1</f>
        <v>5.0368550368550258E-2</v>
      </c>
      <c r="H51" s="4865">
        <f t="shared" ref="H51" si="26">+H16/G16-1</f>
        <v>6.549707602339172E-2</v>
      </c>
      <c r="I51" s="4865">
        <f t="shared" ref="I51:L51" si="27">+I16/H16-1</f>
        <v>-3.2381997804610152E-2</v>
      </c>
      <c r="J51" s="4865">
        <f t="shared" si="27"/>
        <v>7.0003639730894518E-2</v>
      </c>
      <c r="K51" s="4866">
        <f t="shared" si="27"/>
        <v>9.8007105279061868E-2</v>
      </c>
      <c r="L51" s="4866">
        <f t="shared" si="27"/>
        <v>-1.9436200978453333E-2</v>
      </c>
      <c r="M51" s="4866">
        <f>+M16/L16-1</f>
        <v>-4.7045327142305027E-2</v>
      </c>
      <c r="N51" s="4867">
        <f t="shared" si="8"/>
        <v>6.8340369921311872E-2</v>
      </c>
      <c r="O51" s="4868">
        <f t="shared" si="8"/>
        <v>0.24146605255171272</v>
      </c>
      <c r="P51" s="4856">
        <f>P16/O16-1</f>
        <v>-2.8848527404859103E-2</v>
      </c>
      <c r="Q51" s="3609" t="e">
        <f>#REF!*B51/$B$43</f>
        <v>#REF!</v>
      </c>
    </row>
    <row r="52" spans="1:17" ht="46.25" customHeight="1">
      <c r="A52" s="2261"/>
      <c r="B52" s="4869"/>
      <c r="C52" s="4865"/>
      <c r="D52" s="4865"/>
      <c r="E52" s="4865"/>
      <c r="F52" s="4865"/>
      <c r="G52" s="4865"/>
      <c r="H52" s="4865"/>
      <c r="I52" s="4865"/>
      <c r="J52" s="4865"/>
      <c r="K52" s="4866"/>
      <c r="L52" s="4866"/>
      <c r="M52" s="4866"/>
      <c r="N52" s="4867"/>
      <c r="O52" s="4868"/>
      <c r="P52" s="4856" t="s">
        <v>390</v>
      </c>
      <c r="Q52" s="3609"/>
    </row>
    <row r="53" spans="1:17" s="1063" customFormat="1" ht="131" customHeight="1">
      <c r="A53" s="2493" t="s">
        <v>2317</v>
      </c>
      <c r="B53" s="4869">
        <f t="shared" si="9"/>
        <v>3.833770350195973</v>
      </c>
      <c r="C53" s="4865">
        <v>-2.4454148471615644E-2</v>
      </c>
      <c r="D53" s="4865">
        <f t="shared" ref="D53" si="28">+D18/C18-1</f>
        <v>-6.2667860340197001E-2</v>
      </c>
      <c r="E53" s="4865">
        <f t="shared" ref="E53" si="29">+E18/D18-1</f>
        <v>3.9159503342884427E-2</v>
      </c>
      <c r="F53" s="4865">
        <f t="shared" ref="F53" si="30">+F18/E18-1</f>
        <v>0.10661764705882359</v>
      </c>
      <c r="G53" s="4865">
        <f t="shared" ref="G53" si="31">+G18/F18-1</f>
        <v>-2.574750830564787E-2</v>
      </c>
      <c r="H53" s="4865">
        <f t="shared" ref="H53" si="32">+H18/G18-1</f>
        <v>-7.6726342710997431E-2</v>
      </c>
      <c r="I53" s="4865">
        <f t="shared" ref="I53:M53" si="33">+I18/H18-1</f>
        <v>-4.4321329639889218E-2</v>
      </c>
      <c r="J53" s="4865">
        <f t="shared" si="33"/>
        <v>-2.1737323110941342E-2</v>
      </c>
      <c r="K53" s="4866">
        <f t="shared" si="33"/>
        <v>-2.3938649006265633E-2</v>
      </c>
      <c r="L53" s="4866">
        <f t="shared" si="33"/>
        <v>-2.7948865409758161E-3</v>
      </c>
      <c r="M53" s="4866">
        <f t="shared" si="33"/>
        <v>9.0127786915827901E-3</v>
      </c>
      <c r="N53" s="4867">
        <f t="shared" si="8"/>
        <v>1.4164626263194258E-2</v>
      </c>
      <c r="O53" s="4868">
        <f t="shared" si="8"/>
        <v>8.2690200410663994E-2</v>
      </c>
      <c r="P53" s="4856">
        <f>P18/O18-1</f>
        <v>5.0135062575680234E-2</v>
      </c>
      <c r="Q53" s="3610" t="e">
        <f>#REF!*B53/$B$43</f>
        <v>#REF!</v>
      </c>
    </row>
    <row r="54" spans="1:17" ht="46.25" customHeight="1">
      <c r="A54" s="2261"/>
      <c r="B54" s="4869"/>
      <c r="C54" s="4865"/>
      <c r="D54" s="4865"/>
      <c r="E54" s="4865"/>
      <c r="F54" s="4865"/>
      <c r="G54" s="4865"/>
      <c r="H54" s="4865"/>
      <c r="I54" s="4865"/>
      <c r="J54" s="4865"/>
      <c r="K54" s="4866"/>
      <c r="L54" s="4866"/>
      <c r="M54" s="4866"/>
      <c r="N54" s="4867"/>
      <c r="O54" s="4868"/>
      <c r="P54" s="4856" t="s">
        <v>390</v>
      </c>
      <c r="Q54" s="3609"/>
    </row>
    <row r="55" spans="1:17" ht="60.5" customHeight="1">
      <c r="A55" s="2261" t="s">
        <v>102</v>
      </c>
      <c r="B55" s="4869">
        <f t="shared" si="9"/>
        <v>3.34</v>
      </c>
      <c r="C55" s="4865">
        <v>4.2643923240939241E-3</v>
      </c>
      <c r="D55" s="4865">
        <f t="shared" ref="D55" si="34">+D20/C20-1</f>
        <v>2.6539278131634925E-2</v>
      </c>
      <c r="E55" s="4865">
        <f t="shared" ref="E55" si="35">+E20/D20-1</f>
        <v>3.5160289555325575E-2</v>
      </c>
      <c r="F55" s="4865">
        <f t="shared" ref="F55" si="36">+F20/E20-1</f>
        <v>3.6963036963036933E-2</v>
      </c>
      <c r="G55" s="4865">
        <f t="shared" ref="G55" si="37">+G20/F20-1</f>
        <v>2.8901734104045396E-3</v>
      </c>
      <c r="H55" s="4865">
        <f t="shared" ref="H55" si="38">+H20/G20-1</f>
        <v>-3.3625251169496773E-2</v>
      </c>
      <c r="I55" s="4865">
        <f t="shared" ref="I55:M55" si="39">+I20/H20-1</f>
        <v>9.4472397453637669E-3</v>
      </c>
      <c r="J55" s="4865">
        <f t="shared" si="39"/>
        <v>-4.9830853494463589E-3</v>
      </c>
      <c r="K55" s="4866">
        <f t="shared" si="39"/>
        <v>1.595989656144825E-3</v>
      </c>
      <c r="L55" s="4866">
        <f t="shared" si="39"/>
        <v>1.1974805487342755E-2</v>
      </c>
      <c r="M55" s="4866">
        <f t="shared" si="39"/>
        <v>1.484789317072388E-2</v>
      </c>
      <c r="N55" s="4867">
        <f t="shared" si="8"/>
        <v>4.7136418983729556E-2</v>
      </c>
      <c r="O55" s="4868">
        <f t="shared" si="8"/>
        <v>2.0427300067636045E-2</v>
      </c>
      <c r="P55" s="4856">
        <f>P20/O20-1</f>
        <v>5.7596695980191015E-3</v>
      </c>
      <c r="Q55" s="3609" t="e">
        <f>#REF!*B55/$B$43</f>
        <v>#REF!</v>
      </c>
    </row>
    <row r="56" spans="1:17" ht="66.5" customHeight="1">
      <c r="A56" s="2261"/>
      <c r="B56" s="4869"/>
      <c r="C56" s="4865"/>
      <c r="D56" s="4865"/>
      <c r="E56" s="4865"/>
      <c r="F56" s="4865"/>
      <c r="G56" s="4865"/>
      <c r="H56" s="4865"/>
      <c r="I56" s="4865"/>
      <c r="J56" s="4865"/>
      <c r="K56" s="4866"/>
      <c r="L56" s="4866"/>
      <c r="M56" s="4866"/>
      <c r="N56" s="4867"/>
      <c r="O56" s="4868"/>
      <c r="P56" s="4856" t="s">
        <v>390</v>
      </c>
      <c r="Q56" s="3609"/>
    </row>
    <row r="57" spans="1:17" ht="66.5" customHeight="1">
      <c r="A57" s="2261" t="s">
        <v>92</v>
      </c>
      <c r="B57" s="4869">
        <f t="shared" si="9"/>
        <v>11.68</v>
      </c>
      <c r="C57" s="4865">
        <v>2.4122807017543879E-2</v>
      </c>
      <c r="D57" s="4865">
        <f t="shared" ref="D57" si="40">+D22/C22-1</f>
        <v>4.1755888650963469E-2</v>
      </c>
      <c r="E57" s="4865">
        <f t="shared" ref="E57" si="41">+E22/D22-1</f>
        <v>3.9054470709146916E-2</v>
      </c>
      <c r="F57" s="4865">
        <f t="shared" ref="F57" si="42">+F22/E22-1</f>
        <v>-6.923837784371778E-3</v>
      </c>
      <c r="G57" s="4865">
        <f t="shared" ref="G57" si="43">+G22/F22-1</f>
        <v>4.6812749003984022E-2</v>
      </c>
      <c r="H57" s="4865">
        <f t="shared" ref="H57" si="44">+H22/G22-1</f>
        <v>-4.4148430066603295E-2</v>
      </c>
      <c r="I57" s="4865">
        <f t="shared" ref="I57:M57" si="45">+I22/H22-1</f>
        <v>-4.6585705753533713E-2</v>
      </c>
      <c r="J57" s="4865">
        <f t="shared" si="45"/>
        <v>1.9607325904705375E-2</v>
      </c>
      <c r="K57" s="4866">
        <f t="shared" si="45"/>
        <v>3.7802572765194276E-2</v>
      </c>
      <c r="L57" s="4866">
        <f t="shared" si="45"/>
        <v>3.76636908796808E-2</v>
      </c>
      <c r="M57" s="4866">
        <f t="shared" si="45"/>
        <v>-5.2753370762290808E-2</v>
      </c>
      <c r="N57" s="4867">
        <f t="shared" si="8"/>
        <v>4.8204860906492675E-2</v>
      </c>
      <c r="O57" s="4868">
        <f t="shared" si="8"/>
        <v>5.5092729071129387E-2</v>
      </c>
      <c r="P57" s="4856">
        <f>P22/O22-1</f>
        <v>4.1262257379739875E-2</v>
      </c>
      <c r="Q57" s="3609" t="e">
        <f>#REF!*B57/$B$43</f>
        <v>#REF!</v>
      </c>
    </row>
    <row r="58" spans="1:17" ht="66.5" customHeight="1">
      <c r="A58" s="2261"/>
      <c r="B58" s="4869"/>
      <c r="C58" s="4865"/>
      <c r="D58" s="4865"/>
      <c r="E58" s="4865"/>
      <c r="F58" s="4865"/>
      <c r="G58" s="4865"/>
      <c r="H58" s="4865"/>
      <c r="I58" s="4865"/>
      <c r="J58" s="4865"/>
      <c r="K58" s="4866"/>
      <c r="L58" s="4866"/>
      <c r="M58" s="4866"/>
      <c r="N58" s="4867"/>
      <c r="O58" s="4868"/>
      <c r="P58" s="4856" t="s">
        <v>390</v>
      </c>
      <c r="Q58" s="3609"/>
    </row>
    <row r="59" spans="1:17" ht="66.5" customHeight="1">
      <c r="A59" s="2261" t="s">
        <v>1188</v>
      </c>
      <c r="B59" s="4869">
        <f t="shared" si="9"/>
        <v>6.03</v>
      </c>
      <c r="C59" s="4865">
        <v>-1.0349288486416475E-2</v>
      </c>
      <c r="D59" s="4865">
        <f t="shared" ref="D59" si="46">+D24/C24-1</f>
        <v>2.0915032679738488E-2</v>
      </c>
      <c r="E59" s="4865">
        <f t="shared" ref="E59" si="47">+E24/D24-1</f>
        <v>2.4327784891165161E-2</v>
      </c>
      <c r="F59" s="4865">
        <f t="shared" ref="F59" si="48">+F24/E24-1</f>
        <v>6.1250000000000027E-2</v>
      </c>
      <c r="G59" s="4865">
        <f t="shared" ref="G59" si="49">+G24/F24-1</f>
        <v>-3.2979976442874093E-2</v>
      </c>
      <c r="H59" s="4865">
        <f t="shared" ref="H59" si="50">+H24/G24-1</f>
        <v>7.9780755176614093E-2</v>
      </c>
      <c r="I59" s="4865">
        <f t="shared" ref="I59:M59" si="51">+I24/H24-1</f>
        <v>3.6886632825719134E-2</v>
      </c>
      <c r="J59" s="4865">
        <f t="shared" si="51"/>
        <v>8.7902523933855559E-2</v>
      </c>
      <c r="K59" s="4866">
        <f t="shared" si="51"/>
        <v>-1.0179049091242343E-3</v>
      </c>
      <c r="L59" s="4866">
        <f t="shared" si="51"/>
        <v>-1.3720168163345869E-3</v>
      </c>
      <c r="M59" s="4866">
        <f t="shared" si="51"/>
        <v>-4.2224834097615016E-3</v>
      </c>
      <c r="N59" s="4867">
        <f t="shared" si="8"/>
        <v>2.199206614407001E-2</v>
      </c>
      <c r="O59" s="4868">
        <f t="shared" si="8"/>
        <v>-2.2837335972051287E-3</v>
      </c>
      <c r="P59" s="4856">
        <f>P24/O24-1</f>
        <v>-8.1686387466073374E-4</v>
      </c>
      <c r="Q59" s="3609" t="e">
        <f>#REF!*B59/$B$43</f>
        <v>#REF!</v>
      </c>
    </row>
    <row r="60" spans="1:17" ht="66.5" customHeight="1">
      <c r="A60" s="2261"/>
      <c r="B60" s="4869"/>
      <c r="C60" s="4865"/>
      <c r="D60" s="4865"/>
      <c r="E60" s="4865"/>
      <c r="F60" s="4865"/>
      <c r="G60" s="4865"/>
      <c r="H60" s="4865"/>
      <c r="I60" s="4865"/>
      <c r="J60" s="4865"/>
      <c r="K60" s="4866"/>
      <c r="L60" s="4866"/>
      <c r="M60" s="4866"/>
      <c r="N60" s="4867"/>
      <c r="O60" s="4868"/>
      <c r="P60" s="4856" t="s">
        <v>390</v>
      </c>
      <c r="Q60" s="3609"/>
    </row>
    <row r="61" spans="1:17" ht="66.5" customHeight="1">
      <c r="A61" s="2261" t="s">
        <v>103</v>
      </c>
      <c r="B61" s="4869">
        <f t="shared" si="9"/>
        <v>1.7</v>
      </c>
      <c r="C61" s="4865">
        <v>-9.7286226318484381E-2</v>
      </c>
      <c r="D61" s="4865">
        <f t="shared" ref="D61" si="52">+D26/C26-1</f>
        <v>-9.6426545660805996E-3</v>
      </c>
      <c r="E61" s="4865">
        <f t="shared" ref="E61" si="53">+E26/D26-1</f>
        <v>0.10767468499427268</v>
      </c>
      <c r="F61" s="4865">
        <f t="shared" ref="F61" si="54">+F26/E26-1</f>
        <v>-0.15925542916235791</v>
      </c>
      <c r="G61" s="4865">
        <f t="shared" ref="G61" si="55">+G26/F26-1</f>
        <v>8.4870848708487268E-2</v>
      </c>
      <c r="H61" s="4865">
        <f t="shared" ref="H61" si="56">+H26/G26-1</f>
        <v>-4.6882086167800541E-2</v>
      </c>
      <c r="I61" s="4865">
        <f t="shared" ref="I61:M61" si="57">+I26/H26-1</f>
        <v>-0.22785939451614823</v>
      </c>
      <c r="J61" s="4865">
        <f t="shared" si="57"/>
        <v>-0.17742726303998646</v>
      </c>
      <c r="K61" s="4866">
        <f t="shared" si="57"/>
        <v>-7.7808005918903134E-2</v>
      </c>
      <c r="L61" s="4866">
        <f t="shared" si="57"/>
        <v>-5.0118993137805323E-2</v>
      </c>
      <c r="M61" s="4866">
        <f t="shared" si="57"/>
        <v>-5.8840431983052444E-2</v>
      </c>
      <c r="N61" s="4867">
        <f t="shared" ref="N61:O67" si="58">N26/M26-1</f>
        <v>-1.0897716699479032E-2</v>
      </c>
      <c r="O61" s="4868">
        <f t="shared" si="58"/>
        <v>3.9800094142005138E-2</v>
      </c>
      <c r="P61" s="4856">
        <f>P26/O26-1</f>
        <v>-1.5067015511437409E-2</v>
      </c>
      <c r="Q61" s="3609" t="e">
        <f>#REF!*B61/$B$43</f>
        <v>#REF!</v>
      </c>
    </row>
    <row r="62" spans="1:17" ht="66.5" customHeight="1">
      <c r="A62" s="2261"/>
      <c r="B62" s="4869"/>
      <c r="C62" s="4865"/>
      <c r="D62" s="4865"/>
      <c r="E62" s="4865"/>
      <c r="F62" s="4865"/>
      <c r="G62" s="4865"/>
      <c r="H62" s="4865"/>
      <c r="I62" s="4865"/>
      <c r="J62" s="4865"/>
      <c r="K62" s="4866"/>
      <c r="L62" s="4866"/>
      <c r="M62" s="4866"/>
      <c r="N62" s="4867"/>
      <c r="O62" s="4868"/>
      <c r="P62" s="4856" t="s">
        <v>390</v>
      </c>
      <c r="Q62" s="3609"/>
    </row>
    <row r="63" spans="1:17" ht="66.5" customHeight="1">
      <c r="A63" s="2261" t="s">
        <v>104</v>
      </c>
      <c r="B63" s="4869">
        <f t="shared" si="9"/>
        <v>4.3</v>
      </c>
      <c r="C63" s="4865">
        <v>0.24079754601226999</v>
      </c>
      <c r="D63" s="4865">
        <f t="shared" ref="D63" si="59">+D28/C28-1</f>
        <v>6.6749072929542574E-2</v>
      </c>
      <c r="E63" s="4865">
        <f t="shared" ref="E63" si="60">+E28/D28-1</f>
        <v>-1.8539976825028948E-2</v>
      </c>
      <c r="F63" s="4865">
        <f t="shared" ref="F63" si="61">+F28/E28-1</f>
        <v>1.0625737898465104E-2</v>
      </c>
      <c r="G63" s="4865">
        <f t="shared" ref="G63" si="62">+G28/F28-1</f>
        <v>5.7242990654205572E-2</v>
      </c>
      <c r="H63" s="4865">
        <f t="shared" ref="H63" si="63">+H28/G28-1</f>
        <v>8.1566899077181176E-2</v>
      </c>
      <c r="I63" s="4865">
        <f t="shared" ref="I63:M63" si="64">+I28/H28-1</f>
        <v>2.0012617673547117E-2</v>
      </c>
      <c r="J63" s="4865">
        <f t="shared" si="64"/>
        <v>1.5957875359178253E-3</v>
      </c>
      <c r="K63" s="4866">
        <f t="shared" si="64"/>
        <v>0</v>
      </c>
      <c r="L63" s="4866">
        <f t="shared" si="64"/>
        <v>6.3645570656856165E-5</v>
      </c>
      <c r="M63" s="4866">
        <f t="shared" si="64"/>
        <v>4.5148109474713038E-4</v>
      </c>
      <c r="N63" s="4867">
        <f t="shared" si="58"/>
        <v>-6.1683692891405517E-3</v>
      </c>
      <c r="O63" s="4868">
        <f t="shared" si="58"/>
        <v>-1.0911378805105509E-2</v>
      </c>
      <c r="P63" s="4856">
        <f>P28/O28-1</f>
        <v>4.7850333377612575E-3</v>
      </c>
      <c r="Q63" s="3609" t="e">
        <f>#REF!*B63/$B$43</f>
        <v>#REF!</v>
      </c>
    </row>
    <row r="64" spans="1:17" ht="54.5" customHeight="1">
      <c r="A64" s="2261"/>
      <c r="B64" s="4869"/>
      <c r="C64" s="4865"/>
      <c r="D64" s="4865"/>
      <c r="E64" s="4865"/>
      <c r="F64" s="4865"/>
      <c r="G64" s="4865"/>
      <c r="H64" s="4865"/>
      <c r="I64" s="4865"/>
      <c r="J64" s="4865"/>
      <c r="K64" s="4866"/>
      <c r="L64" s="4866"/>
      <c r="M64" s="4866"/>
      <c r="N64" s="4867"/>
      <c r="O64" s="4868"/>
      <c r="P64" s="4856" t="s">
        <v>390</v>
      </c>
      <c r="Q64" s="3609"/>
    </row>
    <row r="65" spans="1:34" ht="60.5" customHeight="1">
      <c r="A65" s="2261" t="s">
        <v>105</v>
      </c>
      <c r="B65" s="4869">
        <f t="shared" si="9"/>
        <v>3.8462930528477033</v>
      </c>
      <c r="C65" s="4865">
        <v>-2.564102564102555E-2</v>
      </c>
      <c r="D65" s="2256">
        <f t="shared" ref="D65" si="65">+D30/C30-1</f>
        <v>2.1929824561404132E-3</v>
      </c>
      <c r="E65" s="4865">
        <f t="shared" ref="E65" si="66">+E30/D30-1</f>
        <v>2.0787746170678245E-2</v>
      </c>
      <c r="F65" s="4865">
        <f t="shared" ref="F65" si="67">+F30/E30-1</f>
        <v>2.1436227224008508E-2</v>
      </c>
      <c r="G65" s="4865">
        <f t="shared" ref="G65" si="68">+G30/F30-1</f>
        <v>-7.5550891920251884E-2</v>
      </c>
      <c r="H65" s="4865">
        <f t="shared" ref="H65" si="69">+H30/G30-1</f>
        <v>6.785973312259963E-2</v>
      </c>
      <c r="I65" s="4865">
        <f t="shared" ref="I65:M65" si="70">+I30/H30-1</f>
        <v>6.4564630859244687E-2</v>
      </c>
      <c r="J65" s="4865">
        <f t="shared" si="70"/>
        <v>7.2753454559291164E-3</v>
      </c>
      <c r="K65" s="4866">
        <f t="shared" si="70"/>
        <v>-2.9859179567317873E-2</v>
      </c>
      <c r="L65" s="4866">
        <f t="shared" si="70"/>
        <v>-9.6789450658654186E-3</v>
      </c>
      <c r="M65" s="4866">
        <f t="shared" si="70"/>
        <v>2.5940633455975304E-2</v>
      </c>
      <c r="N65" s="4867">
        <f t="shared" si="58"/>
        <v>-1.1719317271103313E-2</v>
      </c>
      <c r="O65" s="4868">
        <f t="shared" si="58"/>
        <v>8.5455588603771115E-3</v>
      </c>
      <c r="P65" s="4856">
        <f>P30/O30-1</f>
        <v>9.8673860164878224E-2</v>
      </c>
      <c r="Q65" s="3610" t="e">
        <f>#REF!*B65/$B$43</f>
        <v>#REF!</v>
      </c>
    </row>
    <row r="66" spans="1:34" ht="66.5" customHeight="1">
      <c r="A66" s="2261"/>
      <c r="B66" s="2258"/>
      <c r="C66" s="2256"/>
      <c r="D66" s="2256"/>
      <c r="E66" s="2256"/>
      <c r="F66" s="2256"/>
      <c r="G66" s="2256"/>
      <c r="H66" s="2256"/>
      <c r="I66" s="2256"/>
      <c r="J66" s="2256"/>
      <c r="K66" s="2257"/>
      <c r="L66" s="2257"/>
      <c r="M66" s="2257"/>
      <c r="N66" s="2329"/>
      <c r="O66" s="3616"/>
      <c r="P66" s="3266" t="s">
        <v>390</v>
      </c>
      <c r="Q66" s="3609"/>
    </row>
    <row r="67" spans="1:34" ht="59" customHeight="1">
      <c r="A67" s="2261" t="s">
        <v>106</v>
      </c>
      <c r="B67" s="2258">
        <f t="shared" si="9"/>
        <v>6.1</v>
      </c>
      <c r="C67" s="2256">
        <v>0.12433011789924975</v>
      </c>
      <c r="D67" s="2256">
        <f t="shared" ref="D67" si="71">+D32/C32-1</f>
        <v>7.3403241182077972E-2</v>
      </c>
      <c r="E67" s="2256">
        <f t="shared" ref="E67" si="72">+E32/D32-1</f>
        <v>3.2859680284191839E-2</v>
      </c>
      <c r="F67" s="2256">
        <f t="shared" ref="F67" si="73">+F32/E32-1</f>
        <v>1.4617368873602876E-2</v>
      </c>
      <c r="G67" s="2256">
        <f t="shared" ref="G67" si="74">+G32/F32-1</f>
        <v>4.8305084745762672E-2</v>
      </c>
      <c r="H67" s="2256">
        <f t="shared" ref="H67" si="75">+H32/G32-1</f>
        <v>-0.18003233629749393</v>
      </c>
      <c r="I67" s="2256">
        <f t="shared" ref="I67:M67" si="76">+I32/H32-1</f>
        <v>-3.1844621906733761E-2</v>
      </c>
      <c r="J67" s="2256">
        <f t="shared" si="76"/>
        <v>1.7223518674004179E-2</v>
      </c>
      <c r="K67" s="2257">
        <f t="shared" si="76"/>
        <v>-3.3115394135906362E-3</v>
      </c>
      <c r="L67" s="2257">
        <f t="shared" si="76"/>
        <v>1.4057141294665954E-2</v>
      </c>
      <c r="M67" s="2257">
        <f t="shared" si="76"/>
        <v>-2.0559224075576976E-2</v>
      </c>
      <c r="N67" s="2329">
        <f t="shared" si="58"/>
        <v>-1.9342189796027753E-3</v>
      </c>
      <c r="O67" s="3616">
        <f t="shared" si="58"/>
        <v>3.2723272708413687E-2</v>
      </c>
      <c r="P67" s="3266">
        <f>P32/O32-1</f>
        <v>4.8539414956210836E-2</v>
      </c>
      <c r="Q67" s="3609" t="e">
        <f>#REF!*B67/$B$43</f>
        <v>#REF!</v>
      </c>
    </row>
    <row r="68" spans="1:34" ht="40.25" customHeight="1" thickBot="1">
      <c r="A68" s="2494"/>
      <c r="B68" s="2259"/>
      <c r="C68" s="4541"/>
      <c r="D68" s="4671"/>
      <c r="E68" s="4671"/>
      <c r="F68" s="4671"/>
      <c r="G68" s="4541"/>
      <c r="H68" s="4664"/>
      <c r="I68" s="2495"/>
      <c r="J68" s="2495"/>
      <c r="K68" s="2495"/>
      <c r="L68" s="2501"/>
      <c r="M68" s="2260"/>
      <c r="N68" s="2502"/>
      <c r="O68" s="2260"/>
      <c r="P68" s="3267"/>
      <c r="Q68" s="3609"/>
    </row>
    <row r="69" spans="1:34" ht="62.75" customHeight="1">
      <c r="A69" s="2503" t="s">
        <v>738</v>
      </c>
      <c r="B69" s="2503"/>
      <c r="C69" s="2503"/>
      <c r="D69" s="4676"/>
      <c r="E69" s="4676"/>
      <c r="F69" s="4676"/>
      <c r="G69" s="2503"/>
      <c r="H69" s="2503"/>
      <c r="I69" s="2503"/>
      <c r="J69" s="2503"/>
      <c r="K69" s="2503"/>
      <c r="L69" s="2503"/>
      <c r="M69" s="2503"/>
      <c r="N69" s="2503"/>
      <c r="O69" s="2504"/>
      <c r="P69" s="2504"/>
      <c r="Q69" s="3611"/>
      <c r="R69" s="2503"/>
      <c r="S69" s="2503"/>
      <c r="T69" s="2503"/>
      <c r="U69" s="2503"/>
      <c r="V69" s="2503"/>
      <c r="W69" s="2503"/>
      <c r="X69" s="2503"/>
      <c r="Y69" s="2503"/>
      <c r="Z69" s="2503"/>
      <c r="AA69" s="2503"/>
      <c r="AB69" s="2503"/>
      <c r="AC69" s="2503"/>
      <c r="AD69" s="2503"/>
      <c r="AE69" s="2503"/>
      <c r="AF69" s="2503"/>
      <c r="AG69" s="2503"/>
      <c r="AH69" s="2503"/>
    </row>
    <row r="70" spans="1:34" ht="62.75" customHeight="1">
      <c r="A70" s="2503" t="s">
        <v>269</v>
      </c>
      <c r="B70" s="2503"/>
      <c r="C70" s="2503"/>
      <c r="D70" s="2503"/>
      <c r="E70" s="2503"/>
      <c r="F70" s="2503"/>
      <c r="G70" s="2503"/>
      <c r="H70" s="2503"/>
      <c r="I70" s="2503"/>
      <c r="J70" s="2503"/>
      <c r="K70" s="2503"/>
      <c r="L70" s="2503"/>
      <c r="M70" s="2503"/>
      <c r="N70" s="2503"/>
      <c r="O70" s="2503"/>
      <c r="P70" s="2503"/>
      <c r="Q70" s="3611"/>
      <c r="R70" s="2503"/>
      <c r="S70" s="2503"/>
      <c r="T70" s="2503"/>
      <c r="U70" s="2503"/>
      <c r="V70" s="2503"/>
      <c r="W70" s="2503"/>
      <c r="X70" s="2503"/>
      <c r="Y70" s="2503"/>
      <c r="Z70" s="2503"/>
      <c r="AA70" s="2503"/>
      <c r="AB70" s="2503"/>
      <c r="AC70" s="2503"/>
      <c r="AD70" s="2503"/>
      <c r="AE70" s="2503"/>
      <c r="AF70" s="2503"/>
      <c r="AG70" s="2503"/>
      <c r="AH70" s="2503"/>
    </row>
    <row r="71" spans="1:34" ht="62.75" customHeight="1">
      <c r="A71" s="1065" t="s">
        <v>268</v>
      </c>
      <c r="Q71" s="3607"/>
    </row>
  </sheetData>
  <mergeCells count="23">
    <mergeCell ref="A38:P38"/>
    <mergeCell ref="P5:P6"/>
    <mergeCell ref="A1:P1"/>
    <mergeCell ref="A2:P2"/>
    <mergeCell ref="A3:P3"/>
    <mergeCell ref="F5:F6"/>
    <mergeCell ref="G5:G6"/>
    <mergeCell ref="A39:P39"/>
    <mergeCell ref="K5:K6"/>
    <mergeCell ref="L5:L6"/>
    <mergeCell ref="M5:M6"/>
    <mergeCell ref="N5:N6"/>
    <mergeCell ref="O5:O6"/>
    <mergeCell ref="A5:A6"/>
    <mergeCell ref="B5:B6"/>
    <mergeCell ref="H5:H6"/>
    <mergeCell ref="I5:I6"/>
    <mergeCell ref="J5:J6"/>
    <mergeCell ref="A36:P36"/>
    <mergeCell ref="A37:P37"/>
    <mergeCell ref="C5:C6"/>
    <mergeCell ref="D5:D6"/>
    <mergeCell ref="E5:E6"/>
  </mergeCells>
  <printOptions horizontalCentered="1" verticalCentered="1"/>
  <pageMargins left="0.25" right="0.25" top="0.75" bottom="0.75" header="0.3" footer="0.3"/>
  <pageSetup scale="11" firstPageNumber="103" orientation="landscape" useFirstPageNumber="1" r:id="rId1"/>
  <headerFooter scaleWithDoc="0" alignWithMargins="0">
    <oddFooter xml:space="preserve">&amp;C123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1">
    <tabColor rgb="FF00B0F0"/>
    <pageSetUpPr fitToPage="1"/>
  </sheetPr>
  <dimension ref="B1:W78"/>
  <sheetViews>
    <sheetView view="pageBreakPreview" topLeftCell="A17" zoomScale="70" zoomScaleNormal="100" zoomScaleSheetLayoutView="70" workbookViewId="0">
      <selection activeCell="B44" sqref="B44"/>
    </sheetView>
  </sheetViews>
  <sheetFormatPr defaultColWidth="9.46484375" defaultRowHeight="24"/>
  <cols>
    <col min="1" max="1" width="9.46484375" style="3960"/>
    <col min="2" max="2" width="64" style="3960" customWidth="1"/>
    <col min="3" max="3" width="9.46484375" style="3960" hidden="1" customWidth="1"/>
    <col min="4" max="5" width="10.46484375" style="3960" hidden="1" customWidth="1"/>
    <col min="6" max="7" width="15.46484375" style="3960" hidden="1" customWidth="1"/>
    <col min="8" max="8" width="17.46484375" style="3960" customWidth="1"/>
    <col min="9" max="10" width="17.6640625" style="3960" customWidth="1"/>
    <col min="11" max="12" width="16.46484375" style="3960" bestFit="1" customWidth="1"/>
    <col min="13" max="13" width="16.33203125" style="3960" bestFit="1" customWidth="1"/>
    <col min="14" max="14" width="16.46484375" style="3960" bestFit="1" customWidth="1"/>
    <col min="15" max="15" width="16.46484375" style="3960" customWidth="1"/>
    <col min="16" max="16" width="16.33203125" style="3960" bestFit="1" customWidth="1"/>
    <col min="17" max="17" width="16.46484375" style="3960" bestFit="1" customWidth="1"/>
    <col min="18" max="18" width="18.46484375" style="3961" bestFit="1" customWidth="1"/>
    <col min="19" max="19" width="18.6640625" style="3961" bestFit="1" customWidth="1"/>
    <col min="20" max="20" width="18.6640625" style="3961" customWidth="1"/>
    <col min="21" max="21" width="18.33203125" style="3960" customWidth="1"/>
    <col min="22" max="22" width="16.46484375" style="3960" bestFit="1" customWidth="1"/>
    <col min="23" max="23" width="13.46484375" style="3960" bestFit="1" customWidth="1"/>
    <col min="24" max="16384" width="9.46484375" style="3960"/>
  </cols>
  <sheetData>
    <row r="1" spans="2:23" ht="30" customHeight="1">
      <c r="B1" s="5858" t="s">
        <v>690</v>
      </c>
      <c r="C1" s="5858"/>
      <c r="D1" s="5858"/>
      <c r="E1" s="5858"/>
      <c r="F1" s="5858"/>
      <c r="G1" s="5858"/>
      <c r="H1" s="5858"/>
      <c r="I1" s="5858"/>
      <c r="J1" s="5858"/>
      <c r="K1" s="5858"/>
      <c r="L1" s="5858"/>
      <c r="M1" s="5858"/>
      <c r="N1" s="5858"/>
      <c r="O1" s="5858"/>
      <c r="P1" s="5858"/>
      <c r="Q1" s="5858"/>
      <c r="R1" s="5858"/>
      <c r="S1" s="5858"/>
      <c r="T1" s="5858"/>
      <c r="U1" s="5858"/>
    </row>
    <row r="2" spans="2:23" ht="30" customHeight="1">
      <c r="B2" s="5858" t="s">
        <v>1879</v>
      </c>
      <c r="C2" s="5858"/>
      <c r="D2" s="5858"/>
      <c r="E2" s="5858"/>
      <c r="F2" s="5858"/>
      <c r="G2" s="5858"/>
      <c r="H2" s="5858"/>
      <c r="I2" s="5858"/>
      <c r="J2" s="5858"/>
      <c r="K2" s="5858"/>
      <c r="L2" s="5858"/>
      <c r="M2" s="5858"/>
      <c r="N2" s="5858"/>
      <c r="O2" s="5858"/>
      <c r="P2" s="5858"/>
      <c r="Q2" s="5858"/>
      <c r="R2" s="5858"/>
      <c r="S2" s="5858"/>
      <c r="T2" s="5858"/>
      <c r="U2" s="5858"/>
    </row>
    <row r="3" spans="2:23" ht="22.25" customHeight="1" thickBot="1">
      <c r="B3" s="5857"/>
      <c r="C3" s="5857"/>
      <c r="D3" s="5857"/>
      <c r="E3" s="5857"/>
      <c r="F3" s="5857"/>
      <c r="G3" s="5857"/>
      <c r="H3" s="5857"/>
      <c r="I3" s="5857"/>
      <c r="J3" s="5857"/>
      <c r="K3" s="5857"/>
      <c r="L3" s="5857"/>
    </row>
    <row r="4" spans="2:23" ht="26.75" customHeight="1" thickBot="1">
      <c r="B4" s="3962" t="s">
        <v>560</v>
      </c>
      <c r="C4" s="3963">
        <v>2005</v>
      </c>
      <c r="D4" s="3963">
        <v>2006</v>
      </c>
      <c r="E4" s="3963">
        <v>2007</v>
      </c>
      <c r="F4" s="3964">
        <v>2008</v>
      </c>
      <c r="G4" s="3965">
        <v>2009</v>
      </c>
      <c r="H4" s="3965">
        <v>2010</v>
      </c>
      <c r="I4" s="3965">
        <v>2011</v>
      </c>
      <c r="J4" s="3965">
        <v>2012</v>
      </c>
      <c r="K4" s="3965">
        <v>2013</v>
      </c>
      <c r="L4" s="3966">
        <v>2014</v>
      </c>
      <c r="M4" s="3966">
        <v>2015</v>
      </c>
      <c r="N4" s="3965">
        <v>2016</v>
      </c>
      <c r="O4" s="3965">
        <v>2017</v>
      </c>
      <c r="P4" s="3965">
        <v>2018</v>
      </c>
      <c r="Q4" s="3967">
        <v>2019</v>
      </c>
      <c r="R4" s="3965" t="s">
        <v>1076</v>
      </c>
      <c r="S4" s="3965" t="s">
        <v>1533</v>
      </c>
      <c r="T4" s="4722" t="s">
        <v>1958</v>
      </c>
      <c r="U4" s="3968" t="s">
        <v>1959</v>
      </c>
    </row>
    <row r="5" spans="2:23" ht="18.5" customHeight="1">
      <c r="B5" s="3969"/>
      <c r="C5" s="3970"/>
      <c r="D5" s="3970"/>
      <c r="E5" s="3970"/>
      <c r="F5" s="3971"/>
      <c r="G5" s="3972"/>
      <c r="H5" s="3972"/>
      <c r="I5" s="3972"/>
      <c r="J5" s="3972"/>
      <c r="K5" s="3972"/>
      <c r="L5" s="3973"/>
      <c r="M5" s="3973"/>
      <c r="N5" s="3974"/>
      <c r="O5" s="3974"/>
      <c r="P5" s="3974"/>
      <c r="Q5" s="3974"/>
      <c r="R5" s="3975"/>
      <c r="S5" s="3975"/>
      <c r="T5" s="3976"/>
      <c r="U5" s="3977"/>
    </row>
    <row r="6" spans="2:23">
      <c r="B6" s="3978" t="s">
        <v>2318</v>
      </c>
      <c r="C6" s="3979">
        <v>116996.77189596544</v>
      </c>
      <c r="D6" s="3980">
        <v>118956.29321511759</v>
      </c>
      <c r="E6" s="3980">
        <v>121057.89796160228</v>
      </c>
      <c r="F6" s="3981">
        <v>126048.25193341199</v>
      </c>
      <c r="G6" s="3981">
        <v>129705.41825945214</v>
      </c>
      <c r="H6" s="3981">
        <v>125717</v>
      </c>
      <c r="I6" s="3981">
        <v>130480.36411149909</v>
      </c>
      <c r="J6" s="3981">
        <v>133204.92244615601</v>
      </c>
      <c r="K6" s="3981">
        <v>137535</v>
      </c>
      <c r="L6" s="3981">
        <v>136791.30333880335</v>
      </c>
      <c r="M6" s="3981">
        <v>140680.17964699399</v>
      </c>
      <c r="N6" s="3981">
        <v>143636</v>
      </c>
      <c r="O6" s="3981">
        <v>143334</v>
      </c>
      <c r="P6" s="3981">
        <v>142800</v>
      </c>
      <c r="Q6" s="3981">
        <v>142257</v>
      </c>
      <c r="R6" s="3982">
        <v>139209</v>
      </c>
      <c r="S6" s="3982">
        <v>143968</v>
      </c>
      <c r="T6" s="3982">
        <v>153418.88568184685</v>
      </c>
      <c r="U6" s="3983">
        <v>158163</v>
      </c>
      <c r="V6" s="4426"/>
    </row>
    <row r="7" spans="2:23">
      <c r="B7" s="3969" t="s">
        <v>561</v>
      </c>
      <c r="C7" s="3979">
        <v>79923.547927580192</v>
      </c>
      <c r="D7" s="3980">
        <v>79223.79984972575</v>
      </c>
      <c r="E7" s="3980">
        <v>79917.335446788347</v>
      </c>
      <c r="F7" s="3981">
        <v>82602.676060645783</v>
      </c>
      <c r="G7" s="3981">
        <v>85229.897263534483</v>
      </c>
      <c r="H7" s="3981">
        <v>85306</v>
      </c>
      <c r="I7" s="3981">
        <v>90113.5</v>
      </c>
      <c r="J7" s="3981">
        <v>94605.511825498426</v>
      </c>
      <c r="K7" s="3981">
        <v>97618</v>
      </c>
      <c r="L7" s="3981">
        <v>98285.973563534004</v>
      </c>
      <c r="M7" s="3981">
        <v>101607.74656431329</v>
      </c>
      <c r="N7" s="3981">
        <v>104625</v>
      </c>
      <c r="O7" s="3981">
        <v>102364</v>
      </c>
      <c r="P7" s="3981">
        <v>102005</v>
      </c>
      <c r="Q7" s="3981">
        <v>100975.78563184501</v>
      </c>
      <c r="R7" s="3984">
        <v>95790</v>
      </c>
      <c r="S7" s="3984">
        <v>101553</v>
      </c>
      <c r="T7" s="3984">
        <v>109361.68765409716</v>
      </c>
      <c r="U7" s="3983">
        <v>113246</v>
      </c>
      <c r="V7" s="4425"/>
    </row>
    <row r="8" spans="2:23">
      <c r="B8" s="3969" t="s">
        <v>562</v>
      </c>
      <c r="C8" s="3979">
        <v>64980.642863707384</v>
      </c>
      <c r="D8" s="3980">
        <v>66036.480787437074</v>
      </c>
      <c r="E8" s="3980">
        <v>68747.886406731457</v>
      </c>
      <c r="F8" s="3981">
        <v>69644.176912657844</v>
      </c>
      <c r="G8" s="3981">
        <v>69789.285230010253</v>
      </c>
      <c r="H8" s="3981">
        <v>67702</v>
      </c>
      <c r="I8" s="3981">
        <v>71016.132580000034</v>
      </c>
      <c r="J8" s="3981">
        <v>74338.52901807279</v>
      </c>
      <c r="K8" s="3981">
        <v>74844</v>
      </c>
      <c r="L8" s="3981">
        <v>74325.108055516932</v>
      </c>
      <c r="M8" s="3981">
        <v>77130.832732714203</v>
      </c>
      <c r="N8" s="3981">
        <v>82379</v>
      </c>
      <c r="O8" s="3981">
        <v>81718</v>
      </c>
      <c r="P8" s="3981">
        <v>81417</v>
      </c>
      <c r="Q8" s="3981">
        <v>83977.326133962502</v>
      </c>
      <c r="R8" s="3984">
        <v>75016</v>
      </c>
      <c r="S8" s="3984">
        <v>79272</v>
      </c>
      <c r="T8" s="3984">
        <v>91269.919640273263</v>
      </c>
      <c r="U8" s="3983">
        <v>97394</v>
      </c>
      <c r="V8" s="4426"/>
      <c r="W8" s="4426"/>
    </row>
    <row r="9" spans="2:23">
      <c r="B9" s="3969"/>
      <c r="C9" s="3970"/>
      <c r="D9" s="3985"/>
      <c r="E9" s="3985"/>
      <c r="F9" s="3972"/>
      <c r="G9" s="3972"/>
      <c r="H9" s="3972"/>
      <c r="I9" s="3972"/>
      <c r="J9" s="3972"/>
      <c r="K9" s="3972"/>
      <c r="L9" s="3973"/>
      <c r="M9" s="3973"/>
      <c r="N9" s="3972"/>
      <c r="O9" s="3972"/>
      <c r="P9" s="3972"/>
      <c r="Q9" s="3972"/>
      <c r="R9" s="3986"/>
      <c r="S9" s="3986"/>
      <c r="T9" s="3986"/>
      <c r="U9" s="3983"/>
    </row>
    <row r="10" spans="2:23">
      <c r="B10" s="3969" t="s">
        <v>563</v>
      </c>
      <c r="C10" s="3970"/>
      <c r="D10" s="3985"/>
      <c r="E10" s="3985"/>
      <c r="F10" s="3972"/>
      <c r="G10" s="3972"/>
      <c r="H10" s="3972"/>
      <c r="I10" s="3972"/>
      <c r="J10" s="3972"/>
      <c r="K10" s="3972"/>
      <c r="L10" s="3973"/>
      <c r="M10" s="3973"/>
      <c r="N10" s="3972"/>
      <c r="O10" s="3972"/>
      <c r="P10" s="3987"/>
      <c r="Q10" s="3987"/>
      <c r="R10" s="3988"/>
      <c r="S10" s="3988"/>
      <c r="T10" s="3988"/>
      <c r="U10" s="3983"/>
    </row>
    <row r="11" spans="2:23">
      <c r="B11" s="3969" t="s">
        <v>609</v>
      </c>
      <c r="C11" s="3979">
        <v>14942.905063872808</v>
      </c>
      <c r="D11" s="3980">
        <v>13192.191524532271</v>
      </c>
      <c r="E11" s="3980">
        <v>11169.449040056887</v>
      </c>
      <c r="F11" s="3981">
        <v>12958.499147987941</v>
      </c>
      <c r="G11" s="3981">
        <v>15447.740663271934</v>
      </c>
      <c r="H11" s="3981">
        <v>17604</v>
      </c>
      <c r="I11" s="3981">
        <v>19098</v>
      </c>
      <c r="J11" s="3981">
        <v>20266.982807425717</v>
      </c>
      <c r="K11" s="3981">
        <v>22775</v>
      </c>
      <c r="L11" s="3981">
        <v>23960.868849393093</v>
      </c>
      <c r="M11" s="3981">
        <v>24476.913831600588</v>
      </c>
      <c r="N11" s="3981">
        <v>22561.962641769747</v>
      </c>
      <c r="O11" s="3981">
        <v>20646</v>
      </c>
      <c r="P11" s="3981">
        <v>20589</v>
      </c>
      <c r="Q11" s="3981">
        <v>16998.459497881948</v>
      </c>
      <c r="R11" s="3989">
        <v>20774</v>
      </c>
      <c r="S11" s="3989">
        <v>22280</v>
      </c>
      <c r="T11" s="3989">
        <v>18091.757200071064</v>
      </c>
      <c r="U11" s="3990">
        <v>15852</v>
      </c>
    </row>
    <row r="12" spans="2:23">
      <c r="B12" s="3969" t="s">
        <v>564</v>
      </c>
      <c r="C12" s="3979">
        <v>4752.0908004778976</v>
      </c>
      <c r="D12" s="3980">
        <v>5050.3071154857607</v>
      </c>
      <c r="E12" s="3980">
        <v>5365.0055700402954</v>
      </c>
      <c r="F12" s="3981">
        <v>4183.4712719010786</v>
      </c>
      <c r="G12" s="3981">
        <v>5192.0186662435272</v>
      </c>
      <c r="H12" s="3981" t="s">
        <v>1868</v>
      </c>
      <c r="I12" s="3981">
        <v>5348.7679764999993</v>
      </c>
      <c r="J12" s="3981">
        <v>5017</v>
      </c>
      <c r="K12" s="3981">
        <v>4701</v>
      </c>
      <c r="L12" s="3981">
        <v>5174.9041426282374</v>
      </c>
      <c r="M12" s="3981">
        <v>5555.3339256192558</v>
      </c>
      <c r="N12" s="3981">
        <v>4061.5780968918457</v>
      </c>
      <c r="O12" s="3981">
        <v>3717.2212537538685</v>
      </c>
      <c r="P12" s="3981">
        <v>3183.6086905741959</v>
      </c>
      <c r="Q12" s="3981">
        <v>3302.5</v>
      </c>
      <c r="R12" s="3989">
        <v>5168</v>
      </c>
      <c r="S12" s="3989">
        <v>4061</v>
      </c>
      <c r="T12" s="3989">
        <v>2675</v>
      </c>
      <c r="U12" s="3990">
        <v>1937</v>
      </c>
    </row>
    <row r="13" spans="2:23" ht="30" customHeight="1">
      <c r="B13" s="3969"/>
      <c r="C13" s="3970"/>
      <c r="D13" s="3985"/>
      <c r="E13" s="3985"/>
      <c r="F13" s="3972"/>
      <c r="G13" s="3972"/>
      <c r="H13" s="3972"/>
      <c r="I13" s="3972"/>
      <c r="J13" s="3972"/>
      <c r="K13" s="3981"/>
      <c r="L13" s="3981"/>
      <c r="M13" s="3981"/>
      <c r="N13" s="3981"/>
      <c r="O13" s="3981"/>
      <c r="P13" s="3981"/>
      <c r="Q13" s="3981"/>
      <c r="R13" s="3989"/>
      <c r="S13" s="3989"/>
      <c r="T13" s="3989"/>
      <c r="U13" s="3991"/>
    </row>
    <row r="14" spans="2:23">
      <c r="B14" s="3969" t="s">
        <v>566</v>
      </c>
      <c r="C14" s="3992">
        <v>0.18696498655706295</v>
      </c>
      <c r="D14" s="3993">
        <v>0.1665180356099511</v>
      </c>
      <c r="E14" s="3993">
        <v>0.13976253059004803</v>
      </c>
      <c r="F14" s="3994">
        <v>0.15687747378152717</v>
      </c>
      <c r="G14" s="3995">
        <v>0.18124790899966545</v>
      </c>
      <c r="H14" s="3995">
        <v>0.20636297564063488</v>
      </c>
      <c r="I14" s="3995">
        <v>0.21193753877248933</v>
      </c>
      <c r="J14" s="3995">
        <v>0.21422623710137029</v>
      </c>
      <c r="K14" s="3995">
        <v>0.23300000000000001</v>
      </c>
      <c r="L14" s="3996">
        <v>0.24376825171483799</v>
      </c>
      <c r="M14" s="3996">
        <v>0.24089613891897274</v>
      </c>
      <c r="N14" s="3997">
        <v>0.21299999999999999</v>
      </c>
      <c r="O14" s="3997">
        <v>0.20200000000000001</v>
      </c>
      <c r="P14" s="3997">
        <v>0.20200000000000001</v>
      </c>
      <c r="Q14" s="3997">
        <v>0.16800000000000001</v>
      </c>
      <c r="R14" s="3997">
        <v>0.217</v>
      </c>
      <c r="S14" s="3997">
        <v>0.219</v>
      </c>
      <c r="T14" s="3997">
        <v>0.16549975058950672</v>
      </c>
      <c r="U14" s="3998">
        <v>0.14000000000000001</v>
      </c>
    </row>
    <row r="15" spans="2:23">
      <c r="B15" s="3969" t="s">
        <v>567</v>
      </c>
      <c r="C15" s="3992" t="s">
        <v>565</v>
      </c>
      <c r="D15" s="3993" t="s">
        <v>565</v>
      </c>
      <c r="E15" s="3993" t="s">
        <v>565</v>
      </c>
      <c r="F15" s="3995">
        <v>0.126</v>
      </c>
      <c r="G15" s="3995">
        <v>0.16800000000000001</v>
      </c>
      <c r="H15" s="3995">
        <v>0.19500000000000001</v>
      </c>
      <c r="I15" s="3995">
        <v>0.192</v>
      </c>
      <c r="J15" s="3995">
        <v>0.19600000000000001</v>
      </c>
      <c r="K15" s="3995">
        <v>0.21299999999999999</v>
      </c>
      <c r="L15" s="3996">
        <v>0.20899999999999999</v>
      </c>
      <c r="M15" s="3996">
        <v>0.21299999999999999</v>
      </c>
      <c r="N15" s="3997">
        <v>0.19446577286619068</v>
      </c>
      <c r="O15" s="3997">
        <v>0.18099999999999999</v>
      </c>
      <c r="P15" s="3997">
        <v>0.185</v>
      </c>
      <c r="Q15" s="3997">
        <v>0.14899999999999999</v>
      </c>
      <c r="R15" s="3997">
        <v>0.186</v>
      </c>
      <c r="S15" s="3997">
        <v>0.20100000000000001</v>
      </c>
      <c r="T15" s="3997">
        <v>0.14822544137238503</v>
      </c>
      <c r="U15" s="3998">
        <v>0.112</v>
      </c>
    </row>
    <row r="16" spans="2:23">
      <c r="B16" s="3969" t="s">
        <v>656</v>
      </c>
      <c r="C16" s="3992" t="s">
        <v>565</v>
      </c>
      <c r="D16" s="3993" t="s">
        <v>565</v>
      </c>
      <c r="E16" s="3993" t="s">
        <v>565</v>
      </c>
      <c r="F16" s="3995">
        <v>0.17799999999999999</v>
      </c>
      <c r="G16" s="3995">
        <v>0.19600000000000001</v>
      </c>
      <c r="H16" s="3995">
        <v>0.22</v>
      </c>
      <c r="I16" s="3995">
        <v>0.23300000000000001</v>
      </c>
      <c r="J16" s="3995">
        <v>0.23699999999999999</v>
      </c>
      <c r="K16" s="3995">
        <v>0.255</v>
      </c>
      <c r="L16" s="3996">
        <v>0.28399999999999997</v>
      </c>
      <c r="M16" s="3996">
        <v>0.27400000000000002</v>
      </c>
      <c r="N16" s="3997">
        <v>0.24036337422008083</v>
      </c>
      <c r="O16" s="3997">
        <v>0.224</v>
      </c>
      <c r="P16" s="3997">
        <v>0.221</v>
      </c>
      <c r="Q16" s="3997">
        <v>0.189</v>
      </c>
      <c r="R16" s="3997">
        <v>0.249</v>
      </c>
      <c r="S16" s="3997">
        <v>0.23899999999999999</v>
      </c>
      <c r="T16" s="3997">
        <v>0.186</v>
      </c>
      <c r="U16" s="3998">
        <v>0.17299999999999999</v>
      </c>
    </row>
    <row r="17" spans="2:21" ht="30" customHeight="1">
      <c r="B17" s="3969"/>
      <c r="C17" s="3992"/>
      <c r="D17" s="3993"/>
      <c r="E17" s="3993"/>
      <c r="F17" s="3995"/>
      <c r="G17" s="3995"/>
      <c r="H17" s="3995"/>
      <c r="I17" s="3995"/>
      <c r="J17" s="3995"/>
      <c r="K17" s="3995"/>
      <c r="L17" s="3999"/>
      <c r="M17" s="3999"/>
      <c r="N17" s="3972"/>
      <c r="O17" s="3972"/>
      <c r="P17" s="3972"/>
      <c r="Q17" s="3972"/>
      <c r="R17" s="3986"/>
      <c r="S17" s="3986"/>
      <c r="T17" s="3986"/>
      <c r="U17" s="3991"/>
    </row>
    <row r="18" spans="2:21">
      <c r="B18" s="3969" t="s">
        <v>568</v>
      </c>
      <c r="C18" s="3970" t="s">
        <v>565</v>
      </c>
      <c r="D18" s="3985" t="s">
        <v>565</v>
      </c>
      <c r="E18" s="3985" t="s">
        <v>565</v>
      </c>
      <c r="F18" s="3972" t="s">
        <v>565</v>
      </c>
      <c r="G18" s="3972" t="s">
        <v>565</v>
      </c>
      <c r="H18" s="3995">
        <v>0.33600000000000002</v>
      </c>
      <c r="I18" s="3972" t="s">
        <v>1868</v>
      </c>
      <c r="J18" s="3995">
        <v>0.33200000000000002</v>
      </c>
      <c r="K18" s="3995">
        <v>0.36801718090682733</v>
      </c>
      <c r="L18" s="4000">
        <v>0.41840324042254495</v>
      </c>
      <c r="M18" s="4000">
        <v>0.41</v>
      </c>
      <c r="N18" s="3997">
        <v>0.38400000000000001</v>
      </c>
      <c r="O18" s="3997">
        <v>0.38500000000000001</v>
      </c>
      <c r="P18" s="3997">
        <v>0.36299999999999999</v>
      </c>
      <c r="Q18" s="3997">
        <v>0.31619999999999998</v>
      </c>
      <c r="R18" s="3997">
        <v>0.38200000000000001</v>
      </c>
      <c r="S18" s="3997">
        <v>0.37</v>
      </c>
      <c r="T18" s="3997">
        <v>0.26800000000000002</v>
      </c>
      <c r="U18" s="3998">
        <v>0.25</v>
      </c>
    </row>
    <row r="19" spans="2:21" ht="30" customHeight="1">
      <c r="B19" s="3969"/>
      <c r="C19" s="3970"/>
      <c r="D19" s="3985"/>
      <c r="E19" s="3985"/>
      <c r="F19" s="3972"/>
      <c r="G19" s="3972"/>
      <c r="H19" s="3972"/>
      <c r="I19" s="3972"/>
      <c r="J19" s="3972"/>
      <c r="K19" s="3972"/>
      <c r="L19" s="4001"/>
      <c r="M19" s="4001"/>
      <c r="N19" s="4002"/>
      <c r="O19" s="4002"/>
      <c r="P19" s="4002"/>
      <c r="Q19" s="4002"/>
      <c r="R19" s="4002"/>
      <c r="S19" s="4002"/>
      <c r="T19" s="4002"/>
      <c r="U19" s="3998"/>
    </row>
    <row r="20" spans="2:21">
      <c r="B20" s="3969" t="s">
        <v>569</v>
      </c>
      <c r="C20" s="3992">
        <v>0.24642294261256528</v>
      </c>
      <c r="D20" s="3993">
        <v>0.23026538331437005</v>
      </c>
      <c r="E20" s="3993">
        <v>0.20689446811081907</v>
      </c>
      <c r="F20" s="3995">
        <v>0.20752318493051741</v>
      </c>
      <c r="G20" s="3995">
        <v>0.24216571874651502</v>
      </c>
      <c r="H20" s="3995" t="s">
        <v>1868</v>
      </c>
      <c r="I20" s="3995">
        <v>0.27129254872529207</v>
      </c>
      <c r="J20" s="3995">
        <v>0.2672569739283529</v>
      </c>
      <c r="K20" s="3995">
        <v>0.22</v>
      </c>
      <c r="L20" s="4000">
        <v>0.24376825171483799</v>
      </c>
      <c r="M20" s="4000">
        <v>0.2955704537567983</v>
      </c>
      <c r="N20" s="3997">
        <v>0.25443625802113007</v>
      </c>
      <c r="O20" s="3997">
        <v>0.238006083956569</v>
      </c>
      <c r="P20" s="3997">
        <v>0.23375000000000001</v>
      </c>
      <c r="Q20" s="3997">
        <v>0.20135427948674306</v>
      </c>
      <c r="R20" s="3997">
        <v>0.27800000000000002</v>
      </c>
      <c r="S20" s="3997">
        <v>0.25900000000000001</v>
      </c>
      <c r="T20" s="3997">
        <v>0.19029360617074978</v>
      </c>
      <c r="U20" s="3998">
        <v>0.157</v>
      </c>
    </row>
    <row r="21" spans="2:21" ht="30" customHeight="1">
      <c r="B21" s="3969"/>
      <c r="C21" s="3992"/>
      <c r="D21" s="3993"/>
      <c r="E21" s="3993"/>
      <c r="F21" s="3995"/>
      <c r="G21" s="3972"/>
      <c r="H21" s="3972"/>
      <c r="I21" s="3972"/>
      <c r="J21" s="3972"/>
      <c r="K21" s="3972"/>
      <c r="L21" s="4003"/>
      <c r="M21" s="4003"/>
      <c r="N21" s="4002"/>
      <c r="O21" s="4002"/>
      <c r="P21" s="4002"/>
      <c r="Q21" s="4002"/>
      <c r="R21" s="4002"/>
      <c r="S21" s="4002"/>
      <c r="T21" s="4002"/>
      <c r="U21" s="3998"/>
    </row>
    <row r="22" spans="2:21">
      <c r="B22" s="3969" t="s">
        <v>570</v>
      </c>
      <c r="C22" s="3992">
        <v>5.9457956055502331E-2</v>
      </c>
      <c r="D22" s="3993">
        <v>6.374734770441895E-2</v>
      </c>
      <c r="E22" s="3993">
        <v>6.7131937520771026E-2</v>
      </c>
      <c r="F22" s="3995">
        <v>5.0645711148990254E-2</v>
      </c>
      <c r="G22" s="3995">
        <v>6.0917809746849558E-2</v>
      </c>
      <c r="H22" s="3995" t="s">
        <v>1868</v>
      </c>
      <c r="I22" s="3995">
        <v>5.9355009952802754E-2</v>
      </c>
      <c r="J22" s="3995">
        <v>5.303073682698263E-2</v>
      </c>
      <c r="K22" s="3995">
        <v>4.8069738773892687E-2</v>
      </c>
      <c r="L22" s="4004">
        <v>5.256453687404454E-2</v>
      </c>
      <c r="M22" s="4004">
        <v>5.4674314837825588E-2</v>
      </c>
      <c r="N22" s="3997">
        <v>3.8815751172159657E-2</v>
      </c>
      <c r="O22" s="3997">
        <v>3.63136911618549E-2</v>
      </c>
      <c r="P22" s="3997">
        <f>P12/P7</f>
        <v>3.1210319989943589E-2</v>
      </c>
      <c r="Q22" s="3997">
        <v>3.2804340178855917E-2</v>
      </c>
      <c r="R22" s="3997">
        <v>6.0999999999999999E-2</v>
      </c>
      <c r="S22" s="3997">
        <v>0.04</v>
      </c>
      <c r="T22" s="3997">
        <v>2.4E-2</v>
      </c>
      <c r="U22" s="3998">
        <v>1.7000000000000001E-2</v>
      </c>
    </row>
    <row r="23" spans="2:21" ht="30" customHeight="1">
      <c r="B23" s="3969"/>
      <c r="C23" s="3970"/>
      <c r="D23" s="3985"/>
      <c r="E23" s="3985"/>
      <c r="F23" s="3972"/>
      <c r="G23" s="3972"/>
      <c r="H23" s="3972"/>
      <c r="I23" s="3972"/>
      <c r="J23" s="3972"/>
      <c r="K23" s="3972"/>
      <c r="L23" s="4004"/>
      <c r="M23" s="4004"/>
      <c r="N23" s="4002"/>
      <c r="O23" s="4002"/>
      <c r="P23" s="4002"/>
      <c r="Q23" s="4002"/>
      <c r="R23" s="4002"/>
      <c r="S23" s="4002"/>
      <c r="T23" s="4002"/>
      <c r="U23" s="3998"/>
    </row>
    <row r="24" spans="2:21">
      <c r="B24" s="3969" t="s">
        <v>571</v>
      </c>
      <c r="C24" s="3992">
        <v>0.2744386239009895</v>
      </c>
      <c r="D24" s="3993">
        <v>0.26624088962356302</v>
      </c>
      <c r="E24" s="3993">
        <v>0.25725882910642328</v>
      </c>
      <c r="F24" s="3995">
        <v>0.23074234281469827</v>
      </c>
      <c r="G24" s="3995">
        <v>0.21259899311916675</v>
      </c>
      <c r="H24" s="3995">
        <v>0.24081644977203417</v>
      </c>
      <c r="I24" s="3995">
        <v>0.22386181465780541</v>
      </c>
      <c r="J24" s="3995">
        <v>0.21234117348457554</v>
      </c>
      <c r="K24" s="3995">
        <v>0.20385063027334283</v>
      </c>
      <c r="L24" s="4004">
        <v>0.20733805238718367</v>
      </c>
      <c r="M24" s="4004">
        <v>0.18608800637874923</v>
      </c>
      <c r="N24" s="3997">
        <v>0.17299999999999999</v>
      </c>
      <c r="O24" s="3997">
        <v>0.17299999999999999</v>
      </c>
      <c r="P24" s="3997">
        <v>0.17100000000000001</v>
      </c>
      <c r="Q24" s="3997">
        <v>0.16400000000000001</v>
      </c>
      <c r="R24" s="3997">
        <v>0.17699999999999999</v>
      </c>
      <c r="S24" s="3997">
        <v>0.155</v>
      </c>
      <c r="T24" s="3997">
        <v>0.152</v>
      </c>
      <c r="U24" s="3998">
        <v>0.13900000000000001</v>
      </c>
    </row>
    <row r="25" spans="2:21" ht="30" customHeight="1">
      <c r="B25" s="3969"/>
      <c r="C25" s="3970"/>
      <c r="D25" s="3985"/>
      <c r="E25" s="3985"/>
      <c r="F25" s="3972"/>
      <c r="G25" s="3972"/>
      <c r="H25" s="3972"/>
      <c r="I25" s="3972"/>
      <c r="J25" s="3972"/>
      <c r="K25" s="3972"/>
      <c r="L25" s="4004"/>
      <c r="M25" s="4004"/>
      <c r="N25" s="3972"/>
      <c r="O25" s="3972"/>
      <c r="P25" s="3972"/>
      <c r="Q25" s="3972"/>
      <c r="R25" s="3986"/>
      <c r="S25" s="3986"/>
      <c r="T25" s="3986"/>
      <c r="U25" s="3998"/>
    </row>
    <row r="26" spans="2:21" s="4876" customFormat="1" ht="48">
      <c r="B26" s="4874" t="s">
        <v>1063</v>
      </c>
      <c r="C26" s="4875">
        <v>0.49564990962840427</v>
      </c>
      <c r="D26" s="4870">
        <v>0.48867683522428434</v>
      </c>
      <c r="E26" s="4870">
        <v>0.49032649917041959</v>
      </c>
      <c r="F26" s="4870">
        <v>0.50411441720918715</v>
      </c>
      <c r="G26" s="4870">
        <v>0.51740403617846897</v>
      </c>
      <c r="H26" s="4870">
        <v>0.51517255955795771</v>
      </c>
      <c r="I26" s="4870">
        <v>0.53603144574119099</v>
      </c>
      <c r="J26" s="4870">
        <v>0.55941526077224624</v>
      </c>
      <c r="K26" s="4870">
        <v>0.56501503150142929</v>
      </c>
      <c r="L26" s="4871">
        <v>0.56953448787127403</v>
      </c>
      <c r="M26" s="4871">
        <v>0.58785653942893645</v>
      </c>
      <c r="N26" s="4872">
        <v>0.60140940015305533</v>
      </c>
      <c r="O26" s="4872">
        <v>0.58689052651875251</v>
      </c>
      <c r="P26" s="4872">
        <v>0.58899999999999997</v>
      </c>
      <c r="Q26" s="4872">
        <v>0.59079919846388207</v>
      </c>
      <c r="R26" s="4872">
        <v>0.56599999999999995</v>
      </c>
      <c r="S26" s="4872">
        <v>0.59599999999999997</v>
      </c>
      <c r="T26" s="4872">
        <v>0.60404990030901262</v>
      </c>
      <c r="U26" s="4873">
        <v>0.61599999999999999</v>
      </c>
    </row>
    <row r="27" spans="2:21" ht="30" customHeight="1">
      <c r="B27" s="3969"/>
      <c r="C27" s="3970"/>
      <c r="D27" s="3985"/>
      <c r="E27" s="3985"/>
      <c r="F27" s="3972"/>
      <c r="G27" s="3972"/>
      <c r="H27" s="3972"/>
      <c r="I27" s="3972"/>
      <c r="J27" s="3972"/>
      <c r="K27" s="3972"/>
      <c r="L27" s="4005"/>
      <c r="M27" s="4005"/>
      <c r="N27" s="3972"/>
      <c r="O27" s="3972"/>
      <c r="P27" s="3972"/>
      <c r="Q27" s="3972"/>
      <c r="R27" s="3986"/>
      <c r="S27" s="3986"/>
      <c r="T27" s="3986"/>
      <c r="U27" s="3998"/>
    </row>
    <row r="28" spans="2:21" ht="74.75" customHeight="1" thickBot="1">
      <c r="B28" s="4006" t="s">
        <v>1062</v>
      </c>
      <c r="C28" s="4007">
        <v>0.7255613760990105</v>
      </c>
      <c r="D28" s="4007">
        <v>0.73375911037643704</v>
      </c>
      <c r="E28" s="4007">
        <v>0.74274117089357672</v>
      </c>
      <c r="F28" s="4008">
        <v>0.7692576571853017</v>
      </c>
      <c r="G28" s="4008">
        <v>0.78740100688083325</v>
      </c>
      <c r="H28" s="4008">
        <v>0.67858762140362883</v>
      </c>
      <c r="I28" s="4008">
        <v>0.69063918753702092</v>
      </c>
      <c r="J28" s="4008">
        <v>0.71</v>
      </c>
      <c r="K28" s="4009">
        <v>0.71</v>
      </c>
      <c r="L28" s="4010">
        <v>0.71862449329812939</v>
      </c>
      <c r="M28" s="4011">
        <v>0.7222605687544299</v>
      </c>
      <c r="N28" s="4012">
        <v>0.73446355108071792</v>
      </c>
      <c r="O28" s="4012">
        <v>0.71399999999999997</v>
      </c>
      <c r="P28" s="4012">
        <v>0.71399999999999997</v>
      </c>
      <c r="Q28" s="4012">
        <v>0.709812</v>
      </c>
      <c r="R28" s="4010">
        <v>0.68799999999999994</v>
      </c>
      <c r="S28" s="4010">
        <v>0.70499999999999996</v>
      </c>
      <c r="T28" s="4013">
        <v>0.7127717942108428</v>
      </c>
      <c r="U28" s="4014">
        <v>0.71599999999999997</v>
      </c>
    </row>
    <row r="29" spans="2:21" ht="24.75">
      <c r="B29" s="4015" t="s">
        <v>661</v>
      </c>
      <c r="C29" s="4015"/>
      <c r="D29" s="4015"/>
      <c r="E29" s="4015"/>
      <c r="F29" s="4015"/>
      <c r="G29" s="4015"/>
      <c r="H29" s="4015"/>
      <c r="I29" s="4015"/>
      <c r="L29" s="4016"/>
      <c r="M29" s="4016"/>
      <c r="N29" s="4016"/>
      <c r="O29" s="4016"/>
    </row>
    <row r="30" spans="2:21" s="4020" customFormat="1" ht="24.75">
      <c r="B30" s="4017" t="s">
        <v>2359</v>
      </c>
      <c r="C30" s="4017"/>
      <c r="D30" s="4017"/>
      <c r="E30" s="4017"/>
      <c r="F30" s="4017"/>
      <c r="G30" s="4017"/>
      <c r="H30" s="4017"/>
      <c r="I30" s="4017"/>
      <c r="J30" s="4017"/>
      <c r="K30" s="4017"/>
      <c r="L30" s="4017"/>
      <c r="M30" s="4017"/>
      <c r="N30" s="4017"/>
      <c r="O30" s="4017"/>
      <c r="P30" s="4017"/>
      <c r="Q30" s="4017"/>
      <c r="R30" s="4018"/>
      <c r="S30" s="4018"/>
      <c r="T30" s="4018"/>
      <c r="U30" s="4019"/>
    </row>
    <row r="31" spans="2:21" ht="24.75">
      <c r="B31" s="4020" t="s">
        <v>1876</v>
      </c>
      <c r="C31" s="4015"/>
      <c r="D31" s="4015"/>
      <c r="E31" s="4015"/>
      <c r="F31" s="4015"/>
      <c r="G31" s="4015"/>
      <c r="H31" s="4015"/>
      <c r="I31" s="4015" t="s">
        <v>269</v>
      </c>
      <c r="L31" s="4016"/>
      <c r="M31" s="4016"/>
      <c r="N31" s="4016"/>
      <c r="O31" s="4016"/>
    </row>
    <row r="33" spans="2:21" s="4020" customFormat="1" ht="55.25" customHeight="1">
      <c r="B33" s="4018"/>
      <c r="C33" s="4018"/>
      <c r="D33" s="4018"/>
      <c r="E33" s="4018"/>
      <c r="F33" s="4018"/>
      <c r="G33" s="4018"/>
      <c r="H33" s="4018"/>
      <c r="I33" s="4018"/>
      <c r="J33" s="4018"/>
      <c r="K33" s="4018"/>
      <c r="L33" s="4018"/>
      <c r="M33" s="4018"/>
      <c r="N33" s="4018"/>
      <c r="O33" s="4018"/>
      <c r="P33" s="4018"/>
      <c r="Q33" s="4018"/>
      <c r="R33" s="4018"/>
      <c r="S33" s="4018"/>
      <c r="T33" s="4018"/>
      <c r="U33" s="4019"/>
    </row>
    <row r="34" spans="2:21" ht="24.75">
      <c r="B34" s="4021"/>
      <c r="L34" s="4022"/>
      <c r="M34" s="4022"/>
      <c r="N34" s="4022"/>
      <c r="O34" s="4022"/>
    </row>
    <row r="35" spans="2:21">
      <c r="L35" s="4016"/>
      <c r="M35" s="4016"/>
      <c r="N35" s="4016"/>
      <c r="O35" s="4016"/>
    </row>
    <row r="36" spans="2:21">
      <c r="L36" s="4016"/>
      <c r="M36" s="4016"/>
      <c r="N36" s="4016"/>
      <c r="O36" s="4016"/>
    </row>
    <row r="37" spans="2:21">
      <c r="L37" s="4016"/>
      <c r="M37" s="4016"/>
      <c r="N37" s="4016"/>
      <c r="O37" s="4016"/>
    </row>
    <row r="38" spans="2:21">
      <c r="L38" s="4022"/>
      <c r="M38" s="4022"/>
      <c r="N38" s="4022"/>
      <c r="O38" s="4022"/>
    </row>
    <row r="39" spans="2:21">
      <c r="L39" s="4016"/>
      <c r="M39" s="4016"/>
      <c r="N39" s="4016"/>
      <c r="O39" s="4016"/>
    </row>
    <row r="40" spans="2:21">
      <c r="L40" s="4016"/>
      <c r="M40" s="4016"/>
      <c r="N40" s="4016"/>
      <c r="O40" s="4016"/>
    </row>
    <row r="78" spans="2:2">
      <c r="B78" s="4020" t="s">
        <v>747</v>
      </c>
    </row>
  </sheetData>
  <mergeCells count="3">
    <mergeCell ref="B3:L3"/>
    <mergeCell ref="B1:U1"/>
    <mergeCell ref="B2:U2"/>
  </mergeCells>
  <printOptions horizontalCentered="1" verticalCentered="1"/>
  <pageMargins left="0.25" right="0.25" top="0.75" bottom="0.75" header="0.3" footer="0.3"/>
  <pageSetup scale="43" firstPageNumber="103" orientation="landscape" useFirstPageNumber="1" r:id="rId1"/>
  <headerFooter scaleWithDoc="0" alignWithMargins="0">
    <oddFooter xml:space="preserve">&amp;C124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00B0F0"/>
    <pageSetUpPr fitToPage="1"/>
  </sheetPr>
  <dimension ref="B1:AJ78"/>
  <sheetViews>
    <sheetView view="pageBreakPreview" zoomScale="40" zoomScaleNormal="100" zoomScaleSheetLayoutView="40" workbookViewId="0">
      <pane xSplit="14" ySplit="8" topLeftCell="O9" activePane="bottomRight" state="frozen"/>
      <selection activeCell="B44" sqref="B44"/>
      <selection pane="topRight" activeCell="B44" sqref="B44"/>
      <selection pane="bottomLeft" activeCell="B44" sqref="B44"/>
      <selection pane="bottomRight" activeCell="X7" sqref="X7"/>
    </sheetView>
  </sheetViews>
  <sheetFormatPr defaultColWidth="9.46484375" defaultRowHeight="33"/>
  <cols>
    <col min="1" max="1" width="2.46484375" style="1155" customWidth="1"/>
    <col min="2" max="2" width="101.46484375" style="1155" customWidth="1"/>
    <col min="3" max="3" width="10" style="1155" hidden="1" customWidth="1"/>
    <col min="4" max="4" width="13.46484375" style="1155" hidden="1" customWidth="1"/>
    <col min="5" max="7" width="12.46484375" style="1155" hidden="1" customWidth="1"/>
    <col min="8" max="12" width="13.46484375" style="1155" hidden="1" customWidth="1"/>
    <col min="13" max="14" width="27.46484375" style="1155" hidden="1" customWidth="1"/>
    <col min="15" max="20" width="27.46484375" style="1155" customWidth="1"/>
    <col min="21" max="23" width="28.46484375" style="1155" customWidth="1"/>
    <col min="24" max="24" width="34.6640625" style="1155" customWidth="1"/>
    <col min="25" max="25" width="32.46484375" style="1155" customWidth="1"/>
    <col min="26" max="26" width="36" style="1155" customWidth="1"/>
    <col min="27" max="27" width="9.46484375" style="1155"/>
    <col min="28" max="28" width="17.46484375" style="1155" customWidth="1"/>
    <col min="29" max="16384" width="9.46484375" style="1155"/>
  </cols>
  <sheetData>
    <row r="1" spans="2:28" ht="39" customHeight="1">
      <c r="B1" s="5859" t="s">
        <v>691</v>
      </c>
      <c r="C1" s="5859"/>
      <c r="D1" s="5859"/>
      <c r="E1" s="5859"/>
      <c r="F1" s="5859"/>
      <c r="G1" s="5859"/>
      <c r="H1" s="5859"/>
      <c r="I1" s="5859"/>
      <c r="J1" s="5859"/>
      <c r="K1" s="5859"/>
      <c r="L1" s="5859"/>
      <c r="M1" s="5859"/>
      <c r="N1" s="5859"/>
      <c r="O1" s="5859"/>
      <c r="P1" s="5859"/>
      <c r="Q1" s="5859"/>
      <c r="R1" s="5859"/>
      <c r="S1" s="5859"/>
      <c r="T1" s="5859"/>
      <c r="U1" s="5859"/>
      <c r="V1" s="5859"/>
      <c r="W1" s="5859"/>
      <c r="X1" s="5859"/>
      <c r="Y1" s="5859"/>
      <c r="Z1" s="5859"/>
    </row>
    <row r="2" spans="2:28" ht="39" customHeight="1">
      <c r="B2" s="5859" t="s">
        <v>170</v>
      </c>
      <c r="C2" s="5859"/>
      <c r="D2" s="5859"/>
      <c r="E2" s="5859"/>
      <c r="F2" s="5859"/>
      <c r="G2" s="5859"/>
      <c r="H2" s="5859"/>
      <c r="I2" s="5859"/>
      <c r="J2" s="5859"/>
      <c r="K2" s="5859"/>
      <c r="L2" s="5859"/>
      <c r="M2" s="5859"/>
      <c r="N2" s="5859"/>
      <c r="O2" s="5859"/>
      <c r="P2" s="5859"/>
      <c r="Q2" s="5859"/>
      <c r="R2" s="5859"/>
      <c r="S2" s="5859"/>
      <c r="T2" s="5859"/>
      <c r="U2" s="5859"/>
      <c r="V2" s="5859"/>
      <c r="W2" s="5859"/>
      <c r="X2" s="5859"/>
      <c r="Y2" s="5859"/>
      <c r="Z2" s="5859"/>
    </row>
    <row r="3" spans="2:28" ht="39" customHeight="1">
      <c r="B3" s="5859" t="s">
        <v>447</v>
      </c>
      <c r="C3" s="5859"/>
      <c r="D3" s="5859"/>
      <c r="E3" s="5859"/>
      <c r="F3" s="5859"/>
      <c r="G3" s="5859"/>
      <c r="H3" s="5859"/>
      <c r="I3" s="5859"/>
      <c r="J3" s="5859"/>
      <c r="K3" s="5859"/>
      <c r="L3" s="5859"/>
      <c r="M3" s="5859"/>
      <c r="N3" s="5859"/>
      <c r="O3" s="5859"/>
      <c r="P3" s="5859"/>
      <c r="Q3" s="5859"/>
      <c r="R3" s="5859"/>
      <c r="S3" s="5859"/>
      <c r="T3" s="5859"/>
      <c r="U3" s="5859"/>
      <c r="V3" s="5859"/>
      <c r="W3" s="5859"/>
      <c r="X3" s="5859"/>
      <c r="Y3" s="5859"/>
      <c r="Z3" s="5859"/>
    </row>
    <row r="4" spans="2:28" ht="39" customHeight="1">
      <c r="B4" s="5859" t="s">
        <v>171</v>
      </c>
      <c r="C4" s="5859"/>
      <c r="D4" s="5859"/>
      <c r="E4" s="5859"/>
      <c r="F4" s="5859"/>
      <c r="G4" s="5859"/>
      <c r="H4" s="5859"/>
      <c r="I4" s="5859"/>
      <c r="J4" s="5859"/>
      <c r="K4" s="5859"/>
      <c r="L4" s="5859"/>
      <c r="M4" s="5859"/>
      <c r="N4" s="5859"/>
      <c r="O4" s="5859"/>
      <c r="P4" s="5859"/>
      <c r="Q4" s="5859"/>
      <c r="R4" s="5859"/>
      <c r="S4" s="5859"/>
      <c r="T4" s="5859"/>
      <c r="U4" s="5859"/>
      <c r="V4" s="5859"/>
      <c r="W4" s="5859"/>
      <c r="X4" s="5859"/>
      <c r="Y4" s="5859"/>
      <c r="Z4" s="5859"/>
    </row>
    <row r="5" spans="2:28" ht="39" customHeight="1">
      <c r="B5" s="5859" t="s">
        <v>513</v>
      </c>
      <c r="C5" s="5859"/>
      <c r="D5" s="5859"/>
      <c r="E5" s="5859"/>
      <c r="F5" s="5859"/>
      <c r="G5" s="5859"/>
      <c r="H5" s="5859"/>
      <c r="I5" s="5859"/>
      <c r="J5" s="5859"/>
      <c r="K5" s="5859"/>
      <c r="L5" s="5859"/>
      <c r="M5" s="5859"/>
      <c r="N5" s="5859"/>
      <c r="O5" s="5859"/>
      <c r="P5" s="5859"/>
      <c r="Q5" s="5859"/>
      <c r="R5" s="5859"/>
      <c r="S5" s="5859"/>
      <c r="T5" s="5859"/>
      <c r="U5" s="5859"/>
      <c r="V5" s="5859"/>
      <c r="W5" s="5859"/>
      <c r="X5" s="5859"/>
      <c r="Y5" s="5859"/>
      <c r="Z5" s="5859"/>
    </row>
    <row r="6" spans="2:28" s="4095" customFormat="1" ht="25.25" customHeight="1" thickBot="1">
      <c r="B6" s="4094"/>
      <c r="C6" s="4094"/>
      <c r="D6" s="4094"/>
      <c r="E6" s="4094"/>
      <c r="F6" s="4094"/>
      <c r="G6" s="4094"/>
      <c r="H6" s="4094"/>
      <c r="I6" s="4094"/>
      <c r="J6" s="4094"/>
      <c r="K6" s="4094"/>
      <c r="L6" s="4094"/>
      <c r="M6" s="4094"/>
      <c r="N6" s="4094"/>
      <c r="O6" s="4094"/>
      <c r="P6" s="4094"/>
      <c r="Q6" s="4094"/>
      <c r="Y6" s="4095">
        <f>Y9/'GDP  nominal prices'!T76</f>
        <v>0.21760228883317584</v>
      </c>
    </row>
    <row r="7" spans="2:28" s="1214" customFormat="1" ht="137.75" customHeight="1" thickBot="1">
      <c r="B7" s="3247"/>
      <c r="C7" s="3248" t="s">
        <v>159</v>
      </c>
      <c r="D7" s="2343" t="s">
        <v>160</v>
      </c>
      <c r="E7" s="2344" t="s">
        <v>183</v>
      </c>
      <c r="F7" s="2344" t="s">
        <v>162</v>
      </c>
      <c r="G7" s="2343" t="s">
        <v>14</v>
      </c>
      <c r="H7" s="2343" t="s">
        <v>164</v>
      </c>
      <c r="I7" s="2343" t="s">
        <v>165</v>
      </c>
      <c r="J7" s="2343" t="s">
        <v>295</v>
      </c>
      <c r="K7" s="2343" t="s">
        <v>428</v>
      </c>
      <c r="L7" s="2345" t="s">
        <v>284</v>
      </c>
      <c r="M7" s="2346" t="s">
        <v>478</v>
      </c>
      <c r="N7" s="2641" t="s">
        <v>485</v>
      </c>
      <c r="O7" s="2641" t="s">
        <v>540</v>
      </c>
      <c r="P7" s="2641" t="s">
        <v>588</v>
      </c>
      <c r="Q7" s="2641" t="s">
        <v>610</v>
      </c>
      <c r="R7" s="1768" t="s">
        <v>710</v>
      </c>
      <c r="S7" s="1768" t="s">
        <v>1065</v>
      </c>
      <c r="T7" s="1768" t="s">
        <v>786</v>
      </c>
      <c r="U7" s="2727" t="s">
        <v>852</v>
      </c>
      <c r="V7" s="2642" t="s">
        <v>1032</v>
      </c>
      <c r="W7" s="2642" t="s">
        <v>1532</v>
      </c>
      <c r="X7" s="3617" t="s">
        <v>2310</v>
      </c>
      <c r="Y7" s="2972" t="s">
        <v>1965</v>
      </c>
      <c r="Z7" s="2643" t="s">
        <v>1963</v>
      </c>
    </row>
    <row r="8" spans="2:28" ht="35" customHeight="1">
      <c r="B8" s="1263"/>
      <c r="C8" s="1264"/>
      <c r="D8" s="1265"/>
      <c r="E8" s="1265"/>
      <c r="F8" s="1265"/>
      <c r="G8" s="1265"/>
      <c r="H8" s="1265"/>
      <c r="I8" s="1265"/>
      <c r="J8" s="1266"/>
      <c r="K8" s="1267"/>
      <c r="L8" s="1266"/>
      <c r="M8" s="2347"/>
      <c r="N8" s="1268"/>
      <c r="O8" s="1268"/>
      <c r="P8" s="1268"/>
      <c r="Q8" s="1268"/>
      <c r="R8" s="1268"/>
      <c r="S8" s="1268"/>
      <c r="T8" s="1268"/>
      <c r="U8" s="2728"/>
      <c r="V8" s="1269"/>
      <c r="W8" s="1269"/>
      <c r="X8" s="1269"/>
      <c r="Y8" s="2973"/>
      <c r="Z8" s="1270"/>
    </row>
    <row r="9" spans="2:28" s="5968" customFormat="1" ht="35" customHeight="1">
      <c r="B9" s="5962" t="s">
        <v>2</v>
      </c>
      <c r="C9" s="5963">
        <v>458.18299999999999</v>
      </c>
      <c r="D9" s="5964">
        <f>'[178]Central Gov''t Revenue2'!K8</f>
        <v>497.27</v>
      </c>
      <c r="E9" s="5964">
        <f>E11+E12+E14</f>
        <v>524.96201529999996</v>
      </c>
      <c r="F9" s="5964">
        <f t="shared" ref="F9:Y9" si="0">F11+F12+F14</f>
        <v>582.40033600000004</v>
      </c>
      <c r="G9" s="5964">
        <f t="shared" si="0"/>
        <v>608.0509803299999</v>
      </c>
      <c r="H9" s="5965">
        <f t="shared" si="0"/>
        <v>672.45831340000007</v>
      </c>
      <c r="I9" s="5966">
        <f t="shared" si="0"/>
        <v>753.11436900000001</v>
      </c>
      <c r="J9" s="5966">
        <f t="shared" si="0"/>
        <v>829.02331329999993</v>
      </c>
      <c r="K9" s="5966">
        <f t="shared" si="0"/>
        <v>826.78393110999991</v>
      </c>
      <c r="L9" s="5966">
        <f t="shared" si="0"/>
        <v>874.51435889000004</v>
      </c>
      <c r="M9" s="5966">
        <f t="shared" si="0"/>
        <v>915.08260379000012</v>
      </c>
      <c r="N9" s="5966">
        <f t="shared" si="0"/>
        <v>878.05109266450006</v>
      </c>
      <c r="O9" s="5966">
        <f t="shared" si="0"/>
        <v>921.64116591999993</v>
      </c>
      <c r="P9" s="5966">
        <f t="shared" si="0"/>
        <v>974.23822717133328</v>
      </c>
      <c r="Q9" s="5966">
        <f t="shared" si="0"/>
        <v>1027.4197070283844</v>
      </c>
      <c r="R9" s="5966">
        <f t="shared" si="0"/>
        <v>1081.181082866</v>
      </c>
      <c r="S9" s="5966">
        <f t="shared" si="0"/>
        <v>1131.0280018430001</v>
      </c>
      <c r="T9" s="5966">
        <f t="shared" si="0"/>
        <v>1202.2382364600001</v>
      </c>
      <c r="U9" s="5966">
        <f t="shared" si="0"/>
        <v>1185.0275833000001</v>
      </c>
      <c r="V9" s="5966">
        <f t="shared" si="0"/>
        <v>920.71330599999999</v>
      </c>
      <c r="W9" s="5966">
        <f t="shared" si="0"/>
        <v>1123.72531248</v>
      </c>
      <c r="X9" s="5966">
        <f t="shared" si="0"/>
        <v>1319.7239490000002</v>
      </c>
      <c r="Y9" s="5966">
        <f t="shared" si="0"/>
        <v>1427.7756579499999</v>
      </c>
      <c r="Z9" s="5967">
        <f>+Y9/X9-1</f>
        <v>8.1874477637443821E-2</v>
      </c>
      <c r="AB9" s="5969"/>
    </row>
    <row r="10" spans="2:28" ht="35" customHeight="1">
      <c r="B10" s="1277" t="s">
        <v>50</v>
      </c>
      <c r="C10" s="1278"/>
      <c r="D10" s="1279"/>
      <c r="E10" s="1279"/>
      <c r="F10" s="1279"/>
      <c r="G10" s="1279"/>
      <c r="H10" s="1280"/>
      <c r="I10" s="1280"/>
      <c r="J10" s="1280"/>
      <c r="K10" s="1280"/>
      <c r="L10" s="1280"/>
      <c r="M10" s="1280"/>
      <c r="N10" s="1280"/>
      <c r="O10" s="1281"/>
      <c r="P10" s="1281"/>
      <c r="Q10" s="1281"/>
      <c r="R10" s="1281"/>
      <c r="S10" s="1281"/>
      <c r="T10" s="1281"/>
      <c r="U10" s="2729"/>
      <c r="V10" s="1282"/>
      <c r="W10" s="1282"/>
      <c r="X10" s="1282"/>
      <c r="Y10" s="2974"/>
      <c r="Z10" s="1276"/>
      <c r="AB10" s="1190"/>
    </row>
    <row r="11" spans="2:28" ht="35" customHeight="1">
      <c r="B11" s="1283" t="s">
        <v>3</v>
      </c>
      <c r="C11" s="1278">
        <v>26.295999999999999</v>
      </c>
      <c r="D11" s="1279">
        <v>36.29</v>
      </c>
      <c r="E11" s="1279">
        <f>+'[178]Central Gov''t Revenue2'!L9</f>
        <v>18.47</v>
      </c>
      <c r="F11" s="1284">
        <f>+'Central Gov''t Revenue'!N9</f>
        <v>21.459595</v>
      </c>
      <c r="G11" s="1284">
        <f>+'Central Gov''t Revenue'!O9</f>
        <v>10.722</v>
      </c>
      <c r="H11" s="1281">
        <f>+'Central Gov''t Revenue'!P9</f>
        <v>15.826000000000001</v>
      </c>
      <c r="I11" s="1281">
        <f>+'Central Gov''t Revenue'!Q9</f>
        <v>11.872828</v>
      </c>
      <c r="J11" s="1281">
        <f>+'Central Gov''t Revenue'!R9</f>
        <v>17.442</v>
      </c>
      <c r="K11" s="1281">
        <f>+'Central Gov''t Revenue'!S9</f>
        <v>67.125529999999998</v>
      </c>
      <c r="L11" s="1281">
        <f>+'Central Gov''t Revenue'!T9</f>
        <v>85.732844999999998</v>
      </c>
      <c r="M11" s="1281">
        <f>+'Central Gov''t Revenue'!U9</f>
        <v>78.416658389999995</v>
      </c>
      <c r="N11" s="1281">
        <f>+'Central Gov''t Revenue'!V9</f>
        <v>63.180983310000016</v>
      </c>
      <c r="O11" s="1281">
        <f>+'Central Gov''t Revenue'!W9</f>
        <v>55.552454619999992</v>
      </c>
      <c r="P11" s="1281">
        <f>+'Central Gov''t Revenue'!X9</f>
        <v>59.286999999999999</v>
      </c>
      <c r="Q11" s="1281">
        <f>+'Central Gov''t Revenue'!Y9</f>
        <v>45.128999999999998</v>
      </c>
      <c r="R11" s="1281">
        <f>+'Central Gov''t Revenue'!Z9</f>
        <v>48.143000000000001</v>
      </c>
      <c r="S11" s="1281">
        <f>+'Central Gov''t Revenue'!AA9</f>
        <v>63.945</v>
      </c>
      <c r="T11" s="1281">
        <f>+'Central Gov''t Revenue'!AB9</f>
        <v>46.486699999999999</v>
      </c>
      <c r="U11" s="2729">
        <f>+'Central Gov''t Revenue'!AC9</f>
        <v>40.020000000000003</v>
      </c>
      <c r="V11" s="1282">
        <f>+'Central Gov''t Revenue'!AD9</f>
        <v>47.53</v>
      </c>
      <c r="W11" s="1282">
        <f>+'Central Gov''t Revenue'!AE9</f>
        <v>79.047385000000006</v>
      </c>
      <c r="X11" s="1282">
        <f>+'Central Gov''t Revenue'!AF9</f>
        <v>76.198999999999998</v>
      </c>
      <c r="Y11" s="1282">
        <f>+'Central Gov''t Revenue'!AG9</f>
        <v>73</v>
      </c>
      <c r="Z11" s="3618">
        <f t="shared" ref="Z11:Z38" si="1">+Y11/X11-1</f>
        <v>-4.1982178243808899E-2</v>
      </c>
      <c r="AB11" s="1190"/>
    </row>
    <row r="12" spans="2:28" ht="35" customHeight="1">
      <c r="B12" s="1283" t="s">
        <v>4</v>
      </c>
      <c r="C12" s="1278">
        <v>2.6819999999999999</v>
      </c>
      <c r="D12" s="1279">
        <v>19.850000000000001</v>
      </c>
      <c r="E12" s="1279">
        <f>+'[178]Central Gov''t Revenue2'!L10</f>
        <v>8.6388949999999998</v>
      </c>
      <c r="F12" s="1284">
        <f>+'Central Gov''t Revenue'!N10</f>
        <v>0.87248300000000001</v>
      </c>
      <c r="G12" s="1284">
        <f>+'Central Gov''t Revenue'!O10</f>
        <v>0.62656099999999992</v>
      </c>
      <c r="H12" s="1281">
        <f>+'Central Gov''t Revenue'!P10</f>
        <v>0.65729979999999999</v>
      </c>
      <c r="I12" s="1281">
        <f>+'Central Gov''t Revenue'!Q10</f>
        <v>0</v>
      </c>
      <c r="J12" s="1281">
        <f>+'Central Gov''t Revenue'!R10</f>
        <v>6.7245723000000002</v>
      </c>
      <c r="K12" s="1281">
        <f>+'Central Gov''t Revenue'!S10</f>
        <v>0.04</v>
      </c>
      <c r="L12" s="1281">
        <f>+'Central Gov''t Revenue'!T10</f>
        <v>1</v>
      </c>
      <c r="M12" s="1281">
        <f>+'Central Gov''t Revenue'!U10</f>
        <v>0.70277000000000001</v>
      </c>
      <c r="N12" s="1281">
        <f>+'Central Gov''t Revenue'!V10</f>
        <v>5.585</v>
      </c>
      <c r="O12" s="1281">
        <f>+'Central Gov''t Revenue'!W10</f>
        <v>0.11671000000000001</v>
      </c>
      <c r="P12" s="1281">
        <f>+'Central Gov''t Revenue'!X10</f>
        <v>0.18</v>
      </c>
      <c r="Q12" s="1281">
        <f>+'Central Gov''t Revenue'!Y10</f>
        <v>0.06</v>
      </c>
      <c r="R12" s="1281">
        <f>+'Central Gov''t Revenue'!Z10</f>
        <v>0.25496350000000001</v>
      </c>
      <c r="S12" s="1281">
        <f>+'Central Gov''t Revenue'!AA10</f>
        <v>0.13</v>
      </c>
      <c r="T12" s="1281">
        <f>+'Central Gov''t Revenue'!AB10</f>
        <v>0.2</v>
      </c>
      <c r="U12" s="2729">
        <f>+'Central Gov''t Revenue'!AC10</f>
        <v>0.87</v>
      </c>
      <c r="V12" s="1282">
        <f>+'Central Gov''t Revenue'!AD10</f>
        <v>0.41830600000000001</v>
      </c>
      <c r="W12" s="1282">
        <f>+'Central Gov''t Revenue'!AE10</f>
        <v>3.57</v>
      </c>
      <c r="X12" s="1282">
        <f>+'Central Gov''t Revenue'!AF10</f>
        <v>1.498</v>
      </c>
      <c r="Y12" s="1282">
        <f>+'Central Gov''t Revenue'!AG10</f>
        <v>1.3</v>
      </c>
      <c r="Z12" s="3618">
        <f t="shared" si="1"/>
        <v>-0.13217623497997322</v>
      </c>
      <c r="AB12" s="1190"/>
    </row>
    <row r="13" spans="2:28" ht="35" customHeight="1">
      <c r="B13" s="1277"/>
      <c r="C13" s="1278"/>
      <c r="D13" s="1279"/>
      <c r="E13" s="1279"/>
      <c r="F13" s="1279"/>
      <c r="G13" s="1279"/>
      <c r="H13" s="1280"/>
      <c r="I13" s="1280"/>
      <c r="J13" s="1280"/>
      <c r="K13" s="1280"/>
      <c r="L13" s="1280"/>
      <c r="M13" s="1280"/>
      <c r="N13" s="1281"/>
      <c r="O13" s="1281"/>
      <c r="P13" s="1281"/>
      <c r="Q13" s="1281"/>
      <c r="R13" s="1281"/>
      <c r="S13" s="1281"/>
      <c r="T13" s="1281"/>
      <c r="U13" s="2729"/>
      <c r="V13" s="1282"/>
      <c r="W13" s="1282"/>
      <c r="X13" s="1282"/>
      <c r="Y13" s="2974"/>
      <c r="Z13" s="1276"/>
      <c r="AB13" s="1190"/>
    </row>
    <row r="14" spans="2:28" ht="35" customHeight="1">
      <c r="B14" s="1271" t="s">
        <v>173</v>
      </c>
      <c r="C14" s="1272">
        <v>429.20499999999998</v>
      </c>
      <c r="D14" s="1266">
        <f>'[178]Central Gov''t Revenue2'!K12</f>
        <v>441.13</v>
      </c>
      <c r="E14" s="1266">
        <f>E16+E23</f>
        <v>497.8531203</v>
      </c>
      <c r="F14" s="1266">
        <f t="shared" ref="F14:U14" si="2">F16+F23</f>
        <v>560.06825800000001</v>
      </c>
      <c r="G14" s="1266">
        <f t="shared" si="2"/>
        <v>596.70241932999988</v>
      </c>
      <c r="H14" s="1273">
        <f t="shared" si="2"/>
        <v>655.97501360000001</v>
      </c>
      <c r="I14" s="1274">
        <f t="shared" si="2"/>
        <v>741.24154099999998</v>
      </c>
      <c r="J14" s="1274">
        <f t="shared" si="2"/>
        <v>804.85674099999994</v>
      </c>
      <c r="K14" s="1274">
        <f t="shared" si="2"/>
        <v>759.61840110999992</v>
      </c>
      <c r="L14" s="1274">
        <f t="shared" si="2"/>
        <v>787.78151389000004</v>
      </c>
      <c r="M14" s="1274">
        <f t="shared" si="2"/>
        <v>835.96317540000007</v>
      </c>
      <c r="N14" s="1274">
        <f t="shared" si="2"/>
        <v>809.28510935450004</v>
      </c>
      <c r="O14" s="1274">
        <f t="shared" si="2"/>
        <v>865.97200129999999</v>
      </c>
      <c r="P14" s="1274">
        <f t="shared" si="2"/>
        <v>914.77122717133329</v>
      </c>
      <c r="Q14" s="1274">
        <f t="shared" si="2"/>
        <v>982.23070702838436</v>
      </c>
      <c r="R14" s="1274">
        <f t="shared" si="2"/>
        <v>1032.7831193659999</v>
      </c>
      <c r="S14" s="1274">
        <f t="shared" si="2"/>
        <v>1066.953001843</v>
      </c>
      <c r="T14" s="1274">
        <f t="shared" si="2"/>
        <v>1155.5515364600001</v>
      </c>
      <c r="U14" s="1275">
        <f t="shared" si="2"/>
        <v>1144.1375833</v>
      </c>
      <c r="V14" s="1275">
        <f>V16+V23</f>
        <v>872.76499999999999</v>
      </c>
      <c r="W14" s="1275">
        <f>W16+W23</f>
        <v>1041.1079274799999</v>
      </c>
      <c r="X14" s="1275">
        <f>X16+X23</f>
        <v>1242.0269490000003</v>
      </c>
      <c r="Y14" s="1275">
        <f>Y16+Y23</f>
        <v>1353.4756579499999</v>
      </c>
      <c r="Z14" s="1276">
        <f t="shared" si="1"/>
        <v>8.9731313028055482E-2</v>
      </c>
      <c r="AB14" s="1190"/>
    </row>
    <row r="15" spans="2:28" ht="35" customHeight="1">
      <c r="B15" s="1271"/>
      <c r="C15" s="1272"/>
      <c r="D15" s="1266"/>
      <c r="E15" s="1266"/>
      <c r="F15" s="1266"/>
      <c r="G15" s="1266"/>
      <c r="H15" s="1273"/>
      <c r="I15" s="1273"/>
      <c r="J15" s="1273"/>
      <c r="K15" s="1273"/>
      <c r="L15" s="1273"/>
      <c r="M15" s="1285"/>
      <c r="N15" s="1285"/>
      <c r="O15" s="1285"/>
      <c r="P15" s="1285"/>
      <c r="Q15" s="1286"/>
      <c r="R15" s="1286"/>
      <c r="S15" s="1286"/>
      <c r="T15" s="1286"/>
      <c r="U15" s="2730"/>
      <c r="V15" s="1287"/>
      <c r="W15" s="1287"/>
      <c r="X15" s="1287"/>
      <c r="Y15" s="2975"/>
      <c r="Z15" s="1276"/>
      <c r="AB15" s="1190"/>
    </row>
    <row r="16" spans="2:28" ht="35" customHeight="1">
      <c r="B16" s="1271" t="s">
        <v>174</v>
      </c>
      <c r="C16" s="1272">
        <v>385.26499999999999</v>
      </c>
      <c r="D16" s="1266">
        <f>'[178]Central Gov''t Revenue2'!K14</f>
        <v>404.97</v>
      </c>
      <c r="E16" s="1266">
        <f>+'[178]Central Gov''t Revenue2'!L14</f>
        <v>453.0431203</v>
      </c>
      <c r="F16" s="1266">
        <f>+F18+F19+F20+F21</f>
        <v>512.91658500000005</v>
      </c>
      <c r="G16" s="1266">
        <f t="shared" ref="G16:U16" si="3">+G18+G19+G20+G21</f>
        <v>554.53979502999994</v>
      </c>
      <c r="H16" s="1273">
        <f t="shared" si="3"/>
        <v>620.31102559999999</v>
      </c>
      <c r="I16" s="1273">
        <f t="shared" si="3"/>
        <v>687.75749299999995</v>
      </c>
      <c r="J16" s="1273">
        <f t="shared" si="3"/>
        <v>737.72768599999995</v>
      </c>
      <c r="K16" s="1273">
        <f t="shared" si="3"/>
        <v>700.75659810999991</v>
      </c>
      <c r="L16" s="1273">
        <f t="shared" si="3"/>
        <v>736.70811689000004</v>
      </c>
      <c r="M16" s="1273">
        <f t="shared" si="3"/>
        <v>764.59010079000006</v>
      </c>
      <c r="N16" s="1273">
        <f t="shared" si="3"/>
        <v>756.74921423450007</v>
      </c>
      <c r="O16" s="1273">
        <f t="shared" si="3"/>
        <v>819.11675747000004</v>
      </c>
      <c r="P16" s="1273">
        <f t="shared" si="3"/>
        <v>872.11786296466664</v>
      </c>
      <c r="Q16" s="1273">
        <f t="shared" si="3"/>
        <v>933.4407070283844</v>
      </c>
      <c r="R16" s="1273">
        <f t="shared" si="3"/>
        <v>977.15311936599983</v>
      </c>
      <c r="S16" s="1273">
        <f t="shared" si="3"/>
        <v>992.00300184299999</v>
      </c>
      <c r="T16" s="1274">
        <f t="shared" si="3"/>
        <v>1036.84153646</v>
      </c>
      <c r="U16" s="1275">
        <f t="shared" si="3"/>
        <v>1060.0875833</v>
      </c>
      <c r="V16" s="1275">
        <f>+V18+V19+V20+V21</f>
        <v>804.81499999999994</v>
      </c>
      <c r="W16" s="1275">
        <f>+W18+W19+W20+W21</f>
        <v>942.60792748000006</v>
      </c>
      <c r="X16" s="1275">
        <f>+X18+X19+X20+X21</f>
        <v>1118.3257000000003</v>
      </c>
      <c r="Y16" s="1275">
        <f>+Y18+Y19+Y20+Y21</f>
        <v>1231.40665795</v>
      </c>
      <c r="Z16" s="1276">
        <f t="shared" si="1"/>
        <v>0.10111630086834245</v>
      </c>
      <c r="AB16" s="1190"/>
    </row>
    <row r="17" spans="2:28" ht="35" customHeight="1">
      <c r="B17" s="1277" t="s">
        <v>50</v>
      </c>
      <c r="C17" s="1278"/>
      <c r="D17" s="1279"/>
      <c r="E17" s="1279"/>
      <c r="F17" s="1279"/>
      <c r="G17" s="1279"/>
      <c r="H17" s="1280"/>
      <c r="I17" s="1280"/>
      <c r="J17" s="1280"/>
      <c r="K17" s="1280"/>
      <c r="L17" s="1280"/>
      <c r="M17" s="1280"/>
      <c r="N17" s="1280"/>
      <c r="O17" s="1281"/>
      <c r="P17" s="1281"/>
      <c r="Q17" s="1281"/>
      <c r="R17" s="1281"/>
      <c r="S17" s="1281"/>
      <c r="T17" s="1281"/>
      <c r="U17" s="2729"/>
      <c r="V17" s="1282"/>
      <c r="W17" s="1282"/>
      <c r="X17" s="1282"/>
      <c r="Y17" s="2974"/>
      <c r="Z17" s="1276"/>
      <c r="AB17" s="1190"/>
    </row>
    <row r="18" spans="2:28" ht="35" customHeight="1">
      <c r="B18" s="1283" t="s">
        <v>5</v>
      </c>
      <c r="C18" s="1278">
        <v>117.77204</v>
      </c>
      <c r="D18" s="1279">
        <v>104.95</v>
      </c>
      <c r="E18" s="1279">
        <f>+'[178]Central Gov''t Revenue2'!L15</f>
        <v>109.9054383</v>
      </c>
      <c r="F18" s="1284">
        <f>+'Central Gov''t Revenue'!N15</f>
        <v>131.48335300000002</v>
      </c>
      <c r="G18" s="1284">
        <f>+'Central Gov''t Revenue'!O15</f>
        <v>143.97747773</v>
      </c>
      <c r="H18" s="1281">
        <f>+'Central Gov''t Revenue'!P15</f>
        <v>160.60602899999998</v>
      </c>
      <c r="I18" s="1281">
        <f>+'Central Gov''t Revenue'!Q15</f>
        <v>195.77749299999999</v>
      </c>
      <c r="J18" s="1281">
        <f>+'Central Gov''t Revenue'!R15</f>
        <v>231.90315199999998</v>
      </c>
      <c r="K18" s="1281">
        <f>+'Central Gov''t Revenue'!S15</f>
        <v>217.59346903999997</v>
      </c>
      <c r="L18" s="1281">
        <f>+'Central Gov''t Revenue'!T15</f>
        <v>224.05982039999998</v>
      </c>
      <c r="M18" s="1281">
        <f>+'Central Gov''t Revenue'!U15</f>
        <v>240.94279715999997</v>
      </c>
      <c r="N18" s="1281">
        <f>+'Central Gov''t Revenue'!V15</f>
        <v>224.35881935</v>
      </c>
      <c r="O18" s="1281">
        <f>+'Central Gov''t Revenue'!W15</f>
        <v>219.89603117000004</v>
      </c>
      <c r="P18" s="1281">
        <f>+'Central Gov''t Revenue'!X15</f>
        <v>224.10197701999999</v>
      </c>
      <c r="Q18" s="1281">
        <f>+'Central Gov''t Revenue'!Y15</f>
        <v>241.45332633999999</v>
      </c>
      <c r="R18" s="1281">
        <f>+'Central Gov''t Revenue'!Z15</f>
        <v>258.45813128999993</v>
      </c>
      <c r="S18" s="1281">
        <f>+'Central Gov''t Revenue'!AA15</f>
        <v>247.30700000000002</v>
      </c>
      <c r="T18" s="1281">
        <f>+'Central Gov''t Revenue'!AB15</f>
        <v>268.82</v>
      </c>
      <c r="U18" s="2729">
        <f>+'Central Gov''t Revenue'!AC15</f>
        <v>257.97400000000005</v>
      </c>
      <c r="V18" s="1282">
        <f>+'Central Gov''t Revenue'!AD15</f>
        <v>230.67099999999999</v>
      </c>
      <c r="W18" s="1282">
        <f>+'Central Gov''t Revenue'!AE15</f>
        <v>236.35995370000003</v>
      </c>
      <c r="X18" s="1282">
        <f>+'Central Gov''t Revenue'!AF15</f>
        <v>286.00690000000003</v>
      </c>
      <c r="Y18" s="1282">
        <f>+'Central Gov''t Revenue'!AG15</f>
        <v>320.40342984</v>
      </c>
      <c r="Z18" s="3618">
        <f t="shared" si="1"/>
        <v>0.1202646853624858</v>
      </c>
      <c r="AB18" s="1190"/>
    </row>
    <row r="19" spans="2:28" ht="35" customHeight="1">
      <c r="B19" s="1289" t="s">
        <v>6</v>
      </c>
      <c r="C19" s="1278">
        <v>153.07599999999999</v>
      </c>
      <c r="D19" s="1279">
        <v>174.83</v>
      </c>
      <c r="E19" s="1279">
        <f>+'[178]Central Gov''t Revenue2'!L24</f>
        <v>75.992941999999999</v>
      </c>
      <c r="F19" s="1284">
        <f>+'Central Gov''t Revenue'!N30</f>
        <v>87.952717000000007</v>
      </c>
      <c r="G19" s="1284">
        <f>+'Central Gov''t Revenue'!O30</f>
        <v>93.582797819999996</v>
      </c>
      <c r="H19" s="1281">
        <f>+'Central Gov''t Revenue'!P30</f>
        <v>105.65968160000001</v>
      </c>
      <c r="I19" s="1281">
        <f>+'Central Gov''t Revenue'!Q30</f>
        <v>128.6</v>
      </c>
      <c r="J19" s="1281">
        <f>+'Central Gov''t Revenue'!R30</f>
        <v>123.360995</v>
      </c>
      <c r="K19" s="1281">
        <f>+'Central Gov''t Revenue'!S30</f>
        <v>107.79600567</v>
      </c>
      <c r="L19" s="1281">
        <f>+'Central Gov''t Revenue'!T30</f>
        <v>128.71637197999999</v>
      </c>
      <c r="M19" s="1281">
        <f>+'Central Gov''t Revenue'!U30</f>
        <v>132.63038777000003</v>
      </c>
      <c r="N19" s="1281">
        <f>+'Central Gov''t Revenue'!V30</f>
        <v>164.3386222</v>
      </c>
      <c r="O19" s="1281">
        <f>+'Central Gov''t Revenue'!W30</f>
        <v>222.90141287</v>
      </c>
      <c r="P19" s="1281">
        <f>+'Central Gov''t Revenue'!X30</f>
        <v>245.39328898666668</v>
      </c>
      <c r="Q19" s="1281">
        <f>+'Central Gov''t Revenue'!Y30</f>
        <v>255.22760399999999</v>
      </c>
      <c r="R19" s="1281">
        <f>+'Central Gov''t Revenue'!Z30</f>
        <v>258.06567224000003</v>
      </c>
      <c r="S19" s="1281">
        <f>+'Central Gov''t Revenue'!AA30</f>
        <v>253.06007500000001</v>
      </c>
      <c r="T19" s="1281">
        <f>+'Central Gov''t Revenue'!AB30</f>
        <v>262.00200000000001</v>
      </c>
      <c r="U19" s="2729">
        <f>+'Central Gov''t Revenue'!AC30</f>
        <v>276.95699999999999</v>
      </c>
      <c r="V19" s="1282">
        <f>+'Central Gov''t Revenue'!AD30</f>
        <v>168.68100000000001</v>
      </c>
      <c r="W19" s="1282">
        <f>+'Central Gov''t Revenue'!AE30</f>
        <v>220.79736188999999</v>
      </c>
      <c r="X19" s="1282">
        <f>+'Central Gov''t Revenue'!AF30</f>
        <v>253.17680000000001</v>
      </c>
      <c r="Y19" s="1282">
        <f>+'Central Gov''t Revenue'!AG30</f>
        <v>286.59800000000001</v>
      </c>
      <c r="Z19" s="3618">
        <f t="shared" si="1"/>
        <v>0.13200735612425785</v>
      </c>
      <c r="AB19" s="1190"/>
    </row>
    <row r="20" spans="2:28" ht="35" customHeight="1">
      <c r="B20" s="1289" t="s">
        <v>7</v>
      </c>
      <c r="C20" s="1278">
        <v>93.756</v>
      </c>
      <c r="D20" s="1279">
        <v>120.82</v>
      </c>
      <c r="E20" s="1279">
        <f>+'[178]Central Gov''t Revenue2'!L36</f>
        <v>263.32120900000001</v>
      </c>
      <c r="F20" s="1284">
        <f>+'Central Gov''t Revenue'!N43</f>
        <v>289.83311800000001</v>
      </c>
      <c r="G20" s="1284">
        <f>+'Central Gov''t Revenue'!O43</f>
        <v>312.12370019999997</v>
      </c>
      <c r="H20" s="1281">
        <f>+'Central Gov''t Revenue'!P43</f>
        <v>349.89331499999997</v>
      </c>
      <c r="I20" s="1281">
        <f>+'Central Gov''t Revenue'!Q43</f>
        <v>358.22</v>
      </c>
      <c r="J20" s="1281">
        <f>+'Central Gov''t Revenue'!R43</f>
        <v>379.735005</v>
      </c>
      <c r="K20" s="1281">
        <f>+'Central Gov''t Revenue'!S43</f>
        <v>371.44597362999997</v>
      </c>
      <c r="L20" s="1281">
        <f>+'Central Gov''t Revenue'!T43</f>
        <v>380.66724479999999</v>
      </c>
      <c r="M20" s="1281">
        <f>+'Central Gov''t Revenue'!U43</f>
        <v>386.64918677999998</v>
      </c>
      <c r="N20" s="1281">
        <f>+'Central Gov''t Revenue'!V43</f>
        <v>363.13983811450004</v>
      </c>
      <c r="O20" s="1281">
        <f>+'Central Gov''t Revenue'!W43</f>
        <v>368.11736510999992</v>
      </c>
      <c r="P20" s="1281">
        <f>+'Central Gov''t Revenue'!X43</f>
        <v>393.19259695800002</v>
      </c>
      <c r="Q20" s="1281">
        <f>+'Central Gov''t Revenue'!Y43</f>
        <v>426.01631063838443</v>
      </c>
      <c r="R20" s="1281">
        <f>+'Central Gov''t Revenue'!Z43</f>
        <v>448.59931583599996</v>
      </c>
      <c r="S20" s="1281">
        <f>+'Central Gov''t Revenue'!AA43</f>
        <v>479.61592684300001</v>
      </c>
      <c r="T20" s="1281">
        <f>+'Central Gov''t Revenue'!AB43</f>
        <v>496.32953645999999</v>
      </c>
      <c r="U20" s="2729">
        <f>+'Central Gov''t Revenue'!AC43</f>
        <v>517.39958330000002</v>
      </c>
      <c r="V20" s="1282">
        <f>+'Central Gov''t Revenue'!AD43</f>
        <v>398.29300000000001</v>
      </c>
      <c r="W20" s="1282">
        <f>+'Central Gov''t Revenue'!AE43</f>
        <v>477.46419701000002</v>
      </c>
      <c r="X20" s="1282">
        <f>+'Central Gov''t Revenue'!AF43</f>
        <v>567.41600000000005</v>
      </c>
      <c r="Y20" s="1282">
        <f>+'Central Gov''t Revenue'!AG43</f>
        <v>614.07682339999997</v>
      </c>
      <c r="Z20" s="3618">
        <f t="shared" si="1"/>
        <v>8.2233887306667253E-2</v>
      </c>
      <c r="AB20" s="1190"/>
    </row>
    <row r="21" spans="2:28" ht="35" customHeight="1">
      <c r="B21" s="1289" t="s">
        <v>8</v>
      </c>
      <c r="C21" s="1278">
        <v>4.673</v>
      </c>
      <c r="D21" s="1279">
        <f>D16-D18-D19-D20</f>
        <v>4.370000000000033</v>
      </c>
      <c r="E21" s="1279">
        <f>E16-E18-E19-E20</f>
        <v>3.8235309999999458</v>
      </c>
      <c r="F21" s="1284">
        <f>+'Central Gov''t Revenue'!N28</f>
        <v>3.6473970000000002</v>
      </c>
      <c r="G21" s="1284">
        <f>+'Central Gov''t Revenue'!O28</f>
        <v>4.8558192799999995</v>
      </c>
      <c r="H21" s="1281">
        <f>+'Central Gov''t Revenue'!P28</f>
        <v>4.1520000000000001</v>
      </c>
      <c r="I21" s="1281">
        <f>+'Central Gov''t Revenue'!Q28</f>
        <v>5.16</v>
      </c>
      <c r="J21" s="1281">
        <f>+'Central Gov''t Revenue'!R28</f>
        <v>2.7285340000000002</v>
      </c>
      <c r="K21" s="1281">
        <f>+'Central Gov''t Revenue'!S28</f>
        <v>3.9211497700000004</v>
      </c>
      <c r="L21" s="1281">
        <f>+'Central Gov''t Revenue'!T28</f>
        <v>3.2646797099999998</v>
      </c>
      <c r="M21" s="1281">
        <f>+'Central Gov''t Revenue'!U28</f>
        <v>4.3677290800000002</v>
      </c>
      <c r="N21" s="1281">
        <f>+'Central Gov''t Revenue'!V28</f>
        <v>4.9119345699999997</v>
      </c>
      <c r="O21" s="1281">
        <f>+'Central Gov''t Revenue'!W28</f>
        <v>8.2019483199999996</v>
      </c>
      <c r="P21" s="1281">
        <f>+'Central Gov''t Revenue'!X28</f>
        <v>9.43</v>
      </c>
      <c r="Q21" s="1281">
        <f>+'Central Gov''t Revenue'!Y28</f>
        <v>10.743466049999999</v>
      </c>
      <c r="R21" s="1281">
        <f>+'Central Gov''t Revenue'!Z28</f>
        <v>12.03</v>
      </c>
      <c r="S21" s="1281">
        <f>+'Central Gov''t Revenue'!AA28</f>
        <v>12.02</v>
      </c>
      <c r="T21" s="1281">
        <f>+'Central Gov''t Revenue'!AB28</f>
        <v>9.69</v>
      </c>
      <c r="U21" s="2729">
        <f>+'Central Gov''t Revenue'!AC28</f>
        <v>7.7569999999999997</v>
      </c>
      <c r="V21" s="1282">
        <f>+'Central Gov''t Revenue'!AD28</f>
        <v>7.17</v>
      </c>
      <c r="W21" s="1282">
        <f>+'Central Gov''t Revenue'!AE28</f>
        <v>7.9864148799999999</v>
      </c>
      <c r="X21" s="1282">
        <f>+'Central Gov''t Revenue'!AF28</f>
        <v>11.726000000000001</v>
      </c>
      <c r="Y21" s="1282">
        <f>+'Central Gov''t Revenue'!AG28</f>
        <v>10.328404709999999</v>
      </c>
      <c r="Z21" s="3618">
        <f t="shared" si="1"/>
        <v>-0.11918772727272742</v>
      </c>
      <c r="AB21" s="1190"/>
    </row>
    <row r="22" spans="2:28" ht="35" customHeight="1">
      <c r="B22" s="1290"/>
      <c r="C22" s="1278"/>
      <c r="D22" s="1279"/>
      <c r="E22" s="1279"/>
      <c r="F22" s="1279"/>
      <c r="G22" s="1279"/>
      <c r="H22" s="1280"/>
      <c r="I22" s="1280"/>
      <c r="J22" s="1280"/>
      <c r="K22" s="1280"/>
      <c r="L22" s="1280"/>
      <c r="M22" s="1280"/>
      <c r="N22" s="1280"/>
      <c r="O22" s="1281"/>
      <c r="P22" s="1281"/>
      <c r="Q22" s="1281"/>
      <c r="R22" s="1281"/>
      <c r="S22" s="1281"/>
      <c r="T22" s="1281"/>
      <c r="U22" s="2729"/>
      <c r="V22" s="1282"/>
      <c r="W22" s="1282"/>
      <c r="X22" s="1282"/>
      <c r="Y22" s="2974"/>
      <c r="Z22" s="1276"/>
      <c r="AB22" s="1190"/>
    </row>
    <row r="23" spans="2:28" ht="35" customHeight="1">
      <c r="B23" s="1291" t="s">
        <v>176</v>
      </c>
      <c r="C23" s="1272">
        <v>43.94</v>
      </c>
      <c r="D23" s="1266">
        <f>'[178]Central Gov''t Revenue2'!K45</f>
        <v>36.159999999999997</v>
      </c>
      <c r="E23" s="1266">
        <f>+'[178]Central Gov''t Revenue2'!L49</f>
        <v>44.81</v>
      </c>
      <c r="F23" s="1267">
        <f>'Central Gov''t Revenue'!N58</f>
        <v>47.151673000000002</v>
      </c>
      <c r="G23" s="1267">
        <f>'Central Gov''t Revenue'!O58</f>
        <v>42.162624300000004</v>
      </c>
      <c r="H23" s="1292">
        <f>'Central Gov''t Revenue'!P58</f>
        <v>35.663987999999996</v>
      </c>
      <c r="I23" s="1292">
        <f>'Central Gov''t Revenue'!Q58</f>
        <v>53.484048000000001</v>
      </c>
      <c r="J23" s="1292">
        <f>'Central Gov''t Revenue'!R58</f>
        <v>67.129054999999994</v>
      </c>
      <c r="K23" s="1292">
        <f>'Central Gov''t Revenue'!S58</f>
        <v>58.861802999999995</v>
      </c>
      <c r="L23" s="1292">
        <f>'Central Gov''t Revenue'!T58</f>
        <v>51.073397</v>
      </c>
      <c r="M23" s="1292">
        <f>'Central Gov''t Revenue'!U58</f>
        <v>71.373074610000003</v>
      </c>
      <c r="N23" s="1292">
        <f>'Central Gov''t Revenue'!V58</f>
        <v>52.535895119999999</v>
      </c>
      <c r="O23" s="1292">
        <f>'Central Gov''t Revenue'!W58</f>
        <v>46.855243829999999</v>
      </c>
      <c r="P23" s="1292">
        <f>'Central Gov''t Revenue'!X58</f>
        <v>42.653364206666666</v>
      </c>
      <c r="Q23" s="1292">
        <f>'Central Gov''t Revenue'!Y58</f>
        <v>48.79</v>
      </c>
      <c r="R23" s="1292">
        <f>'Central Gov''t Revenue'!Z58</f>
        <v>55.629999999999995</v>
      </c>
      <c r="S23" s="1292">
        <f>'Central Gov''t Revenue'!AA58</f>
        <v>74.95</v>
      </c>
      <c r="T23" s="1292">
        <f>'Central Gov''t Revenue'!AB58</f>
        <v>118.71</v>
      </c>
      <c r="U23" s="2731">
        <f>'Central Gov''t Revenue'!AC58</f>
        <v>84.050000000000011</v>
      </c>
      <c r="V23" s="1288">
        <f>'Central Gov''t Revenue'!AD58</f>
        <v>67.95</v>
      </c>
      <c r="W23" s="1288">
        <f>'Central Gov''t Revenue'!AE58</f>
        <v>98.499999999999986</v>
      </c>
      <c r="X23" s="1288">
        <f>'Central Gov''t Revenue'!AF58</f>
        <v>123.70124899999999</v>
      </c>
      <c r="Y23" s="1288">
        <f>'Central Gov''t Revenue'!AG58</f>
        <v>122.06899999999999</v>
      </c>
      <c r="Z23" s="1276">
        <f t="shared" si="1"/>
        <v>-1.3195089081113442E-2</v>
      </c>
      <c r="AB23" s="1190"/>
    </row>
    <row r="24" spans="2:28" ht="35" customHeight="1">
      <c r="B24" s="1290"/>
      <c r="C24" s="1278"/>
      <c r="D24" s="1279"/>
      <c r="E24" s="1279"/>
      <c r="F24" s="1279"/>
      <c r="G24" s="1279"/>
      <c r="H24" s="1280"/>
      <c r="I24" s="1280"/>
      <c r="J24" s="1280"/>
      <c r="K24" s="1280"/>
      <c r="L24" s="1280"/>
      <c r="M24" s="1280"/>
      <c r="N24" s="1280"/>
      <c r="O24" s="1281"/>
      <c r="P24" s="1281"/>
      <c r="Q24" s="1281"/>
      <c r="R24" s="1281"/>
      <c r="S24" s="1281"/>
      <c r="T24" s="1281"/>
      <c r="U24" s="2729"/>
      <c r="V24" s="1282"/>
      <c r="W24" s="1282"/>
      <c r="X24" s="1282"/>
      <c r="Y24" s="2974"/>
      <c r="Z24" s="1276"/>
      <c r="AB24" s="1190"/>
    </row>
    <row r="25" spans="2:28" s="5974" customFormat="1" ht="34.5" customHeight="1">
      <c r="B25" s="5970" t="s">
        <v>296</v>
      </c>
      <c r="C25" s="5963">
        <v>531.71340297000006</v>
      </c>
      <c r="D25" s="5964">
        <v>572.22</v>
      </c>
      <c r="E25" s="5971">
        <f>+'[178]Central Gov''t Expenditure2'!N42</f>
        <v>611.10221200000001</v>
      </c>
      <c r="F25" s="5971">
        <f t="shared" ref="F25:U25" si="4">+F27+F29</f>
        <v>657.99382800000001</v>
      </c>
      <c r="G25" s="5971">
        <f>+G27+G29</f>
        <v>788.17926889</v>
      </c>
      <c r="H25" s="5972">
        <f t="shared" si="4"/>
        <v>845.89843281000003</v>
      </c>
      <c r="I25" s="5973">
        <f t="shared" si="4"/>
        <v>805.50435500000003</v>
      </c>
      <c r="J25" s="5973">
        <f t="shared" si="4"/>
        <v>862.80954000000008</v>
      </c>
      <c r="K25" s="5973">
        <f t="shared" si="4"/>
        <v>928.13054000000011</v>
      </c>
      <c r="L25" s="5973">
        <f t="shared" si="4"/>
        <v>1041.296495</v>
      </c>
      <c r="M25" s="5973">
        <f t="shared" si="4"/>
        <v>1142.7719224602813</v>
      </c>
      <c r="N25" s="5973">
        <f t="shared" si="4"/>
        <v>1208.110083</v>
      </c>
      <c r="O25" s="5973">
        <f t="shared" si="4"/>
        <v>1139.0918482933996</v>
      </c>
      <c r="P25" s="5973">
        <f t="shared" si="4"/>
        <v>1113.8217836600002</v>
      </c>
      <c r="Q25" s="5973">
        <f t="shared" si="4"/>
        <v>1134.6641959999999</v>
      </c>
      <c r="R25" s="5973">
        <f t="shared" si="4"/>
        <v>1161.3062268899998</v>
      </c>
      <c r="S25" s="5973">
        <f t="shared" si="4"/>
        <v>1243.0083279999999</v>
      </c>
      <c r="T25" s="5973">
        <f t="shared" si="4"/>
        <v>1259.5845899999999</v>
      </c>
      <c r="U25" s="5973">
        <f t="shared" si="4"/>
        <v>1378.75</v>
      </c>
      <c r="V25" s="5973">
        <f>+V27+V29</f>
        <v>1418.451309</v>
      </c>
      <c r="W25" s="5973">
        <f>+W27+W29</f>
        <v>1411.284717</v>
      </c>
      <c r="X25" s="5973">
        <f>+X27+X29</f>
        <v>1441.9664740000001</v>
      </c>
      <c r="Y25" s="5973">
        <f>+Y27+Y29</f>
        <v>1555.9578763998857</v>
      </c>
      <c r="Z25" s="5967">
        <f t="shared" si="1"/>
        <v>7.9052741138755156E-2</v>
      </c>
      <c r="AB25" s="5969"/>
    </row>
    <row r="26" spans="2:28" s="1250" customFormat="1" ht="35" customHeight="1">
      <c r="B26" s="1291"/>
      <c r="C26" s="1272"/>
      <c r="D26" s="1266"/>
      <c r="E26" s="1266"/>
      <c r="F26" s="1266"/>
      <c r="G26" s="1266"/>
      <c r="H26" s="1273"/>
      <c r="I26" s="1273"/>
      <c r="J26" s="1273"/>
      <c r="K26" s="1273"/>
      <c r="L26" s="1273"/>
      <c r="M26" s="1273"/>
      <c r="N26" s="1273"/>
      <c r="O26" s="1292"/>
      <c r="P26" s="1292"/>
      <c r="Q26" s="1292"/>
      <c r="R26" s="1292"/>
      <c r="S26" s="1292"/>
      <c r="T26" s="1292"/>
      <c r="U26" s="2731"/>
      <c r="V26" s="1288"/>
      <c r="W26" s="1288"/>
      <c r="X26" s="1288"/>
      <c r="Y26" s="1288"/>
      <c r="Z26" s="1276"/>
      <c r="AB26" s="1190"/>
    </row>
    <row r="27" spans="2:28" s="1188" customFormat="1" ht="34.5" customHeight="1">
      <c r="B27" s="1291" t="s">
        <v>177</v>
      </c>
      <c r="C27" s="1272">
        <v>132.59399999999999</v>
      </c>
      <c r="D27" s="1266">
        <v>149.99600000000001</v>
      </c>
      <c r="E27" s="1266">
        <f>+'[178]Central Gov''t Expenditure2'!N36</f>
        <v>142</v>
      </c>
      <c r="F27" s="1267">
        <f>+'Central Gov''t Expenditure'!O41</f>
        <v>157.44645399999999</v>
      </c>
      <c r="G27" s="1267">
        <f>+'Central Gov''t Expenditure'!P41</f>
        <v>264.05</v>
      </c>
      <c r="H27" s="1292">
        <f>+'Central Gov''t Expenditure'!Q41</f>
        <v>290.99287700000002</v>
      </c>
      <c r="I27" s="1292">
        <f>+'Central Gov''t Expenditure'!R41</f>
        <v>230.70085899999998</v>
      </c>
      <c r="J27" s="1292">
        <f>+'Central Gov''t Expenditure'!S41</f>
        <v>208.16800000000001</v>
      </c>
      <c r="K27" s="1292">
        <f>+'Central Gov''t Expenditure'!T41</f>
        <v>241.30613700000001</v>
      </c>
      <c r="L27" s="1292">
        <f>+'Central Gov''t Expenditure'!U41</f>
        <v>298.57572199999998</v>
      </c>
      <c r="M27" s="1292">
        <f>+'Central Gov''t Expenditure'!V41</f>
        <v>366.14329946028124</v>
      </c>
      <c r="N27" s="1292">
        <f>+'Central Gov''t Expenditure'!W41</f>
        <v>344.78965499999998</v>
      </c>
      <c r="O27" s="1292">
        <f>+'Central Gov''t Expenditure'!X41</f>
        <v>268.48888946103602</v>
      </c>
      <c r="P27" s="1292">
        <f>+'Central Gov''t Expenditure'!Y41</f>
        <v>234.59933799999999</v>
      </c>
      <c r="Q27" s="1292">
        <f>+'Central Gov''t Expenditure'!Z41</f>
        <v>234.18</v>
      </c>
      <c r="R27" s="1292">
        <f>+'Central Gov''t Expenditure'!AA41</f>
        <v>219.83122688999998</v>
      </c>
      <c r="S27" s="1292">
        <f>+'Central Gov''t Expenditure'!AB41</f>
        <v>251.90999999999997</v>
      </c>
      <c r="T27" s="1292">
        <f>+'Central Gov''t Expenditure'!AC41</f>
        <v>207.42</v>
      </c>
      <c r="U27" s="2731">
        <f>+'Central Gov''t Expenditure'!AD41</f>
        <v>200.8</v>
      </c>
      <c r="V27" s="1288">
        <f>+'Central Gov''t Expenditure'!AE41</f>
        <v>267.8</v>
      </c>
      <c r="W27" s="1288">
        <f>+'Central Gov''t Expenditure'!AF41</f>
        <v>227.77771700000002</v>
      </c>
      <c r="X27" s="1288">
        <f>+'Central Gov''t Expenditure'!AG41</f>
        <v>191.72947400000001</v>
      </c>
      <c r="Y27" s="1288">
        <f>+'Central Gov''t Expenditure'!AH41</f>
        <v>259.79660785999999</v>
      </c>
      <c r="Z27" s="1276">
        <f t="shared" si="1"/>
        <v>0.35501653678974776</v>
      </c>
      <c r="AA27" s="1251"/>
      <c r="AB27" s="1190"/>
    </row>
    <row r="28" spans="2:28" s="1188" customFormat="1" ht="35" customHeight="1">
      <c r="B28" s="1291"/>
      <c r="C28" s="1272"/>
      <c r="D28" s="1266"/>
      <c r="E28" s="1266"/>
      <c r="F28" s="1266"/>
      <c r="G28" s="1266"/>
      <c r="H28" s="1273"/>
      <c r="I28" s="1273"/>
      <c r="J28" s="1273"/>
      <c r="K28" s="1273"/>
      <c r="L28" s="1273"/>
      <c r="M28" s="1273"/>
      <c r="N28" s="1273"/>
      <c r="O28" s="1292"/>
      <c r="P28" s="1292"/>
      <c r="Q28" s="1292"/>
      <c r="R28" s="1292"/>
      <c r="S28" s="1292"/>
      <c r="T28" s="1292"/>
      <c r="U28" s="2731"/>
      <c r="V28" s="1288"/>
      <c r="W28" s="1288"/>
      <c r="X28" s="1288"/>
      <c r="Y28" s="1288"/>
      <c r="Z28" s="1276"/>
      <c r="AA28" s="1251"/>
      <c r="AB28" s="1190"/>
    </row>
    <row r="29" spans="2:28" ht="35" customHeight="1">
      <c r="B29" s="1291" t="s">
        <v>229</v>
      </c>
      <c r="C29" s="1272">
        <v>399.11940297000001</v>
      </c>
      <c r="D29" s="1266">
        <v>422.22403823000002</v>
      </c>
      <c r="E29" s="1266">
        <f>SUM(E31:E34)</f>
        <v>469.10221200000001</v>
      </c>
      <c r="F29" s="1266">
        <f>SUM(F31:F34)</f>
        <v>500.54737399999999</v>
      </c>
      <c r="G29" s="1266">
        <f>SUM(G31:G34)</f>
        <v>524.12926889000005</v>
      </c>
      <c r="H29" s="1273">
        <f t="shared" ref="H29:X29" si="5">SUM(H31:H34)</f>
        <v>554.90555581000001</v>
      </c>
      <c r="I29" s="1273">
        <f t="shared" si="5"/>
        <v>574.80349600000011</v>
      </c>
      <c r="J29" s="1273">
        <f t="shared" si="5"/>
        <v>654.64154000000008</v>
      </c>
      <c r="K29" s="1273">
        <f t="shared" si="5"/>
        <v>686.82440300000007</v>
      </c>
      <c r="L29" s="1273">
        <f t="shared" si="5"/>
        <v>742.72077300000001</v>
      </c>
      <c r="M29" s="1273">
        <f t="shared" si="5"/>
        <v>776.62862300000006</v>
      </c>
      <c r="N29" s="1273">
        <f t="shared" si="5"/>
        <v>863.32042799999999</v>
      </c>
      <c r="O29" s="1273">
        <f t="shared" si="5"/>
        <v>870.60295883236358</v>
      </c>
      <c r="P29" s="1273">
        <f t="shared" si="5"/>
        <v>879.22244566000006</v>
      </c>
      <c r="Q29" s="1273">
        <f t="shared" si="5"/>
        <v>900.484196</v>
      </c>
      <c r="R29" s="1273">
        <f t="shared" si="5"/>
        <v>941.47499999999991</v>
      </c>
      <c r="S29" s="1273">
        <f t="shared" si="5"/>
        <v>991.09832800000004</v>
      </c>
      <c r="T29" s="1274">
        <f t="shared" si="5"/>
        <v>1052.1645899999999</v>
      </c>
      <c r="U29" s="1275">
        <f t="shared" si="5"/>
        <v>1177.95</v>
      </c>
      <c r="V29" s="1275">
        <f t="shared" si="5"/>
        <v>1150.6513090000001</v>
      </c>
      <c r="W29" s="1275">
        <f>SUM(W31:W34)</f>
        <v>1183.5070000000001</v>
      </c>
      <c r="X29" s="1275">
        <f t="shared" si="5"/>
        <v>1250.2370000000001</v>
      </c>
      <c r="Y29" s="1275">
        <f t="shared" ref="Y29" si="6">SUM(Y31:Y34)</f>
        <v>1296.1612685398857</v>
      </c>
      <c r="Z29" s="1276">
        <f t="shared" si="1"/>
        <v>3.6732450359320268E-2</v>
      </c>
      <c r="AA29" s="1251"/>
      <c r="AB29" s="1190"/>
    </row>
    <row r="30" spans="2:28" ht="35" customHeight="1">
      <c r="B30" s="1290" t="s">
        <v>50</v>
      </c>
      <c r="C30" s="1278"/>
      <c r="D30" s="1279"/>
      <c r="E30" s="1279"/>
      <c r="F30" s="1279"/>
      <c r="G30" s="1279"/>
      <c r="H30" s="1280"/>
      <c r="I30" s="1280"/>
      <c r="J30" s="1280"/>
      <c r="K30" s="1280"/>
      <c r="L30" s="1280"/>
      <c r="M30" s="1280"/>
      <c r="N30" s="1280"/>
      <c r="O30" s="1281"/>
      <c r="P30" s="1281"/>
      <c r="Q30" s="1281"/>
      <c r="R30" s="1281"/>
      <c r="S30" s="1281"/>
      <c r="T30" s="1281"/>
      <c r="U30" s="2729"/>
      <c r="V30" s="1282"/>
      <c r="W30" s="1282"/>
      <c r="X30" s="1282"/>
      <c r="Y30" s="2974"/>
      <c r="Z30" s="1276"/>
      <c r="AB30" s="1190"/>
    </row>
    <row r="31" spans="2:28" ht="35" customHeight="1">
      <c r="B31" s="1289" t="s">
        <v>9</v>
      </c>
      <c r="C31" s="1278">
        <v>212.745</v>
      </c>
      <c r="D31" s="1279">
        <v>211.62199999999999</v>
      </c>
      <c r="E31" s="1279">
        <f>+'[178]Central Gov''t Expenditure2'!N8</f>
        <v>226.70274799999999</v>
      </c>
      <c r="F31" s="1284">
        <f>+'Central Gov''t Expenditure'!O8</f>
        <v>228.78504199999998</v>
      </c>
      <c r="G31" s="1284">
        <f>+'Central Gov''t Expenditure'!P8</f>
        <v>238.46899999999999</v>
      </c>
      <c r="H31" s="1281">
        <f>+'Central Gov''t Expenditure'!Q8</f>
        <v>255.64900000000003</v>
      </c>
      <c r="I31" s="1281">
        <f>+'Central Gov''t Expenditure'!R8</f>
        <v>266.97000000000003</v>
      </c>
      <c r="J31" s="1281">
        <f>+'Central Gov''t Expenditure'!S8</f>
        <v>301.06</v>
      </c>
      <c r="K31" s="1281">
        <f>+'Central Gov''t Expenditure'!T8</f>
        <v>316.14999999999998</v>
      </c>
      <c r="L31" s="1281">
        <f>+'Central Gov''t Expenditure'!U8</f>
        <v>342.29322400000001</v>
      </c>
      <c r="M31" s="1281">
        <f>+'Central Gov''t Expenditure'!V8</f>
        <v>349.51900000000001</v>
      </c>
      <c r="N31" s="1281">
        <f>+'Central Gov''t Expenditure'!W8</f>
        <v>378.96089099999995</v>
      </c>
      <c r="O31" s="1281">
        <f>+'Central Gov''t Expenditure'!X8</f>
        <v>381.59</v>
      </c>
      <c r="P31" s="1281">
        <f>+'Central Gov''t Expenditure'!Y8</f>
        <v>378.55604388</v>
      </c>
      <c r="Q31" s="1281">
        <f>+'Central Gov''t Expenditure'!Z8</f>
        <v>377.92419599999999</v>
      </c>
      <c r="R31" s="1281">
        <f>+'Central Gov''t Expenditure'!AA8</f>
        <v>380.447</v>
      </c>
      <c r="S31" s="1281">
        <f>+'Central Gov''t Expenditure'!AB8</f>
        <v>384.60802799999999</v>
      </c>
      <c r="T31" s="1281">
        <f>+'Central Gov''t Expenditure'!AC8</f>
        <v>384.75400000000002</v>
      </c>
      <c r="U31" s="2729">
        <f>+'Central Gov''t Expenditure'!AD8</f>
        <v>443.80400000000003</v>
      </c>
      <c r="V31" s="1282">
        <f>+'Central Gov''t Expenditure'!AE8</f>
        <v>413.01600000000002</v>
      </c>
      <c r="W31" s="1282">
        <f>+'Central Gov''t Expenditure'!AF8</f>
        <v>418.20299999999997</v>
      </c>
      <c r="X31" s="1282">
        <f>+'Central Gov''t Expenditure'!AG8</f>
        <v>434.81700000000001</v>
      </c>
      <c r="Y31" s="1282">
        <f>+'Central Gov''t Expenditure'!AH8</f>
        <v>427.8833835398857</v>
      </c>
      <c r="Z31" s="3618">
        <f t="shared" si="1"/>
        <v>-1.5946056525191765E-2</v>
      </c>
      <c r="AB31" s="1190"/>
    </row>
    <row r="32" spans="2:28" ht="35" customHeight="1">
      <c r="B32" s="1289" t="s">
        <v>10</v>
      </c>
      <c r="C32" s="1278">
        <v>39.17866497</v>
      </c>
      <c r="D32" s="1279">
        <v>40.486690229999994</v>
      </c>
      <c r="E32" s="1279">
        <f>+'[178]Central Gov''t Expenditure2'!N13</f>
        <v>54.739999999999995</v>
      </c>
      <c r="F32" s="1284">
        <f>+'Central Gov''t Expenditure'!O17</f>
        <v>66.865344000000007</v>
      </c>
      <c r="G32" s="1284">
        <f>+'Central Gov''t Expenditure'!P17</f>
        <v>71.87</v>
      </c>
      <c r="H32" s="1281">
        <f>+'Central Gov''t Expenditure'!Q17</f>
        <v>78.720922999999999</v>
      </c>
      <c r="I32" s="1281">
        <f>+'Central Gov''t Expenditure'!R17</f>
        <v>78.67</v>
      </c>
      <c r="J32" s="1281">
        <f>+'Central Gov''t Expenditure'!S17</f>
        <v>94.48</v>
      </c>
      <c r="K32" s="1281">
        <f>+'Central Gov''t Expenditure'!T17</f>
        <v>89.8</v>
      </c>
      <c r="L32" s="1281">
        <f>+'Central Gov''t Expenditure'!U17</f>
        <v>102.02</v>
      </c>
      <c r="M32" s="1281">
        <f>+'Central Gov''t Expenditure'!V17</f>
        <v>105.82</v>
      </c>
      <c r="N32" s="1281">
        <f>+'Central Gov''t Expenditure'!W17</f>
        <v>123.077889</v>
      </c>
      <c r="O32" s="1281">
        <f>+'Central Gov''t Expenditure'!X17</f>
        <v>140.02974667999999</v>
      </c>
      <c r="P32" s="1281">
        <f>+'Central Gov''t Expenditure'!Y17</f>
        <v>148.59974499999998</v>
      </c>
      <c r="Q32" s="1281">
        <f>+'Central Gov''t Expenditure'!Z17</f>
        <v>156.55000000000001</v>
      </c>
      <c r="R32" s="1281">
        <f>+'Central Gov''t Expenditure'!AA17</f>
        <v>158.703</v>
      </c>
      <c r="S32" s="1281">
        <f>+'Central Gov''t Expenditure'!AB17</f>
        <v>162.4</v>
      </c>
      <c r="T32" s="1281">
        <f>+'Central Gov''t Expenditure'!AC17</f>
        <v>165.785</v>
      </c>
      <c r="U32" s="2729">
        <f>+'Central Gov''t Expenditure'!AD17</f>
        <v>170.8</v>
      </c>
      <c r="V32" s="1282">
        <f>+'Central Gov''t Expenditure'!AE17</f>
        <v>164.4</v>
      </c>
      <c r="W32" s="1282">
        <f>+'Central Gov''t Expenditure'!AF17</f>
        <v>170.98599999999999</v>
      </c>
      <c r="X32" s="1282">
        <f>+'Central Gov''t Expenditure'!AG17</f>
        <v>184.8</v>
      </c>
      <c r="Y32" s="1282">
        <f>+'Central Gov''t Expenditure'!AH17</f>
        <v>223.07288499999999</v>
      </c>
      <c r="Z32" s="3618">
        <f t="shared" si="1"/>
        <v>0.20710435606060584</v>
      </c>
      <c r="AB32" s="1190"/>
    </row>
    <row r="33" spans="2:36" ht="35" customHeight="1">
      <c r="B33" s="1289" t="s">
        <v>11</v>
      </c>
      <c r="C33" s="1278">
        <v>70.722666000000032</v>
      </c>
      <c r="D33" s="1279">
        <v>78.129029000000017</v>
      </c>
      <c r="E33" s="1279">
        <f>+'[178]Central Gov''t Expenditure2'!N17</f>
        <v>85.88000000000001</v>
      </c>
      <c r="F33" s="1284">
        <f>+'Central Gov''t Expenditure'!O21</f>
        <v>87.642486999999988</v>
      </c>
      <c r="G33" s="1284">
        <f>+'Central Gov''t Expenditure'!P21</f>
        <v>103.45504400000002</v>
      </c>
      <c r="H33" s="1281">
        <f>+'Central Gov''t Expenditure'!Q21</f>
        <v>102.69694181</v>
      </c>
      <c r="I33" s="1281">
        <f>+'Central Gov''t Expenditure'!R21</f>
        <v>114.53261400000001</v>
      </c>
      <c r="J33" s="1281">
        <f>+'Central Gov''t Expenditure'!S21</f>
        <v>131.735196</v>
      </c>
      <c r="K33" s="1281">
        <f>+'Central Gov''t Expenditure'!T21</f>
        <v>131.26127700000001</v>
      </c>
      <c r="L33" s="1281">
        <f>+'Central Gov''t Expenditure'!U21</f>
        <v>137.83514</v>
      </c>
      <c r="M33" s="1281">
        <f>+'Central Gov''t Expenditure'!V21</f>
        <v>145.99091799999999</v>
      </c>
      <c r="N33" s="1281">
        <f>+'Central Gov''t Expenditure'!W21</f>
        <v>174.36852999999999</v>
      </c>
      <c r="O33" s="1281">
        <f>+'Central Gov''t Expenditure'!X21</f>
        <v>167.62227924236362</v>
      </c>
      <c r="P33" s="1281">
        <f>+'Central Gov''t Expenditure'!Y21</f>
        <v>163.68176192999999</v>
      </c>
      <c r="Q33" s="1281">
        <f>+'Central Gov''t Expenditure'!Z21</f>
        <v>174.62</v>
      </c>
      <c r="R33" s="1281">
        <f>+'Central Gov''t Expenditure'!AA21</f>
        <v>182.70099999999996</v>
      </c>
      <c r="S33" s="1281">
        <f>+'Central Gov''t Expenditure'!AB21</f>
        <v>204.75300000000004</v>
      </c>
      <c r="T33" s="1281">
        <f>+'Central Gov''t Expenditure'!AC21</f>
        <v>233.80298999999997</v>
      </c>
      <c r="U33" s="2729">
        <f>+'Central Gov''t Expenditure'!AD21</f>
        <v>265.14599999999996</v>
      </c>
      <c r="V33" s="1282">
        <f>+'Central Gov''t Expenditure'!AE21</f>
        <v>293.61228400000005</v>
      </c>
      <c r="W33" s="1282">
        <f>+'Central Gov''t Expenditure'!AF21</f>
        <v>304.58600000000001</v>
      </c>
      <c r="X33" s="1282">
        <f>+'Central Gov''t Expenditure'!AG21</f>
        <v>298.32000000000005</v>
      </c>
      <c r="Y33" s="1282">
        <f>+'Central Gov''t Expenditure'!AH21</f>
        <v>296.12799999999999</v>
      </c>
      <c r="Z33" s="3618">
        <f t="shared" si="1"/>
        <v>-7.347814427460686E-3</v>
      </c>
      <c r="AB33" s="1190"/>
    </row>
    <row r="34" spans="2:36" ht="35" customHeight="1">
      <c r="B34" s="1289" t="s">
        <v>12</v>
      </c>
      <c r="C34" s="1278">
        <v>42.204071999999996</v>
      </c>
      <c r="D34" s="1279">
        <v>56.756318999999998</v>
      </c>
      <c r="E34" s="1279">
        <f>+'[178]Central Gov''t Expenditure2'!N26</f>
        <v>101.779464</v>
      </c>
      <c r="F34" s="1284">
        <f>+'Central Gov''t Expenditure'!O30</f>
        <v>117.25450099999998</v>
      </c>
      <c r="G34" s="1284">
        <f>+'Central Gov''t Expenditure'!P30</f>
        <v>110.33522489000001</v>
      </c>
      <c r="H34" s="1281">
        <f>+'Central Gov''t Expenditure'!Q30</f>
        <v>117.83869099999998</v>
      </c>
      <c r="I34" s="1281">
        <f>+'Central Gov''t Expenditure'!R30</f>
        <v>114.63088200000001</v>
      </c>
      <c r="J34" s="1281">
        <f>+'Central Gov''t Expenditure'!S30</f>
        <v>127.36634400000001</v>
      </c>
      <c r="K34" s="1281">
        <f>+'Central Gov''t Expenditure'!T30</f>
        <v>149.61312600000002</v>
      </c>
      <c r="L34" s="1281">
        <f>+'Central Gov''t Expenditure'!U30</f>
        <v>160.57240899999999</v>
      </c>
      <c r="M34" s="1281">
        <f>+'Central Gov''t Expenditure'!V30</f>
        <v>175.29870500000001</v>
      </c>
      <c r="N34" s="1281">
        <f>+'Central Gov''t Expenditure'!W30</f>
        <v>186.913118</v>
      </c>
      <c r="O34" s="1281">
        <f>+'Central Gov''t Expenditure'!X30</f>
        <v>181.36093291000003</v>
      </c>
      <c r="P34" s="1281">
        <f>+'Central Gov''t Expenditure'!Y30</f>
        <v>188.38489485000002</v>
      </c>
      <c r="Q34" s="1281">
        <f>+'Central Gov''t Expenditure'!Z30</f>
        <v>191.39</v>
      </c>
      <c r="R34" s="1281">
        <f>+'Central Gov''t Expenditure'!AA30</f>
        <v>219.624</v>
      </c>
      <c r="S34" s="1281">
        <f>+'Central Gov''t Expenditure'!AB30</f>
        <v>239.33729999999997</v>
      </c>
      <c r="T34" s="1281">
        <f>+'Central Gov''t Expenditure'!AC30</f>
        <v>267.82259999999997</v>
      </c>
      <c r="U34" s="2729">
        <f>+'Central Gov''t Expenditure'!AD30</f>
        <v>298.2</v>
      </c>
      <c r="V34" s="1282">
        <f>+'Central Gov''t Expenditure'!AE30</f>
        <v>279.62302500000004</v>
      </c>
      <c r="W34" s="1282">
        <f>+'Central Gov''t Expenditure'!AF30</f>
        <v>289.73199999999997</v>
      </c>
      <c r="X34" s="1282">
        <f>+'Central Gov''t Expenditure'!AG30</f>
        <v>332.3</v>
      </c>
      <c r="Y34" s="1282">
        <f>+'Central Gov''t Expenditure'!AH30</f>
        <v>349.077</v>
      </c>
      <c r="Z34" s="3618">
        <f t="shared" si="1"/>
        <v>5.0487511284983411E-2</v>
      </c>
      <c r="AB34" s="1190"/>
    </row>
    <row r="35" spans="2:36" ht="35" customHeight="1">
      <c r="B35" s="1290"/>
      <c r="C35" s="1278"/>
      <c r="D35" s="1279"/>
      <c r="E35" s="1279"/>
      <c r="F35" s="1279"/>
      <c r="G35" s="1279"/>
      <c r="H35" s="1280"/>
      <c r="I35" s="1280"/>
      <c r="J35" s="1280"/>
      <c r="K35" s="1280"/>
      <c r="L35" s="1280"/>
      <c r="M35" s="1280"/>
      <c r="N35" s="1280"/>
      <c r="O35" s="1281"/>
      <c r="P35" s="1281"/>
      <c r="Q35" s="1281"/>
      <c r="R35" s="1281"/>
      <c r="S35" s="1281"/>
      <c r="T35" s="1281"/>
      <c r="U35" s="2729"/>
      <c r="V35" s="1282"/>
      <c r="W35" s="1282"/>
      <c r="X35" s="1282"/>
      <c r="Y35" s="2974"/>
      <c r="Z35" s="1276"/>
      <c r="AB35" s="1190"/>
    </row>
    <row r="36" spans="2:36" ht="35" customHeight="1">
      <c r="B36" s="1291" t="s">
        <v>180</v>
      </c>
      <c r="C36" s="1272">
        <v>30.085597029999974</v>
      </c>
      <c r="D36" s="1266">
        <v>18.905961769999976</v>
      </c>
      <c r="E36" s="1266">
        <f>+E14-E29</f>
        <v>28.750908299999992</v>
      </c>
      <c r="F36" s="1266">
        <f t="shared" ref="F36:Y36" si="7">+F14-F29</f>
        <v>59.520884000000024</v>
      </c>
      <c r="G36" s="1266">
        <f t="shared" si="7"/>
        <v>72.573150439999836</v>
      </c>
      <c r="H36" s="1273">
        <f t="shared" si="7"/>
        <v>101.06945779</v>
      </c>
      <c r="I36" s="1273">
        <f t="shared" si="7"/>
        <v>166.43804499999987</v>
      </c>
      <c r="J36" s="1273">
        <f t="shared" si="7"/>
        <v>150.21520099999987</v>
      </c>
      <c r="K36" s="1273">
        <f t="shared" si="7"/>
        <v>72.793998109999848</v>
      </c>
      <c r="L36" s="1273">
        <f t="shared" si="7"/>
        <v>45.060740890000034</v>
      </c>
      <c r="M36" s="1273">
        <f t="shared" si="7"/>
        <v>59.334552400000007</v>
      </c>
      <c r="N36" s="1273">
        <f t="shared" si="7"/>
        <v>-54.035318645499956</v>
      </c>
      <c r="O36" s="1273">
        <f t="shared" si="7"/>
        <v>-4.6309575323635954</v>
      </c>
      <c r="P36" s="1273">
        <f t="shared" si="7"/>
        <v>35.548781511333232</v>
      </c>
      <c r="Q36" s="1273">
        <f t="shared" si="7"/>
        <v>81.746511028384361</v>
      </c>
      <c r="R36" s="1273">
        <f t="shared" si="7"/>
        <v>91.308119366000028</v>
      </c>
      <c r="S36" s="1273">
        <f t="shared" si="7"/>
        <v>75.854673843</v>
      </c>
      <c r="T36" s="1273">
        <f t="shared" si="7"/>
        <v>103.38694646000022</v>
      </c>
      <c r="U36" s="1288">
        <f t="shared" si="7"/>
        <v>-33.812416700000085</v>
      </c>
      <c r="V36" s="1288">
        <f t="shared" si="7"/>
        <v>-277.8863090000001</v>
      </c>
      <c r="W36" s="1288">
        <f>+W14-W29</f>
        <v>-142.39907252000012</v>
      </c>
      <c r="X36" s="1288">
        <f t="shared" si="7"/>
        <v>-8.2100509999997939</v>
      </c>
      <c r="Y36" s="1288">
        <f t="shared" si="7"/>
        <v>57.314389410114245</v>
      </c>
      <c r="Z36" s="1276"/>
      <c r="AB36" s="1190"/>
    </row>
    <row r="37" spans="2:36" ht="35" customHeight="1">
      <c r="B37" s="1291"/>
      <c r="C37" s="1272"/>
      <c r="D37" s="1266"/>
      <c r="E37" s="1266"/>
      <c r="F37" s="1266"/>
      <c r="G37" s="1266"/>
      <c r="H37" s="1273"/>
      <c r="I37" s="1273"/>
      <c r="J37" s="1273"/>
      <c r="K37" s="1273"/>
      <c r="L37" s="1273"/>
      <c r="M37" s="1273"/>
      <c r="N37" s="1273"/>
      <c r="O37" s="1273"/>
      <c r="P37" s="1273"/>
      <c r="Q37" s="1292"/>
      <c r="R37" s="1292"/>
      <c r="S37" s="1292"/>
      <c r="T37" s="1292"/>
      <c r="U37" s="2731"/>
      <c r="V37" s="1288"/>
      <c r="W37" s="1288"/>
      <c r="X37" s="1288"/>
      <c r="Y37" s="2976"/>
      <c r="Z37" s="1276"/>
      <c r="AB37" s="1190"/>
    </row>
    <row r="38" spans="2:36" ht="35" customHeight="1">
      <c r="B38" s="1291" t="s">
        <v>181</v>
      </c>
      <c r="C38" s="1272">
        <v>-34.351738000000068</v>
      </c>
      <c r="D38" s="1266">
        <f>D40+D32</f>
        <v>-34.463309770000009</v>
      </c>
      <c r="E38" s="1266">
        <f>E40+E32</f>
        <v>-31.400196700000052</v>
      </c>
      <c r="F38" s="1266">
        <f>F40+F32</f>
        <v>-8.7281479999999618</v>
      </c>
      <c r="G38" s="1266">
        <f t="shared" ref="G38:Y38" si="8">G40+G32</f>
        <v>-108.2582885600001</v>
      </c>
      <c r="H38" s="1273">
        <f t="shared" si="8"/>
        <v>-94.719196409999967</v>
      </c>
      <c r="I38" s="1273">
        <f t="shared" si="8"/>
        <v>26.28001399999998</v>
      </c>
      <c r="J38" s="1273">
        <f t="shared" si="8"/>
        <v>60.693773299999847</v>
      </c>
      <c r="K38" s="1273">
        <f t="shared" si="8"/>
        <v>-11.546608890000201</v>
      </c>
      <c r="L38" s="1273">
        <f t="shared" si="8"/>
        <v>-64.762136110000014</v>
      </c>
      <c r="M38" s="1273">
        <f t="shared" si="8"/>
        <v>-121.86931867028119</v>
      </c>
      <c r="N38" s="1273">
        <f t="shared" si="8"/>
        <v>-206.98110133549997</v>
      </c>
      <c r="O38" s="1273">
        <f t="shared" si="8"/>
        <v>-77.420935693399684</v>
      </c>
      <c r="P38" s="1273">
        <f t="shared" si="8"/>
        <v>9.0161885113330982</v>
      </c>
      <c r="Q38" s="1273">
        <f t="shared" si="8"/>
        <v>49.305511028384501</v>
      </c>
      <c r="R38" s="1273">
        <f t="shared" si="8"/>
        <v>78.577855976000166</v>
      </c>
      <c r="S38" s="1273">
        <f t="shared" si="8"/>
        <v>50.419673843000197</v>
      </c>
      <c r="T38" s="1273">
        <f t="shared" si="8"/>
        <v>108.43864646000011</v>
      </c>
      <c r="U38" s="1288">
        <f t="shared" si="8"/>
        <v>-22.922416699999928</v>
      </c>
      <c r="V38" s="1288">
        <f t="shared" si="8"/>
        <v>-333.33800300000007</v>
      </c>
      <c r="W38" s="1288">
        <f>W40+W32</f>
        <v>-116.57340452000005</v>
      </c>
      <c r="X38" s="1288">
        <f t="shared" si="8"/>
        <v>62.557475000000125</v>
      </c>
      <c r="Y38" s="1288">
        <f t="shared" si="8"/>
        <v>94.89066655011419</v>
      </c>
      <c r="Z38" s="1276">
        <f t="shared" si="1"/>
        <v>0.51685576424102808</v>
      </c>
      <c r="AB38" s="1190"/>
    </row>
    <row r="39" spans="2:36" ht="35" customHeight="1">
      <c r="B39" s="1291"/>
      <c r="C39" s="1272"/>
      <c r="D39" s="1266"/>
      <c r="E39" s="1266"/>
      <c r="F39" s="1266"/>
      <c r="G39" s="1266"/>
      <c r="H39" s="1273"/>
      <c r="I39" s="1273"/>
      <c r="J39" s="1273"/>
      <c r="K39" s="1273"/>
      <c r="L39" s="1273"/>
      <c r="M39" s="1273"/>
      <c r="N39" s="1273"/>
      <c r="O39" s="1273"/>
      <c r="P39" s="1273"/>
      <c r="Q39" s="1292"/>
      <c r="R39" s="1292"/>
      <c r="S39" s="1292"/>
      <c r="T39" s="1292"/>
      <c r="U39" s="2731"/>
      <c r="V39" s="1288"/>
      <c r="W39" s="1288"/>
      <c r="X39" s="1288"/>
      <c r="Y39" s="2977"/>
      <c r="Z39" s="1276"/>
      <c r="AB39" s="1190"/>
    </row>
    <row r="40" spans="2:36" ht="48" customHeight="1" thickBot="1">
      <c r="B40" s="1293" t="s">
        <v>182</v>
      </c>
      <c r="C40" s="2348">
        <v>-73.530402970000068</v>
      </c>
      <c r="D40" s="2349">
        <v>-74.95</v>
      </c>
      <c r="E40" s="2349">
        <f>+E9-E25</f>
        <v>-86.140196700000047</v>
      </c>
      <c r="F40" s="2349">
        <f t="shared" ref="F40:U40" si="9">+F9-F25</f>
        <v>-75.593491999999969</v>
      </c>
      <c r="G40" s="2349">
        <f t="shared" si="9"/>
        <v>-180.1282885600001</v>
      </c>
      <c r="H40" s="2350">
        <f t="shared" si="9"/>
        <v>-173.44011940999997</v>
      </c>
      <c r="I40" s="2350">
        <f t="shared" si="9"/>
        <v>-52.389986000000022</v>
      </c>
      <c r="J40" s="2350">
        <f t="shared" si="9"/>
        <v>-33.786226700000157</v>
      </c>
      <c r="K40" s="2350">
        <f t="shared" si="9"/>
        <v>-101.3466088900002</v>
      </c>
      <c r="L40" s="2350">
        <f t="shared" si="9"/>
        <v>-166.78213611000001</v>
      </c>
      <c r="M40" s="2350">
        <f t="shared" si="9"/>
        <v>-227.68931867028118</v>
      </c>
      <c r="N40" s="2350">
        <f t="shared" si="9"/>
        <v>-330.05899033549997</v>
      </c>
      <c r="O40" s="2350">
        <f t="shared" si="9"/>
        <v>-217.45068237339967</v>
      </c>
      <c r="P40" s="2350">
        <f t="shared" si="9"/>
        <v>-139.58355648866689</v>
      </c>
      <c r="Q40" s="2350">
        <f t="shared" si="9"/>
        <v>-107.24448897161551</v>
      </c>
      <c r="R40" s="2350">
        <f t="shared" si="9"/>
        <v>-80.125144023999837</v>
      </c>
      <c r="S40" s="2350">
        <f t="shared" si="9"/>
        <v>-111.98032615699981</v>
      </c>
      <c r="T40" s="2350">
        <f t="shared" si="9"/>
        <v>-57.346353539999882</v>
      </c>
      <c r="U40" s="2351">
        <f t="shared" si="9"/>
        <v>-193.72241669999994</v>
      </c>
      <c r="V40" s="2351">
        <f>+V9-V25</f>
        <v>-497.73800300000005</v>
      </c>
      <c r="W40" s="2351">
        <f>+W9-W25</f>
        <v>-287.55940452000004</v>
      </c>
      <c r="X40" s="2351">
        <f>+X9-X25</f>
        <v>-122.24252499999989</v>
      </c>
      <c r="Y40" s="2351">
        <f>+Y9-Y25</f>
        <v>-128.1822184498858</v>
      </c>
      <c r="Z40" s="2351"/>
      <c r="AB40" s="1430"/>
    </row>
    <row r="41" spans="2:36" s="1255" customFormat="1" ht="35" customHeight="1">
      <c r="B41" s="1054" t="s">
        <v>660</v>
      </c>
      <c r="C41" s="121"/>
      <c r="D41" s="121"/>
      <c r="E41" s="121"/>
      <c r="F41" s="121"/>
      <c r="G41" s="121"/>
      <c r="H41" s="121"/>
      <c r="I41" s="121"/>
      <c r="J41" s="121"/>
      <c r="K41" s="121"/>
      <c r="L41" s="1252"/>
      <c r="M41" s="1252"/>
      <c r="N41" s="1253"/>
      <c r="O41" s="1253"/>
      <c r="P41" s="1253"/>
      <c r="Q41" s="1253"/>
      <c r="R41" s="1252"/>
      <c r="S41" s="1252"/>
      <c r="T41" s="1252"/>
      <c r="U41" s="1252"/>
      <c r="V41" s="1252"/>
      <c r="W41" s="1252"/>
      <c r="X41" s="1252"/>
      <c r="Y41" s="1252"/>
      <c r="Z41" s="1252"/>
      <c r="AA41" s="4101"/>
      <c r="AB41" s="1252"/>
      <c r="AC41" s="1252"/>
      <c r="AD41" s="1252"/>
      <c r="AE41" s="1252"/>
      <c r="AF41" s="1253"/>
      <c r="AG41" s="1254"/>
      <c r="AH41" s="1254"/>
      <c r="AI41" s="1254"/>
      <c r="AJ41" s="1254"/>
    </row>
    <row r="42" spans="2:36" ht="35" customHeight="1">
      <c r="B42" s="1294" t="s">
        <v>520</v>
      </c>
      <c r="E42" s="1155" t="s">
        <v>161</v>
      </c>
      <c r="F42" s="1155" t="s">
        <v>162</v>
      </c>
      <c r="G42" s="1155" t="s">
        <v>163</v>
      </c>
      <c r="H42" s="1155" t="s">
        <v>164</v>
      </c>
      <c r="AA42" s="4102"/>
    </row>
    <row r="43" spans="2:36" ht="35" customHeight="1">
      <c r="B43" s="1066" t="s">
        <v>1877</v>
      </c>
      <c r="V43" s="4105"/>
      <c r="W43" s="4105"/>
      <c r="X43" s="4105"/>
      <c r="Y43" s="4105"/>
      <c r="Z43" s="4105"/>
      <c r="AA43" s="4102"/>
    </row>
    <row r="44" spans="2:36" ht="33.75">
      <c r="B44" s="1255"/>
      <c r="Z44" s="1256"/>
      <c r="AA44" s="4102"/>
    </row>
    <row r="45" spans="2:36">
      <c r="AA45" s="4102"/>
    </row>
    <row r="46" spans="2:36">
      <c r="AA46" s="4102"/>
    </row>
    <row r="47" spans="2:36">
      <c r="AA47" s="4102"/>
    </row>
    <row r="48" spans="2:36">
      <c r="AA48" s="4102"/>
    </row>
    <row r="50" spans="26:26">
      <c r="Z50" s="1155">
        <f>87.5-100</f>
        <v>-12.5</v>
      </c>
    </row>
    <row r="78" spans="2:2">
      <c r="B78" s="1155" t="s">
        <v>747</v>
      </c>
    </row>
  </sheetData>
  <mergeCells count="5">
    <mergeCell ref="B1:Z1"/>
    <mergeCell ref="B2:Z2"/>
    <mergeCell ref="B3:Z3"/>
    <mergeCell ref="B4:Z4"/>
    <mergeCell ref="B5:Z5"/>
  </mergeCells>
  <printOptions horizontalCentered="1" verticalCentered="1"/>
  <pageMargins left="0.25" right="0.25" top="0.75" bottom="0.75" header="0.3" footer="0.3"/>
  <pageSetup scale="30" firstPageNumber="103" orientation="landscape" useFirstPageNumber="1" r:id="rId1"/>
  <headerFooter scaleWithDoc="0" alignWithMargins="0">
    <oddFooter xml:space="preserve">&amp;C125
</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5">
    <tabColor rgb="FF00B0F0"/>
    <pageSetUpPr fitToPage="1"/>
  </sheetPr>
  <dimension ref="B1:AF78"/>
  <sheetViews>
    <sheetView view="pageBreakPreview" zoomScale="40" zoomScaleNormal="100" zoomScaleSheetLayoutView="40" workbookViewId="0">
      <selection activeCell="B44" sqref="B44"/>
    </sheetView>
  </sheetViews>
  <sheetFormatPr defaultColWidth="9.46484375" defaultRowHeight="30.75"/>
  <cols>
    <col min="1" max="1" width="9.46484375" style="279"/>
    <col min="2" max="2" width="79" style="279" customWidth="1"/>
    <col min="3" max="3" width="13" style="279" hidden="1" customWidth="1"/>
    <col min="4" max="6" width="14.46484375" style="279" hidden="1" customWidth="1"/>
    <col min="7" max="7" width="2.6640625" style="279" hidden="1" customWidth="1"/>
    <col min="8" max="8" width="25.46484375" style="279" hidden="1" customWidth="1"/>
    <col min="9" max="15" width="25.46484375" style="279" customWidth="1"/>
    <col min="16" max="17" width="25.46484375" style="280" customWidth="1"/>
    <col min="18" max="19" width="25.46484375" style="279" customWidth="1"/>
    <col min="20" max="20" width="28.46484375" style="279" customWidth="1"/>
    <col min="21" max="21" width="25.46484375" style="279" customWidth="1"/>
    <col min="22" max="22" width="28.46484375" style="279" customWidth="1"/>
    <col min="23" max="23" width="27.46484375" style="279" customWidth="1"/>
    <col min="24" max="29" width="9.46484375" style="279"/>
    <col min="30" max="32" width="9.46484375" style="280"/>
    <col min="33" max="16384" width="9.46484375" style="279"/>
  </cols>
  <sheetData>
    <row r="1" spans="2:32" ht="30" customHeight="1">
      <c r="B1" s="5860" t="s">
        <v>692</v>
      </c>
      <c r="C1" s="5860"/>
      <c r="D1" s="5860"/>
      <c r="E1" s="5860"/>
      <c r="F1" s="5860"/>
      <c r="G1" s="5860"/>
      <c r="H1" s="5860"/>
      <c r="I1" s="5860"/>
      <c r="J1" s="5860"/>
      <c r="K1" s="5860"/>
      <c r="L1" s="5860"/>
      <c r="M1" s="5860"/>
      <c r="N1" s="5860"/>
      <c r="O1" s="5860"/>
      <c r="P1" s="5860"/>
      <c r="Q1" s="5860"/>
      <c r="R1" s="5860"/>
      <c r="S1" s="5860"/>
      <c r="T1" s="5860"/>
      <c r="U1" s="5860"/>
      <c r="V1" s="5860"/>
    </row>
    <row r="2" spans="2:32" ht="30" customHeight="1">
      <c r="B2" s="5861" t="s">
        <v>203</v>
      </c>
      <c r="C2" s="5861"/>
      <c r="D2" s="5861"/>
      <c r="E2" s="5861"/>
      <c r="F2" s="5861"/>
      <c r="G2" s="5861"/>
      <c r="H2" s="5861"/>
      <c r="I2" s="5861"/>
      <c r="J2" s="5861"/>
      <c r="K2" s="5861"/>
      <c r="L2" s="5861"/>
      <c r="M2" s="5861"/>
      <c r="N2" s="5861"/>
      <c r="O2" s="5861"/>
      <c r="P2" s="5861"/>
      <c r="Q2" s="5861"/>
      <c r="R2" s="5861"/>
      <c r="S2" s="5861"/>
      <c r="T2" s="5861"/>
      <c r="U2" s="5861"/>
      <c r="V2" s="5861"/>
    </row>
    <row r="3" spans="2:32" ht="30" customHeight="1">
      <c r="B3" s="5861" t="s">
        <v>519</v>
      </c>
      <c r="C3" s="5861"/>
      <c r="D3" s="5861"/>
      <c r="E3" s="5861"/>
      <c r="F3" s="5861"/>
      <c r="G3" s="5861"/>
      <c r="H3" s="5861"/>
      <c r="I3" s="5861"/>
      <c r="J3" s="5861"/>
      <c r="K3" s="5861"/>
      <c r="L3" s="5861"/>
      <c r="M3" s="5861"/>
      <c r="N3" s="5861"/>
      <c r="O3" s="5861"/>
      <c r="P3" s="5861"/>
      <c r="Q3" s="5861"/>
      <c r="R3" s="5861"/>
      <c r="S3" s="5861"/>
      <c r="T3" s="5861"/>
      <c r="U3" s="5861"/>
      <c r="V3" s="5861"/>
    </row>
    <row r="4" spans="2:32" ht="30" customHeight="1">
      <c r="B4" s="5861" t="s">
        <v>171</v>
      </c>
      <c r="C4" s="5861"/>
      <c r="D4" s="5861"/>
      <c r="E4" s="5861"/>
      <c r="F4" s="5861"/>
      <c r="G4" s="5861"/>
      <c r="H4" s="5861"/>
      <c r="I4" s="5861"/>
      <c r="J4" s="5861"/>
      <c r="K4" s="5861"/>
      <c r="L4" s="5861"/>
      <c r="M4" s="5861"/>
      <c r="N4" s="5861"/>
      <c r="O4" s="5861"/>
      <c r="P4" s="5861"/>
      <c r="Q4" s="5861"/>
      <c r="R4" s="5861"/>
      <c r="S4" s="5861"/>
      <c r="T4" s="5861"/>
      <c r="U4" s="5861"/>
      <c r="V4" s="5861"/>
    </row>
    <row r="5" spans="2:32" ht="31.15" thickBot="1">
      <c r="C5" s="280"/>
      <c r="D5" s="281"/>
      <c r="E5" s="280"/>
      <c r="F5" s="280"/>
      <c r="G5" s="280"/>
      <c r="H5" s="282"/>
      <c r="I5" s="282"/>
      <c r="J5" s="282"/>
      <c r="K5" s="280"/>
    </row>
    <row r="6" spans="2:32" s="1512" customFormat="1" ht="60.4" thickBot="1">
      <c r="B6" s="4055"/>
      <c r="C6" s="4056" t="s">
        <v>183</v>
      </c>
      <c r="D6" s="4056" t="s">
        <v>162</v>
      </c>
      <c r="E6" s="4057" t="s">
        <v>163</v>
      </c>
      <c r="F6" s="4057" t="s">
        <v>164</v>
      </c>
      <c r="G6" s="4057" t="s">
        <v>165</v>
      </c>
      <c r="H6" s="4058" t="s">
        <v>295</v>
      </c>
      <c r="I6" s="4058" t="s">
        <v>428</v>
      </c>
      <c r="J6" s="4058" t="s">
        <v>284</v>
      </c>
      <c r="K6" s="4058" t="s">
        <v>478</v>
      </c>
      <c r="L6" s="4058" t="s">
        <v>485</v>
      </c>
      <c r="M6" s="4058" t="s">
        <v>540</v>
      </c>
      <c r="N6" s="4058" t="s">
        <v>588</v>
      </c>
      <c r="O6" s="4058" t="s">
        <v>610</v>
      </c>
      <c r="P6" s="4057" t="s">
        <v>710</v>
      </c>
      <c r="Q6" s="4057" t="s">
        <v>750</v>
      </c>
      <c r="R6" s="4057" t="s">
        <v>825</v>
      </c>
      <c r="S6" s="4059" t="s">
        <v>852</v>
      </c>
      <c r="T6" s="4060" t="s">
        <v>1032</v>
      </c>
      <c r="U6" s="4061" t="s">
        <v>1532</v>
      </c>
      <c r="V6" s="4062" t="s">
        <v>1964</v>
      </c>
      <c r="W6" s="4877" t="s">
        <v>1965</v>
      </c>
      <c r="AD6" s="4063"/>
      <c r="AE6" s="4063"/>
      <c r="AF6" s="4063"/>
    </row>
    <row r="7" spans="2:32">
      <c r="B7" s="430"/>
      <c r="C7" s="431"/>
      <c r="D7" s="431"/>
      <c r="E7" s="431"/>
      <c r="F7" s="431"/>
      <c r="G7" s="432"/>
      <c r="H7" s="433"/>
      <c r="I7" s="433"/>
      <c r="J7" s="433"/>
      <c r="K7" s="434"/>
      <c r="L7" s="435"/>
      <c r="M7" s="436"/>
      <c r="N7" s="436"/>
      <c r="O7" s="436"/>
      <c r="P7" s="300"/>
      <c r="Q7" s="300"/>
      <c r="R7" s="437"/>
      <c r="S7" s="2732"/>
      <c r="T7" s="446"/>
      <c r="U7" s="2759"/>
      <c r="V7" s="2979"/>
      <c r="W7" s="3388"/>
    </row>
    <row r="8" spans="2:32" ht="40.25" customHeight="1">
      <c r="B8" s="283" t="s">
        <v>2</v>
      </c>
      <c r="C8" s="438">
        <f>+'Central Gov''t Fiscal Operations'!E9/'Gov''t fiscal operations to GDP'!C$41</f>
        <v>0.23605372334180913</v>
      </c>
      <c r="D8" s="438">
        <f>+'Central Gov''t Fiscal Operations'!F9/'Gov''t fiscal operations to GDP'!D$41</f>
        <v>0.24167040927493563</v>
      </c>
      <c r="E8" s="438">
        <f>+'Central Gov''t Fiscal Operations'!G9/'Gov''t fiscal operations to GDP'!E$41</f>
        <v>0.23312227176401784</v>
      </c>
      <c r="F8" s="438" t="e">
        <f>+'Central Gov''t Fiscal Operations'!H9/'Gov''t fiscal operations to GDP'!F$41</f>
        <v>#REF!</v>
      </c>
      <c r="G8" s="438" t="e">
        <f>+'Central Gov''t Fiscal Operations'!I9/'Gov''t fiscal operations to GDP'!G$41</f>
        <v>#REF!</v>
      </c>
      <c r="H8" s="438">
        <f>+'Central Gov''t Fiscal Operations'!J9/'Gov''t fiscal operations to GDP'!H$41</f>
        <v>0.21626785358638803</v>
      </c>
      <c r="I8" s="438">
        <f>+'Central Gov''t Fiscal Operations'!K9/'Gov''t fiscal operations to GDP'!I$41</f>
        <v>0.21558450949593952</v>
      </c>
      <c r="J8" s="438">
        <f>+'Central Gov''t Fiscal Operations'!L9/'Gov''t fiscal operations to GDP'!J$41</f>
        <v>0.21530236345037226</v>
      </c>
      <c r="K8" s="438">
        <f>+'Central Gov''t Fiscal Operations'!M9/'Gov''t fiscal operations to GDP'!K$41</f>
        <v>0.21503853485565022</v>
      </c>
      <c r="L8" s="438">
        <f>+'Central Gov''t Fiscal Operations'!N9/'Gov''t fiscal operations to GDP'!L$41</f>
        <v>0.2015281634689747</v>
      </c>
      <c r="M8" s="438">
        <f>+'Central Gov''t Fiscal Operations'!O9/'Gov''t fiscal operations to GDP'!M$41</f>
        <v>0.202872042694901</v>
      </c>
      <c r="N8" s="438">
        <f>+'Central Gov''t Fiscal Operations'!P9/'Gov''t fiscal operations to GDP'!N$41</f>
        <v>0.20457588105933894</v>
      </c>
      <c r="O8" s="438">
        <f>+'Central Gov''t Fiscal Operations'!Q9/'Gov''t fiscal operations to GDP'!O$41</f>
        <v>0.20875119342919818</v>
      </c>
      <c r="P8" s="438">
        <f>+'Central Gov''t Fiscal Operations'!R9/'Gov''t fiscal operations to GDP'!P$41</f>
        <v>0.21064168026168559</v>
      </c>
      <c r="Q8" s="438">
        <f>+'Central Gov''t Fiscal Operations'!S9/'Gov''t fiscal operations to GDP'!Q$41</f>
        <v>0.20798109542093071</v>
      </c>
      <c r="R8" s="438">
        <f>+'Central Gov''t Fiscal Operations'!T9/'Gov''t fiscal operations to GDP'!R$41</f>
        <v>0.21515284891488795</v>
      </c>
      <c r="S8" s="439">
        <f>+'Central Gov''t Fiscal Operations'!U9/'Gov''t fiscal operations to GDP'!S$41</f>
        <v>0.22549977364698537</v>
      </c>
      <c r="T8" s="439">
        <f>+'Central Gov''t Fiscal Operations'!V9/'Gov''t fiscal operations to GDP'!T$41</f>
        <v>0.21429788929386021</v>
      </c>
      <c r="U8" s="2760">
        <f>+'Central Gov''t Fiscal Operations'!W9/'Gov''t fiscal operations to GDP'!U$41</f>
        <v>0.20955758486947057</v>
      </c>
      <c r="V8" s="2760">
        <f>+'Central Gov''t Fiscal Operations'!X9/'Gov''t fiscal operations to GDP'!V$41</f>
        <v>0.20671300824657601</v>
      </c>
      <c r="W8" s="3389">
        <f>+'Central Gov''t Fiscal Operations'!Y9/'Gov''t fiscal operations to GDP'!W$41</f>
        <v>0.2137022232587045</v>
      </c>
    </row>
    <row r="9" spans="2:32" ht="40.25" customHeight="1">
      <c r="B9" s="284" t="s">
        <v>50</v>
      </c>
      <c r="C9" s="300">
        <f>+'Central Gov''t Fiscal Operations'!E10/'Gov''t fiscal operations to GDP'!C$41</f>
        <v>0</v>
      </c>
      <c r="D9" s="300">
        <f>+'Central Gov''t Fiscal Operations'!F10/'Gov''t fiscal operations to GDP'!D$41</f>
        <v>0</v>
      </c>
      <c r="E9" s="300">
        <f>+'Central Gov''t Fiscal Operations'!G10/'Gov''t fiscal operations to GDP'!E$41</f>
        <v>0</v>
      </c>
      <c r="F9" s="300" t="e">
        <f>+'Central Gov''t Fiscal Operations'!H10/'Gov''t fiscal operations to GDP'!F$41</f>
        <v>#REF!</v>
      </c>
      <c r="G9" s="300" t="e">
        <f>+'Central Gov''t Fiscal Operations'!I10/'Gov''t fiscal operations to GDP'!G$41</f>
        <v>#REF!</v>
      </c>
      <c r="H9" s="300">
        <f>+'Central Gov''t Fiscal Operations'!J10/'Gov''t fiscal operations to GDP'!H$41</f>
        <v>0</v>
      </c>
      <c r="I9" s="300">
        <f>+'Central Gov''t Fiscal Operations'!K10/'Gov''t fiscal operations to GDP'!I$41</f>
        <v>0</v>
      </c>
      <c r="J9" s="300">
        <f>+'Central Gov''t Fiscal Operations'!L10/'Gov''t fiscal operations to GDP'!J$41</f>
        <v>0</v>
      </c>
      <c r="K9" s="300">
        <f>+'Central Gov''t Fiscal Operations'!M10/'Gov''t fiscal operations to GDP'!K$41</f>
        <v>0</v>
      </c>
      <c r="L9" s="300">
        <f>+'Central Gov''t Fiscal Operations'!N10/'Gov''t fiscal operations to GDP'!L$41</f>
        <v>0</v>
      </c>
      <c r="M9" s="300">
        <f>+'Central Gov''t Fiscal Operations'!O10/'Gov''t fiscal operations to GDP'!M$41</f>
        <v>0</v>
      </c>
      <c r="N9" s="300">
        <f>+'Central Gov''t Fiscal Operations'!P10/'Gov''t fiscal operations to GDP'!N$41</f>
        <v>0</v>
      </c>
      <c r="O9" s="300">
        <f>+'Central Gov''t Fiscal Operations'!Q10/'Gov''t fiscal operations to GDP'!O$41</f>
        <v>0</v>
      </c>
      <c r="P9" s="300">
        <f>+'Central Gov''t Fiscal Operations'!R10/'Gov''t fiscal operations to GDP'!P$41</f>
        <v>0</v>
      </c>
      <c r="Q9" s="300">
        <f>+'Central Gov''t Fiscal Operations'!S10/'Gov''t fiscal operations to GDP'!Q$41</f>
        <v>0</v>
      </c>
      <c r="R9" s="300">
        <f>+'Central Gov''t Fiscal Operations'!T10/'Gov''t fiscal operations to GDP'!R$41</f>
        <v>0</v>
      </c>
      <c r="S9" s="440">
        <f>+'Central Gov''t Fiscal Operations'!U10/'Gov''t fiscal operations to GDP'!S$41</f>
        <v>0</v>
      </c>
      <c r="T9" s="440">
        <f>+'Central Gov''t Fiscal Operations'!V10/'Gov''t fiscal operations to GDP'!T$41</f>
        <v>0</v>
      </c>
      <c r="U9" s="2761">
        <f>+'Central Gov''t Fiscal Operations'!W10/'Gov''t fiscal operations to GDP'!U$41</f>
        <v>0</v>
      </c>
      <c r="V9" s="2761">
        <f>+'Central Gov''t Fiscal Operations'!X10/'Gov''t fiscal operations to GDP'!V$41</f>
        <v>0</v>
      </c>
      <c r="W9" s="3390">
        <f>+'Central Gov''t Fiscal Operations'!Y10/'Gov''t fiscal operations to GDP'!W$41</f>
        <v>0</v>
      </c>
    </row>
    <row r="10" spans="2:32" ht="40.25" customHeight="1">
      <c r="B10" s="285" t="s">
        <v>3</v>
      </c>
      <c r="C10" s="300">
        <f>+'Central Gov''t Fiscal Operations'!E11/'Gov''t fiscal operations to GDP'!C$41</f>
        <v>8.3051956961717622E-3</v>
      </c>
      <c r="D10" s="300">
        <f>+'Central Gov''t Fiscal Operations'!F11/'Gov''t fiscal operations to GDP'!D$41</f>
        <v>8.9047838504755974E-3</v>
      </c>
      <c r="E10" s="300">
        <f>+'Central Gov''t Fiscal Operations'!G11/'Gov''t fiscal operations to GDP'!E$41</f>
        <v>4.1107359065472712E-3</v>
      </c>
      <c r="F10" s="300" t="e">
        <f>+'Central Gov''t Fiscal Operations'!H11/'Gov''t fiscal operations to GDP'!F$41</f>
        <v>#REF!</v>
      </c>
      <c r="G10" s="300" t="e">
        <f>+'Central Gov''t Fiscal Operations'!I11/'Gov''t fiscal operations to GDP'!G$41</f>
        <v>#REF!</v>
      </c>
      <c r="H10" s="300">
        <f>+'Central Gov''t Fiscal Operations'!J11/'Gov''t fiscal operations to GDP'!H$41</f>
        <v>4.5501059400108188E-3</v>
      </c>
      <c r="I10" s="300">
        <f>+'Central Gov''t Fiscal Operations'!K11/'Gov''t fiscal operations to GDP'!I$41</f>
        <v>1.7503030616810137E-2</v>
      </c>
      <c r="J10" s="300">
        <f>+'Central Gov''t Fiscal Operations'!L11/'Gov''t fiscal operations to GDP'!J$41</f>
        <v>2.1107125304670054E-2</v>
      </c>
      <c r="K10" s="300">
        <f>+'Central Gov''t Fiscal Operations'!M11/'Gov''t fiscal operations to GDP'!K$41</f>
        <v>1.8427411097776025E-2</v>
      </c>
      <c r="L10" s="300">
        <f>+'Central Gov''t Fiscal Operations'!N11/'Gov''t fiscal operations to GDP'!L$41</f>
        <v>1.4501146503889584E-2</v>
      </c>
      <c r="M10" s="300">
        <f>+'Central Gov''t Fiscal Operations'!O11/'Gov''t fiscal operations to GDP'!M$41</f>
        <v>1.2228229773379553E-2</v>
      </c>
      <c r="N10" s="300">
        <f>+'Central Gov''t Fiscal Operations'!P11/'Gov''t fiscal operations to GDP'!N$41</f>
        <v>1.2449409109700259E-2</v>
      </c>
      <c r="O10" s="300">
        <f>+'Central Gov''t Fiscal Operations'!Q11/'Gov''t fiscal operations to GDP'!O$41</f>
        <v>9.1693127393029632E-3</v>
      </c>
      <c r="P10" s="300">
        <f>+'Central Gov''t Fiscal Operations'!R11/'Gov''t fiscal operations to GDP'!P$41</f>
        <v>9.3794856139701628E-3</v>
      </c>
      <c r="Q10" s="300">
        <f>+'Central Gov''t Fiscal Operations'!S11/'Gov''t fiscal operations to GDP'!Q$41</f>
        <v>1.1758640038107138E-2</v>
      </c>
      <c r="R10" s="300">
        <f>+'Central Gov''t Fiscal Operations'!T11/'Gov''t fiscal operations to GDP'!R$41</f>
        <v>8.319271204600796E-3</v>
      </c>
      <c r="S10" s="440">
        <f>+'Central Gov''t Fiscal Operations'!U11/'Gov''t fiscal operations to GDP'!S$41</f>
        <v>7.615435343894205E-3</v>
      </c>
      <c r="T10" s="440">
        <f>+'Central Gov''t Fiscal Operations'!V11/'Gov''t fiscal operations to GDP'!T$41</f>
        <v>1.1062703896816689E-2</v>
      </c>
      <c r="U10" s="2761">
        <f>+'Central Gov''t Fiscal Operations'!W11/'Gov''t fiscal operations to GDP'!U$41</f>
        <v>1.4741128376194729E-2</v>
      </c>
      <c r="V10" s="2761">
        <f>+'Central Gov''t Fiscal Operations'!X11/'Gov''t fiscal operations to GDP'!V$41</f>
        <v>1.1935317630112085E-2</v>
      </c>
      <c r="W10" s="3390">
        <f>+'Central Gov''t Fiscal Operations'!Y11/'Gov''t fiscal operations to GDP'!W$41</f>
        <v>1.0926269971771534E-2</v>
      </c>
    </row>
    <row r="11" spans="2:32" ht="40.25" customHeight="1">
      <c r="B11" s="285" t="s">
        <v>4</v>
      </c>
      <c r="C11" s="300">
        <f>+'Central Gov''t Fiscal Operations'!E12/'Gov''t fiscal operations to GDP'!C$41</f>
        <v>3.8845540646280327E-3</v>
      </c>
      <c r="D11" s="300">
        <f>+'Central Gov''t Fiscal Operations'!F12/'Gov''t fiscal operations to GDP'!D$41</f>
        <v>3.6204189912318949E-4</v>
      </c>
      <c r="E11" s="300">
        <f>+'Central Gov''t Fiscal Operations'!G12/'Gov''t fiscal operations to GDP'!E$41</f>
        <v>2.4021887710708493E-4</v>
      </c>
      <c r="F11" s="300" t="e">
        <f>+'Central Gov''t Fiscal Operations'!H12/'Gov''t fiscal operations to GDP'!F$41</f>
        <v>#REF!</v>
      </c>
      <c r="G11" s="300" t="e">
        <f>+'Central Gov''t Fiscal Operations'!I12/'Gov''t fiscal operations to GDP'!G$41</f>
        <v>#REF!</v>
      </c>
      <c r="H11" s="300">
        <f>+'Central Gov''t Fiscal Operations'!J12/'Gov''t fiscal operations to GDP'!H$41</f>
        <v>1.7542435710504653E-3</v>
      </c>
      <c r="I11" s="300">
        <f>+'Central Gov''t Fiscal Operations'!K12/'Gov''t fiscal operations to GDP'!I$41</f>
        <v>1.0430029001966995E-5</v>
      </c>
      <c r="J11" s="300">
        <f>+'Central Gov''t Fiscal Operations'!L12/'Gov''t fiscal operations to GDP'!J$41</f>
        <v>2.4619648752668895E-4</v>
      </c>
      <c r="K11" s="300">
        <f>+'Central Gov''t Fiscal Operations'!M12/'Gov''t fiscal operations to GDP'!K$41</f>
        <v>1.6514643652343548E-4</v>
      </c>
      <c r="L11" s="300">
        <f>+'Central Gov''t Fiscal Operations'!N12/'Gov''t fiscal operations to GDP'!L$41</f>
        <v>1.281855694249772E-3</v>
      </c>
      <c r="M11" s="300">
        <f>+'Central Gov''t Fiscal Operations'!O12/'Gov''t fiscal operations to GDP'!M$41</f>
        <v>2.5690254492144849E-5</v>
      </c>
      <c r="N11" s="300">
        <f>+'Central Gov''t Fiscal Operations'!P12/'Gov''t fiscal operations to GDP'!N$41</f>
        <v>3.7797386269267241E-5</v>
      </c>
      <c r="O11" s="300">
        <f>+'Central Gov''t Fiscal Operations'!Q12/'Gov''t fiscal operations to GDP'!O$41</f>
        <v>1.2190803349468808E-5</v>
      </c>
      <c r="P11" s="300">
        <f>+'Central Gov''t Fiscal Operations'!R12/'Gov''t fiscal operations to GDP'!P$41</f>
        <v>4.9673399670512469E-5</v>
      </c>
      <c r="Q11" s="300">
        <f>+'Central Gov''t Fiscal Operations'!S12/'Gov''t fiscal operations to GDP'!Q$41</f>
        <v>2.3905281178417825E-5</v>
      </c>
      <c r="R11" s="300">
        <f>+'Central Gov''t Fiscal Operations'!T12/'Gov''t fiscal operations to GDP'!R$41</f>
        <v>3.5792048928406606E-5</v>
      </c>
      <c r="S11" s="440">
        <f>+'Central Gov''t Fiscal Operations'!U12/'Gov''t fiscal operations to GDP'!S$41</f>
        <v>1.6555294225856966E-4</v>
      </c>
      <c r="T11" s="440">
        <f>+'Central Gov''t Fiscal Operations'!V12/'Gov''t fiscal operations to GDP'!T$41</f>
        <v>9.7361569877168138E-5</v>
      </c>
      <c r="U11" s="2761">
        <f>+'Central Gov''t Fiscal Operations'!W12/'Gov''t fiscal operations to GDP'!U$41</f>
        <v>6.6575040152201334E-4</v>
      </c>
      <c r="V11" s="2761">
        <f>+'Central Gov''t Fiscal Operations'!X12/'Gov''t fiscal operations to GDP'!V$41</f>
        <v>2.3463701373912919E-4</v>
      </c>
      <c r="W11" s="3390">
        <f>+'Central Gov''t Fiscal Operations'!Y12/'Gov''t fiscal operations to GDP'!W$41</f>
        <v>1.9457741045620541E-4</v>
      </c>
    </row>
    <row r="12" spans="2:32" ht="40.25" customHeight="1">
      <c r="B12" s="284"/>
      <c r="C12" s="438"/>
      <c r="D12" s="438"/>
      <c r="E12" s="438"/>
      <c r="F12" s="438"/>
      <c r="G12" s="438"/>
      <c r="H12" s="438"/>
      <c r="I12" s="438"/>
      <c r="J12" s="438"/>
      <c r="K12" s="438"/>
      <c r="L12" s="438"/>
      <c r="M12" s="438"/>
      <c r="N12" s="438"/>
      <c r="O12" s="438"/>
      <c r="P12" s="438"/>
      <c r="Q12" s="438"/>
      <c r="R12" s="438"/>
      <c r="S12" s="439"/>
      <c r="T12" s="439"/>
      <c r="U12" s="2760"/>
      <c r="V12" s="2760"/>
      <c r="W12" s="3389"/>
    </row>
    <row r="13" spans="2:32" ht="40.25" customHeight="1">
      <c r="B13" s="283" t="s">
        <v>173</v>
      </c>
      <c r="C13" s="438">
        <f>+'Central Gov''t Fiscal Operations'!E14/'Gov''t fiscal operations to GDP'!C$41</f>
        <v>0.22386397358100937</v>
      </c>
      <c r="D13" s="438">
        <f>+'Central Gov''t Fiscal Operations'!F14/'Gov''t fiscal operations to GDP'!D$41</f>
        <v>0.23240358352533683</v>
      </c>
      <c r="E13" s="438">
        <f>+'Central Gov''t Fiscal Operations'!G14/'Gov''t fiscal operations to GDP'!E$41</f>
        <v>0.22877131698036349</v>
      </c>
      <c r="F13" s="438" t="e">
        <f>+'Central Gov''t Fiscal Operations'!H14/'Gov''t fiscal operations to GDP'!F$41</f>
        <v>#REF!</v>
      </c>
      <c r="G13" s="438" t="e">
        <f>+'Central Gov''t Fiscal Operations'!I14/'Gov''t fiscal operations to GDP'!G$41</f>
        <v>#REF!</v>
      </c>
      <c r="H13" s="438">
        <f>+'Central Gov''t Fiscal Operations'!J14/'Gov''t fiscal operations to GDP'!H$41</f>
        <v>0.20996350407532674</v>
      </c>
      <c r="I13" s="438">
        <f>+'Central Gov''t Fiscal Operations'!K14/'Gov''t fiscal operations to GDP'!I$41</f>
        <v>0.19807104885012741</v>
      </c>
      <c r="J13" s="438">
        <f>+'Central Gov''t Fiscal Operations'!L14/'Gov''t fiscal operations to GDP'!J$41</f>
        <v>0.19394904165817553</v>
      </c>
      <c r="K13" s="438">
        <f>+'Central Gov''t Fiscal Operations'!M14/'Gov''t fiscal operations to GDP'!K$41</f>
        <v>0.19644597732135075</v>
      </c>
      <c r="L13" s="438">
        <f>+'Central Gov''t Fiscal Operations'!N14/'Gov''t fiscal operations to GDP'!L$41</f>
        <v>0.18574516127083535</v>
      </c>
      <c r="M13" s="438">
        <f>+'Central Gov''t Fiscal Operations'!O14/'Gov''t fiscal operations to GDP'!M$41</f>
        <v>0.19061812266702929</v>
      </c>
      <c r="N13" s="438">
        <f>+'Central Gov''t Fiscal Operations'!P14/'Gov''t fiscal operations to GDP'!N$41</f>
        <v>0.19208867456336942</v>
      </c>
      <c r="O13" s="438">
        <f>+'Central Gov''t Fiscal Operations'!Q14/'Gov''t fiscal operations to GDP'!O$41</f>
        <v>0.19956968988654572</v>
      </c>
      <c r="P13" s="438">
        <f>+'Central Gov''t Fiscal Operations'!R14/'Gov''t fiscal operations to GDP'!P$41</f>
        <v>0.2012125212480449</v>
      </c>
      <c r="Q13" s="438">
        <f>+'Central Gov''t Fiscal Operations'!S14/'Gov''t fiscal operations to GDP'!Q$41</f>
        <v>0.19619855010164514</v>
      </c>
      <c r="R13" s="438">
        <f>+'Central Gov''t Fiscal Operations'!T14/'Gov''t fiscal operations to GDP'!R$41</f>
        <v>0.20679778566135876</v>
      </c>
      <c r="S13" s="439">
        <f>+'Central Gov''t Fiscal Operations'!U14/'Gov''t fiscal operations to GDP'!S$41</f>
        <v>0.21771878536083258</v>
      </c>
      <c r="T13" s="439">
        <f>+'Central Gov''t Fiscal Operations'!V14/'Gov''t fiscal operations to GDP'!T$41</f>
        <v>0.20313782382716636</v>
      </c>
      <c r="U13" s="2760">
        <f>+'Central Gov''t Fiscal Operations'!W14/'Gov''t fiscal operations to GDP'!U$41</f>
        <v>0.19415070609175383</v>
      </c>
      <c r="V13" s="2760">
        <f>+'Central Gov''t Fiscal Operations'!X14/'Gov''t fiscal operations to GDP'!V$41</f>
        <v>0.19454305360272481</v>
      </c>
      <c r="W13" s="3389">
        <f>+'Central Gov''t Fiscal Operations'!Y14/'Gov''t fiscal operations to GDP'!W$41</f>
        <v>0.20258137587647676</v>
      </c>
    </row>
    <row r="14" spans="2:32" ht="40.25" customHeight="1">
      <c r="B14" s="283"/>
      <c r="C14" s="438"/>
      <c r="D14" s="438"/>
      <c r="E14" s="438"/>
      <c r="F14" s="438"/>
      <c r="G14" s="438"/>
      <c r="H14" s="438"/>
      <c r="I14" s="438"/>
      <c r="J14" s="438"/>
      <c r="K14" s="438"/>
      <c r="L14" s="438"/>
      <c r="M14" s="438"/>
      <c r="N14" s="438"/>
      <c r="O14" s="438"/>
      <c r="P14" s="438"/>
      <c r="Q14" s="438"/>
      <c r="R14" s="438"/>
      <c r="S14" s="439"/>
      <c r="T14" s="439"/>
      <c r="U14" s="2760"/>
      <c r="V14" s="2760"/>
      <c r="W14" s="3389"/>
    </row>
    <row r="15" spans="2:32" ht="40.25" customHeight="1">
      <c r="B15" s="283" t="s">
        <v>174</v>
      </c>
      <c r="C15" s="438">
        <f>+'Central Gov''t Fiscal Operations'!E16/'Gov''t fiscal operations to GDP'!C$41</f>
        <v>0.20371476842965816</v>
      </c>
      <c r="D15" s="438">
        <f>+'Central Gov''t Fiscal Operations'!F16/'Gov''t fiscal operations to GDP'!D$41</f>
        <v>0.21283772236843682</v>
      </c>
      <c r="E15" s="438">
        <f>+'Central Gov''t Fiscal Operations'!G16/'Gov''t fiscal operations to GDP'!E$41</f>
        <v>0.21260647706017394</v>
      </c>
      <c r="F15" s="438" t="e">
        <f>+'Central Gov''t Fiscal Operations'!H16/'Gov''t fiscal operations to GDP'!F$41</f>
        <v>#REF!</v>
      </c>
      <c r="G15" s="438" t="e">
        <f>+'Central Gov''t Fiscal Operations'!I16/'Gov''t fiscal operations to GDP'!G$41</f>
        <v>#REF!</v>
      </c>
      <c r="H15" s="438">
        <f>+'Central Gov''t Fiscal Operations'!J16/'Gov''t fiscal operations to GDP'!H$41</f>
        <v>0.19245150362223576</v>
      </c>
      <c r="I15" s="438">
        <f>+'Central Gov''t Fiscal Operations'!K16/'Gov''t fiscal operations to GDP'!I$41</f>
        <v>0.18272279104017572</v>
      </c>
      <c r="J15" s="438">
        <f>+'Central Gov''t Fiscal Operations'!L16/'Gov''t fiscal operations to GDP'!J$41</f>
        <v>0.18137495071071938</v>
      </c>
      <c r="K15" s="438">
        <f>+'Central Gov''t Fiscal Operations'!M16/'Gov''t fiscal operations to GDP'!K$41</f>
        <v>0.17967376317509692</v>
      </c>
      <c r="L15" s="438">
        <f>+'Central Gov''t Fiscal Operations'!N16/'Gov''t fiscal operations to GDP'!L$41</f>
        <v>0.17368724966616556</v>
      </c>
      <c r="M15" s="438">
        <f>+'Central Gov''t Fiscal Operations'!O16/'Gov''t fiscal operations to GDP'!M$41</f>
        <v>0.18030432660598741</v>
      </c>
      <c r="N15" s="438">
        <f>+'Central Gov''t Fiscal Operations'!P16/'Gov''t fiscal operations to GDP'!N$41</f>
        <v>0.18313208743779655</v>
      </c>
      <c r="O15" s="438">
        <f>+'Central Gov''t Fiscal Operations'!Q16/'Gov''t fiscal operations to GDP'!O$41</f>
        <v>0.18965653496286936</v>
      </c>
      <c r="P15" s="438">
        <f>+'Central Gov''t Fiscal Operations'!R16/'Gov''t fiscal operations to GDP'!P$41</f>
        <v>0.19037437687180825</v>
      </c>
      <c r="Q15" s="438">
        <f>+'Central Gov''t Fiscal Operations'!S16/'Gov''t fiscal operations to GDP'!Q$41</f>
        <v>0.18241623606839577</v>
      </c>
      <c r="R15" s="438">
        <f>+'Central Gov''t Fiscal Operations'!T16/'Gov''t fiscal operations to GDP'!R$41</f>
        <v>0.18555341501990302</v>
      </c>
      <c r="S15" s="439">
        <f>+'Central Gov''t Fiscal Operations'!U16/'Gov''t fiscal operations to GDP'!S$41</f>
        <v>0.20172484881274894</v>
      </c>
      <c r="T15" s="439">
        <f>+'Central Gov''t Fiscal Operations'!V16/'Gov''t fiscal operations to GDP'!T$41</f>
        <v>0.18732232351602193</v>
      </c>
      <c r="U15" s="2760">
        <f>+'Central Gov''t Fiscal Operations'!W16/'Gov''t fiscal operations to GDP'!U$41</f>
        <v>0.17578196252034817</v>
      </c>
      <c r="V15" s="2760">
        <f>+'Central Gov''t Fiscal Operations'!X16/'Gov''t fiscal operations to GDP'!V$41</f>
        <v>0.17516729147911972</v>
      </c>
      <c r="W15" s="3389">
        <f>+'Central Gov''t Fiscal Operations'!Y16/'Gov''t fiscal operations to GDP'!W$41</f>
        <v>0.1843107067095702</v>
      </c>
    </row>
    <row r="16" spans="2:32" ht="40.25" customHeight="1">
      <c r="B16" s="284" t="s">
        <v>50</v>
      </c>
      <c r="C16" s="300">
        <f>+'Central Gov''t Fiscal Operations'!E17/'Gov''t fiscal operations to GDP'!C$41</f>
        <v>0</v>
      </c>
      <c r="D16" s="300">
        <f>+'Central Gov''t Fiscal Operations'!F17/'Gov''t fiscal operations to GDP'!D$41</f>
        <v>0</v>
      </c>
      <c r="E16" s="300">
        <f>+'Central Gov''t Fiscal Operations'!G17/'Gov''t fiscal operations to GDP'!E$41</f>
        <v>0</v>
      </c>
      <c r="F16" s="300" t="e">
        <f>+'Central Gov''t Fiscal Operations'!H17/'Gov''t fiscal operations to GDP'!F$41</f>
        <v>#REF!</v>
      </c>
      <c r="G16" s="300" t="e">
        <f>+'Central Gov''t Fiscal Operations'!I17/'Gov''t fiscal operations to GDP'!G$41</f>
        <v>#REF!</v>
      </c>
      <c r="H16" s="300">
        <f>+'Central Gov''t Fiscal Operations'!J17/'Gov''t fiscal operations to GDP'!H$41</f>
        <v>0</v>
      </c>
      <c r="I16" s="300">
        <f>+'Central Gov''t Fiscal Operations'!K17/'Gov''t fiscal operations to GDP'!I$41</f>
        <v>0</v>
      </c>
      <c r="J16" s="300">
        <f>+'Central Gov''t Fiscal Operations'!L17/'Gov''t fiscal operations to GDP'!J$41</f>
        <v>0</v>
      </c>
      <c r="K16" s="300">
        <f>+'Central Gov''t Fiscal Operations'!M17/'Gov''t fiscal operations to GDP'!K$41</f>
        <v>0</v>
      </c>
      <c r="L16" s="300">
        <f>+'Central Gov''t Fiscal Operations'!N17/'Gov''t fiscal operations to GDP'!L$41</f>
        <v>0</v>
      </c>
      <c r="M16" s="300">
        <f>+'Central Gov''t Fiscal Operations'!O17/'Gov''t fiscal operations to GDP'!M$41</f>
        <v>0</v>
      </c>
      <c r="N16" s="300">
        <f>+'Central Gov''t Fiscal Operations'!P17/'Gov''t fiscal operations to GDP'!N$41</f>
        <v>0</v>
      </c>
      <c r="O16" s="300">
        <f>+'Central Gov''t Fiscal Operations'!Q17/'Gov''t fiscal operations to GDP'!O$41</f>
        <v>0</v>
      </c>
      <c r="P16" s="300">
        <f>+'Central Gov''t Fiscal Operations'!R17/'Gov''t fiscal operations to GDP'!P$41</f>
        <v>0</v>
      </c>
      <c r="Q16" s="300">
        <f>+'Central Gov''t Fiscal Operations'!S17/'Gov''t fiscal operations to GDP'!Q$41</f>
        <v>0</v>
      </c>
      <c r="R16" s="300">
        <f>+'Central Gov''t Fiscal Operations'!T17/'Gov''t fiscal operations to GDP'!R$41</f>
        <v>0</v>
      </c>
      <c r="S16" s="440">
        <f>+'Central Gov''t Fiscal Operations'!U17/'Gov''t fiscal operations to GDP'!S$41</f>
        <v>0</v>
      </c>
      <c r="T16" s="440">
        <f>+'Central Gov''t Fiscal Operations'!V17/'Gov''t fiscal operations to GDP'!T$41</f>
        <v>0</v>
      </c>
      <c r="U16" s="2761">
        <f>+'Central Gov''t Fiscal Operations'!W17/'Gov''t fiscal operations to GDP'!U$41</f>
        <v>0</v>
      </c>
      <c r="V16" s="2761">
        <f>+'Central Gov''t Fiscal Operations'!X17/'Gov''t fiscal operations to GDP'!V$41</f>
        <v>0</v>
      </c>
      <c r="W16" s="3390">
        <f>+'Central Gov''t Fiscal Operations'!Y17/'Gov''t fiscal operations to GDP'!W$41</f>
        <v>0</v>
      </c>
    </row>
    <row r="17" spans="2:23" ht="40.25" customHeight="1">
      <c r="B17" s="285" t="s">
        <v>5</v>
      </c>
      <c r="C17" s="300">
        <f>+'Central Gov''t Fiscal Operations'!E18/'Gov''t fiscal operations to GDP'!C$41</f>
        <v>4.9419933576341703E-2</v>
      </c>
      <c r="D17" s="300">
        <f>+'Central Gov''t Fiscal Operations'!F18/'Gov''t fiscal operations to GDP'!D$41</f>
        <v>5.4559782624079463E-2</v>
      </c>
      <c r="E17" s="300">
        <f>+'Central Gov''t Fiscal Operations'!G18/'Gov''t fiscal operations to GDP'!E$41</f>
        <v>5.5199905562285129E-2</v>
      </c>
      <c r="F17" s="300" t="e">
        <f>+'Central Gov''t Fiscal Operations'!H18/'Gov''t fiscal operations to GDP'!F$41</f>
        <v>#REF!</v>
      </c>
      <c r="G17" s="300" t="e">
        <f>+'Central Gov''t Fiscal Operations'!I18/'Gov''t fiscal operations to GDP'!G$41</f>
        <v>#REF!</v>
      </c>
      <c r="H17" s="300">
        <f>+'Central Gov''t Fiscal Operations'!J18/'Gov''t fiscal operations to GDP'!H$41</f>
        <v>6.0496726833071425E-2</v>
      </c>
      <c r="I17" s="300">
        <f>+'Central Gov''t Fiscal Operations'!K18/'Gov''t fiscal operations to GDP'!I$41</f>
        <v>5.6737654818145175E-2</v>
      </c>
      <c r="J17" s="300">
        <f>+'Central Gov''t Fiscal Operations'!L18/'Gov''t fiscal operations to GDP'!J$41</f>
        <v>5.5162740778340755E-2</v>
      </c>
      <c r="K17" s="300">
        <f>+'Central Gov''t Fiscal Operations'!M18/'Gov''t fiscal operations to GDP'!K$41</f>
        <v>5.6620009899345333E-2</v>
      </c>
      <c r="L17" s="300">
        <f>+'Central Gov''t Fiscal Operations'!N18/'Gov''t fiscal operations to GDP'!L$41</f>
        <v>5.1494293668568211E-2</v>
      </c>
      <c r="M17" s="300">
        <f>+'Central Gov''t Fiscal Operations'!O18/'Gov''t fiscal operations to GDP'!M$41</f>
        <v>4.8403607253619377E-2</v>
      </c>
      <c r="N17" s="300">
        <f>+'Central Gov''t Fiscal Operations'!P18/'Gov''t fiscal operations to GDP'!N$41</f>
        <v>4.7058161050729942E-2</v>
      </c>
      <c r="O17" s="300">
        <f>+'Central Gov''t Fiscal Operations'!Q18/'Gov''t fiscal operations to GDP'!O$41</f>
        <v>4.9058500324767614E-2</v>
      </c>
      <c r="P17" s="300">
        <f>+'Central Gov''t Fiscal Operations'!R18/'Gov''t fiscal operations to GDP'!P$41</f>
        <v>5.0354243072682756E-2</v>
      </c>
      <c r="Q17" s="300">
        <f>+'Central Gov''t Fiscal Operations'!S18/'Gov''t fiscal operations to GDP'!Q$41</f>
        <v>4.5476487479930598E-2</v>
      </c>
      <c r="R17" s="300">
        <f>+'Central Gov''t Fiscal Operations'!T18/'Gov''t fiscal operations to GDP'!R$41</f>
        <v>4.810809296467132E-2</v>
      </c>
      <c r="S17" s="440">
        <f>+'Central Gov''t Fiscal Operations'!U18/'Gov''t fiscal operations to GDP'!S$41</f>
        <v>4.909006290369225E-2</v>
      </c>
      <c r="T17" s="440">
        <f>+'Central Gov''t Fiscal Operations'!V18/'Gov''t fiscal operations to GDP'!T$41</f>
        <v>5.3689143079793861E-2</v>
      </c>
      <c r="U17" s="2761">
        <f>+'Central Gov''t Fiscal Operations'!W18/'Gov''t fiscal operations to GDP'!U$41</f>
        <v>4.4077516548879418E-2</v>
      </c>
      <c r="V17" s="2761">
        <f>+'Central Gov''t Fiscal Operations'!X18/'Gov''t fiscal operations to GDP'!V$41</f>
        <v>4.4798267640043896E-2</v>
      </c>
      <c r="W17" s="3390">
        <f>+'Central Gov''t Fiscal Operations'!Y18/'Gov''t fiscal operations to GDP'!W$41</f>
        <v>4.7956361291964372E-2</v>
      </c>
    </row>
    <row r="18" spans="2:23" ht="40.25" customHeight="1">
      <c r="B18" s="285" t="s">
        <v>471</v>
      </c>
      <c r="C18" s="300">
        <f>+'Central Gov''t Fiscal Operations'!E19/'Gov''t fiscal operations to GDP'!C$41</f>
        <v>3.4170885481203596E-2</v>
      </c>
      <c r="D18" s="300">
        <f>+'Central Gov''t Fiscal Operations'!F19/'Gov''t fiscal operations to GDP'!D$41</f>
        <v>3.6496491846516703E-2</v>
      </c>
      <c r="E18" s="300">
        <f>+'Central Gov''t Fiscal Operations'!G19/'Gov''t fiscal operations to GDP'!E$41</f>
        <v>3.5878956093436644E-2</v>
      </c>
      <c r="F18" s="300" t="e">
        <f>+'Central Gov''t Fiscal Operations'!H19/'Gov''t fiscal operations to GDP'!F$41</f>
        <v>#REF!</v>
      </c>
      <c r="G18" s="300" t="e">
        <f>+'Central Gov''t Fiscal Operations'!I19/'Gov''t fiscal operations to GDP'!G$41</f>
        <v>#REF!</v>
      </c>
      <c r="H18" s="300">
        <f>+'Central Gov''t Fiscal Operations'!J19/'Gov''t fiscal operations to GDP'!H$41</f>
        <v>3.2181263393827826E-2</v>
      </c>
      <c r="I18" s="300">
        <f>+'Central Gov''t Fiscal Operations'!K19/'Gov''t fiscal operations to GDP'!I$41</f>
        <v>2.8107886635857462E-2</v>
      </c>
      <c r="J18" s="300">
        <f>+'Central Gov''t Fiscal Operations'!L19/'Gov''t fiscal operations to GDP'!J$41</f>
        <v>3.1689518668654722E-2</v>
      </c>
      <c r="K18" s="300">
        <f>+'Central Gov''t Fiscal Operations'!M19/'Gov''t fiscal operations to GDP'!K$41</f>
        <v>3.1167289319317757E-2</v>
      </c>
      <c r="L18" s="300">
        <f>+'Central Gov''t Fiscal Operations'!N19/'Gov''t fiscal operations to GDP'!L$41</f>
        <v>3.7718603160650316E-2</v>
      </c>
      <c r="M18" s="300">
        <f>+'Central Gov''t Fiscal Operations'!O19/'Gov''t fiscal operations to GDP'!M$41</f>
        <v>4.9065153142737995E-2</v>
      </c>
      <c r="N18" s="300">
        <f>+'Central Gov''t Fiscal Operations'!P19/'Gov''t fiscal operations to GDP'!N$41</f>
        <v>5.1529027398416458E-2</v>
      </c>
      <c r="O18" s="300">
        <f>+'Central Gov''t Fiscal Operations'!Q19/'Gov''t fiscal operations to GDP'!O$41</f>
        <v>5.1857158828668308E-2</v>
      </c>
      <c r="P18" s="300">
        <f>+'Central Gov''t Fiscal Operations'!R19/'Gov''t fiscal operations to GDP'!P$41</f>
        <v>5.0277782029259067E-2</v>
      </c>
      <c r="Q18" s="300">
        <f>+'Central Gov''t Fiscal Operations'!S19/'Gov''t fiscal operations to GDP'!Q$41</f>
        <v>4.6534401906973104E-2</v>
      </c>
      <c r="R18" s="300">
        <f>+'Central Gov''t Fiscal Operations'!T19/'Gov''t fiscal operations to GDP'!R$41</f>
        <v>4.688794201670194E-2</v>
      </c>
      <c r="S18" s="440">
        <f>+'Central Gov''t Fiscal Operations'!U19/'Gov''t fiscal operations to GDP'!S$41</f>
        <v>5.270235198747894E-2</v>
      </c>
      <c r="T18" s="440">
        <f>+'Central Gov''t Fiscal Operations'!V19/'Gov''t fiscal operations to GDP'!T$41</f>
        <v>3.9260844856278898E-2</v>
      </c>
      <c r="U18" s="2761">
        <f>+'Central Gov''t Fiscal Operations'!W19/'Gov''t fiscal operations to GDP'!U$41</f>
        <v>4.1175331185789574E-2</v>
      </c>
      <c r="V18" s="2761">
        <f>+'Central Gov''t Fiscal Operations'!X19/'Gov''t fiscal operations to GDP'!V$41</f>
        <v>3.9655973498016528E-2</v>
      </c>
      <c r="W18" s="3390">
        <f>+'Central Gov''t Fiscal Operations'!Y19/'Gov''t fiscal operations to GDP'!W$41</f>
        <v>4.289653590917504E-2</v>
      </c>
    </row>
    <row r="19" spans="2:23" ht="40.25" customHeight="1">
      <c r="B19" s="285" t="s">
        <v>6</v>
      </c>
      <c r="C19" s="300">
        <f>+'Central Gov''t Fiscal Operations'!E20/'Gov''t fiscal operations to GDP'!C$41</f>
        <v>0.11840466549526504</v>
      </c>
      <c r="D19" s="300">
        <f>+'Central Gov''t Fiscal Operations'!F20/'Gov''t fiscal operations to GDP'!D$41</f>
        <v>0.1202679392830754</v>
      </c>
      <c r="E19" s="300">
        <f>+'Central Gov''t Fiscal Operations'!G20/'Gov''t fiscal operations to GDP'!E$41</f>
        <v>0.11966593002206079</v>
      </c>
      <c r="F19" s="300" t="e">
        <f>+'Central Gov''t Fiscal Operations'!H20/'Gov''t fiscal operations to GDP'!F$41</f>
        <v>#REF!</v>
      </c>
      <c r="G19" s="300" t="e">
        <f>+'Central Gov''t Fiscal Operations'!I20/'Gov''t fiscal operations to GDP'!G$41</f>
        <v>#REF!</v>
      </c>
      <c r="H19" s="300">
        <f>+'Central Gov''t Fiscal Operations'!J20/'Gov''t fiscal operations to GDP'!H$41</f>
        <v>9.9061718947399277E-2</v>
      </c>
      <c r="I19" s="300">
        <f>+'Central Gov''t Fiscal Operations'!K20/'Gov''t fiscal operations to GDP'!I$41</f>
        <v>9.6854806940619181E-2</v>
      </c>
      <c r="J19" s="300">
        <f>+'Central Gov''t Fiscal Operations'!L20/'Gov''t fiscal operations to GDP'!J$41</f>
        <v>9.3718938586222239E-2</v>
      </c>
      <c r="K19" s="300">
        <f>+'Central Gov''t Fiscal Operations'!M20/'Gov''t fiscal operations to GDP'!K$41</f>
        <v>9.0860075673977553E-2</v>
      </c>
      <c r="L19" s="300">
        <f>+'Central Gov''t Fiscal Operations'!N20/'Gov''t fiscal operations to GDP'!L$41</f>
        <v>8.3346977492571583E-2</v>
      </c>
      <c r="M19" s="300">
        <f>+'Central Gov''t Fiscal Operations'!O20/'Gov''t fiscal operations to GDP'!M$41</f>
        <v>8.1030149881361507E-2</v>
      </c>
      <c r="N19" s="300">
        <f>+'Central Gov''t Fiscal Operations'!P20/'Gov''t fiscal operations to GDP'!N$41</f>
        <v>8.2564735919099103E-2</v>
      </c>
      <c r="O19" s="300">
        <f>+'Central Gov''t Fiscal Operations'!Q20/'Gov''t fiscal operations to GDP'!O$41</f>
        <v>8.6558017777646018E-2</v>
      </c>
      <c r="P19" s="300">
        <f>+'Central Gov''t Fiscal Operations'!R20/'Gov''t fiscal operations to GDP'!P$41</f>
        <v>8.7398600613186106E-2</v>
      </c>
      <c r="Q19" s="300">
        <f>+'Central Gov''t Fiscal Operations'!S20/'Gov''t fiscal operations to GDP'!Q$41</f>
        <v>8.8195027606379914E-2</v>
      </c>
      <c r="R19" s="300">
        <f>+'Central Gov''t Fiscal Operations'!T20/'Gov''t fiscal operations to GDP'!R$41</f>
        <v>8.8823255267948445E-2</v>
      </c>
      <c r="S19" s="440">
        <f>+'Central Gov''t Fiscal Operations'!U20/'Gov''t fiscal operations to GDP'!S$41</f>
        <v>9.8456348665141274E-2</v>
      </c>
      <c r="T19" s="440">
        <f>+'Central Gov''t Fiscal Operations'!V20/'Gov''t fiscal operations to GDP'!T$41</f>
        <v>9.2703503538287602E-2</v>
      </c>
      <c r="U19" s="2761">
        <f>+'Central Gov''t Fiscal Operations'!W20/'Gov''t fiscal operations to GDP'!U$41</f>
        <v>8.9039770552323025E-2</v>
      </c>
      <c r="V19" s="2761">
        <f>+'Central Gov''t Fiscal Operations'!X20/'Gov''t fiscal operations to GDP'!V$41</f>
        <v>8.8876365679440406E-2</v>
      </c>
      <c r="W19" s="3390">
        <f>+'Central Gov''t Fiscal Operations'!Y20/'Gov''t fiscal operations to GDP'!W$41</f>
        <v>9.1911906244880423E-2</v>
      </c>
    </row>
    <row r="20" spans="2:23" ht="40.25" customHeight="1">
      <c r="B20" s="285" t="s">
        <v>7</v>
      </c>
      <c r="C20" s="300">
        <f>+'Central Gov''t Fiscal Operations'!E21/'Gov''t fiscal operations to GDP'!C$41</f>
        <v>1.7192838768477999E-3</v>
      </c>
      <c r="D20" s="300">
        <f>+'Central Gov''t Fiscal Operations'!F21/'Gov''t fiscal operations to GDP'!D$41</f>
        <v>1.5135086147652435E-3</v>
      </c>
      <c r="E20" s="300">
        <f>+'Central Gov''t Fiscal Operations'!G21/'Gov''t fiscal operations to GDP'!E$41</f>
        <v>1.8616853823913931E-3</v>
      </c>
      <c r="F20" s="300" t="e">
        <f>+'Central Gov''t Fiscal Operations'!H21/'Gov''t fiscal operations to GDP'!F$41</f>
        <v>#REF!</v>
      </c>
      <c r="G20" s="300" t="e">
        <f>+'Central Gov''t Fiscal Operations'!I21/'Gov''t fiscal operations to GDP'!G$41</f>
        <v>#REF!</v>
      </c>
      <c r="H20" s="300">
        <f>+'Central Gov''t Fiscal Operations'!J21/'Gov''t fiscal operations to GDP'!H$41</f>
        <v>7.1179444793724813E-4</v>
      </c>
      <c r="I20" s="300">
        <f>+'Central Gov''t Fiscal Operations'!K21/'Gov''t fiscal operations to GDP'!I$41</f>
        <v>1.0224426455539054E-3</v>
      </c>
      <c r="J20" s="300">
        <f>+'Central Gov''t Fiscal Operations'!L21/'Gov''t fiscal operations to GDP'!J$41</f>
        <v>8.0375267750164943E-4</v>
      </c>
      <c r="K20" s="300">
        <f>+'Central Gov''t Fiscal Operations'!M21/'Gov''t fiscal operations to GDP'!K$41</f>
        <v>1.0263882824562563E-3</v>
      </c>
      <c r="L20" s="300">
        <f>+'Central Gov''t Fiscal Operations'!N21/'Gov''t fiscal operations to GDP'!L$41</f>
        <v>1.1273753443754352E-3</v>
      </c>
      <c r="M20" s="300">
        <f>+'Central Gov''t Fiscal Operations'!O21/'Gov''t fiscal operations to GDP'!M$41</f>
        <v>1.8054163282685278E-3</v>
      </c>
      <c r="N20" s="300">
        <f>+'Central Gov''t Fiscal Operations'!P21/'Gov''t fiscal operations to GDP'!N$41</f>
        <v>1.9801630695510559E-3</v>
      </c>
      <c r="O20" s="300">
        <f>+'Central Gov''t Fiscal Operations'!Q21/'Gov''t fiscal operations to GDP'!O$41</f>
        <v>2.1828580317874067E-3</v>
      </c>
      <c r="P20" s="300">
        <f>+'Central Gov''t Fiscal Operations'!R21/'Gov''t fiscal operations to GDP'!P$41</f>
        <v>2.3437511566803283E-3</v>
      </c>
      <c r="Q20" s="300">
        <f>+'Central Gov''t Fiscal Operations'!S21/'Gov''t fiscal operations to GDP'!Q$41</f>
        <v>2.2103190751121713E-3</v>
      </c>
      <c r="R20" s="300">
        <f>+'Central Gov''t Fiscal Operations'!T21/'Gov''t fiscal operations to GDP'!R$41</f>
        <v>1.7341247705813E-3</v>
      </c>
      <c r="S20" s="440">
        <f>+'Central Gov''t Fiscal Operations'!U21/'Gov''t fiscal operations to GDP'!S$41</f>
        <v>1.4760852564364654E-3</v>
      </c>
      <c r="T20" s="440">
        <f>+'Central Gov''t Fiscal Operations'!V21/'Gov''t fiscal operations to GDP'!T$41</f>
        <v>1.6688320416615959E-3</v>
      </c>
      <c r="U20" s="2761">
        <f>+'Central Gov''t Fiscal Operations'!W21/'Gov''t fiscal operations to GDP'!U$41</f>
        <v>1.4893442333561294E-3</v>
      </c>
      <c r="V20" s="2761">
        <f>+'Central Gov''t Fiscal Operations'!X21/'Gov''t fiscal operations to GDP'!V$41</f>
        <v>1.8366846616188444E-3</v>
      </c>
      <c r="W20" s="3390">
        <f>+'Central Gov''t Fiscal Operations'!Y21/'Gov''t fiscal operations to GDP'!W$41</f>
        <v>1.5459032635503653E-3</v>
      </c>
    </row>
    <row r="21" spans="2:23" ht="40.25" customHeight="1">
      <c r="B21" s="284"/>
      <c r="C21" s="438"/>
      <c r="D21" s="438"/>
      <c r="E21" s="438"/>
      <c r="F21" s="438"/>
      <c r="G21" s="438"/>
      <c r="H21" s="438"/>
      <c r="I21" s="438"/>
      <c r="J21" s="438"/>
      <c r="K21" s="438"/>
      <c r="L21" s="438"/>
      <c r="M21" s="438"/>
      <c r="N21" s="438"/>
      <c r="O21" s="438"/>
      <c r="P21" s="438"/>
      <c r="Q21" s="438"/>
      <c r="R21" s="438"/>
      <c r="S21" s="439"/>
      <c r="T21" s="439"/>
      <c r="U21" s="2760"/>
      <c r="V21" s="2760"/>
      <c r="W21" s="3389"/>
    </row>
    <row r="22" spans="2:23" ht="40.25" customHeight="1">
      <c r="B22" s="283" t="s">
        <v>176</v>
      </c>
      <c r="C22" s="438">
        <f>+'Central Gov''t Fiscal Operations'!E23/'Gov''t fiscal operations to GDP'!C$41</f>
        <v>2.0149205151351202E-2</v>
      </c>
      <c r="D22" s="438">
        <f>+'Central Gov''t Fiscal Operations'!F23/'Gov''t fiscal operations to GDP'!D$41</f>
        <v>1.9565861156900038E-2</v>
      </c>
      <c r="E22" s="438">
        <f>+'Central Gov''t Fiscal Operations'!G23/'Gov''t fiscal operations to GDP'!E$41</f>
        <v>1.6164839920189567E-2</v>
      </c>
      <c r="F22" s="438" t="e">
        <f>+'Central Gov''t Fiscal Operations'!H23/'Gov''t fiscal operations to GDP'!F$41</f>
        <v>#REF!</v>
      </c>
      <c r="G22" s="438" t="e">
        <f>+'Central Gov''t Fiscal Operations'!I23/'Gov''t fiscal operations to GDP'!G$41</f>
        <v>#REF!</v>
      </c>
      <c r="H22" s="438">
        <f>+'Central Gov''t Fiscal Operations'!J23/'Gov''t fiscal operations to GDP'!H$41</f>
        <v>1.7512000453090985E-2</v>
      </c>
      <c r="I22" s="438">
        <f>+'Central Gov''t Fiscal Operations'!K23/'Gov''t fiscal operations to GDP'!I$41</f>
        <v>1.5348257809951695E-2</v>
      </c>
      <c r="J22" s="438">
        <f>+'Central Gov''t Fiscal Operations'!L23/'Gov''t fiscal operations to GDP'!J$41</f>
        <v>1.2574090947456132E-2</v>
      </c>
      <c r="K22" s="438">
        <f>+'Central Gov''t Fiscal Operations'!M23/'Gov''t fiscal operations to GDP'!K$41</f>
        <v>1.6772214146253808E-2</v>
      </c>
      <c r="L22" s="438">
        <f>+'Central Gov''t Fiscal Operations'!N23/'Gov''t fiscal operations to GDP'!L$41</f>
        <v>1.2057911604669796E-2</v>
      </c>
      <c r="M22" s="438">
        <f>+'Central Gov''t Fiscal Operations'!O23/'Gov''t fiscal operations to GDP'!M$41</f>
        <v>1.0313796061041896E-2</v>
      </c>
      <c r="N22" s="438">
        <f>+'Central Gov''t Fiscal Operations'!P23/'Gov''t fiscal operations to GDP'!N$41</f>
        <v>8.9565871255728735E-3</v>
      </c>
      <c r="O22" s="438">
        <f>+'Central Gov''t Fiscal Operations'!Q23/'Gov''t fiscal operations to GDP'!O$41</f>
        <v>9.9131549236763858E-3</v>
      </c>
      <c r="P22" s="438">
        <f>+'Central Gov''t Fiscal Operations'!R23/'Gov''t fiscal operations to GDP'!P$41</f>
        <v>1.0838144376236631E-2</v>
      </c>
      <c r="Q22" s="438">
        <f>+'Central Gov''t Fiscal Operations'!S23/'Gov''t fiscal operations to GDP'!Q$41</f>
        <v>1.3782314033249355E-2</v>
      </c>
      <c r="R22" s="438">
        <f>+'Central Gov''t Fiscal Operations'!T23/'Gov''t fiscal operations to GDP'!R$41</f>
        <v>2.1244370641455741E-2</v>
      </c>
      <c r="S22" s="439">
        <f>+'Central Gov''t Fiscal Operations'!U23/'Gov''t fiscal operations to GDP'!S$41</f>
        <v>1.5993936548083659E-2</v>
      </c>
      <c r="T22" s="439">
        <f>+'Central Gov''t Fiscal Operations'!V23/'Gov''t fiscal operations to GDP'!T$41</f>
        <v>1.5815500311144415E-2</v>
      </c>
      <c r="U22" s="2760">
        <f>+'Central Gov''t Fiscal Operations'!W23/'Gov''t fiscal operations to GDP'!U$41</f>
        <v>1.836874357140569E-2</v>
      </c>
      <c r="V22" s="2760">
        <f>+'Central Gov''t Fiscal Operations'!X23/'Gov''t fiscal operations to GDP'!V$41</f>
        <v>1.93757621236051E-2</v>
      </c>
      <c r="W22" s="3389">
        <f>+'Central Gov''t Fiscal Operations'!Y23/'Gov''t fiscal operations to GDP'!W$41</f>
        <v>1.8270669166906565E-2</v>
      </c>
    </row>
    <row r="23" spans="2:23" ht="40.25" customHeight="1">
      <c r="B23" s="284"/>
      <c r="C23" s="438"/>
      <c r="D23" s="438"/>
      <c r="E23" s="438"/>
      <c r="F23" s="438"/>
      <c r="G23" s="438"/>
      <c r="H23" s="438"/>
      <c r="I23" s="438"/>
      <c r="J23" s="438"/>
      <c r="K23" s="438"/>
      <c r="L23" s="438"/>
      <c r="M23" s="438"/>
      <c r="N23" s="438"/>
      <c r="O23" s="438"/>
      <c r="P23" s="438"/>
      <c r="Q23" s="438"/>
      <c r="R23" s="438"/>
      <c r="S23" s="439"/>
      <c r="T23" s="439"/>
      <c r="U23" s="2760"/>
      <c r="V23" s="2760"/>
      <c r="W23" s="3389"/>
    </row>
    <row r="24" spans="2:23" ht="40.25" customHeight="1">
      <c r="B24" s="283" t="s">
        <v>296</v>
      </c>
      <c r="C24" s="438">
        <f>+'Central Gov''t Fiscal Operations'!E25/'Gov''t fiscal operations to GDP'!C$41</f>
        <v>0.27478740990922818</v>
      </c>
      <c r="D24" s="438">
        <f>+'Central Gov''t Fiscal Operations'!F25/'Gov''t fiscal operations to GDP'!D$41</f>
        <v>0.2730383687710331</v>
      </c>
      <c r="E24" s="438">
        <f>+'Central Gov''t Fiscal Operations'!G25/'Gov''t fiscal operations to GDP'!E$41</f>
        <v>0.30218213219756573</v>
      </c>
      <c r="F24" s="438" t="e">
        <f>+'Central Gov''t Fiscal Operations'!H25/'Gov''t fiscal operations to GDP'!F$41</f>
        <v>#REF!</v>
      </c>
      <c r="G24" s="438" t="e">
        <f>+'Central Gov''t Fiscal Operations'!I25/'Gov''t fiscal operations to GDP'!G$41</f>
        <v>#REF!</v>
      </c>
      <c r="H24" s="438">
        <f>+'Central Gov''t Fiscal Operations'!J25/'Gov''t fiscal operations to GDP'!H$41</f>
        <v>0.22508168862813913</v>
      </c>
      <c r="I24" s="438">
        <f>+'Central Gov''t Fiscal Operations'!K25/'Gov''t fiscal operations to GDP'!I$41</f>
        <v>0.24201071124528223</v>
      </c>
      <c r="J24" s="438">
        <f>+'Central Gov''t Fiscal Operations'!L25/'Gov''t fiscal operations to GDP'!J$41</f>
        <v>0.2563635395428524</v>
      </c>
      <c r="K24" s="438">
        <f>+'Central Gov''t Fiscal Operations'!M25/'Gov''t fiscal operations to GDP'!K$41</f>
        <v>0.26854406242917478</v>
      </c>
      <c r="L24" s="438">
        <f>+'Central Gov''t Fiscal Operations'!N25/'Gov''t fiscal operations to GDP'!L$41</f>
        <v>0.27728250477602773</v>
      </c>
      <c r="M24" s="438">
        <f>+'Central Gov''t Fiscal Operations'!O25/'Gov''t fiscal operations to GDP'!M$41</f>
        <v>0.25073737873862639</v>
      </c>
      <c r="N24" s="438">
        <f>+'Central Gov''t Fiscal Operations'!P25/'Gov''t fiscal operations to GDP'!N$41</f>
        <v>0.23388640106734021</v>
      </c>
      <c r="O24" s="438">
        <f>+'Central Gov''t Fiscal Operations'!Q25/'Gov''t fiscal operations to GDP'!O$41</f>
        <v>0.23054113468531887</v>
      </c>
      <c r="P24" s="438">
        <f>+'Central Gov''t Fiscal Operations'!R25/'Gov''t fiscal operations to GDP'!P$41</f>
        <v>0.22625210411749835</v>
      </c>
      <c r="Q24" s="438">
        <f>+'Central Gov''t Fiscal Operations'!S25/'Gov''t fiscal operations to GDP'!Q$41</f>
        <v>0.22857279683042314</v>
      </c>
      <c r="R24" s="438">
        <f>+'Central Gov''t Fiscal Operations'!T25/'Gov''t fiscal operations to GDP'!R$41</f>
        <v>0.22541556637373486</v>
      </c>
      <c r="S24" s="439">
        <f>+'Central Gov''t Fiscal Operations'!U25/'Gov''t fiscal operations to GDP'!S$41</f>
        <v>0.2623633553321873</v>
      </c>
      <c r="T24" s="439">
        <f>+'Central Gov''t Fiscal Operations'!V25/'Gov''t fiscal operations to GDP'!T$41</f>
        <v>0.33014741896736866</v>
      </c>
      <c r="U24" s="2760">
        <f>+'Central Gov''t Fiscal Operations'!W25/'Gov''t fiscal operations to GDP'!U$41</f>
        <v>0.26318301596768379</v>
      </c>
      <c r="V24" s="2760">
        <f>+'Central Gov''t Fiscal Operations'!X25/'Gov''t fiscal operations to GDP'!V$41</f>
        <v>0.2258602852945939</v>
      </c>
      <c r="W24" s="3389">
        <f>+'Central Gov''t Fiscal Operations'!Y25/'Gov''t fiscal operations to GDP'!W$41</f>
        <v>0.2328878879760202</v>
      </c>
    </row>
    <row r="25" spans="2:23" ht="40.25" customHeight="1">
      <c r="B25" s="283"/>
      <c r="C25" s="438"/>
      <c r="D25" s="438"/>
      <c r="E25" s="438"/>
      <c r="F25" s="438"/>
      <c r="G25" s="438"/>
      <c r="H25" s="438"/>
      <c r="I25" s="438"/>
      <c r="J25" s="438"/>
      <c r="K25" s="438"/>
      <c r="L25" s="438"/>
      <c r="M25" s="438"/>
      <c r="N25" s="438"/>
      <c r="O25" s="438"/>
      <c r="P25" s="438"/>
      <c r="Q25" s="438"/>
      <c r="R25" s="438"/>
      <c r="S25" s="439"/>
      <c r="T25" s="439"/>
      <c r="U25" s="2760"/>
      <c r="V25" s="2760"/>
      <c r="W25" s="3389"/>
    </row>
    <row r="26" spans="2:23" ht="40.25" customHeight="1">
      <c r="B26" s="283" t="s">
        <v>177</v>
      </c>
      <c r="C26" s="438">
        <f>+'Central Gov''t Fiscal Operations'!E27/'Gov''t fiscal operations to GDP'!C$41</f>
        <v>6.3851531611066076E-2</v>
      </c>
      <c r="D26" s="438">
        <f>+'Central Gov''t Fiscal Operations'!F27/'Gov''t fiscal operations to GDP'!D$41</f>
        <v>6.5333322501838875E-2</v>
      </c>
      <c r="E26" s="438">
        <f>+'Central Gov''t Fiscal Operations'!G27/'Gov''t fiscal operations to GDP'!E$41</f>
        <v>0.10123482709604618</v>
      </c>
      <c r="F26" s="438" t="e">
        <f>+'Central Gov''t Fiscal Operations'!H27/'Gov''t fiscal operations to GDP'!F$41</f>
        <v>#REF!</v>
      </c>
      <c r="G26" s="438" t="e">
        <f>+'Central Gov''t Fiscal Operations'!I27/'Gov''t fiscal operations to GDP'!G$41</f>
        <v>#REF!</v>
      </c>
      <c r="H26" s="438">
        <f>+'Central Gov''t Fiscal Operations'!J27/'Gov''t fiscal operations to GDP'!H$41</f>
        <v>5.4304922217645463E-2</v>
      </c>
      <c r="I26" s="438">
        <f>+'Central Gov''t Fiscal Operations'!K27/'Gov''t fiscal operations to GDP'!I$41</f>
        <v>6.2920750181565524E-2</v>
      </c>
      <c r="J26" s="438">
        <f>+'Central Gov''t Fiscal Operations'!L27/'Gov''t fiscal operations to GDP'!J$41</f>
        <v>7.3508294017145134E-2</v>
      </c>
      <c r="K26" s="438">
        <f>+'Central Gov''t Fiscal Operations'!M27/'Gov''t fiscal operations to GDP'!K$41</f>
        <v>8.6041323851044516E-2</v>
      </c>
      <c r="L26" s="438">
        <f>+'Central Gov''t Fiscal Operations'!N27/'Gov''t fiscal operations to GDP'!L$41</f>
        <v>7.9135287838883503E-2</v>
      </c>
      <c r="M26" s="438">
        <f>+'Central Gov''t Fiscal Operations'!O27/'Gov''t fiscal operations to GDP'!M$41</f>
        <v>5.909988774370116E-2</v>
      </c>
      <c r="N26" s="438">
        <f>+'Central Gov''t Fiscal Operations'!P27/'Gov''t fiscal operations to GDP'!N$41</f>
        <v>4.9262454427224357E-2</v>
      </c>
      <c r="O26" s="438">
        <f>+'Central Gov''t Fiscal Operations'!Q27/'Gov''t fiscal operations to GDP'!O$41</f>
        <v>4.7580705472976756E-2</v>
      </c>
      <c r="P26" s="438">
        <f>+'Central Gov''t Fiscal Operations'!R27/'Gov''t fiscal operations to GDP'!P$41</f>
        <v>4.2828735851861449E-2</v>
      </c>
      <c r="Q26" s="438">
        <f>+'Central Gov''t Fiscal Operations'!S27/'Gov''t fiscal operations to GDP'!Q$41</f>
        <v>4.6322918320424872E-2</v>
      </c>
      <c r="R26" s="438">
        <f>+'Central Gov''t Fiscal Operations'!T27/'Gov''t fiscal operations to GDP'!R$41</f>
        <v>3.7119933943650492E-2</v>
      </c>
      <c r="S26" s="439">
        <f>+'Central Gov''t Fiscal Operations'!U27/'Gov''t fiscal operations to GDP'!S$41</f>
        <v>3.8210380236230794E-2</v>
      </c>
      <c r="T26" s="439">
        <f>+'Central Gov''t Fiscal Operations'!V27/'Gov''t fiscal operations to GDP'!T$41</f>
        <v>6.2330993132074679E-2</v>
      </c>
      <c r="U26" s="2760">
        <f>+'Central Gov''t Fiscal Operations'!W27/'Gov''t fiscal operations to GDP'!U$41</f>
        <v>4.2477060658408276E-2</v>
      </c>
      <c r="V26" s="2760">
        <f>+'Central Gov''t Fiscal Operations'!X27/'Gov''t fiscal operations to GDP'!V$41</f>
        <v>3.0031262500089462E-2</v>
      </c>
      <c r="W26" s="3389">
        <f>+'Central Gov''t Fiscal Operations'!Y27/'Gov''t fiscal operations to GDP'!W$41</f>
        <v>3.8885039386696199E-2</v>
      </c>
    </row>
    <row r="27" spans="2:23" ht="40.25" customHeight="1">
      <c r="B27" s="283"/>
      <c r="C27" s="438"/>
      <c r="D27" s="438"/>
      <c r="E27" s="438"/>
      <c r="F27" s="438"/>
      <c r="G27" s="438"/>
      <c r="H27" s="438"/>
      <c r="I27" s="438"/>
      <c r="J27" s="438"/>
      <c r="K27" s="438"/>
      <c r="L27" s="438"/>
      <c r="M27" s="438"/>
      <c r="N27" s="438"/>
      <c r="O27" s="438"/>
      <c r="P27" s="438"/>
      <c r="Q27" s="438"/>
      <c r="R27" s="438"/>
      <c r="S27" s="439"/>
      <c r="T27" s="439"/>
      <c r="U27" s="2760"/>
      <c r="V27" s="2760"/>
      <c r="W27" s="3389"/>
    </row>
    <row r="28" spans="2:23" ht="40.25" customHeight="1">
      <c r="B28" s="283" t="s">
        <v>229</v>
      </c>
      <c r="C28" s="438">
        <f>+'Central Gov''t Fiscal Operations'!E29/'Gov''t fiscal operations to GDP'!C$41</f>
        <v>0.2109358782981621</v>
      </c>
      <c r="D28" s="438">
        <f>+'Central Gov''t Fiscal Operations'!F29/'Gov''t fiscal operations to GDP'!D$41</f>
        <v>0.20770504626919423</v>
      </c>
      <c r="E28" s="438">
        <f>+'Central Gov''t Fiscal Operations'!G29/'Gov''t fiscal operations to GDP'!E$41</f>
        <v>0.20094730510151959</v>
      </c>
      <c r="F28" s="438" t="e">
        <f>+'Central Gov''t Fiscal Operations'!H29/'Gov''t fiscal operations to GDP'!F$41</f>
        <v>#REF!</v>
      </c>
      <c r="G28" s="438" t="e">
        <f>+'Central Gov''t Fiscal Operations'!I29/'Gov''t fiscal operations to GDP'!G$41</f>
        <v>#REF!</v>
      </c>
      <c r="H28" s="438">
        <f>+'Central Gov''t Fiscal Operations'!J29/'Gov''t fiscal operations to GDP'!H$41</f>
        <v>0.17077676641049366</v>
      </c>
      <c r="I28" s="438">
        <f>+'Central Gov''t Fiscal Operations'!K29/'Gov''t fiscal operations to GDP'!I$41</f>
        <v>0.17908996106371669</v>
      </c>
      <c r="J28" s="438">
        <f>+'Central Gov''t Fiscal Operations'!L29/'Gov''t fiscal operations to GDP'!J$41</f>
        <v>0.18285524552570726</v>
      </c>
      <c r="K28" s="438">
        <f>+'Central Gov''t Fiscal Operations'!M29/'Gov''t fiscal operations to GDP'!K$41</f>
        <v>0.18250273857813026</v>
      </c>
      <c r="L28" s="438">
        <f>+'Central Gov''t Fiscal Operations'!N29/'Gov''t fiscal operations to GDP'!L$41</f>
        <v>0.19814721693714418</v>
      </c>
      <c r="M28" s="438">
        <f>+'Central Gov''t Fiscal Operations'!O29/'Gov''t fiscal operations to GDP'!M$41</f>
        <v>0.19163749099492525</v>
      </c>
      <c r="N28" s="438">
        <f>+'Central Gov''t Fiscal Operations'!P29/'Gov''t fiscal operations to GDP'!N$41</f>
        <v>0.18462394664011583</v>
      </c>
      <c r="O28" s="438">
        <f>+'Central Gov''t Fiscal Operations'!Q29/'Gov''t fiscal operations to GDP'!O$41</f>
        <v>0.1829604292123421</v>
      </c>
      <c r="P28" s="438">
        <f>+'Central Gov''t Fiscal Operations'!R29/'Gov''t fiscal operations to GDP'!P$41</f>
        <v>0.1834233682656369</v>
      </c>
      <c r="Q28" s="438">
        <f>+'Central Gov''t Fiscal Operations'!S29/'Gov''t fiscal operations to GDP'!Q$41</f>
        <v>0.1822498785099983</v>
      </c>
      <c r="R28" s="438">
        <f>+'Central Gov''t Fiscal Operations'!T29/'Gov''t fiscal operations to GDP'!R$41</f>
        <v>0.18829563243008435</v>
      </c>
      <c r="S28" s="439">
        <f>+'Central Gov''t Fiscal Operations'!U29/'Gov''t fiscal operations to GDP'!S$41</f>
        <v>0.2241529750959565</v>
      </c>
      <c r="T28" s="439">
        <f>+'Central Gov''t Fiscal Operations'!V29/'Gov''t fiscal operations to GDP'!T$41</f>
        <v>0.26781642583529403</v>
      </c>
      <c r="U28" s="2760">
        <f>+'Central Gov''t Fiscal Operations'!W29/'Gov''t fiscal operations to GDP'!U$41</f>
        <v>0.2207059553092755</v>
      </c>
      <c r="V28" s="2760">
        <f>+'Central Gov''t Fiscal Operations'!X29/'Gov''t fiscal operations to GDP'!V$41</f>
        <v>0.19582902279450445</v>
      </c>
      <c r="W28" s="3389">
        <f>+'Central Gov''t Fiscal Operations'!Y29/'Gov''t fiscal operations to GDP'!W$41</f>
        <v>0.19400284858932401</v>
      </c>
    </row>
    <row r="29" spans="2:23" ht="40.25" customHeight="1">
      <c r="B29" s="284" t="s">
        <v>50</v>
      </c>
      <c r="C29" s="300">
        <f>+'Central Gov''t Fiscal Operations'!E30/'Gov''t fiscal operations to GDP'!C$41</f>
        <v>0</v>
      </c>
      <c r="D29" s="300">
        <f>+'Central Gov''t Fiscal Operations'!F30/'Gov''t fiscal operations to GDP'!D$41</f>
        <v>0</v>
      </c>
      <c r="E29" s="300">
        <f>+'Central Gov''t Fiscal Operations'!G30/'Gov''t fiscal operations to GDP'!E$41</f>
        <v>0</v>
      </c>
      <c r="F29" s="300" t="e">
        <f>+'Central Gov''t Fiscal Operations'!H30/'Gov''t fiscal operations to GDP'!F$41</f>
        <v>#REF!</v>
      </c>
      <c r="G29" s="300" t="e">
        <f>+'Central Gov''t Fiscal Operations'!I30/'Gov''t fiscal operations to GDP'!G$41</f>
        <v>#REF!</v>
      </c>
      <c r="H29" s="300">
        <f>+'Central Gov''t Fiscal Operations'!J30/'Gov''t fiscal operations to GDP'!H$41</f>
        <v>0</v>
      </c>
      <c r="I29" s="300">
        <f>+'Central Gov''t Fiscal Operations'!K30/'Gov''t fiscal operations to GDP'!I$41</f>
        <v>0</v>
      </c>
      <c r="J29" s="300">
        <f>+'Central Gov''t Fiscal Operations'!L30/'Gov''t fiscal operations to GDP'!J$41</f>
        <v>0</v>
      </c>
      <c r="K29" s="300">
        <f>+'Central Gov''t Fiscal Operations'!M30/'Gov''t fiscal operations to GDP'!K$41</f>
        <v>0</v>
      </c>
      <c r="L29" s="300">
        <f>+'Central Gov''t Fiscal Operations'!N30/'Gov''t fiscal operations to GDP'!L$41</f>
        <v>0</v>
      </c>
      <c r="M29" s="300">
        <f>+'Central Gov''t Fiscal Operations'!O30/'Gov''t fiscal operations to GDP'!M$41</f>
        <v>0</v>
      </c>
      <c r="N29" s="300">
        <f>+'Central Gov''t Fiscal Operations'!P30/'Gov''t fiscal operations to GDP'!N$41</f>
        <v>0</v>
      </c>
      <c r="O29" s="300">
        <f>+'Central Gov''t Fiscal Operations'!Q30/'Gov''t fiscal operations to GDP'!O$41</f>
        <v>0</v>
      </c>
      <c r="P29" s="300">
        <f>+'Central Gov''t Fiscal Operations'!R30/'Gov''t fiscal operations to GDP'!P$41</f>
        <v>0</v>
      </c>
      <c r="Q29" s="300">
        <f>+'Central Gov''t Fiscal Operations'!S30/'Gov''t fiscal operations to GDP'!Q$41</f>
        <v>0</v>
      </c>
      <c r="R29" s="300">
        <f>+'Central Gov''t Fiscal Operations'!T30/'Gov''t fiscal operations to GDP'!R$41</f>
        <v>0</v>
      </c>
      <c r="S29" s="440">
        <f>+'Central Gov''t Fiscal Operations'!U30/'Gov''t fiscal operations to GDP'!S$41</f>
        <v>0</v>
      </c>
      <c r="T29" s="440">
        <f>+'Central Gov''t Fiscal Operations'!V30/'Gov''t fiscal operations to GDP'!T$41</f>
        <v>0</v>
      </c>
      <c r="U29" s="2761">
        <f>+'Central Gov''t Fiscal Operations'!W30/'Gov''t fiscal operations to GDP'!U$41</f>
        <v>0</v>
      </c>
      <c r="V29" s="2761">
        <f>+'Central Gov''t Fiscal Operations'!X30/'Gov''t fiscal operations to GDP'!V$41</f>
        <v>0</v>
      </c>
      <c r="W29" s="3390">
        <f>+'Central Gov''t Fiscal Operations'!Y30/'Gov''t fiscal operations to GDP'!W$41</f>
        <v>0</v>
      </c>
    </row>
    <row r="30" spans="2:23" ht="40.25" customHeight="1">
      <c r="B30" s="285" t="s">
        <v>9</v>
      </c>
      <c r="C30" s="300">
        <f>+'Central Gov''t Fiscal Operations'!E31/'Gov''t fiscal operations to GDP'!C$41</f>
        <v>0.1019388569030813</v>
      </c>
      <c r="D30" s="300">
        <f>+'Central Gov''t Fiscal Operations'!F31/'Gov''t fiscal operations to GDP'!D$41</f>
        <v>9.4935684817536448E-2</v>
      </c>
      <c r="E30" s="300">
        <f>+'Central Gov''t Fiscal Operations'!G31/'Gov''t fiscal operations to GDP'!E$41</f>
        <v>9.1427259923374485E-2</v>
      </c>
      <c r="F30" s="300" t="e">
        <f>+'Central Gov''t Fiscal Operations'!H31/'Gov''t fiscal operations to GDP'!F$41</f>
        <v>#REF!</v>
      </c>
      <c r="G30" s="300" t="e">
        <f>+'Central Gov''t Fiscal Operations'!I31/'Gov''t fiscal operations to GDP'!G$41</f>
        <v>#REF!</v>
      </c>
      <c r="H30" s="300">
        <f>+'Central Gov''t Fiscal Operations'!J31/'Gov''t fiscal operations to GDP'!H$41</f>
        <v>7.8537718971428569E-2</v>
      </c>
      <c r="I30" s="300">
        <f>+'Central Gov''t Fiscal Operations'!K31/'Gov''t fiscal operations to GDP'!I$41</f>
        <v>8.2436341724296633E-2</v>
      </c>
      <c r="J30" s="300">
        <f>+'Central Gov''t Fiscal Operations'!L31/'Gov''t fiscal operations to GDP'!J$41</f>
        <v>8.4271389452986137E-2</v>
      </c>
      <c r="K30" s="300">
        <f>+'Central Gov''t Fiscal Operations'!M31/'Gov''t fiscal operations to GDP'!K$41</f>
        <v>8.2134720245933435E-2</v>
      </c>
      <c r="L30" s="300">
        <f>+'Central Gov''t Fiscal Operations'!N31/'Gov''t fiscal operations to GDP'!L$41</f>
        <v>8.6978187292089004E-2</v>
      </c>
      <c r="M30" s="300">
        <f>+'Central Gov''t Fiscal Operations'!O31/'Gov''t fiscal operations to GDP'!M$41</f>
        <v>8.3995751963478305E-2</v>
      </c>
      <c r="N30" s="300">
        <f>+'Central Gov''t Fiscal Operations'!P31/'Gov''t fiscal operations to GDP'!N$41</f>
        <v>7.9491272306100216E-2</v>
      </c>
      <c r="O30" s="300">
        <f>+'Central Gov''t Fiscal Operations'!Q31/'Gov''t fiscal operations to GDP'!O$41</f>
        <v>7.6786659240701771E-2</v>
      </c>
      <c r="P30" s="300">
        <f>+'Central Gov''t Fiscal Operations'!R31/'Gov''t fiscal operations to GDP'!P$41</f>
        <v>7.412078938533341E-2</v>
      </c>
      <c r="Q30" s="300">
        <f>+'Central Gov''t Fiscal Operations'!S31/'Gov''t fiscal operations to GDP'!Q$41</f>
        <v>7.0724331175513813E-2</v>
      </c>
      <c r="R30" s="300">
        <f>+'Central Gov''t Fiscal Operations'!T31/'Gov''t fiscal operations to GDP'!R$41</f>
        <v>6.8855669967000779E-2</v>
      </c>
      <c r="S30" s="440">
        <f>+'Central Gov''t Fiscal Operations'!U31/'Gov''t fiscal operations to GDP'!S$41</f>
        <v>8.4451790788646272E-2</v>
      </c>
      <c r="T30" s="440">
        <f>+'Central Gov''t Fiscal Operations'!V31/'Gov''t fiscal operations to GDP'!T$41</f>
        <v>9.6130311648382955E-2</v>
      </c>
      <c r="U30" s="2761">
        <f>+'Central Gov''t Fiscal Operations'!W31/'Gov''t fiscal operations to GDP'!U$41</f>
        <v>7.7988463632411922E-2</v>
      </c>
      <c r="V30" s="2761">
        <f>+'Central Gov''t Fiscal Operations'!X31/'Gov''t fiscal operations to GDP'!V$41</f>
        <v>6.8106917491993949E-2</v>
      </c>
      <c r="W30" s="3390">
        <f>+'Central Gov''t Fiscal Operations'!Y31/'Gov''t fiscal operations to GDP'!W$41</f>
        <v>6.4043415958792538E-2</v>
      </c>
    </row>
    <row r="31" spans="2:23" ht="40.25" customHeight="1">
      <c r="B31" s="285" t="s">
        <v>10</v>
      </c>
      <c r="C31" s="300">
        <f>+'Central Gov''t Fiscal Operations'!E32/'Gov''t fiscal operations to GDP'!C$41</f>
        <v>2.4614315777392651E-2</v>
      </c>
      <c r="D31" s="300">
        <f>+'Central Gov''t Fiscal Operations'!F32/'Gov''t fiscal operations to GDP'!D$41</f>
        <v>2.7746163681453238E-2</v>
      </c>
      <c r="E31" s="300">
        <f>+'Central Gov''t Fiscal Operations'!G32/'Gov''t fiscal operations to GDP'!E$41</f>
        <v>2.755442917399295E-2</v>
      </c>
      <c r="F31" s="300" t="e">
        <f>+'Central Gov''t Fiscal Operations'!H32/'Gov''t fiscal operations to GDP'!F$41</f>
        <v>#REF!</v>
      </c>
      <c r="G31" s="300" t="e">
        <f>+'Central Gov''t Fiscal Operations'!I32/'Gov''t fiscal operations to GDP'!G$41</f>
        <v>#REF!</v>
      </c>
      <c r="H31" s="300">
        <f>+'Central Gov''t Fiscal Operations'!J32/'Gov''t fiscal operations to GDP'!H$41</f>
        <v>2.4647059351692594E-2</v>
      </c>
      <c r="I31" s="300">
        <f>+'Central Gov''t Fiscal Operations'!K32/'Gov''t fiscal operations to GDP'!I$41</f>
        <v>2.3415415109415902E-2</v>
      </c>
      <c r="J31" s="300">
        <f>+'Central Gov''t Fiscal Operations'!L32/'Gov''t fiscal operations to GDP'!J$41</f>
        <v>2.5116965657472803E-2</v>
      </c>
      <c r="K31" s="300">
        <f>+'Central Gov''t Fiscal Operations'!M32/'Gov''t fiscal operations to GDP'!K$41</f>
        <v>2.4867020380650768E-2</v>
      </c>
      <c r="L31" s="300">
        <f>+'Central Gov''t Fiscal Operations'!N32/'Gov''t fiscal operations to GDP'!L$41</f>
        <v>2.8248539454053964E-2</v>
      </c>
      <c r="M31" s="300">
        <f>+'Central Gov''t Fiscal Operations'!O32/'Gov''t fiscal operations to GDP'!M$41</f>
        <v>3.0823406980376788E-2</v>
      </c>
      <c r="N31" s="300">
        <f>+'Central Gov''t Fiscal Operations'!P32/'Gov''t fiscal operations to GDP'!N$41</f>
        <v>3.1203788673775625E-2</v>
      </c>
      <c r="O31" s="300">
        <f>+'Central Gov''t Fiscal Operations'!Q32/'Gov''t fiscal operations to GDP'!O$41</f>
        <v>3.1807837739322366E-2</v>
      </c>
      <c r="P31" s="300">
        <f>+'Central Gov''t Fiscal Operations'!R32/'Gov''t fiscal operations to GDP'!P$41</f>
        <v>3.0919396493652385E-2</v>
      </c>
      <c r="Q31" s="300">
        <f>+'Central Gov''t Fiscal Operations'!S32/'Gov''t fiscal operations to GDP'!Q$41</f>
        <v>2.9863212795192731E-2</v>
      </c>
      <c r="R31" s="300">
        <f>+'Central Gov''t Fiscal Operations'!T32/'Gov''t fiscal operations to GDP'!R$41</f>
        <v>2.9668924157979445E-2</v>
      </c>
      <c r="S31" s="440">
        <f>+'Central Gov''t Fiscal Operations'!U32/'Gov''t fiscal operations to GDP'!S$41</f>
        <v>3.2501658089383566E-2</v>
      </c>
      <c r="T31" s="440">
        <f>+'Central Gov''t Fiscal Operations'!V32/'Gov''t fiscal operations to GDP'!T$41</f>
        <v>3.8264433423872576E-2</v>
      </c>
      <c r="U31" s="2761">
        <f>+'Central Gov''t Fiscal Operations'!W32/'Gov''t fiscal operations to GDP'!U$41</f>
        <v>3.1886273992897195E-2</v>
      </c>
      <c r="V31" s="2761">
        <f>+'Central Gov''t Fiscal Operations'!X32/'Gov''t fiscal operations to GDP'!V$41</f>
        <v>2.8945874592116873E-2</v>
      </c>
      <c r="W31" s="3390">
        <f>+'Central Gov''t Fiscal Operations'!Y32/'Gov''t fiscal operations to GDP'!W$41</f>
        <v>3.3388418697149924E-2</v>
      </c>
    </row>
    <row r="32" spans="2:23" ht="40.25" customHeight="1">
      <c r="B32" s="285" t="s">
        <v>11</v>
      </c>
      <c r="C32" s="300">
        <f>+'Central Gov''t Fiscal Operations'!E33/'Gov''t fiscal operations to GDP'!C$41</f>
        <v>3.8616686864495459E-2</v>
      </c>
      <c r="D32" s="300">
        <f>+'Central Gov''t Fiscal Operations'!F33/'Gov''t fiscal operations to GDP'!D$41</f>
        <v>3.6367760102327999E-2</v>
      </c>
      <c r="E32" s="300">
        <f>+'Central Gov''t Fiscal Operations'!G33/'Gov''t fiscal operations to GDP'!E$41</f>
        <v>3.9663902637961941E-2</v>
      </c>
      <c r="F32" s="300" t="e">
        <f>+'Central Gov''t Fiscal Operations'!H33/'Gov''t fiscal operations to GDP'!F$41</f>
        <v>#REF!</v>
      </c>
      <c r="G32" s="300" t="e">
        <f>+'Central Gov''t Fiscal Operations'!I33/'Gov''t fiscal operations to GDP'!G$41</f>
        <v>#REF!</v>
      </c>
      <c r="H32" s="300">
        <f>+'Central Gov''t Fiscal Operations'!J33/'Gov''t fiscal operations to GDP'!H$41</f>
        <v>3.4365846682037009E-2</v>
      </c>
      <c r="I32" s="300">
        <f>+'Central Gov''t Fiscal Operations'!K33/'Gov''t fiscal operations to GDP'!I$41</f>
        <v>3.422647314863058E-2</v>
      </c>
      <c r="J32" s="300">
        <f>+'Central Gov''t Fiscal Operations'!L33/'Gov''t fiscal operations to GDP'!J$41</f>
        <v>3.393452732574942E-2</v>
      </c>
      <c r="K32" s="300">
        <f>+'Central Gov''t Fiscal Operations'!M33/'Gov''t fiscal operations to GDP'!K$41</f>
        <v>3.4306928116574514E-2</v>
      </c>
      <c r="L32" s="300">
        <f>+'Central Gov''t Fiscal Operations'!N33/'Gov''t fiscal operations to GDP'!L$41</f>
        <v>4.0020643344397887E-2</v>
      </c>
      <c r="M32" s="300">
        <f>+'Central Gov''t Fiscal Operations'!O33/'Gov''t fiscal operations to GDP'!M$41</f>
        <v>3.6897086901633881E-2</v>
      </c>
      <c r="N32" s="300">
        <f>+'Central Gov''t Fiscal Operations'!P33/'Gov''t fiscal operations to GDP'!N$41</f>
        <v>3.4370793227235838E-2</v>
      </c>
      <c r="O32" s="300">
        <f>+'Central Gov''t Fiscal Operations'!Q33/'Gov''t fiscal operations to GDP'!O$41</f>
        <v>3.5479301348070723E-2</v>
      </c>
      <c r="P32" s="300">
        <f>+'Central Gov''t Fiscal Operations'!R33/'Gov''t fiscal operations to GDP'!P$41</f>
        <v>3.5594819623994398E-2</v>
      </c>
      <c r="Q32" s="300">
        <f>+'Central Gov''t Fiscal Operations'!S33/'Gov''t fiscal operations to GDP'!Q$41</f>
        <v>3.7651369516342972E-2</v>
      </c>
      <c r="R32" s="300">
        <f>+'Central Gov''t Fiscal Operations'!T33/'Gov''t fiscal operations to GDP'!R$41</f>
        <v>4.1841440288438794E-2</v>
      </c>
      <c r="S32" s="440">
        <f>+'Central Gov''t Fiscal Operations'!U33/'Gov''t fiscal operations to GDP'!S$41</f>
        <v>5.0454828078265179E-2</v>
      </c>
      <c r="T32" s="440">
        <f>+'Central Gov''t Fiscal Operations'!V33/'Gov''t fiscal operations to GDP'!T$41</f>
        <v>6.8338854583632411E-2</v>
      </c>
      <c r="U32" s="2761">
        <f>+'Central Gov''t Fiscal Operations'!W33/'Gov''t fiscal operations to GDP'!U$41</f>
        <v>5.680063075573781E-2</v>
      </c>
      <c r="V32" s="2761">
        <f>+'Central Gov''t Fiscal Operations'!X33/'Gov''t fiscal operations to GDP'!V$41</f>
        <v>4.6726911841560102E-2</v>
      </c>
      <c r="W32" s="3390">
        <f>+'Central Gov''t Fiscal Operations'!Y33/'Gov''t fiscal operations to GDP'!W$41</f>
        <v>4.4322938002750147E-2</v>
      </c>
    </row>
    <row r="33" spans="2:32" ht="40.25" customHeight="1">
      <c r="B33" s="285" t="s">
        <v>12</v>
      </c>
      <c r="C33" s="300">
        <f>+'Central Gov''t Fiscal Operations'!E34/'Gov''t fiscal operations to GDP'!C$41</f>
        <v>4.5766018753192687E-2</v>
      </c>
      <c r="D33" s="300">
        <f>+'Central Gov''t Fiscal Operations'!F34/'Gov''t fiscal operations to GDP'!D$41</f>
        <v>4.8655437667876521E-2</v>
      </c>
      <c r="E33" s="300">
        <f>+'Central Gov''t Fiscal Operations'!G34/'Gov''t fiscal operations to GDP'!E$41</f>
        <v>4.2301713366190194E-2</v>
      </c>
      <c r="F33" s="300" t="e">
        <f>+'Central Gov''t Fiscal Operations'!H34/'Gov''t fiscal operations to GDP'!F$41</f>
        <v>#REF!</v>
      </c>
      <c r="G33" s="300" t="e">
        <f>+'Central Gov''t Fiscal Operations'!I34/'Gov''t fiscal operations to GDP'!G$41</f>
        <v>#REF!</v>
      </c>
      <c r="H33" s="300">
        <f>+'Central Gov''t Fiscal Operations'!J34/'Gov''t fiscal operations to GDP'!H$41</f>
        <v>3.3226141405335481E-2</v>
      </c>
      <c r="I33" s="300">
        <f>+'Central Gov''t Fiscal Operations'!K34/'Gov''t fiscal operations to GDP'!I$41</f>
        <v>3.9011731081373562E-2</v>
      </c>
      <c r="J33" s="300">
        <f>+'Central Gov''t Fiscal Operations'!L34/'Gov''t fiscal operations to GDP'!J$41</f>
        <v>3.9532363089498895E-2</v>
      </c>
      <c r="K33" s="300">
        <f>+'Central Gov''t Fiscal Operations'!M34/'Gov''t fiscal operations to GDP'!K$41</f>
        <v>4.1194069834971529E-2</v>
      </c>
      <c r="L33" s="300">
        <f>+'Central Gov''t Fiscal Operations'!N34/'Gov''t fiscal operations to GDP'!L$41</f>
        <v>4.2899846846603321E-2</v>
      </c>
      <c r="M33" s="300">
        <f>+'Central Gov''t Fiscal Operations'!O34/'Gov''t fiscal operations to GDP'!M$41</f>
        <v>3.9921245149436284E-2</v>
      </c>
      <c r="N33" s="300">
        <f>+'Central Gov''t Fiscal Operations'!P34/'Gov''t fiscal operations to GDP'!N$41</f>
        <v>3.9558092433004129E-2</v>
      </c>
      <c r="O33" s="300">
        <f>+'Central Gov''t Fiscal Operations'!Q34/'Gov''t fiscal operations to GDP'!O$41</f>
        <v>3.888663088424725E-2</v>
      </c>
      <c r="P33" s="300">
        <f>+'Central Gov''t Fiscal Operations'!R34/'Gov''t fiscal operations to GDP'!P$41</f>
        <v>4.2788362762656733E-2</v>
      </c>
      <c r="Q33" s="300">
        <f>+'Central Gov''t Fiscal Operations'!S34/'Gov''t fiscal operations to GDP'!Q$41</f>
        <v>4.4010965022948767E-2</v>
      </c>
      <c r="R33" s="300">
        <f>+'Central Gov''t Fiscal Operations'!T34/'Gov''t fiscal operations to GDP'!R$41</f>
        <v>4.7929598016665347E-2</v>
      </c>
      <c r="S33" s="440">
        <f>+'Central Gov''t Fiscal Operations'!U34/'Gov''t fiscal operations to GDP'!S$41</f>
        <v>5.6744698139661466E-2</v>
      </c>
      <c r="T33" s="440">
        <f>+'Central Gov''t Fiscal Operations'!V34/'Gov''t fiscal operations to GDP'!T$41</f>
        <v>6.508282617940607E-2</v>
      </c>
      <c r="U33" s="2761">
        <f>+'Central Gov''t Fiscal Operations'!W34/'Gov''t fiscal operations to GDP'!U$41</f>
        <v>5.4030586928228562E-2</v>
      </c>
      <c r="V33" s="2761">
        <f>+'Central Gov''t Fiscal Operations'!X34/'Gov''t fiscal operations to GDP'!V$41</f>
        <v>5.204931886883353E-2</v>
      </c>
      <c r="W33" s="3390">
        <f>+'Central Gov''t Fiscal Operations'!Y34/'Gov''t fiscal operations to GDP'!W$41</f>
        <v>5.2248075930631389E-2</v>
      </c>
    </row>
    <row r="34" spans="2:32" ht="40.25" customHeight="1">
      <c r="B34" s="284"/>
      <c r="C34" s="438"/>
      <c r="D34" s="438"/>
      <c r="E34" s="438"/>
      <c r="F34" s="438"/>
      <c r="G34" s="438"/>
      <c r="H34" s="438"/>
      <c r="I34" s="438"/>
      <c r="J34" s="438"/>
      <c r="K34" s="438"/>
      <c r="L34" s="438"/>
      <c r="M34" s="438"/>
      <c r="N34" s="438"/>
      <c r="O34" s="438"/>
      <c r="P34" s="438"/>
      <c r="Q34" s="438"/>
      <c r="R34" s="438"/>
      <c r="S34" s="439"/>
      <c r="T34" s="439"/>
      <c r="U34" s="2760"/>
      <c r="V34" s="2760"/>
      <c r="W34" s="3389"/>
    </row>
    <row r="35" spans="2:32" s="286" customFormat="1" ht="40.25" customHeight="1">
      <c r="B35" s="283" t="s">
        <v>180</v>
      </c>
      <c r="C35" s="438">
        <f>+'Central Gov''t Fiscal Operations'!E36/'Gov''t fiscal operations to GDP'!C$41</f>
        <v>1.2928095282847264E-2</v>
      </c>
      <c r="D35" s="438">
        <f>+'Central Gov''t Fiscal Operations'!F36/'Gov''t fiscal operations to GDP'!D$41</f>
        <v>2.4698537256142607E-2</v>
      </c>
      <c r="E35" s="438">
        <f>+'Central Gov''t Fiscal Operations'!G36/'Gov''t fiscal operations to GDP'!E$41</f>
        <v>2.7824011878843896E-2</v>
      </c>
      <c r="F35" s="438" t="e">
        <f>+'Central Gov''t Fiscal Operations'!H36/'Gov''t fiscal operations to GDP'!F$41</f>
        <v>#REF!</v>
      </c>
      <c r="G35" s="438" t="e">
        <f>+'Central Gov''t Fiscal Operations'!I36/'Gov''t fiscal operations to GDP'!G$41</f>
        <v>#REF!</v>
      </c>
      <c r="H35" s="438">
        <f>+'Central Gov''t Fiscal Operations'!J36/'Gov''t fiscal operations to GDP'!H$41</f>
        <v>3.9186737664833077E-2</v>
      </c>
      <c r="I35" s="438">
        <f>+'Central Gov''t Fiscal Operations'!K36/'Gov''t fiscal operations to GDP'!I$41</f>
        <v>1.8981087786410725E-2</v>
      </c>
      <c r="J35" s="438">
        <f>+'Central Gov''t Fiscal Operations'!L36/'Gov''t fiscal operations to GDP'!J$41</f>
        <v>1.1093796132468255E-2</v>
      </c>
      <c r="K35" s="438">
        <f>+'Central Gov''t Fiscal Operations'!M36/'Gov''t fiscal operations to GDP'!K$41</f>
        <v>1.394323874322048E-2</v>
      </c>
      <c r="L35" s="438">
        <f>+'Central Gov''t Fiscal Operations'!N36/'Gov''t fiscal operations to GDP'!L$41</f>
        <v>-1.2402055666308863E-2</v>
      </c>
      <c r="M35" s="438">
        <f>+'Central Gov''t Fiscal Operations'!O36/'Gov''t fiscal operations to GDP'!M$41</f>
        <v>-1.0193683278959462E-3</v>
      </c>
      <c r="N35" s="438">
        <f>+'Central Gov''t Fiscal Operations'!P36/'Gov''t fiscal operations to GDP'!N$41</f>
        <v>7.4647279232535986E-3</v>
      </c>
      <c r="O35" s="438">
        <f>+'Central Gov''t Fiscal Operations'!Q36/'Gov''t fiscal operations to GDP'!O$41</f>
        <v>1.6609260674203614E-2</v>
      </c>
      <c r="P35" s="438">
        <f>+'Central Gov''t Fiscal Operations'!R36/'Gov''t fiscal operations to GDP'!P$41</f>
        <v>1.7789152982407987E-2</v>
      </c>
      <c r="Q35" s="438">
        <f>+'Central Gov''t Fiscal Operations'!S36/'Gov''t fiscal operations to GDP'!Q$41</f>
        <v>1.3948671591646852E-2</v>
      </c>
      <c r="R35" s="438">
        <f>+'Central Gov''t Fiscal Operations'!T36/'Gov''t fiscal operations to GDP'!R$41</f>
        <v>1.850215323127441E-2</v>
      </c>
      <c r="S35" s="439">
        <f>+'Central Gov''t Fiscal Operations'!U36/'Gov''t fiscal operations to GDP'!S$41</f>
        <v>-6.4341897351239208E-3</v>
      </c>
      <c r="T35" s="439">
        <f>+'Central Gov''t Fiscal Operations'!V36/'Gov''t fiscal operations to GDP'!T$41</f>
        <v>-6.4678602008127653E-2</v>
      </c>
      <c r="U35" s="2760">
        <f>+'Central Gov''t Fiscal Operations'!W36/'Gov''t fiscal operations to GDP'!U$41</f>
        <v>-2.6555249217521674E-2</v>
      </c>
      <c r="V35" s="2760">
        <f>+'Central Gov''t Fiscal Operations'!X36/'Gov''t fiscal operations to GDP'!V$41</f>
        <v>-1.2859691917796415E-3</v>
      </c>
      <c r="W35" s="3389">
        <f>+'Central Gov''t Fiscal Operations'!Y36/'Gov''t fiscal operations to GDP'!W$41</f>
        <v>8.5785272871527624E-3</v>
      </c>
      <c r="AD35" s="4024"/>
      <c r="AE35" s="4024"/>
      <c r="AF35" s="4024"/>
    </row>
    <row r="36" spans="2:32" s="286" customFormat="1" ht="40.25" customHeight="1">
      <c r="B36" s="283"/>
      <c r="C36" s="438"/>
      <c r="D36" s="438"/>
      <c r="E36" s="438"/>
      <c r="F36" s="438"/>
      <c r="G36" s="438"/>
      <c r="H36" s="438"/>
      <c r="I36" s="438"/>
      <c r="J36" s="438"/>
      <c r="K36" s="438"/>
      <c r="L36" s="438"/>
      <c r="M36" s="438"/>
      <c r="N36" s="438"/>
      <c r="O36" s="438"/>
      <c r="P36" s="438"/>
      <c r="Q36" s="438"/>
      <c r="R36" s="438"/>
      <c r="S36" s="439"/>
      <c r="T36" s="439"/>
      <c r="U36" s="2760"/>
      <c r="V36" s="2760"/>
      <c r="W36" s="3389"/>
      <c r="AD36" s="4024"/>
      <c r="AE36" s="4024"/>
      <c r="AF36" s="4024"/>
    </row>
    <row r="37" spans="2:32" s="286" customFormat="1" ht="40.25" customHeight="1">
      <c r="B37" s="283" t="s">
        <v>181</v>
      </c>
      <c r="C37" s="438">
        <f>+'Central Gov''t Fiscal Operations'!E38/'Gov''t fiscal operations to GDP'!C$41</f>
        <v>-1.4119370790026379E-2</v>
      </c>
      <c r="D37" s="438">
        <f>+'Central Gov''t Fiscal Operations'!F38/'Gov''t fiscal operations to GDP'!D$41</f>
        <v>-3.6217958146442441E-3</v>
      </c>
      <c r="E37" s="438">
        <f>+'Central Gov''t Fiscal Operations'!G38/'Gov''t fiscal operations to GDP'!E$41</f>
        <v>-4.1505431259554942E-2</v>
      </c>
      <c r="F37" s="438" t="e">
        <f>+'Central Gov''t Fiscal Operations'!H38/'Gov''t fiscal operations to GDP'!F$41</f>
        <v>#REF!</v>
      </c>
      <c r="G37" s="438" t="e">
        <f>+'Central Gov''t Fiscal Operations'!I38/'Gov''t fiscal operations to GDP'!G$41</f>
        <v>#REF!</v>
      </c>
      <c r="H37" s="438">
        <f>+'Central Gov''t Fiscal Operations'!J38/'Gov''t fiscal operations to GDP'!H$41</f>
        <v>1.5833224309941482E-2</v>
      </c>
      <c r="I37" s="438">
        <f>+'Central Gov''t Fiscal Operations'!K38/'Gov''t fiscal operations to GDP'!I$41</f>
        <v>-3.0107866399268005E-3</v>
      </c>
      <c r="J37" s="438">
        <f>+'Central Gov''t Fiscal Operations'!L38/'Gov''t fiscal operations to GDP'!J$41</f>
        <v>-1.594421043500735E-2</v>
      </c>
      <c r="K37" s="438">
        <f>+'Central Gov''t Fiscal Operations'!M38/'Gov''t fiscal operations to GDP'!K$41</f>
        <v>-2.8638507192873801E-2</v>
      </c>
      <c r="L37" s="438">
        <f>+'Central Gov''t Fiscal Operations'!N38/'Gov''t fiscal operations to GDP'!L$41</f>
        <v>-4.7505801852999061E-2</v>
      </c>
      <c r="M37" s="438">
        <f>+'Central Gov''t Fiscal Operations'!O38/'Gov''t fiscal operations to GDP'!M$41</f>
        <v>-1.7041929063348633E-2</v>
      </c>
      <c r="N37" s="438">
        <f>+'Central Gov''t Fiscal Operations'!P38/'Gov''t fiscal operations to GDP'!N$41</f>
        <v>1.8932686657743703E-3</v>
      </c>
      <c r="O37" s="438">
        <f>+'Central Gov''t Fiscal Operations'!Q38/'Gov''t fiscal operations to GDP'!O$41</f>
        <v>1.0017896483201684E-2</v>
      </c>
      <c r="P37" s="438">
        <f>+'Central Gov''t Fiscal Operations'!R38/'Gov''t fiscal operations to GDP'!P$41</f>
        <v>1.5308972637839622E-2</v>
      </c>
      <c r="Q37" s="438">
        <f>+'Central Gov''t Fiscal Operations'!S38/'Gov''t fiscal operations to GDP'!Q$41</f>
        <v>9.2715113857002943E-3</v>
      </c>
      <c r="R37" s="438">
        <f>+'Central Gov''t Fiscal Operations'!T38/'Gov''t fiscal operations to GDP'!R$41</f>
        <v>1.9406206699132549E-2</v>
      </c>
      <c r="S37" s="439">
        <f>+'Central Gov''t Fiscal Operations'!U38/'Gov''t fiscal operations to GDP'!S$41</f>
        <v>-4.3619235958183462E-3</v>
      </c>
      <c r="T37" s="439">
        <f>+'Central Gov''t Fiscal Operations'!V38/'Gov''t fiscal operations to GDP'!T$41</f>
        <v>-7.7585096249635888E-2</v>
      </c>
      <c r="U37" s="2760">
        <f>+'Central Gov''t Fiscal Operations'!W38/'Gov''t fiscal operations to GDP'!U$41</f>
        <v>-2.1739157105316001E-2</v>
      </c>
      <c r="V37" s="2760">
        <f>+'Central Gov''t Fiscal Operations'!X38/'Gov''t fiscal operations to GDP'!V$41</f>
        <v>9.7985975440989716E-3</v>
      </c>
      <c r="W37" s="3389">
        <f>+'Central Gov''t Fiscal Operations'!Y38/'Gov''t fiscal operations to GDP'!W$41</f>
        <v>1.4202753979834221E-2</v>
      </c>
      <c r="AD37" s="4024"/>
      <c r="AE37" s="4024"/>
      <c r="AF37" s="4024"/>
    </row>
    <row r="38" spans="2:32" ht="40.25" customHeight="1">
      <c r="B38" s="283"/>
      <c r="C38" s="438"/>
      <c r="D38" s="438"/>
      <c r="E38" s="438"/>
      <c r="F38" s="438"/>
      <c r="G38" s="438"/>
      <c r="H38" s="438"/>
      <c r="I38" s="438"/>
      <c r="J38" s="438"/>
      <c r="K38" s="438"/>
      <c r="L38" s="438"/>
      <c r="M38" s="438"/>
      <c r="N38" s="438"/>
      <c r="O38" s="438"/>
      <c r="P38" s="438"/>
      <c r="Q38" s="438"/>
      <c r="R38" s="438"/>
      <c r="S38" s="439"/>
      <c r="T38" s="439"/>
      <c r="U38" s="2760"/>
      <c r="V38" s="2760"/>
      <c r="W38" s="3389"/>
    </row>
    <row r="39" spans="2:32" ht="40.25" customHeight="1">
      <c r="B39" s="441" t="s">
        <v>182</v>
      </c>
      <c r="C39" s="442">
        <f>+'Central Gov''t Fiscal Operations'!E40/'Gov''t fiscal operations to GDP'!C$41</f>
        <v>-3.8733686567419032E-2</v>
      </c>
      <c r="D39" s="442">
        <f>+'Central Gov''t Fiscal Operations'!F40/'Gov''t fiscal operations to GDP'!D$41</f>
        <v>-3.1367959496097483E-2</v>
      </c>
      <c r="E39" s="442">
        <f>+'Central Gov''t Fiscal Operations'!G40/'Gov''t fiscal operations to GDP'!E$41</f>
        <v>-6.9059860433547893E-2</v>
      </c>
      <c r="F39" s="442" t="e">
        <f>+'Central Gov''t Fiscal Operations'!H40/'Gov''t fiscal operations to GDP'!F$41</f>
        <v>#REF!</v>
      </c>
      <c r="G39" s="442" t="e">
        <f>+'Central Gov''t Fiscal Operations'!I40/'Gov''t fiscal operations to GDP'!G$41</f>
        <v>#REF!</v>
      </c>
      <c r="H39" s="442">
        <f>+'Central Gov''t Fiscal Operations'!J40/'Gov''t fiscal operations to GDP'!H$41</f>
        <v>-8.8138350417511085E-3</v>
      </c>
      <c r="I39" s="442">
        <f>+'Central Gov''t Fiscal Operations'!K40/'Gov''t fiscal operations to GDP'!I$41</f>
        <v>-2.6426201749342702E-2</v>
      </c>
      <c r="J39" s="442">
        <f>+'Central Gov''t Fiscal Operations'!L40/'Gov''t fiscal operations to GDP'!J$41</f>
        <v>-4.1061176092480153E-2</v>
      </c>
      <c r="K39" s="442">
        <f>+'Central Gov''t Fiscal Operations'!M40/'Gov''t fiscal operations to GDP'!K$41</f>
        <v>-5.3505527573524565E-2</v>
      </c>
      <c r="L39" s="442">
        <f>+'Central Gov''t Fiscal Operations'!N40/'Gov''t fiscal operations to GDP'!L$41</f>
        <v>-7.5754341307053025E-2</v>
      </c>
      <c r="M39" s="442">
        <f>+'Central Gov''t Fiscal Operations'!O40/'Gov''t fiscal operations to GDP'!M$41</f>
        <v>-4.7865336043725421E-2</v>
      </c>
      <c r="N39" s="442">
        <f>+'Central Gov''t Fiscal Operations'!P40/'Gov''t fiscal operations to GDP'!N$41</f>
        <v>-2.9310520008001256E-2</v>
      </c>
      <c r="O39" s="442">
        <f>+'Central Gov''t Fiscal Operations'!Q40/'Gov''t fiscal operations to GDP'!O$41</f>
        <v>-2.1789941256120684E-2</v>
      </c>
      <c r="P39" s="442">
        <f>+'Central Gov''t Fiscal Operations'!R40/'Gov''t fiscal operations to GDP'!P$41</f>
        <v>-1.5610423855812763E-2</v>
      </c>
      <c r="Q39" s="442">
        <f>+'Central Gov''t Fiscal Operations'!S40/'Gov''t fiscal operations to GDP'!Q$41</f>
        <v>-2.0591701409492437E-2</v>
      </c>
      <c r="R39" s="442">
        <f>+'Central Gov''t Fiscal Operations'!T40/'Gov''t fiscal operations to GDP'!R$41</f>
        <v>-1.0262717458846896E-2</v>
      </c>
      <c r="S39" s="443">
        <f>+'Central Gov''t Fiscal Operations'!U40/'Gov''t fiscal operations to GDP'!S$41</f>
        <v>-3.6863581685201909E-2</v>
      </c>
      <c r="T39" s="443">
        <f>+'Central Gov''t Fiscal Operations'!V40/'Gov''t fiscal operations to GDP'!T$41</f>
        <v>-0.11584952967350846</v>
      </c>
      <c r="U39" s="2762">
        <f>+'Central Gov''t Fiscal Operations'!W40/'Gov''t fiscal operations to GDP'!U$41</f>
        <v>-5.3625431098213196E-2</v>
      </c>
      <c r="V39" s="2978">
        <f>+'Central Gov''t Fiscal Operations'!X40/'Gov''t fiscal operations to GDP'!V$41</f>
        <v>-1.9147277048017899E-2</v>
      </c>
      <c r="W39" s="3391">
        <f>+'Central Gov''t Fiscal Operations'!Y40/'Gov''t fiscal operations to GDP'!W$41</f>
        <v>-1.9185664717315701E-2</v>
      </c>
    </row>
    <row r="40" spans="2:32" ht="40.25" customHeight="1">
      <c r="B40" s="444"/>
      <c r="C40" s="445"/>
      <c r="D40" s="445"/>
      <c r="E40" s="445"/>
      <c r="F40" s="445"/>
      <c r="G40" s="445"/>
      <c r="H40" s="445"/>
      <c r="I40" s="445"/>
      <c r="J40" s="445"/>
      <c r="K40" s="445"/>
      <c r="L40" s="445"/>
      <c r="M40" s="445"/>
      <c r="N40" s="445"/>
      <c r="O40" s="445"/>
      <c r="P40" s="445"/>
      <c r="Q40" s="445"/>
      <c r="R40" s="296"/>
      <c r="S40" s="446"/>
      <c r="T40" s="446"/>
      <c r="U40" s="2763"/>
      <c r="V40" s="4698"/>
      <c r="W40" s="3392"/>
    </row>
    <row r="41" spans="2:32" ht="40.25" customHeight="1" thickBot="1">
      <c r="B41" s="447" t="s">
        <v>663</v>
      </c>
      <c r="C41" s="448">
        <f>+'[179]ASSUMPTIONS FY '!F11</f>
        <v>2223.9090655640603</v>
      </c>
      <c r="D41" s="448">
        <f>+'[179]ASSUMPTIONS FY '!G11</f>
        <v>2409.8951036137569</v>
      </c>
      <c r="E41" s="448">
        <f>+'[179]ASSUMPTIONS FY '!H11</f>
        <v>2608.2921023758308</v>
      </c>
      <c r="F41" s="448" t="e">
        <f>'GDP  nominal prices'!#REF!*0.75+0.25*'GDP  nominal prices'!#REF!</f>
        <v>#REF!</v>
      </c>
      <c r="G41" s="449" t="e">
        <f>'GDP  nominal prices'!#REF!*0.75+'GDP  nominal prices'!#REF!*0.25</f>
        <v>#REF!</v>
      </c>
      <c r="H41" s="449">
        <f>'GDP  nominal prices'!E76*0.75+0.25*'GDP  nominal prices'!F76</f>
        <v>3833.3173402899993</v>
      </c>
      <c r="I41" s="449">
        <f>'GDP  nominal prices'!F76*0.75+0.25*'GDP  nominal prices'!G76</f>
        <v>3835.0804194750003</v>
      </c>
      <c r="J41" s="449">
        <f>'GDP  nominal prices'!G76*0.75+0.25*'GDP  nominal prices'!H76</f>
        <v>4061.79637267</v>
      </c>
      <c r="K41" s="449">
        <f>'GDP  nominal prices'!H76*0.75+0.25*'GDP  nominal prices'!I76</f>
        <v>4255.4354474386246</v>
      </c>
      <c r="L41" s="449">
        <f>'GDP  nominal prices'!I76*0.75+0.25*'GDP  nominal prices'!J76</f>
        <v>4356.9646919333745</v>
      </c>
      <c r="M41" s="449">
        <f>'GDP  nominal prices'!J76*0.75+0.25*'GDP  nominal prices'!K76</f>
        <v>4542.9678415869994</v>
      </c>
      <c r="N41" s="449">
        <f>'GDP  nominal prices'!K76*0.75+0.25*'GDP  nominal prices'!L76</f>
        <v>4762.234052843929</v>
      </c>
      <c r="O41" s="449">
        <f>'GDP  nominal prices'!L76*0.75+0.25*'GDP  nominal prices'!M76</f>
        <v>4921.7429139002879</v>
      </c>
      <c r="P41" s="449">
        <f>'GDP  nominal prices'!M76*0.75+0.25*'GDP  nominal prices'!N76</f>
        <v>5132.7974668774996</v>
      </c>
      <c r="Q41" s="449">
        <f>'GDP  nominal prices'!N76*0.75+0.25*'GDP  nominal prices'!O76</f>
        <v>5438.1288816366923</v>
      </c>
      <c r="R41" s="449">
        <f>'GDP  nominal prices'!O76*0.75+0.25*'GDP  nominal prices'!P76</f>
        <v>5587.8332196084093</v>
      </c>
      <c r="S41" s="2654">
        <f>'GDP  nominal prices'!P76*0.75+0.25*'GDP  nominal prices'!Q76</f>
        <v>5255.1165091417479</v>
      </c>
      <c r="T41" s="2654">
        <f>'GDP  nominal prices'!Q76*0.75+0.25*'GDP  nominal prices'!R76</f>
        <v>4296.4179863547497</v>
      </c>
      <c r="U41" s="2764">
        <f>'GDP  nominal prices'!R76*0.75+0.25*'GDP  nominal prices'!S76</f>
        <v>5362.3700291256318</v>
      </c>
      <c r="V41" s="2764">
        <f>'GDP  nominal prices'!S76*0.75+0.25*'GDP  nominal prices'!T76</f>
        <v>6384.3294633193946</v>
      </c>
      <c r="W41" s="4135">
        <f>'GDP  nominal prices'!T76*0.75+0.25*'GDP  nominal prices'!U76</f>
        <v>6681.1455499999993</v>
      </c>
      <c r="X41" s="4136"/>
      <c r="AD41" s="4098"/>
      <c r="AE41" s="4098"/>
      <c r="AF41" s="4098"/>
    </row>
    <row r="42" spans="2:32" s="254" customFormat="1">
      <c r="B42" s="253" t="s">
        <v>660</v>
      </c>
      <c r="C42" s="287"/>
      <c r="D42" s="287"/>
      <c r="E42" s="287"/>
      <c r="F42" s="287"/>
      <c r="G42" s="287"/>
      <c r="H42" s="287"/>
      <c r="I42" s="287"/>
      <c r="J42" s="287"/>
      <c r="K42" s="288"/>
      <c r="P42" s="289"/>
      <c r="Q42" s="289"/>
      <c r="AD42" s="4100"/>
      <c r="AE42" s="4100"/>
      <c r="AF42" s="4100"/>
    </row>
    <row r="43" spans="2:32" s="254" customFormat="1" ht="43.15">
      <c r="B43" s="253" t="s">
        <v>2308</v>
      </c>
      <c r="C43" s="287"/>
      <c r="D43" s="287"/>
      <c r="E43" s="287"/>
      <c r="F43" s="287"/>
      <c r="G43" s="287"/>
      <c r="H43" s="287"/>
      <c r="I43" s="287"/>
      <c r="J43" s="287"/>
      <c r="K43" s="288"/>
      <c r="P43" s="2093"/>
      <c r="Q43" s="2093"/>
      <c r="V43" s="4105"/>
      <c r="W43" s="4105"/>
      <c r="X43" s="4105"/>
      <c r="Y43" s="4105"/>
      <c r="Z43" s="4105"/>
      <c r="AA43" s="4105"/>
      <c r="AB43" s="4105"/>
      <c r="AC43" s="1305"/>
      <c r="AD43" s="4106"/>
      <c r="AE43" s="4106"/>
      <c r="AF43" s="4106"/>
    </row>
    <row r="44" spans="2:32">
      <c r="B44" s="254" t="s">
        <v>782</v>
      </c>
      <c r="C44" s="280"/>
      <c r="D44" s="280"/>
      <c r="E44" s="280"/>
      <c r="F44" s="280"/>
      <c r="G44" s="281"/>
      <c r="H44" s="282"/>
      <c r="I44" s="282"/>
      <c r="J44" s="282"/>
      <c r="K44" s="280"/>
      <c r="S44" s="279" t="s">
        <v>736</v>
      </c>
      <c r="AD44" s="4099"/>
      <c r="AE44" s="4099"/>
      <c r="AF44" s="4099"/>
    </row>
    <row r="45" spans="2:32">
      <c r="B45" s="254" t="s">
        <v>312</v>
      </c>
      <c r="C45" s="280"/>
      <c r="D45" s="280"/>
      <c r="E45" s="280"/>
      <c r="F45" s="280"/>
      <c r="G45" s="290"/>
      <c r="H45" s="290"/>
      <c r="I45" s="290"/>
      <c r="J45" s="290"/>
      <c r="K45" s="280"/>
      <c r="AD45" s="4099"/>
      <c r="AE45" s="4099"/>
      <c r="AF45" s="4099"/>
    </row>
    <row r="46" spans="2:32" hidden="1">
      <c r="B46" s="279" t="s">
        <v>13</v>
      </c>
      <c r="C46" s="291">
        <f>C41</f>
        <v>2223.9090655640603</v>
      </c>
      <c r="D46" s="291">
        <f t="shared" ref="D46:M46" si="0">D41</f>
        <v>2409.8951036137569</v>
      </c>
      <c r="E46" s="291">
        <f t="shared" si="0"/>
        <v>2608.2921023758308</v>
      </c>
      <c r="F46" s="291" t="e">
        <f t="shared" si="0"/>
        <v>#REF!</v>
      </c>
      <c r="G46" s="291" t="e">
        <f t="shared" si="0"/>
        <v>#REF!</v>
      </c>
      <c r="H46" s="291">
        <f t="shared" si="0"/>
        <v>3833.3173402899993</v>
      </c>
      <c r="I46" s="291">
        <f t="shared" si="0"/>
        <v>3835.0804194750003</v>
      </c>
      <c r="J46" s="291">
        <f t="shared" si="0"/>
        <v>4061.79637267</v>
      </c>
      <c r="K46" s="291">
        <f t="shared" si="0"/>
        <v>4255.4354474386246</v>
      </c>
      <c r="L46" s="291">
        <f t="shared" si="0"/>
        <v>4356.9646919333745</v>
      </c>
      <c r="M46" s="291">
        <f t="shared" si="0"/>
        <v>4542.9678415869994</v>
      </c>
      <c r="AD46" s="4099"/>
      <c r="AE46" s="4099"/>
      <c r="AF46" s="4099"/>
    </row>
    <row r="47" spans="2:32">
      <c r="AD47" s="4099"/>
      <c r="AE47" s="4099"/>
      <c r="AF47" s="4099"/>
    </row>
    <row r="48" spans="2:32">
      <c r="B48" s="279" t="s">
        <v>887</v>
      </c>
      <c r="H48" s="292">
        <v>4929.8814911527279</v>
      </c>
      <c r="I48" s="292">
        <v>4888.4375113796104</v>
      </c>
      <c r="J48" s="292">
        <v>4869.9482602903227</v>
      </c>
      <c r="K48" s="292">
        <v>5179.5270253884191</v>
      </c>
      <c r="L48" s="293">
        <v>5159.8150743759925</v>
      </c>
      <c r="M48" s="293">
        <v>4879.7267016357046</v>
      </c>
      <c r="N48" s="293">
        <v>5060.6300195684871</v>
      </c>
      <c r="O48" s="293">
        <v>5192.0942587991112</v>
      </c>
      <c r="P48" s="294">
        <v>5225.7296202572288</v>
      </c>
      <c r="Q48" s="294">
        <v>5510.4571195240651</v>
      </c>
      <c r="R48" s="292">
        <v>5533.031371155339</v>
      </c>
      <c r="S48" s="292">
        <v>5607.8568578782497</v>
      </c>
      <c r="T48" s="292"/>
      <c r="AD48" s="4099"/>
      <c r="AE48" s="4099"/>
      <c r="AF48" s="4099"/>
    </row>
    <row r="49" spans="2:32">
      <c r="B49" s="279" t="s">
        <v>888</v>
      </c>
      <c r="K49" s="295">
        <f>'Central Gov''t Fiscal Operations'!M40/'Gov''t fiscal operations to GDP'!K48</f>
        <v>-4.3959480770004569E-2</v>
      </c>
      <c r="L49" s="295">
        <f>'Central Gov''t Fiscal Operations'!N40/'Gov''t fiscal operations to GDP'!L48</f>
        <v>-6.3967213083778202E-2</v>
      </c>
      <c r="M49" s="295">
        <f>'Central Gov''t Fiscal Operations'!O40/'Gov''t fiscal operations to GDP'!M48</f>
        <v>-4.4562061703273113E-2</v>
      </c>
      <c r="N49" s="295">
        <f>'Central Gov''t Fiscal Operations'!P40/'Gov''t fiscal operations to GDP'!N48</f>
        <v>-2.7582248840346758E-2</v>
      </c>
      <c r="O49" s="295">
        <f>'Central Gov''t Fiscal Operations'!Q40/'Gov''t fiscal operations to GDP'!O48</f>
        <v>-2.0655343224916776E-2</v>
      </c>
      <c r="P49" s="295">
        <f>'Central Gov''t Fiscal Operations'!R40/'Gov''t fiscal operations to GDP'!P48</f>
        <v>-1.5332814716130643E-2</v>
      </c>
      <c r="Q49" s="295">
        <f>'Central Gov''t Fiscal Operations'!S40/'Gov''t fiscal operations to GDP'!Q48</f>
        <v>-2.0321422293668349E-2</v>
      </c>
      <c r="R49" s="295">
        <f>'Central Gov''t Fiscal Operations'!T40/'Gov''t fiscal operations to GDP'!R48</f>
        <v>-1.036436443121513E-2</v>
      </c>
      <c r="S49" s="295">
        <f>'Central Gov''t Fiscal Operations'!U40/'Gov''t fiscal operations to GDP'!S48</f>
        <v>-3.4544821954192215E-2</v>
      </c>
      <c r="T49" s="295"/>
      <c r="AD49" s="279"/>
      <c r="AE49" s="279"/>
      <c r="AF49" s="279"/>
    </row>
    <row r="50" spans="2:32">
      <c r="AD50" s="279"/>
      <c r="AE50" s="279"/>
      <c r="AF50" s="279"/>
    </row>
    <row r="51" spans="2:32">
      <c r="AD51" s="279"/>
      <c r="AE51" s="279"/>
      <c r="AF51" s="279"/>
    </row>
    <row r="52" spans="2:32">
      <c r="AD52" s="279"/>
      <c r="AE52" s="279"/>
      <c r="AF52" s="279"/>
    </row>
    <row r="53" spans="2:32">
      <c r="AD53" s="279"/>
      <c r="AE53" s="279"/>
      <c r="AF53" s="279"/>
    </row>
    <row r="54" spans="2:32">
      <c r="AD54" s="279"/>
      <c r="AE54" s="279"/>
      <c r="AF54" s="279"/>
    </row>
    <row r="55" spans="2:32">
      <c r="AD55" s="279"/>
      <c r="AE55" s="279"/>
      <c r="AF55" s="279"/>
    </row>
    <row r="78" spans="2:2">
      <c r="B78" s="279" t="s">
        <v>747</v>
      </c>
    </row>
  </sheetData>
  <mergeCells count="4">
    <mergeCell ref="B1:V1"/>
    <mergeCell ref="B2:V2"/>
    <mergeCell ref="B3:V3"/>
    <mergeCell ref="B4:V4"/>
  </mergeCells>
  <printOptions horizontalCentered="1" verticalCentered="1"/>
  <pageMargins left="0.25" right="0.25" top="0.75" bottom="0.75" header="0.3" footer="0.3"/>
  <pageSetup scale="28" firstPageNumber="103" orientation="landscape" useFirstPageNumber="1" r:id="rId1"/>
  <headerFooter scaleWithDoc="0" alignWithMargins="0">
    <oddFooter xml:space="preserve">&amp;C126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6">
    <tabColor rgb="FF00B0F0"/>
    <pageSetUpPr fitToPage="1"/>
  </sheetPr>
  <dimension ref="A1:AO87"/>
  <sheetViews>
    <sheetView view="pageBreakPreview" zoomScale="30" zoomScaleNormal="100" zoomScaleSheetLayoutView="30" workbookViewId="0">
      <pane xSplit="21" ySplit="7" topLeftCell="V29" activePane="bottomRight" state="frozen"/>
      <selection activeCell="B44" sqref="B44"/>
      <selection pane="topRight" activeCell="B44" sqref="B44"/>
      <selection pane="bottomLeft" activeCell="B44" sqref="B44"/>
      <selection pane="bottomRight" activeCell="B44" sqref="B44"/>
    </sheetView>
  </sheetViews>
  <sheetFormatPr defaultColWidth="9.46484375" defaultRowHeight="43.15"/>
  <cols>
    <col min="1" max="1" width="9.46484375" style="1305"/>
    <col min="2" max="2" width="137.6640625" style="1967" customWidth="1"/>
    <col min="3" max="11" width="9.46484375" style="1305" hidden="1" customWidth="1"/>
    <col min="12" max="12" width="11.46484375" style="1870" hidden="1" customWidth="1"/>
    <col min="13" max="14" width="14.46484375" style="1870" hidden="1" customWidth="1"/>
    <col min="15" max="18" width="25.46484375" style="1870" hidden="1" customWidth="1"/>
    <col min="19" max="21" width="31.6640625" style="1870" hidden="1" customWidth="1"/>
    <col min="22" max="22" width="28.46484375" style="1870" customWidth="1"/>
    <col min="23" max="28" width="38.33203125" style="1870" customWidth="1"/>
    <col min="29" max="31" width="42.6640625" style="1870" customWidth="1"/>
    <col min="32" max="32" width="42.6640625" style="3065" customWidth="1"/>
    <col min="33" max="33" width="49.6640625" style="3242" customWidth="1"/>
    <col min="34" max="34" width="41.6640625" style="1870" customWidth="1"/>
    <col min="35" max="35" width="9.46484375" style="1305"/>
    <col min="36" max="36" width="39.6640625" style="1305" customWidth="1"/>
    <col min="37" max="37" width="32" style="1305" bestFit="1" customWidth="1"/>
    <col min="38" max="38" width="9.46484375" style="1305"/>
    <col min="39" max="39" width="25.6640625" style="1305" bestFit="1" customWidth="1"/>
    <col min="40" max="40" width="9.46484375" style="1305"/>
    <col min="41" max="41" width="18.6640625" style="1305" bestFit="1" customWidth="1"/>
    <col min="42" max="16384" width="9.46484375" style="1305"/>
  </cols>
  <sheetData>
    <row r="1" spans="2:41">
      <c r="B1" s="5863" t="s">
        <v>693</v>
      </c>
      <c r="C1" s="5863"/>
      <c r="D1" s="5863"/>
      <c r="E1" s="5863"/>
      <c r="F1" s="5863"/>
      <c r="G1" s="5863"/>
      <c r="H1" s="5863"/>
      <c r="I1" s="5863"/>
      <c r="J1" s="5863"/>
      <c r="K1" s="5863"/>
      <c r="L1" s="5863"/>
      <c r="M1" s="5863"/>
      <c r="N1" s="5863"/>
      <c r="O1" s="5863"/>
      <c r="P1" s="5863"/>
      <c r="Q1" s="5863"/>
      <c r="R1" s="5863"/>
      <c r="S1" s="5863"/>
      <c r="T1" s="5863"/>
      <c r="U1" s="5863"/>
      <c r="V1" s="5863"/>
      <c r="W1" s="5863"/>
      <c r="X1" s="5863"/>
      <c r="Y1" s="5863"/>
      <c r="Z1" s="5863"/>
      <c r="AA1" s="5863"/>
      <c r="AB1" s="5863"/>
      <c r="AC1" s="5863"/>
      <c r="AD1" s="5863"/>
      <c r="AE1" s="5863"/>
      <c r="AF1" s="5863"/>
      <c r="AG1" s="5863"/>
      <c r="AH1" s="5863"/>
    </row>
    <row r="2" spans="2:41">
      <c r="B2" s="5863" t="s">
        <v>184</v>
      </c>
      <c r="C2" s="5863"/>
      <c r="D2" s="5863"/>
      <c r="E2" s="5863"/>
      <c r="F2" s="5863"/>
      <c r="G2" s="5863"/>
      <c r="H2" s="5863"/>
      <c r="I2" s="5863"/>
      <c r="J2" s="5863"/>
      <c r="K2" s="5863"/>
      <c r="L2" s="5863"/>
      <c r="M2" s="5863"/>
      <c r="N2" s="5863"/>
      <c r="O2" s="5863"/>
      <c r="P2" s="5863"/>
      <c r="Q2" s="5863"/>
      <c r="R2" s="5863"/>
      <c r="S2" s="5863"/>
      <c r="T2" s="5863"/>
      <c r="U2" s="5863"/>
      <c r="V2" s="5863"/>
      <c r="W2" s="5863"/>
      <c r="X2" s="5863"/>
      <c r="Y2" s="5863"/>
      <c r="Z2" s="5863"/>
      <c r="AA2" s="5863"/>
      <c r="AB2" s="5863"/>
      <c r="AC2" s="5863"/>
      <c r="AD2" s="5863"/>
      <c r="AE2" s="5863"/>
      <c r="AF2" s="5863"/>
      <c r="AG2" s="5863"/>
      <c r="AH2" s="5863"/>
    </row>
    <row r="3" spans="2:41">
      <c r="B3" s="5863" t="s">
        <v>171</v>
      </c>
      <c r="C3" s="5863"/>
      <c r="D3" s="5863"/>
      <c r="E3" s="5863"/>
      <c r="F3" s="5863"/>
      <c r="G3" s="5863"/>
      <c r="H3" s="5863"/>
      <c r="I3" s="5863"/>
      <c r="J3" s="5863"/>
      <c r="K3" s="5863"/>
      <c r="L3" s="5863"/>
      <c r="M3" s="5863"/>
      <c r="N3" s="5863"/>
      <c r="O3" s="5863"/>
      <c r="P3" s="5863"/>
      <c r="Q3" s="5863"/>
      <c r="R3" s="5863"/>
      <c r="S3" s="5863"/>
      <c r="T3" s="5863"/>
      <c r="U3" s="5863"/>
      <c r="V3" s="5863"/>
      <c r="W3" s="5863"/>
      <c r="X3" s="5863"/>
      <c r="Y3" s="5863"/>
      <c r="Z3" s="5863"/>
      <c r="AA3" s="5863"/>
      <c r="AB3" s="5863"/>
      <c r="AC3" s="5863"/>
      <c r="AD3" s="5863"/>
      <c r="AE3" s="5863"/>
      <c r="AF3" s="5863"/>
      <c r="AG3" s="5863"/>
      <c r="AH3" s="5863"/>
    </row>
    <row r="4" spans="2:41" ht="36" customHeight="1" thickBot="1">
      <c r="B4" s="5863" t="s">
        <v>513</v>
      </c>
      <c r="C4" s="5863"/>
      <c r="D4" s="5863"/>
      <c r="E4" s="5863"/>
      <c r="F4" s="5863"/>
      <c r="G4" s="5863"/>
      <c r="H4" s="5863"/>
      <c r="I4" s="5863"/>
      <c r="J4" s="5863"/>
      <c r="K4" s="5863"/>
      <c r="L4" s="5863"/>
      <c r="M4" s="5863"/>
      <c r="N4" s="5863"/>
      <c r="O4" s="5863"/>
      <c r="P4" s="5863"/>
      <c r="Q4" s="5863"/>
      <c r="R4" s="5863"/>
      <c r="S4" s="5863"/>
      <c r="T4" s="5863"/>
      <c r="U4" s="5863"/>
      <c r="V4" s="5863"/>
      <c r="W4" s="5863"/>
      <c r="X4" s="5863"/>
      <c r="Y4" s="5863"/>
      <c r="Z4" s="5863"/>
      <c r="AA4" s="5863"/>
      <c r="AB4" s="5863"/>
      <c r="AC4" s="5863"/>
      <c r="AD4" s="5863"/>
      <c r="AE4" s="5863"/>
      <c r="AF4" s="5863"/>
      <c r="AG4" s="5863"/>
      <c r="AH4" s="5863"/>
    </row>
    <row r="5" spans="2:41" ht="19.5" hidden="1" customHeight="1" thickBot="1">
      <c r="B5" s="1871"/>
      <c r="C5" s="1872"/>
      <c r="D5" s="1872"/>
      <c r="E5" s="1872"/>
      <c r="F5" s="1872"/>
      <c r="G5" s="1872"/>
      <c r="H5" s="1872"/>
      <c r="I5" s="1872"/>
      <c r="J5" s="1872"/>
      <c r="K5" s="1872"/>
      <c r="L5" s="1872"/>
      <c r="M5" s="1872"/>
      <c r="N5" s="1872"/>
      <c r="O5" s="1872"/>
      <c r="P5" s="1872"/>
      <c r="Q5" s="1872"/>
      <c r="R5" s="1872"/>
      <c r="S5" s="1872"/>
      <c r="T5" s="1872"/>
      <c r="U5" s="1873"/>
      <c r="V5" s="1873"/>
      <c r="W5" s="1873"/>
      <c r="X5" s="1873"/>
      <c r="Y5" s="1874"/>
      <c r="Z5" s="1875"/>
      <c r="AA5" s="1875"/>
      <c r="AB5" s="1876"/>
      <c r="AC5" s="1877"/>
      <c r="AD5" s="1878"/>
      <c r="AE5" s="2323"/>
      <c r="AF5" s="3059"/>
      <c r="AG5" s="3240"/>
      <c r="AH5" s="4140" t="s">
        <v>915</v>
      </c>
    </row>
    <row r="6" spans="2:41" s="4093" customFormat="1" ht="130.25" customHeight="1" thickBot="1">
      <c r="B6" s="4081"/>
      <c r="C6" s="4082" t="s">
        <v>150</v>
      </c>
      <c r="D6" s="4082" t="s">
        <v>151</v>
      </c>
      <c r="E6" s="4082" t="s">
        <v>152</v>
      </c>
      <c r="F6" s="4082" t="s">
        <v>154</v>
      </c>
      <c r="G6" s="4082" t="s">
        <v>155</v>
      </c>
      <c r="H6" s="4082" t="s">
        <v>185</v>
      </c>
      <c r="I6" s="4082" t="s">
        <v>186</v>
      </c>
      <c r="J6" s="4082" t="s">
        <v>187</v>
      </c>
      <c r="K6" s="4083" t="s">
        <v>159</v>
      </c>
      <c r="L6" s="4084" t="s">
        <v>188</v>
      </c>
      <c r="M6" s="4084" t="s">
        <v>161</v>
      </c>
      <c r="N6" s="4084" t="s">
        <v>189</v>
      </c>
      <c r="O6" s="4084" t="s">
        <v>163</v>
      </c>
      <c r="P6" s="4084" t="s">
        <v>164</v>
      </c>
      <c r="Q6" s="4085" t="s">
        <v>165</v>
      </c>
      <c r="R6" s="4085" t="s">
        <v>295</v>
      </c>
      <c r="S6" s="4085" t="s">
        <v>428</v>
      </c>
      <c r="T6" s="4085" t="s">
        <v>284</v>
      </c>
      <c r="U6" s="4085" t="s">
        <v>478</v>
      </c>
      <c r="V6" s="4085" t="s">
        <v>485</v>
      </c>
      <c r="W6" s="4085" t="s">
        <v>540</v>
      </c>
      <c r="X6" s="4085" t="s">
        <v>588</v>
      </c>
      <c r="Y6" s="4085" t="s">
        <v>610</v>
      </c>
      <c r="Z6" s="4085" t="s">
        <v>710</v>
      </c>
      <c r="AA6" s="4086" t="s">
        <v>750</v>
      </c>
      <c r="AB6" s="4086" t="s">
        <v>825</v>
      </c>
      <c r="AC6" s="4087" t="s">
        <v>1494</v>
      </c>
      <c r="AD6" s="4088" t="s">
        <v>1083</v>
      </c>
      <c r="AE6" s="4089" t="s">
        <v>1532</v>
      </c>
      <c r="AF6" s="4090" t="s">
        <v>1964</v>
      </c>
      <c r="AG6" s="4091" t="s">
        <v>1965</v>
      </c>
      <c r="AH6" s="4092" t="s">
        <v>1963</v>
      </c>
    </row>
    <row r="7" spans="2:41" hidden="1">
      <c r="B7" s="1879"/>
      <c r="C7" s="1880"/>
      <c r="D7" s="1880"/>
      <c r="E7" s="1880"/>
      <c r="F7" s="1880"/>
      <c r="G7" s="1880"/>
      <c r="H7" s="1880"/>
      <c r="I7" s="1880"/>
      <c r="J7" s="1880"/>
      <c r="K7" s="1881"/>
      <c r="L7" s="1882"/>
      <c r="M7" s="1882"/>
      <c r="N7" s="1882"/>
      <c r="O7" s="1882"/>
      <c r="P7" s="1882"/>
      <c r="Q7" s="1883"/>
      <c r="R7" s="1884"/>
      <c r="S7" s="1884"/>
      <c r="T7" s="1882"/>
      <c r="U7" s="1882"/>
      <c r="V7" s="1882"/>
      <c r="W7" s="1885"/>
      <c r="X7" s="1885"/>
      <c r="Y7" s="1885"/>
      <c r="Z7" s="1885"/>
      <c r="AA7" s="1885"/>
      <c r="AB7" s="1885"/>
      <c r="AC7" s="2733"/>
      <c r="AD7" s="1886"/>
      <c r="AE7" s="1887"/>
      <c r="AF7" s="3060"/>
      <c r="AG7" s="3241"/>
      <c r="AH7" s="1888"/>
    </row>
    <row r="8" spans="2:41" ht="49.25" customHeight="1">
      <c r="B8" s="1889" t="s">
        <v>2</v>
      </c>
      <c r="C8" s="1880" t="e">
        <v>#REF!</v>
      </c>
      <c r="D8" s="1880" t="e">
        <v>#REF!</v>
      </c>
      <c r="E8" s="1880" t="e">
        <v>#REF!</v>
      </c>
      <c r="F8" s="1880">
        <v>390.70799999999997</v>
      </c>
      <c r="G8" s="1880">
        <v>398.75900000000001</v>
      </c>
      <c r="H8" s="1880">
        <v>498.39499999999998</v>
      </c>
      <c r="I8" s="1880">
        <v>595.19799999999998</v>
      </c>
      <c r="J8" s="1880">
        <v>491.74223900000004</v>
      </c>
      <c r="K8" s="1880">
        <v>458.18299999999999</v>
      </c>
      <c r="L8" s="1882">
        <v>497.27</v>
      </c>
      <c r="M8" s="1882">
        <f t="shared" ref="M8:U8" si="0">M12+M10+M9</f>
        <v>524.96201529999996</v>
      </c>
      <c r="N8" s="1882">
        <f t="shared" si="0"/>
        <v>582.40033600000004</v>
      </c>
      <c r="O8" s="1882">
        <f t="shared" si="0"/>
        <v>608.0509803299999</v>
      </c>
      <c r="P8" s="1890">
        <f t="shared" si="0"/>
        <v>672.45831340000007</v>
      </c>
      <c r="Q8" s="1891">
        <f t="shared" si="0"/>
        <v>753.11436900000012</v>
      </c>
      <c r="R8" s="1891">
        <f t="shared" si="0"/>
        <v>829.02331329999993</v>
      </c>
      <c r="S8" s="1891">
        <f t="shared" si="0"/>
        <v>826.78393110999991</v>
      </c>
      <c r="T8" s="1891">
        <f t="shared" si="0"/>
        <v>874.51435888999993</v>
      </c>
      <c r="U8" s="1891">
        <f t="shared" si="0"/>
        <v>915.08260378999989</v>
      </c>
      <c r="V8" s="1892">
        <f t="shared" ref="V8:AA8" si="1">+V9+V10+V12</f>
        <v>878.05109266449995</v>
      </c>
      <c r="W8" s="1892">
        <f t="shared" si="1"/>
        <v>921.64116591999993</v>
      </c>
      <c r="X8" s="1892">
        <f t="shared" si="1"/>
        <v>974.23822717133339</v>
      </c>
      <c r="Y8" s="1892">
        <f t="shared" si="1"/>
        <v>1027.4197070283844</v>
      </c>
      <c r="Z8" s="1892">
        <f t="shared" si="1"/>
        <v>1081.181082866</v>
      </c>
      <c r="AA8" s="1892">
        <f t="shared" si="1"/>
        <v>1131.0280018430001</v>
      </c>
      <c r="AB8" s="1892">
        <f>+AB9+AB10+AB12</f>
        <v>1202.2382364600001</v>
      </c>
      <c r="AC8" s="2734">
        <f t="shared" ref="AC8:AG8" si="2">+AC9+AC10+AC12</f>
        <v>1185.0275833000001</v>
      </c>
      <c r="AD8" s="1893">
        <f t="shared" si="2"/>
        <v>920.7133060000001</v>
      </c>
      <c r="AE8" s="1893">
        <f t="shared" si="2"/>
        <v>1123.72531248</v>
      </c>
      <c r="AF8" s="1893">
        <f t="shared" si="2"/>
        <v>1319.7239490000002</v>
      </c>
      <c r="AG8" s="1893">
        <f t="shared" si="2"/>
        <v>1427.7756579499999</v>
      </c>
      <c r="AH8" s="1894">
        <f>+AG8/AF8-1</f>
        <v>8.1874477637443821E-2</v>
      </c>
      <c r="AI8" s="1897"/>
    </row>
    <row r="9" spans="2:41" ht="45" customHeight="1">
      <c r="B9" s="1898" t="s">
        <v>190</v>
      </c>
      <c r="C9" s="1899">
        <v>0.32600000000000001</v>
      </c>
      <c r="D9" s="1899">
        <v>56.347000000000001</v>
      </c>
      <c r="E9" s="1899">
        <v>18.065000000000001</v>
      </c>
      <c r="F9" s="1899">
        <v>16.43</v>
      </c>
      <c r="G9" s="1899">
        <v>21.864999999999998</v>
      </c>
      <c r="H9" s="1899">
        <v>56.212000000000003</v>
      </c>
      <c r="I9" s="1899">
        <v>62.076000000000001</v>
      </c>
      <c r="J9" s="1899">
        <v>10.752000000000001</v>
      </c>
      <c r="K9" s="1899">
        <v>26.295999999999999</v>
      </c>
      <c r="L9" s="1900">
        <v>36.29</v>
      </c>
      <c r="M9" s="1900">
        <v>18.47</v>
      </c>
      <c r="N9" s="1900">
        <v>21.459595</v>
      </c>
      <c r="O9" s="1900">
        <v>10.722</v>
      </c>
      <c r="P9" s="1901">
        <v>15.826000000000001</v>
      </c>
      <c r="Q9" s="1901">
        <v>11.872828</v>
      </c>
      <c r="R9" s="1901">
        <v>17.442</v>
      </c>
      <c r="S9" s="1901">
        <v>67.125529999999998</v>
      </c>
      <c r="T9" s="1901">
        <v>85.732844999999998</v>
      </c>
      <c r="U9" s="1901">
        <v>78.416658389999995</v>
      </c>
      <c r="V9" s="1901">
        <v>63.180983310000016</v>
      </c>
      <c r="W9" s="1902">
        <v>55.552454619999992</v>
      </c>
      <c r="X9" s="1902">
        <v>59.286999999999999</v>
      </c>
      <c r="Y9" s="1902">
        <v>45.128999999999998</v>
      </c>
      <c r="Z9" s="1902">
        <v>48.143000000000001</v>
      </c>
      <c r="AA9" s="1902">
        <v>63.945</v>
      </c>
      <c r="AB9" s="1902">
        <v>46.486699999999999</v>
      </c>
      <c r="AC9" s="1903">
        <f>39.777*0+40.02</f>
        <v>40.020000000000003</v>
      </c>
      <c r="AD9" s="1907">
        <f>(31.6*0+32.2*0+41.032354*0+54.159)*0+47.53</f>
        <v>47.53</v>
      </c>
      <c r="AE9" s="1940">
        <f>63.745204*0+63.5*0+79.047385</f>
        <v>79.047385000000006</v>
      </c>
      <c r="AF9" s="1907">
        <f>101.077984*0+76.199</f>
        <v>76.198999999999998</v>
      </c>
      <c r="AG9" s="1940">
        <v>73</v>
      </c>
      <c r="AH9" s="4535">
        <f t="shared" ref="AH9:AH70" si="3">+AG9/AF9-1</f>
        <v>-4.1982178243808899E-2</v>
      </c>
      <c r="AI9" s="1897"/>
    </row>
    <row r="10" spans="2:41" ht="45" customHeight="1">
      <c r="B10" s="1898" t="s">
        <v>191</v>
      </c>
      <c r="C10" s="1899">
        <v>0.32</v>
      </c>
      <c r="D10" s="1899">
        <v>2E-3</v>
      </c>
      <c r="E10" s="1899">
        <v>0.76400000000000001</v>
      </c>
      <c r="F10" s="1899">
        <v>2.6989999999999998</v>
      </c>
      <c r="G10" s="1899">
        <v>1.8480000000000001</v>
      </c>
      <c r="H10" s="1899">
        <v>5.1040000000000001</v>
      </c>
      <c r="I10" s="1899">
        <v>2.492</v>
      </c>
      <c r="J10" s="1899">
        <v>0.14299999999999999</v>
      </c>
      <c r="K10" s="1899">
        <v>2.6819999999999999</v>
      </c>
      <c r="L10" s="1900">
        <v>19.850000000000001</v>
      </c>
      <c r="M10" s="1900">
        <v>8.6388949999999998</v>
      </c>
      <c r="N10" s="1900">
        <v>0.87248300000000001</v>
      </c>
      <c r="O10" s="1900">
        <v>0.62656099999999992</v>
      </c>
      <c r="P10" s="1901">
        <v>0.65729979999999999</v>
      </c>
      <c r="Q10" s="1901">
        <v>0</v>
      </c>
      <c r="R10" s="1901">
        <v>6.7245723000000002</v>
      </c>
      <c r="S10" s="1901">
        <v>0.04</v>
      </c>
      <c r="T10" s="1901">
        <v>1</v>
      </c>
      <c r="U10" s="1901">
        <v>0.70277000000000001</v>
      </c>
      <c r="V10" s="1901">
        <v>5.585</v>
      </c>
      <c r="W10" s="1902">
        <v>0.11671000000000001</v>
      </c>
      <c r="X10" s="1902">
        <v>0.18</v>
      </c>
      <c r="Y10" s="1902">
        <v>0.06</v>
      </c>
      <c r="Z10" s="1902">
        <v>0.25496350000000001</v>
      </c>
      <c r="AA10" s="1902">
        <v>0.13</v>
      </c>
      <c r="AB10" s="1902">
        <v>0.2</v>
      </c>
      <c r="AC10" s="1903">
        <f>3.461*0+0.87</f>
        <v>0.87</v>
      </c>
      <c r="AD10" s="1907">
        <f>0.473*0+0.418306</f>
        <v>0.41830600000000001</v>
      </c>
      <c r="AE10" s="1940">
        <f>3.85188*0+3.57</f>
        <v>3.57</v>
      </c>
      <c r="AF10" s="1907">
        <f>3.5227*0+1.498</f>
        <v>1.498</v>
      </c>
      <c r="AG10" s="1940">
        <v>1.3</v>
      </c>
      <c r="AH10" s="4535">
        <f t="shared" si="3"/>
        <v>-0.13217623497997322</v>
      </c>
      <c r="AI10" s="1897"/>
    </row>
    <row r="11" spans="2:41" ht="33" customHeight="1">
      <c r="B11" s="1898"/>
      <c r="C11" s="1904"/>
      <c r="D11" s="1904"/>
      <c r="E11" s="1904"/>
      <c r="F11" s="1904"/>
      <c r="G11" s="1904"/>
      <c r="H11" s="1904"/>
      <c r="I11" s="1904"/>
      <c r="J11" s="1904"/>
      <c r="K11" s="1904"/>
      <c r="L11" s="1905"/>
      <c r="M11" s="1905"/>
      <c r="N11" s="1905"/>
      <c r="O11" s="1905"/>
      <c r="P11" s="1906"/>
      <c r="Q11" s="1901"/>
      <c r="R11" s="1901"/>
      <c r="S11" s="1901"/>
      <c r="T11" s="1901"/>
      <c r="U11" s="1901"/>
      <c r="V11" s="1901"/>
      <c r="W11" s="1902"/>
      <c r="X11" s="1902"/>
      <c r="Y11" s="1902"/>
      <c r="Z11" s="1902"/>
      <c r="AA11" s="1902"/>
      <c r="AB11" s="1902"/>
      <c r="AC11" s="1903"/>
      <c r="AD11" s="1907"/>
      <c r="AE11" s="1940"/>
      <c r="AF11" s="1907"/>
      <c r="AG11" s="1940"/>
      <c r="AH11" s="1894"/>
      <c r="AI11" s="1897"/>
    </row>
    <row r="12" spans="2:41" ht="40.5" customHeight="1">
      <c r="B12" s="1889" t="s">
        <v>192</v>
      </c>
      <c r="C12" s="1880" t="e">
        <v>#REF!</v>
      </c>
      <c r="D12" s="1880" t="e">
        <v>#REF!</v>
      </c>
      <c r="E12" s="1880" t="e">
        <v>#REF!</v>
      </c>
      <c r="F12" s="1880">
        <v>371.57899999999995</v>
      </c>
      <c r="G12" s="1880">
        <v>375.04599999999999</v>
      </c>
      <c r="H12" s="1880">
        <v>437.07899999999989</v>
      </c>
      <c r="I12" s="1880">
        <v>530.63</v>
      </c>
      <c r="J12" s="1880">
        <v>480.84723900000006</v>
      </c>
      <c r="K12" s="1880">
        <v>429.20499999999998</v>
      </c>
      <c r="L12" s="1882">
        <v>441.13</v>
      </c>
      <c r="M12" s="1882">
        <f>M14+M58</f>
        <v>497.8531203</v>
      </c>
      <c r="N12" s="1885">
        <f t="shared" ref="N12:AG12" si="4">+N14+N58</f>
        <v>560.06825800000001</v>
      </c>
      <c r="O12" s="1885">
        <f t="shared" si="4"/>
        <v>596.70241932999988</v>
      </c>
      <c r="P12" s="1908">
        <f t="shared" si="4"/>
        <v>655.97501360000001</v>
      </c>
      <c r="Q12" s="1892">
        <f t="shared" si="4"/>
        <v>741.2415410000001</v>
      </c>
      <c r="R12" s="1892">
        <f t="shared" si="4"/>
        <v>804.85674099999994</v>
      </c>
      <c r="S12" s="1892">
        <f t="shared" si="4"/>
        <v>759.61840110999992</v>
      </c>
      <c r="T12" s="1892">
        <f t="shared" si="4"/>
        <v>787.78151388999993</v>
      </c>
      <c r="U12" s="1892">
        <f t="shared" si="4"/>
        <v>835.96317539999995</v>
      </c>
      <c r="V12" s="1892">
        <f t="shared" si="4"/>
        <v>809.28510935449992</v>
      </c>
      <c r="W12" s="1892">
        <f t="shared" si="4"/>
        <v>865.97200129999999</v>
      </c>
      <c r="X12" s="1892">
        <f t="shared" si="4"/>
        <v>914.77122717133341</v>
      </c>
      <c r="Y12" s="1892">
        <f t="shared" si="4"/>
        <v>982.23070702838436</v>
      </c>
      <c r="Z12" s="1892">
        <f t="shared" si="4"/>
        <v>1032.7831193659999</v>
      </c>
      <c r="AA12" s="1892">
        <f t="shared" si="4"/>
        <v>1066.953001843</v>
      </c>
      <c r="AB12" s="1892">
        <f t="shared" si="4"/>
        <v>1155.5515364600001</v>
      </c>
      <c r="AC12" s="2734">
        <f t="shared" si="4"/>
        <v>1144.1375833</v>
      </c>
      <c r="AD12" s="1893">
        <f t="shared" si="4"/>
        <v>872.7650000000001</v>
      </c>
      <c r="AE12" s="1893">
        <f t="shared" si="4"/>
        <v>1041.1079274799999</v>
      </c>
      <c r="AF12" s="1893">
        <f t="shared" si="4"/>
        <v>1242.0269490000001</v>
      </c>
      <c r="AG12" s="4038">
        <f t="shared" si="4"/>
        <v>1353.4756579499999</v>
      </c>
      <c r="AH12" s="1894">
        <f t="shared" si="3"/>
        <v>8.9731313028055704E-2</v>
      </c>
      <c r="AI12" s="1897"/>
    </row>
    <row r="13" spans="2:41" ht="24.5" hidden="1" customHeight="1">
      <c r="B13" s="1889"/>
      <c r="C13" s="1880"/>
      <c r="D13" s="1880"/>
      <c r="E13" s="1880"/>
      <c r="F13" s="1880"/>
      <c r="G13" s="1880"/>
      <c r="H13" s="1880"/>
      <c r="I13" s="1880"/>
      <c r="J13" s="1880"/>
      <c r="K13" s="1880"/>
      <c r="L13" s="1882"/>
      <c r="M13" s="1882"/>
      <c r="N13" s="1882"/>
      <c r="O13" s="1882"/>
      <c r="P13" s="1909"/>
      <c r="Q13" s="1910"/>
      <c r="R13" s="1910"/>
      <c r="S13" s="1910"/>
      <c r="T13" s="1910"/>
      <c r="U13" s="1910"/>
      <c r="V13" s="1910"/>
      <c r="W13" s="1911"/>
      <c r="X13" s="1911"/>
      <c r="Y13" s="1911"/>
      <c r="Z13" s="1912"/>
      <c r="AA13" s="1911"/>
      <c r="AB13" s="1911"/>
      <c r="AC13" s="2735"/>
      <c r="AD13" s="1913"/>
      <c r="AE13" s="2324"/>
      <c r="AF13" s="2324"/>
      <c r="AG13" s="4041"/>
      <c r="AH13" s="1894"/>
      <c r="AI13" s="1897"/>
    </row>
    <row r="14" spans="2:41" ht="48.5" customHeight="1">
      <c r="B14" s="1889" t="s">
        <v>174</v>
      </c>
      <c r="C14" s="1880" t="e">
        <v>#REF!</v>
      </c>
      <c r="D14" s="1880" t="e">
        <v>#REF!</v>
      </c>
      <c r="E14" s="1880" t="e">
        <v>#REF!</v>
      </c>
      <c r="F14" s="1880">
        <v>328.90699999999998</v>
      </c>
      <c r="G14" s="1880">
        <v>347.23399999999998</v>
      </c>
      <c r="H14" s="1880">
        <v>402.75599999999991</v>
      </c>
      <c r="I14" s="1880">
        <v>452.69899999999996</v>
      </c>
      <c r="J14" s="1880">
        <v>431.76623900000004</v>
      </c>
      <c r="K14" s="1880">
        <v>385.26499999999999</v>
      </c>
      <c r="L14" s="1882">
        <v>404.97</v>
      </c>
      <c r="M14" s="1882">
        <f>M15+M28+M30+M43</f>
        <v>453.0431203</v>
      </c>
      <c r="N14" s="1885">
        <f t="shared" ref="N14:AD14" si="5">+N15+N28+N30+N43</f>
        <v>512.91658500000005</v>
      </c>
      <c r="O14" s="1885">
        <f t="shared" si="5"/>
        <v>554.53979502999994</v>
      </c>
      <c r="P14" s="1908">
        <f t="shared" si="5"/>
        <v>620.31102559999999</v>
      </c>
      <c r="Q14" s="1892">
        <f t="shared" si="5"/>
        <v>687.75749300000007</v>
      </c>
      <c r="R14" s="1892">
        <f t="shared" si="5"/>
        <v>737.72768599999995</v>
      </c>
      <c r="S14" s="1892">
        <f t="shared" si="5"/>
        <v>700.75659810999991</v>
      </c>
      <c r="T14" s="1892">
        <f t="shared" si="5"/>
        <v>736.70811688999993</v>
      </c>
      <c r="U14" s="1892">
        <f t="shared" si="5"/>
        <v>764.59010078999995</v>
      </c>
      <c r="V14" s="1892">
        <f t="shared" si="5"/>
        <v>756.74921423449996</v>
      </c>
      <c r="W14" s="1892">
        <f t="shared" si="5"/>
        <v>819.11675747000004</v>
      </c>
      <c r="X14" s="1892">
        <f t="shared" si="5"/>
        <v>872.11786296466676</v>
      </c>
      <c r="Y14" s="1892">
        <f t="shared" si="5"/>
        <v>933.4407070283844</v>
      </c>
      <c r="Z14" s="1892">
        <f t="shared" si="5"/>
        <v>977.15311936599983</v>
      </c>
      <c r="AA14" s="1892">
        <f t="shared" si="5"/>
        <v>992.00300184299999</v>
      </c>
      <c r="AB14" s="1892">
        <f t="shared" si="5"/>
        <v>1036.84153646</v>
      </c>
      <c r="AC14" s="2734">
        <f t="shared" si="5"/>
        <v>1060.0875833</v>
      </c>
      <c r="AD14" s="1893">
        <f t="shared" si="5"/>
        <v>804.81500000000005</v>
      </c>
      <c r="AE14" s="1893">
        <f>+AE15+AE28+AE30+AE43</f>
        <v>942.60792748000006</v>
      </c>
      <c r="AF14" s="1893">
        <f>+AF15+AF28+AF30+AF43</f>
        <v>1118.3257000000001</v>
      </c>
      <c r="AG14" s="4038">
        <f>+AG15+AG28+AG30+AG43</f>
        <v>1231.40665795</v>
      </c>
      <c r="AH14" s="1894">
        <f t="shared" si="3"/>
        <v>0.10111630086834267</v>
      </c>
      <c r="AI14" s="1897"/>
      <c r="AM14" s="2341"/>
      <c r="AO14" s="1897"/>
    </row>
    <row r="15" spans="2:41" ht="45" customHeight="1">
      <c r="B15" s="1914" t="s">
        <v>205</v>
      </c>
      <c r="C15" s="1880">
        <v>86.908000000000001</v>
      </c>
      <c r="D15" s="1880">
        <v>82.791000000000011</v>
      </c>
      <c r="E15" s="1880">
        <v>91.00800000000001</v>
      </c>
      <c r="F15" s="1880">
        <v>94.451999999999998</v>
      </c>
      <c r="G15" s="1880">
        <v>101.38500000000001</v>
      </c>
      <c r="H15" s="1880">
        <v>105.428</v>
      </c>
      <c r="I15" s="1880">
        <v>126.983</v>
      </c>
      <c r="J15" s="1880">
        <v>137.09223900000001</v>
      </c>
      <c r="K15" s="1880">
        <v>117.77204</v>
      </c>
      <c r="L15" s="1882">
        <v>104.95</v>
      </c>
      <c r="M15" s="1882">
        <f t="shared" ref="M15:AB15" si="6">SUM(M17:M26)</f>
        <v>109.9054383</v>
      </c>
      <c r="N15" s="1885">
        <f t="shared" si="6"/>
        <v>131.48335300000002</v>
      </c>
      <c r="O15" s="1885">
        <f t="shared" si="6"/>
        <v>143.97747773</v>
      </c>
      <c r="P15" s="1908">
        <f t="shared" si="6"/>
        <v>160.60602899999998</v>
      </c>
      <c r="Q15" s="1892">
        <f t="shared" si="6"/>
        <v>195.77749299999999</v>
      </c>
      <c r="R15" s="1892">
        <f t="shared" si="6"/>
        <v>231.90315199999998</v>
      </c>
      <c r="S15" s="1892">
        <f t="shared" si="6"/>
        <v>217.59346903999997</v>
      </c>
      <c r="T15" s="1892">
        <f t="shared" si="6"/>
        <v>224.05982039999998</v>
      </c>
      <c r="U15" s="1892">
        <f t="shared" si="6"/>
        <v>240.94279715999997</v>
      </c>
      <c r="V15" s="1892">
        <f t="shared" si="6"/>
        <v>224.35881935</v>
      </c>
      <c r="W15" s="1892">
        <f t="shared" si="6"/>
        <v>219.89603117000004</v>
      </c>
      <c r="X15" s="1892">
        <f t="shared" si="6"/>
        <v>224.10197701999999</v>
      </c>
      <c r="Y15" s="1892">
        <f t="shared" si="6"/>
        <v>241.45332633999999</v>
      </c>
      <c r="Z15" s="1892">
        <f t="shared" si="6"/>
        <v>258.45813128999993</v>
      </c>
      <c r="AA15" s="1892">
        <f t="shared" si="6"/>
        <v>247.30700000000002</v>
      </c>
      <c r="AB15" s="1892">
        <f t="shared" si="6"/>
        <v>268.82</v>
      </c>
      <c r="AC15" s="2734">
        <f>AC16+AC19+AC22+AC26</f>
        <v>257.97400000000005</v>
      </c>
      <c r="AD15" s="1893">
        <f>AD16+AD19+AD22+AD26</f>
        <v>230.67099999999999</v>
      </c>
      <c r="AE15" s="1893">
        <f>AE16+AE19+AE22+AE26</f>
        <v>236.35995370000003</v>
      </c>
      <c r="AF15" s="1893">
        <f>AF16+AF19+AF22+AF26</f>
        <v>286.00690000000003</v>
      </c>
      <c r="AG15" s="4038">
        <f>AG16+AG19+AG22+AG26</f>
        <v>320.40342984</v>
      </c>
      <c r="AH15" s="1894">
        <f t="shared" si="3"/>
        <v>0.1202646853624858</v>
      </c>
      <c r="AI15" s="1897"/>
      <c r="AJ15" s="4027"/>
    </row>
    <row r="16" spans="2:41" s="1316" customFormat="1" ht="43.25" customHeight="1">
      <c r="B16" s="3078" t="s">
        <v>865</v>
      </c>
      <c r="C16" s="1916"/>
      <c r="D16" s="1917"/>
      <c r="E16" s="1917"/>
      <c r="F16" s="1917"/>
      <c r="G16" s="1917"/>
      <c r="H16" s="1917"/>
      <c r="I16" s="1917"/>
      <c r="J16" s="1917"/>
      <c r="K16" s="1917"/>
      <c r="L16" s="1918"/>
      <c r="M16" s="1918"/>
      <c r="N16" s="1919"/>
      <c r="O16" s="1919"/>
      <c r="P16" s="1920"/>
      <c r="Q16" s="1921"/>
      <c r="R16" s="1921"/>
      <c r="S16" s="1921"/>
      <c r="T16" s="1921"/>
      <c r="U16" s="1921"/>
      <c r="V16" s="1921"/>
      <c r="W16" s="1921"/>
      <c r="X16" s="1921"/>
      <c r="Y16" s="1921"/>
      <c r="Z16" s="1921"/>
      <c r="AA16" s="1921"/>
      <c r="AB16" s="1921"/>
      <c r="AC16" s="2736">
        <f>SUM(AC17:AC18)</f>
        <v>133.858</v>
      </c>
      <c r="AD16" s="1922">
        <f t="shared" ref="AD16:AG16" si="7">SUM(AD17:AD18)</f>
        <v>115.078</v>
      </c>
      <c r="AE16" s="2538">
        <f t="shared" si="7"/>
        <v>133.49698115000001</v>
      </c>
      <c r="AF16" s="2538">
        <f t="shared" si="7"/>
        <v>154.10825</v>
      </c>
      <c r="AG16" s="4039">
        <f t="shared" si="7"/>
        <v>152.46199999999999</v>
      </c>
      <c r="AH16" s="4535">
        <f t="shared" si="3"/>
        <v>-1.0682426151747304E-2</v>
      </c>
      <c r="AI16" s="1923"/>
    </row>
    <row r="17" spans="2:36" ht="41" customHeight="1">
      <c r="B17" s="2563" t="s">
        <v>1491</v>
      </c>
      <c r="C17" s="1924">
        <v>26.367000000000001</v>
      </c>
      <c r="D17" s="1904">
        <v>30.980999999999998</v>
      </c>
      <c r="E17" s="1904">
        <v>31.024000000000001</v>
      </c>
      <c r="F17" s="1904">
        <v>41.331000000000003</v>
      </c>
      <c r="G17" s="1904">
        <v>42.783000000000001</v>
      </c>
      <c r="H17" s="1904">
        <v>43.232999999999997</v>
      </c>
      <c r="I17" s="1904">
        <v>44.546999999999997</v>
      </c>
      <c r="J17" s="1904">
        <v>48.875</v>
      </c>
      <c r="K17" s="1904">
        <v>47.920999999999999</v>
      </c>
      <c r="L17" s="1905">
        <v>47.7</v>
      </c>
      <c r="M17" s="1905">
        <v>43.751634000000003</v>
      </c>
      <c r="N17" s="1905">
        <v>49.693928999999997</v>
      </c>
      <c r="O17" s="1905">
        <v>58.364088130000006</v>
      </c>
      <c r="P17" s="1906">
        <v>63.816000000000003</v>
      </c>
      <c r="Q17" s="1901">
        <v>71.33</v>
      </c>
      <c r="R17" s="1901">
        <v>75.967202999999998</v>
      </c>
      <c r="S17" s="1901">
        <v>77.427463999999986</v>
      </c>
      <c r="T17" s="1901">
        <v>83.268660999999994</v>
      </c>
      <c r="U17" s="1901">
        <v>90.945297659999994</v>
      </c>
      <c r="V17" s="1901">
        <v>91.178905320000013</v>
      </c>
      <c r="W17" s="1902">
        <v>97.491462920000004</v>
      </c>
      <c r="X17" s="1902">
        <v>100.47381299</v>
      </c>
      <c r="Y17" s="1902">
        <v>104.87027819999999</v>
      </c>
      <c r="Z17" s="1902">
        <v>106.14280942999997</v>
      </c>
      <c r="AA17" s="1902">
        <v>103.9</v>
      </c>
      <c r="AB17" s="1902">
        <v>112.72</v>
      </c>
      <c r="AC17" s="1903">
        <v>116.34099999999999</v>
      </c>
      <c r="AD17" s="1907">
        <v>99.078000000000003</v>
      </c>
      <c r="AE17" s="1940">
        <v>113.59456173</v>
      </c>
      <c r="AF17" s="1940">
        <f>124*0+132.08888</f>
        <v>132.08887999999999</v>
      </c>
      <c r="AG17" s="3074">
        <v>124.574</v>
      </c>
      <c r="AH17" s="4535">
        <f t="shared" si="3"/>
        <v>-5.6892601405962306E-2</v>
      </c>
      <c r="AI17" s="1897"/>
    </row>
    <row r="18" spans="2:36" ht="42" customHeight="1">
      <c r="B18" s="2309" t="s">
        <v>864</v>
      </c>
      <c r="C18" s="1924"/>
      <c r="D18" s="1904"/>
      <c r="E18" s="1904"/>
      <c r="F18" s="1904"/>
      <c r="G18" s="1904"/>
      <c r="H18" s="1904"/>
      <c r="I18" s="1904"/>
      <c r="J18" s="1904"/>
      <c r="K18" s="1904"/>
      <c r="L18" s="1905"/>
      <c r="M18" s="1905"/>
      <c r="N18" s="1905"/>
      <c r="O18" s="1905"/>
      <c r="P18" s="1906"/>
      <c r="Q18" s="1901"/>
      <c r="R18" s="1901"/>
      <c r="S18" s="1901"/>
      <c r="T18" s="1901"/>
      <c r="U18" s="1901"/>
      <c r="V18" s="1901"/>
      <c r="W18" s="1902"/>
      <c r="X18" s="1902"/>
      <c r="Y18" s="1902"/>
      <c r="Z18" s="1902"/>
      <c r="AA18" s="1902"/>
      <c r="AB18" s="1902"/>
      <c r="AC18" s="1903">
        <v>17.516999999999999</v>
      </c>
      <c r="AD18" s="1907">
        <v>16</v>
      </c>
      <c r="AE18" s="1940">
        <v>19.902419420000001</v>
      </c>
      <c r="AF18" s="1940">
        <f>21*0+22.1417*0+22.01937</f>
        <v>22.019369999999999</v>
      </c>
      <c r="AG18" s="3074">
        <v>27.888000000000002</v>
      </c>
      <c r="AH18" s="4535">
        <f t="shared" si="3"/>
        <v>0.26652124924555087</v>
      </c>
      <c r="AI18" s="1897"/>
    </row>
    <row r="19" spans="2:36" s="1316" customFormat="1" ht="42.5" customHeight="1">
      <c r="B19" s="3079" t="s">
        <v>863</v>
      </c>
      <c r="C19" s="1916"/>
      <c r="D19" s="1917"/>
      <c r="E19" s="1917"/>
      <c r="F19" s="1917"/>
      <c r="G19" s="1917"/>
      <c r="H19" s="1917"/>
      <c r="I19" s="1917"/>
      <c r="J19" s="1917"/>
      <c r="K19" s="1917"/>
      <c r="L19" s="1918"/>
      <c r="M19" s="1918"/>
      <c r="N19" s="1918"/>
      <c r="O19" s="1918"/>
      <c r="P19" s="1925"/>
      <c r="Q19" s="1926"/>
      <c r="R19" s="1926"/>
      <c r="S19" s="1926"/>
      <c r="T19" s="1926"/>
      <c r="U19" s="1926"/>
      <c r="V19" s="1926"/>
      <c r="W19" s="1927"/>
      <c r="X19" s="1927"/>
      <c r="Y19" s="1927"/>
      <c r="Z19" s="1927"/>
      <c r="AA19" s="1927"/>
      <c r="AB19" s="1927"/>
      <c r="AC19" s="2737">
        <f>SUM(AC20:AC21)</f>
        <v>22.207000000000001</v>
      </c>
      <c r="AD19" s="1928">
        <f>SUM(AD20:AD21)</f>
        <v>24.599</v>
      </c>
      <c r="AE19" s="2539">
        <f>SUM(AE20:AE21)</f>
        <v>24.293383899999998</v>
      </c>
      <c r="AF19" s="2539">
        <f>SUM(AF20:AF21)</f>
        <v>26.180389999999999</v>
      </c>
      <c r="AG19" s="4040">
        <f>SUM(AG20:AG21)</f>
        <v>28.069000000000003</v>
      </c>
      <c r="AH19" s="4535">
        <f t="shared" si="3"/>
        <v>7.2138344768737372E-2</v>
      </c>
      <c r="AI19" s="1923"/>
    </row>
    <row r="20" spans="2:36" ht="41" customHeight="1">
      <c r="B20" s="2563" t="s">
        <v>1492</v>
      </c>
      <c r="C20" s="1924">
        <v>2.7959999999999998</v>
      </c>
      <c r="D20" s="1904">
        <v>3.996</v>
      </c>
      <c r="E20" s="1904">
        <v>6.649</v>
      </c>
      <c r="F20" s="1904">
        <v>7.6479999999999997</v>
      </c>
      <c r="G20" s="1904">
        <v>8.4410000000000007</v>
      </c>
      <c r="H20" s="1904">
        <v>8.1940000000000008</v>
      </c>
      <c r="I20" s="1904">
        <v>8.7260000000000009</v>
      </c>
      <c r="J20" s="1904">
        <v>6.5709999999999997</v>
      </c>
      <c r="K20" s="1904">
        <v>6.43</v>
      </c>
      <c r="L20" s="1905">
        <v>4.8899999999999997</v>
      </c>
      <c r="M20" s="1905">
        <v>3.8647420000000001</v>
      </c>
      <c r="N20" s="1905">
        <v>3.7280769999999999</v>
      </c>
      <c r="O20" s="1905">
        <v>5.047879560000001</v>
      </c>
      <c r="P20" s="1906">
        <v>12.501142</v>
      </c>
      <c r="Q20" s="1901">
        <v>5.22</v>
      </c>
      <c r="R20" s="1901">
        <v>12.263351999999999</v>
      </c>
      <c r="S20" s="1901">
        <v>11.57939429</v>
      </c>
      <c r="T20" s="1901">
        <v>14.327176740000001</v>
      </c>
      <c r="U20" s="1901">
        <v>25.29222416</v>
      </c>
      <c r="V20" s="1901">
        <v>26.197795250000002</v>
      </c>
      <c r="W20" s="1902">
        <v>25.973150889999999</v>
      </c>
      <c r="X20" s="1902">
        <v>27.369556230000001</v>
      </c>
      <c r="Y20" s="1902">
        <v>25.073507169999999</v>
      </c>
      <c r="Z20" s="1902">
        <v>24.254550219999999</v>
      </c>
      <c r="AA20" s="1902">
        <v>24.26</v>
      </c>
      <c r="AB20" s="1902">
        <v>28.29</v>
      </c>
      <c r="AC20" s="1903">
        <v>15.693</v>
      </c>
      <c r="AD20" s="1907">
        <f>19.481*0+19.71</f>
        <v>19.71</v>
      </c>
      <c r="AE20" s="1940">
        <v>18.656837599999999</v>
      </c>
      <c r="AF20" s="1940">
        <f>19*0+21.195*0+21.03942</f>
        <v>21.03942</v>
      </c>
      <c r="AG20" s="3074">
        <v>25.518000000000001</v>
      </c>
      <c r="AH20" s="4535">
        <f t="shared" si="3"/>
        <v>0.21286613414248112</v>
      </c>
      <c r="AI20" s="1897"/>
    </row>
    <row r="21" spans="2:36" ht="35" customHeight="1">
      <c r="B21" s="2309" t="s">
        <v>862</v>
      </c>
      <c r="C21" s="1924"/>
      <c r="D21" s="1904"/>
      <c r="E21" s="1904"/>
      <c r="F21" s="1904"/>
      <c r="G21" s="1904"/>
      <c r="H21" s="1904"/>
      <c r="I21" s="1904"/>
      <c r="J21" s="1904"/>
      <c r="K21" s="1904"/>
      <c r="L21" s="1905"/>
      <c r="M21" s="1905"/>
      <c r="N21" s="1905"/>
      <c r="O21" s="1905"/>
      <c r="P21" s="1906"/>
      <c r="Q21" s="1901"/>
      <c r="R21" s="1901"/>
      <c r="S21" s="1901"/>
      <c r="T21" s="1901"/>
      <c r="U21" s="1901"/>
      <c r="V21" s="1901"/>
      <c r="W21" s="1902"/>
      <c r="X21" s="1902"/>
      <c r="Y21" s="1902"/>
      <c r="Z21" s="1902"/>
      <c r="AA21" s="1902"/>
      <c r="AB21" s="1902"/>
      <c r="AC21" s="1903">
        <v>6.5140000000000002</v>
      </c>
      <c r="AD21" s="1907">
        <f>4.639+0.25</f>
        <v>4.8890000000000002</v>
      </c>
      <c r="AE21" s="1940">
        <v>5.6365463</v>
      </c>
      <c r="AF21" s="1940">
        <v>5.1409700000000003</v>
      </c>
      <c r="AG21" s="3074">
        <v>2.5510000000000002</v>
      </c>
      <c r="AH21" s="4535">
        <f t="shared" si="3"/>
        <v>-0.50379014077109963</v>
      </c>
      <c r="AI21" s="1897"/>
    </row>
    <row r="22" spans="2:36" s="1316" customFormat="1" ht="41" customHeight="1">
      <c r="B22" s="3079" t="s">
        <v>860</v>
      </c>
      <c r="C22" s="1916"/>
      <c r="D22" s="1917"/>
      <c r="E22" s="1917"/>
      <c r="F22" s="1917"/>
      <c r="G22" s="1917"/>
      <c r="H22" s="1917"/>
      <c r="I22" s="1917"/>
      <c r="J22" s="1917"/>
      <c r="K22" s="1917"/>
      <c r="L22" s="1918"/>
      <c r="M22" s="1918"/>
      <c r="N22" s="1918"/>
      <c r="O22" s="1918"/>
      <c r="P22" s="1925"/>
      <c r="Q22" s="1926"/>
      <c r="R22" s="1926"/>
      <c r="S22" s="1926"/>
      <c r="T22" s="1926"/>
      <c r="U22" s="1926"/>
      <c r="V22" s="1926"/>
      <c r="W22" s="1927"/>
      <c r="X22" s="1927"/>
      <c r="Y22" s="1927"/>
      <c r="Z22" s="1927"/>
      <c r="AA22" s="1927"/>
      <c r="AB22" s="1927"/>
      <c r="AC22" s="2737">
        <f>SUM(AC23:AC24)</f>
        <v>110.809</v>
      </c>
      <c r="AD22" s="1928">
        <f t="shared" ref="AD22:AG22" si="8">SUM(AD23:AD24)</f>
        <v>96.774000000000001</v>
      </c>
      <c r="AE22" s="2539">
        <f t="shared" si="8"/>
        <v>85.536588650000013</v>
      </c>
      <c r="AF22" s="2539">
        <f t="shared" si="8"/>
        <v>114.92902000000001</v>
      </c>
      <c r="AG22" s="4040">
        <f t="shared" si="8"/>
        <v>154.363</v>
      </c>
      <c r="AH22" s="4535">
        <f t="shared" si="3"/>
        <v>0.34311595104526238</v>
      </c>
      <c r="AI22" s="1923"/>
    </row>
    <row r="23" spans="2:36" s="1316" customFormat="1" ht="44.75" customHeight="1">
      <c r="B23" s="2564" t="s">
        <v>1493</v>
      </c>
      <c r="C23" s="1916">
        <v>47.001999999999995</v>
      </c>
      <c r="D23" s="1917">
        <v>41.070999999999998</v>
      </c>
      <c r="E23" s="1917">
        <v>46.079000000000001</v>
      </c>
      <c r="F23" s="1917">
        <v>37.793999999999997</v>
      </c>
      <c r="G23" s="1917">
        <v>43.131</v>
      </c>
      <c r="H23" s="1917">
        <v>37.997999999999998</v>
      </c>
      <c r="I23" s="1917">
        <v>61.39</v>
      </c>
      <c r="J23" s="1917">
        <v>62.908000000000001</v>
      </c>
      <c r="K23" s="1917">
        <v>54.506999999999998</v>
      </c>
      <c r="L23" s="1918">
        <v>42.17</v>
      </c>
      <c r="M23" s="1918">
        <v>44.804401999999996</v>
      </c>
      <c r="N23" s="1918">
        <v>54.650814000000004</v>
      </c>
      <c r="O23" s="1918">
        <v>60.592172420000011</v>
      </c>
      <c r="P23" s="1925">
        <v>65.238</v>
      </c>
      <c r="Q23" s="1926">
        <v>91.95</v>
      </c>
      <c r="R23" s="1926">
        <v>113.701911</v>
      </c>
      <c r="S23" s="1926">
        <v>94.17740775</v>
      </c>
      <c r="T23" s="1926">
        <v>94.641455059999998</v>
      </c>
      <c r="U23" s="1926">
        <v>92.452237589999982</v>
      </c>
      <c r="V23" s="1926">
        <v>76.560325009999985</v>
      </c>
      <c r="W23" s="1927">
        <v>55.353282770000007</v>
      </c>
      <c r="X23" s="1927">
        <v>70.912867079999998</v>
      </c>
      <c r="Y23" s="1927">
        <v>78.238620499999996</v>
      </c>
      <c r="Z23" s="1927">
        <v>99.013457129999992</v>
      </c>
      <c r="AA23" s="1927">
        <v>89.02</v>
      </c>
      <c r="AB23" s="1927">
        <v>91.82</v>
      </c>
      <c r="AC23" s="2737">
        <v>92.894999999999996</v>
      </c>
      <c r="AD23" s="1907">
        <v>80.78</v>
      </c>
      <c r="AE23" s="1940">
        <v>70.202353400000007</v>
      </c>
      <c r="AF23" s="1940">
        <f>81*0+94.21741</f>
        <v>94.217410000000001</v>
      </c>
      <c r="AG23" s="3074">
        <f>128.77*0+129.895</f>
        <v>129.89500000000001</v>
      </c>
      <c r="AH23" s="4535">
        <f t="shared" si="3"/>
        <v>0.37867300746220911</v>
      </c>
      <c r="AI23" s="1923"/>
    </row>
    <row r="24" spans="2:36" s="1316" customFormat="1" ht="35" customHeight="1">
      <c r="B24" s="2309" t="s">
        <v>861</v>
      </c>
      <c r="C24" s="1916"/>
      <c r="D24" s="1917"/>
      <c r="E24" s="1917"/>
      <c r="F24" s="1917"/>
      <c r="G24" s="1917"/>
      <c r="H24" s="1917"/>
      <c r="I24" s="1917"/>
      <c r="J24" s="1917"/>
      <c r="K24" s="1917"/>
      <c r="L24" s="1918"/>
      <c r="M24" s="1918"/>
      <c r="N24" s="1918"/>
      <c r="O24" s="1918"/>
      <c r="P24" s="1925"/>
      <c r="Q24" s="1926"/>
      <c r="R24" s="1926"/>
      <c r="S24" s="1926"/>
      <c r="T24" s="1926"/>
      <c r="U24" s="1926"/>
      <c r="V24" s="1926"/>
      <c r="W24" s="1927"/>
      <c r="X24" s="1927"/>
      <c r="Y24" s="1927"/>
      <c r="Z24" s="1927"/>
      <c r="AA24" s="1927"/>
      <c r="AB24" s="1927"/>
      <c r="AC24" s="2737">
        <v>17.914000000000001</v>
      </c>
      <c r="AD24" s="1907">
        <v>15.994</v>
      </c>
      <c r="AE24" s="1940">
        <v>15.334235250000001</v>
      </c>
      <c r="AF24" s="1940">
        <f>16*0+20.71161</f>
        <v>20.71161</v>
      </c>
      <c r="AG24" s="3074">
        <v>24.468</v>
      </c>
      <c r="AH24" s="4535">
        <f t="shared" si="3"/>
        <v>0.18136639305201285</v>
      </c>
      <c r="AI24" s="1923"/>
    </row>
    <row r="25" spans="2:36" ht="35" customHeight="1">
      <c r="B25" s="1929" t="s">
        <v>193</v>
      </c>
      <c r="C25" s="1924">
        <v>13.702999999999999</v>
      </c>
      <c r="D25" s="1904">
        <v>9.73</v>
      </c>
      <c r="E25" s="1904">
        <v>11.247999999999999</v>
      </c>
      <c r="F25" s="1904">
        <v>11.837</v>
      </c>
      <c r="G25" s="1904">
        <v>12.603</v>
      </c>
      <c r="H25" s="1904">
        <v>20.481999999999999</v>
      </c>
      <c r="I25" s="1904">
        <v>18.259</v>
      </c>
      <c r="J25" s="1904">
        <v>25.201000000000001</v>
      </c>
      <c r="K25" s="1904">
        <v>17.559999999999999</v>
      </c>
      <c r="L25" s="1905">
        <v>18.79</v>
      </c>
      <c r="M25" s="1905">
        <v>24.888408999999999</v>
      </c>
      <c r="N25" s="1905">
        <v>31.622411000000003</v>
      </c>
      <c r="O25" s="1905">
        <v>29.42688119</v>
      </c>
      <c r="P25" s="1906">
        <v>27.195</v>
      </c>
      <c r="Q25" s="1901">
        <v>34.909999999999997</v>
      </c>
      <c r="R25" s="1901">
        <v>37.520685999999998</v>
      </c>
      <c r="S25" s="1901">
        <v>42.219203</v>
      </c>
      <c r="T25" s="1901">
        <v>41.452325599999995</v>
      </c>
      <c r="U25" s="1901">
        <v>40.763037749999995</v>
      </c>
      <c r="V25" s="1901">
        <v>37.153817459999999</v>
      </c>
      <c r="W25" s="1902">
        <v>48.851891810000005</v>
      </c>
      <c r="X25" s="1902">
        <v>32.848458489999999</v>
      </c>
      <c r="Y25" s="1902">
        <v>43.612816850000002</v>
      </c>
      <c r="Z25" s="1902">
        <v>39.177314509999995</v>
      </c>
      <c r="AA25" s="1902">
        <v>40.24</v>
      </c>
      <c r="AB25" s="1902">
        <v>45.91</v>
      </c>
      <c r="AC25" s="1903" t="s">
        <v>54</v>
      </c>
      <c r="AD25" s="1907" t="s">
        <v>54</v>
      </c>
      <c r="AE25" s="1940" t="s">
        <v>54</v>
      </c>
      <c r="AF25" s="1940" t="s">
        <v>54</v>
      </c>
      <c r="AG25" s="3074" t="s">
        <v>54</v>
      </c>
      <c r="AH25" s="4535" t="s">
        <v>54</v>
      </c>
      <c r="AI25" s="1897"/>
    </row>
    <row r="26" spans="2:36" ht="45" customHeight="1">
      <c r="B26" s="1929" t="s">
        <v>873</v>
      </c>
      <c r="C26" s="1924">
        <v>2.96</v>
      </c>
      <c r="D26" s="1904">
        <v>2.9870000000000001</v>
      </c>
      <c r="E26" s="1904">
        <v>3.992</v>
      </c>
      <c r="F26" s="1904">
        <v>4.1580000000000004</v>
      </c>
      <c r="G26" s="1904">
        <v>5.5730000000000004</v>
      </c>
      <c r="H26" s="1904">
        <v>4.4790000000000001</v>
      </c>
      <c r="I26" s="1904">
        <v>5.9390000000000001</v>
      </c>
      <c r="J26" s="1904">
        <v>6.4627610000000004</v>
      </c>
      <c r="K26" s="1904">
        <v>8.6459600000000005</v>
      </c>
      <c r="L26" s="1905">
        <v>-8.6</v>
      </c>
      <c r="M26" s="1905">
        <v>-7.4037486999999995</v>
      </c>
      <c r="N26" s="1905">
        <v>-8.2118779999999987</v>
      </c>
      <c r="O26" s="1905">
        <v>-9.4535435700000008</v>
      </c>
      <c r="P26" s="1906">
        <v>-8.1441130000000008</v>
      </c>
      <c r="Q26" s="1901">
        <v>-7.6325070000000004</v>
      </c>
      <c r="R26" s="1901">
        <v>-7.55</v>
      </c>
      <c r="S26" s="1901">
        <v>-7.81</v>
      </c>
      <c r="T26" s="1901">
        <v>-9.6297979999999992</v>
      </c>
      <c r="U26" s="1901">
        <v>-8.51</v>
      </c>
      <c r="V26" s="1901">
        <v>-6.7320236900000001</v>
      </c>
      <c r="W26" s="1902">
        <v>-7.7737572199999994</v>
      </c>
      <c r="X26" s="1902">
        <v>-7.5027177699999994</v>
      </c>
      <c r="Y26" s="1902">
        <v>-10.34189638</v>
      </c>
      <c r="Z26" s="1902">
        <v>-10.130000000000001</v>
      </c>
      <c r="AA26" s="1902">
        <v>-10.113</v>
      </c>
      <c r="AB26" s="1902">
        <v>-9.92</v>
      </c>
      <c r="AC26" s="1903">
        <f>-10.558*0-8.9</f>
        <v>-8.9</v>
      </c>
      <c r="AD26" s="1907">
        <f>(-9.68*0-7.6*0-10.131188*0+-7.958*0+-7.8)*0+-5.78</f>
        <v>-5.78</v>
      </c>
      <c r="AE26" s="1940">
        <v>-6.9669999999999996</v>
      </c>
      <c r="AF26" s="1940">
        <v>-9.2107600000000005</v>
      </c>
      <c r="AG26" s="3074">
        <v>-14.490570160000001</v>
      </c>
      <c r="AH26" s="4535">
        <f t="shared" si="3"/>
        <v>0.57322198819641379</v>
      </c>
      <c r="AI26" s="1897"/>
    </row>
    <row r="27" spans="2:36" ht="27" customHeight="1">
      <c r="B27" s="1929"/>
      <c r="C27" s="1924"/>
      <c r="D27" s="1904"/>
      <c r="E27" s="1904"/>
      <c r="F27" s="1904"/>
      <c r="G27" s="1904"/>
      <c r="H27" s="1904"/>
      <c r="I27" s="1904"/>
      <c r="J27" s="1904"/>
      <c r="K27" s="1904"/>
      <c r="L27" s="1905"/>
      <c r="M27" s="1905"/>
      <c r="N27" s="1905"/>
      <c r="O27" s="1905"/>
      <c r="P27" s="1906"/>
      <c r="Q27" s="1901"/>
      <c r="R27" s="1901"/>
      <c r="S27" s="1901"/>
      <c r="T27" s="1901"/>
      <c r="U27" s="1901"/>
      <c r="V27" s="1901"/>
      <c r="W27" s="1902"/>
      <c r="X27" s="1902"/>
      <c r="Y27" s="1902"/>
      <c r="Z27" s="1902"/>
      <c r="AA27" s="1902"/>
      <c r="AB27" s="1902"/>
      <c r="AC27" s="1903"/>
      <c r="AD27" s="1907"/>
      <c r="AE27" s="1940"/>
      <c r="AF27" s="3062"/>
      <c r="AG27" s="3075"/>
      <c r="AH27" s="1894"/>
      <c r="AI27" s="1897"/>
    </row>
    <row r="28" spans="2:36" ht="40.5" customHeight="1">
      <c r="B28" s="1914" t="s">
        <v>317</v>
      </c>
      <c r="C28" s="1880">
        <v>1.127</v>
      </c>
      <c r="D28" s="1880">
        <v>1.488</v>
      </c>
      <c r="E28" s="1880">
        <v>1.347</v>
      </c>
      <c r="F28" s="1880">
        <v>1.264</v>
      </c>
      <c r="G28" s="1880">
        <v>1.9890000000000001</v>
      </c>
      <c r="H28" s="1880">
        <v>1.0129999999999999</v>
      </c>
      <c r="I28" s="1880">
        <v>0.94600000000000006</v>
      </c>
      <c r="J28" s="1880">
        <v>1.8680000000000001</v>
      </c>
      <c r="K28" s="1880">
        <v>4.673</v>
      </c>
      <c r="L28" s="1882">
        <v>4.37</v>
      </c>
      <c r="M28" s="1882">
        <v>3.8235309999999991</v>
      </c>
      <c r="N28" s="1882">
        <v>3.6473970000000002</v>
      </c>
      <c r="O28" s="1882">
        <v>4.8558192799999995</v>
      </c>
      <c r="P28" s="1909">
        <v>4.1520000000000001</v>
      </c>
      <c r="Q28" s="1910">
        <v>5.16</v>
      </c>
      <c r="R28" s="1910">
        <v>2.7285340000000002</v>
      </c>
      <c r="S28" s="1910">
        <v>3.9211497700000004</v>
      </c>
      <c r="T28" s="1910">
        <v>3.2646797099999998</v>
      </c>
      <c r="U28" s="1910">
        <v>4.3677290800000002</v>
      </c>
      <c r="V28" s="1910">
        <v>4.9119345699999997</v>
      </c>
      <c r="W28" s="1910">
        <v>8.2019483199999996</v>
      </c>
      <c r="X28" s="1910">
        <v>9.43</v>
      </c>
      <c r="Y28" s="1911">
        <f>+'[179]Fiscal Actual FY 1992-2015'!$Y$17</f>
        <v>10.743466049999999</v>
      </c>
      <c r="Z28" s="1911">
        <f>+'[180]Fiscal Actual FY'!$AC$17*0+12.03</f>
        <v>12.03</v>
      </c>
      <c r="AA28" s="1911">
        <v>12.02</v>
      </c>
      <c r="AB28" s="1911">
        <v>9.69</v>
      </c>
      <c r="AC28" s="2735">
        <v>7.7569999999999997</v>
      </c>
      <c r="AD28" s="1913">
        <f>6.708*0+7.17</f>
        <v>7.17</v>
      </c>
      <c r="AE28" s="1913">
        <v>7.9864148799999999</v>
      </c>
      <c r="AF28" s="1913">
        <f>10.5*0+11.726</f>
        <v>11.726000000000001</v>
      </c>
      <c r="AG28" s="4041">
        <v>10.328404709999999</v>
      </c>
      <c r="AH28" s="1894">
        <f t="shared" si="3"/>
        <v>-0.11918772727272742</v>
      </c>
      <c r="AI28" s="1897"/>
    </row>
    <row r="29" spans="2:36" ht="39" customHeight="1">
      <c r="B29" s="1898"/>
      <c r="C29" s="1904"/>
      <c r="D29" s="1904"/>
      <c r="E29" s="1904"/>
      <c r="F29" s="1904"/>
      <c r="G29" s="1904"/>
      <c r="H29" s="1904"/>
      <c r="I29" s="1904"/>
      <c r="J29" s="1904"/>
      <c r="K29" s="1904"/>
      <c r="L29" s="1905"/>
      <c r="M29" s="1905"/>
      <c r="N29" s="1905"/>
      <c r="O29" s="1905"/>
      <c r="P29" s="1906"/>
      <c r="Q29" s="1901"/>
      <c r="R29" s="1901"/>
      <c r="S29" s="1901"/>
      <c r="T29" s="1901"/>
      <c r="U29" s="1901"/>
      <c r="V29" s="1901"/>
      <c r="W29" s="1902"/>
      <c r="X29" s="1902"/>
      <c r="Y29" s="1902"/>
      <c r="Z29" s="1902"/>
      <c r="AA29" s="1902"/>
      <c r="AB29" s="1902"/>
      <c r="AC29" s="1903"/>
      <c r="AD29" s="1907"/>
      <c r="AE29" s="1940"/>
      <c r="AF29" s="3062"/>
      <c r="AG29" s="3075"/>
      <c r="AH29" s="1894"/>
      <c r="AI29" s="1897"/>
    </row>
    <row r="30" spans="2:36" s="1296" customFormat="1" ht="42" customHeight="1">
      <c r="B30" s="1914" t="s">
        <v>194</v>
      </c>
      <c r="C30" s="1880">
        <v>124.72799999999998</v>
      </c>
      <c r="D30" s="1880">
        <v>133.11699999999999</v>
      </c>
      <c r="E30" s="1880">
        <v>133.06700000000001</v>
      </c>
      <c r="F30" s="1880">
        <v>133.70599999999999</v>
      </c>
      <c r="G30" s="1880">
        <v>139.80599999999998</v>
      </c>
      <c r="H30" s="1880">
        <v>183.77</v>
      </c>
      <c r="I30" s="1880">
        <v>170.63899999999998</v>
      </c>
      <c r="J30" s="1880">
        <v>150.46099999999998</v>
      </c>
      <c r="K30" s="1880">
        <v>153.07599999999999</v>
      </c>
      <c r="L30" s="1882">
        <v>174.83</v>
      </c>
      <c r="M30" s="1882">
        <f>SUM(M31:M39)</f>
        <v>75.992941999999999</v>
      </c>
      <c r="N30" s="1882">
        <f t="shared" ref="N30:W30" si="9">SUM(N31:N40)</f>
        <v>87.952717000000007</v>
      </c>
      <c r="O30" s="1882">
        <f t="shared" si="9"/>
        <v>93.582797819999996</v>
      </c>
      <c r="P30" s="1909">
        <f t="shared" si="9"/>
        <v>105.65968160000001</v>
      </c>
      <c r="Q30" s="1910">
        <f t="shared" si="9"/>
        <v>128.6</v>
      </c>
      <c r="R30" s="1910">
        <f t="shared" si="9"/>
        <v>123.360995</v>
      </c>
      <c r="S30" s="1910">
        <f t="shared" si="9"/>
        <v>107.79600567</v>
      </c>
      <c r="T30" s="1910">
        <f t="shared" si="9"/>
        <v>128.71637197999999</v>
      </c>
      <c r="U30" s="1910">
        <f t="shared" si="9"/>
        <v>132.63038777000003</v>
      </c>
      <c r="V30" s="1910">
        <f t="shared" si="9"/>
        <v>164.3386222</v>
      </c>
      <c r="W30" s="1910">
        <f t="shared" si="9"/>
        <v>222.90141287</v>
      </c>
      <c r="X30" s="1910">
        <f>SUM(X31:X40)</f>
        <v>245.39328898666668</v>
      </c>
      <c r="Y30" s="1910">
        <f>SUM(Y31:Y40)</f>
        <v>255.22760399999999</v>
      </c>
      <c r="Z30" s="1910">
        <f>SUM(Z31:Z40)</f>
        <v>258.06567224000003</v>
      </c>
      <c r="AA30" s="1910">
        <f>SUM(AA31:AA40)</f>
        <v>253.06007500000001</v>
      </c>
      <c r="AB30" s="1910">
        <f>SUM(AB31:AB40)</f>
        <v>262.00200000000001</v>
      </c>
      <c r="AC30" s="1913">
        <f t="shared" ref="AC30:AF30" si="10">SUM(AC31:AC40)</f>
        <v>276.95699999999999</v>
      </c>
      <c r="AD30" s="1913">
        <f t="shared" si="10"/>
        <v>168.68100000000001</v>
      </c>
      <c r="AE30" s="1913">
        <f t="shared" si="10"/>
        <v>220.79736188999999</v>
      </c>
      <c r="AF30" s="1913">
        <f t="shared" si="10"/>
        <v>253.17680000000001</v>
      </c>
      <c r="AG30" s="4041">
        <f>SUM(AG31:AG41)</f>
        <v>286.59800000000001</v>
      </c>
      <c r="AH30" s="1894">
        <f t="shared" si="3"/>
        <v>0.13200735612425785</v>
      </c>
      <c r="AI30" s="1930"/>
      <c r="AJ30" s="1305"/>
    </row>
    <row r="31" spans="2:36" ht="35" customHeight="1">
      <c r="B31" s="1898" t="s">
        <v>195</v>
      </c>
      <c r="C31" s="1904">
        <v>8.3740000000000006</v>
      </c>
      <c r="D31" s="1904">
        <v>8.08</v>
      </c>
      <c r="E31" s="1904">
        <v>8.5530000000000008</v>
      </c>
      <c r="F31" s="1904">
        <v>9.2579999999999991</v>
      </c>
      <c r="G31" s="1904">
        <v>11.108000000000001</v>
      </c>
      <c r="H31" s="1904">
        <v>12.491</v>
      </c>
      <c r="I31" s="1904">
        <v>10.583</v>
      </c>
      <c r="J31" s="1904">
        <v>10.52</v>
      </c>
      <c r="K31" s="1904">
        <v>5.2770000000000001</v>
      </c>
      <c r="L31" s="1905">
        <v>4.93</v>
      </c>
      <c r="M31" s="1905">
        <v>6.566376</v>
      </c>
      <c r="N31" s="1905">
        <v>6.3066359999999992</v>
      </c>
      <c r="O31" s="1905">
        <v>8.3214430000000004</v>
      </c>
      <c r="P31" s="1906">
        <v>8.0524369999999994</v>
      </c>
      <c r="Q31" s="1901">
        <v>9.85</v>
      </c>
      <c r="R31" s="1901">
        <v>6.3818539999999997</v>
      </c>
      <c r="S31" s="1901">
        <v>6.3461159999999994</v>
      </c>
      <c r="T31" s="1901">
        <v>5.6730909399999998</v>
      </c>
      <c r="U31" s="1901">
        <v>6.1144258300000001</v>
      </c>
      <c r="V31" s="1901">
        <v>4.2242819200000001</v>
      </c>
      <c r="W31" s="1902">
        <v>0.10786973</v>
      </c>
      <c r="X31" s="1902">
        <v>1.0547450000000002E-2</v>
      </c>
      <c r="Y31" s="1902">
        <v>2.3474290000000002E-2</v>
      </c>
      <c r="Z31" s="1902">
        <v>3.6499999999999998E-2</v>
      </c>
      <c r="AA31" s="1902">
        <v>2.5000000000000001E-5</v>
      </c>
      <c r="AB31" s="1902">
        <v>0</v>
      </c>
      <c r="AC31" s="1903">
        <v>0</v>
      </c>
      <c r="AD31" s="1907">
        <v>0</v>
      </c>
      <c r="AE31" s="1907">
        <v>0</v>
      </c>
      <c r="AF31" s="1907">
        <v>0</v>
      </c>
      <c r="AG31" s="3074">
        <v>0</v>
      </c>
      <c r="AH31" s="1894"/>
      <c r="AI31" s="1897"/>
    </row>
    <row r="32" spans="2:36" ht="35" customHeight="1">
      <c r="B32" s="1898" t="s">
        <v>196</v>
      </c>
      <c r="C32" s="1904">
        <v>0.81200000000000006</v>
      </c>
      <c r="D32" s="1904">
        <v>0.95099999999999996</v>
      </c>
      <c r="E32" s="1904">
        <v>0.83799999999999997</v>
      </c>
      <c r="F32" s="1904">
        <v>1.1240000000000001</v>
      </c>
      <c r="G32" s="1904">
        <v>1.294</v>
      </c>
      <c r="H32" s="1904">
        <v>1.1339999999999999</v>
      </c>
      <c r="I32" s="1904">
        <v>6.2610000000000001</v>
      </c>
      <c r="J32" s="1904">
        <v>4.3099999999999996</v>
      </c>
      <c r="K32" s="1904">
        <v>5.68</v>
      </c>
      <c r="L32" s="1905">
        <v>6.31</v>
      </c>
      <c r="M32" s="1905">
        <v>7.1741300000000008</v>
      </c>
      <c r="N32" s="1905">
        <v>7.5688969999999989</v>
      </c>
      <c r="O32" s="1905">
        <v>7.4703050000000006</v>
      </c>
      <c r="P32" s="1906">
        <v>3.8867530000000006</v>
      </c>
      <c r="Q32" s="1901">
        <v>2.59</v>
      </c>
      <c r="R32" s="1901">
        <v>6.6130189999999995</v>
      </c>
      <c r="S32" s="1901">
        <v>9.7339579999999994</v>
      </c>
      <c r="T32" s="1901">
        <v>13.50962676</v>
      </c>
      <c r="U32" s="1901">
        <v>12.83442857</v>
      </c>
      <c r="V32" s="1901">
        <v>7.3961734799999999</v>
      </c>
      <c r="W32" s="1902">
        <v>3.6420159999999999</v>
      </c>
      <c r="X32" s="1902">
        <v>3.4556673299999998</v>
      </c>
      <c r="Y32" s="1902">
        <v>3.9043170900000002</v>
      </c>
      <c r="Z32" s="1902">
        <v>3.75</v>
      </c>
      <c r="AA32" s="1902">
        <v>4.6100000000000003</v>
      </c>
      <c r="AB32" s="1902">
        <v>4.2300000000000004</v>
      </c>
      <c r="AC32" s="1903">
        <v>4.59</v>
      </c>
      <c r="AD32" s="1907">
        <f>3.3*0+2.97</f>
        <v>2.97</v>
      </c>
      <c r="AE32" s="1907">
        <v>4.232837</v>
      </c>
      <c r="AF32" s="1907">
        <v>4.47</v>
      </c>
      <c r="AG32" s="3074">
        <v>4.3879999999999999</v>
      </c>
      <c r="AH32" s="4535">
        <f t="shared" si="3"/>
        <v>-1.8344519015659921E-2</v>
      </c>
      <c r="AI32" s="1897"/>
    </row>
    <row r="33" spans="2:37" ht="35" customHeight="1">
      <c r="B33" s="1898" t="s">
        <v>145</v>
      </c>
      <c r="C33" s="1904">
        <v>12.590999999999999</v>
      </c>
      <c r="D33" s="1904">
        <v>10.908000000000001</v>
      </c>
      <c r="E33" s="1904">
        <v>14.462</v>
      </c>
      <c r="F33" s="1904">
        <v>14.044</v>
      </c>
      <c r="G33" s="1904">
        <v>13.856</v>
      </c>
      <c r="H33" s="1904">
        <v>17.224</v>
      </c>
      <c r="I33" s="1904">
        <v>18.038</v>
      </c>
      <c r="J33" s="1904">
        <v>22.667999999999999</v>
      </c>
      <c r="K33" s="1904">
        <v>18.530999999999999</v>
      </c>
      <c r="L33" s="1905">
        <v>19.489999999999998</v>
      </c>
      <c r="M33" s="1905">
        <v>22.166250000000002</v>
      </c>
      <c r="N33" s="1905">
        <v>26.264964000000003</v>
      </c>
      <c r="O33" s="1905">
        <v>28.686464000000004</v>
      </c>
      <c r="P33" s="1906">
        <v>29.529</v>
      </c>
      <c r="Q33" s="1901">
        <v>33.450000000000003</v>
      </c>
      <c r="R33" s="1901">
        <v>35.017203000000002</v>
      </c>
      <c r="S33" s="1901">
        <v>24.499942829999998</v>
      </c>
      <c r="T33" s="1901">
        <v>34.245163489999996</v>
      </c>
      <c r="U33" s="1901">
        <v>39.617330009999996</v>
      </c>
      <c r="V33" s="1901">
        <v>22.397184660000004</v>
      </c>
      <c r="W33" s="1902">
        <v>1.9376665099999997</v>
      </c>
      <c r="X33" s="1902">
        <v>2.5796267400000001</v>
      </c>
      <c r="Y33" s="1902">
        <v>0.66691657000000004</v>
      </c>
      <c r="Z33" s="1902">
        <v>0.21690096000000003</v>
      </c>
      <c r="AA33" s="1902">
        <v>5.0000000000000002E-5</v>
      </c>
      <c r="AB33" s="1902">
        <v>0.23</v>
      </c>
      <c r="AC33" s="1903">
        <v>0.84199999999999997</v>
      </c>
      <c r="AD33" s="1907">
        <f>0.3*0+0.2</f>
        <v>0.2</v>
      </c>
      <c r="AE33" s="1907">
        <v>6.5956580000000001E-2</v>
      </c>
      <c r="AF33" s="1907">
        <f>0.7*0+0.8949</f>
        <v>0.89490000000000003</v>
      </c>
      <c r="AG33" s="3074">
        <v>0.191</v>
      </c>
      <c r="AH33" s="4535">
        <f t="shared" si="3"/>
        <v>-0.78656833165716844</v>
      </c>
      <c r="AI33" s="1897"/>
    </row>
    <row r="34" spans="2:37" ht="45" customHeight="1">
      <c r="B34" s="1898" t="s">
        <v>197</v>
      </c>
      <c r="C34" s="1904">
        <v>2.4489999999999998</v>
      </c>
      <c r="D34" s="1904">
        <v>2.835</v>
      </c>
      <c r="E34" s="1904">
        <v>3.24</v>
      </c>
      <c r="F34" s="1904">
        <v>3.5030000000000001</v>
      </c>
      <c r="G34" s="1904">
        <v>3.1339999999999999</v>
      </c>
      <c r="H34" s="1904">
        <v>3.2669999999999999</v>
      </c>
      <c r="I34" s="1904">
        <v>3.375</v>
      </c>
      <c r="J34" s="1904">
        <v>3.7829999999999999</v>
      </c>
      <c r="K34" s="1904">
        <v>3.988</v>
      </c>
      <c r="L34" s="1905">
        <v>4.21</v>
      </c>
      <c r="M34" s="1905">
        <v>4.1137309999999996</v>
      </c>
      <c r="N34" s="1905">
        <v>4.5228039999999998</v>
      </c>
      <c r="O34" s="1905">
        <v>5.0274924599999995</v>
      </c>
      <c r="P34" s="1906">
        <v>5.8965449999999997</v>
      </c>
      <c r="Q34" s="1901">
        <v>7.17</v>
      </c>
      <c r="R34" s="1901">
        <v>7.412058</v>
      </c>
      <c r="S34" s="1901">
        <v>6.8315620799999994</v>
      </c>
      <c r="T34" s="1901">
        <v>7.0447703300000004</v>
      </c>
      <c r="U34" s="1901">
        <v>8.21048416</v>
      </c>
      <c r="V34" s="1901">
        <v>7.3068190599999996</v>
      </c>
      <c r="W34" s="1902">
        <v>9.2620203500000002</v>
      </c>
      <c r="X34" s="1902">
        <v>8.1412309199999999</v>
      </c>
      <c r="Y34" s="1902">
        <v>8.275378289999999</v>
      </c>
      <c r="Z34" s="1902">
        <v>8.1399286299999982</v>
      </c>
      <c r="AA34" s="1902">
        <v>8.52</v>
      </c>
      <c r="AB34" s="1902">
        <v>8.5500000000000007</v>
      </c>
      <c r="AC34" s="1903">
        <v>10.257</v>
      </c>
      <c r="AD34" s="1907">
        <f>9.53*0+9.727</f>
        <v>9.7270000000000003</v>
      </c>
      <c r="AE34" s="1907">
        <v>11.090908090000001</v>
      </c>
      <c r="AF34" s="1907">
        <f>10.48*0+10.5779</f>
        <v>10.5779</v>
      </c>
      <c r="AG34" s="3074">
        <v>12.997999999999999</v>
      </c>
      <c r="AH34" s="4535">
        <f t="shared" si="3"/>
        <v>0.22878832282400086</v>
      </c>
      <c r="AI34" s="1897"/>
    </row>
    <row r="35" spans="2:37" ht="47" customHeight="1">
      <c r="B35" s="1898" t="s">
        <v>198</v>
      </c>
      <c r="C35" s="1904">
        <v>5.5350000000000001</v>
      </c>
      <c r="D35" s="1904">
        <v>7.2759999999999989</v>
      </c>
      <c r="E35" s="1904">
        <v>6.15</v>
      </c>
      <c r="F35" s="1904">
        <v>6.9020000000000001</v>
      </c>
      <c r="G35" s="1904">
        <v>7.9219999999999997</v>
      </c>
      <c r="H35" s="1904">
        <v>8.36</v>
      </c>
      <c r="I35" s="1904">
        <v>8.266</v>
      </c>
      <c r="J35" s="1904">
        <v>7.07</v>
      </c>
      <c r="K35" s="1904">
        <v>7.968</v>
      </c>
      <c r="L35" s="1905">
        <v>8.7200000000000006</v>
      </c>
      <c r="M35" s="1905">
        <v>16.630262000000002</v>
      </c>
      <c r="N35" s="1905">
        <v>18.824264999999997</v>
      </c>
      <c r="O35" s="1905">
        <v>15.114464000000002</v>
      </c>
      <c r="P35" s="1906">
        <v>15.488187600000002</v>
      </c>
      <c r="Q35" s="1901">
        <v>25.39</v>
      </c>
      <c r="R35" s="1901">
        <v>19.91</v>
      </c>
      <c r="S35" s="1901">
        <v>20.04</v>
      </c>
      <c r="T35" s="1901">
        <v>25.658999999999999</v>
      </c>
      <c r="U35" s="1901">
        <v>23.867641900000002</v>
      </c>
      <c r="V35" s="1901">
        <v>22.98169158</v>
      </c>
      <c r="W35" s="1902">
        <v>28.14869642</v>
      </c>
      <c r="X35" s="1902">
        <v>22.251358073333336</v>
      </c>
      <c r="Y35" s="1902">
        <v>28.48</v>
      </c>
      <c r="Z35" s="1902">
        <v>30.57</v>
      </c>
      <c r="AA35" s="1902">
        <v>25.5</v>
      </c>
      <c r="AB35" s="1902">
        <v>27.731999999999999</v>
      </c>
      <c r="AC35" s="1903">
        <f>28.4*0+35.86</f>
        <v>35.86</v>
      </c>
      <c r="AD35" s="1907">
        <f>28.5*0+7.81+1.3*0</f>
        <v>7.81</v>
      </c>
      <c r="AE35" s="1907">
        <f>7.596168*0+8.3</f>
        <v>8.3000000000000007</v>
      </c>
      <c r="AF35" s="1907">
        <f>4.86*0+8.02*0+8</f>
        <v>8</v>
      </c>
      <c r="AG35" s="3074">
        <v>8</v>
      </c>
      <c r="AH35" s="4535">
        <f t="shared" si="3"/>
        <v>0</v>
      </c>
      <c r="AI35" s="1897"/>
    </row>
    <row r="36" spans="2:37" ht="35" customHeight="1">
      <c r="B36" s="1898" t="s">
        <v>199</v>
      </c>
      <c r="C36" s="1904"/>
      <c r="D36" s="1904"/>
      <c r="E36" s="1904"/>
      <c r="F36" s="1904"/>
      <c r="G36" s="1904">
        <v>2.6259999999999999</v>
      </c>
      <c r="H36" s="1904">
        <v>2.5230000000000001</v>
      </c>
      <c r="I36" s="1904">
        <v>2.4630000000000001</v>
      </c>
      <c r="J36" s="1904">
        <v>2.9470000000000001</v>
      </c>
      <c r="K36" s="1904">
        <v>2.9649999999999999</v>
      </c>
      <c r="L36" s="1905">
        <v>2.72</v>
      </c>
      <c r="M36" s="1905">
        <v>3.1091789999999997</v>
      </c>
      <c r="N36" s="1905">
        <v>3.2145870000000003</v>
      </c>
      <c r="O36" s="1905">
        <v>3.3257250000000003</v>
      </c>
      <c r="P36" s="1906">
        <v>3.4414679999999995</v>
      </c>
      <c r="Q36" s="1901">
        <v>3.57</v>
      </c>
      <c r="R36" s="1901">
        <v>3.6286140000000002</v>
      </c>
      <c r="S36" s="1901">
        <v>4.0573899999999998</v>
      </c>
      <c r="T36" s="1901">
        <v>3.9161006</v>
      </c>
      <c r="U36" s="1901">
        <v>3.9464732599999994</v>
      </c>
      <c r="V36" s="1901">
        <v>3.8724966000000003</v>
      </c>
      <c r="W36" s="1902">
        <v>3.8482645999999994</v>
      </c>
      <c r="X36" s="1902">
        <v>7.6171530000000001</v>
      </c>
      <c r="Y36" s="1902">
        <v>14.48070167</v>
      </c>
      <c r="Z36" s="1902">
        <v>21.369238890000002</v>
      </c>
      <c r="AA36" s="1902">
        <v>20.67</v>
      </c>
      <c r="AB36" s="1902">
        <v>20.21</v>
      </c>
      <c r="AC36" s="1903">
        <v>20.79</v>
      </c>
      <c r="AD36" s="1907">
        <f>18.5*0+18.41</f>
        <v>18.41</v>
      </c>
      <c r="AE36" s="1907">
        <v>19.722692000000002</v>
      </c>
      <c r="AF36" s="1907">
        <v>20.68</v>
      </c>
      <c r="AG36" s="3074">
        <v>21.497</v>
      </c>
      <c r="AH36" s="4535">
        <f t="shared" si="3"/>
        <v>3.950676982591883E-2</v>
      </c>
      <c r="AI36" s="1897"/>
    </row>
    <row r="37" spans="2:37" ht="34.5" customHeight="1">
      <c r="B37" s="1898" t="s">
        <v>207</v>
      </c>
      <c r="C37" s="1904">
        <v>5.58</v>
      </c>
      <c r="D37" s="1904">
        <v>8.08</v>
      </c>
      <c r="E37" s="1904">
        <v>6.5910000000000002</v>
      </c>
      <c r="F37" s="1904">
        <v>6.99</v>
      </c>
      <c r="G37" s="1904">
        <v>6.0030000000000001</v>
      </c>
      <c r="H37" s="1904">
        <v>10.528</v>
      </c>
      <c r="I37" s="1904">
        <v>9.4380000000000006</v>
      </c>
      <c r="J37" s="1904">
        <v>8.8529999999999998</v>
      </c>
      <c r="K37" s="1904">
        <v>8.5850000000000009</v>
      </c>
      <c r="L37" s="1905">
        <v>19.559999999999999</v>
      </c>
      <c r="M37" s="1905">
        <v>11.480065</v>
      </c>
      <c r="N37" s="1905">
        <v>15.209354000000001</v>
      </c>
      <c r="O37" s="1905">
        <v>16.46822049</v>
      </c>
      <c r="P37" s="1906">
        <v>25.962</v>
      </c>
      <c r="Q37" s="1901">
        <v>31.49</v>
      </c>
      <c r="R37" s="1901">
        <v>25.695858000000001</v>
      </c>
      <c r="S37" s="1901">
        <v>20.115082479999998</v>
      </c>
      <c r="T37" s="1901">
        <v>16.13144423</v>
      </c>
      <c r="U37" s="1901">
        <v>15.51045953</v>
      </c>
      <c r="V37" s="1901">
        <v>18.896189969999998</v>
      </c>
      <c r="W37" s="1902">
        <v>13.898414469999999</v>
      </c>
      <c r="X37" s="1902">
        <v>14.151375613333334</v>
      </c>
      <c r="Y37" s="1902">
        <v>12.075710469999997</v>
      </c>
      <c r="Z37" s="1902">
        <v>13.939254579999998</v>
      </c>
      <c r="AA37" s="1902">
        <v>14.14</v>
      </c>
      <c r="AB37" s="1902">
        <v>16.510000000000002</v>
      </c>
      <c r="AC37" s="1903">
        <v>17.538</v>
      </c>
      <c r="AD37" s="1907">
        <v>13.234999999999999</v>
      </c>
      <c r="AE37" s="1907">
        <v>24.363137289999997</v>
      </c>
      <c r="AF37" s="1907">
        <f>((AC37+20/2*0+3.5)*0+23*0+24.337)*0+24.3</f>
        <v>24.3</v>
      </c>
      <c r="AG37" s="3074">
        <v>26.562000000000001</v>
      </c>
      <c r="AH37" s="4535">
        <f t="shared" si="3"/>
        <v>9.3086419753086513E-2</v>
      </c>
      <c r="AI37" s="1897"/>
    </row>
    <row r="38" spans="2:37" ht="35" customHeight="1">
      <c r="B38" s="1898" t="s">
        <v>208</v>
      </c>
      <c r="C38" s="1904"/>
      <c r="D38" s="1904"/>
      <c r="E38" s="1904"/>
      <c r="F38" s="1904"/>
      <c r="G38" s="1904"/>
      <c r="H38" s="1904"/>
      <c r="I38" s="1904"/>
      <c r="J38" s="1904"/>
      <c r="K38" s="1904"/>
      <c r="L38" s="1905">
        <v>1.1299999999999999</v>
      </c>
      <c r="M38" s="1905">
        <v>4.7529490000000001</v>
      </c>
      <c r="N38" s="1905">
        <v>6.0412099999999995</v>
      </c>
      <c r="O38" s="1905">
        <v>7.6314488700000007</v>
      </c>
      <c r="P38" s="1906">
        <v>9.0500310000000006</v>
      </c>
      <c r="Q38" s="1901">
        <v>11.95</v>
      </c>
      <c r="R38" s="1901">
        <v>12.812932999999999</v>
      </c>
      <c r="S38" s="1901">
        <v>12.564770530000001</v>
      </c>
      <c r="T38" s="1901">
        <v>17.739290090000001</v>
      </c>
      <c r="U38" s="1901">
        <v>18.625651390000002</v>
      </c>
      <c r="V38" s="1901">
        <v>10.46890546</v>
      </c>
      <c r="W38" s="1902">
        <v>6.85149E-3</v>
      </c>
      <c r="X38" s="1902">
        <v>0</v>
      </c>
      <c r="Y38" s="1902">
        <v>0</v>
      </c>
      <c r="Z38" s="1902">
        <v>0</v>
      </c>
      <c r="AA38" s="1902">
        <v>0</v>
      </c>
      <c r="AB38" s="1902">
        <v>0</v>
      </c>
      <c r="AC38" s="1903">
        <v>0</v>
      </c>
      <c r="AD38" s="1907">
        <v>0</v>
      </c>
      <c r="AE38" s="1907">
        <v>0</v>
      </c>
      <c r="AF38" s="1907">
        <v>0</v>
      </c>
      <c r="AG38" s="3074">
        <v>0</v>
      </c>
      <c r="AH38" s="4535"/>
      <c r="AI38" s="1897"/>
    </row>
    <row r="39" spans="2:37" ht="35" customHeight="1">
      <c r="B39" s="1898" t="s">
        <v>209</v>
      </c>
      <c r="C39" s="1904"/>
      <c r="D39" s="1904"/>
      <c r="E39" s="1904"/>
      <c r="F39" s="1904"/>
      <c r="G39" s="1904"/>
      <c r="H39" s="1904"/>
      <c r="I39" s="1904"/>
      <c r="J39" s="1904"/>
      <c r="K39" s="1904"/>
      <c r="L39" s="1905">
        <v>0</v>
      </c>
      <c r="M39" s="1905">
        <v>0</v>
      </c>
      <c r="N39" s="1905">
        <v>0</v>
      </c>
      <c r="O39" s="1905">
        <v>1.5372350000000001</v>
      </c>
      <c r="P39" s="1906">
        <v>4.3532599999999997</v>
      </c>
      <c r="Q39" s="1901">
        <v>3.14</v>
      </c>
      <c r="R39" s="1901">
        <v>5.889456</v>
      </c>
      <c r="S39" s="1901">
        <v>3.6071837499999999</v>
      </c>
      <c r="T39" s="1901">
        <v>4.7978855400000002</v>
      </c>
      <c r="U39" s="1901">
        <v>3.9034931199999998</v>
      </c>
      <c r="V39" s="1901">
        <v>3.1730034700000003</v>
      </c>
      <c r="W39" s="1902">
        <v>4.6501432500000002</v>
      </c>
      <c r="X39" s="1902">
        <v>3.9405393499999999</v>
      </c>
      <c r="Y39" s="1902">
        <v>3.4529268899999996</v>
      </c>
      <c r="Z39" s="1902">
        <v>3.30381071</v>
      </c>
      <c r="AA39" s="1902">
        <v>3.56</v>
      </c>
      <c r="AB39" s="1902">
        <v>3.18</v>
      </c>
      <c r="AC39" s="1903">
        <v>3.1989999999999998</v>
      </c>
      <c r="AD39" s="1907">
        <f>0.5*0+0.859</f>
        <v>0.85899999999999999</v>
      </c>
      <c r="AE39" s="1907">
        <v>1.4481630599999999</v>
      </c>
      <c r="AF39" s="1907">
        <v>4.3879999999999999</v>
      </c>
      <c r="AG39" s="3074">
        <v>4.4749999999999996</v>
      </c>
      <c r="AH39" s="4535">
        <f t="shared" si="3"/>
        <v>1.9826800364630692E-2</v>
      </c>
      <c r="AI39" s="1897"/>
    </row>
    <row r="40" spans="2:37" ht="41" customHeight="1">
      <c r="B40" s="1898" t="s">
        <v>470</v>
      </c>
      <c r="C40" s="1904"/>
      <c r="D40" s="1904"/>
      <c r="E40" s="1904"/>
      <c r="F40" s="1904"/>
      <c r="G40" s="1904"/>
      <c r="H40" s="1904"/>
      <c r="I40" s="1904"/>
      <c r="J40" s="1904"/>
      <c r="K40" s="1904"/>
      <c r="L40" s="1905"/>
      <c r="M40" s="1905"/>
      <c r="N40" s="1905"/>
      <c r="O40" s="1905"/>
      <c r="P40" s="1906"/>
      <c r="Q40" s="1901" t="s">
        <v>54</v>
      </c>
      <c r="R40" s="1901" t="s">
        <v>54</v>
      </c>
      <c r="S40" s="1901" t="s">
        <v>54</v>
      </c>
      <c r="T40" s="1901" t="s">
        <v>54</v>
      </c>
      <c r="U40" s="1901" t="s">
        <v>54</v>
      </c>
      <c r="V40" s="1901">
        <v>63.621876</v>
      </c>
      <c r="W40" s="1902">
        <v>157.39947005000002</v>
      </c>
      <c r="X40" s="1902">
        <v>183.24579051000001</v>
      </c>
      <c r="Y40" s="1902">
        <v>183.86817873000001</v>
      </c>
      <c r="Z40" s="1902">
        <v>176.74003847</v>
      </c>
      <c r="AA40" s="1902">
        <v>176.06</v>
      </c>
      <c r="AB40" s="1902">
        <v>181.36</v>
      </c>
      <c r="AC40" s="1903">
        <v>183.881</v>
      </c>
      <c r="AD40" s="1907">
        <v>115.47</v>
      </c>
      <c r="AE40" s="1907">
        <v>151.57366787000001</v>
      </c>
      <c r="AF40" s="1907">
        <f>175*0+179.866</f>
        <v>179.86600000000001</v>
      </c>
      <c r="AG40" s="3074">
        <v>202.93199999999999</v>
      </c>
      <c r="AH40" s="4535">
        <f t="shared" si="3"/>
        <v>0.12823991193443995</v>
      </c>
      <c r="AI40" s="1897"/>
    </row>
    <row r="41" spans="2:37" ht="41" customHeight="1">
      <c r="B41" s="1898" t="s">
        <v>1973</v>
      </c>
      <c r="C41" s="3061" t="s">
        <v>54</v>
      </c>
      <c r="D41" s="3061" t="s">
        <v>54</v>
      </c>
      <c r="E41" s="3061" t="s">
        <v>54</v>
      </c>
      <c r="F41" s="3061" t="s">
        <v>54</v>
      </c>
      <c r="G41" s="3061" t="s">
        <v>54</v>
      </c>
      <c r="H41" s="3061" t="s">
        <v>54</v>
      </c>
      <c r="I41" s="3061" t="s">
        <v>54</v>
      </c>
      <c r="J41" s="3061" t="s">
        <v>54</v>
      </c>
      <c r="K41" s="3061" t="s">
        <v>54</v>
      </c>
      <c r="L41" s="3061" t="s">
        <v>54</v>
      </c>
      <c r="M41" s="3061" t="s">
        <v>54</v>
      </c>
      <c r="N41" s="3061" t="s">
        <v>54</v>
      </c>
      <c r="O41" s="3061" t="s">
        <v>54</v>
      </c>
      <c r="P41" s="3061" t="s">
        <v>54</v>
      </c>
      <c r="Q41" s="3061" t="s">
        <v>54</v>
      </c>
      <c r="R41" s="3061" t="s">
        <v>54</v>
      </c>
      <c r="S41" s="3061" t="s">
        <v>54</v>
      </c>
      <c r="T41" s="3061" t="s">
        <v>54</v>
      </c>
      <c r="U41" s="3061" t="s">
        <v>54</v>
      </c>
      <c r="V41" s="3959" t="s">
        <v>54</v>
      </c>
      <c r="W41" s="3959" t="s">
        <v>54</v>
      </c>
      <c r="X41" s="3959" t="s">
        <v>54</v>
      </c>
      <c r="Y41" s="3959" t="s">
        <v>54</v>
      </c>
      <c r="Z41" s="3959" t="s">
        <v>54</v>
      </c>
      <c r="AA41" s="3959" t="s">
        <v>54</v>
      </c>
      <c r="AB41" s="3959" t="s">
        <v>54</v>
      </c>
      <c r="AC41" s="3061" t="s">
        <v>54</v>
      </c>
      <c r="AD41" s="3061" t="s">
        <v>54</v>
      </c>
      <c r="AE41" s="3061" t="s">
        <v>54</v>
      </c>
      <c r="AF41" s="3061" t="s">
        <v>54</v>
      </c>
      <c r="AG41" s="3074">
        <v>5.5549999999999997</v>
      </c>
      <c r="AH41" s="4535">
        <v>1</v>
      </c>
      <c r="AI41" s="1897"/>
    </row>
    <row r="42" spans="2:37" ht="27" customHeight="1">
      <c r="B42" s="1898"/>
      <c r="C42" s="1880"/>
      <c r="D42" s="1880"/>
      <c r="E42" s="1880"/>
      <c r="F42" s="1880"/>
      <c r="G42" s="1880"/>
      <c r="H42" s="1880"/>
      <c r="I42" s="1880"/>
      <c r="J42" s="1880"/>
      <c r="K42" s="1880"/>
      <c r="L42" s="1882"/>
      <c r="M42" s="1931"/>
      <c r="N42" s="1931"/>
      <c r="O42" s="1931"/>
      <c r="P42" s="1906"/>
      <c r="Q42" s="1901"/>
      <c r="R42" s="1901"/>
      <c r="S42" s="1901"/>
      <c r="T42" s="1901"/>
      <c r="U42" s="1901"/>
      <c r="V42" s="1901"/>
      <c r="W42" s="1902"/>
      <c r="X42" s="1902"/>
      <c r="Y42" s="1902"/>
      <c r="Z42" s="1902"/>
      <c r="AA42" s="1902"/>
      <c r="AB42" s="1902"/>
      <c r="AC42" s="1903"/>
      <c r="AD42" s="1907"/>
      <c r="AE42" s="1940"/>
      <c r="AF42" s="3062"/>
      <c r="AG42" s="3075"/>
      <c r="AH42" s="1894"/>
      <c r="AI42" s="1897"/>
    </row>
    <row r="43" spans="2:37" s="1296" customFormat="1" ht="83.25" customHeight="1">
      <c r="B43" s="1932" t="s">
        <v>206</v>
      </c>
      <c r="C43" s="1880">
        <v>89.387</v>
      </c>
      <c r="D43" s="1880">
        <v>94.986999999999995</v>
      </c>
      <c r="E43" s="1880">
        <v>93.233000000000004</v>
      </c>
      <c r="F43" s="1880">
        <v>91.885000000000005</v>
      </c>
      <c r="G43" s="1880">
        <v>93.863</v>
      </c>
      <c r="H43" s="1880">
        <v>128.24299999999999</v>
      </c>
      <c r="I43" s="1880">
        <v>112.215</v>
      </c>
      <c r="J43" s="1880">
        <v>90.31</v>
      </c>
      <c r="K43" s="1880">
        <v>100.08199999999999</v>
      </c>
      <c r="L43" s="1882">
        <v>107.76</v>
      </c>
      <c r="M43" s="1882">
        <f>+M44+M45+M46+M47+M48+M49+M50+M51+M52</f>
        <v>263.32120900000001</v>
      </c>
      <c r="N43" s="1882">
        <f t="shared" ref="N43:U43" si="11">SUM(N44:N55)</f>
        <v>289.83311800000001</v>
      </c>
      <c r="O43" s="1882">
        <f t="shared" si="11"/>
        <v>312.12370019999997</v>
      </c>
      <c r="P43" s="1909">
        <f t="shared" si="11"/>
        <v>349.89331499999997</v>
      </c>
      <c r="Q43" s="1910">
        <f t="shared" si="11"/>
        <v>358.22</v>
      </c>
      <c r="R43" s="1910">
        <f t="shared" si="11"/>
        <v>379.735005</v>
      </c>
      <c r="S43" s="1910">
        <f t="shared" si="11"/>
        <v>371.44597362999997</v>
      </c>
      <c r="T43" s="1910">
        <f t="shared" si="11"/>
        <v>380.66724479999999</v>
      </c>
      <c r="U43" s="1910">
        <f t="shared" si="11"/>
        <v>386.64918677999998</v>
      </c>
      <c r="V43" s="1910">
        <f t="shared" ref="V43:AA43" si="12">SUM(V44:V52)+V55+V56-V51</f>
        <v>363.13983811450004</v>
      </c>
      <c r="W43" s="1910">
        <f t="shared" si="12"/>
        <v>368.11736510999992</v>
      </c>
      <c r="X43" s="1910">
        <f t="shared" si="12"/>
        <v>393.19259695800002</v>
      </c>
      <c r="Y43" s="1910">
        <f t="shared" si="12"/>
        <v>426.01631063838443</v>
      </c>
      <c r="Z43" s="1910">
        <f t="shared" si="12"/>
        <v>448.59931583599996</v>
      </c>
      <c r="AA43" s="1910">
        <f t="shared" si="12"/>
        <v>479.61592684300001</v>
      </c>
      <c r="AB43" s="1910">
        <f>SUM(AB44:AB52)+AB55+AB56-AB51</f>
        <v>496.32953645999999</v>
      </c>
      <c r="AC43" s="2735">
        <f t="shared" ref="AC43:AF43" si="13">SUM(AC44:AC52)+AC55+AC56</f>
        <v>517.39958330000002</v>
      </c>
      <c r="AD43" s="2735">
        <f t="shared" si="13"/>
        <v>398.29300000000001</v>
      </c>
      <c r="AE43" s="2735">
        <f t="shared" si="13"/>
        <v>477.46419701000002</v>
      </c>
      <c r="AF43" s="2735">
        <f t="shared" si="13"/>
        <v>567.41600000000005</v>
      </c>
      <c r="AG43" s="4041">
        <f>SUM(AG44:AG52)+AG55+AG56-A51</f>
        <v>614.07682339999997</v>
      </c>
      <c r="AH43" s="1894">
        <f t="shared" si="3"/>
        <v>8.2233887306667253E-2</v>
      </c>
      <c r="AI43" s="1930"/>
      <c r="AK43" s="4103"/>
    </row>
    <row r="44" spans="2:37" ht="35" customHeight="1">
      <c r="B44" s="1898" t="s">
        <v>144</v>
      </c>
      <c r="C44" s="1904">
        <v>62.045000000000002</v>
      </c>
      <c r="D44" s="1904">
        <v>61.812999999999995</v>
      </c>
      <c r="E44" s="1904">
        <v>60.171999999999997</v>
      </c>
      <c r="F44" s="1904">
        <v>65.786000000000001</v>
      </c>
      <c r="G44" s="1904">
        <v>63.094999999999999</v>
      </c>
      <c r="H44" s="1904">
        <v>68.094999999999999</v>
      </c>
      <c r="I44" s="1904">
        <v>71.393000000000001</v>
      </c>
      <c r="J44" s="1904">
        <v>64.177000000000007</v>
      </c>
      <c r="K44" s="1904">
        <v>51.673000000000002</v>
      </c>
      <c r="L44" s="1905">
        <v>57.41</v>
      </c>
      <c r="M44" s="1905">
        <v>114.43</v>
      </c>
      <c r="N44" s="1905">
        <v>117.15581500000002</v>
      </c>
      <c r="O44" s="1905">
        <v>104.670767</v>
      </c>
      <c r="P44" s="1906">
        <v>111.54317399999999</v>
      </c>
      <c r="Q44" s="1901">
        <v>112.24</v>
      </c>
      <c r="R44" s="1901">
        <v>136.276025</v>
      </c>
      <c r="S44" s="1901">
        <v>140.167957</v>
      </c>
      <c r="T44" s="1901">
        <v>113.69586789</v>
      </c>
      <c r="U44" s="1901">
        <v>111.9298277</v>
      </c>
      <c r="V44" s="1901">
        <v>48.296274400000001</v>
      </c>
      <c r="W44" s="1902">
        <v>0.63917827000000005</v>
      </c>
      <c r="X44" s="1902">
        <v>0.10496671000000002</v>
      </c>
      <c r="Y44" s="1902">
        <v>0.27333770999999996</v>
      </c>
      <c r="Z44" s="1902">
        <v>0</v>
      </c>
      <c r="AA44" s="1902">
        <v>0</v>
      </c>
      <c r="AB44" s="1902">
        <v>0</v>
      </c>
      <c r="AC44" s="1903">
        <v>0</v>
      </c>
      <c r="AD44" s="1903">
        <v>0</v>
      </c>
      <c r="AE44" s="1903">
        <v>0</v>
      </c>
      <c r="AF44" s="1903">
        <v>0</v>
      </c>
      <c r="AG44" s="3074">
        <v>0</v>
      </c>
      <c r="AH44" s="1894"/>
      <c r="AI44" s="1897"/>
    </row>
    <row r="45" spans="2:37" ht="35" customHeight="1">
      <c r="B45" s="1898" t="s">
        <v>210</v>
      </c>
      <c r="C45" s="1904">
        <v>1.6739999999999999</v>
      </c>
      <c r="D45" s="1904">
        <v>1.5569999999999999</v>
      </c>
      <c r="E45" s="1904">
        <v>3.214</v>
      </c>
      <c r="F45" s="1904">
        <v>2.581</v>
      </c>
      <c r="G45" s="1904">
        <v>2.5089999999999999</v>
      </c>
      <c r="H45" s="1904">
        <v>3.14</v>
      </c>
      <c r="I45" s="1904">
        <v>1.847</v>
      </c>
      <c r="J45" s="1904">
        <v>1.1200000000000001</v>
      </c>
      <c r="K45" s="1904">
        <v>0.89</v>
      </c>
      <c r="L45" s="1905">
        <v>0.96</v>
      </c>
      <c r="M45" s="1905">
        <v>69.448648000000006</v>
      </c>
      <c r="N45" s="1905">
        <v>75.252663999999996</v>
      </c>
      <c r="O45" s="1905">
        <v>87.217748999999998</v>
      </c>
      <c r="P45" s="1906">
        <v>98.347999999999999</v>
      </c>
      <c r="Q45" s="1901">
        <v>107.01</v>
      </c>
      <c r="R45" s="1901">
        <v>103.65212700000001</v>
      </c>
      <c r="S45" s="1901">
        <v>93.253743000000014</v>
      </c>
      <c r="T45" s="1901">
        <v>101.34924728999999</v>
      </c>
      <c r="U45" s="1901">
        <v>106.06640610000001</v>
      </c>
      <c r="V45" s="1901">
        <v>98.722509819999999</v>
      </c>
      <c r="W45" s="1902">
        <v>95.097463669999996</v>
      </c>
      <c r="X45" s="1902">
        <v>101.21908440000001</v>
      </c>
      <c r="Y45" s="1902">
        <v>106.1833699033844</v>
      </c>
      <c r="Z45" s="1902">
        <v>113.5</v>
      </c>
      <c r="AA45" s="1902">
        <v>120.8</v>
      </c>
      <c r="AB45" s="1902">
        <v>122.73</v>
      </c>
      <c r="AC45" s="1903">
        <v>121.61</v>
      </c>
      <c r="AD45" s="1903">
        <f>92*0+91.56</f>
        <v>91.56</v>
      </c>
      <c r="AE45" s="1903">
        <v>123.254524</v>
      </c>
      <c r="AF45" s="1903">
        <f>154*0+151.471</f>
        <v>151.471</v>
      </c>
      <c r="AG45" s="3074">
        <v>147.69</v>
      </c>
      <c r="AH45" s="4535">
        <f t="shared" si="3"/>
        <v>-2.4961873890051556E-2</v>
      </c>
      <c r="AI45" s="1897"/>
    </row>
    <row r="46" spans="2:37" ht="35" customHeight="1">
      <c r="B46" s="1898" t="s">
        <v>211</v>
      </c>
      <c r="C46" s="1904">
        <v>1.169</v>
      </c>
      <c r="D46" s="1904">
        <v>1.002</v>
      </c>
      <c r="E46" s="1904">
        <v>0.96899999999999997</v>
      </c>
      <c r="F46" s="1904">
        <v>1.5740000000000001</v>
      </c>
      <c r="G46" s="1904">
        <v>0.96099999999999997</v>
      </c>
      <c r="H46" s="1904">
        <v>2.0259999999999998</v>
      </c>
      <c r="I46" s="1904">
        <v>3.004</v>
      </c>
      <c r="J46" s="1904">
        <v>2.5449999999999999</v>
      </c>
      <c r="K46" s="1904">
        <v>1.6830000000000001</v>
      </c>
      <c r="L46" s="1905">
        <v>2.52</v>
      </c>
      <c r="M46" s="1931">
        <v>0.4</v>
      </c>
      <c r="N46" s="1905">
        <v>0.52880000000000005</v>
      </c>
      <c r="O46" s="1905">
        <v>5.9224379999999996</v>
      </c>
      <c r="P46" s="1906">
        <v>1.124687</v>
      </c>
      <c r="Q46" s="1901">
        <v>3.11</v>
      </c>
      <c r="R46" s="1901">
        <v>6.5188729999999993</v>
      </c>
      <c r="S46" s="1901">
        <v>7.8764959999999995</v>
      </c>
      <c r="T46" s="1901">
        <v>5.6333178200000003</v>
      </c>
      <c r="U46" s="1901">
        <v>4.0485292800000003</v>
      </c>
      <c r="V46" s="1901">
        <v>2.5631849500000001</v>
      </c>
      <c r="W46" s="1902">
        <v>0.63753842999999999</v>
      </c>
      <c r="X46" s="1902">
        <v>2.0263516500000001</v>
      </c>
      <c r="Y46" s="1902">
        <v>2.7202031199999999</v>
      </c>
      <c r="Z46" s="1902">
        <v>3.6754434500000004</v>
      </c>
      <c r="AA46" s="1902">
        <v>5.39</v>
      </c>
      <c r="AB46" s="1902">
        <v>4.2549999999999999</v>
      </c>
      <c r="AC46" s="1903">
        <v>3.99</v>
      </c>
      <c r="AD46" s="1903">
        <f>3*0+4*0+3.58</f>
        <v>3.58</v>
      </c>
      <c r="AE46" s="1903">
        <v>2.151545</v>
      </c>
      <c r="AF46" s="1903">
        <v>0.85699999999999998</v>
      </c>
      <c r="AG46" s="3074">
        <v>1.3360000000000001</v>
      </c>
      <c r="AH46" s="4535">
        <f t="shared" si="3"/>
        <v>0.55892648774795806</v>
      </c>
      <c r="AI46" s="1897"/>
    </row>
    <row r="47" spans="2:37" ht="35" customHeight="1">
      <c r="B47" s="1898" t="s">
        <v>212</v>
      </c>
      <c r="C47" s="1904">
        <v>17.643999999999998</v>
      </c>
      <c r="D47" s="1904">
        <v>20.527000000000001</v>
      </c>
      <c r="E47" s="1904">
        <v>24.143000000000001</v>
      </c>
      <c r="F47" s="1904">
        <v>29.544</v>
      </c>
      <c r="G47" s="1904">
        <v>31.82</v>
      </c>
      <c r="H47" s="1904">
        <v>32.758000000000003</v>
      </c>
      <c r="I47" s="1904">
        <v>34.67</v>
      </c>
      <c r="J47" s="1904">
        <v>33.353000000000002</v>
      </c>
      <c r="K47" s="1904">
        <v>27.876000000000001</v>
      </c>
      <c r="L47" s="1905">
        <v>30.17</v>
      </c>
      <c r="M47" s="1905">
        <v>4.9105249999999998</v>
      </c>
      <c r="N47" s="1905">
        <v>5.5038469999999995</v>
      </c>
      <c r="O47" s="1905">
        <v>4.0544422000000004</v>
      </c>
      <c r="P47" s="1906">
        <v>3.9483329999999999</v>
      </c>
      <c r="Q47" s="1901">
        <v>3.3</v>
      </c>
      <c r="R47" s="1901">
        <v>4.4114709999999997</v>
      </c>
      <c r="S47" s="1901">
        <v>3.5983316299999997</v>
      </c>
      <c r="T47" s="1901">
        <v>3.8467042500000002</v>
      </c>
      <c r="U47" s="1901">
        <v>4.0285949099999998</v>
      </c>
      <c r="V47" s="1901">
        <v>3.07926652</v>
      </c>
      <c r="W47" s="1902">
        <v>3.2449380200000002</v>
      </c>
      <c r="X47" s="1902">
        <v>3.4568330899999999</v>
      </c>
      <c r="Y47" s="1902">
        <v>4.4270233700000006</v>
      </c>
      <c r="Z47" s="1902">
        <v>4.1399952899999999</v>
      </c>
      <c r="AA47" s="1902">
        <v>5.03</v>
      </c>
      <c r="AB47" s="1902">
        <v>4.76</v>
      </c>
      <c r="AC47" s="1903">
        <v>4.0819999999999999</v>
      </c>
      <c r="AD47" s="1903">
        <v>0.83299999999999996</v>
      </c>
      <c r="AE47" s="1903">
        <v>1.7208611700000001</v>
      </c>
      <c r="AF47" s="1903">
        <f>4.2*0+4.8*0+5.77</f>
        <v>5.77</v>
      </c>
      <c r="AG47" s="3074">
        <v>6.8336779999999999</v>
      </c>
      <c r="AH47" s="4535">
        <f t="shared" si="3"/>
        <v>0.184346273830156</v>
      </c>
      <c r="AI47" s="1897"/>
    </row>
    <row r="48" spans="2:37" ht="35" customHeight="1">
      <c r="B48" s="1898" t="s">
        <v>2312</v>
      </c>
      <c r="C48" s="1904"/>
      <c r="D48" s="1904"/>
      <c r="E48" s="1904"/>
      <c r="F48" s="1904"/>
      <c r="G48" s="1904"/>
      <c r="H48" s="1904"/>
      <c r="I48" s="1904">
        <v>34.67</v>
      </c>
      <c r="J48" s="1904">
        <v>9.0440000000000005</v>
      </c>
      <c r="K48" s="1904">
        <v>7.0940000000000003</v>
      </c>
      <c r="L48" s="1905">
        <v>9.6300000000000008</v>
      </c>
      <c r="M48" s="1905">
        <v>39.310769999999998</v>
      </c>
      <c r="N48" s="1905">
        <v>46.435938</v>
      </c>
      <c r="O48" s="1905">
        <v>53.775348000000001</v>
      </c>
      <c r="P48" s="1906">
        <v>65.376999999999995</v>
      </c>
      <c r="Q48" s="1901">
        <v>64.77</v>
      </c>
      <c r="R48" s="1901">
        <v>67.930690999999996</v>
      </c>
      <c r="S48" s="1901">
        <v>58.993980999999998</v>
      </c>
      <c r="T48" s="1901">
        <v>62.946789520000003</v>
      </c>
      <c r="U48" s="1901">
        <v>69.165473910000003</v>
      </c>
      <c r="V48" s="1901">
        <v>68.178471630000004</v>
      </c>
      <c r="W48" s="1902">
        <v>59.599081660000003</v>
      </c>
      <c r="X48" s="1902">
        <v>60.193648600000003</v>
      </c>
      <c r="Y48" s="1902">
        <v>68.856005480000007</v>
      </c>
      <c r="Z48" s="1902">
        <v>71.349999999999994</v>
      </c>
      <c r="AA48" s="1902">
        <v>74.83</v>
      </c>
      <c r="AB48" s="1902">
        <v>79</v>
      </c>
      <c r="AC48" s="1903">
        <v>78.95</v>
      </c>
      <c r="AD48" s="1903">
        <v>65</v>
      </c>
      <c r="AE48" s="1903">
        <v>83.994257000000005</v>
      </c>
      <c r="AF48" s="1903">
        <f>97*0+98*0+102.543</f>
        <v>102.54300000000001</v>
      </c>
      <c r="AG48" s="3074">
        <v>103.97</v>
      </c>
      <c r="AH48" s="4535">
        <f t="shared" si="3"/>
        <v>1.3916113240299177E-2</v>
      </c>
      <c r="AI48" s="1897"/>
    </row>
    <row r="49" spans="1:37" ht="35" customHeight="1">
      <c r="B49" s="1898" t="s">
        <v>213</v>
      </c>
      <c r="C49" s="1904"/>
      <c r="D49" s="1904"/>
      <c r="E49" s="1904"/>
      <c r="F49" s="1904"/>
      <c r="G49" s="1904"/>
      <c r="H49" s="1904">
        <v>1.6259999999999999</v>
      </c>
      <c r="I49" s="1904">
        <v>2.81</v>
      </c>
      <c r="J49" s="1904">
        <v>4.944</v>
      </c>
      <c r="K49" s="1904">
        <v>4.54</v>
      </c>
      <c r="L49" s="1905">
        <v>4.07</v>
      </c>
      <c r="M49" s="1905">
        <v>11.743708999999997</v>
      </c>
      <c r="N49" s="1905">
        <v>13.456394</v>
      </c>
      <c r="O49" s="1905">
        <v>17.450410000000002</v>
      </c>
      <c r="P49" s="1906">
        <v>21.558</v>
      </c>
      <c r="Q49" s="1901">
        <v>18.03</v>
      </c>
      <c r="R49" s="1901">
        <v>15.973789999999999</v>
      </c>
      <c r="S49" s="1901">
        <v>14.345851999999999</v>
      </c>
      <c r="T49" s="1901">
        <v>16.181104439999999</v>
      </c>
      <c r="U49" s="1901">
        <v>16.192104450000002</v>
      </c>
      <c r="V49" s="1901">
        <v>8.1662114700000004</v>
      </c>
      <c r="W49" s="1902">
        <v>0.17283829000000001</v>
      </c>
      <c r="X49" s="1902">
        <v>1.0049000000000001E-2</v>
      </c>
      <c r="Y49" s="1902">
        <v>5.3292999999999993E-4</v>
      </c>
      <c r="Z49" s="1902">
        <v>0</v>
      </c>
      <c r="AA49" s="1902">
        <v>0</v>
      </c>
      <c r="AB49" s="1902">
        <v>0</v>
      </c>
      <c r="AC49" s="1903">
        <v>0</v>
      </c>
      <c r="AD49" s="1903">
        <v>0</v>
      </c>
      <c r="AE49" s="1903">
        <v>0</v>
      </c>
      <c r="AF49" s="1903">
        <v>0</v>
      </c>
      <c r="AG49" s="3074">
        <v>0</v>
      </c>
      <c r="AH49" s="4535"/>
      <c r="AI49" s="1897"/>
    </row>
    <row r="50" spans="1:37" ht="41" customHeight="1">
      <c r="B50" s="1898" t="s">
        <v>2311</v>
      </c>
      <c r="C50" s="1904"/>
      <c r="D50" s="1904"/>
      <c r="E50" s="1904"/>
      <c r="F50" s="1904"/>
      <c r="G50" s="1904"/>
      <c r="H50" s="1904"/>
      <c r="I50" s="1904"/>
      <c r="J50" s="1904" t="s">
        <v>395</v>
      </c>
      <c r="K50" s="1904" t="s">
        <v>395</v>
      </c>
      <c r="L50" s="1905">
        <v>0</v>
      </c>
      <c r="M50" s="1905">
        <v>4.3900170000000003</v>
      </c>
      <c r="N50" s="1905">
        <v>5.983333</v>
      </c>
      <c r="O50" s="1905">
        <v>4.9082169999999996</v>
      </c>
      <c r="P50" s="1906">
        <v>6.8739830000000008</v>
      </c>
      <c r="Q50" s="1901">
        <v>5.9</v>
      </c>
      <c r="R50" s="1901">
        <v>11.810404999999999</v>
      </c>
      <c r="S50" s="1901">
        <v>10.053699000000002</v>
      </c>
      <c r="T50" s="1901">
        <v>8.7007708000000008</v>
      </c>
      <c r="U50" s="1901">
        <v>8.9118523200000013</v>
      </c>
      <c r="V50" s="1901">
        <v>9.2225643299999991</v>
      </c>
      <c r="W50" s="1902">
        <v>9.8862478500000002</v>
      </c>
      <c r="X50" s="1902">
        <v>8.4053826399999991</v>
      </c>
      <c r="Y50" s="1902">
        <v>7.3983873999999998</v>
      </c>
      <c r="Z50" s="1902">
        <v>10.495513129999999</v>
      </c>
      <c r="AA50" s="1902">
        <v>29.06</v>
      </c>
      <c r="AB50" s="1902">
        <v>28.4</v>
      </c>
      <c r="AC50" s="1903">
        <v>38.89</v>
      </c>
      <c r="AD50" s="1903">
        <f>13*0+14*0+13.4</f>
        <v>13.4</v>
      </c>
      <c r="AE50" s="1903">
        <v>20.574407000000001</v>
      </c>
      <c r="AF50" s="1903">
        <f>38*0+37.37</f>
        <v>37.369999999999997</v>
      </c>
      <c r="AG50" s="3074">
        <v>33.542999999999999</v>
      </c>
      <c r="AH50" s="4535">
        <f t="shared" si="3"/>
        <v>-0.10240834894300233</v>
      </c>
      <c r="AI50" s="1897"/>
    </row>
    <row r="51" spans="1:37" ht="35" customHeight="1">
      <c r="B51" s="1898" t="s">
        <v>214</v>
      </c>
      <c r="C51" s="1904"/>
      <c r="D51" s="1904"/>
      <c r="E51" s="1904"/>
      <c r="F51" s="1904"/>
      <c r="G51" s="1904"/>
      <c r="H51" s="1904"/>
      <c r="I51" s="1904"/>
      <c r="J51" s="1904"/>
      <c r="K51" s="1904"/>
      <c r="L51" s="1905">
        <v>16.059999999999999</v>
      </c>
      <c r="M51" s="1905">
        <v>0.154362</v>
      </c>
      <c r="N51" s="1905">
        <v>0.82199999999999995</v>
      </c>
      <c r="O51" s="1905">
        <v>0.84440500000000007</v>
      </c>
      <c r="P51" s="1906">
        <v>1.998791</v>
      </c>
      <c r="Q51" s="1901">
        <v>0.88</v>
      </c>
      <c r="R51" s="1901">
        <v>0.92676599999999998</v>
      </c>
      <c r="S51" s="1901">
        <v>1.50596</v>
      </c>
      <c r="T51" s="1901">
        <v>0.64323200000000014</v>
      </c>
      <c r="U51" s="1901">
        <v>1.0506340000000001</v>
      </c>
      <c r="V51" s="1901">
        <v>1.2258150000000001</v>
      </c>
      <c r="W51" s="1902">
        <v>0.95716899999999994</v>
      </c>
      <c r="X51" s="1902">
        <v>0.64191600000000004</v>
      </c>
      <c r="Y51" s="1902">
        <v>0.99473699999999998</v>
      </c>
      <c r="Z51" s="1902">
        <v>0.66634899999999997</v>
      </c>
      <c r="AA51" s="1902">
        <v>0.88</v>
      </c>
      <c r="AB51" s="1902">
        <v>0</v>
      </c>
      <c r="AC51" s="1903" t="s">
        <v>54</v>
      </c>
      <c r="AD51" s="1903" t="s">
        <v>54</v>
      </c>
      <c r="AE51" s="1903" t="s">
        <v>54</v>
      </c>
      <c r="AF51" s="1903" t="s">
        <v>54</v>
      </c>
      <c r="AG51" s="3074" t="s">
        <v>54</v>
      </c>
      <c r="AH51" s="4535"/>
      <c r="AI51" s="1897"/>
    </row>
    <row r="52" spans="1:37" ht="44.55" customHeight="1">
      <c r="B52" s="1898" t="s">
        <v>215</v>
      </c>
      <c r="C52" s="1904">
        <v>26.056999999999999</v>
      </c>
      <c r="D52" s="1904">
        <v>38.960999999999999</v>
      </c>
      <c r="E52" s="1904">
        <v>33.897000000000006</v>
      </c>
      <c r="F52" s="1904">
        <v>42.671999999999997</v>
      </c>
      <c r="G52" s="1904">
        <v>27.812000000000001</v>
      </c>
      <c r="H52" s="1904">
        <v>34.323</v>
      </c>
      <c r="I52" s="1904">
        <v>77.931000000000012</v>
      </c>
      <c r="J52" s="1904">
        <v>49.080999999999996</v>
      </c>
      <c r="K52" s="1904">
        <v>43.94</v>
      </c>
      <c r="L52" s="1905">
        <v>36.159999999999997</v>
      </c>
      <c r="M52" s="1905">
        <v>18.533178000000003</v>
      </c>
      <c r="N52" s="1905">
        <v>24.694327000000001</v>
      </c>
      <c r="O52" s="1905">
        <v>33.279924000000001</v>
      </c>
      <c r="P52" s="1906">
        <v>39.121347</v>
      </c>
      <c r="Q52" s="1901">
        <v>42.98</v>
      </c>
      <c r="R52" s="1901">
        <v>32.234857000000005</v>
      </c>
      <c r="S52" s="1901">
        <v>41.649953999999994</v>
      </c>
      <c r="T52" s="1901">
        <v>67.670210789999999</v>
      </c>
      <c r="U52" s="1901">
        <v>65.216484989999998</v>
      </c>
      <c r="V52" s="1902">
        <f t="shared" ref="V52:AE52" si="14">+V53+V54</f>
        <v>49.611182819999996</v>
      </c>
      <c r="W52" s="1902">
        <f t="shared" si="14"/>
        <v>57.346837390000005</v>
      </c>
      <c r="X52" s="1902">
        <f t="shared" si="14"/>
        <v>66.634640779999998</v>
      </c>
      <c r="Y52" s="1902">
        <f t="shared" si="14"/>
        <v>73.655484739999991</v>
      </c>
      <c r="Z52" s="1902">
        <f t="shared" si="14"/>
        <v>86.748363965999999</v>
      </c>
      <c r="AA52" s="1902">
        <f t="shared" si="14"/>
        <v>102.66592684299999</v>
      </c>
      <c r="AB52" s="1902">
        <f t="shared" si="14"/>
        <v>109.29453646</v>
      </c>
      <c r="AC52" s="1903">
        <f t="shared" si="14"/>
        <v>114.33758330000001</v>
      </c>
      <c r="AD52" s="1903">
        <f t="shared" si="14"/>
        <v>99.46</v>
      </c>
      <c r="AE52" s="1903">
        <f t="shared" si="14"/>
        <v>85.06</v>
      </c>
      <c r="AF52" s="1903">
        <f>+AF53+AF54</f>
        <v>78.760000000000005</v>
      </c>
      <c r="AG52" s="3074">
        <f>+AG53+AG54</f>
        <v>119.14</v>
      </c>
      <c r="AH52" s="4535">
        <f t="shared" si="3"/>
        <v>0.5126968004062975</v>
      </c>
      <c r="AI52" s="1897"/>
    </row>
    <row r="53" spans="1:37" ht="34.5" customHeight="1">
      <c r="B53" s="1933" t="s">
        <v>872</v>
      </c>
      <c r="C53" s="1904"/>
      <c r="D53" s="1904"/>
      <c r="E53" s="1904"/>
      <c r="F53" s="1904"/>
      <c r="G53" s="1904"/>
      <c r="H53" s="1904"/>
      <c r="I53" s="1904"/>
      <c r="J53" s="1904"/>
      <c r="K53" s="1904"/>
      <c r="L53" s="1905"/>
      <c r="M53" s="1905" t="s">
        <v>395</v>
      </c>
      <c r="N53" s="1905" t="s">
        <v>395</v>
      </c>
      <c r="O53" s="1905" t="s">
        <v>395</v>
      </c>
      <c r="P53" s="1906" t="s">
        <v>395</v>
      </c>
      <c r="Q53" s="1906" t="s">
        <v>395</v>
      </c>
      <c r="R53" s="1906" t="s">
        <v>395</v>
      </c>
      <c r="S53" s="1906" t="s">
        <v>395</v>
      </c>
      <c r="T53" s="1906" t="s">
        <v>395</v>
      </c>
      <c r="U53" s="1906">
        <v>3.9279120000000001E-2</v>
      </c>
      <c r="V53" s="1906">
        <v>17.036631700000001</v>
      </c>
      <c r="W53" s="1934">
        <v>23.927900000000001</v>
      </c>
      <c r="X53" s="1934">
        <v>30.237191559999999</v>
      </c>
      <c r="Y53" s="1906">
        <v>32.677120119999998</v>
      </c>
      <c r="Z53" s="1934">
        <v>38.433189774159999</v>
      </c>
      <c r="AA53" s="1934">
        <v>51.793171620000003</v>
      </c>
      <c r="AB53" s="1934">
        <v>64.536799999999999</v>
      </c>
      <c r="AC53" s="1903">
        <v>69.255184700000001</v>
      </c>
      <c r="AD53" s="1903">
        <v>68.08</v>
      </c>
      <c r="AE53" s="1903">
        <v>46.39</v>
      </c>
      <c r="AF53" s="1903">
        <v>34.49</v>
      </c>
      <c r="AG53" s="3074">
        <v>68.67</v>
      </c>
      <c r="AH53" s="4535">
        <f t="shared" si="3"/>
        <v>0.99101188750362423</v>
      </c>
      <c r="AI53" s="1897"/>
      <c r="AK53" s="4027"/>
    </row>
    <row r="54" spans="1:37" ht="34.5" customHeight="1">
      <c r="B54" s="3958" t="s">
        <v>2309</v>
      </c>
      <c r="C54" s="3068"/>
      <c r="D54" s="3068"/>
      <c r="E54" s="3068"/>
      <c r="F54" s="3068"/>
      <c r="G54" s="3068"/>
      <c r="H54" s="3068"/>
      <c r="I54" s="3068"/>
      <c r="J54" s="3068"/>
      <c r="K54" s="3068"/>
      <c r="L54" s="3069"/>
      <c r="M54" s="3069"/>
      <c r="N54" s="3069"/>
      <c r="O54" s="3069"/>
      <c r="P54" s="3070"/>
      <c r="Q54" s="3070"/>
      <c r="R54" s="3070"/>
      <c r="S54" s="3070"/>
      <c r="T54" s="3070"/>
      <c r="U54" s="3070"/>
      <c r="V54" s="3070">
        <v>32.574551119999995</v>
      </c>
      <c r="W54" s="3957">
        <v>33.418937390000004</v>
      </c>
      <c r="X54" s="3957">
        <v>36.397449219999999</v>
      </c>
      <c r="Y54" s="3957">
        <v>40.978364619999994</v>
      </c>
      <c r="Z54" s="3957">
        <v>48.315174191840001</v>
      </c>
      <c r="AA54" s="3957">
        <v>50.872755222999999</v>
      </c>
      <c r="AB54" s="3957">
        <v>44.757736460000004</v>
      </c>
      <c r="AC54" s="3073">
        <v>45.082398599999998</v>
      </c>
      <c r="AD54" s="3073">
        <v>31.38</v>
      </c>
      <c r="AE54" s="3073">
        <v>38.67</v>
      </c>
      <c r="AF54" s="3073">
        <v>44.27</v>
      </c>
      <c r="AG54" s="3074">
        <v>50.47</v>
      </c>
      <c r="AH54" s="4535">
        <f t="shared" si="3"/>
        <v>0.14004969505308318</v>
      </c>
      <c r="AI54" s="1897"/>
      <c r="AK54" s="4026"/>
    </row>
    <row r="55" spans="1:37" ht="39" customHeight="1">
      <c r="B55" s="1898" t="s">
        <v>486</v>
      </c>
      <c r="C55" s="1904"/>
      <c r="D55" s="1904"/>
      <c r="E55" s="1904"/>
      <c r="F55" s="1904"/>
      <c r="G55" s="1904"/>
      <c r="H55" s="1904"/>
      <c r="I55" s="1904"/>
      <c r="J55" s="1904"/>
      <c r="K55" s="1904"/>
      <c r="L55" s="1905"/>
      <c r="M55" s="1905"/>
      <c r="N55" s="1905"/>
      <c r="O55" s="1905"/>
      <c r="P55" s="1906"/>
      <c r="Q55" s="1901" t="s">
        <v>54</v>
      </c>
      <c r="R55" s="1901" t="s">
        <v>54</v>
      </c>
      <c r="S55" s="1901" t="s">
        <v>54</v>
      </c>
      <c r="T55" s="1901" t="s">
        <v>54</v>
      </c>
      <c r="U55" s="1901" t="s">
        <v>54</v>
      </c>
      <c r="V55" s="1901">
        <v>75.300172174500005</v>
      </c>
      <c r="W55" s="1902">
        <v>141.49324152999998</v>
      </c>
      <c r="X55" s="1902">
        <v>151.141640088</v>
      </c>
      <c r="Y55" s="1902">
        <v>162.501965985</v>
      </c>
      <c r="Z55" s="1902">
        <v>158.69</v>
      </c>
      <c r="AA55" s="1902">
        <v>141.84</v>
      </c>
      <c r="AB55" s="1902">
        <v>147.88999999999999</v>
      </c>
      <c r="AC55" s="1903">
        <v>155.54</v>
      </c>
      <c r="AD55" s="1903">
        <f>140*0+125.7*0+124.46+125.664*0</f>
        <v>124.46</v>
      </c>
      <c r="AE55" s="1903">
        <v>160.70860284</v>
      </c>
      <c r="AF55" s="1903">
        <f>192*0+190.645</f>
        <v>190.64500000000001</v>
      </c>
      <c r="AG55" s="3074">
        <v>188.90414539999998</v>
      </c>
      <c r="AH55" s="4535">
        <f t="shared" si="3"/>
        <v>-9.1313939521101561E-3</v>
      </c>
      <c r="AI55" s="1897"/>
      <c r="AK55" s="4026"/>
    </row>
    <row r="56" spans="1:37" ht="39" customHeight="1">
      <c r="B56" s="1898" t="str">
        <f>+B41</f>
        <v>Health &amp; Citizen Security Levy</v>
      </c>
      <c r="C56" s="3068"/>
      <c r="D56" s="3068"/>
      <c r="E56" s="3068"/>
      <c r="F56" s="3068"/>
      <c r="G56" s="3068"/>
      <c r="H56" s="3068"/>
      <c r="I56" s="3068"/>
      <c r="J56" s="3068"/>
      <c r="K56" s="3068"/>
      <c r="L56" s="3069"/>
      <c r="M56" s="3069"/>
      <c r="N56" s="3069"/>
      <c r="O56" s="3069"/>
      <c r="P56" s="3070"/>
      <c r="Q56" s="3071"/>
      <c r="R56" s="3071"/>
      <c r="S56" s="3071"/>
      <c r="T56" s="3071"/>
      <c r="U56" s="3071"/>
      <c r="V56" s="3071"/>
      <c r="W56" s="3072"/>
      <c r="X56" s="3072"/>
      <c r="Y56" s="3072"/>
      <c r="Z56" s="3072"/>
      <c r="AA56" s="3072"/>
      <c r="AB56" s="3072"/>
      <c r="AC56" s="3073"/>
      <c r="AD56" s="3074"/>
      <c r="AE56" s="3074"/>
      <c r="AF56" s="3075"/>
      <c r="AG56" s="3074">
        <v>12.66</v>
      </c>
      <c r="AH56" s="4535">
        <v>1</v>
      </c>
      <c r="AI56" s="1897"/>
    </row>
    <row r="57" spans="1:37" ht="24" customHeight="1">
      <c r="B57" s="1898"/>
      <c r="C57" s="1880"/>
      <c r="D57" s="1880"/>
      <c r="E57" s="1880"/>
      <c r="F57" s="1880"/>
      <c r="G57" s="1880"/>
      <c r="H57" s="1880"/>
      <c r="I57" s="1880"/>
      <c r="J57" s="1880"/>
      <c r="K57" s="1880"/>
      <c r="L57" s="1882"/>
      <c r="M57" s="1882"/>
      <c r="N57" s="1931"/>
      <c r="O57" s="1931"/>
      <c r="P57" s="1906"/>
      <c r="Q57" s="1901"/>
      <c r="R57" s="1901"/>
      <c r="S57" s="1901"/>
      <c r="T57" s="1901"/>
      <c r="U57" s="1901"/>
      <c r="V57" s="1901"/>
      <c r="W57" s="1902"/>
      <c r="X57" s="1902"/>
      <c r="Y57" s="1902"/>
      <c r="Z57" s="1902"/>
      <c r="AA57" s="1902"/>
      <c r="AB57" s="1902"/>
      <c r="AC57" s="1903"/>
      <c r="AD57" s="1907"/>
      <c r="AE57" s="1940"/>
      <c r="AF57" s="3062"/>
      <c r="AG57" s="3075"/>
      <c r="AH57" s="1894"/>
      <c r="AI57" s="1897"/>
    </row>
    <row r="58" spans="1:37" ht="41" customHeight="1">
      <c r="B58" s="1889" t="s">
        <v>216</v>
      </c>
      <c r="C58" s="1904">
        <v>5.2960000000000003</v>
      </c>
      <c r="D58" s="1904">
        <v>6.2160000000000002</v>
      </c>
      <c r="E58" s="1904">
        <v>4.4509999999999996</v>
      </c>
      <c r="F58" s="1904">
        <v>4.2629999999999999</v>
      </c>
      <c r="G58" s="1904">
        <v>3.9</v>
      </c>
      <c r="H58" s="1904">
        <v>1.899</v>
      </c>
      <c r="I58" s="1904">
        <v>6.1319999999999997</v>
      </c>
      <c r="J58" s="1904">
        <v>8.9369999999999994</v>
      </c>
      <c r="K58" s="1904">
        <v>7.0870000000000015</v>
      </c>
      <c r="L58" s="1905">
        <v>3.6</v>
      </c>
      <c r="M58" s="1882">
        <f t="shared" ref="M58:Y58" si="15">SUM(M59:M63)</f>
        <v>44.81</v>
      </c>
      <c r="N58" s="1882">
        <f t="shared" si="15"/>
        <v>47.151673000000002</v>
      </c>
      <c r="O58" s="1882">
        <f t="shared" si="15"/>
        <v>42.162624300000004</v>
      </c>
      <c r="P58" s="1909">
        <f t="shared" si="15"/>
        <v>35.663987999999996</v>
      </c>
      <c r="Q58" s="1910">
        <f t="shared" si="15"/>
        <v>53.484048000000001</v>
      </c>
      <c r="R58" s="1910">
        <f t="shared" si="15"/>
        <v>67.129054999999994</v>
      </c>
      <c r="S58" s="1910">
        <f t="shared" si="15"/>
        <v>58.861802999999995</v>
      </c>
      <c r="T58" s="1910">
        <f t="shared" si="15"/>
        <v>51.073397</v>
      </c>
      <c r="U58" s="1910">
        <f t="shared" si="15"/>
        <v>71.373074610000003</v>
      </c>
      <c r="V58" s="1910">
        <f t="shared" si="15"/>
        <v>52.535895119999999</v>
      </c>
      <c r="W58" s="1910">
        <f t="shared" si="15"/>
        <v>46.855243829999999</v>
      </c>
      <c r="X58" s="1910">
        <f t="shared" si="15"/>
        <v>42.653364206666666</v>
      </c>
      <c r="Y58" s="1910">
        <f t="shared" si="15"/>
        <v>48.79</v>
      </c>
      <c r="Z58" s="1910">
        <f>SUM(Z59:Z63)</f>
        <v>55.629999999999995</v>
      </c>
      <c r="AA58" s="1910">
        <f>SUM(AA59:AA63)</f>
        <v>74.95</v>
      </c>
      <c r="AB58" s="1910">
        <f>SUM(AB59:AB63)</f>
        <v>118.71</v>
      </c>
      <c r="AC58" s="1913">
        <f>SUM(AC65:AC70)</f>
        <v>84.050000000000011</v>
      </c>
      <c r="AD58" s="1913">
        <f>SUM(AD65:AD70)</f>
        <v>67.95</v>
      </c>
      <c r="AE58" s="1913">
        <f>SUM(AE65:AE70)</f>
        <v>98.499999999999986</v>
      </c>
      <c r="AF58" s="1913">
        <f>SUM(AF65:AF70)</f>
        <v>123.70124899999999</v>
      </c>
      <c r="AG58" s="4041">
        <f>SUM(AG65:AG70)</f>
        <v>122.06899999999999</v>
      </c>
      <c r="AH58" s="1894">
        <f t="shared" si="3"/>
        <v>-1.3195089081113442E-2</v>
      </c>
      <c r="AI58" s="1897"/>
    </row>
    <row r="59" spans="1:37" s="1935" customFormat="1" ht="35" hidden="1" customHeight="1">
      <c r="B59" s="1898" t="s">
        <v>217</v>
      </c>
      <c r="C59" s="1936">
        <v>4.9589999999999996</v>
      </c>
      <c r="D59" s="1936">
        <v>4.95</v>
      </c>
      <c r="E59" s="1936">
        <v>4.7510000000000003</v>
      </c>
      <c r="F59" s="1936">
        <v>4.8769999999999998</v>
      </c>
      <c r="G59" s="1936">
        <v>4.53</v>
      </c>
      <c r="H59" s="1936">
        <v>4.3579999999999997</v>
      </c>
      <c r="I59" s="1936">
        <v>4.4820000000000002</v>
      </c>
      <c r="J59" s="1936">
        <v>2.35</v>
      </c>
      <c r="K59" s="1936">
        <v>3.2629999999999999</v>
      </c>
      <c r="L59" s="1937">
        <v>2.2799999999999998</v>
      </c>
      <c r="M59" s="1937">
        <v>5.43</v>
      </c>
      <c r="N59" s="1937">
        <v>3.76</v>
      </c>
      <c r="O59" s="1937">
        <v>3.02</v>
      </c>
      <c r="P59" s="1938">
        <v>0</v>
      </c>
      <c r="Q59" s="1901">
        <v>0</v>
      </c>
      <c r="R59" s="1901">
        <v>0</v>
      </c>
      <c r="S59" s="1901">
        <v>0</v>
      </c>
      <c r="T59" s="1901">
        <v>0</v>
      </c>
      <c r="U59" s="1901">
        <v>0</v>
      </c>
      <c r="V59" s="1901">
        <f>'[181]Central Gov''t Revenue'!$U50</f>
        <v>0</v>
      </c>
      <c r="W59" s="1902"/>
      <c r="X59" s="1902"/>
      <c r="Y59" s="1902"/>
      <c r="Z59" s="1902"/>
      <c r="AA59" s="1902"/>
      <c r="AB59" s="1902"/>
      <c r="AC59" s="1903"/>
      <c r="AD59" s="1907"/>
      <c r="AE59" s="1940"/>
      <c r="AF59" s="3062"/>
      <c r="AG59" s="3075"/>
      <c r="AH59" s="1894" t="e">
        <f t="shared" si="3"/>
        <v>#DIV/0!</v>
      </c>
      <c r="AI59" s="1939"/>
    </row>
    <row r="60" spans="1:37" ht="35" customHeight="1">
      <c r="B60" s="1898" t="s">
        <v>218</v>
      </c>
      <c r="C60" s="1904">
        <v>4.0380000000000003</v>
      </c>
      <c r="D60" s="1904">
        <v>6.9720000000000004</v>
      </c>
      <c r="E60" s="1904">
        <v>5.5979999999999999</v>
      </c>
      <c r="F60" s="1904">
        <v>9.4049999999999994</v>
      </c>
      <c r="G60" s="1904">
        <v>7.3209999999999997</v>
      </c>
      <c r="H60" s="1904">
        <v>5.9180000000000001</v>
      </c>
      <c r="I60" s="1904">
        <v>11.157999999999999</v>
      </c>
      <c r="J60" s="1904">
        <v>12.553000000000001</v>
      </c>
      <c r="K60" s="1904">
        <v>14.06</v>
      </c>
      <c r="L60" s="1905">
        <v>10.66</v>
      </c>
      <c r="M60" s="1905">
        <v>1.79</v>
      </c>
      <c r="N60" s="1905">
        <v>0</v>
      </c>
      <c r="O60" s="1905">
        <v>0</v>
      </c>
      <c r="P60" s="1906">
        <v>0</v>
      </c>
      <c r="Q60" s="1901">
        <v>3.3152699999999999</v>
      </c>
      <c r="R60" s="1901">
        <v>6.9641909999999996</v>
      </c>
      <c r="S60" s="1901">
        <v>4.5259999999999998</v>
      </c>
      <c r="T60" s="1901">
        <v>5.2935379999999999</v>
      </c>
      <c r="U60" s="1901">
        <v>1.9490000000000001</v>
      </c>
      <c r="V60" s="1901">
        <v>1.365402</v>
      </c>
      <c r="W60" s="1902">
        <v>0.323799</v>
      </c>
      <c r="X60" s="1902">
        <v>0</v>
      </c>
      <c r="Y60" s="1902">
        <v>0</v>
      </c>
      <c r="Z60" s="1902">
        <v>0</v>
      </c>
      <c r="AA60" s="1902">
        <v>0</v>
      </c>
      <c r="AB60" s="1902">
        <v>0</v>
      </c>
      <c r="AC60" s="1940" t="s">
        <v>54</v>
      </c>
      <c r="AD60" s="1940" t="s">
        <v>54</v>
      </c>
      <c r="AE60" s="1940" t="s">
        <v>54</v>
      </c>
      <c r="AF60" s="3061" t="s">
        <v>54</v>
      </c>
      <c r="AG60" s="3075" t="s">
        <v>54</v>
      </c>
      <c r="AH60" s="1894"/>
      <c r="AI60" s="1897"/>
    </row>
    <row r="61" spans="1:37" ht="35" customHeight="1">
      <c r="B61" s="1898" t="s">
        <v>219</v>
      </c>
      <c r="C61" s="1904">
        <v>11.763999999999999</v>
      </c>
      <c r="D61" s="1904">
        <v>20.823</v>
      </c>
      <c r="E61" s="1904">
        <v>19.097000000000001</v>
      </c>
      <c r="F61" s="1904">
        <v>24.126999999999999</v>
      </c>
      <c r="G61" s="1904">
        <v>12.061000000000002</v>
      </c>
      <c r="H61" s="1904">
        <v>17.736999999999998</v>
      </c>
      <c r="I61" s="1904">
        <v>13.553000000000001</v>
      </c>
      <c r="J61" s="1904">
        <v>14.295999999999999</v>
      </c>
      <c r="K61" s="1904">
        <v>13.358000000000001</v>
      </c>
      <c r="L61" s="1905">
        <v>15.47</v>
      </c>
      <c r="M61" s="1905">
        <v>10.37</v>
      </c>
      <c r="N61" s="1905">
        <v>14.954573</v>
      </c>
      <c r="O61" s="1905">
        <v>12.146763</v>
      </c>
      <c r="P61" s="1906">
        <v>8.9476600000000008</v>
      </c>
      <c r="Q61" s="1901">
        <v>13.634786</v>
      </c>
      <c r="R61" s="1901">
        <v>16.145</v>
      </c>
      <c r="S61" s="1901">
        <v>13.853</v>
      </c>
      <c r="T61" s="1901">
        <v>10.610859</v>
      </c>
      <c r="U61" s="1901">
        <v>31.472515839999996</v>
      </c>
      <c r="V61" s="1901">
        <v>8.6917911700000001</v>
      </c>
      <c r="W61" s="1902">
        <v>5.49905943</v>
      </c>
      <c r="X61" s="1902">
        <v>3.9960482666666666</v>
      </c>
      <c r="Y61" s="1902">
        <v>6.96</v>
      </c>
      <c r="Z61" s="1902">
        <v>4.5999999999999996</v>
      </c>
      <c r="AA61" s="1902">
        <v>5.17</v>
      </c>
      <c r="AB61" s="1902">
        <v>4.5</v>
      </c>
      <c r="AC61" s="1940" t="s">
        <v>54</v>
      </c>
      <c r="AD61" s="1940" t="s">
        <v>54</v>
      </c>
      <c r="AE61" s="1940" t="s">
        <v>54</v>
      </c>
      <c r="AF61" s="3061" t="s">
        <v>54</v>
      </c>
      <c r="AG61" s="3075" t="s">
        <v>54</v>
      </c>
      <c r="AH61" s="1894"/>
      <c r="AI61" s="1897"/>
    </row>
    <row r="62" spans="1:37" ht="36.5" customHeight="1" thickBot="1">
      <c r="B62" s="1898" t="s">
        <v>220</v>
      </c>
      <c r="C62" s="1942"/>
      <c r="D62" s="1942"/>
      <c r="E62" s="1942"/>
      <c r="F62" s="1942"/>
      <c r="G62" s="1942"/>
      <c r="H62" s="1942">
        <v>4.4109999999999996</v>
      </c>
      <c r="I62" s="1942">
        <v>42.606000000000002</v>
      </c>
      <c r="J62" s="1904">
        <v>10.945</v>
      </c>
      <c r="K62" s="1904">
        <v>6.1719999999999997</v>
      </c>
      <c r="L62" s="1905">
        <v>4.1500000000000004</v>
      </c>
      <c r="M62" s="1905">
        <v>20.22</v>
      </c>
      <c r="N62" s="1905">
        <v>20.524000000000001</v>
      </c>
      <c r="O62" s="1905">
        <v>20.071912000000001</v>
      </c>
      <c r="P62" s="1906">
        <v>19.285879999999999</v>
      </c>
      <c r="Q62" s="1901">
        <v>27.706641999999999</v>
      </c>
      <c r="R62" s="1901">
        <v>33.564999999999998</v>
      </c>
      <c r="S62" s="1901">
        <v>30.489000000000001</v>
      </c>
      <c r="T62" s="1901">
        <v>21.123999999999999</v>
      </c>
      <c r="U62" s="1901">
        <v>24.697991999999999</v>
      </c>
      <c r="V62" s="1901">
        <v>28.808953859999999</v>
      </c>
      <c r="W62" s="1902">
        <v>27.728960090000001</v>
      </c>
      <c r="X62" s="1902">
        <v>23.464673466666667</v>
      </c>
      <c r="Y62" s="1902">
        <v>27.34</v>
      </c>
      <c r="Z62" s="1902">
        <v>29.52</v>
      </c>
      <c r="AA62" s="1902">
        <v>58.73</v>
      </c>
      <c r="AB62" s="1902">
        <v>99.6</v>
      </c>
      <c r="AC62" s="1940" t="s">
        <v>54</v>
      </c>
      <c r="AD62" s="1940" t="s">
        <v>54</v>
      </c>
      <c r="AE62" s="1940" t="s">
        <v>54</v>
      </c>
      <c r="AF62" s="3061" t="s">
        <v>54</v>
      </c>
      <c r="AG62" s="3075" t="s">
        <v>54</v>
      </c>
      <c r="AH62" s="1894"/>
      <c r="AI62" s="1897"/>
    </row>
    <row r="63" spans="1:37" ht="35" customHeight="1">
      <c r="A63" s="1943"/>
      <c r="B63" s="1898" t="s">
        <v>221</v>
      </c>
      <c r="C63" s="1944"/>
      <c r="D63" s="1944"/>
      <c r="E63" s="1944"/>
      <c r="F63" s="1944"/>
      <c r="G63" s="1944"/>
      <c r="H63" s="1944"/>
      <c r="I63" s="1944"/>
      <c r="J63" s="1944"/>
      <c r="K63" s="1944"/>
      <c r="L63" s="1945"/>
      <c r="M63" s="1945">
        <v>7</v>
      </c>
      <c r="N63" s="1945">
        <v>7.9131</v>
      </c>
      <c r="O63" s="1945">
        <v>6.9239493000000012</v>
      </c>
      <c r="P63" s="1946">
        <v>7.4304480000000002</v>
      </c>
      <c r="Q63" s="1947">
        <v>8.8273499999999991</v>
      </c>
      <c r="R63" s="1947">
        <v>10.454864000000001</v>
      </c>
      <c r="S63" s="1901">
        <v>9.9938030000000015</v>
      </c>
      <c r="T63" s="1948">
        <v>14.045</v>
      </c>
      <c r="U63" s="1901">
        <v>13.253566770000001</v>
      </c>
      <c r="V63" s="1901">
        <v>13.669748089999999</v>
      </c>
      <c r="W63" s="1948">
        <v>13.303425310000002</v>
      </c>
      <c r="X63" s="1901">
        <v>15.192642473333331</v>
      </c>
      <c r="Y63" s="1902">
        <v>14.49</v>
      </c>
      <c r="Z63" s="1901">
        <v>21.51</v>
      </c>
      <c r="AA63" s="1949">
        <v>11.05</v>
      </c>
      <c r="AB63" s="1902">
        <v>14.61</v>
      </c>
      <c r="AC63" s="1940" t="s">
        <v>54</v>
      </c>
      <c r="AD63" s="1940" t="s">
        <v>54</v>
      </c>
      <c r="AE63" s="1940" t="s">
        <v>54</v>
      </c>
      <c r="AF63" s="3061" t="s">
        <v>54</v>
      </c>
      <c r="AG63" s="3075" t="s">
        <v>54</v>
      </c>
      <c r="AH63" s="1894"/>
      <c r="AI63" s="1897"/>
    </row>
    <row r="64" spans="1:37" ht="19.5" customHeight="1">
      <c r="A64" s="1943"/>
      <c r="B64" s="1898"/>
      <c r="C64" s="1306"/>
      <c r="D64" s="1306"/>
      <c r="E64" s="1306"/>
      <c r="F64" s="1306"/>
      <c r="G64" s="1306"/>
      <c r="H64" s="1306"/>
      <c r="I64" s="1306"/>
      <c r="J64" s="1306"/>
      <c r="K64" s="1306"/>
      <c r="L64" s="1895"/>
      <c r="M64" s="1895"/>
      <c r="N64" s="1895"/>
      <c r="O64" s="1895"/>
      <c r="P64" s="1915"/>
      <c r="Q64" s="1949"/>
      <c r="R64" s="1949"/>
      <c r="S64" s="1948"/>
      <c r="T64" s="1948"/>
      <c r="U64" s="1901"/>
      <c r="V64" s="1901"/>
      <c r="W64" s="1948"/>
      <c r="X64" s="1901"/>
      <c r="Y64" s="1902"/>
      <c r="Z64" s="1901"/>
      <c r="AA64" s="1948"/>
      <c r="AB64" s="1949"/>
      <c r="AC64" s="1903"/>
      <c r="AD64" s="1907"/>
      <c r="AE64" s="1940"/>
      <c r="AF64" s="3063"/>
      <c r="AG64" s="4042"/>
      <c r="AH64" s="1894"/>
      <c r="AI64" s="1897"/>
    </row>
    <row r="65" spans="1:35" ht="35" customHeight="1">
      <c r="A65" s="1943"/>
      <c r="B65" s="1898" t="s">
        <v>1077</v>
      </c>
      <c r="C65" s="1306"/>
      <c r="D65" s="1306"/>
      <c r="E65" s="1306"/>
      <c r="F65" s="1306"/>
      <c r="G65" s="1306"/>
      <c r="H65" s="1306"/>
      <c r="I65" s="1306"/>
      <c r="J65" s="1306"/>
      <c r="K65" s="1306"/>
      <c r="L65" s="1895"/>
      <c r="M65" s="1895"/>
      <c r="N65" s="1895"/>
      <c r="O65" s="1895"/>
      <c r="P65" s="1915"/>
      <c r="Q65" s="1949"/>
      <c r="R65" s="1949"/>
      <c r="S65" s="1948"/>
      <c r="T65" s="1948"/>
      <c r="U65" s="1901"/>
      <c r="V65" s="1901"/>
      <c r="W65" s="1901"/>
      <c r="X65" s="1901"/>
      <c r="Y65" s="1901"/>
      <c r="Z65" s="1901"/>
      <c r="AA65" s="1948"/>
      <c r="AB65" s="1948"/>
      <c r="AC65" s="1941">
        <v>0.01</v>
      </c>
      <c r="AD65" s="1941">
        <v>0</v>
      </c>
      <c r="AE65" s="1941">
        <v>0</v>
      </c>
      <c r="AF65" s="1941">
        <f>1249/1000000</f>
        <v>1.2489999999999999E-3</v>
      </c>
      <c r="AG65" s="1941">
        <v>4.0000000000000001E-3</v>
      </c>
      <c r="AH65" s="1894">
        <f>+AG65/AF65-1</f>
        <v>2.2025620496397122</v>
      </c>
      <c r="AI65" s="1897"/>
    </row>
    <row r="66" spans="1:35" ht="35" customHeight="1">
      <c r="A66" s="1943"/>
      <c r="B66" s="1898" t="s">
        <v>1078</v>
      </c>
      <c r="C66" s="1306"/>
      <c r="D66" s="1306"/>
      <c r="E66" s="1306"/>
      <c r="F66" s="1306"/>
      <c r="G66" s="1306"/>
      <c r="H66" s="1306"/>
      <c r="I66" s="1306"/>
      <c r="J66" s="1306"/>
      <c r="K66" s="1306"/>
      <c r="L66" s="1895"/>
      <c r="M66" s="1895"/>
      <c r="N66" s="1895"/>
      <c r="O66" s="1895"/>
      <c r="P66" s="1915"/>
      <c r="Q66" s="1949"/>
      <c r="R66" s="1949"/>
      <c r="S66" s="1948"/>
      <c r="T66" s="1901"/>
      <c r="U66" s="1901"/>
      <c r="V66" s="1901"/>
      <c r="W66" s="1901"/>
      <c r="X66" s="1901"/>
      <c r="Y66" s="1901"/>
      <c r="Z66" s="1901"/>
      <c r="AA66" s="1948"/>
      <c r="AB66" s="1950"/>
      <c r="AC66" s="1941">
        <v>4.8899999999999997</v>
      </c>
      <c r="AD66" s="1941">
        <v>3.1</v>
      </c>
      <c r="AE66" s="1941">
        <f>3.19047881*0+2.5</f>
        <v>2.5</v>
      </c>
      <c r="AF66" s="1941">
        <f>3.5*0+5.214756*0+3.73</f>
        <v>3.73</v>
      </c>
      <c r="AG66" s="1941">
        <f>7.042*0+(5.578+0.486)</f>
        <v>6.0640000000000001</v>
      </c>
      <c r="AH66" s="1894">
        <f t="shared" si="3"/>
        <v>0.62573726541554953</v>
      </c>
      <c r="AI66" s="1897"/>
    </row>
    <row r="67" spans="1:35" ht="35" customHeight="1">
      <c r="A67" s="1943"/>
      <c r="B67" s="1898" t="s">
        <v>1079</v>
      </c>
      <c r="C67" s="1306"/>
      <c r="D67" s="1306"/>
      <c r="E67" s="1306"/>
      <c r="F67" s="1306"/>
      <c r="G67" s="1306"/>
      <c r="H67" s="1306"/>
      <c r="I67" s="1306"/>
      <c r="J67" s="1306"/>
      <c r="K67" s="1306"/>
      <c r="L67" s="1895"/>
      <c r="M67" s="1895"/>
      <c r="N67" s="1895"/>
      <c r="O67" s="1895"/>
      <c r="P67" s="1915"/>
      <c r="Q67" s="1949"/>
      <c r="R67" s="1949"/>
      <c r="S67" s="1948"/>
      <c r="T67" s="1901"/>
      <c r="U67" s="1901"/>
      <c r="V67" s="1901"/>
      <c r="W67" s="1901"/>
      <c r="X67" s="1901"/>
      <c r="Y67" s="1901"/>
      <c r="Z67" s="1901"/>
      <c r="AA67" s="1948"/>
      <c r="AB67" s="1950"/>
      <c r="AC67" s="1941">
        <v>69.66</v>
      </c>
      <c r="AD67" s="1941">
        <v>38.04</v>
      </c>
      <c r="AE67" s="1941">
        <f>47.752249*0+49.5</f>
        <v>49.5</v>
      </c>
      <c r="AF67" s="1941">
        <f>65*0+60.6*0+59.038*0+53.95</f>
        <v>53.95</v>
      </c>
      <c r="AG67" s="1941">
        <v>63.8</v>
      </c>
      <c r="AH67" s="1894">
        <f t="shared" si="3"/>
        <v>0.18257645968489333</v>
      </c>
      <c r="AI67" s="1897"/>
    </row>
    <row r="68" spans="1:35" ht="35" customHeight="1">
      <c r="A68" s="1943"/>
      <c r="B68" s="1898" t="s">
        <v>1080</v>
      </c>
      <c r="C68" s="1306"/>
      <c r="D68" s="1306"/>
      <c r="E68" s="1306"/>
      <c r="F68" s="1306"/>
      <c r="G68" s="1306"/>
      <c r="H68" s="1306"/>
      <c r="I68" s="1306"/>
      <c r="J68" s="1306"/>
      <c r="K68" s="1306"/>
      <c r="L68" s="1895"/>
      <c r="M68" s="1895"/>
      <c r="N68" s="1895"/>
      <c r="O68" s="1895"/>
      <c r="P68" s="1915"/>
      <c r="Q68" s="1949"/>
      <c r="R68" s="1949"/>
      <c r="S68" s="1948"/>
      <c r="T68" s="1901"/>
      <c r="U68" s="1901"/>
      <c r="V68" s="1901"/>
      <c r="W68" s="1901"/>
      <c r="X68" s="1901"/>
      <c r="Y68" s="1901"/>
      <c r="Z68" s="1901"/>
      <c r="AA68" s="1948"/>
      <c r="AB68" s="1950"/>
      <c r="AC68" s="1941">
        <v>1.34</v>
      </c>
      <c r="AD68" s="1941">
        <v>0.57999999999999996</v>
      </c>
      <c r="AE68" s="1941">
        <f>0.950118*0+1.3</f>
        <v>1.3</v>
      </c>
      <c r="AF68" s="1941">
        <f>1.2*0+1.177175*0+1.06</f>
        <v>1.06</v>
      </c>
      <c r="AG68" s="1941">
        <v>3.0409999999999999</v>
      </c>
      <c r="AH68" s="1894">
        <f t="shared" si="3"/>
        <v>1.8688679245283017</v>
      </c>
      <c r="AI68" s="1897"/>
    </row>
    <row r="69" spans="1:35">
      <c r="A69" s="1943"/>
      <c r="B69" s="1898" t="s">
        <v>1081</v>
      </c>
      <c r="S69" s="1951"/>
      <c r="T69" s="1931"/>
      <c r="U69" s="1931"/>
      <c r="V69" s="1931"/>
      <c r="W69" s="1931"/>
      <c r="X69" s="1931"/>
      <c r="Y69" s="1931"/>
      <c r="Z69" s="1931"/>
      <c r="AA69" s="1951"/>
      <c r="AB69" s="1950"/>
      <c r="AC69" s="1941">
        <v>4.4000000000000004</v>
      </c>
      <c r="AD69" s="1941">
        <v>22.68</v>
      </c>
      <c r="AE69" s="1941">
        <f>42.6839035*0+41.9</f>
        <v>41.9</v>
      </c>
      <c r="AF69" s="1941">
        <f>(65.8*0+66.889*0+60)*0+65*0+61.64</f>
        <v>61.64</v>
      </c>
      <c r="AG69" s="1941">
        <v>46.6</v>
      </c>
      <c r="AH69" s="1894">
        <f t="shared" si="3"/>
        <v>-0.24399740428293315</v>
      </c>
      <c r="AI69" s="1897"/>
    </row>
    <row r="70" spans="1:35">
      <c r="A70" s="1943"/>
      <c r="B70" s="1898" t="s">
        <v>1082</v>
      </c>
      <c r="S70" s="1951"/>
      <c r="T70" s="1931"/>
      <c r="U70" s="1931"/>
      <c r="V70" s="1931"/>
      <c r="W70" s="1931"/>
      <c r="X70" s="1931"/>
      <c r="Y70" s="1931"/>
      <c r="Z70" s="1931"/>
      <c r="AA70" s="1951"/>
      <c r="AB70" s="1950"/>
      <c r="AC70" s="1941">
        <v>3.75</v>
      </c>
      <c r="AD70" s="1941">
        <v>3.55</v>
      </c>
      <c r="AE70" s="1941">
        <f>3.24626729*0+3.3</f>
        <v>3.3</v>
      </c>
      <c r="AF70" s="1941">
        <f>2.934824*0+3.32</f>
        <v>3.32</v>
      </c>
      <c r="AG70" s="1941">
        <v>2.56</v>
      </c>
      <c r="AH70" s="1894">
        <f t="shared" si="3"/>
        <v>-0.22891566265060237</v>
      </c>
      <c r="AI70" s="1897"/>
    </row>
    <row r="71" spans="1:35" ht="35" customHeight="1">
      <c r="A71" s="1943"/>
      <c r="B71" s="1952"/>
      <c r="C71" s="1953"/>
      <c r="D71" s="1953"/>
      <c r="E71" s="1953"/>
      <c r="F71" s="1953"/>
      <c r="G71" s="1953"/>
      <c r="H71" s="1953"/>
      <c r="I71" s="1953"/>
      <c r="J71" s="1953"/>
      <c r="K71" s="1953"/>
      <c r="L71" s="1954"/>
      <c r="M71" s="1954"/>
      <c r="N71" s="1954"/>
      <c r="O71" s="1954"/>
      <c r="P71" s="1955"/>
      <c r="Q71" s="1956"/>
      <c r="R71" s="1956"/>
      <c r="S71" s="1956"/>
      <c r="T71" s="1956"/>
      <c r="U71" s="1956"/>
      <c r="V71" s="1956"/>
      <c r="W71" s="1956"/>
      <c r="X71" s="1957"/>
      <c r="Y71" s="1956"/>
      <c r="Z71" s="1956"/>
      <c r="AA71" s="1958"/>
      <c r="AB71" s="1956"/>
      <c r="AC71" s="1959"/>
      <c r="AD71" s="1959"/>
      <c r="AE71" s="2325"/>
      <c r="AF71" s="3064"/>
      <c r="AG71" s="4043"/>
      <c r="AH71" s="2980"/>
      <c r="AI71" s="1897"/>
    </row>
    <row r="72" spans="1:35" s="1316" customFormat="1" ht="45" customHeight="1" thickBot="1">
      <c r="B72" s="1960" t="s">
        <v>657</v>
      </c>
      <c r="C72" s="1961"/>
      <c r="D72" s="1961"/>
      <c r="E72" s="1961"/>
      <c r="F72" s="1961"/>
      <c r="G72" s="1961"/>
      <c r="H72" s="1961"/>
      <c r="I72" s="1961"/>
      <c r="J72" s="1961"/>
      <c r="K72" s="1961"/>
      <c r="L72" s="1962"/>
      <c r="M72" s="1962"/>
      <c r="N72" s="1962"/>
      <c r="O72" s="1962">
        <v>1.61640096</v>
      </c>
      <c r="P72" s="1963">
        <v>1.19776006</v>
      </c>
      <c r="Q72" s="1964" t="s">
        <v>54</v>
      </c>
      <c r="R72" s="1964">
        <v>1.9963082200000002</v>
      </c>
      <c r="S72" s="1964">
        <v>2.4772897399999998</v>
      </c>
      <c r="T72" s="1964">
        <v>2.0443184599999999</v>
      </c>
      <c r="U72" s="1964">
        <v>2.54</v>
      </c>
      <c r="V72" s="1964">
        <f>'[181]Central Gov''t Revenue'!$U$56</f>
        <v>2.1</v>
      </c>
      <c r="W72" s="1964">
        <v>2.0289999999999999</v>
      </c>
      <c r="X72" s="1964">
        <v>2.88</v>
      </c>
      <c r="Y72" s="1965">
        <v>3.1496687900000002</v>
      </c>
      <c r="Z72" s="1965">
        <v>2.91</v>
      </c>
      <c r="AA72" s="1965">
        <v>2.6269999999999998</v>
      </c>
      <c r="AB72" s="1965">
        <v>2.2570000000000001</v>
      </c>
      <c r="AC72" s="2738">
        <v>3</v>
      </c>
      <c r="AD72" s="1966">
        <v>0.5</v>
      </c>
      <c r="AE72" s="2326">
        <v>0</v>
      </c>
      <c r="AF72" s="1966">
        <v>0.55979043999999989</v>
      </c>
      <c r="AG72" s="4054">
        <v>3.61524519</v>
      </c>
      <c r="AH72" s="2981"/>
      <c r="AI72" s="1923"/>
    </row>
    <row r="73" spans="1:35" s="388" customFormat="1" ht="41" customHeight="1">
      <c r="B73" s="2056" t="s">
        <v>660</v>
      </c>
      <c r="C73" s="2057"/>
      <c r="D73" s="2057"/>
      <c r="E73" s="2057"/>
      <c r="F73" s="2057"/>
      <c r="G73" s="2057"/>
      <c r="H73" s="2057"/>
      <c r="I73" s="2057"/>
      <c r="J73" s="2057"/>
      <c r="K73" s="2057"/>
      <c r="L73" s="2057"/>
      <c r="M73" s="2057"/>
      <c r="N73" s="2057"/>
      <c r="O73" s="2057"/>
      <c r="P73" s="2057"/>
      <c r="Q73" s="2057"/>
      <c r="R73" s="2057"/>
      <c r="S73" s="2057"/>
      <c r="T73" s="2057"/>
      <c r="U73" s="2057"/>
      <c r="V73" s="2057"/>
      <c r="W73" s="2057"/>
      <c r="X73" s="2057"/>
      <c r="Y73" s="2057"/>
      <c r="Z73" s="2057"/>
      <c r="AA73" s="2057"/>
      <c r="AB73" s="2057"/>
      <c r="AC73" s="2057"/>
      <c r="AD73" s="413"/>
      <c r="AE73" s="413"/>
      <c r="AF73" s="4028"/>
      <c r="AG73" s="4032"/>
      <c r="AH73" s="2057"/>
    </row>
    <row r="74" spans="1:35" s="366" customFormat="1" ht="41" customHeight="1">
      <c r="B74" s="2058" t="s">
        <v>916</v>
      </c>
      <c r="C74" s="2059"/>
      <c r="D74" s="2059"/>
      <c r="E74" s="2059"/>
      <c r="F74" s="2059"/>
      <c r="G74" s="2059"/>
      <c r="H74" s="2059"/>
      <c r="I74" s="2059"/>
      <c r="J74" s="2059"/>
      <c r="K74" s="2059"/>
      <c r="L74" s="2059"/>
      <c r="M74" s="2059"/>
      <c r="N74" s="2059"/>
      <c r="O74" s="2059"/>
      <c r="P74" s="2060"/>
      <c r="Q74" s="2060"/>
      <c r="R74" s="2060"/>
      <c r="S74" s="2060"/>
      <c r="T74" s="2060"/>
      <c r="U74" s="2060"/>
      <c r="V74" s="2060"/>
      <c r="W74" s="2060"/>
      <c r="X74" s="2060"/>
      <c r="Y74" s="2060"/>
      <c r="Z74" s="2060"/>
      <c r="AA74" s="2060"/>
      <c r="AB74" s="2060"/>
      <c r="AC74" s="2060"/>
      <c r="AD74" s="4036"/>
      <c r="AE74" s="4036"/>
      <c r="AF74" s="4029"/>
      <c r="AG74" s="4033"/>
      <c r="AH74" s="2060"/>
    </row>
    <row r="75" spans="1:35" s="366" customFormat="1" ht="41" customHeight="1">
      <c r="B75" s="2058" t="s">
        <v>318</v>
      </c>
      <c r="C75" s="2060"/>
      <c r="D75" s="2060"/>
      <c r="E75" s="2060"/>
      <c r="F75" s="2060"/>
      <c r="G75" s="2060"/>
      <c r="H75" s="2060"/>
      <c r="I75" s="2060"/>
      <c r="J75" s="2060"/>
      <c r="K75" s="2060"/>
      <c r="L75" s="2060"/>
      <c r="M75" s="2060"/>
      <c r="N75" s="2060"/>
      <c r="O75" s="2060"/>
      <c r="P75" s="2060"/>
      <c r="Q75" s="2061"/>
      <c r="R75" s="2061"/>
      <c r="S75" s="2061"/>
      <c r="T75" s="2061"/>
      <c r="U75" s="2061"/>
      <c r="V75" s="2061"/>
      <c r="W75" s="2061"/>
      <c r="X75" s="2061"/>
      <c r="Y75" s="2061"/>
      <c r="Z75" s="2062"/>
      <c r="AA75" s="2062"/>
      <c r="AB75" s="2062"/>
      <c r="AC75" s="2062"/>
      <c r="AD75" s="4037"/>
      <c r="AE75" s="4037"/>
      <c r="AF75" s="4029"/>
      <c r="AG75" s="4033"/>
      <c r="AH75" s="2062"/>
    </row>
    <row r="76" spans="1:35" s="366" customFormat="1" ht="41" customHeight="1">
      <c r="B76" s="2058" t="s">
        <v>2314</v>
      </c>
      <c r="C76" s="2064"/>
      <c r="D76" s="2064"/>
      <c r="E76" s="2064"/>
      <c r="F76" s="2064"/>
      <c r="G76" s="2064"/>
      <c r="H76" s="2064"/>
      <c r="I76" s="2064"/>
      <c r="J76" s="2064"/>
      <c r="K76" s="2064"/>
      <c r="L76" s="2064"/>
      <c r="M76" s="2064"/>
      <c r="N76" s="2065"/>
      <c r="O76" s="2065"/>
      <c r="P76" s="2065"/>
      <c r="Q76" s="2065"/>
      <c r="R76" s="2065"/>
      <c r="S76" s="2065"/>
      <c r="T76" s="2065"/>
      <c r="U76" s="2065"/>
      <c r="V76" s="2065"/>
      <c r="W76" s="2065"/>
      <c r="X76" s="2065"/>
      <c r="Y76" s="2065"/>
      <c r="Z76" s="2065"/>
      <c r="AA76" s="2065"/>
      <c r="AB76" s="2066"/>
      <c r="AC76" s="2066"/>
      <c r="AD76" s="2063"/>
      <c r="AE76" s="2063"/>
      <c r="AF76" s="4030"/>
      <c r="AG76" s="4034"/>
      <c r="AH76" s="2066"/>
    </row>
    <row r="77" spans="1:35" s="366" customFormat="1" ht="35" customHeight="1">
      <c r="B77" s="5862" t="s">
        <v>1495</v>
      </c>
      <c r="C77" s="5862"/>
      <c r="D77" s="5862"/>
      <c r="E77" s="5862"/>
      <c r="F77" s="5862"/>
      <c r="G77" s="5862"/>
      <c r="H77" s="5862"/>
      <c r="I77" s="5862"/>
      <c r="J77" s="5862"/>
      <c r="K77" s="5862"/>
      <c r="L77" s="5862"/>
      <c r="M77" s="5862"/>
      <c r="N77" s="5862"/>
      <c r="O77" s="5862"/>
      <c r="P77" s="5862"/>
      <c r="Q77" s="5862"/>
      <c r="R77" s="5862"/>
      <c r="S77" s="5862"/>
      <c r="T77" s="5862"/>
      <c r="U77" s="5862"/>
      <c r="V77" s="5862"/>
      <c r="W77" s="5862"/>
      <c r="X77" s="5862"/>
      <c r="Y77" s="5862"/>
      <c r="Z77" s="5862"/>
      <c r="AA77" s="5862"/>
      <c r="AB77" s="5862"/>
      <c r="AC77" s="5862"/>
      <c r="AD77" s="5862"/>
      <c r="AE77" s="5862"/>
      <c r="AF77" s="5862"/>
      <c r="AG77" s="5862"/>
      <c r="AH77" s="5862"/>
    </row>
    <row r="78" spans="1:35" s="366" customFormat="1" ht="144" customHeight="1">
      <c r="B78" s="5862"/>
      <c r="C78" s="5862"/>
      <c r="D78" s="5862"/>
      <c r="E78" s="5862"/>
      <c r="F78" s="5862"/>
      <c r="G78" s="5862"/>
      <c r="H78" s="5862"/>
      <c r="I78" s="5862"/>
      <c r="J78" s="5862"/>
      <c r="K78" s="5862"/>
      <c r="L78" s="5862"/>
      <c r="M78" s="5862"/>
      <c r="N78" s="5862"/>
      <c r="O78" s="5862"/>
      <c r="P78" s="5862"/>
      <c r="Q78" s="5862"/>
      <c r="R78" s="5862"/>
      <c r="S78" s="5862"/>
      <c r="T78" s="5862"/>
      <c r="U78" s="5862"/>
      <c r="V78" s="5862"/>
      <c r="W78" s="5862"/>
      <c r="X78" s="5862"/>
      <c r="Y78" s="5862"/>
      <c r="Z78" s="5862"/>
      <c r="AA78" s="5862"/>
      <c r="AB78" s="5862"/>
      <c r="AC78" s="5862"/>
      <c r="AD78" s="5862"/>
      <c r="AE78" s="5862"/>
      <c r="AF78" s="5862"/>
      <c r="AG78" s="5862"/>
      <c r="AH78" s="5862"/>
    </row>
    <row r="82" spans="17:34">
      <c r="AC82" s="1915"/>
      <c r="AD82" s="1915"/>
      <c r="AE82" s="1915"/>
      <c r="AH82" s="2074"/>
    </row>
    <row r="83" spans="17:34">
      <c r="AF83" s="3066"/>
      <c r="AG83" s="3243"/>
      <c r="AH83" s="2074"/>
    </row>
    <row r="84" spans="17:34">
      <c r="AD84" s="4025"/>
      <c r="AE84" s="4025"/>
      <c r="AF84" s="3067"/>
      <c r="AG84" s="3244"/>
      <c r="AH84" s="2074"/>
    </row>
    <row r="85" spans="17:34">
      <c r="AD85" s="2075"/>
      <c r="AE85" s="2075"/>
      <c r="AH85" s="2074"/>
    </row>
    <row r="86" spans="17:34">
      <c r="Q86" s="2076"/>
      <c r="AD86" s="2075"/>
      <c r="AE86" s="2075"/>
      <c r="AH86" s="2074"/>
    </row>
    <row r="87" spans="17:34">
      <c r="Q87" s="2076"/>
      <c r="AD87" s="1896"/>
      <c r="AE87" s="1896"/>
      <c r="AF87" s="3066"/>
      <c r="AG87" s="3243"/>
    </row>
  </sheetData>
  <mergeCells count="5">
    <mergeCell ref="B77:AH78"/>
    <mergeCell ref="B1:AH1"/>
    <mergeCell ref="B2:AH2"/>
    <mergeCell ref="B3:AH3"/>
    <mergeCell ref="B4:AH4"/>
  </mergeCells>
  <printOptions horizontalCentered="1" verticalCentered="1"/>
  <pageMargins left="0.25" right="0.25" top="0.75" bottom="0.75" header="0.3" footer="0.3"/>
  <pageSetup scale="16" firstPageNumber="103" orientation="landscape" useFirstPageNumber="1" r:id="rId1"/>
  <headerFooter scaleWithDoc="0" alignWithMargins="0">
    <oddFooter xml:space="preserve">&amp;C127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7">
    <tabColor rgb="FF00B0F0"/>
    <pageSetUpPr fitToPage="1"/>
  </sheetPr>
  <dimension ref="A1:AR84"/>
  <sheetViews>
    <sheetView view="pageBreakPreview" topLeftCell="A14" zoomScale="30" zoomScaleNormal="100" zoomScaleSheetLayoutView="30" workbookViewId="0">
      <pane xSplit="21" topLeftCell="V1" activePane="topRight" state="frozen"/>
      <selection activeCell="B44" sqref="B44"/>
      <selection pane="topRight" activeCell="AB26" sqref="AB26"/>
    </sheetView>
  </sheetViews>
  <sheetFormatPr defaultColWidth="9.46484375" defaultRowHeight="12" customHeight="1"/>
  <cols>
    <col min="1" max="1" width="101.6640625" style="366" customWidth="1"/>
    <col min="2" max="12" width="9.46484375" style="366" hidden="1" customWidth="1"/>
    <col min="13" max="18" width="13.46484375" style="366" hidden="1" customWidth="1"/>
    <col min="19" max="19" width="3.6640625" style="366" hidden="1" customWidth="1"/>
    <col min="20" max="20" width="30.46484375" style="366" hidden="1" customWidth="1"/>
    <col min="21" max="21" width="2.33203125" style="366" hidden="1" customWidth="1"/>
    <col min="22" max="22" width="30.6640625" style="366" customWidth="1"/>
    <col min="23" max="29" width="31.46484375" style="366" customWidth="1"/>
    <col min="30" max="30" width="34.6640625" style="2067" bestFit="1" customWidth="1"/>
    <col min="31" max="31" width="38.6640625" style="2067" customWidth="1"/>
    <col min="32" max="32" width="41.6640625" style="2067" customWidth="1"/>
    <col min="33" max="33" width="39" style="2067" customWidth="1"/>
    <col min="34" max="34" width="39" style="366" customWidth="1"/>
    <col min="35" max="35" width="41.33203125" style="366" customWidth="1"/>
    <col min="36" max="37" width="14.46484375" style="366" hidden="1" customWidth="1"/>
    <col min="38" max="38" width="21.46484375" style="366" hidden="1" customWidth="1"/>
    <col min="39" max="39" width="19.46484375" style="366" hidden="1" customWidth="1"/>
    <col min="40" max="40" width="27" style="366" hidden="1" customWidth="1"/>
    <col min="41" max="41" width="23.46484375" style="366" customWidth="1"/>
    <col min="42" max="42" width="34.6640625" style="366" customWidth="1"/>
    <col min="43" max="43" width="9.46484375" style="366"/>
    <col min="44" max="44" width="22.46484375" style="366" bestFit="1" customWidth="1"/>
    <col min="45" max="16384" width="9.46484375" style="366"/>
  </cols>
  <sheetData>
    <row r="1" spans="1:43" ht="35" customHeight="1">
      <c r="A1" s="5864" t="s">
        <v>694</v>
      </c>
      <c r="B1" s="5864"/>
      <c r="C1" s="5864"/>
      <c r="D1" s="5864"/>
      <c r="E1" s="5864"/>
      <c r="F1" s="5864"/>
      <c r="G1" s="5864"/>
      <c r="H1" s="5864"/>
      <c r="I1" s="5864"/>
      <c r="J1" s="5864"/>
      <c r="K1" s="5864"/>
      <c r="L1" s="5864"/>
      <c r="M1" s="5864"/>
      <c r="N1" s="5864"/>
      <c r="O1" s="5864"/>
      <c r="P1" s="5864"/>
      <c r="Q1" s="5864"/>
      <c r="R1" s="5864"/>
      <c r="S1" s="5864"/>
      <c r="T1" s="5864"/>
      <c r="U1" s="5864"/>
      <c r="V1" s="5864"/>
      <c r="W1" s="5864"/>
      <c r="X1" s="5864"/>
      <c r="Y1" s="5864"/>
      <c r="Z1" s="5864"/>
      <c r="AA1" s="5864"/>
      <c r="AB1" s="5864"/>
      <c r="AC1" s="5864"/>
      <c r="AD1" s="5864"/>
      <c r="AE1" s="5864"/>
      <c r="AF1" s="5864"/>
      <c r="AG1" s="5864"/>
      <c r="AH1" s="5864"/>
      <c r="AI1" s="5864"/>
      <c r="AJ1" s="365"/>
      <c r="AK1" s="365"/>
      <c r="AL1" s="365"/>
      <c r="AM1" s="365"/>
      <c r="AN1" s="365"/>
    </row>
    <row r="2" spans="1:43" ht="35" customHeight="1">
      <c r="A2" s="5864" t="s">
        <v>224</v>
      </c>
      <c r="B2" s="5864"/>
      <c r="C2" s="5864"/>
      <c r="D2" s="5864"/>
      <c r="E2" s="5864"/>
      <c r="F2" s="5864"/>
      <c r="G2" s="5864"/>
      <c r="H2" s="5864"/>
      <c r="I2" s="5864"/>
      <c r="J2" s="5864"/>
      <c r="K2" s="5864"/>
      <c r="L2" s="5864"/>
      <c r="M2" s="5864"/>
      <c r="N2" s="5864"/>
      <c r="O2" s="5864"/>
      <c r="P2" s="5864"/>
      <c r="Q2" s="5864"/>
      <c r="R2" s="5864"/>
      <c r="S2" s="5864"/>
      <c r="T2" s="5864"/>
      <c r="U2" s="5864"/>
      <c r="V2" s="5864"/>
      <c r="W2" s="5864"/>
      <c r="X2" s="5864"/>
      <c r="Y2" s="5864"/>
      <c r="Z2" s="5864"/>
      <c r="AA2" s="5864"/>
      <c r="AB2" s="5864"/>
      <c r="AC2" s="5864"/>
      <c r="AD2" s="5864"/>
      <c r="AE2" s="5864"/>
      <c r="AF2" s="5864"/>
      <c r="AG2" s="5864"/>
      <c r="AH2" s="5864"/>
      <c r="AI2" s="5864"/>
      <c r="AJ2" s="365"/>
      <c r="AK2" s="365"/>
      <c r="AL2" s="365"/>
      <c r="AM2" s="365"/>
      <c r="AN2" s="365"/>
    </row>
    <row r="3" spans="1:43" ht="35" customHeight="1">
      <c r="A3" s="5864" t="s">
        <v>171</v>
      </c>
      <c r="B3" s="5864"/>
      <c r="C3" s="5864"/>
      <c r="D3" s="5864"/>
      <c r="E3" s="5864"/>
      <c r="F3" s="5864"/>
      <c r="G3" s="5864"/>
      <c r="H3" s="5864"/>
      <c r="I3" s="5864"/>
      <c r="J3" s="5864"/>
      <c r="K3" s="5864"/>
      <c r="L3" s="5864"/>
      <c r="M3" s="5864"/>
      <c r="N3" s="5864"/>
      <c r="O3" s="5864"/>
      <c r="P3" s="5864"/>
      <c r="Q3" s="5864"/>
      <c r="R3" s="5864"/>
      <c r="S3" s="5864"/>
      <c r="T3" s="5864"/>
      <c r="U3" s="5864"/>
      <c r="V3" s="5864"/>
      <c r="W3" s="5864"/>
      <c r="X3" s="5864"/>
      <c r="Y3" s="5864"/>
      <c r="Z3" s="5864"/>
      <c r="AA3" s="5864"/>
      <c r="AB3" s="5864"/>
      <c r="AC3" s="5864"/>
      <c r="AD3" s="5864"/>
      <c r="AE3" s="5864"/>
      <c r="AF3" s="5864"/>
      <c r="AG3" s="5864"/>
      <c r="AH3" s="5864"/>
      <c r="AI3" s="5864"/>
      <c r="AJ3" s="365"/>
      <c r="AK3" s="365"/>
      <c r="AL3" s="365"/>
      <c r="AM3" s="365"/>
      <c r="AN3" s="365"/>
    </row>
    <row r="4" spans="1:43" ht="35" customHeight="1" thickBot="1">
      <c r="A4" s="5864" t="s">
        <v>517</v>
      </c>
      <c r="B4" s="5864"/>
      <c r="C4" s="5864"/>
      <c r="D4" s="5864"/>
      <c r="E4" s="5864"/>
      <c r="F4" s="5864"/>
      <c r="G4" s="5864"/>
      <c r="H4" s="5864"/>
      <c r="I4" s="5864"/>
      <c r="J4" s="5864"/>
      <c r="K4" s="5864"/>
      <c r="L4" s="5864"/>
      <c r="M4" s="5864"/>
      <c r="N4" s="5864"/>
      <c r="O4" s="5864"/>
      <c r="P4" s="5864"/>
      <c r="Q4" s="5864"/>
      <c r="R4" s="5864"/>
      <c r="S4" s="5864"/>
      <c r="T4" s="5864"/>
      <c r="U4" s="5864"/>
      <c r="V4" s="5864"/>
      <c r="W4" s="5864"/>
      <c r="X4" s="5864"/>
      <c r="Y4" s="5864"/>
      <c r="Z4" s="5864"/>
      <c r="AA4" s="5864"/>
      <c r="AB4" s="5864"/>
      <c r="AC4" s="5864"/>
      <c r="AD4" s="5864"/>
      <c r="AE4" s="5864"/>
      <c r="AF4" s="5864"/>
      <c r="AG4" s="5864"/>
      <c r="AH4" s="5864"/>
      <c r="AI4" s="5864"/>
      <c r="AJ4" s="365"/>
      <c r="AK4" s="365"/>
      <c r="AL4" s="365"/>
      <c r="AM4" s="365"/>
      <c r="AN4" s="365"/>
    </row>
    <row r="5" spans="1:43" ht="20.75" customHeight="1" thickBot="1">
      <c r="A5" s="367"/>
      <c r="B5" s="367"/>
      <c r="C5" s="367"/>
      <c r="D5" s="367"/>
      <c r="E5" s="367"/>
      <c r="F5" s="367"/>
      <c r="G5" s="367"/>
      <c r="H5" s="367"/>
      <c r="I5" s="367"/>
      <c r="J5" s="367"/>
      <c r="K5" s="367"/>
      <c r="L5" s="367"/>
      <c r="M5" s="367"/>
      <c r="N5" s="367"/>
      <c r="O5" s="367"/>
      <c r="P5" s="367"/>
      <c r="Q5" s="367"/>
      <c r="R5" s="367"/>
      <c r="S5" s="367"/>
      <c r="T5" s="367"/>
      <c r="U5" s="367"/>
      <c r="V5" s="367"/>
      <c r="W5" s="367"/>
      <c r="X5" s="367"/>
      <c r="Y5" s="367"/>
      <c r="Z5" s="368"/>
      <c r="AA5" s="369"/>
      <c r="AB5" s="370"/>
      <c r="AC5" s="371"/>
      <c r="AD5" s="4031"/>
      <c r="AE5" s="4031"/>
      <c r="AF5" s="4031"/>
      <c r="AG5" s="4035"/>
      <c r="AH5" s="372"/>
      <c r="AI5" s="372"/>
      <c r="AJ5" s="5865" t="s">
        <v>853</v>
      </c>
      <c r="AK5" s="5866"/>
      <c r="AL5" s="5866"/>
      <c r="AM5" s="5867"/>
    </row>
    <row r="6" spans="1:43" s="4079" customFormat="1" ht="129" customHeight="1" thickBot="1">
      <c r="A6" s="4064"/>
      <c r="B6" s="4065" t="s">
        <v>169</v>
      </c>
      <c r="C6" s="4065" t="s">
        <v>150</v>
      </c>
      <c r="D6" s="4065" t="s">
        <v>151</v>
      </c>
      <c r="E6" s="4065" t="s">
        <v>152</v>
      </c>
      <c r="F6" s="4065" t="s">
        <v>153</v>
      </c>
      <c r="G6" s="4065" t="s">
        <v>225</v>
      </c>
      <c r="H6" s="4065" t="s">
        <v>226</v>
      </c>
      <c r="I6" s="4065" t="s">
        <v>156</v>
      </c>
      <c r="J6" s="4065" t="s">
        <v>222</v>
      </c>
      <c r="K6" s="4065" t="s">
        <v>187</v>
      </c>
      <c r="L6" s="4065" t="s">
        <v>223</v>
      </c>
      <c r="M6" s="4066" t="s">
        <v>188</v>
      </c>
      <c r="N6" s="4067" t="s">
        <v>172</v>
      </c>
      <c r="O6" s="4067" t="s">
        <v>162</v>
      </c>
      <c r="P6" s="4067" t="s">
        <v>163</v>
      </c>
      <c r="Q6" s="4067" t="s">
        <v>164</v>
      </c>
      <c r="R6" s="4068" t="s">
        <v>165</v>
      </c>
      <c r="S6" s="4067" t="s">
        <v>295</v>
      </c>
      <c r="T6" s="4069" t="s">
        <v>428</v>
      </c>
      <c r="U6" s="4067" t="s">
        <v>284</v>
      </c>
      <c r="V6" s="4067" t="s">
        <v>478</v>
      </c>
      <c r="W6" s="4067" t="s">
        <v>485</v>
      </c>
      <c r="X6" s="4066" t="s">
        <v>540</v>
      </c>
      <c r="Y6" s="4066" t="s">
        <v>588</v>
      </c>
      <c r="Z6" s="4066" t="s">
        <v>610</v>
      </c>
      <c r="AA6" s="4066" t="s">
        <v>710</v>
      </c>
      <c r="AB6" s="4070" t="s">
        <v>826</v>
      </c>
      <c r="AC6" s="4071" t="s">
        <v>786</v>
      </c>
      <c r="AD6" s="4072" t="s">
        <v>1064</v>
      </c>
      <c r="AE6" s="4072" t="s">
        <v>1083</v>
      </c>
      <c r="AF6" s="4072" t="s">
        <v>1532</v>
      </c>
      <c r="AG6" s="4073" t="s">
        <v>1964</v>
      </c>
      <c r="AH6" s="4074" t="s">
        <v>1965</v>
      </c>
      <c r="AI6" s="4075" t="s">
        <v>1963</v>
      </c>
      <c r="AJ6" s="4076" t="s">
        <v>786</v>
      </c>
      <c r="AK6" s="4077" t="s">
        <v>852</v>
      </c>
      <c r="AL6" s="4077" t="s">
        <v>1072</v>
      </c>
      <c r="AM6" s="4078" t="s">
        <v>854</v>
      </c>
      <c r="AN6" s="1512" t="s">
        <v>1534</v>
      </c>
      <c r="AP6" s="4080"/>
    </row>
    <row r="7" spans="1:43" ht="12" customHeight="1">
      <c r="A7" s="374"/>
      <c r="B7" s="365"/>
      <c r="C7" s="365"/>
      <c r="D7" s="365"/>
      <c r="E7" s="365"/>
      <c r="F7" s="365"/>
      <c r="G7" s="365"/>
      <c r="H7" s="365"/>
      <c r="I7" s="365"/>
      <c r="J7" s="365"/>
      <c r="K7" s="365"/>
      <c r="L7" s="365"/>
      <c r="M7" s="375"/>
      <c r="N7" s="376"/>
      <c r="O7" s="376"/>
      <c r="P7" s="376"/>
      <c r="Q7" s="376"/>
      <c r="R7" s="377"/>
      <c r="S7" s="376"/>
      <c r="T7" s="378"/>
      <c r="U7" s="376"/>
      <c r="V7" s="375"/>
      <c r="W7" s="375"/>
      <c r="X7" s="375"/>
      <c r="Y7" s="375"/>
      <c r="Z7" s="375"/>
      <c r="AA7" s="375"/>
      <c r="AB7" s="379"/>
      <c r="AC7" s="380"/>
      <c r="AD7" s="2739"/>
      <c r="AE7" s="2739"/>
      <c r="AF7" s="2739"/>
      <c r="AG7" s="4044"/>
      <c r="AH7" s="2982"/>
      <c r="AI7" s="3384"/>
      <c r="AJ7" s="3374"/>
      <c r="AK7" s="381"/>
      <c r="AL7" s="381"/>
      <c r="AM7" s="382"/>
    </row>
    <row r="8" spans="1:43" ht="45" customHeight="1">
      <c r="A8" s="1295" t="s">
        <v>227</v>
      </c>
      <c r="B8" s="1296">
        <v>113.218</v>
      </c>
      <c r="C8" s="1296">
        <v>122.56399999999999</v>
      </c>
      <c r="D8" s="1296">
        <v>131.29499999999999</v>
      </c>
      <c r="E8" s="1297">
        <v>141.69900000000001</v>
      </c>
      <c r="F8" s="1297">
        <v>154.31599999999997</v>
      </c>
      <c r="G8" s="1297">
        <v>166.34100000000001</v>
      </c>
      <c r="H8" s="1297">
        <v>173.75700000000001</v>
      </c>
      <c r="I8" s="1297">
        <v>182.01900000000001</v>
      </c>
      <c r="J8" s="1297">
        <v>198.26400000000001</v>
      </c>
      <c r="K8" s="1297">
        <v>211.570132</v>
      </c>
      <c r="L8" s="1297">
        <v>212.745</v>
      </c>
      <c r="M8" s="1298">
        <f>M9+M12+M15</f>
        <v>211.62199999999999</v>
      </c>
      <c r="N8" s="1299">
        <f t="shared" ref="N8:X8" si="0">N9+N12+N15</f>
        <v>226.70274799999999</v>
      </c>
      <c r="O8" s="1299">
        <f t="shared" si="0"/>
        <v>228.78504199999998</v>
      </c>
      <c r="P8" s="1299">
        <f t="shared" si="0"/>
        <v>238.46899999999999</v>
      </c>
      <c r="Q8" s="1299">
        <f t="shared" si="0"/>
        <v>255.64900000000003</v>
      </c>
      <c r="R8" s="1300">
        <f t="shared" si="0"/>
        <v>266.97000000000003</v>
      </c>
      <c r="S8" s="1301">
        <f t="shared" si="0"/>
        <v>301.06</v>
      </c>
      <c r="T8" s="1302">
        <f t="shared" si="0"/>
        <v>316.14999999999998</v>
      </c>
      <c r="U8" s="1301">
        <f t="shared" si="0"/>
        <v>342.29322400000001</v>
      </c>
      <c r="V8" s="1301">
        <f t="shared" si="0"/>
        <v>349.51900000000001</v>
      </c>
      <c r="W8" s="1301">
        <f t="shared" si="0"/>
        <v>378.96089099999995</v>
      </c>
      <c r="X8" s="1301">
        <f t="shared" si="0"/>
        <v>381.59</v>
      </c>
      <c r="Y8" s="1301">
        <f>Y9+Y12+Y15</f>
        <v>378.55604388</v>
      </c>
      <c r="Z8" s="1301">
        <f>Z9+Z12+Z15</f>
        <v>377.92419599999999</v>
      </c>
      <c r="AA8" s="1303">
        <f>AA9+AA12+AA15</f>
        <v>380.447</v>
      </c>
      <c r="AB8" s="1303">
        <f>AB9+AB12+AB15</f>
        <v>384.60802799999999</v>
      </c>
      <c r="AC8" s="1303">
        <f>AC9+AC12+AC15</f>
        <v>384.75400000000002</v>
      </c>
      <c r="AD8" s="2740">
        <f t="shared" ref="AD8:AL8" si="1">AD9+AD12+AD15</f>
        <v>443.80400000000003</v>
      </c>
      <c r="AE8" s="2740">
        <f t="shared" si="1"/>
        <v>413.01600000000002</v>
      </c>
      <c r="AF8" s="2740">
        <f t="shared" si="1"/>
        <v>418.20299999999997</v>
      </c>
      <c r="AG8" s="2740">
        <f t="shared" si="1"/>
        <v>434.81700000000001</v>
      </c>
      <c r="AH8" s="2740">
        <f t="shared" ref="AH8" si="2">AH9+AH12+AH15</f>
        <v>427.8833835398857</v>
      </c>
      <c r="AI8" s="3385">
        <f>+AH8/AG8-1</f>
        <v>-1.5946056525191765E-2</v>
      </c>
      <c r="AJ8" s="3375">
        <f t="shared" si="1"/>
        <v>290.13</v>
      </c>
      <c r="AK8" s="383">
        <f t="shared" si="1"/>
        <v>341.80999999999995</v>
      </c>
      <c r="AL8" s="383">
        <f t="shared" si="1"/>
        <v>321.52800000000002</v>
      </c>
      <c r="AM8" s="384">
        <f t="shared" ref="AM8:AM14" si="3">+AL8/AK8-1</f>
        <v>-5.9337058599806647E-2</v>
      </c>
      <c r="AN8" s="2342">
        <f>+AG8-AF8</f>
        <v>16.614000000000033</v>
      </c>
      <c r="AO8" s="373">
        <f>+AH8-AG8</f>
        <v>-6.9336164601143082</v>
      </c>
      <c r="AP8" s="373"/>
      <c r="AQ8" s="385"/>
    </row>
    <row r="9" spans="1:43" s="365" customFormat="1" ht="45" customHeight="1">
      <c r="A9" s="1295" t="s">
        <v>867</v>
      </c>
      <c r="B9" s="1296">
        <v>16.988</v>
      </c>
      <c r="C9" s="1296">
        <v>17.616</v>
      </c>
      <c r="D9" s="1296">
        <v>18.026</v>
      </c>
      <c r="E9" s="1297">
        <v>19.225999999999999</v>
      </c>
      <c r="F9" s="1297">
        <v>19.734999999999999</v>
      </c>
      <c r="G9" s="1297">
        <v>22.074000000000002</v>
      </c>
      <c r="H9" s="1297">
        <v>26.265000000000001</v>
      </c>
      <c r="I9" s="1297">
        <v>20.786000000000001</v>
      </c>
      <c r="J9" s="1297">
        <v>26.218</v>
      </c>
      <c r="K9" s="1297">
        <v>28.406092999999998</v>
      </c>
      <c r="L9" s="1297">
        <v>28.311</v>
      </c>
      <c r="M9" s="1298">
        <v>27.719000000000001</v>
      </c>
      <c r="N9" s="1299">
        <v>28.168605000000003</v>
      </c>
      <c r="O9" s="1299">
        <v>29.430580000000003</v>
      </c>
      <c r="P9" s="1299">
        <v>30.082999999999998</v>
      </c>
      <c r="Q9" s="1299">
        <v>34.704000000000001</v>
      </c>
      <c r="R9" s="1300">
        <v>35.53</v>
      </c>
      <c r="S9" s="1301">
        <v>38.22</v>
      </c>
      <c r="T9" s="1302">
        <v>39.53</v>
      </c>
      <c r="U9" s="1301">
        <v>41.195223999999996</v>
      </c>
      <c r="V9" s="1985">
        <v>42.136000000000003</v>
      </c>
      <c r="W9" s="1985">
        <v>44.090555999999999</v>
      </c>
      <c r="X9" s="1985">
        <v>45.52</v>
      </c>
      <c r="Y9" s="1985">
        <v>45.921883990000005</v>
      </c>
      <c r="Z9" s="1985">
        <v>45.57</v>
      </c>
      <c r="AA9" s="1986">
        <v>45.73</v>
      </c>
      <c r="AB9" s="1986">
        <v>45.466000000000001</v>
      </c>
      <c r="AC9" s="1987">
        <v>45.917999999999999</v>
      </c>
      <c r="AD9" s="2741">
        <f>AD10+AD11</f>
        <v>47.556000000000004</v>
      </c>
      <c r="AE9" s="2741">
        <f t="shared" ref="AE9:AL9" si="4">AE10+AE11</f>
        <v>45.14</v>
      </c>
      <c r="AF9" s="2741">
        <f t="shared" si="4"/>
        <v>51.335000000000001</v>
      </c>
      <c r="AG9" s="2741">
        <f t="shared" si="4"/>
        <v>50.417000000000002</v>
      </c>
      <c r="AH9" s="2741">
        <f t="shared" ref="AH9" si="5">AH10+AH11</f>
        <v>51.10138353988571</v>
      </c>
      <c r="AI9" s="3385">
        <f t="shared" ref="AI9:AI45" si="6">+AH9/AG9-1</f>
        <v>1.3574459802957461E-2</v>
      </c>
      <c r="AJ9" s="3376">
        <v>34.200000000000003</v>
      </c>
      <c r="AK9" s="1988">
        <f t="shared" si="4"/>
        <v>35.72</v>
      </c>
      <c r="AL9" s="1988">
        <f t="shared" si="4"/>
        <v>34.846000000000004</v>
      </c>
      <c r="AM9" s="384">
        <f t="shared" si="3"/>
        <v>-2.4468085106382875E-2</v>
      </c>
      <c r="AN9" s="2342">
        <f t="shared" ref="AN9:AN48" si="7">+AG9-AF9</f>
        <v>-0.91799999999999926</v>
      </c>
      <c r="AO9" s="373">
        <f t="shared" ref="AO9:AO45" si="8">+AH9-AG9</f>
        <v>0.6843835398857081</v>
      </c>
      <c r="AP9" s="407"/>
      <c r="AQ9" s="407"/>
    </row>
    <row r="10" spans="1:43" s="388" customFormat="1" ht="45" customHeight="1">
      <c r="A10" s="1315" t="s">
        <v>1043</v>
      </c>
      <c r="B10" s="1316"/>
      <c r="C10" s="1316"/>
      <c r="D10" s="1316"/>
      <c r="E10" s="1317"/>
      <c r="F10" s="1317"/>
      <c r="G10" s="1317"/>
      <c r="H10" s="1317"/>
      <c r="I10" s="1317"/>
      <c r="J10" s="1317"/>
      <c r="K10" s="1317"/>
      <c r="L10" s="1317"/>
      <c r="M10" s="1318"/>
      <c r="N10" s="1319"/>
      <c r="O10" s="1319"/>
      <c r="P10" s="1319"/>
      <c r="Q10" s="1319"/>
      <c r="R10" s="1320"/>
      <c r="S10" s="1320"/>
      <c r="T10" s="1321"/>
      <c r="U10" s="1320"/>
      <c r="V10" s="1322"/>
      <c r="W10" s="1322"/>
      <c r="X10" s="1322"/>
      <c r="Y10" s="1322"/>
      <c r="Z10" s="1322"/>
      <c r="AA10" s="1322"/>
      <c r="AB10" s="1322"/>
      <c r="AC10" s="1322"/>
      <c r="AD10" s="2742">
        <v>46.13</v>
      </c>
      <c r="AE10" s="2742">
        <f>47.7*0+43.627</f>
        <v>43.627000000000002</v>
      </c>
      <c r="AF10" s="2742">
        <f>(48.352*0+49.349)*0+49.078</f>
        <v>49.078000000000003</v>
      </c>
      <c r="AG10" s="2742">
        <v>48.517000000000003</v>
      </c>
      <c r="AH10" s="3620">
        <v>49.059222719428568</v>
      </c>
      <c r="AI10" s="3619">
        <f t="shared" si="6"/>
        <v>1.1175932547943246E-2</v>
      </c>
      <c r="AJ10" s="3377"/>
      <c r="AK10" s="389">
        <v>34.46</v>
      </c>
      <c r="AL10" s="389">
        <v>33.700000000000003</v>
      </c>
      <c r="AM10" s="387">
        <f t="shared" si="3"/>
        <v>-2.2054556006964487E-2</v>
      </c>
      <c r="AN10" s="2342">
        <f t="shared" si="7"/>
        <v>-0.56099999999999994</v>
      </c>
      <c r="AO10" s="373">
        <f t="shared" si="8"/>
        <v>0.54222271942856537</v>
      </c>
      <c r="AP10" s="390"/>
      <c r="AQ10" s="390"/>
    </row>
    <row r="11" spans="1:43" s="388" customFormat="1" ht="45" customHeight="1">
      <c r="A11" s="1315" t="s">
        <v>868</v>
      </c>
      <c r="B11" s="1316"/>
      <c r="C11" s="1316"/>
      <c r="D11" s="1316"/>
      <c r="E11" s="1317"/>
      <c r="F11" s="1317"/>
      <c r="G11" s="1317"/>
      <c r="H11" s="1317"/>
      <c r="I11" s="1317"/>
      <c r="J11" s="1317"/>
      <c r="K11" s="1317"/>
      <c r="L11" s="1317"/>
      <c r="M11" s="1318"/>
      <c r="N11" s="1319"/>
      <c r="O11" s="1319"/>
      <c r="P11" s="1319"/>
      <c r="Q11" s="1319"/>
      <c r="R11" s="1320"/>
      <c r="S11" s="1320"/>
      <c r="T11" s="1321"/>
      <c r="U11" s="1320"/>
      <c r="V11" s="1322"/>
      <c r="W11" s="1322"/>
      <c r="X11" s="1322"/>
      <c r="Y11" s="1322"/>
      <c r="Z11" s="1322"/>
      <c r="AA11" s="1322"/>
      <c r="AB11" s="1322"/>
      <c r="AC11" s="1322"/>
      <c r="AD11" s="2742">
        <f>1.66*0+1.426</f>
        <v>1.4259999999999999</v>
      </c>
      <c r="AE11" s="2742">
        <f>1.42*0+1.513</f>
        <v>1.5129999999999999</v>
      </c>
      <c r="AF11" s="2742">
        <f>(1.9276*0+2.025)*0+2.257</f>
        <v>2.2570000000000001</v>
      </c>
      <c r="AG11" s="2742">
        <v>1.9</v>
      </c>
      <c r="AH11" s="3620">
        <v>2.0421608204571426</v>
      </c>
      <c r="AI11" s="3619">
        <f t="shared" si="6"/>
        <v>7.4821484451127684E-2</v>
      </c>
      <c r="AJ11" s="3377"/>
      <c r="AK11" s="389">
        <v>1.26</v>
      </c>
      <c r="AL11" s="389">
        <v>1.1459999999999999</v>
      </c>
      <c r="AM11" s="391">
        <f t="shared" si="3"/>
        <v>-9.0476190476190599E-2</v>
      </c>
      <c r="AN11" s="2342">
        <f t="shared" si="7"/>
        <v>-0.35700000000000021</v>
      </c>
      <c r="AO11" s="373">
        <f t="shared" si="8"/>
        <v>0.14216082045714273</v>
      </c>
      <c r="AP11" s="390"/>
      <c r="AQ11" s="390"/>
    </row>
    <row r="12" spans="1:43" s="365" customFormat="1" ht="45" customHeight="1">
      <c r="A12" s="1295" t="s">
        <v>866</v>
      </c>
      <c r="B12" s="1296">
        <v>96.23</v>
      </c>
      <c r="C12" s="1296">
        <v>104.94799999999999</v>
      </c>
      <c r="D12" s="1296">
        <v>113.26900000000001</v>
      </c>
      <c r="E12" s="1297">
        <v>122.473</v>
      </c>
      <c r="F12" s="1297">
        <v>134.58099999999999</v>
      </c>
      <c r="G12" s="1297">
        <v>144.267</v>
      </c>
      <c r="H12" s="1297">
        <v>147.49199999999999</v>
      </c>
      <c r="I12" s="1297">
        <v>161.233</v>
      </c>
      <c r="J12" s="1297">
        <v>163.28899999999999</v>
      </c>
      <c r="K12" s="1297">
        <v>178.87303900000001</v>
      </c>
      <c r="L12" s="1297">
        <v>182.8</v>
      </c>
      <c r="M12" s="1298">
        <v>183.90299999999999</v>
      </c>
      <c r="N12" s="1299">
        <v>187.67747599999998</v>
      </c>
      <c r="O12" s="1299">
        <v>193.81253099999998</v>
      </c>
      <c r="P12" s="1299">
        <v>195.76</v>
      </c>
      <c r="Q12" s="1299">
        <v>219.21</v>
      </c>
      <c r="R12" s="1300">
        <v>231.44</v>
      </c>
      <c r="S12" s="1301">
        <v>246.51</v>
      </c>
      <c r="T12" s="1302">
        <v>276.62</v>
      </c>
      <c r="U12" s="1301">
        <v>292.5</v>
      </c>
      <c r="V12" s="1985">
        <v>302.63099999999997</v>
      </c>
      <c r="W12" s="1985">
        <v>310.25059399999998</v>
      </c>
      <c r="X12" s="1985">
        <v>332.95</v>
      </c>
      <c r="Y12" s="1985">
        <v>332.63061639</v>
      </c>
      <c r="Z12" s="1985">
        <v>332.25</v>
      </c>
      <c r="AA12" s="1986">
        <v>334.71699999999998</v>
      </c>
      <c r="AB12" s="1986">
        <v>339.142</v>
      </c>
      <c r="AC12" s="1987">
        <v>336.89</v>
      </c>
      <c r="AD12" s="2741">
        <f>AD13+AD14</f>
        <v>370.64800000000002</v>
      </c>
      <c r="AE12" s="2741">
        <f t="shared" ref="AE12:AL12" si="9">AE13+AE14</f>
        <v>367.49400000000003</v>
      </c>
      <c r="AF12" s="2741">
        <f t="shared" si="9"/>
        <v>366.80099999999999</v>
      </c>
      <c r="AG12" s="4045">
        <f t="shared" si="9"/>
        <v>366.4</v>
      </c>
      <c r="AH12" s="2741">
        <f t="shared" si="9"/>
        <v>376.51599999999996</v>
      </c>
      <c r="AI12" s="3385">
        <f t="shared" si="6"/>
        <v>2.7609170305676889E-2</v>
      </c>
      <c r="AJ12" s="3376">
        <v>254.2</v>
      </c>
      <c r="AK12" s="1988">
        <f t="shared" si="9"/>
        <v>280.45999999999998</v>
      </c>
      <c r="AL12" s="1988">
        <f t="shared" si="9"/>
        <v>286.3</v>
      </c>
      <c r="AM12" s="384">
        <f t="shared" si="3"/>
        <v>2.0822933751693862E-2</v>
      </c>
      <c r="AN12" s="2342">
        <f t="shared" si="7"/>
        <v>-0.40100000000001046</v>
      </c>
      <c r="AO12" s="373">
        <f t="shared" si="8"/>
        <v>10.115999999999985</v>
      </c>
      <c r="AP12" s="407"/>
      <c r="AQ12" s="407"/>
    </row>
    <row r="13" spans="1:43" s="388" customFormat="1" ht="45" customHeight="1">
      <c r="A13" s="1315" t="s">
        <v>1044</v>
      </c>
      <c r="B13" s="1316"/>
      <c r="C13" s="1316"/>
      <c r="D13" s="1316"/>
      <c r="E13" s="1317"/>
      <c r="F13" s="1317"/>
      <c r="G13" s="1317"/>
      <c r="H13" s="1317"/>
      <c r="I13" s="1317"/>
      <c r="J13" s="1317"/>
      <c r="K13" s="1317"/>
      <c r="L13" s="1317"/>
      <c r="M13" s="1318"/>
      <c r="N13" s="1319"/>
      <c r="O13" s="1319"/>
      <c r="P13" s="1319"/>
      <c r="Q13" s="1319"/>
      <c r="R13" s="1320"/>
      <c r="S13" s="1320"/>
      <c r="T13" s="1321"/>
      <c r="U13" s="1320"/>
      <c r="V13" s="1322"/>
      <c r="W13" s="1322"/>
      <c r="X13" s="1322"/>
      <c r="Y13" s="1322"/>
      <c r="Z13" s="1322"/>
      <c r="AA13" s="1322"/>
      <c r="AB13" s="1322"/>
      <c r="AC13" s="1322"/>
      <c r="AD13" s="2742">
        <f>333.478*0+329.1</f>
        <v>329.1</v>
      </c>
      <c r="AE13" s="2742">
        <f>336.4*0+336.6*0+331.779</f>
        <v>331.779</v>
      </c>
      <c r="AF13" s="2742">
        <f>(334*0+325.11)*0+328.522</f>
        <v>328.52199999999999</v>
      </c>
      <c r="AG13" s="4046">
        <v>329.4</v>
      </c>
      <c r="AH13" s="3620">
        <v>338.95</v>
      </c>
      <c r="AI13" s="3619">
        <f t="shared" si="6"/>
        <v>2.8992106860959321E-2</v>
      </c>
      <c r="AJ13" s="3377"/>
      <c r="AK13" s="389">
        <v>246.94</v>
      </c>
      <c r="AL13" s="389">
        <v>251</v>
      </c>
      <c r="AM13" s="387">
        <f t="shared" si="3"/>
        <v>1.6441240787235856E-2</v>
      </c>
      <c r="AN13" s="2342">
        <f t="shared" si="7"/>
        <v>0.8779999999999859</v>
      </c>
      <c r="AO13" s="373">
        <f t="shared" si="8"/>
        <v>9.5500000000000114</v>
      </c>
      <c r="AP13" s="390"/>
      <c r="AQ13" s="390"/>
    </row>
    <row r="14" spans="1:43" s="388" customFormat="1" ht="45" customHeight="1">
      <c r="A14" s="1315" t="s">
        <v>869</v>
      </c>
      <c r="B14" s="1316"/>
      <c r="C14" s="1316"/>
      <c r="D14" s="1316"/>
      <c r="E14" s="1317"/>
      <c r="F14" s="1317"/>
      <c r="G14" s="1317"/>
      <c r="H14" s="1317"/>
      <c r="I14" s="1317"/>
      <c r="J14" s="1317"/>
      <c r="K14" s="1317"/>
      <c r="L14" s="1317"/>
      <c r="M14" s="1318"/>
      <c r="N14" s="1319"/>
      <c r="O14" s="1319"/>
      <c r="P14" s="1319"/>
      <c r="Q14" s="1319"/>
      <c r="R14" s="1320"/>
      <c r="S14" s="1320"/>
      <c r="T14" s="1321"/>
      <c r="U14" s="1320"/>
      <c r="V14" s="1322"/>
      <c r="W14" s="1322"/>
      <c r="X14" s="1322"/>
      <c r="Y14" s="1322"/>
      <c r="Z14" s="1322"/>
      <c r="AA14" s="1322"/>
      <c r="AB14" s="1322"/>
      <c r="AC14" s="1322"/>
      <c r="AD14" s="2742">
        <f>44.88*0+41.548</f>
        <v>41.548000000000002</v>
      </c>
      <c r="AE14" s="2742">
        <f>48.288*0+46.1*0+35.715</f>
        <v>35.715000000000003</v>
      </c>
      <c r="AF14" s="2742">
        <f>(42.892*0+40.485)*0+38.279</f>
        <v>38.279000000000003</v>
      </c>
      <c r="AG14" s="4046">
        <v>37</v>
      </c>
      <c r="AH14" s="3620">
        <v>37.566000000000003</v>
      </c>
      <c r="AI14" s="3619">
        <f t="shared" si="6"/>
        <v>1.5297297297297341E-2</v>
      </c>
      <c r="AJ14" s="3377"/>
      <c r="AK14" s="389">
        <v>33.520000000000003</v>
      </c>
      <c r="AL14" s="389">
        <v>35.299999999999997</v>
      </c>
      <c r="AM14" s="387">
        <f t="shared" si="3"/>
        <v>5.3102625298329098E-2</v>
      </c>
      <c r="AN14" s="2342">
        <f t="shared" si="7"/>
        <v>-1.2790000000000035</v>
      </c>
      <c r="AO14" s="373">
        <f t="shared" si="8"/>
        <v>0.5660000000000025</v>
      </c>
      <c r="AP14" s="390"/>
      <c r="AQ14" s="390"/>
    </row>
    <row r="15" spans="1:43" ht="45" customHeight="1">
      <c r="A15" s="1304" t="s">
        <v>448</v>
      </c>
      <c r="B15" s="1305">
        <v>0.106</v>
      </c>
      <c r="C15" s="1305">
        <v>0</v>
      </c>
      <c r="D15" s="1305">
        <v>0</v>
      </c>
      <c r="E15" s="1306">
        <v>0</v>
      </c>
      <c r="F15" s="1306">
        <v>16.731999999999999</v>
      </c>
      <c r="G15" s="1306">
        <v>0.33500000000000002</v>
      </c>
      <c r="H15" s="1306">
        <v>0</v>
      </c>
      <c r="I15" s="1306">
        <v>0</v>
      </c>
      <c r="J15" s="1306">
        <v>8.7569999999999997</v>
      </c>
      <c r="K15" s="1306">
        <v>4.2910000000000004</v>
      </c>
      <c r="L15" s="1306">
        <v>1.6339999999999999</v>
      </c>
      <c r="M15" s="1307">
        <v>0</v>
      </c>
      <c r="N15" s="1308">
        <v>10.856667</v>
      </c>
      <c r="O15" s="1308">
        <v>5.5419309999999999</v>
      </c>
      <c r="P15" s="1308">
        <v>12.625999999999999</v>
      </c>
      <c r="Q15" s="1308">
        <v>1.7350000000000001</v>
      </c>
      <c r="R15" s="1309">
        <v>0</v>
      </c>
      <c r="S15" s="1310">
        <v>16.329999999999998</v>
      </c>
      <c r="T15" s="1311">
        <v>0</v>
      </c>
      <c r="U15" s="1310">
        <v>8.5980000000000008</v>
      </c>
      <c r="V15" s="1312">
        <v>4.7519999999999998</v>
      </c>
      <c r="W15" s="1312">
        <v>24.619741000000005</v>
      </c>
      <c r="X15" s="1312">
        <v>3.12</v>
      </c>
      <c r="Y15" s="1312">
        <v>3.5435000000000002E-3</v>
      </c>
      <c r="Z15" s="1312">
        <v>0.104196</v>
      </c>
      <c r="AA15" s="1313">
        <v>0</v>
      </c>
      <c r="AB15" s="1313">
        <v>2.8E-5</v>
      </c>
      <c r="AC15" s="1314">
        <v>1.946</v>
      </c>
      <c r="AD15" s="2743">
        <f>26.365*0+25.6</f>
        <v>25.6</v>
      </c>
      <c r="AE15" s="2743">
        <v>0.38200000000000001</v>
      </c>
      <c r="AF15" s="2743">
        <v>6.7000000000000004E-2</v>
      </c>
      <c r="AG15" s="4047">
        <v>18</v>
      </c>
      <c r="AH15" s="3621">
        <v>0.26600000000000001</v>
      </c>
      <c r="AI15" s="3619">
        <f t="shared" si="6"/>
        <v>-0.98522222222222222</v>
      </c>
      <c r="AJ15" s="3378">
        <v>1.73</v>
      </c>
      <c r="AK15" s="386">
        <v>25.63</v>
      </c>
      <c r="AL15" s="386">
        <v>0.38200000000000001</v>
      </c>
      <c r="AM15" s="387">
        <f t="shared" ref="AM15:AM47" si="10">+AL15/AK15-1</f>
        <v>-0.98509559110417477</v>
      </c>
      <c r="AN15" s="2342">
        <f t="shared" si="7"/>
        <v>17.933</v>
      </c>
      <c r="AO15" s="373">
        <f t="shared" si="8"/>
        <v>-17.734000000000002</v>
      </c>
      <c r="AP15" s="373"/>
    </row>
    <row r="16" spans="1:43" ht="45" customHeight="1">
      <c r="A16" s="1304"/>
      <c r="B16" s="1305"/>
      <c r="C16" s="1305"/>
      <c r="D16" s="1305"/>
      <c r="E16" s="1306"/>
      <c r="F16" s="1306"/>
      <c r="G16" s="1306"/>
      <c r="H16" s="1306"/>
      <c r="I16" s="1306"/>
      <c r="J16" s="1306"/>
      <c r="K16" s="1306"/>
      <c r="L16" s="1306"/>
      <c r="M16" s="1307"/>
      <c r="N16" s="1308"/>
      <c r="O16" s="1308"/>
      <c r="P16" s="1308"/>
      <c r="Q16" s="1308"/>
      <c r="R16" s="1309"/>
      <c r="S16" s="1310"/>
      <c r="T16" s="1311"/>
      <c r="U16" s="1310"/>
      <c r="V16" s="1312"/>
      <c r="W16" s="1312"/>
      <c r="X16" s="1312"/>
      <c r="Y16" s="1312"/>
      <c r="Z16" s="1312"/>
      <c r="AA16" s="1313"/>
      <c r="AB16" s="1313"/>
      <c r="AC16" s="1314"/>
      <c r="AD16" s="2743"/>
      <c r="AE16" s="2743"/>
      <c r="AF16" s="2743"/>
      <c r="AG16" s="4047"/>
      <c r="AH16" s="3621"/>
      <c r="AI16" s="3385"/>
      <c r="AJ16" s="3378"/>
      <c r="AK16" s="386"/>
      <c r="AL16" s="386"/>
      <c r="AM16" s="387"/>
      <c r="AN16" s="2342">
        <f t="shared" si="7"/>
        <v>0</v>
      </c>
      <c r="AO16" s="373">
        <f t="shared" si="8"/>
        <v>0</v>
      </c>
      <c r="AP16" s="373"/>
    </row>
    <row r="17" spans="1:44" ht="45" customHeight="1">
      <c r="A17" s="1295" t="s">
        <v>178</v>
      </c>
      <c r="B17" s="1296">
        <v>8.218</v>
      </c>
      <c r="C17" s="1296">
        <v>10.074</v>
      </c>
      <c r="D17" s="1296">
        <v>10.728</v>
      </c>
      <c r="E17" s="1297">
        <v>10.266</v>
      </c>
      <c r="F17" s="1297">
        <v>12.189</v>
      </c>
      <c r="G17" s="1297">
        <v>14.181000000000001</v>
      </c>
      <c r="H17" s="1297">
        <v>16.055</v>
      </c>
      <c r="I17" s="1297">
        <v>21.454000000000001</v>
      </c>
      <c r="J17" s="1297">
        <v>23.614999999999998</v>
      </c>
      <c r="K17" s="1297">
        <v>33.84718934</v>
      </c>
      <c r="L17" s="1297">
        <v>39.17866497</v>
      </c>
      <c r="M17" s="1298">
        <f>M18+M19</f>
        <v>40.486690229999994</v>
      </c>
      <c r="N17" s="1299">
        <f>N18+N19</f>
        <v>54.739999999999995</v>
      </c>
      <c r="O17" s="1299">
        <v>66.865344000000007</v>
      </c>
      <c r="P17" s="1299">
        <v>71.87</v>
      </c>
      <c r="Q17" s="1299">
        <v>78.720922999999999</v>
      </c>
      <c r="R17" s="1300">
        <v>78.67</v>
      </c>
      <c r="S17" s="1301">
        <v>94.48</v>
      </c>
      <c r="T17" s="1302">
        <v>89.8</v>
      </c>
      <c r="U17" s="1301">
        <v>102.02</v>
      </c>
      <c r="V17" s="1301">
        <v>105.82</v>
      </c>
      <c r="W17" s="1301">
        <v>123.077889</v>
      </c>
      <c r="X17" s="1301">
        <v>140.02974667999999</v>
      </c>
      <c r="Y17" s="1301">
        <v>148.59974499999998</v>
      </c>
      <c r="Z17" s="1301">
        <f>SUM(Z18:Z19)</f>
        <v>156.55000000000001</v>
      </c>
      <c r="AA17" s="1301">
        <f>SUM(AA18:AA19)</f>
        <v>158.703</v>
      </c>
      <c r="AB17" s="1303">
        <f>AB18+AB19</f>
        <v>162.4</v>
      </c>
      <c r="AC17" s="1303">
        <f>AC18+AC19</f>
        <v>165.785</v>
      </c>
      <c r="AD17" s="2740">
        <f>AD18+AD19</f>
        <v>170.8</v>
      </c>
      <c r="AE17" s="2740">
        <f t="shared" ref="AE17:AL17" si="11">AE18+AE19</f>
        <v>164.4</v>
      </c>
      <c r="AF17" s="2740">
        <f t="shared" si="11"/>
        <v>170.98599999999999</v>
      </c>
      <c r="AG17" s="4045">
        <f>+AG18+AG19</f>
        <v>184.8</v>
      </c>
      <c r="AH17" s="2740">
        <f>(+AH18+AH19)*0+222*0+AH18+AH19</f>
        <v>223.07288499999999</v>
      </c>
      <c r="AI17" s="3385">
        <f t="shared" si="6"/>
        <v>0.20710435606060584</v>
      </c>
      <c r="AJ17" s="3375">
        <f t="shared" si="11"/>
        <v>120.46599999999999</v>
      </c>
      <c r="AK17" s="383">
        <f t="shared" si="11"/>
        <v>123.50399999999999</v>
      </c>
      <c r="AL17" s="383">
        <f t="shared" si="11"/>
        <v>115</v>
      </c>
      <c r="AM17" s="384">
        <f t="shared" si="10"/>
        <v>-6.885606943904643E-2</v>
      </c>
      <c r="AN17" s="2342">
        <f t="shared" si="7"/>
        <v>13.814000000000021</v>
      </c>
      <c r="AO17" s="373">
        <f t="shared" si="8"/>
        <v>38.272884999999974</v>
      </c>
      <c r="AP17" s="385"/>
      <c r="AR17" s="385"/>
    </row>
    <row r="18" spans="1:44" ht="45" customHeight="1">
      <c r="A18" s="1304" t="s">
        <v>449</v>
      </c>
      <c r="B18" s="1305">
        <v>6.8230000000000004</v>
      </c>
      <c r="C18" s="1305">
        <v>7.6710000000000003</v>
      </c>
      <c r="D18" s="1305">
        <v>8.093</v>
      </c>
      <c r="E18" s="1306">
        <v>7.3170000000000002</v>
      </c>
      <c r="F18" s="1306">
        <v>7.8739999999999997</v>
      </c>
      <c r="G18" s="1306">
        <v>7.6589999999999998</v>
      </c>
      <c r="H18" s="1306">
        <v>8.5370000000000008</v>
      </c>
      <c r="I18" s="1306">
        <v>14.271000000000001</v>
      </c>
      <c r="J18" s="1306">
        <v>15.750999999999999</v>
      </c>
      <c r="K18" s="1306">
        <v>16.46655934</v>
      </c>
      <c r="L18" s="1306">
        <v>18.527570969999999</v>
      </c>
      <c r="M18" s="1307">
        <v>20.042306229999998</v>
      </c>
      <c r="N18" s="1323">
        <v>19.809999999999999</v>
      </c>
      <c r="O18" s="1323">
        <v>22.082833999999995</v>
      </c>
      <c r="P18" s="1308">
        <v>21.815911</v>
      </c>
      <c r="Q18" s="1308">
        <v>27.680345549999998</v>
      </c>
      <c r="R18" s="1309">
        <v>30.66</v>
      </c>
      <c r="S18" s="1310">
        <v>44.063000000000002</v>
      </c>
      <c r="T18" s="1311">
        <v>46.244</v>
      </c>
      <c r="U18" s="1310">
        <v>58.170999999999999</v>
      </c>
      <c r="V18" s="1312">
        <v>64.73</v>
      </c>
      <c r="W18" s="1312">
        <v>74.878</v>
      </c>
      <c r="X18" s="1312">
        <v>85.481295829999993</v>
      </c>
      <c r="Y18" s="1312">
        <v>91.471547999999999</v>
      </c>
      <c r="Z18" s="1312">
        <v>103.7</v>
      </c>
      <c r="AA18" s="1313">
        <f>100.744+0.4</f>
        <v>101.14400000000001</v>
      </c>
      <c r="AB18" s="1313">
        <v>86.7</v>
      </c>
      <c r="AC18" s="1314">
        <v>94.43968000000001</v>
      </c>
      <c r="AD18" s="2743">
        <f>98.2907*0+94.1</f>
        <v>94.1</v>
      </c>
      <c r="AE18" s="2743">
        <f>95*0+97.9</f>
        <v>97.9</v>
      </c>
      <c r="AF18" s="2743">
        <v>104.999</v>
      </c>
      <c r="AG18" s="4047">
        <v>113</v>
      </c>
      <c r="AH18" s="4048">
        <f>136.03*0+137*0+122236803/1000000</f>
        <v>122.23680299999999</v>
      </c>
      <c r="AI18" s="3619">
        <f t="shared" si="6"/>
        <v>8.1741619469026583E-2</v>
      </c>
      <c r="AJ18" s="3378">
        <v>67.694999999999993</v>
      </c>
      <c r="AK18" s="386">
        <v>72.734999999999999</v>
      </c>
      <c r="AL18" s="386">
        <v>69</v>
      </c>
      <c r="AM18" s="387">
        <f t="shared" si="10"/>
        <v>-5.1350793978139797E-2</v>
      </c>
      <c r="AN18" s="2342">
        <f t="shared" si="7"/>
        <v>8.0010000000000048</v>
      </c>
      <c r="AO18" s="373">
        <f t="shared" si="8"/>
        <v>9.2368029999999948</v>
      </c>
      <c r="AP18" s="373"/>
    </row>
    <row r="19" spans="1:44" ht="45" customHeight="1">
      <c r="A19" s="1304" t="s">
        <v>473</v>
      </c>
      <c r="B19" s="1305">
        <v>1.395</v>
      </c>
      <c r="C19" s="1305">
        <v>2.403</v>
      </c>
      <c r="D19" s="1305">
        <v>2.6349999999999998</v>
      </c>
      <c r="E19" s="1306">
        <v>2.9489999999999998</v>
      </c>
      <c r="F19" s="1306">
        <v>4.3150000000000004</v>
      </c>
      <c r="G19" s="1306">
        <v>6.5220000000000002</v>
      </c>
      <c r="H19" s="1306">
        <v>7.5179999999999998</v>
      </c>
      <c r="I19" s="1306">
        <v>7.1829999999999998</v>
      </c>
      <c r="J19" s="1306">
        <v>7.8639999999999999</v>
      </c>
      <c r="K19" s="1306">
        <v>17.38063</v>
      </c>
      <c r="L19" s="1306">
        <v>20.651094000000001</v>
      </c>
      <c r="M19" s="1307">
        <v>20.444383999999999</v>
      </c>
      <c r="N19" s="1323">
        <v>34.93</v>
      </c>
      <c r="O19" s="1323">
        <v>44.782510000000009</v>
      </c>
      <c r="P19" s="1308">
        <v>59.288207</v>
      </c>
      <c r="Q19" s="1308">
        <v>51.040577450000001</v>
      </c>
      <c r="R19" s="1309">
        <v>53.846000000000004</v>
      </c>
      <c r="S19" s="1312">
        <v>44.232064999999992</v>
      </c>
      <c r="T19" s="1311">
        <v>43.006</v>
      </c>
      <c r="U19" s="1310">
        <v>43.848999999999997</v>
      </c>
      <c r="V19" s="1312">
        <v>41.089999999999989</v>
      </c>
      <c r="W19" s="1312">
        <v>48.199888999999999</v>
      </c>
      <c r="X19" s="1312">
        <v>54.548450849999995</v>
      </c>
      <c r="Y19" s="1312">
        <v>57.128197</v>
      </c>
      <c r="Z19" s="1312">
        <v>52.85</v>
      </c>
      <c r="AA19" s="1313">
        <f>57.259+0.3</f>
        <v>57.558999999999997</v>
      </c>
      <c r="AB19" s="1313">
        <v>75.7</v>
      </c>
      <c r="AC19" s="1314">
        <v>71.345319999999987</v>
      </c>
      <c r="AD19" s="2743">
        <f>72.503*0+76.7</f>
        <v>76.7</v>
      </c>
      <c r="AE19" s="2743">
        <f>70*0+66.5</f>
        <v>66.5</v>
      </c>
      <c r="AF19" s="2743">
        <v>65.986999999999995</v>
      </c>
      <c r="AG19" s="4047">
        <v>71.8</v>
      </c>
      <c r="AH19" s="4048">
        <f>83.97*0+85*0+100836082/1000000</f>
        <v>100.836082</v>
      </c>
      <c r="AI19" s="3619">
        <f t="shared" si="6"/>
        <v>0.40440225626740967</v>
      </c>
      <c r="AJ19" s="3378">
        <v>52.771000000000001</v>
      </c>
      <c r="AK19" s="386">
        <v>50.768999999999998</v>
      </c>
      <c r="AL19" s="386">
        <v>46</v>
      </c>
      <c r="AM19" s="387">
        <f t="shared" si="10"/>
        <v>-9.3935275463373324E-2</v>
      </c>
      <c r="AN19" s="2342">
        <f t="shared" si="7"/>
        <v>5.8130000000000024</v>
      </c>
      <c r="AO19" s="373">
        <f t="shared" si="8"/>
        <v>29.036082000000007</v>
      </c>
      <c r="AP19" s="373"/>
    </row>
    <row r="20" spans="1:44" ht="45" customHeight="1">
      <c r="A20" s="1304"/>
      <c r="B20" s="1305"/>
      <c r="C20" s="1305"/>
      <c r="D20" s="1305"/>
      <c r="E20" s="1306"/>
      <c r="F20" s="1306"/>
      <c r="G20" s="1306"/>
      <c r="H20" s="1306"/>
      <c r="I20" s="1306"/>
      <c r="J20" s="1306"/>
      <c r="K20" s="1306"/>
      <c r="L20" s="1306"/>
      <c r="M20" s="1307"/>
      <c r="N20" s="1308"/>
      <c r="O20" s="1308"/>
      <c r="P20" s="1324"/>
      <c r="Q20" s="1324"/>
      <c r="R20" s="1325"/>
      <c r="S20" s="1326"/>
      <c r="T20" s="1327"/>
      <c r="U20" s="1326"/>
      <c r="V20" s="1326"/>
      <c r="W20" s="1326"/>
      <c r="X20" s="1326"/>
      <c r="Y20" s="1326"/>
      <c r="Z20" s="1326"/>
      <c r="AA20" s="1328"/>
      <c r="AB20" s="1328"/>
      <c r="AC20" s="1329"/>
      <c r="AD20" s="2744"/>
      <c r="AE20" s="2744"/>
      <c r="AF20" s="2744"/>
      <c r="AG20" s="4048"/>
      <c r="AH20" s="3622"/>
      <c r="AI20" s="3385"/>
      <c r="AJ20" s="3379"/>
      <c r="AK20" s="392"/>
      <c r="AL20" s="392"/>
      <c r="AM20" s="387"/>
      <c r="AN20" s="2342">
        <f t="shared" si="7"/>
        <v>0</v>
      </c>
      <c r="AO20" s="373"/>
      <c r="AP20" s="373"/>
    </row>
    <row r="21" spans="1:44" ht="45" customHeight="1">
      <c r="A21" s="1295" t="s">
        <v>228</v>
      </c>
      <c r="B21" s="1296">
        <v>45.372999999999998</v>
      </c>
      <c r="C21" s="1296">
        <v>45.877000000000002</v>
      </c>
      <c r="D21" s="1296">
        <v>47.872999999999998</v>
      </c>
      <c r="E21" s="1297">
        <v>48.591999999999999</v>
      </c>
      <c r="F21" s="1297">
        <v>53.344999999999999</v>
      </c>
      <c r="G21" s="1297">
        <v>56.057000000000002</v>
      </c>
      <c r="H21" s="1297">
        <v>66.930000000000007</v>
      </c>
      <c r="I21" s="1297">
        <v>66.616</v>
      </c>
      <c r="J21" s="1297">
        <v>71.049000000000007</v>
      </c>
      <c r="K21" s="1297">
        <v>71.058145999999994</v>
      </c>
      <c r="L21" s="1297">
        <v>70.722666000000032</v>
      </c>
      <c r="M21" s="1298">
        <f>M22+M23+M24+M25+M26+M27+M28</f>
        <v>0</v>
      </c>
      <c r="N21" s="1299">
        <f>+N22+N23+N24+N25+N26+N27+N28</f>
        <v>85.88000000000001</v>
      </c>
      <c r="O21" s="1299">
        <f t="shared" ref="O21:AL21" si="12">+O22+O23+O24+O25+O26+O27+O28</f>
        <v>87.642486999999988</v>
      </c>
      <c r="P21" s="1299">
        <f t="shared" si="12"/>
        <v>103.45504400000002</v>
      </c>
      <c r="Q21" s="1299">
        <f t="shared" si="12"/>
        <v>102.69694181</v>
      </c>
      <c r="R21" s="1300">
        <f t="shared" si="12"/>
        <v>114.53261400000001</v>
      </c>
      <c r="S21" s="1301">
        <f t="shared" si="12"/>
        <v>131.735196</v>
      </c>
      <c r="T21" s="1302">
        <f t="shared" si="12"/>
        <v>131.26127700000001</v>
      </c>
      <c r="U21" s="1301">
        <f t="shared" si="12"/>
        <v>137.83514</v>
      </c>
      <c r="V21" s="1301">
        <f t="shared" si="12"/>
        <v>145.99091799999999</v>
      </c>
      <c r="W21" s="1301">
        <f t="shared" si="12"/>
        <v>174.36852999999999</v>
      </c>
      <c r="X21" s="1301">
        <f t="shared" si="12"/>
        <v>167.62227924236362</v>
      </c>
      <c r="Y21" s="1301">
        <f t="shared" si="12"/>
        <v>163.68176192999999</v>
      </c>
      <c r="Z21" s="1301">
        <f t="shared" si="12"/>
        <v>174.62</v>
      </c>
      <c r="AA21" s="1303">
        <f t="shared" si="12"/>
        <v>182.70099999999996</v>
      </c>
      <c r="AB21" s="1303">
        <f t="shared" si="12"/>
        <v>204.75300000000004</v>
      </c>
      <c r="AC21" s="1303">
        <f t="shared" si="12"/>
        <v>233.80298999999997</v>
      </c>
      <c r="AD21" s="2740">
        <f t="shared" si="12"/>
        <v>265.14599999999996</v>
      </c>
      <c r="AE21" s="2740">
        <f t="shared" si="12"/>
        <v>293.61228400000005</v>
      </c>
      <c r="AF21" s="2740">
        <f t="shared" si="12"/>
        <v>304.58600000000001</v>
      </c>
      <c r="AG21" s="4045">
        <f t="shared" si="12"/>
        <v>298.32000000000005</v>
      </c>
      <c r="AH21" s="2740">
        <f t="shared" si="12"/>
        <v>296.12799999999999</v>
      </c>
      <c r="AI21" s="3385">
        <f t="shared" si="6"/>
        <v>-7.347814427460686E-3</v>
      </c>
      <c r="AJ21" s="3375">
        <f t="shared" si="12"/>
        <v>162.96711217000001</v>
      </c>
      <c r="AK21" s="383">
        <f t="shared" si="12"/>
        <v>170.92120223000001</v>
      </c>
      <c r="AL21" s="383">
        <f t="shared" si="12"/>
        <v>182.86</v>
      </c>
      <c r="AM21" s="384">
        <f t="shared" si="10"/>
        <v>6.98497179649753E-2</v>
      </c>
      <c r="AN21" s="2342">
        <f t="shared" si="7"/>
        <v>-6.2659999999999627</v>
      </c>
      <c r="AO21" s="373">
        <f t="shared" si="8"/>
        <v>-2.1920000000000641</v>
      </c>
      <c r="AP21" s="373"/>
    </row>
    <row r="22" spans="1:44" ht="45" customHeight="1">
      <c r="A22" s="1304" t="s">
        <v>474</v>
      </c>
      <c r="B22" s="1296"/>
      <c r="C22" s="1296"/>
      <c r="D22" s="1296"/>
      <c r="E22" s="1297"/>
      <c r="F22" s="1297"/>
      <c r="G22" s="1297"/>
      <c r="H22" s="1297"/>
      <c r="I22" s="1297"/>
      <c r="J22" s="1297"/>
      <c r="K22" s="1297"/>
      <c r="L22" s="1297"/>
      <c r="M22" s="1307"/>
      <c r="N22" s="1308">
        <v>8</v>
      </c>
      <c r="O22" s="1308">
        <v>8.4475999999999996</v>
      </c>
      <c r="P22" s="1308">
        <v>8.6150000000000002</v>
      </c>
      <c r="Q22" s="1308">
        <v>9.2928320000000006</v>
      </c>
      <c r="R22" s="1309">
        <v>9.5236599999999996</v>
      </c>
      <c r="S22" s="1310">
        <v>10.74</v>
      </c>
      <c r="T22" s="1311">
        <v>10.43</v>
      </c>
      <c r="U22" s="1310">
        <v>10.25</v>
      </c>
      <c r="V22" s="1312">
        <v>10.08</v>
      </c>
      <c r="W22" s="1312">
        <v>10.996370000000001</v>
      </c>
      <c r="X22" s="1312">
        <v>12.344069129999999</v>
      </c>
      <c r="Y22" s="1312">
        <v>12.159223530000002</v>
      </c>
      <c r="Z22" s="1312">
        <v>12.46</v>
      </c>
      <c r="AA22" s="1313">
        <v>12.574</v>
      </c>
      <c r="AB22" s="1313">
        <v>13.239000000000001</v>
      </c>
      <c r="AC22" s="1314">
        <v>13.429</v>
      </c>
      <c r="AD22" s="2743">
        <f>15.572*0+14.872</f>
        <v>14.872</v>
      </c>
      <c r="AE22" s="2743">
        <f>12.85*0+13.2*0+10.678</f>
        <v>10.678000000000001</v>
      </c>
      <c r="AF22" s="2743">
        <f>(12.202*0+13.605)*0+13.651</f>
        <v>13.651</v>
      </c>
      <c r="AG22" s="4047">
        <v>16.2</v>
      </c>
      <c r="AH22" s="3621">
        <v>16.09</v>
      </c>
      <c r="AI22" s="3619">
        <f t="shared" si="6"/>
        <v>-6.790123456790087E-3</v>
      </c>
      <c r="AJ22" s="3378">
        <v>10.309385499999999</v>
      </c>
      <c r="AK22" s="386">
        <v>11.66411328</v>
      </c>
      <c r="AL22" s="386">
        <v>9.7949999999999999</v>
      </c>
      <c r="AM22" s="387">
        <f t="shared" si="10"/>
        <v>-0.16024478116179619</v>
      </c>
      <c r="AN22" s="2342">
        <f t="shared" si="7"/>
        <v>2.5489999999999995</v>
      </c>
      <c r="AO22" s="373">
        <f t="shared" si="8"/>
        <v>-0.10999999999999943</v>
      </c>
      <c r="AP22" s="373"/>
    </row>
    <row r="23" spans="1:44" ht="45" customHeight="1">
      <c r="A23" s="1304" t="s">
        <v>450</v>
      </c>
      <c r="B23" s="1296"/>
      <c r="C23" s="1296"/>
      <c r="D23" s="1296"/>
      <c r="E23" s="1297"/>
      <c r="F23" s="1297"/>
      <c r="G23" s="1297"/>
      <c r="H23" s="1297"/>
      <c r="I23" s="1297"/>
      <c r="J23" s="1297"/>
      <c r="K23" s="1297"/>
      <c r="L23" s="1297"/>
      <c r="M23" s="1307"/>
      <c r="N23" s="1308">
        <v>11.7</v>
      </c>
      <c r="O23" s="1308">
        <v>13.865</v>
      </c>
      <c r="P23" s="1308">
        <v>19.158999999999999</v>
      </c>
      <c r="Q23" s="1308">
        <v>17.972999999999999</v>
      </c>
      <c r="R23" s="1309">
        <v>19.39</v>
      </c>
      <c r="S23" s="1310">
        <v>23.18</v>
      </c>
      <c r="T23" s="1311">
        <v>20.29</v>
      </c>
      <c r="U23" s="1310">
        <v>21.942</v>
      </c>
      <c r="V23" s="1312">
        <v>26.012</v>
      </c>
      <c r="W23" s="1312">
        <v>33.527496999999997</v>
      </c>
      <c r="X23" s="1312">
        <v>30.825596071454548</v>
      </c>
      <c r="Y23" s="1312">
        <v>30.250357999999995</v>
      </c>
      <c r="Z23" s="1312">
        <v>29.49</v>
      </c>
      <c r="AA23" s="1313">
        <v>26.285</v>
      </c>
      <c r="AB23" s="1313">
        <v>28.914000000000001</v>
      </c>
      <c r="AC23" s="1314">
        <v>26.602</v>
      </c>
      <c r="AD23" s="2743">
        <f>25.048*0+27.39</f>
        <v>27.39</v>
      </c>
      <c r="AE23" s="2743">
        <f>25.152*0+27.7*0+28.814</f>
        <v>28.814</v>
      </c>
      <c r="AF23" s="2743">
        <f>(27.425*0+28.339)*0+25.727</f>
        <v>25.727</v>
      </c>
      <c r="AG23" s="4047">
        <v>29.7</v>
      </c>
      <c r="AH23" s="3621">
        <v>28.45</v>
      </c>
      <c r="AI23" s="3619">
        <f t="shared" si="6"/>
        <v>-4.2087542087542062E-2</v>
      </c>
      <c r="AJ23" s="3378">
        <v>16.600181729999999</v>
      </c>
      <c r="AK23" s="386">
        <v>17.969469239999999</v>
      </c>
      <c r="AL23" s="386">
        <v>14.43</v>
      </c>
      <c r="AM23" s="387">
        <f t="shared" si="10"/>
        <v>-0.19697127348208754</v>
      </c>
      <c r="AN23" s="2342">
        <f t="shared" si="7"/>
        <v>3.972999999999999</v>
      </c>
      <c r="AO23" s="373">
        <f t="shared" si="8"/>
        <v>-1.25</v>
      </c>
      <c r="AP23" s="373"/>
    </row>
    <row r="24" spans="1:44" ht="45" customHeight="1">
      <c r="A24" s="1304" t="s">
        <v>451</v>
      </c>
      <c r="B24" s="1296"/>
      <c r="C24" s="1296"/>
      <c r="D24" s="1296"/>
      <c r="E24" s="1297"/>
      <c r="F24" s="1297"/>
      <c r="G24" s="1297"/>
      <c r="H24" s="1297"/>
      <c r="I24" s="1297"/>
      <c r="J24" s="1297"/>
      <c r="K24" s="1297"/>
      <c r="L24" s="1297"/>
      <c r="M24" s="1307"/>
      <c r="N24" s="1308">
        <v>10.68</v>
      </c>
      <c r="O24" s="1308">
        <v>11.97903</v>
      </c>
      <c r="P24" s="1308">
        <v>16.152999999999999</v>
      </c>
      <c r="Q24" s="1308">
        <v>15.04305681</v>
      </c>
      <c r="R24" s="1309">
        <v>16.029737000000001</v>
      </c>
      <c r="S24" s="1310">
        <v>20.170000000000002</v>
      </c>
      <c r="T24" s="1311">
        <v>21.081277</v>
      </c>
      <c r="U24" s="1310">
        <v>20.785</v>
      </c>
      <c r="V24" s="1312">
        <v>24.876000000000001</v>
      </c>
      <c r="W24" s="1312">
        <v>27.223116999999998</v>
      </c>
      <c r="X24" s="1312">
        <v>26.335613969999997</v>
      </c>
      <c r="Y24" s="1312">
        <v>24.697898839999997</v>
      </c>
      <c r="Z24" s="1312">
        <v>29.71</v>
      </c>
      <c r="AA24" s="1313">
        <v>29.591999999999999</v>
      </c>
      <c r="AB24" s="1313">
        <v>30.965</v>
      </c>
      <c r="AC24" s="1314">
        <v>32.723990000000001</v>
      </c>
      <c r="AD24" s="2743">
        <f>44.058*0+44.207</f>
        <v>44.207000000000001</v>
      </c>
      <c r="AE24" s="2743">
        <f>51.383*0+54.6*0+55.731</f>
        <v>55.731000000000002</v>
      </c>
      <c r="AF24" s="2743">
        <f>(55.942*0+55.788)*0+59.103</f>
        <v>59.103000000000002</v>
      </c>
      <c r="AG24" s="4047">
        <v>47</v>
      </c>
      <c r="AH24" s="3621">
        <v>40.49</v>
      </c>
      <c r="AI24" s="3619">
        <f t="shared" si="6"/>
        <v>-0.13851063829787225</v>
      </c>
      <c r="AJ24" s="3378">
        <v>24.237422479999999</v>
      </c>
      <c r="AK24" s="386">
        <v>30.319533659999998</v>
      </c>
      <c r="AL24" s="386">
        <v>34.298999999999999</v>
      </c>
      <c r="AM24" s="387">
        <f t="shared" si="10"/>
        <v>0.1312509085603133</v>
      </c>
      <c r="AN24" s="2342">
        <f t="shared" si="7"/>
        <v>-12.103000000000002</v>
      </c>
      <c r="AO24" s="373">
        <f t="shared" si="8"/>
        <v>-6.509999999999998</v>
      </c>
      <c r="AP24" s="373"/>
    </row>
    <row r="25" spans="1:44" ht="45" customHeight="1">
      <c r="A25" s="1304" t="s">
        <v>452</v>
      </c>
      <c r="B25" s="1296"/>
      <c r="C25" s="1296"/>
      <c r="D25" s="1296"/>
      <c r="E25" s="1297"/>
      <c r="F25" s="1297"/>
      <c r="G25" s="1297"/>
      <c r="H25" s="1297"/>
      <c r="I25" s="1297"/>
      <c r="J25" s="1297"/>
      <c r="K25" s="1297"/>
      <c r="L25" s="1297"/>
      <c r="M25" s="1307"/>
      <c r="N25" s="1308">
        <v>10.18</v>
      </c>
      <c r="O25" s="1308">
        <v>9.7280999999999995</v>
      </c>
      <c r="P25" s="1308">
        <v>11.426</v>
      </c>
      <c r="Q25" s="1308">
        <v>12.57</v>
      </c>
      <c r="R25" s="1309">
        <v>15.96</v>
      </c>
      <c r="S25" s="1310">
        <v>18.170000000000002</v>
      </c>
      <c r="T25" s="1311">
        <v>18.559999999999999</v>
      </c>
      <c r="U25" s="1310">
        <v>20.04644</v>
      </c>
      <c r="V25" s="1312">
        <v>21.491358999999999</v>
      </c>
      <c r="W25" s="1312">
        <v>23.161670999999998</v>
      </c>
      <c r="X25" s="1312">
        <v>22.727440309999995</v>
      </c>
      <c r="Y25" s="1312">
        <v>22.60095046</v>
      </c>
      <c r="Z25" s="1312">
        <v>23.96</v>
      </c>
      <c r="AA25" s="1313">
        <v>29.052</v>
      </c>
      <c r="AB25" s="1313">
        <v>38.307000000000002</v>
      </c>
      <c r="AC25" s="1314">
        <v>47.485999999999997</v>
      </c>
      <c r="AD25" s="2743">
        <f>44.8989*0+43.577</f>
        <v>43.576999999999998</v>
      </c>
      <c r="AE25" s="2743">
        <f>40.553*0+44*0+44.478</f>
        <v>44.478000000000002</v>
      </c>
      <c r="AF25" s="2743">
        <f>(34.547*0+38.468)*0+43.937</f>
        <v>43.936999999999998</v>
      </c>
      <c r="AG25" s="4047">
        <v>46.7</v>
      </c>
      <c r="AH25" s="3621">
        <v>43.69</v>
      </c>
      <c r="AI25" s="3619">
        <f t="shared" si="6"/>
        <v>-6.4453961456102937E-2</v>
      </c>
      <c r="AJ25" s="3378">
        <v>34.132860360000002</v>
      </c>
      <c r="AK25" s="386">
        <v>30.939862079999997</v>
      </c>
      <c r="AL25" s="386">
        <v>29.123999999999999</v>
      </c>
      <c r="AM25" s="387">
        <f t="shared" si="10"/>
        <v>-5.8690050889845469E-2</v>
      </c>
      <c r="AN25" s="2342">
        <f t="shared" si="7"/>
        <v>2.7630000000000052</v>
      </c>
      <c r="AO25" s="373">
        <f t="shared" si="8"/>
        <v>-3.0100000000000051</v>
      </c>
      <c r="AP25" s="373"/>
    </row>
    <row r="26" spans="1:44" ht="45" customHeight="1">
      <c r="A26" s="1304" t="s">
        <v>453</v>
      </c>
      <c r="B26" s="1296"/>
      <c r="C26" s="1296"/>
      <c r="D26" s="1296"/>
      <c r="E26" s="1297"/>
      <c r="F26" s="1297"/>
      <c r="G26" s="1297"/>
      <c r="H26" s="1297"/>
      <c r="I26" s="1297"/>
      <c r="J26" s="1297"/>
      <c r="K26" s="1297"/>
      <c r="L26" s="1297"/>
      <c r="M26" s="1307"/>
      <c r="N26" s="1308">
        <v>15.3</v>
      </c>
      <c r="O26" s="1308">
        <v>18.489349999999998</v>
      </c>
      <c r="P26" s="1308">
        <v>21.347000000000001</v>
      </c>
      <c r="Q26" s="1308">
        <v>19.850999999999999</v>
      </c>
      <c r="R26" s="1309">
        <v>23.39</v>
      </c>
      <c r="S26" s="1310">
        <v>28.12</v>
      </c>
      <c r="T26" s="1311">
        <v>28.2</v>
      </c>
      <c r="U26" s="1310">
        <v>30.682700000000001</v>
      </c>
      <c r="V26" s="1312">
        <v>30.326256000000001</v>
      </c>
      <c r="W26" s="1312">
        <v>32.809320999999997</v>
      </c>
      <c r="X26" s="1312">
        <v>36.493410074545459</v>
      </c>
      <c r="Y26" s="1312">
        <v>36.980941799999997</v>
      </c>
      <c r="Z26" s="1312">
        <v>37.28</v>
      </c>
      <c r="AA26" s="1313">
        <v>38.125</v>
      </c>
      <c r="AB26" s="1313">
        <v>44.627000000000002</v>
      </c>
      <c r="AC26" s="1314">
        <v>47.139000000000003</v>
      </c>
      <c r="AD26" s="2743">
        <f>51.54*0+56.07</f>
        <v>56.07</v>
      </c>
      <c r="AE26" s="2743">
        <f>72.107*0+74.4*0+75.062</f>
        <v>75.061999999999998</v>
      </c>
      <c r="AF26" s="2743">
        <f>(73.744*0+74.934)*0+73.94</f>
        <v>73.94</v>
      </c>
      <c r="AG26" s="4047">
        <v>62.4</v>
      </c>
      <c r="AH26" s="3621">
        <v>65.84</v>
      </c>
      <c r="AI26" s="3619">
        <f t="shared" si="6"/>
        <v>5.5128205128205154E-2</v>
      </c>
      <c r="AJ26" s="3378">
        <v>34.767438549999994</v>
      </c>
      <c r="AK26" s="386">
        <v>36.789285960000001</v>
      </c>
      <c r="AL26" s="386">
        <v>47.064999999999998</v>
      </c>
      <c r="AM26" s="387">
        <f t="shared" si="10"/>
        <v>0.27931267954405259</v>
      </c>
      <c r="AN26" s="2342">
        <f t="shared" si="7"/>
        <v>-11.54</v>
      </c>
      <c r="AO26" s="373">
        <f t="shared" si="8"/>
        <v>3.4400000000000048</v>
      </c>
      <c r="AP26" s="373"/>
    </row>
    <row r="27" spans="1:44" ht="45" customHeight="1">
      <c r="A27" s="1304" t="s">
        <v>454</v>
      </c>
      <c r="B27" s="1296"/>
      <c r="C27" s="1296"/>
      <c r="D27" s="1296"/>
      <c r="E27" s="1297"/>
      <c r="F27" s="1297"/>
      <c r="G27" s="1297"/>
      <c r="H27" s="1297"/>
      <c r="I27" s="1297"/>
      <c r="J27" s="1297"/>
      <c r="K27" s="1297"/>
      <c r="L27" s="1297"/>
      <c r="M27" s="1307"/>
      <c r="N27" s="1308">
        <v>13.29</v>
      </c>
      <c r="O27" s="1308">
        <v>7.6994999999999996</v>
      </c>
      <c r="P27" s="1308">
        <v>7.59</v>
      </c>
      <c r="Q27" s="1308">
        <v>7.64</v>
      </c>
      <c r="R27" s="1309">
        <v>9.09</v>
      </c>
      <c r="S27" s="1310">
        <v>9.5060000000000002</v>
      </c>
      <c r="T27" s="1311">
        <v>9.8000000000000007</v>
      </c>
      <c r="U27" s="1310">
        <v>8.923</v>
      </c>
      <c r="V27" s="1312">
        <v>9.6426750000000006</v>
      </c>
      <c r="W27" s="1312">
        <v>15.041148</v>
      </c>
      <c r="X27" s="1312">
        <v>11.188994626363638</v>
      </c>
      <c r="Y27" s="1312">
        <v>11.394070240000001</v>
      </c>
      <c r="Z27" s="1312">
        <v>12.17</v>
      </c>
      <c r="AA27" s="1313">
        <v>10.57</v>
      </c>
      <c r="AB27" s="1313">
        <v>10.132</v>
      </c>
      <c r="AC27" s="1314">
        <v>10.944000000000001</v>
      </c>
      <c r="AD27" s="2743">
        <f>12.068*0+11.5</f>
        <v>11.5</v>
      </c>
      <c r="AE27" s="2743">
        <f>11.278*0+15*0+16.069</f>
        <v>16.068999999999999</v>
      </c>
      <c r="AF27" s="2743">
        <f>(14.349*0+14.393)*0+14.518</f>
        <v>14.518000000000001</v>
      </c>
      <c r="AG27" s="4047">
        <v>14.9</v>
      </c>
      <c r="AH27" s="3621">
        <v>14.058</v>
      </c>
      <c r="AI27" s="3619">
        <f t="shared" si="6"/>
        <v>-5.6510067114094009E-2</v>
      </c>
      <c r="AJ27" s="3378">
        <v>6.4654206299999997</v>
      </c>
      <c r="AK27" s="386">
        <v>6.9975568000000008</v>
      </c>
      <c r="AL27" s="386">
        <v>7.4059999999999997</v>
      </c>
      <c r="AM27" s="387">
        <f t="shared" si="10"/>
        <v>5.8369401160130563E-2</v>
      </c>
      <c r="AN27" s="2342">
        <f t="shared" si="7"/>
        <v>0.38199999999999967</v>
      </c>
      <c r="AO27" s="373">
        <f t="shared" si="8"/>
        <v>-0.84200000000000053</v>
      </c>
      <c r="AP27" s="373"/>
    </row>
    <row r="28" spans="1:44" ht="45" customHeight="1">
      <c r="A28" s="1304" t="s">
        <v>455</v>
      </c>
      <c r="B28" s="1296"/>
      <c r="C28" s="1296"/>
      <c r="D28" s="1296"/>
      <c r="E28" s="1297"/>
      <c r="F28" s="1297"/>
      <c r="G28" s="1297"/>
      <c r="H28" s="1297"/>
      <c r="I28" s="1297"/>
      <c r="J28" s="1297"/>
      <c r="K28" s="1297"/>
      <c r="L28" s="1297"/>
      <c r="M28" s="1307"/>
      <c r="N28" s="1308">
        <f>16.73</f>
        <v>16.73</v>
      </c>
      <c r="O28" s="1308">
        <v>17.433906999999998</v>
      </c>
      <c r="P28" s="1308">
        <v>19.165044000000005</v>
      </c>
      <c r="Q28" s="1308">
        <v>20.327052999999999</v>
      </c>
      <c r="R28" s="1309">
        <v>21.149217000000004</v>
      </c>
      <c r="S28" s="1310">
        <v>21.849195999999999</v>
      </c>
      <c r="T28" s="1311">
        <v>22.9</v>
      </c>
      <c r="U28" s="1310">
        <v>25.206</v>
      </c>
      <c r="V28" s="1312">
        <v>23.562628</v>
      </c>
      <c r="W28" s="1312">
        <v>31.609406</v>
      </c>
      <c r="X28" s="1312">
        <v>27.707155060000005</v>
      </c>
      <c r="Y28" s="1312">
        <v>25.598319059999998</v>
      </c>
      <c r="Z28" s="1312">
        <v>29.55</v>
      </c>
      <c r="AA28" s="1313">
        <v>36.503</v>
      </c>
      <c r="AB28" s="1330">
        <v>38.569000000000003</v>
      </c>
      <c r="AC28" s="1331">
        <v>55.478999999999999</v>
      </c>
      <c r="AD28" s="2745">
        <f>65.6819*0+67.53</f>
        <v>67.53</v>
      </c>
      <c r="AE28" s="2745">
        <f>58.753*0+68.9*0+(46.51+0.715258+6.538958+0.277572+0.0029+5.130656+3.6+0.00494)</f>
        <v>62.780283999999995</v>
      </c>
      <c r="AF28" s="2745">
        <f>(75.917295*0+76.658)*0+73.71</f>
        <v>73.709999999999994</v>
      </c>
      <c r="AG28" s="4049">
        <v>81.42</v>
      </c>
      <c r="AH28" s="3623">
        <v>87.51</v>
      </c>
      <c r="AI28" s="3619">
        <f t="shared" si="6"/>
        <v>7.479734708916741E-2</v>
      </c>
      <c r="AJ28" s="3380">
        <v>36.454402919999993</v>
      </c>
      <c r="AK28" s="393">
        <v>36.24138121</v>
      </c>
      <c r="AL28" s="393">
        <v>40.741</v>
      </c>
      <c r="AM28" s="387">
        <f t="shared" si="10"/>
        <v>0.12415693441502795</v>
      </c>
      <c r="AN28" s="2342">
        <f t="shared" si="7"/>
        <v>7.710000000000008</v>
      </c>
      <c r="AO28" s="373">
        <f t="shared" si="8"/>
        <v>6.0900000000000034</v>
      </c>
      <c r="AP28" s="373"/>
    </row>
    <row r="29" spans="1:44" ht="45" customHeight="1">
      <c r="A29" s="1304"/>
      <c r="B29" s="1296"/>
      <c r="C29" s="1296"/>
      <c r="D29" s="1296"/>
      <c r="E29" s="1297"/>
      <c r="F29" s="1297"/>
      <c r="G29" s="1297"/>
      <c r="H29" s="1297"/>
      <c r="I29" s="1297"/>
      <c r="J29" s="1297"/>
      <c r="K29" s="1297"/>
      <c r="L29" s="1297"/>
      <c r="M29" s="1307"/>
      <c r="N29" s="1308"/>
      <c r="O29" s="1308"/>
      <c r="P29" s="1308"/>
      <c r="Q29" s="1308"/>
      <c r="R29" s="1309"/>
      <c r="S29" s="1310"/>
      <c r="T29" s="1311"/>
      <c r="U29" s="1310"/>
      <c r="V29" s="1312"/>
      <c r="W29" s="1312"/>
      <c r="X29" s="1312"/>
      <c r="Y29" s="1312"/>
      <c r="Z29" s="1312"/>
      <c r="AA29" s="1313"/>
      <c r="AB29" s="1313"/>
      <c r="AC29" s="1314"/>
      <c r="AD29" s="2743"/>
      <c r="AE29" s="2743"/>
      <c r="AF29" s="2743"/>
      <c r="AG29" s="4047"/>
      <c r="AH29" s="3621"/>
      <c r="AI29" s="3385"/>
      <c r="AJ29" s="3378"/>
      <c r="AK29" s="386"/>
      <c r="AL29" s="386"/>
      <c r="AM29" s="387"/>
      <c r="AN29" s="2342">
        <f t="shared" si="7"/>
        <v>0</v>
      </c>
      <c r="AO29" s="373"/>
      <c r="AP29" s="373"/>
    </row>
    <row r="30" spans="1:44" ht="45" customHeight="1">
      <c r="A30" s="1295" t="s">
        <v>179</v>
      </c>
      <c r="B30" s="1296">
        <v>30.073999999999998</v>
      </c>
      <c r="C30" s="1296">
        <v>34.632000000000005</v>
      </c>
      <c r="D30" s="1296">
        <v>34.548999999999999</v>
      </c>
      <c r="E30" s="1297">
        <v>36.939603000000005</v>
      </c>
      <c r="F30" s="1297">
        <v>39.344000000000001</v>
      </c>
      <c r="G30" s="1297">
        <v>45.945999999999998</v>
      </c>
      <c r="H30" s="1297">
        <v>46.924000000000007</v>
      </c>
      <c r="I30" s="1297">
        <v>45.262</v>
      </c>
      <c r="J30" s="1297">
        <v>34.106999999999999</v>
      </c>
      <c r="K30" s="1297">
        <v>34.950603000000001</v>
      </c>
      <c r="L30" s="1297">
        <v>42.204071999999996</v>
      </c>
      <c r="M30" s="1298">
        <f>M31+M32+M36+M37</f>
        <v>91.986318999999995</v>
      </c>
      <c r="N30" s="1299">
        <f t="shared" ref="N30:W30" si="13">N31+N32+N36+N37</f>
        <v>101.779464</v>
      </c>
      <c r="O30" s="1299">
        <f t="shared" si="13"/>
        <v>117.25450099999998</v>
      </c>
      <c r="P30" s="1299">
        <f t="shared" si="13"/>
        <v>110.33522489000001</v>
      </c>
      <c r="Q30" s="1299">
        <f t="shared" si="13"/>
        <v>117.83869099999998</v>
      </c>
      <c r="R30" s="1300">
        <f t="shared" si="13"/>
        <v>114.63088200000001</v>
      </c>
      <c r="S30" s="1301">
        <f t="shared" si="13"/>
        <v>127.36634400000001</v>
      </c>
      <c r="T30" s="1302">
        <f t="shared" si="13"/>
        <v>149.61312600000002</v>
      </c>
      <c r="U30" s="1301">
        <f t="shared" si="13"/>
        <v>160.57240899999999</v>
      </c>
      <c r="V30" s="1301">
        <f t="shared" si="13"/>
        <v>175.29870500000001</v>
      </c>
      <c r="W30" s="1301">
        <f t="shared" si="13"/>
        <v>186.913118</v>
      </c>
      <c r="X30" s="1301">
        <f t="shared" ref="X30:AC30" si="14">X31+X32+X36+X37</f>
        <v>181.36093291000003</v>
      </c>
      <c r="Y30" s="1301">
        <f t="shared" si="14"/>
        <v>188.38489485000002</v>
      </c>
      <c r="Z30" s="1301">
        <f t="shared" si="14"/>
        <v>191.39</v>
      </c>
      <c r="AA30" s="1303">
        <f t="shared" si="14"/>
        <v>219.624</v>
      </c>
      <c r="AB30" s="1303">
        <f t="shared" si="14"/>
        <v>239.33729999999997</v>
      </c>
      <c r="AC30" s="1303">
        <f t="shared" si="14"/>
        <v>267.82259999999997</v>
      </c>
      <c r="AD30" s="2740">
        <f>AD31+AD32+AD35</f>
        <v>298.2</v>
      </c>
      <c r="AE30" s="2740">
        <f t="shared" ref="AE30:AL30" si="15">AE31+AE32+AE35</f>
        <v>279.62302500000004</v>
      </c>
      <c r="AF30" s="2740">
        <f t="shared" si="15"/>
        <v>289.73199999999997</v>
      </c>
      <c r="AG30" s="4045">
        <f t="shared" si="15"/>
        <v>332.3</v>
      </c>
      <c r="AH30" s="2740">
        <f t="shared" si="15"/>
        <v>349.077</v>
      </c>
      <c r="AI30" s="3385">
        <f t="shared" si="6"/>
        <v>5.0487511284983411E-2</v>
      </c>
      <c r="AJ30" s="3375">
        <f t="shared" si="15"/>
        <v>197.54000000000002</v>
      </c>
      <c r="AK30" s="383">
        <f t="shared" si="15"/>
        <v>222.32</v>
      </c>
      <c r="AL30" s="383">
        <f t="shared" si="15"/>
        <v>197.905</v>
      </c>
      <c r="AM30" s="384">
        <f t="shared" si="10"/>
        <v>-0.10981917956099319</v>
      </c>
      <c r="AN30" s="2342">
        <f t="shared" si="7"/>
        <v>42.56800000000004</v>
      </c>
      <c r="AO30" s="373">
        <f t="shared" si="8"/>
        <v>16.776999999999987</v>
      </c>
      <c r="AP30" s="373"/>
    </row>
    <row r="31" spans="1:44" ht="45" customHeight="1">
      <c r="A31" s="1304" t="s">
        <v>456</v>
      </c>
      <c r="B31" s="1305">
        <v>12.234</v>
      </c>
      <c r="C31" s="1305">
        <v>21.489000000000001</v>
      </c>
      <c r="D31" s="1305">
        <v>18.911999999999999</v>
      </c>
      <c r="E31" s="1306">
        <v>20.333603</v>
      </c>
      <c r="F31" s="1306">
        <v>22.119</v>
      </c>
      <c r="G31" s="1306">
        <v>22.603999999999999</v>
      </c>
      <c r="H31" s="1306">
        <v>32.130000000000003</v>
      </c>
      <c r="I31" s="1306">
        <v>35.143000000000001</v>
      </c>
      <c r="J31" s="1306">
        <v>30.381</v>
      </c>
      <c r="K31" s="1306">
        <v>30.493221999999999</v>
      </c>
      <c r="L31" s="1306">
        <v>37.443765999999997</v>
      </c>
      <c r="M31" s="1307">
        <v>52.339213999999998</v>
      </c>
      <c r="N31" s="1308">
        <v>56.639092000000005</v>
      </c>
      <c r="O31" s="1308">
        <v>66.378846999999993</v>
      </c>
      <c r="P31" s="1308">
        <v>61.702666000000001</v>
      </c>
      <c r="Q31" s="1308">
        <v>62.04</v>
      </c>
      <c r="R31" s="1309">
        <v>58.92</v>
      </c>
      <c r="S31" s="1310">
        <v>62.04</v>
      </c>
      <c r="T31" s="1311">
        <v>72.86</v>
      </c>
      <c r="U31" s="1310">
        <v>69.117000000000004</v>
      </c>
      <c r="V31" s="1312">
        <v>69.858445000000003</v>
      </c>
      <c r="W31" s="1312">
        <v>79.2</v>
      </c>
      <c r="X31" s="1312">
        <v>84.5</v>
      </c>
      <c r="Y31" s="1312">
        <v>86.7</v>
      </c>
      <c r="Z31" s="1312">
        <v>88.9</v>
      </c>
      <c r="AA31" s="1313">
        <v>107.4</v>
      </c>
      <c r="AB31" s="1313">
        <v>121.3</v>
      </c>
      <c r="AC31" s="1314">
        <v>134.69999999999999</v>
      </c>
      <c r="AD31" s="2743">
        <v>181</v>
      </c>
      <c r="AE31" s="2743">
        <v>163.80000000000001</v>
      </c>
      <c r="AF31" s="2743">
        <v>164.5</v>
      </c>
      <c r="AG31" s="4047">
        <v>188.4</v>
      </c>
      <c r="AH31" s="3621">
        <v>209.8</v>
      </c>
      <c r="AI31" s="3619">
        <f t="shared" si="6"/>
        <v>0.11358811040339711</v>
      </c>
      <c r="AJ31" s="3378">
        <v>98.2</v>
      </c>
      <c r="AK31" s="394">
        <v>135.41999999999999</v>
      </c>
      <c r="AL31" s="394">
        <v>115.1</v>
      </c>
      <c r="AM31" s="387">
        <f t="shared" si="10"/>
        <v>-0.15005169103529759</v>
      </c>
      <c r="AN31" s="2342">
        <f t="shared" si="7"/>
        <v>23.900000000000006</v>
      </c>
      <c r="AO31" s="373">
        <f t="shared" si="8"/>
        <v>21.400000000000006</v>
      </c>
      <c r="AP31" s="373"/>
    </row>
    <row r="32" spans="1:44" ht="45" customHeight="1">
      <c r="A32" s="1304" t="s">
        <v>472</v>
      </c>
      <c r="B32" s="1305">
        <v>17.84</v>
      </c>
      <c r="C32" s="1305">
        <v>13.143000000000001</v>
      </c>
      <c r="D32" s="1305">
        <v>15.637</v>
      </c>
      <c r="E32" s="1306">
        <v>16.606000000000002</v>
      </c>
      <c r="F32" s="1306">
        <v>17.225000000000001</v>
      </c>
      <c r="G32" s="1306">
        <v>23.341999999999999</v>
      </c>
      <c r="H32" s="1306">
        <v>14.794</v>
      </c>
      <c r="I32" s="1306">
        <v>10.119</v>
      </c>
      <c r="J32" s="1306">
        <v>3.726</v>
      </c>
      <c r="K32" s="1306">
        <v>4.4573809999999998</v>
      </c>
      <c r="L32" s="1306">
        <v>4.7603059999999999</v>
      </c>
      <c r="M32" s="1307">
        <f>M33+M34</f>
        <v>4.4171049999999994</v>
      </c>
      <c r="N32" s="1308">
        <f>N33+N34</f>
        <v>4.1899999999999995</v>
      </c>
      <c r="O32" s="1307">
        <v>4.039644</v>
      </c>
      <c r="P32" s="1307">
        <v>5.3117619999999999</v>
      </c>
      <c r="Q32" s="1307">
        <v>8.6098749999999988</v>
      </c>
      <c r="R32" s="1309">
        <v>6.4958939999999998</v>
      </c>
      <c r="S32" s="1312">
        <v>12.756344</v>
      </c>
      <c r="T32" s="1311">
        <v>19.396999999999998</v>
      </c>
      <c r="U32" s="1312">
        <v>27.011000000000003</v>
      </c>
      <c r="V32" s="1312">
        <v>32.911488000000006</v>
      </c>
      <c r="W32" s="1312">
        <v>37.583410999999998</v>
      </c>
      <c r="X32" s="1312">
        <v>20.6765325</v>
      </c>
      <c r="Y32" s="1312">
        <v>21.688220170000001</v>
      </c>
      <c r="Z32" s="1312">
        <v>17.57</v>
      </c>
      <c r="AA32" s="1313">
        <f t="shared" ref="AA32:AF32" si="16">AA33+AA34</f>
        <v>17.805999999999997</v>
      </c>
      <c r="AB32" s="1313">
        <f t="shared" si="16"/>
        <v>22.670400000000001</v>
      </c>
      <c r="AC32" s="1313">
        <f t="shared" si="16"/>
        <v>34.6188</v>
      </c>
      <c r="AD32" s="2746">
        <f t="shared" si="16"/>
        <v>15.903</v>
      </c>
      <c r="AE32" s="2746">
        <f t="shared" si="16"/>
        <v>15.016025000000001</v>
      </c>
      <c r="AF32" s="2746">
        <f t="shared" si="16"/>
        <v>19.231999999999999</v>
      </c>
      <c r="AG32" s="4047">
        <f>(AG33+AG34)*0+23</f>
        <v>23</v>
      </c>
      <c r="AH32" s="3621">
        <v>24.306000000000001</v>
      </c>
      <c r="AI32" s="3619">
        <f t="shared" si="6"/>
        <v>5.6782608695652215E-2</v>
      </c>
      <c r="AJ32" s="3378">
        <f>AJ33+AJ34</f>
        <v>27.700000000000003</v>
      </c>
      <c r="AK32" s="386">
        <f>AK33+AK34</f>
        <v>11.86</v>
      </c>
      <c r="AL32" s="386">
        <f>AL33+AL34</f>
        <v>10.367000000000001</v>
      </c>
      <c r="AM32" s="387">
        <f t="shared" si="10"/>
        <v>-0.12588532883642489</v>
      </c>
      <c r="AN32" s="2342">
        <f t="shared" si="7"/>
        <v>3.7680000000000007</v>
      </c>
      <c r="AO32" s="373">
        <f t="shared" si="8"/>
        <v>1.3060000000000009</v>
      </c>
      <c r="AP32" s="373"/>
    </row>
    <row r="33" spans="1:42" ht="45" customHeight="1">
      <c r="A33" s="1304" t="s">
        <v>457</v>
      </c>
      <c r="B33" s="1305">
        <v>3.2370000000000001</v>
      </c>
      <c r="C33" s="1305">
        <v>3.0009999999999999</v>
      </c>
      <c r="D33" s="1305">
        <v>4.069</v>
      </c>
      <c r="E33" s="1306">
        <v>3.1850000000000001</v>
      </c>
      <c r="F33" s="1306">
        <v>3.3050000000000002</v>
      </c>
      <c r="G33" s="1306">
        <v>3.294</v>
      </c>
      <c r="H33" s="1306">
        <v>1.96</v>
      </c>
      <c r="I33" s="1306">
        <v>2.0619999999999998</v>
      </c>
      <c r="J33" s="1306">
        <v>0.96299999999999997</v>
      </c>
      <c r="K33" s="1306">
        <v>1.575502</v>
      </c>
      <c r="L33" s="1306">
        <v>1.554343</v>
      </c>
      <c r="M33" s="1307">
        <v>1.200583</v>
      </c>
      <c r="N33" s="1308">
        <v>1.19</v>
      </c>
      <c r="O33" s="1308">
        <v>1.170091</v>
      </c>
      <c r="P33" s="1308">
        <v>0.90412899999999996</v>
      </c>
      <c r="Q33" s="1308">
        <v>4.6779999999999999</v>
      </c>
      <c r="R33" s="1309">
        <v>2.5310000000000001</v>
      </c>
      <c r="S33" s="1310">
        <v>6.9663440000000003</v>
      </c>
      <c r="T33" s="1311">
        <v>14.297000000000001</v>
      </c>
      <c r="U33" s="1310">
        <v>18.364000000000001</v>
      </c>
      <c r="V33" s="1312">
        <v>23.487549000000001</v>
      </c>
      <c r="W33" s="1312">
        <v>28.988021</v>
      </c>
      <c r="X33" s="1312">
        <v>12.74504078</v>
      </c>
      <c r="Y33" s="1312">
        <v>13.849842949999999</v>
      </c>
      <c r="Z33" s="1312">
        <v>9.239625635714285</v>
      </c>
      <c r="AA33" s="1330">
        <v>8.27</v>
      </c>
      <c r="AB33" s="1330">
        <v>5.61</v>
      </c>
      <c r="AC33" s="1331">
        <v>5.9179000000000004</v>
      </c>
      <c r="AD33" s="2745">
        <f>4.796*0+4.439</f>
        <v>4.4390000000000001</v>
      </c>
      <c r="AE33" s="2745">
        <f>3.733*0+3.3*0+3.365</f>
        <v>3.3650000000000002</v>
      </c>
      <c r="AF33" s="2745">
        <f>(4.28*0+4.259)*0+4.211</f>
        <v>4.2110000000000003</v>
      </c>
      <c r="AG33" s="4049">
        <f>4739326.74/1000000*0+5.29</f>
        <v>5.29</v>
      </c>
      <c r="AH33" s="3623">
        <v>5.0056634462857144</v>
      </c>
      <c r="AI33" s="3619">
        <f t="shared" si="6"/>
        <v>-5.3749821118012409E-2</v>
      </c>
      <c r="AJ33" s="3380">
        <v>4.17</v>
      </c>
      <c r="AK33" s="393">
        <v>3.27</v>
      </c>
      <c r="AL33" s="393">
        <v>2.7480000000000002</v>
      </c>
      <c r="AM33" s="387">
        <f t="shared" si="10"/>
        <v>-0.15963302752293573</v>
      </c>
      <c r="AN33" s="2342">
        <f t="shared" si="7"/>
        <v>1.0789999999999997</v>
      </c>
      <c r="AO33" s="373">
        <f t="shared" si="8"/>
        <v>-0.28433655371428568</v>
      </c>
      <c r="AP33" s="373"/>
    </row>
    <row r="34" spans="1:42" ht="45" customHeight="1">
      <c r="A34" s="1304" t="s">
        <v>458</v>
      </c>
      <c r="B34" s="1305"/>
      <c r="C34" s="1305"/>
      <c r="D34" s="1305"/>
      <c r="E34" s="1306"/>
      <c r="F34" s="1306"/>
      <c r="G34" s="1306"/>
      <c r="H34" s="1306"/>
      <c r="I34" s="1306"/>
      <c r="J34" s="1306"/>
      <c r="K34" s="1306">
        <v>2.8818790000000001</v>
      </c>
      <c r="L34" s="1306">
        <v>3.2059630000000001</v>
      </c>
      <c r="M34" s="1307">
        <v>3.2165219999999999</v>
      </c>
      <c r="N34" s="1308">
        <v>3</v>
      </c>
      <c r="O34" s="1308">
        <v>2.8695529999999998</v>
      </c>
      <c r="P34" s="1308">
        <v>4.4076329999999997</v>
      </c>
      <c r="Q34" s="1308">
        <v>3.9318749999999998</v>
      </c>
      <c r="R34" s="1309">
        <v>3.9648940000000001</v>
      </c>
      <c r="S34" s="1310">
        <v>5.79</v>
      </c>
      <c r="T34" s="1311">
        <v>5.0999999999999996</v>
      </c>
      <c r="U34" s="1310">
        <v>8.6470000000000002</v>
      </c>
      <c r="V34" s="1312">
        <v>9.4239390000000007</v>
      </c>
      <c r="W34" s="1312">
        <v>8.5953900000000001</v>
      </c>
      <c r="X34" s="1312">
        <v>7.9314917199999995</v>
      </c>
      <c r="Y34" s="1312">
        <v>7.8383772199999999</v>
      </c>
      <c r="Z34" s="1312">
        <v>8.5754822666666648</v>
      </c>
      <c r="AA34" s="1330">
        <f>1.591+7.945</f>
        <v>9.5359999999999996</v>
      </c>
      <c r="AB34" s="1330">
        <f>8.513+8.5474</f>
        <v>17.060400000000001</v>
      </c>
      <c r="AC34" s="1331">
        <v>28.700900000000001</v>
      </c>
      <c r="AD34" s="2745">
        <f>11.344*0+11.464</f>
        <v>11.464</v>
      </c>
      <c r="AE34" s="2745">
        <f>12.56*0+11.5*0+(10.887+0.002925+0.7611)</f>
        <v>11.651025000000001</v>
      </c>
      <c r="AF34" s="2745">
        <f>(16.980958*0+0.06+12.582+1.1519)*0+2.601+12.42</f>
        <v>15.021000000000001</v>
      </c>
      <c r="AG34" s="4049">
        <f>+(2811535.06+14720636)/1000000*0+17.71*0+17.6</f>
        <v>17.600000000000001</v>
      </c>
      <c r="AH34" s="3623">
        <v>19.302365912000003</v>
      </c>
      <c r="AI34" s="3619">
        <f t="shared" si="6"/>
        <v>9.6725335909090937E-2</v>
      </c>
      <c r="AJ34" s="3380">
        <v>23.53</v>
      </c>
      <c r="AK34" s="394">
        <v>8.59</v>
      </c>
      <c r="AL34" s="394">
        <v>7.6189999999999998</v>
      </c>
      <c r="AM34" s="387">
        <f t="shared" si="10"/>
        <v>-0.11303841676367876</v>
      </c>
      <c r="AN34" s="2342">
        <f t="shared" si="7"/>
        <v>2.5790000000000006</v>
      </c>
      <c r="AO34" s="373">
        <f t="shared" si="8"/>
        <v>1.7023659120000012</v>
      </c>
      <c r="AP34" s="373"/>
    </row>
    <row r="35" spans="1:42" ht="45" customHeight="1">
      <c r="A35" s="1304" t="s">
        <v>1045</v>
      </c>
      <c r="B35" s="1305"/>
      <c r="C35" s="1305"/>
      <c r="D35" s="1305"/>
      <c r="E35" s="1306"/>
      <c r="F35" s="1306"/>
      <c r="G35" s="1306"/>
      <c r="H35" s="1306"/>
      <c r="I35" s="1306"/>
      <c r="J35" s="1306"/>
      <c r="K35" s="1306"/>
      <c r="L35" s="1306"/>
      <c r="M35" s="1332"/>
      <c r="N35" s="1333"/>
      <c r="O35" s="1333"/>
      <c r="P35" s="1333"/>
      <c r="Q35" s="1333">
        <f>Q36+Q37</f>
        <v>47.188816000000003</v>
      </c>
      <c r="R35" s="1333">
        <f t="shared" ref="R35:AC35" si="17">R36+R37</f>
        <v>49.214988000000005</v>
      </c>
      <c r="S35" s="1333">
        <f t="shared" si="17"/>
        <v>52.57</v>
      </c>
      <c r="T35" s="1334">
        <f t="shared" si="17"/>
        <v>57.356126000000003</v>
      </c>
      <c r="U35" s="1333">
        <f t="shared" si="17"/>
        <v>64.444408999999993</v>
      </c>
      <c r="V35" s="1333">
        <f t="shared" si="17"/>
        <v>72.528772000000004</v>
      </c>
      <c r="W35" s="1333">
        <f t="shared" si="17"/>
        <v>70.129706999999996</v>
      </c>
      <c r="X35" s="1333">
        <f t="shared" si="17"/>
        <v>76.184400410000009</v>
      </c>
      <c r="Y35" s="1333">
        <f t="shared" si="17"/>
        <v>79.996674680000012</v>
      </c>
      <c r="Z35" s="1333">
        <f t="shared" si="17"/>
        <v>84.92</v>
      </c>
      <c r="AA35" s="1333">
        <f t="shared" si="17"/>
        <v>94.418000000000006</v>
      </c>
      <c r="AB35" s="1333">
        <f t="shared" si="17"/>
        <v>95.366900000000001</v>
      </c>
      <c r="AC35" s="1333">
        <f t="shared" si="17"/>
        <v>98.503799999999998</v>
      </c>
      <c r="AD35" s="2747">
        <f>(AD36+AD37)*0+101.297</f>
        <v>101.297</v>
      </c>
      <c r="AE35" s="2747">
        <f>105.766*0+101*0+100.807</f>
        <v>100.807</v>
      </c>
      <c r="AF35" s="2747">
        <f>(107.984*0+110.893547)*0+(112.244+0.094)*0+106</f>
        <v>106</v>
      </c>
      <c r="AG35" s="4050">
        <f>+(108194240+121500)/1000000*0+118.2*0+120.9</f>
        <v>120.9</v>
      </c>
      <c r="AH35" s="3621">
        <v>114.971</v>
      </c>
      <c r="AI35" s="3619">
        <f t="shared" si="6"/>
        <v>-4.9040529363109986E-2</v>
      </c>
      <c r="AJ35" s="3380">
        <f>AJ36+AJ37</f>
        <v>71.64</v>
      </c>
      <c r="AK35" s="393">
        <v>75.040000000000006</v>
      </c>
      <c r="AL35" s="393">
        <v>72.438000000000002</v>
      </c>
      <c r="AM35" s="387">
        <f t="shared" si="10"/>
        <v>-3.4674840085287872E-2</v>
      </c>
      <c r="AN35" s="2342">
        <f t="shared" si="7"/>
        <v>14.900000000000006</v>
      </c>
      <c r="AO35" s="373">
        <f t="shared" si="8"/>
        <v>-5.929000000000002</v>
      </c>
      <c r="AP35" s="373"/>
    </row>
    <row r="36" spans="1:42" s="388" customFormat="1" ht="45" hidden="1" customHeight="1">
      <c r="A36" s="1315" t="s">
        <v>870</v>
      </c>
      <c r="B36" s="1316">
        <v>1.494</v>
      </c>
      <c r="C36" s="1316">
        <v>1.57</v>
      </c>
      <c r="D36" s="1316">
        <v>1.794</v>
      </c>
      <c r="E36" s="1317">
        <v>2.0235210000000001</v>
      </c>
      <c r="F36" s="1317">
        <v>1.9019999999999999</v>
      </c>
      <c r="G36" s="1317">
        <v>2.2050000000000001</v>
      </c>
      <c r="H36" s="1317">
        <v>2.2650000000000001</v>
      </c>
      <c r="I36" s="1317">
        <v>2.5910000000000002</v>
      </c>
      <c r="J36" s="1317">
        <v>2.706</v>
      </c>
      <c r="K36" s="1317">
        <v>2.7669999999999999</v>
      </c>
      <c r="L36" s="1317">
        <v>2.722</v>
      </c>
      <c r="M36" s="1335">
        <v>3.016</v>
      </c>
      <c r="N36" s="1336">
        <v>3.3712929999999997</v>
      </c>
      <c r="O36" s="1336">
        <v>5.2266999999999992</v>
      </c>
      <c r="P36" s="1336">
        <v>4.0010121600000002</v>
      </c>
      <c r="Q36" s="1336">
        <v>6.1988159999999999</v>
      </c>
      <c r="R36" s="1337">
        <v>5.5981620000000003</v>
      </c>
      <c r="S36" s="1338">
        <v>6.79</v>
      </c>
      <c r="T36" s="1321">
        <v>7.2461260000000003</v>
      </c>
      <c r="U36" s="1338">
        <v>8.0164089999999995</v>
      </c>
      <c r="V36" s="1339">
        <v>9.0964790000000004</v>
      </c>
      <c r="W36" s="1339">
        <v>9.1293129999999998</v>
      </c>
      <c r="X36" s="1339">
        <v>10.133423639999998</v>
      </c>
      <c r="Y36" s="1339">
        <v>9.5332036700000007</v>
      </c>
      <c r="Z36" s="1339">
        <v>10.39</v>
      </c>
      <c r="AA36" s="1340">
        <v>10.417999999999999</v>
      </c>
      <c r="AB36" s="1340">
        <v>11.76</v>
      </c>
      <c r="AC36" s="1341">
        <v>12.59</v>
      </c>
      <c r="AD36" s="2748">
        <v>13.5</v>
      </c>
      <c r="AE36" s="2748"/>
      <c r="AF36" s="2748"/>
      <c r="AG36" s="4046"/>
      <c r="AH36" s="3620"/>
      <c r="AI36" s="3619" t="e">
        <f t="shared" si="6"/>
        <v>#DIV/0!</v>
      </c>
      <c r="AJ36" s="3377">
        <v>8.2899999999999991</v>
      </c>
      <c r="AK36" s="389"/>
      <c r="AL36" s="389"/>
      <c r="AM36" s="395"/>
      <c r="AN36" s="2342">
        <f t="shared" si="7"/>
        <v>0</v>
      </c>
      <c r="AO36" s="373">
        <f t="shared" si="8"/>
        <v>0</v>
      </c>
      <c r="AP36" s="390"/>
    </row>
    <row r="37" spans="1:42" s="388" customFormat="1" ht="45" hidden="1" customHeight="1">
      <c r="A37" s="1315" t="s">
        <v>871</v>
      </c>
      <c r="B37" s="1316">
        <v>11.609</v>
      </c>
      <c r="C37" s="1316">
        <v>13.128</v>
      </c>
      <c r="D37" s="1316">
        <v>12.579000000000001</v>
      </c>
      <c r="E37" s="1317">
        <v>14.615</v>
      </c>
      <c r="F37" s="1317">
        <v>15.179</v>
      </c>
      <c r="G37" s="1317">
        <v>19.061</v>
      </c>
      <c r="H37" s="1317">
        <v>21.527000000000001</v>
      </c>
      <c r="I37" s="1317">
        <v>20.323</v>
      </c>
      <c r="J37" s="1317">
        <v>24.724</v>
      </c>
      <c r="K37" s="1317">
        <v>32.639656000000002</v>
      </c>
      <c r="L37" s="1317">
        <v>31.547000000000001</v>
      </c>
      <c r="M37" s="1335">
        <v>32.213999999999999</v>
      </c>
      <c r="N37" s="1336">
        <v>37.579079000000007</v>
      </c>
      <c r="O37" s="1336">
        <v>41.609310000000001</v>
      </c>
      <c r="P37" s="1336">
        <v>39.319784730000002</v>
      </c>
      <c r="Q37" s="1336">
        <v>40.99</v>
      </c>
      <c r="R37" s="1337">
        <v>43.616826000000003</v>
      </c>
      <c r="S37" s="1338">
        <v>45.78</v>
      </c>
      <c r="T37" s="1321">
        <v>50.11</v>
      </c>
      <c r="U37" s="1338">
        <v>56.427999999999997</v>
      </c>
      <c r="V37" s="1339">
        <v>63.432293000000001</v>
      </c>
      <c r="W37" s="1339">
        <v>61.000394</v>
      </c>
      <c r="X37" s="1339">
        <v>66.050976770000005</v>
      </c>
      <c r="Y37" s="1339">
        <v>70.463471010000006</v>
      </c>
      <c r="Z37" s="1339">
        <v>74.53</v>
      </c>
      <c r="AA37" s="1340">
        <v>84</v>
      </c>
      <c r="AB37" s="1340">
        <v>83.606899999999996</v>
      </c>
      <c r="AC37" s="1341">
        <v>85.913799999999995</v>
      </c>
      <c r="AD37" s="2748">
        <v>88.1</v>
      </c>
      <c r="AE37" s="2748"/>
      <c r="AF37" s="2748"/>
      <c r="AG37" s="4046"/>
      <c r="AH37" s="3620"/>
      <c r="AI37" s="3619" t="e">
        <f t="shared" si="6"/>
        <v>#DIV/0!</v>
      </c>
      <c r="AJ37" s="3377">
        <v>63.35</v>
      </c>
      <c r="AK37" s="389"/>
      <c r="AL37" s="389"/>
      <c r="AM37" s="395"/>
      <c r="AN37" s="2342">
        <f t="shared" si="7"/>
        <v>0</v>
      </c>
      <c r="AO37" s="373">
        <f t="shared" si="8"/>
        <v>0</v>
      </c>
      <c r="AP37" s="390"/>
    </row>
    <row r="38" spans="1:42" ht="45" customHeight="1">
      <c r="A38" s="1304"/>
      <c r="B38" s="1305"/>
      <c r="C38" s="1305"/>
      <c r="D38" s="1305"/>
      <c r="E38" s="1306"/>
      <c r="F38" s="1306"/>
      <c r="G38" s="1306"/>
      <c r="H38" s="1306"/>
      <c r="I38" s="1306"/>
      <c r="J38" s="1306"/>
      <c r="K38" s="1306"/>
      <c r="L38" s="1306"/>
      <c r="M38" s="1307"/>
      <c r="N38" s="1308"/>
      <c r="O38" s="1308"/>
      <c r="P38" s="1308"/>
      <c r="Q38" s="1308"/>
      <c r="R38" s="1309"/>
      <c r="S38" s="1310"/>
      <c r="T38" s="1311"/>
      <c r="U38" s="1310"/>
      <c r="V38" s="1312"/>
      <c r="W38" s="1312"/>
      <c r="X38" s="1312"/>
      <c r="Y38" s="1312"/>
      <c r="Z38" s="1312"/>
      <c r="AA38" s="1313"/>
      <c r="AB38" s="1313"/>
      <c r="AC38" s="1314"/>
      <c r="AD38" s="2743"/>
      <c r="AE38" s="2743"/>
      <c r="AF38" s="2743"/>
      <c r="AG38" s="4047"/>
      <c r="AH38" s="3621"/>
      <c r="AI38" s="3619"/>
      <c r="AJ38" s="3378"/>
      <c r="AK38" s="386"/>
      <c r="AL38" s="386"/>
      <c r="AM38" s="387"/>
      <c r="AN38" s="2342">
        <f t="shared" si="7"/>
        <v>0</v>
      </c>
      <c r="AO38" s="373"/>
      <c r="AP38" s="373"/>
    </row>
    <row r="39" spans="1:42" ht="45" customHeight="1">
      <c r="A39" s="1295" t="s">
        <v>229</v>
      </c>
      <c r="B39" s="1342">
        <v>209.98599999999999</v>
      </c>
      <c r="C39" s="1342">
        <v>227.845</v>
      </c>
      <c r="D39" s="1342">
        <v>238.81800000000001</v>
      </c>
      <c r="E39" s="1297">
        <v>254.13512399999999</v>
      </c>
      <c r="F39" s="1297">
        <v>276.27499999999998</v>
      </c>
      <c r="G39" s="1297">
        <v>303.79100000000005</v>
      </c>
      <c r="H39" s="1297">
        <v>327.45799999999997</v>
      </c>
      <c r="I39" s="1297">
        <v>338.26499999999999</v>
      </c>
      <c r="J39" s="1297">
        <v>354.46499999999997</v>
      </c>
      <c r="K39" s="1297">
        <v>386.83272634000002</v>
      </c>
      <c r="L39" s="1297">
        <v>399.11940297000001</v>
      </c>
      <c r="M39" s="1298">
        <f>M30+M21+M17+M8</f>
        <v>344.09500922999996</v>
      </c>
      <c r="N39" s="1299">
        <f>N30+N21+N17+N8</f>
        <v>469.10221200000001</v>
      </c>
      <c r="O39" s="1299">
        <f t="shared" ref="O39:W39" si="18">O30+O21+O17+O8</f>
        <v>500.54737399999993</v>
      </c>
      <c r="P39" s="1299">
        <f t="shared" si="18"/>
        <v>524.12926889000005</v>
      </c>
      <c r="Q39" s="1299">
        <f t="shared" si="18"/>
        <v>554.90555581000001</v>
      </c>
      <c r="R39" s="1343">
        <f t="shared" si="18"/>
        <v>574.803496</v>
      </c>
      <c r="S39" s="1344">
        <f t="shared" si="18"/>
        <v>654.64154000000008</v>
      </c>
      <c r="T39" s="1345">
        <f t="shared" si="18"/>
        <v>686.82440300000007</v>
      </c>
      <c r="U39" s="1344">
        <f t="shared" si="18"/>
        <v>742.72077300000001</v>
      </c>
      <c r="V39" s="1344">
        <f t="shared" si="18"/>
        <v>776.62862300000006</v>
      </c>
      <c r="W39" s="1344">
        <f t="shared" si="18"/>
        <v>863.32042799999999</v>
      </c>
      <c r="X39" s="1344">
        <f t="shared" ref="X39:AD39" si="19">X30+X21+X17+X8</f>
        <v>870.60295883236358</v>
      </c>
      <c r="Y39" s="1344">
        <f t="shared" si="19"/>
        <v>879.22244565999995</v>
      </c>
      <c r="Z39" s="1344">
        <f t="shared" si="19"/>
        <v>900.48419599999988</v>
      </c>
      <c r="AA39" s="1346">
        <f t="shared" si="19"/>
        <v>941.47499999999991</v>
      </c>
      <c r="AB39" s="1346">
        <f t="shared" si="19"/>
        <v>991.09832800000004</v>
      </c>
      <c r="AC39" s="1347">
        <f t="shared" si="19"/>
        <v>1052.1645899999999</v>
      </c>
      <c r="AD39" s="2749">
        <f t="shared" si="19"/>
        <v>1177.95</v>
      </c>
      <c r="AE39" s="2749">
        <f t="shared" ref="AE39:AL39" si="20">AE30+AE21+AE17+AE8</f>
        <v>1150.6513090000001</v>
      </c>
      <c r="AF39" s="2749">
        <f t="shared" si="20"/>
        <v>1183.5070000000001</v>
      </c>
      <c r="AG39" s="4038">
        <f t="shared" si="20"/>
        <v>1250.2370000000001</v>
      </c>
      <c r="AH39" s="2749">
        <f t="shared" si="20"/>
        <v>1296.1612685398857</v>
      </c>
      <c r="AI39" s="3385">
        <f t="shared" si="6"/>
        <v>3.6732450359320268E-2</v>
      </c>
      <c r="AJ39" s="3381">
        <f t="shared" si="20"/>
        <v>771.10311217000003</v>
      </c>
      <c r="AK39" s="396">
        <f t="shared" si="20"/>
        <v>858.55520222999996</v>
      </c>
      <c r="AL39" s="396">
        <f t="shared" si="20"/>
        <v>817.29300000000001</v>
      </c>
      <c r="AM39" s="384">
        <f t="shared" si="10"/>
        <v>-4.8060045670710538E-2</v>
      </c>
      <c r="AN39" s="2342">
        <f t="shared" si="7"/>
        <v>66.730000000000018</v>
      </c>
      <c r="AO39" s="373">
        <f t="shared" si="8"/>
        <v>45.924268539885588</v>
      </c>
      <c r="AP39" s="373"/>
    </row>
    <row r="40" spans="1:42" ht="45" customHeight="1">
      <c r="A40" s="1295"/>
      <c r="B40" s="1342"/>
      <c r="C40" s="1342"/>
      <c r="D40" s="1342"/>
      <c r="E40" s="1297"/>
      <c r="F40" s="1297"/>
      <c r="G40" s="1297"/>
      <c r="H40" s="1297"/>
      <c r="I40" s="1297"/>
      <c r="J40" s="1297"/>
      <c r="K40" s="1297"/>
      <c r="L40" s="1297"/>
      <c r="M40" s="1298"/>
      <c r="N40" s="1299"/>
      <c r="O40" s="1299"/>
      <c r="P40" s="1348"/>
      <c r="Q40" s="1348"/>
      <c r="R40" s="1349"/>
      <c r="S40" s="1350"/>
      <c r="T40" s="1351"/>
      <c r="U40" s="1350"/>
      <c r="V40" s="1352"/>
      <c r="W40" s="1352"/>
      <c r="X40" s="1352"/>
      <c r="Y40" s="1352"/>
      <c r="Z40" s="1352"/>
      <c r="AA40" s="1353"/>
      <c r="AB40" s="1353"/>
      <c r="AC40" s="1354"/>
      <c r="AD40" s="2750"/>
      <c r="AE40" s="2750"/>
      <c r="AF40" s="2750"/>
      <c r="AG40" s="4051"/>
      <c r="AH40" s="3624"/>
      <c r="AI40" s="3385"/>
      <c r="AJ40" s="3382"/>
      <c r="AK40" s="397"/>
      <c r="AL40" s="397"/>
      <c r="AM40" s="387"/>
      <c r="AN40" s="2342">
        <f t="shared" si="7"/>
        <v>0</v>
      </c>
      <c r="AO40" s="373"/>
      <c r="AP40" s="373"/>
    </row>
    <row r="41" spans="1:42" ht="45" customHeight="1">
      <c r="A41" s="1295" t="s">
        <v>230</v>
      </c>
      <c r="B41" s="1296">
        <v>74.3</v>
      </c>
      <c r="C41" s="1296">
        <v>106.2</v>
      </c>
      <c r="D41" s="1296">
        <v>163.52699999999999</v>
      </c>
      <c r="E41" s="1297">
        <v>112.863</v>
      </c>
      <c r="F41" s="1297">
        <v>101.771</v>
      </c>
      <c r="G41" s="1297">
        <v>98.843000000000004</v>
      </c>
      <c r="H41" s="1297">
        <v>95.783999999999992</v>
      </c>
      <c r="I41" s="1297">
        <v>106.943</v>
      </c>
      <c r="J41" s="1297">
        <v>166.51900000000001</v>
      </c>
      <c r="K41" s="1297">
        <v>134.05800000000002</v>
      </c>
      <c r="L41" s="1297">
        <v>132.59399999999999</v>
      </c>
      <c r="M41" s="1298">
        <f>M42+M43+M44+M45</f>
        <v>149.99600000000001</v>
      </c>
      <c r="N41" s="1299">
        <f>N42+N43+N44+N45</f>
        <v>142</v>
      </c>
      <c r="O41" s="1299">
        <f t="shared" ref="O41:V41" si="21">O42+O43+O44+O45</f>
        <v>157.44645399999999</v>
      </c>
      <c r="P41" s="1299">
        <f t="shared" si="21"/>
        <v>264.05</v>
      </c>
      <c r="Q41" s="1299">
        <f t="shared" si="21"/>
        <v>290.99287700000002</v>
      </c>
      <c r="R41" s="1300">
        <f t="shared" si="21"/>
        <v>230.70085899999998</v>
      </c>
      <c r="S41" s="1301">
        <f t="shared" si="21"/>
        <v>208.16800000000001</v>
      </c>
      <c r="T41" s="1302">
        <f t="shared" si="21"/>
        <v>241.30613700000001</v>
      </c>
      <c r="U41" s="1301">
        <f t="shared" si="21"/>
        <v>298.57572199999998</v>
      </c>
      <c r="V41" s="1301">
        <f t="shared" si="21"/>
        <v>366.14329946028124</v>
      </c>
      <c r="W41" s="1301">
        <f>W42+W43+W44+W45</f>
        <v>344.78965499999998</v>
      </c>
      <c r="X41" s="1301">
        <f>SUM(X42:X45)</f>
        <v>268.48888946103602</v>
      </c>
      <c r="Y41" s="1301">
        <f>SUM(Y42:Y45)</f>
        <v>234.59933799999999</v>
      </c>
      <c r="Z41" s="1301">
        <f>SUM(Z42:Z45)</f>
        <v>234.18</v>
      </c>
      <c r="AA41" s="1303">
        <f>AA42+AA43+AA44+AA45</f>
        <v>219.83122688999998</v>
      </c>
      <c r="AB41" s="1303">
        <f>AB42+AB43+AB44+AB45</f>
        <v>251.90999999999997</v>
      </c>
      <c r="AC41" s="1303">
        <f>AC42+AC43+AC44+AC45</f>
        <v>207.42</v>
      </c>
      <c r="AD41" s="2740">
        <f>(AD42+AD43+AD44+AD45)</f>
        <v>200.8</v>
      </c>
      <c r="AE41" s="2740">
        <f>(AE42+AE43+AE44+AE45)</f>
        <v>267.8</v>
      </c>
      <c r="AF41" s="2740">
        <f>+SUM(AF42:AF45)</f>
        <v>227.77771700000002</v>
      </c>
      <c r="AG41" s="4051">
        <f>+SUM(AG42:AG45)*0+187*0+191729474/1000000</f>
        <v>191.72947400000001</v>
      </c>
      <c r="AH41" s="3625">
        <f>+SUM(AH42:AH45)</f>
        <v>259.79660785999999</v>
      </c>
      <c r="AI41" s="3385">
        <f t="shared" si="6"/>
        <v>0.35501653678974776</v>
      </c>
      <c r="AJ41" s="3376">
        <f>AJ42+AJ43+AJ44+AJ45</f>
        <v>136.21650750000001</v>
      </c>
      <c r="AK41" s="398">
        <f>(AK42+AK43+AK44+AK45)</f>
        <v>124.5</v>
      </c>
      <c r="AL41" s="383">
        <f>(AL42+AL43+AL44+AL45)</f>
        <v>157.97295399999999</v>
      </c>
      <c r="AM41" s="384">
        <f t="shared" si="10"/>
        <v>0.26885906827309225</v>
      </c>
      <c r="AN41" s="2342">
        <f t="shared" si="7"/>
        <v>-36.048243000000014</v>
      </c>
      <c r="AO41" s="373">
        <f t="shared" si="8"/>
        <v>68.067133859999984</v>
      </c>
      <c r="AP41" s="373"/>
    </row>
    <row r="42" spans="1:42" ht="45" customHeight="1">
      <c r="A42" s="1304" t="s">
        <v>459</v>
      </c>
      <c r="B42" s="1305"/>
      <c r="C42" s="1305"/>
      <c r="D42" s="1305">
        <v>73.090999999999994</v>
      </c>
      <c r="E42" s="1306">
        <v>84.863</v>
      </c>
      <c r="F42" s="1306">
        <v>69.406000000000006</v>
      </c>
      <c r="G42" s="1306">
        <v>66.126000000000005</v>
      </c>
      <c r="H42" s="1306">
        <v>52.472999999999999</v>
      </c>
      <c r="I42" s="1306">
        <v>51.988</v>
      </c>
      <c r="J42" s="1306">
        <v>91.281000000000006</v>
      </c>
      <c r="K42" s="1306">
        <v>82.07</v>
      </c>
      <c r="L42" s="1306">
        <v>24.657</v>
      </c>
      <c r="M42" s="1307">
        <v>8.3859999999999992</v>
      </c>
      <c r="N42" s="1308">
        <v>7.93</v>
      </c>
      <c r="O42" s="1308">
        <v>4.375</v>
      </c>
      <c r="P42" s="1308">
        <v>19.86</v>
      </c>
      <c r="Q42" s="1308">
        <v>13.069000000000001</v>
      </c>
      <c r="R42" s="1309">
        <v>88.514375000000001</v>
      </c>
      <c r="S42" s="1310">
        <v>50.716000000000001</v>
      </c>
      <c r="T42" s="1311">
        <v>1.218148</v>
      </c>
      <c r="U42" s="1310">
        <v>10.612444999999999</v>
      </c>
      <c r="V42" s="1312">
        <v>0.43275516999999997</v>
      </c>
      <c r="W42" s="1312">
        <v>0.42525600000000002</v>
      </c>
      <c r="X42" s="1312">
        <v>0.13052245000000001</v>
      </c>
      <c r="Y42" s="1312">
        <v>2.217797</v>
      </c>
      <c r="Z42" s="1312">
        <v>2.77</v>
      </c>
      <c r="AA42" s="1313">
        <f>[182]Capital!$C6/1000000</f>
        <v>40.162367950000004</v>
      </c>
      <c r="AB42" s="1313">
        <v>37.369999999999997</v>
      </c>
      <c r="AC42" s="1355">
        <v>39.15</v>
      </c>
      <c r="AD42" s="2751">
        <v>34.200000000000003</v>
      </c>
      <c r="AE42" s="2751">
        <v>3</v>
      </c>
      <c r="AF42" s="2751">
        <f>22070560/1000000</f>
        <v>22.07056</v>
      </c>
      <c r="AG42" s="4049">
        <f>(13135010/1000000*0)+44759462/1000000</f>
        <v>44.759461999999999</v>
      </c>
      <c r="AH42" s="3621">
        <f>1180000/1000000</f>
        <v>1.18</v>
      </c>
      <c r="AI42" s="3619">
        <f t="shared" si="6"/>
        <v>-0.97363685917404463</v>
      </c>
      <c r="AJ42" s="3378">
        <v>19.109355729999997</v>
      </c>
      <c r="AK42" s="399">
        <v>16.3</v>
      </c>
      <c r="AL42" s="400">
        <v>1.207039</v>
      </c>
      <c r="AM42" s="387">
        <f t="shared" si="10"/>
        <v>-0.92594852760736202</v>
      </c>
      <c r="AN42" s="2342">
        <f t="shared" si="7"/>
        <v>22.688901999999999</v>
      </c>
      <c r="AO42" s="373">
        <f t="shared" si="8"/>
        <v>-43.579461999999999</v>
      </c>
      <c r="AP42" s="373"/>
    </row>
    <row r="43" spans="1:42" ht="45" customHeight="1">
      <c r="A43" s="1304" t="s">
        <v>460</v>
      </c>
      <c r="B43" s="1305"/>
      <c r="C43" s="1305"/>
      <c r="D43" s="1305">
        <v>56.024000000000001</v>
      </c>
      <c r="E43" s="1306">
        <v>17.675000000000001</v>
      </c>
      <c r="F43" s="1306">
        <v>21.105</v>
      </c>
      <c r="G43" s="1306">
        <v>17.823</v>
      </c>
      <c r="H43" s="1306">
        <v>23.067</v>
      </c>
      <c r="I43" s="1306">
        <v>25.573</v>
      </c>
      <c r="J43" s="1306">
        <v>28.895</v>
      </c>
      <c r="K43" s="1306">
        <v>17.468</v>
      </c>
      <c r="L43" s="1306">
        <v>7.5620000000000003</v>
      </c>
      <c r="M43" s="1307">
        <v>22.5</v>
      </c>
      <c r="N43" s="1308">
        <v>18.47</v>
      </c>
      <c r="O43" s="1308">
        <v>21.459595</v>
      </c>
      <c r="P43" s="1308">
        <v>10.722</v>
      </c>
      <c r="Q43" s="1308">
        <v>15.826000000000001</v>
      </c>
      <c r="R43" s="1309">
        <v>11.872828</v>
      </c>
      <c r="S43" s="1310">
        <v>17.442</v>
      </c>
      <c r="T43" s="1311">
        <v>67.125529999999998</v>
      </c>
      <c r="U43" s="1310">
        <v>85.732844999999998</v>
      </c>
      <c r="V43" s="4104">
        <v>78.416658389999995</v>
      </c>
      <c r="W43" s="4104">
        <v>63.180982999999998</v>
      </c>
      <c r="X43" s="4104">
        <v>55.552454619999992</v>
      </c>
      <c r="Y43" s="4104">
        <v>53.814016000000009</v>
      </c>
      <c r="Z43" s="4104">
        <v>51.59</v>
      </c>
      <c r="AA43" s="4104">
        <f>[183]Capital!$C$9/1000000</f>
        <v>57.889303300000009</v>
      </c>
      <c r="AB43" s="4104">
        <v>64.959999999999994</v>
      </c>
      <c r="AC43" s="1355">
        <v>40.99</v>
      </c>
      <c r="AD43" s="2751">
        <v>35</v>
      </c>
      <c r="AE43" s="2751">
        <f>31.6*0+30.6+15</f>
        <v>45.6</v>
      </c>
      <c r="AF43" s="2751">
        <f>54234247/1000000</f>
        <v>54.234247000000003</v>
      </c>
      <c r="AG43" s="4047">
        <f>(64181251/1000000*0)+52247385/1000000</f>
        <v>52.247385000000001</v>
      </c>
      <c r="AH43" s="3621">
        <f>53491853.89/1000000</f>
        <v>53.491853890000002</v>
      </c>
      <c r="AI43" s="3619">
        <f t="shared" si="6"/>
        <v>2.3818778490062309E-2</v>
      </c>
      <c r="AJ43" s="3378">
        <v>26.827444170000003</v>
      </c>
      <c r="AK43" s="399">
        <v>18.3</v>
      </c>
      <c r="AL43" s="400">
        <v>19.895363</v>
      </c>
      <c r="AM43" s="387">
        <f t="shared" si="10"/>
        <v>8.7178306010928797E-2</v>
      </c>
      <c r="AN43" s="2342">
        <f t="shared" si="7"/>
        <v>-1.9868620000000021</v>
      </c>
      <c r="AO43" s="373">
        <f t="shared" si="8"/>
        <v>1.2444688900000003</v>
      </c>
      <c r="AP43" s="373"/>
    </row>
    <row r="44" spans="1:42" ht="45" customHeight="1">
      <c r="A44" s="1304" t="s">
        <v>461</v>
      </c>
      <c r="B44" s="1305"/>
      <c r="C44" s="1305"/>
      <c r="D44" s="1305">
        <v>34.411999999999999</v>
      </c>
      <c r="E44" s="1306">
        <v>10.324999999999999</v>
      </c>
      <c r="F44" s="1306">
        <v>11.26</v>
      </c>
      <c r="G44" s="1306">
        <v>14.894</v>
      </c>
      <c r="H44" s="1306">
        <v>20.244</v>
      </c>
      <c r="I44" s="1306">
        <v>29.382000000000001</v>
      </c>
      <c r="J44" s="1306">
        <v>46.343000000000004</v>
      </c>
      <c r="K44" s="1306">
        <v>34.520000000000003</v>
      </c>
      <c r="L44" s="1306">
        <v>100.375</v>
      </c>
      <c r="M44" s="1307">
        <v>119.11</v>
      </c>
      <c r="N44" s="1308">
        <v>52.28</v>
      </c>
      <c r="O44" s="1308">
        <v>77.968000000000004</v>
      </c>
      <c r="P44" s="1308">
        <v>113.068</v>
      </c>
      <c r="Q44" s="1308">
        <v>111.58487700000001</v>
      </c>
      <c r="R44" s="1309">
        <v>38.747619</v>
      </c>
      <c r="S44" s="1310">
        <v>29.611000000000001</v>
      </c>
      <c r="T44" s="1311">
        <v>54.659157999999998</v>
      </c>
      <c r="U44" s="1310">
        <v>86.056100999999998</v>
      </c>
      <c r="V44" s="1312">
        <v>69.827124040000015</v>
      </c>
      <c r="W44" s="1312">
        <v>32.209325</v>
      </c>
      <c r="X44" s="1312">
        <v>35.556816691035998</v>
      </c>
      <c r="Y44" s="1312">
        <v>38.993224999999995</v>
      </c>
      <c r="Z44" s="1312">
        <v>46.18</v>
      </c>
      <c r="AA44" s="1313">
        <f>[182]Capital!$C8/1000000</f>
        <v>29.98322932</v>
      </c>
      <c r="AB44" s="1313">
        <v>28.98</v>
      </c>
      <c r="AC44" s="1355">
        <v>89.31</v>
      </c>
      <c r="AD44" s="2751">
        <v>48.6</v>
      </c>
      <c r="AE44" s="2751">
        <f>175.3*0+174.3</f>
        <v>174.3</v>
      </c>
      <c r="AF44" s="2751">
        <f>151440706/1000000</f>
        <v>151.44070600000001</v>
      </c>
      <c r="AG44" s="4047">
        <f>(95501787/1000000*0)+60100288/1000000</f>
        <v>60.100287999999999</v>
      </c>
      <c r="AH44" s="3621">
        <f>73399192.97/1000000</f>
        <v>73.399192970000001</v>
      </c>
      <c r="AI44" s="3619">
        <f t="shared" si="6"/>
        <v>0.22127855643553662</v>
      </c>
      <c r="AJ44" s="3378">
        <v>30.393967699999997</v>
      </c>
      <c r="AK44" s="399">
        <v>58</v>
      </c>
      <c r="AL44" s="400">
        <v>115.932903</v>
      </c>
      <c r="AM44" s="387">
        <f t="shared" si="10"/>
        <v>0.99884315517241373</v>
      </c>
      <c r="AN44" s="2342">
        <f t="shared" si="7"/>
        <v>-91.340418</v>
      </c>
      <c r="AO44" s="373">
        <f t="shared" si="8"/>
        <v>13.298904970000002</v>
      </c>
      <c r="AP44" s="373"/>
    </row>
    <row r="45" spans="1:42" ht="45" customHeight="1">
      <c r="A45" s="1304" t="s">
        <v>462</v>
      </c>
      <c r="B45" s="1305"/>
      <c r="C45" s="1305"/>
      <c r="D45" s="1305"/>
      <c r="E45" s="1306"/>
      <c r="F45" s="1306"/>
      <c r="G45" s="1306"/>
      <c r="H45" s="1306"/>
      <c r="I45" s="1306"/>
      <c r="J45" s="1306"/>
      <c r="K45" s="1306"/>
      <c r="L45" s="1306"/>
      <c r="M45" s="1307">
        <v>0</v>
      </c>
      <c r="N45" s="1308">
        <v>63.32</v>
      </c>
      <c r="O45" s="1308">
        <v>53.643858999999999</v>
      </c>
      <c r="P45" s="1308">
        <v>120.4</v>
      </c>
      <c r="Q45" s="1308">
        <v>150.51300000000001</v>
      </c>
      <c r="R45" s="1309">
        <v>91.566036999999994</v>
      </c>
      <c r="S45" s="1310">
        <v>110.399</v>
      </c>
      <c r="T45" s="1311">
        <v>118.303301</v>
      </c>
      <c r="U45" s="1310">
        <v>116.174331</v>
      </c>
      <c r="V45" s="1312">
        <v>217.46676186028125</v>
      </c>
      <c r="W45" s="1312">
        <v>248.97409099999999</v>
      </c>
      <c r="X45" s="1312">
        <v>177.24909570000003</v>
      </c>
      <c r="Y45" s="1312">
        <v>139.57429999999999</v>
      </c>
      <c r="Z45" s="1312">
        <v>133.63999999999999</v>
      </c>
      <c r="AA45" s="1313">
        <f>[183]Capital!$C$7/1000000</f>
        <v>91.796326319999977</v>
      </c>
      <c r="AB45" s="1313">
        <v>120.6</v>
      </c>
      <c r="AC45" s="1355">
        <v>37.97</v>
      </c>
      <c r="AD45" s="2751">
        <v>83</v>
      </c>
      <c r="AE45" s="2751">
        <f>31.6*0+31.7+13.2</f>
        <v>44.9</v>
      </c>
      <c r="AF45" s="2751">
        <f>32204/1000000</f>
        <v>3.2204000000000003E-2</v>
      </c>
      <c r="AG45" s="4047">
        <f>(41728213/1000000*0)+34622339/1000000</f>
        <v>34.622338999999997</v>
      </c>
      <c r="AH45" s="3621">
        <f>(120820725+10904836)/1000000</f>
        <v>131.725561</v>
      </c>
      <c r="AI45" s="3619">
        <f t="shared" si="6"/>
        <v>2.8046407263241231</v>
      </c>
      <c r="AJ45" s="3378">
        <v>59.885739900000004</v>
      </c>
      <c r="AK45" s="399">
        <v>31.9</v>
      </c>
      <c r="AL45" s="400">
        <v>20.937649</v>
      </c>
      <c r="AM45" s="387">
        <f t="shared" si="10"/>
        <v>-0.34364736677115981</v>
      </c>
      <c r="AN45" s="2342">
        <f t="shared" si="7"/>
        <v>34.590134999999997</v>
      </c>
      <c r="AO45" s="373">
        <f t="shared" si="8"/>
        <v>97.103222000000002</v>
      </c>
      <c r="AP45" s="373"/>
    </row>
    <row r="46" spans="1:42" ht="45" customHeight="1" thickBot="1">
      <c r="A46" s="1304"/>
      <c r="B46" s="1305"/>
      <c r="C46" s="1305"/>
      <c r="D46" s="1305"/>
      <c r="E46" s="1306"/>
      <c r="F46" s="1306"/>
      <c r="G46" s="1306"/>
      <c r="H46" s="1306"/>
      <c r="I46" s="1306"/>
      <c r="J46" s="1306"/>
      <c r="K46" s="1306"/>
      <c r="L46" s="1306"/>
      <c r="M46" s="1307"/>
      <c r="N46" s="1308"/>
      <c r="O46" s="1308"/>
      <c r="P46" s="1308"/>
      <c r="Q46" s="1308"/>
      <c r="R46" s="1309"/>
      <c r="S46" s="1310"/>
      <c r="T46" s="1311"/>
      <c r="U46" s="1310"/>
      <c r="V46" s="1312"/>
      <c r="W46" s="1312"/>
      <c r="X46" s="1312"/>
      <c r="Y46" s="1312"/>
      <c r="Z46" s="1312"/>
      <c r="AA46" s="1313"/>
      <c r="AB46" s="1313"/>
      <c r="AC46" s="1314"/>
      <c r="AD46" s="2743"/>
      <c r="AE46" s="2743"/>
      <c r="AF46" s="2743"/>
      <c r="AG46" s="4047"/>
      <c r="AH46" s="3245"/>
      <c r="AI46" s="3386"/>
      <c r="AJ46" s="3383"/>
      <c r="AK46" s="401"/>
      <c r="AL46" s="402"/>
      <c r="AM46" s="403"/>
      <c r="AN46" s="2342">
        <f t="shared" si="7"/>
        <v>0</v>
      </c>
      <c r="AO46" s="373"/>
      <c r="AP46" s="373"/>
    </row>
    <row r="47" spans="1:42" ht="45" customHeight="1" thickBot="1">
      <c r="A47" s="1356" t="s">
        <v>296</v>
      </c>
      <c r="B47" s="1357">
        <v>284.286</v>
      </c>
      <c r="C47" s="1357">
        <v>334.04500000000002</v>
      </c>
      <c r="D47" s="1357">
        <v>402.34500000000003</v>
      </c>
      <c r="E47" s="1358">
        <v>366.99812399999996</v>
      </c>
      <c r="F47" s="1358">
        <v>378.04599999999999</v>
      </c>
      <c r="G47" s="1358">
        <v>402.63400000000007</v>
      </c>
      <c r="H47" s="1358">
        <v>423.24199999999996</v>
      </c>
      <c r="I47" s="1358">
        <v>445.20800000000003</v>
      </c>
      <c r="J47" s="1358">
        <v>520.98400000000004</v>
      </c>
      <c r="K47" s="1358">
        <v>520.89072634000001</v>
      </c>
      <c r="L47" s="1358">
        <v>531.71340297000006</v>
      </c>
      <c r="M47" s="1359">
        <f t="shared" ref="M47:AB47" si="22">M41+M39</f>
        <v>494.09100922999994</v>
      </c>
      <c r="N47" s="1360">
        <f t="shared" si="22"/>
        <v>611.10221200000001</v>
      </c>
      <c r="O47" s="1360">
        <f t="shared" si="22"/>
        <v>657.99382799999989</v>
      </c>
      <c r="P47" s="1361">
        <f t="shared" si="22"/>
        <v>788.17926889</v>
      </c>
      <c r="Q47" s="1361">
        <f t="shared" si="22"/>
        <v>845.89843281000003</v>
      </c>
      <c r="R47" s="1362">
        <f t="shared" si="22"/>
        <v>805.50435500000003</v>
      </c>
      <c r="S47" s="1361">
        <f t="shared" si="22"/>
        <v>862.80954000000008</v>
      </c>
      <c r="T47" s="1363">
        <f t="shared" si="22"/>
        <v>928.13054000000011</v>
      </c>
      <c r="U47" s="1364">
        <f t="shared" si="22"/>
        <v>1041.296495</v>
      </c>
      <c r="V47" s="1364">
        <f t="shared" si="22"/>
        <v>1142.7719224602813</v>
      </c>
      <c r="W47" s="1365">
        <f t="shared" si="22"/>
        <v>1208.110083</v>
      </c>
      <c r="X47" s="1366">
        <f t="shared" si="22"/>
        <v>1139.0918482933996</v>
      </c>
      <c r="Y47" s="1367">
        <f t="shared" si="22"/>
        <v>1113.8217836599999</v>
      </c>
      <c r="Z47" s="1365">
        <f t="shared" si="22"/>
        <v>1134.6641959999999</v>
      </c>
      <c r="AA47" s="1368">
        <f t="shared" si="22"/>
        <v>1161.3062268899998</v>
      </c>
      <c r="AB47" s="1368">
        <f t="shared" si="22"/>
        <v>1243.0083279999999</v>
      </c>
      <c r="AC47" s="1368">
        <f t="shared" ref="AC47:AL47" si="23">AC41+AC39</f>
        <v>1259.5845899999999</v>
      </c>
      <c r="AD47" s="2752">
        <f t="shared" si="23"/>
        <v>1378.75</v>
      </c>
      <c r="AE47" s="2752">
        <f t="shared" si="23"/>
        <v>1418.451309</v>
      </c>
      <c r="AF47" s="2752">
        <f t="shared" si="23"/>
        <v>1411.284717</v>
      </c>
      <c r="AG47" s="4096">
        <f t="shared" si="23"/>
        <v>1441.9664740000001</v>
      </c>
      <c r="AH47" s="2766">
        <f t="shared" si="23"/>
        <v>1555.9578763998857</v>
      </c>
      <c r="AI47" s="3387">
        <f>+AH47/AG47-1</f>
        <v>7.9052741138755156E-2</v>
      </c>
      <c r="AJ47" s="2327">
        <f t="shared" si="23"/>
        <v>907.31961967000007</v>
      </c>
      <c r="AK47" s="404">
        <f t="shared" si="23"/>
        <v>983.05520222999996</v>
      </c>
      <c r="AL47" s="405">
        <f t="shared" si="23"/>
        <v>975.26595399999997</v>
      </c>
      <c r="AM47" s="406">
        <f t="shared" si="10"/>
        <v>-7.9235105132758887E-3</v>
      </c>
      <c r="AN47" s="2342">
        <f t="shared" si="7"/>
        <v>30.681757000000061</v>
      </c>
      <c r="AO47" s="373">
        <f>+AH47-AG47</f>
        <v>113.9914023998856</v>
      </c>
      <c r="AP47" s="407"/>
    </row>
    <row r="48" spans="1:42" s="388" customFormat="1" ht="45" customHeight="1" thickBot="1">
      <c r="A48" s="1369" t="s">
        <v>484</v>
      </c>
      <c r="B48" s="1370"/>
      <c r="C48" s="1370"/>
      <c r="D48" s="1370"/>
      <c r="E48" s="1371"/>
      <c r="F48" s="1371"/>
      <c r="G48" s="1371"/>
      <c r="H48" s="1371"/>
      <c r="I48" s="1371"/>
      <c r="J48" s="1371"/>
      <c r="K48" s="1371"/>
      <c r="L48" s="1371"/>
      <c r="M48" s="1372"/>
      <c r="N48" s="1373"/>
      <c r="O48" s="1373">
        <v>19.702000000000002</v>
      </c>
      <c r="P48" s="1361">
        <v>35.804000000000002</v>
      </c>
      <c r="Q48" s="1361">
        <v>69.293999999999997</v>
      </c>
      <c r="R48" s="1362">
        <v>66.150000000000006</v>
      </c>
      <c r="S48" s="1361">
        <v>72.899000000000001</v>
      </c>
      <c r="T48" s="1364">
        <v>76.927383000000006</v>
      </c>
      <c r="U48" s="1364">
        <v>85.634</v>
      </c>
      <c r="V48" s="1364">
        <v>92.63</v>
      </c>
      <c r="W48" s="1365">
        <v>89.215999999999994</v>
      </c>
      <c r="X48" s="1366">
        <v>63.3</v>
      </c>
      <c r="Y48" s="1367">
        <f>70.770837*0+71.2</f>
        <v>71.2</v>
      </c>
      <c r="Z48" s="1365">
        <v>118.5</v>
      </c>
      <c r="AA48" s="1374">
        <v>126.48699999999999</v>
      </c>
      <c r="AB48" s="1374">
        <f>(112.36+12)*0+119.25</f>
        <v>119.25</v>
      </c>
      <c r="AC48" s="1374">
        <f>116.76+12*0</f>
        <v>116.76</v>
      </c>
      <c r="AD48" s="2753">
        <v>133.4</v>
      </c>
      <c r="AE48" s="2753">
        <f>119.3*0+106.2*0+110.726</f>
        <v>110.726</v>
      </c>
      <c r="AF48" s="2753">
        <f>123.9*0+120.7</f>
        <v>120.7</v>
      </c>
      <c r="AG48" s="4097">
        <f>107401160.2/1000000*0+110.6</f>
        <v>110.6</v>
      </c>
      <c r="AH48" s="2983">
        <v>114</v>
      </c>
      <c r="AI48" s="3387">
        <f>+AH48/AG48-1</f>
        <v>3.0741410488245968E-2</v>
      </c>
      <c r="AJ48" s="2328">
        <v>90.9</v>
      </c>
      <c r="AK48" s="408">
        <v>111.7</v>
      </c>
      <c r="AL48" s="409">
        <v>91.8</v>
      </c>
      <c r="AM48" s="410">
        <f>AL48/AK48-1</f>
        <v>-0.17815577439570285</v>
      </c>
      <c r="AN48" s="2342">
        <f t="shared" si="7"/>
        <v>-10.100000000000009</v>
      </c>
      <c r="AO48" s="373">
        <f>+AH48-AG48</f>
        <v>3.4000000000000057</v>
      </c>
      <c r="AP48" s="390"/>
    </row>
    <row r="49" spans="1:39" s="388" customFormat="1" ht="45" customHeight="1">
      <c r="A49" s="411" t="s">
        <v>660</v>
      </c>
      <c r="B49" s="412"/>
      <c r="C49" s="412"/>
      <c r="D49" s="412"/>
      <c r="E49" s="412"/>
      <c r="F49" s="412"/>
      <c r="G49" s="412"/>
      <c r="H49" s="412"/>
      <c r="I49" s="412"/>
      <c r="J49" s="412"/>
      <c r="K49" s="413"/>
      <c r="L49" s="413"/>
      <c r="M49" s="413"/>
      <c r="N49" s="413"/>
      <c r="O49" s="413"/>
      <c r="P49" s="413"/>
      <c r="Q49" s="413"/>
      <c r="R49" s="413"/>
      <c r="S49" s="413"/>
      <c r="T49" s="413"/>
      <c r="U49" s="414"/>
      <c r="V49" s="415"/>
      <c r="W49" s="415"/>
      <c r="X49" s="415"/>
      <c r="Y49" s="415"/>
      <c r="Z49" s="415"/>
      <c r="AA49" s="415"/>
      <c r="AB49" s="415"/>
      <c r="AC49" s="415"/>
      <c r="AD49" s="415"/>
      <c r="AE49" s="415"/>
      <c r="AF49" s="415"/>
      <c r="AG49" s="415"/>
      <c r="AH49" s="415"/>
      <c r="AI49" s="415"/>
      <c r="AJ49" s="415"/>
      <c r="AK49" s="415"/>
      <c r="AL49" s="415"/>
      <c r="AM49" s="415"/>
    </row>
    <row r="50" spans="1:39" ht="45" customHeight="1">
      <c r="A50" s="388" t="s">
        <v>2315</v>
      </c>
      <c r="P50" s="385"/>
      <c r="Q50" s="385"/>
      <c r="R50" s="385"/>
      <c r="S50" s="385"/>
      <c r="T50" s="385"/>
      <c r="U50" s="385"/>
      <c r="V50" s="385"/>
      <c r="W50" s="385"/>
      <c r="X50" s="385"/>
      <c r="Y50" s="385"/>
      <c r="Z50" s="385"/>
      <c r="AA50" s="385"/>
      <c r="AB50" s="385"/>
      <c r="AC50" s="385"/>
      <c r="AD50" s="385"/>
      <c r="AE50" s="385"/>
      <c r="AF50" s="385"/>
      <c r="AG50" s="5222"/>
      <c r="AH50" s="385"/>
      <c r="AI50" s="385"/>
      <c r="AJ50" s="385"/>
      <c r="AK50" s="385"/>
      <c r="AL50" s="385"/>
      <c r="AM50" s="416"/>
    </row>
    <row r="51" spans="1:39" ht="45" customHeight="1">
      <c r="A51" s="388" t="s">
        <v>1046</v>
      </c>
      <c r="P51" s="385"/>
      <c r="Q51" s="385"/>
      <c r="R51" s="385"/>
      <c r="S51" s="385"/>
      <c r="T51" s="385"/>
      <c r="U51" s="385"/>
      <c r="V51" s="385"/>
      <c r="W51" s="385"/>
      <c r="X51" s="385"/>
      <c r="Y51" s="385"/>
      <c r="Z51" s="385"/>
      <c r="AA51" s="385"/>
      <c r="AB51" s="385"/>
      <c r="AC51" s="385"/>
      <c r="AD51" s="385"/>
      <c r="AE51" s="385"/>
      <c r="AF51" s="385"/>
      <c r="AG51" s="5222"/>
      <c r="AH51" s="385"/>
      <c r="AI51" s="385"/>
      <c r="AJ51" s="385"/>
      <c r="AK51" s="385"/>
      <c r="AL51" s="385"/>
      <c r="AM51" s="416"/>
    </row>
    <row r="52" spans="1:39" ht="45" customHeight="1">
      <c r="A52" s="388" t="s">
        <v>1084</v>
      </c>
      <c r="D52" s="417"/>
      <c r="E52" s="417"/>
      <c r="F52" s="417"/>
      <c r="G52" s="417"/>
      <c r="H52" s="417"/>
      <c r="I52" s="417"/>
      <c r="J52" s="417"/>
      <c r="K52" s="417"/>
      <c r="L52" s="417"/>
      <c r="M52" s="417"/>
      <c r="N52" s="417"/>
      <c r="O52" s="417"/>
      <c r="P52" s="417"/>
      <c r="Q52" s="417"/>
      <c r="R52" s="417"/>
      <c r="S52" s="417"/>
      <c r="T52" s="385"/>
      <c r="U52" s="385"/>
      <c r="V52" s="385"/>
      <c r="W52" s="385"/>
      <c r="X52" s="385"/>
      <c r="Y52" s="385"/>
      <c r="Z52" s="385"/>
      <c r="AA52" s="385"/>
      <c r="AB52" s="385"/>
      <c r="AD52" s="366"/>
      <c r="AE52" s="366"/>
      <c r="AF52" s="366"/>
      <c r="AG52" s="366"/>
      <c r="AH52" s="385"/>
      <c r="AI52" s="385"/>
      <c r="AJ52" s="385"/>
      <c r="AK52" s="385"/>
      <c r="AL52" s="385"/>
      <c r="AM52" s="416"/>
    </row>
    <row r="53" spans="1:39" ht="12" customHeight="1">
      <c r="AD53" s="366"/>
      <c r="AE53" s="366"/>
      <c r="AF53" s="366"/>
      <c r="AG53" s="4052"/>
    </row>
    <row r="54" spans="1:39" ht="12" customHeight="1">
      <c r="AD54" s="366"/>
      <c r="AE54" s="366"/>
      <c r="AF54" s="366"/>
      <c r="AG54" s="4052"/>
    </row>
    <row r="55" spans="1:39" ht="12" customHeight="1">
      <c r="AD55" s="366"/>
      <c r="AE55" s="366"/>
      <c r="AF55" s="366"/>
      <c r="AG55" s="4052"/>
    </row>
    <row r="56" spans="1:39" ht="36.75" customHeight="1">
      <c r="AE56" s="2067">
        <f>AE47-AE17</f>
        <v>1254.0513089999999</v>
      </c>
      <c r="AF56" s="2067">
        <f>AF47-AF17</f>
        <v>1240.2987170000001</v>
      </c>
      <c r="AG56" s="4052"/>
      <c r="AI56" s="1431">
        <f>AF56/AE56-1</f>
        <v>-1.0966530556844933E-2</v>
      </c>
    </row>
    <row r="57" spans="1:39" ht="12" customHeight="1">
      <c r="AG57" s="4053"/>
    </row>
    <row r="58" spans="1:39" ht="12" customHeight="1">
      <c r="AG58" s="4053"/>
    </row>
    <row r="59" spans="1:39" ht="12" customHeight="1">
      <c r="AG59" s="4053"/>
    </row>
    <row r="60" spans="1:39" ht="12" customHeight="1">
      <c r="AG60" s="4053"/>
    </row>
    <row r="61" spans="1:39" ht="12" customHeight="1">
      <c r="AG61" s="4053"/>
    </row>
    <row r="62" spans="1:39" ht="12" customHeight="1">
      <c r="AG62" s="4053"/>
    </row>
    <row r="63" spans="1:39" ht="12" customHeight="1">
      <c r="AG63" s="4053"/>
    </row>
    <row r="64" spans="1:39" ht="12" customHeight="1">
      <c r="AG64" s="4053"/>
    </row>
    <row r="65" spans="33:33" ht="12" customHeight="1">
      <c r="AG65" s="4053"/>
    </row>
    <row r="66" spans="33:33" ht="12" customHeight="1">
      <c r="AG66" s="4053"/>
    </row>
    <row r="67" spans="33:33" ht="12" customHeight="1">
      <c r="AG67" s="4053"/>
    </row>
    <row r="68" spans="33:33" ht="12" customHeight="1">
      <c r="AG68" s="4053"/>
    </row>
    <row r="69" spans="33:33" ht="12" customHeight="1">
      <c r="AG69" s="4053"/>
    </row>
    <row r="70" spans="33:33" ht="12" customHeight="1">
      <c r="AG70" s="4053"/>
    </row>
    <row r="71" spans="33:33" ht="12" customHeight="1">
      <c r="AG71" s="4053"/>
    </row>
    <row r="72" spans="33:33" ht="12" customHeight="1">
      <c r="AG72" s="4053">
        <v>3.61524519</v>
      </c>
    </row>
    <row r="84" spans="1:1" ht="12" customHeight="1">
      <c r="A84" s="366" t="s">
        <v>747</v>
      </c>
    </row>
  </sheetData>
  <mergeCells count="5">
    <mergeCell ref="A1:AI1"/>
    <mergeCell ref="A2:AI2"/>
    <mergeCell ref="A3:AI3"/>
    <mergeCell ref="A4:AI4"/>
    <mergeCell ref="AJ5:AM5"/>
  </mergeCells>
  <printOptions horizontalCentered="1" verticalCentered="1"/>
  <pageMargins left="0.25" right="0.25" top="0.75" bottom="0.75" header="0.3" footer="0.3"/>
  <pageSetup scale="23" firstPageNumber="103" orientation="landscape" useFirstPageNumber="1" r:id="rId1"/>
  <headerFooter scaleWithDoc="0" alignWithMargins="0">
    <oddFooter xml:space="preserve">&amp;C128
</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tabColor theme="9" tint="-0.499984740745262"/>
    <pageSetUpPr fitToPage="1"/>
  </sheetPr>
  <dimension ref="B1:Q64"/>
  <sheetViews>
    <sheetView view="pageBreakPreview" zoomScale="30" zoomScaleNormal="60" zoomScaleSheetLayoutView="30" workbookViewId="0">
      <selection activeCell="B44" sqref="B44"/>
    </sheetView>
  </sheetViews>
  <sheetFormatPr defaultColWidth="9.46484375" defaultRowHeight="46.15"/>
  <cols>
    <col min="1" max="1" width="9.46484375" style="3626"/>
    <col min="2" max="2" width="140.6640625" style="3626" customWidth="1"/>
    <col min="3" max="5" width="35.6640625" style="3741" customWidth="1"/>
    <col min="6" max="9" width="35.6640625" style="3629" customWidth="1"/>
    <col min="10" max="13" width="35.6640625" style="3732" customWidth="1"/>
    <col min="14" max="14" width="42.46484375" style="3732" customWidth="1"/>
    <col min="15" max="15" width="9.6640625" style="3626" customWidth="1"/>
    <col min="16" max="16" width="4.6640625" style="3626" customWidth="1"/>
    <col min="17" max="17" width="26" style="3626" bestFit="1" customWidth="1"/>
    <col min="18" max="16384" width="9.46484375" style="3626"/>
  </cols>
  <sheetData>
    <row r="1" spans="2:17">
      <c r="B1" s="5868" t="s">
        <v>1031</v>
      </c>
      <c r="C1" s="5868"/>
      <c r="D1" s="5868"/>
      <c r="E1" s="5868"/>
      <c r="F1" s="5868"/>
      <c r="G1" s="5868"/>
      <c r="H1" s="5868"/>
      <c r="I1" s="5868"/>
      <c r="J1" s="5868"/>
      <c r="K1" s="5868"/>
      <c r="L1" s="5868"/>
      <c r="M1" s="5868"/>
      <c r="N1" s="5868"/>
      <c r="Q1" s="4434">
        <v>1000</v>
      </c>
    </row>
    <row r="2" spans="2:17">
      <c r="B2" s="5868" t="s">
        <v>440</v>
      </c>
      <c r="C2" s="5868"/>
      <c r="D2" s="5868"/>
      <c r="E2" s="5868"/>
      <c r="F2" s="5868"/>
      <c r="G2" s="5868"/>
      <c r="H2" s="5868"/>
      <c r="I2" s="5868"/>
      <c r="J2" s="5868"/>
      <c r="K2" s="5868"/>
      <c r="L2" s="5868"/>
      <c r="M2" s="5868"/>
      <c r="N2" s="5868"/>
      <c r="Q2" s="4434"/>
    </row>
    <row r="3" spans="2:17">
      <c r="B3" s="5868" t="s">
        <v>1967</v>
      </c>
      <c r="C3" s="5868"/>
      <c r="D3" s="5868"/>
      <c r="E3" s="5868"/>
      <c r="F3" s="5868"/>
      <c r="G3" s="5868"/>
      <c r="H3" s="5868"/>
      <c r="I3" s="5868"/>
      <c r="J3" s="5868"/>
      <c r="K3" s="5868"/>
      <c r="L3" s="5868"/>
      <c r="M3" s="5868"/>
      <c r="N3" s="5868"/>
      <c r="P3" s="3626">
        <v>1000</v>
      </c>
      <c r="Q3" s="4434">
        <v>1000</v>
      </c>
    </row>
    <row r="4" spans="2:17">
      <c r="B4" s="5868" t="s">
        <v>1957</v>
      </c>
      <c r="C4" s="5868"/>
      <c r="D4" s="5868"/>
      <c r="E4" s="5868"/>
      <c r="F4" s="5868"/>
      <c r="G4" s="5868"/>
      <c r="H4" s="5868"/>
      <c r="I4" s="5868"/>
      <c r="J4" s="5868"/>
      <c r="K4" s="5868"/>
      <c r="L4" s="5868"/>
      <c r="M4" s="5868"/>
      <c r="N4" s="5868"/>
    </row>
    <row r="5" spans="2:17" ht="46.5" thickBot="1">
      <c r="B5" s="5869"/>
      <c r="C5" s="5869"/>
      <c r="D5" s="5869"/>
      <c r="E5" s="5869"/>
      <c r="F5" s="3628"/>
      <c r="G5" s="3628"/>
      <c r="H5" s="3628"/>
      <c r="J5" s="3629"/>
      <c r="K5" s="3629"/>
      <c r="L5" s="3629"/>
      <c r="M5" s="3629"/>
      <c r="N5" s="3629"/>
    </row>
    <row r="6" spans="2:17" s="3627" customFormat="1" ht="88.25" customHeight="1" thickBot="1">
      <c r="B6" s="3630"/>
      <c r="C6" s="3632" t="s">
        <v>524</v>
      </c>
      <c r="D6" s="3631" t="s">
        <v>572</v>
      </c>
      <c r="E6" s="3632" t="s">
        <v>637</v>
      </c>
      <c r="F6" s="3633" t="s">
        <v>709</v>
      </c>
      <c r="G6" s="3634" t="s">
        <v>751</v>
      </c>
      <c r="H6" s="3635" t="s">
        <v>787</v>
      </c>
      <c r="I6" s="3636" t="s">
        <v>858</v>
      </c>
      <c r="J6" s="3637" t="s">
        <v>1076</v>
      </c>
      <c r="K6" s="3638" t="s">
        <v>1533</v>
      </c>
      <c r="L6" s="3639" t="s">
        <v>1958</v>
      </c>
      <c r="M6" s="3640" t="s">
        <v>1959</v>
      </c>
      <c r="N6" s="4878" t="s">
        <v>1966</v>
      </c>
    </row>
    <row r="7" spans="2:17" ht="43.25" customHeight="1">
      <c r="B7" s="3641" t="s">
        <v>239</v>
      </c>
      <c r="C7" s="3642"/>
      <c r="D7" s="3642"/>
      <c r="E7" s="3642"/>
      <c r="F7" s="3643"/>
      <c r="G7" s="3643"/>
      <c r="H7" s="3643"/>
      <c r="I7" s="3643"/>
      <c r="J7" s="3644"/>
      <c r="K7" s="3645"/>
      <c r="L7" s="3646"/>
      <c r="M7" s="3647"/>
      <c r="N7" s="3648"/>
    </row>
    <row r="8" spans="2:17" ht="43.25" customHeight="1">
      <c r="B8" s="3641" t="s">
        <v>233</v>
      </c>
      <c r="C8" s="3649">
        <f t="shared" ref="C8:I8" si="0">C10+C38</f>
        <v>2825.6286103107532</v>
      </c>
      <c r="D8" s="3649">
        <f t="shared" si="0"/>
        <v>2892.2691938051767</v>
      </c>
      <c r="E8" s="3649">
        <f t="shared" si="0"/>
        <v>3020.3399844860928</v>
      </c>
      <c r="F8" s="3649">
        <f t="shared" si="0"/>
        <v>3094.3218758338062</v>
      </c>
      <c r="G8" s="3649">
        <f t="shared" si="0"/>
        <v>3199.0170516782678</v>
      </c>
      <c r="H8" s="3649">
        <f t="shared" si="0"/>
        <v>3340.6359930346889</v>
      </c>
      <c r="I8" s="3649">
        <f t="shared" si="0"/>
        <v>3464.8681765229362</v>
      </c>
      <c r="J8" s="3650">
        <f>J10+J38</f>
        <v>3863.406864999341</v>
      </c>
      <c r="K8" s="3649">
        <f>K10+K38</f>
        <v>4265.9256718035813</v>
      </c>
      <c r="L8" s="3649">
        <f>L10+L38</f>
        <v>4503.6398021289224</v>
      </c>
      <c r="M8" s="3649">
        <f>M10+M38</f>
        <v>4887.1950772931368</v>
      </c>
      <c r="N8" s="3651">
        <f>M8/L8-1</f>
        <v>8.516561981331261E-2</v>
      </c>
      <c r="O8" s="3652"/>
    </row>
    <row r="9" spans="2:17" ht="43.25" customHeight="1">
      <c r="B9" s="3641"/>
      <c r="C9" s="3653"/>
      <c r="D9" s="3653"/>
      <c r="E9" s="3655"/>
      <c r="F9" s="3655"/>
      <c r="G9" s="3655"/>
      <c r="H9" s="3655"/>
      <c r="I9" s="3655"/>
      <c r="J9" s="3656"/>
      <c r="K9" s="3655"/>
      <c r="L9" s="3655"/>
      <c r="M9" s="3657"/>
      <c r="N9" s="3651" t="s">
        <v>390</v>
      </c>
      <c r="O9" s="3652"/>
    </row>
    <row r="10" spans="2:17" ht="43.25" customHeight="1">
      <c r="B10" s="3641" t="s">
        <v>439</v>
      </c>
      <c r="C10" s="3649">
        <f t="shared" ref="C10:I10" si="1">C14+C28+C34</f>
        <v>2789.3455925507533</v>
      </c>
      <c r="D10" s="3649">
        <f t="shared" si="1"/>
        <v>2869.0426814451766</v>
      </c>
      <c r="E10" s="3649">
        <f t="shared" si="1"/>
        <v>3001.4819844860926</v>
      </c>
      <c r="F10" s="3649">
        <f t="shared" si="1"/>
        <v>3071.4088758338062</v>
      </c>
      <c r="G10" s="3649">
        <f t="shared" si="1"/>
        <v>3177.2788796782679</v>
      </c>
      <c r="H10" s="3649">
        <f t="shared" si="1"/>
        <v>3306.3359930346887</v>
      </c>
      <c r="I10" s="3649">
        <f t="shared" si="1"/>
        <v>3417.596780402936</v>
      </c>
      <c r="J10" s="3650">
        <f>J14+J28+J34</f>
        <v>3773.8068649993411</v>
      </c>
      <c r="K10" s="3649">
        <f>K14+K28+K34</f>
        <v>4135.4256718035813</v>
      </c>
      <c r="L10" s="3649">
        <f>L14+L28+L34</f>
        <v>4395.1398021289224</v>
      </c>
      <c r="M10" s="3649">
        <f>M14+M28+M34</f>
        <v>4783.495077293137</v>
      </c>
      <c r="N10" s="3651">
        <f>M10/L10-1</f>
        <v>8.8360164328812107E-2</v>
      </c>
      <c r="O10" s="3652"/>
      <c r="Q10" s="3658" t="s">
        <v>390</v>
      </c>
    </row>
    <row r="11" spans="2:17" ht="43.25" customHeight="1">
      <c r="B11" s="3659"/>
      <c r="C11" s="3660"/>
      <c r="D11" s="3660"/>
      <c r="E11" s="3653"/>
      <c r="F11" s="3661"/>
      <c r="G11" s="3661"/>
      <c r="H11" s="3661"/>
      <c r="I11" s="3661"/>
      <c r="J11" s="3646"/>
      <c r="K11" s="3661"/>
      <c r="L11" s="3661"/>
      <c r="M11" s="3647"/>
      <c r="N11" s="3651" t="s">
        <v>390</v>
      </c>
      <c r="O11" s="3652"/>
    </row>
    <row r="12" spans="2:17" ht="43.25" customHeight="1">
      <c r="B12" s="3662" t="s">
        <v>240</v>
      </c>
      <c r="C12" s="3654"/>
      <c r="D12" s="3654"/>
      <c r="E12" s="3654"/>
      <c r="F12" s="3661"/>
      <c r="G12" s="3661"/>
      <c r="H12" s="3661"/>
      <c r="I12" s="3661"/>
      <c r="J12" s="3646"/>
      <c r="K12" s="3661"/>
      <c r="L12" s="3661"/>
      <c r="M12" s="3647"/>
      <c r="N12" s="3651" t="s">
        <v>390</v>
      </c>
      <c r="O12" s="3652"/>
    </row>
    <row r="13" spans="2:17" ht="43.25" customHeight="1">
      <c r="B13" s="3659"/>
      <c r="C13" s="3660"/>
      <c r="D13" s="3660"/>
      <c r="E13" s="3660"/>
      <c r="F13" s="3661"/>
      <c r="G13" s="3661"/>
      <c r="H13" s="3661"/>
      <c r="I13" s="3663" t="s">
        <v>390</v>
      </c>
      <c r="J13" s="3664" t="s">
        <v>390</v>
      </c>
      <c r="K13" s="3663"/>
      <c r="L13" s="3663"/>
      <c r="M13" s="3665"/>
      <c r="N13" s="3651" t="s">
        <v>390</v>
      </c>
      <c r="O13" s="3666"/>
      <c r="P13" s="3667"/>
    </row>
    <row r="14" spans="2:17" s="3673" customFormat="1" ht="49.25" customHeight="1">
      <c r="B14" s="3668" t="s">
        <v>234</v>
      </c>
      <c r="C14" s="3669">
        <f t="shared" ref="C14:I14" si="2">C15+C19</f>
        <v>2540.0520230067532</v>
      </c>
      <c r="D14" s="3669">
        <f t="shared" si="2"/>
        <v>2664.8972503280538</v>
      </c>
      <c r="E14" s="3669">
        <f t="shared" si="2"/>
        <v>2808.2422329183573</v>
      </c>
      <c r="F14" s="3669">
        <f t="shared" si="2"/>
        <v>2902.2210307575415</v>
      </c>
      <c r="G14" s="3669">
        <f t="shared" si="2"/>
        <v>2983.4720675372669</v>
      </c>
      <c r="H14" s="3669">
        <f t="shared" si="2"/>
        <v>3108.1359930346889</v>
      </c>
      <c r="I14" s="3669">
        <f t="shared" si="2"/>
        <v>3224.7613433132997</v>
      </c>
      <c r="J14" s="3670">
        <f>J15+J19</f>
        <v>3561.124564626341</v>
      </c>
      <c r="K14" s="3669">
        <f>K15+K19</f>
        <v>3864.3469822245806</v>
      </c>
      <c r="L14" s="3669">
        <f>L15+L19</f>
        <v>4104.3233359179221</v>
      </c>
      <c r="M14" s="3669">
        <f>M15+M19</f>
        <v>4489.2546123213406</v>
      </c>
      <c r="N14" s="3651">
        <f>M14/L14-1</f>
        <v>9.3786781619954684E-2</v>
      </c>
      <c r="O14" s="3666" t="s">
        <v>390</v>
      </c>
      <c r="P14" s="3671" t="s">
        <v>390</v>
      </c>
      <c r="Q14" s="3672" t="s">
        <v>390</v>
      </c>
    </row>
    <row r="15" spans="2:17" s="3673" customFormat="1" ht="49.25" customHeight="1">
      <c r="B15" s="3674" t="s">
        <v>235</v>
      </c>
      <c r="C15" s="3675">
        <f t="shared" ref="C15:J15" si="3">C16+C17+C18</f>
        <v>1282.6256552799998</v>
      </c>
      <c r="D15" s="3675">
        <f t="shared" si="3"/>
        <v>1298.6337444230001</v>
      </c>
      <c r="E15" s="3675">
        <f t="shared" si="3"/>
        <v>1477.791916616</v>
      </c>
      <c r="F15" s="3675">
        <f t="shared" si="3"/>
        <v>1514.363634697</v>
      </c>
      <c r="G15" s="3675">
        <f t="shared" si="3"/>
        <v>1392.580621138</v>
      </c>
      <c r="H15" s="3675">
        <f t="shared" si="3"/>
        <v>1527.651759181</v>
      </c>
      <c r="I15" s="3675">
        <f t="shared" si="3"/>
        <v>1584.216338749</v>
      </c>
      <c r="J15" s="3676">
        <f t="shared" si="3"/>
        <v>1680.1674847710001</v>
      </c>
      <c r="K15" s="3675">
        <f>K16+K17+K18</f>
        <v>1689.8507619439999</v>
      </c>
      <c r="L15" s="3675">
        <f>L16+L17+L18</f>
        <v>1879.644209908</v>
      </c>
      <c r="M15" s="3675">
        <f>M16+M17+M18</f>
        <v>1778.838459755</v>
      </c>
      <c r="N15" s="3651">
        <f>M15/L15-1</f>
        <v>-5.3630229392153894E-2</v>
      </c>
      <c r="O15" s="3652"/>
      <c r="Q15" s="3672" t="s">
        <v>390</v>
      </c>
    </row>
    <row r="16" spans="2:17" ht="43.25" customHeight="1">
      <c r="B16" s="3677" t="s">
        <v>241</v>
      </c>
      <c r="C16" s="3661">
        <v>338.57926268000006</v>
      </c>
      <c r="D16" s="3661">
        <v>327.17288905300001</v>
      </c>
      <c r="E16" s="3661">
        <v>427.39828402000001</v>
      </c>
      <c r="F16" s="3661">
        <v>413.73240103299997</v>
      </c>
      <c r="G16" s="3661">
        <v>429.00115925800003</v>
      </c>
      <c r="H16" s="3661">
        <v>447.77106722800005</v>
      </c>
      <c r="I16" s="3661">
        <v>499.32713086900003</v>
      </c>
      <c r="J16" s="3678">
        <v>486.18641131500004</v>
      </c>
      <c r="K16" s="3678">
        <v>519.72209308399999</v>
      </c>
      <c r="L16" s="3679">
        <f>622962.34652/1000</f>
        <v>622.96234651999998</v>
      </c>
      <c r="M16" s="3679">
        <f>561306.026095/1000</f>
        <v>561.30602609499999</v>
      </c>
      <c r="N16" s="3680">
        <f>M16/L16-1</f>
        <v>-9.8972788274323986E-2</v>
      </c>
      <c r="O16" s="3652"/>
      <c r="Q16" s="3672" t="s">
        <v>390</v>
      </c>
    </row>
    <row r="17" spans="2:17" ht="43.25" customHeight="1">
      <c r="B17" s="3677" t="s">
        <v>242</v>
      </c>
      <c r="C17" s="3661">
        <v>703.98358655999982</v>
      </c>
      <c r="D17" s="3661">
        <v>774.45184537</v>
      </c>
      <c r="E17" s="3661">
        <v>849.50191451600006</v>
      </c>
      <c r="F17" s="3661">
        <v>912.45502896399989</v>
      </c>
      <c r="G17" s="3661">
        <v>739.62123310999993</v>
      </c>
      <c r="H17" s="3661">
        <v>833.12042501299993</v>
      </c>
      <c r="I17" s="3661">
        <v>864.63439248999998</v>
      </c>
      <c r="J17" s="3681">
        <v>973.10410049599989</v>
      </c>
      <c r="K17" s="3678">
        <v>971.33147232999988</v>
      </c>
      <c r="L17" s="3682">
        <f>1082128.547378/1000</f>
        <v>1082.1285473780001</v>
      </c>
      <c r="M17" s="3683">
        <f>1067341.18274/1000</f>
        <v>1067.34118274</v>
      </c>
      <c r="N17" s="3680">
        <f t="shared" ref="N17:N18" si="4">M17/L17-1</f>
        <v>-1.3665072115350729E-2</v>
      </c>
      <c r="O17" s="3652"/>
      <c r="Q17" s="3672" t="s">
        <v>390</v>
      </c>
    </row>
    <row r="18" spans="2:17" ht="43.25" customHeight="1">
      <c r="B18" s="3677" t="s">
        <v>243</v>
      </c>
      <c r="C18" s="3661">
        <v>240.06280604</v>
      </c>
      <c r="D18" s="3661">
        <v>197.00901000000002</v>
      </c>
      <c r="E18" s="3661">
        <v>200.89171808000003</v>
      </c>
      <c r="F18" s="3661">
        <v>188.17620469999997</v>
      </c>
      <c r="G18" s="3661">
        <v>223.95822877000001</v>
      </c>
      <c r="H18" s="3661">
        <v>246.76026694000007</v>
      </c>
      <c r="I18" s="3661">
        <v>220.25481539000003</v>
      </c>
      <c r="J18" s="3681">
        <v>220.87697296000002</v>
      </c>
      <c r="K18" s="3678">
        <v>198.79719653000004</v>
      </c>
      <c r="L18" s="3682">
        <f>174553.31601/1000</f>
        <v>174.55331601</v>
      </c>
      <c r="M18" s="3683">
        <f>150191.25092/1000</f>
        <v>150.19125091999999</v>
      </c>
      <c r="N18" s="3680">
        <f t="shared" si="4"/>
        <v>-0.1395680451501955</v>
      </c>
      <c r="O18" s="3684"/>
      <c r="Q18" s="3672" t="s">
        <v>390</v>
      </c>
    </row>
    <row r="19" spans="2:17" s="3673" customFormat="1" ht="43.25" customHeight="1">
      <c r="B19" s="3674" t="s">
        <v>236</v>
      </c>
      <c r="C19" s="3675">
        <f t="shared" ref="C19:F19" si="5">C20+C21+C22</f>
        <v>1257.4263677267531</v>
      </c>
      <c r="D19" s="3675">
        <f t="shared" si="5"/>
        <v>1366.2635059050538</v>
      </c>
      <c r="E19" s="3675">
        <f t="shared" si="5"/>
        <v>1330.4503163023571</v>
      </c>
      <c r="F19" s="3675">
        <f t="shared" si="5"/>
        <v>1387.8573960605413</v>
      </c>
      <c r="G19" s="3675">
        <f t="shared" ref="G19:M19" si="6">G20+G21+G22</f>
        <v>1590.8914463992669</v>
      </c>
      <c r="H19" s="3675">
        <f t="shared" si="6"/>
        <v>1580.4842338536887</v>
      </c>
      <c r="I19" s="3675">
        <f t="shared" si="6"/>
        <v>1640.5450045642997</v>
      </c>
      <c r="J19" s="3676">
        <f t="shared" si="6"/>
        <v>1880.9570798553409</v>
      </c>
      <c r="K19" s="3675">
        <f t="shared" si="6"/>
        <v>2174.4962202805809</v>
      </c>
      <c r="L19" s="3675">
        <f t="shared" si="6"/>
        <v>2224.6791260099221</v>
      </c>
      <c r="M19" s="3675">
        <f t="shared" si="6"/>
        <v>2710.4161525663403</v>
      </c>
      <c r="N19" s="3651">
        <f t="shared" ref="N19:N24" si="7">M19/L19-1</f>
        <v>0.21834026349121771</v>
      </c>
      <c r="O19" s="3652"/>
      <c r="P19" s="3671"/>
      <c r="Q19" s="3672" t="s">
        <v>390</v>
      </c>
    </row>
    <row r="20" spans="2:17" ht="43.25" customHeight="1">
      <c r="B20" s="3677" t="s">
        <v>241</v>
      </c>
      <c r="C20" s="3661">
        <f>('[184]debt summary CY'!AA$32)/1000</f>
        <v>226.41807711500002</v>
      </c>
      <c r="D20" s="3661">
        <f>('[184]debt summary CY'!AB$32)/1000</f>
        <v>303.07834674499998</v>
      </c>
      <c r="E20" s="3661">
        <f>('[184]debt summary CY'!AC$32)/1000</f>
        <v>350.22318342400007</v>
      </c>
      <c r="F20" s="3661">
        <f>('[184]debt summary CY'!AD$32)/1000</f>
        <v>438.61096415899999</v>
      </c>
      <c r="G20" s="3661">
        <f>('[184]debt summary CY'!AE$32)/1000</f>
        <v>486.31316000300001</v>
      </c>
      <c r="H20" s="3661">
        <v>534.38685671799999</v>
      </c>
      <c r="I20" s="3661">
        <f>('[185]Debt Summary Quaterly'!$BQ$32)/1000</f>
        <v>520.05710885799999</v>
      </c>
      <c r="J20" s="3681">
        <v>481.16494019299995</v>
      </c>
      <c r="K20" s="3678">
        <v>503.02539899700002</v>
      </c>
      <c r="L20" s="3685">
        <f>519279.000169/1000</f>
        <v>519.27900016900003</v>
      </c>
      <c r="M20" s="3686">
        <f>466145.478994/1000</f>
        <v>466.14547899400003</v>
      </c>
      <c r="N20" s="3680">
        <f t="shared" si="7"/>
        <v>-0.1023217213823544</v>
      </c>
      <c r="O20" s="3652"/>
    </row>
    <row r="21" spans="2:17" ht="43.25" customHeight="1">
      <c r="B21" s="3677" t="s">
        <v>242</v>
      </c>
      <c r="C21" s="3661">
        <f>('[184]debt summary CY'!AA$39)/1000</f>
        <v>373.87660866550004</v>
      </c>
      <c r="D21" s="3661">
        <f>('[184]debt summary CY'!AB$39)/1000</f>
        <v>366.08560199999999</v>
      </c>
      <c r="E21" s="3661">
        <f>('[184]debt summary CY'!AC$39)/1000</f>
        <v>289.49894449699997</v>
      </c>
      <c r="F21" s="3661">
        <f>('[184]debt summary CY'!AD$39)/1000</f>
        <v>287.302247459</v>
      </c>
      <c r="G21" s="3661">
        <f>('[184]debt summary CY'!AE$39)/1000</f>
        <v>432.849251643</v>
      </c>
      <c r="H21" s="3661">
        <v>405.34455189199997</v>
      </c>
      <c r="I21" s="3661">
        <f>('[185]Debt Summary Quaterly'!$BQ$39)/1000</f>
        <v>415.49452540999994</v>
      </c>
      <c r="J21" s="3681">
        <v>410.48468677599993</v>
      </c>
      <c r="K21" s="3678">
        <v>403.14037958</v>
      </c>
      <c r="L21" s="3685">
        <f>433063.574974/1000</f>
        <v>433.06357497400001</v>
      </c>
      <c r="M21" s="3686">
        <f>626371.395307/1000</f>
        <v>626.37139530700006</v>
      </c>
      <c r="N21" s="3680">
        <f t="shared" si="7"/>
        <v>0.44637284570655877</v>
      </c>
      <c r="O21" s="3652"/>
    </row>
    <row r="22" spans="2:17" s="3673" customFormat="1" ht="43.25" customHeight="1">
      <c r="B22" s="3674" t="s">
        <v>243</v>
      </c>
      <c r="C22" s="3675">
        <f t="shared" ref="C22:F22" si="8">C23+C24</f>
        <v>657.13168194625314</v>
      </c>
      <c r="D22" s="3675">
        <f t="shared" si="8"/>
        <v>697.09955716005379</v>
      </c>
      <c r="E22" s="3675">
        <f t="shared" si="8"/>
        <v>690.72818838135709</v>
      </c>
      <c r="F22" s="3675">
        <f t="shared" si="8"/>
        <v>661.9441844425412</v>
      </c>
      <c r="G22" s="3675">
        <f t="shared" ref="G22:M22" si="9">G23+G24</f>
        <v>671.72903475326689</v>
      </c>
      <c r="H22" s="3675">
        <f t="shared" si="9"/>
        <v>640.75282524368856</v>
      </c>
      <c r="I22" s="3675">
        <f t="shared" si="9"/>
        <v>704.99337029629987</v>
      </c>
      <c r="J22" s="3676">
        <f t="shared" si="9"/>
        <v>989.30745288634103</v>
      </c>
      <c r="K22" s="3675">
        <f t="shared" si="9"/>
        <v>1268.3304417035811</v>
      </c>
      <c r="L22" s="3675">
        <f t="shared" si="9"/>
        <v>1272.3365508669222</v>
      </c>
      <c r="M22" s="3675">
        <f t="shared" si="9"/>
        <v>1617.8992782653399</v>
      </c>
      <c r="N22" s="3651">
        <f t="shared" si="7"/>
        <v>0.27159695063618527</v>
      </c>
      <c r="O22" s="3652"/>
      <c r="P22" s="3671"/>
    </row>
    <row r="23" spans="2:17" ht="43.25" customHeight="1">
      <c r="B23" s="3687" t="s">
        <v>244</v>
      </c>
      <c r="C23" s="3661">
        <f>('[184]debt summary CY'!AA$43)/1000</f>
        <v>59.491667670030004</v>
      </c>
      <c r="D23" s="3661">
        <f>('[184]debt summary CY'!AB$43)/1000</f>
        <v>92.552287887810991</v>
      </c>
      <c r="E23" s="3661">
        <f>('[184]debt summary CY'!AC$43)/1000</f>
        <v>108.50017023794099</v>
      </c>
      <c r="F23" s="3661">
        <f>('[184]debt summary CY'!AD$43)/1000</f>
        <v>99.866541154113008</v>
      </c>
      <c r="G23" s="3661">
        <f>('[184]debt summary CY'!AE$43)/1000</f>
        <v>93.776438122471006</v>
      </c>
      <c r="H23" s="3661">
        <v>84.625273388874007</v>
      </c>
      <c r="I23" s="3661">
        <f>('[185]Debt Summary Quaterly'!$BQ$46)/1000</f>
        <v>129.47186168100899</v>
      </c>
      <c r="J23" s="3681">
        <v>180.28694720660309</v>
      </c>
      <c r="K23" s="3678">
        <v>303.79000000000002</v>
      </c>
      <c r="L23" s="3685">
        <f>294079.617099734/1000</f>
        <v>294.07961709973404</v>
      </c>
      <c r="M23" s="3686">
        <f>593653.43915692/1000</f>
        <v>593.65343915691994</v>
      </c>
      <c r="N23" s="3680">
        <f t="shared" si="7"/>
        <v>1.0186827125648379</v>
      </c>
      <c r="O23" s="3652"/>
    </row>
    <row r="24" spans="2:17" ht="43.25" customHeight="1">
      <c r="B24" s="3687" t="s">
        <v>245</v>
      </c>
      <c r="C24" s="3661">
        <f>('[184]debt summary CY'!AA$44)/1000</f>
        <v>597.64001427622316</v>
      </c>
      <c r="D24" s="3661">
        <f>('[184]debt summary CY'!AB$44)/1000</f>
        <v>604.54726927224283</v>
      </c>
      <c r="E24" s="3661">
        <f>('[184]debt summary CY'!AC$44)/1000</f>
        <v>582.22801814341608</v>
      </c>
      <c r="F24" s="3661">
        <f>('[184]debt summary CY'!AD$44)/1000</f>
        <v>562.07764328842813</v>
      </c>
      <c r="G24" s="3661">
        <f>('[184]debt summary CY'!AE$44)/1000</f>
        <v>577.95259663079594</v>
      </c>
      <c r="H24" s="3661">
        <v>556.12755185481456</v>
      </c>
      <c r="I24" s="3661">
        <f>('[185]Debt Summary Quaterly'!$BQ$51)/1000</f>
        <v>575.52150861529094</v>
      </c>
      <c r="J24" s="3681">
        <v>809.02050567973799</v>
      </c>
      <c r="K24" s="3678">
        <v>964.540441703581</v>
      </c>
      <c r="L24" s="3685">
        <f>978256.933767188/1000</f>
        <v>978.256933767188</v>
      </c>
      <c r="M24" s="3686">
        <f>1024245.83910842/1000</f>
        <v>1024.2458391084199</v>
      </c>
      <c r="N24" s="3680">
        <f t="shared" si="7"/>
        <v>4.7011070153249346E-2</v>
      </c>
      <c r="O24" s="3652"/>
      <c r="P24" s="3667"/>
    </row>
    <row r="25" spans="2:17" ht="43.25" customHeight="1">
      <c r="B25" s="3659"/>
      <c r="C25" s="3654"/>
      <c r="D25" s="3654"/>
      <c r="E25" s="3654"/>
      <c r="F25" s="3661"/>
      <c r="G25" s="3661"/>
      <c r="H25" s="3661"/>
      <c r="I25" s="3661"/>
      <c r="J25" s="3646"/>
      <c r="K25" s="3661"/>
      <c r="L25" s="3646"/>
      <c r="M25" s="3647"/>
      <c r="N25" s="3651" t="s">
        <v>390</v>
      </c>
      <c r="O25" s="3652"/>
    </row>
    <row r="26" spans="2:17" ht="43.25" customHeight="1">
      <c r="B26" s="3662" t="s">
        <v>237</v>
      </c>
      <c r="C26" s="3654"/>
      <c r="D26" s="3654"/>
      <c r="E26" s="3654"/>
      <c r="F26" s="3661"/>
      <c r="G26" s="3661"/>
      <c r="H26" s="3661"/>
      <c r="I26" s="3661"/>
      <c r="J26" s="3646"/>
      <c r="K26" s="3661"/>
      <c r="L26" s="3646"/>
      <c r="M26" s="3647"/>
      <c r="N26" s="3651" t="s">
        <v>390</v>
      </c>
      <c r="O26" s="3652"/>
    </row>
    <row r="27" spans="2:17" ht="43.25" customHeight="1">
      <c r="B27" s="3659"/>
      <c r="C27" s="3653"/>
      <c r="D27" s="3653"/>
      <c r="E27" s="3653"/>
      <c r="F27" s="3661"/>
      <c r="G27" s="3661"/>
      <c r="H27" s="3661" t="s">
        <v>390</v>
      </c>
      <c r="I27" s="3688" t="s">
        <v>390</v>
      </c>
      <c r="J27" s="3689" t="s">
        <v>390</v>
      </c>
      <c r="K27" s="3690"/>
      <c r="L27" s="3689"/>
      <c r="M27" s="3691"/>
      <c r="N27" s="3651" t="s">
        <v>390</v>
      </c>
      <c r="O27" s="3652"/>
    </row>
    <row r="28" spans="2:17" s="3673" customFormat="1" ht="43.25" customHeight="1">
      <c r="B28" s="3668" t="s">
        <v>234</v>
      </c>
      <c r="C28" s="3649">
        <f t="shared" ref="C28:F28" si="10">SUM(C29:C30)</f>
        <v>186.83405738400003</v>
      </c>
      <c r="D28" s="3649">
        <f t="shared" si="10"/>
        <v>154.28060584712301</v>
      </c>
      <c r="E28" s="3649">
        <f t="shared" si="10"/>
        <v>153.30480146773499</v>
      </c>
      <c r="F28" s="3649">
        <f t="shared" si="10"/>
        <v>146.53747731626498</v>
      </c>
      <c r="G28" s="3649">
        <f t="shared" ref="G28:M28" si="11">SUM(G29:G30)</f>
        <v>175.61683058100101</v>
      </c>
      <c r="H28" s="3649">
        <f t="shared" si="11"/>
        <v>184</v>
      </c>
      <c r="I28" s="3649">
        <f t="shared" si="11"/>
        <v>192.156809049636</v>
      </c>
      <c r="J28" s="3650">
        <f t="shared" si="11"/>
        <v>211.86094080299998</v>
      </c>
      <c r="K28" s="3649">
        <f t="shared" si="11"/>
        <v>270.87395966899999</v>
      </c>
      <c r="L28" s="3649">
        <f t="shared" si="11"/>
        <v>290.81646621100003</v>
      </c>
      <c r="M28" s="3649">
        <f t="shared" si="11"/>
        <v>294.24046497179603</v>
      </c>
      <c r="N28" s="3651">
        <f>M28/L28-1</f>
        <v>1.1773744469860015E-2</v>
      </c>
      <c r="O28" s="3666" t="s">
        <v>390</v>
      </c>
      <c r="P28" s="3666" t="s">
        <v>390</v>
      </c>
    </row>
    <row r="29" spans="2:17" ht="43.25" customHeight="1">
      <c r="B29" s="3677" t="s">
        <v>235</v>
      </c>
      <c r="C29" s="3661">
        <f>('[186]debt summary CY'!AA$49)/1000</f>
        <v>126.74525493000002</v>
      </c>
      <c r="D29" s="3661">
        <f>('[186]debt summary CY'!AB$49)/1000</f>
        <v>100.19876649000001</v>
      </c>
      <c r="E29" s="3661">
        <f>('[186]debt summary CY'!AC$49)/1000</f>
        <v>103.62517275</v>
      </c>
      <c r="F29" s="3661">
        <f>('[186]debt summary CY'!AD$49)/1000</f>
        <v>105.56008208</v>
      </c>
      <c r="G29" s="3661">
        <f>('[186]debt summary CY'!AE$49)/1000</f>
        <v>133.1681471</v>
      </c>
      <c r="H29" s="3661">
        <v>146.9</v>
      </c>
      <c r="I29" s="3661">
        <f>('[185]Debt Summary Quaterly'!$BQ$62)/1000</f>
        <v>143.02431050999999</v>
      </c>
      <c r="J29" s="3681">
        <v>145.57553393999999</v>
      </c>
      <c r="K29" s="3678">
        <v>155.13067699999999</v>
      </c>
      <c r="L29" s="3685">
        <f>156291.05215/1000</f>
        <v>156.29105215000001</v>
      </c>
      <c r="M29" s="3686">
        <f>157050.10935/1000</f>
        <v>157.05010935000001</v>
      </c>
      <c r="N29" s="3680">
        <f>M29/L29-1</f>
        <v>4.8566900635584886E-3</v>
      </c>
      <c r="O29" s="3652" t="s">
        <v>390</v>
      </c>
    </row>
    <row r="30" spans="2:17" ht="43.25" customHeight="1">
      <c r="B30" s="3677" t="s">
        <v>236</v>
      </c>
      <c r="C30" s="3661">
        <f>('[184]debt summary CY'!AA$50)/1000</f>
        <v>60.08880245400001</v>
      </c>
      <c r="D30" s="3661">
        <f>('[184]debt summary CY'!AB$50)/1000</f>
        <v>54.081839357123002</v>
      </c>
      <c r="E30" s="3661">
        <f>('[184]debt summary CY'!AC$50)/1000</f>
        <v>49.679628717735</v>
      </c>
      <c r="F30" s="3661">
        <f>('[184]debt summary CY'!AD$50)/1000</f>
        <v>40.977395236264996</v>
      </c>
      <c r="G30" s="3661">
        <f>('[184]debt summary CY'!AE$50)/1000</f>
        <v>42.448683481001005</v>
      </c>
      <c r="H30" s="3661">
        <v>37.1</v>
      </c>
      <c r="I30" s="3661">
        <f>('[185]Debt Summary Quaterly'!$BQ$63)/1000</f>
        <v>49.132498539635996</v>
      </c>
      <c r="J30" s="3681">
        <v>66.285406862999992</v>
      </c>
      <c r="K30" s="3678">
        <v>115.743282669</v>
      </c>
      <c r="L30" s="3685">
        <f>134525.414061/1000</f>
        <v>134.52541406099999</v>
      </c>
      <c r="M30" s="3686">
        <f>137190.355621796/1000</f>
        <v>137.19035562179602</v>
      </c>
      <c r="N30" s="3680">
        <f>M30/L30-1</f>
        <v>1.9809948769885288E-2</v>
      </c>
      <c r="O30" s="3666" t="s">
        <v>390</v>
      </c>
    </row>
    <row r="31" spans="2:17" ht="43.25" customHeight="1">
      <c r="B31" s="3659"/>
      <c r="C31" s="3653"/>
      <c r="D31" s="3653"/>
      <c r="E31" s="3653"/>
      <c r="F31" s="3661"/>
      <c r="G31" s="3661"/>
      <c r="H31" s="3661"/>
      <c r="I31" s="3661"/>
      <c r="J31" s="3646"/>
      <c r="K31" s="3661"/>
      <c r="L31" s="3646"/>
      <c r="M31" s="3647"/>
      <c r="N31" s="3651"/>
      <c r="O31" s="3652" t="s">
        <v>390</v>
      </c>
    </row>
    <row r="32" spans="2:17" ht="43.25" customHeight="1">
      <c r="B32" s="3662" t="s">
        <v>238</v>
      </c>
      <c r="C32" s="3653"/>
      <c r="D32" s="3653"/>
      <c r="E32" s="3653"/>
      <c r="F32" s="3661"/>
      <c r="G32" s="3661"/>
      <c r="H32" s="3661"/>
      <c r="I32" s="3661"/>
      <c r="J32" s="3646"/>
      <c r="K32" s="3661"/>
      <c r="L32" s="3646"/>
      <c r="M32" s="3647"/>
      <c r="N32" s="3651" t="s">
        <v>390</v>
      </c>
      <c r="O32" s="3652"/>
    </row>
    <row r="33" spans="2:16" ht="43.25" customHeight="1">
      <c r="B33" s="3659"/>
      <c r="C33" s="3653"/>
      <c r="D33" s="3653"/>
      <c r="E33" s="3653"/>
      <c r="F33" s="3661"/>
      <c r="G33" s="3661"/>
      <c r="H33" s="3661"/>
      <c r="I33" s="3692" t="s">
        <v>390</v>
      </c>
      <c r="J33" s="3693" t="s">
        <v>390</v>
      </c>
      <c r="K33" s="3692"/>
      <c r="L33" s="3693"/>
      <c r="M33" s="3694"/>
      <c r="N33" s="3651" t="s">
        <v>390</v>
      </c>
      <c r="O33" s="3652"/>
    </row>
    <row r="34" spans="2:16" s="3673" customFormat="1" ht="43.25" customHeight="1">
      <c r="B34" s="3668" t="s">
        <v>234</v>
      </c>
      <c r="C34" s="3649">
        <f t="shared" ref="C34:F34" si="12">SUM(C35:C36)</f>
        <v>62.459512159999996</v>
      </c>
      <c r="D34" s="3649">
        <f t="shared" si="12"/>
        <v>49.864825270000004</v>
      </c>
      <c r="E34" s="3649">
        <f t="shared" si="12"/>
        <v>39.934950099999995</v>
      </c>
      <c r="F34" s="3649">
        <f t="shared" si="12"/>
        <v>22.650367760000002</v>
      </c>
      <c r="G34" s="3649">
        <f>SUM(G35:G36)</f>
        <v>18.189981560000003</v>
      </c>
      <c r="H34" s="3649">
        <f>SUM(H35:H36)</f>
        <v>14.2</v>
      </c>
      <c r="I34" s="3649">
        <f>SUM(I35:I36)</f>
        <v>0.6786280400000001</v>
      </c>
      <c r="J34" s="3650">
        <f>SUM(J35:J36)</f>
        <v>0.82135957000000004</v>
      </c>
      <c r="K34" s="3649">
        <f>SUM(K35:K36)</f>
        <v>0.20472990999999999</v>
      </c>
      <c r="L34" s="3650">
        <v>0</v>
      </c>
      <c r="M34" s="3650">
        <v>0</v>
      </c>
      <c r="N34" s="3651">
        <v>0</v>
      </c>
      <c r="O34" s="3695" t="s">
        <v>390</v>
      </c>
      <c r="P34" s="3666" t="s">
        <v>390</v>
      </c>
    </row>
    <row r="35" spans="2:16" ht="43.25" customHeight="1">
      <c r="B35" s="3677" t="s">
        <v>235</v>
      </c>
      <c r="C35" s="3661">
        <f>('[184]debt summary CY'!AA$55)/1000</f>
        <v>62.459512159999996</v>
      </c>
      <c r="D35" s="3661">
        <f>('[184]debt summary CY'!AB$55)/1000</f>
        <v>49.864825270000004</v>
      </c>
      <c r="E35" s="3661">
        <f>('[184]debt summary CY'!AC$55)/1000</f>
        <v>39.934950099999995</v>
      </c>
      <c r="F35" s="3661">
        <f>('[184]debt summary CY'!AD$55)/1000</f>
        <v>22.650367760000002</v>
      </c>
      <c r="G35" s="3661">
        <f>('[184]debt summary CY'!AE$55)/1000</f>
        <v>18.189981560000003</v>
      </c>
      <c r="H35" s="3661">
        <v>14.2</v>
      </c>
      <c r="I35" s="3661">
        <f>('[185]Debt Summary Quaterly'!$BQ$68)/1000</f>
        <v>0.6786280400000001</v>
      </c>
      <c r="J35" s="3681">
        <v>0.82135957000000004</v>
      </c>
      <c r="K35" s="3678">
        <v>0.20472990999999999</v>
      </c>
      <c r="L35" s="3685">
        <v>0</v>
      </c>
      <c r="M35" s="3685">
        <v>0</v>
      </c>
      <c r="N35" s="3680">
        <v>0</v>
      </c>
      <c r="O35" s="3695" t="s">
        <v>390</v>
      </c>
    </row>
    <row r="36" spans="2:16" ht="43.25" customHeight="1">
      <c r="B36" s="3677" t="s">
        <v>236</v>
      </c>
      <c r="C36" s="3653">
        <v>0</v>
      </c>
      <c r="D36" s="3653">
        <v>0</v>
      </c>
      <c r="E36" s="3653">
        <v>0</v>
      </c>
      <c r="F36" s="3661">
        <v>0</v>
      </c>
      <c r="G36" s="3661">
        <v>0</v>
      </c>
      <c r="H36" s="3661">
        <v>0</v>
      </c>
      <c r="I36" s="3661">
        <v>0</v>
      </c>
      <c r="J36" s="3646">
        <v>0</v>
      </c>
      <c r="K36" s="3661">
        <v>0</v>
      </c>
      <c r="L36" s="3646">
        <v>0</v>
      </c>
      <c r="M36" s="3646">
        <v>0</v>
      </c>
      <c r="N36" s="3680">
        <v>0</v>
      </c>
      <c r="O36" s="3652"/>
    </row>
    <row r="37" spans="2:16" ht="43.25" customHeight="1">
      <c r="B37" s="3659"/>
      <c r="C37" s="3654"/>
      <c r="D37" s="3654"/>
      <c r="E37" s="3654"/>
      <c r="F37" s="3661"/>
      <c r="G37" s="3661"/>
      <c r="H37" s="3661"/>
      <c r="I37" s="3661"/>
      <c r="J37" s="3646"/>
      <c r="K37" s="3661"/>
      <c r="L37" s="3646"/>
      <c r="M37" s="3647"/>
      <c r="N37" s="3651" t="s">
        <v>390</v>
      </c>
      <c r="O37" s="3652"/>
    </row>
    <row r="38" spans="2:16" ht="43.25" customHeight="1">
      <c r="B38" s="3641" t="s">
        <v>246</v>
      </c>
      <c r="C38" s="3649">
        <f>('[186]debt summary CY'!AA$60)/1000</f>
        <v>36.283017759999993</v>
      </c>
      <c r="D38" s="3649">
        <f>('[186]debt summary CY'!AB$60)/1000</f>
        <v>23.226512360000001</v>
      </c>
      <c r="E38" s="3649">
        <f>('[186]debt summary CY'!AC$60)/1000</f>
        <v>18.858000000000001</v>
      </c>
      <c r="F38" s="3649">
        <f>('[186]debt summary CY'!AD$60)/1000</f>
        <v>22.913</v>
      </c>
      <c r="G38" s="3649">
        <v>21.738171999999999</v>
      </c>
      <c r="H38" s="3649">
        <v>34.299999999999997</v>
      </c>
      <c r="I38" s="3649">
        <f>('[185]Debt Summary Quaterly'!$BQ$73)/1000</f>
        <v>47.271396119999999</v>
      </c>
      <c r="J38" s="3696">
        <v>89.6</v>
      </c>
      <c r="K38" s="3697">
        <v>130.5</v>
      </c>
      <c r="L38" s="3698">
        <v>108.5</v>
      </c>
      <c r="M38" s="3699">
        <v>103.7</v>
      </c>
      <c r="N38" s="3651">
        <f>M38/L38-1</f>
        <v>-4.4239631336405516E-2</v>
      </c>
      <c r="O38" s="3652"/>
    </row>
    <row r="39" spans="2:16" ht="43.25" customHeight="1">
      <c r="B39" s="3641"/>
      <c r="C39" s="3654"/>
      <c r="D39" s="3654"/>
      <c r="E39" s="3654"/>
      <c r="F39" s="3661"/>
      <c r="G39" s="3661"/>
      <c r="H39" s="3663" t="s">
        <v>390</v>
      </c>
      <c r="I39" s="3663" t="s">
        <v>390</v>
      </c>
      <c r="J39" s="3664" t="s">
        <v>390</v>
      </c>
      <c r="K39" s="3663" t="s">
        <v>390</v>
      </c>
      <c r="L39" s="3664"/>
      <c r="M39" s="3665"/>
      <c r="N39" s="3651" t="s">
        <v>390</v>
      </c>
      <c r="O39" s="3695"/>
    </row>
    <row r="40" spans="2:16" ht="43.25" customHeight="1">
      <c r="B40" s="3700" t="s">
        <v>247</v>
      </c>
      <c r="C40" s="3649">
        <f t="shared" ref="C40:J40" si="13">C15+C29+C35</f>
        <v>1471.83042237</v>
      </c>
      <c r="D40" s="3649">
        <f t="shared" si="13"/>
        <v>1448.6973361830001</v>
      </c>
      <c r="E40" s="3649">
        <f t="shared" si="13"/>
        <v>1621.352039466</v>
      </c>
      <c r="F40" s="3649">
        <f t="shared" si="13"/>
        <v>1642.5740845370001</v>
      </c>
      <c r="G40" s="3649">
        <f t="shared" si="13"/>
        <v>1543.9387497979999</v>
      </c>
      <c r="H40" s="3649">
        <f t="shared" si="13"/>
        <v>1688.7517591810001</v>
      </c>
      <c r="I40" s="3649">
        <f t="shared" si="13"/>
        <v>1727.919277299</v>
      </c>
      <c r="J40" s="3650">
        <f t="shared" si="13"/>
        <v>1826.564378281</v>
      </c>
      <c r="K40" s="3649">
        <f>K15+K29+K35</f>
        <v>1845.1861688539998</v>
      </c>
      <c r="L40" s="3649">
        <f>L15+L29+L35</f>
        <v>2035.935262058</v>
      </c>
      <c r="M40" s="3649">
        <f>M15+M29+M35</f>
        <v>1935.888569105</v>
      </c>
      <c r="N40" s="3651">
        <f>M40/L40-1</f>
        <v>-4.9140409725930589E-2</v>
      </c>
      <c r="O40" s="3666" t="s">
        <v>390</v>
      </c>
      <c r="P40" s="3666" t="s">
        <v>390</v>
      </c>
    </row>
    <row r="41" spans="2:16" ht="43.25" customHeight="1">
      <c r="B41" s="3700"/>
      <c r="C41" s="3661"/>
      <c r="D41" s="3661"/>
      <c r="E41" s="3661"/>
      <c r="F41" s="3661"/>
      <c r="G41" s="3661"/>
      <c r="H41" s="3663" t="s">
        <v>390</v>
      </c>
      <c r="I41" s="3663" t="s">
        <v>390</v>
      </c>
      <c r="J41" s="3664" t="s">
        <v>390</v>
      </c>
      <c r="K41" s="3663" t="s">
        <v>390</v>
      </c>
      <c r="L41" s="3664"/>
      <c r="M41" s="3664"/>
      <c r="N41" s="3651" t="s">
        <v>390</v>
      </c>
      <c r="O41" s="3652"/>
    </row>
    <row r="42" spans="2:16" ht="43.25" customHeight="1">
      <c r="B42" s="3700" t="s">
        <v>248</v>
      </c>
      <c r="C42" s="3649">
        <f t="shared" ref="C42:F42" si="14">C36+C30+C19</f>
        <v>1317.5151701807531</v>
      </c>
      <c r="D42" s="3649">
        <f t="shared" si="14"/>
        <v>1420.3453452621768</v>
      </c>
      <c r="E42" s="3649">
        <f t="shared" si="14"/>
        <v>1380.1299450200922</v>
      </c>
      <c r="F42" s="3649">
        <f t="shared" si="14"/>
        <v>1428.8347912968063</v>
      </c>
      <c r="G42" s="3649">
        <f>G36+G30+G19</f>
        <v>1633.3401298802678</v>
      </c>
      <c r="H42" s="3649">
        <f>H36+H30+H19</f>
        <v>1617.5842338536886</v>
      </c>
      <c r="I42" s="3649">
        <f>I36+I30+I19</f>
        <v>1689.6775031039356</v>
      </c>
      <c r="J42" s="3650">
        <f>J30+J19</f>
        <v>1947.2424867183408</v>
      </c>
      <c r="K42" s="3649">
        <f>K30+K19</f>
        <v>2290.239502949581</v>
      </c>
      <c r="L42" s="3649">
        <f>L30+L19</f>
        <v>2359.2045400709221</v>
      </c>
      <c r="M42" s="3649">
        <f>M30+M19</f>
        <v>2847.6065081881361</v>
      </c>
      <c r="N42" s="3651">
        <f>M42/L42-1</f>
        <v>0.20701976442556846</v>
      </c>
      <c r="O42" s="3666" t="s">
        <v>390</v>
      </c>
      <c r="P42" s="3667" t="s">
        <v>390</v>
      </c>
    </row>
    <row r="43" spans="2:16" ht="43.25" customHeight="1">
      <c r="B43" s="3700"/>
      <c r="C43" s="3649"/>
      <c r="D43" s="3649"/>
      <c r="E43" s="3649"/>
      <c r="F43" s="3649"/>
      <c r="G43" s="3649"/>
      <c r="H43" s="3649"/>
      <c r="I43" s="3649"/>
      <c r="J43" s="3650"/>
      <c r="K43" s="3649"/>
      <c r="L43" s="3650"/>
      <c r="M43" s="3701"/>
      <c r="N43" s="3702"/>
      <c r="O43" s="3666"/>
      <c r="P43" s="3667"/>
    </row>
    <row r="44" spans="2:16" ht="43.25" customHeight="1" thickBot="1">
      <c r="B44" s="3703" t="s">
        <v>889</v>
      </c>
      <c r="C44" s="3653">
        <f>'GDP  nominal prices'!J76</f>
        <v>4483.0344389599995</v>
      </c>
      <c r="D44" s="3653">
        <f>'GDP  nominal prices'!K76</f>
        <v>4722.7680494679998</v>
      </c>
      <c r="E44" s="3653">
        <f>'GDP  nominal prices'!L76</f>
        <v>4880.6320629717175</v>
      </c>
      <c r="F44" s="3653">
        <f>'GDP  nominal prices'!M76</f>
        <v>5045.0754666859993</v>
      </c>
      <c r="G44" s="3653">
        <f>'GDP  nominal prices'!N76</f>
        <v>5395.9634674520003</v>
      </c>
      <c r="H44" s="3653">
        <f>'GDP  nominal prices'!O76</f>
        <v>5564.6251241907685</v>
      </c>
      <c r="I44" s="3653">
        <f>'GDP  nominal prices'!P76</f>
        <v>5657.45750586133</v>
      </c>
      <c r="J44" s="3653">
        <f>'GDP  nominal prices'!Q76</f>
        <v>4048.0935189829997</v>
      </c>
      <c r="K44" s="3653">
        <f>'GDP  nominal prices'!R76</f>
        <v>5041.3913884699996</v>
      </c>
      <c r="L44" s="3653">
        <f>'GDP  nominal prices'!S76</f>
        <v>6325.3059510925268</v>
      </c>
      <c r="M44" s="3653">
        <f>'GDP  nominal prices'!T76</f>
        <v>6561.4</v>
      </c>
      <c r="N44" s="3648"/>
      <c r="O44" s="3667"/>
      <c r="P44" s="3667"/>
    </row>
    <row r="45" spans="2:16" ht="43.25" customHeight="1">
      <c r="B45" s="3704"/>
      <c r="C45" s="3706"/>
      <c r="D45" s="3705"/>
      <c r="E45" s="3707"/>
      <c r="F45" s="3708"/>
      <c r="G45" s="3709"/>
      <c r="H45" s="3710"/>
      <c r="I45" s="3711"/>
      <c r="J45" s="3712"/>
      <c r="K45" s="3713"/>
      <c r="L45" s="3713"/>
      <c r="M45" s="3714"/>
      <c r="N45" s="3715"/>
    </row>
    <row r="46" spans="2:16" s="3673" customFormat="1" ht="43.25" customHeight="1" thickBot="1">
      <c r="B46" s="3716" t="s">
        <v>741</v>
      </c>
      <c r="C46" s="3717">
        <f t="shared" ref="C46:K46" si="15">C10/C44</f>
        <v>0.62220034901133658</v>
      </c>
      <c r="D46" s="3717">
        <f t="shared" si="15"/>
        <v>0.60749176148262507</v>
      </c>
      <c r="E46" s="3717">
        <f t="shared" si="15"/>
        <v>0.61497813106168697</v>
      </c>
      <c r="F46" s="3717">
        <f t="shared" si="15"/>
        <v>0.60879344543310632</v>
      </c>
      <c r="G46" s="3717">
        <f t="shared" si="15"/>
        <v>0.58882512805050446</v>
      </c>
      <c r="H46" s="3717">
        <f t="shared" si="15"/>
        <v>0.59417048215184309</v>
      </c>
      <c r="I46" s="3717">
        <f t="shared" si="15"/>
        <v>0.60408704384649514</v>
      </c>
      <c r="J46" s="3718">
        <f t="shared" si="15"/>
        <v>0.93224300459032683</v>
      </c>
      <c r="K46" s="3718">
        <f t="shared" si="15"/>
        <v>0.82029450862743514</v>
      </c>
      <c r="L46" s="3718">
        <f>L10/L44</f>
        <v>0.69485015208944634</v>
      </c>
      <c r="M46" s="3718">
        <f>M10/M44</f>
        <v>0.72903573586325132</v>
      </c>
      <c r="N46" s="3719" t="s">
        <v>390</v>
      </c>
    </row>
    <row r="47" spans="2:16" s="3673" customFormat="1" ht="43.25" customHeight="1" thickBot="1">
      <c r="B47" s="3720"/>
      <c r="C47" s="3721"/>
      <c r="D47" s="3721"/>
      <c r="E47" s="3721"/>
      <c r="F47" s="3721"/>
      <c r="G47" s="3721"/>
      <c r="H47" s="3721"/>
      <c r="I47" s="3721"/>
      <c r="J47" s="3721"/>
      <c r="K47" s="3721"/>
      <c r="L47" s="3721"/>
      <c r="M47" s="3721"/>
      <c r="N47" s="3722"/>
    </row>
    <row r="48" spans="2:16" ht="43.25" customHeight="1">
      <c r="B48" s="3723" t="s">
        <v>178</v>
      </c>
      <c r="C48" s="3724">
        <v>134.49985745999999</v>
      </c>
      <c r="D48" s="3724">
        <v>146.63349335487601</v>
      </c>
      <c r="E48" s="3724">
        <v>148.59065064148345</v>
      </c>
      <c r="F48" s="3724">
        <v>154.82014375277714</v>
      </c>
      <c r="G48" s="3724">
        <v>154.35012547144777</v>
      </c>
      <c r="H48" s="3724">
        <v>167.39941455111844</v>
      </c>
      <c r="I48" s="3724">
        <v>170.757039091</v>
      </c>
      <c r="J48" s="3724">
        <v>163.22919810914522</v>
      </c>
      <c r="K48" s="3724">
        <v>171.09073088766146</v>
      </c>
      <c r="L48" s="3724">
        <v>179.61610999289476</v>
      </c>
      <c r="M48" s="3724">
        <v>210.81207962331149</v>
      </c>
      <c r="N48" s="3680">
        <f>M48/L48-1</f>
        <v>0.17368135648662464</v>
      </c>
    </row>
    <row r="49" spans="2:14" ht="43.25" customHeight="1">
      <c r="B49" s="3725" t="s">
        <v>2305</v>
      </c>
      <c r="C49" s="3726">
        <v>63.612722999999995</v>
      </c>
      <c r="D49" s="3726">
        <v>66.696268142629762</v>
      </c>
      <c r="E49" s="3726">
        <v>105.53113223169768</v>
      </c>
      <c r="F49" s="3726">
        <v>120.51092344303304</v>
      </c>
      <c r="G49" s="3726">
        <v>128.2984369045522</v>
      </c>
      <c r="H49" s="3726">
        <v>114.66402344999999</v>
      </c>
      <c r="I49" s="3726">
        <v>132.95097501881006</v>
      </c>
      <c r="J49" s="3726">
        <v>103.58360906872741</v>
      </c>
      <c r="K49" s="3726">
        <v>118.61873062152887</v>
      </c>
      <c r="L49" s="3726">
        <v>102.97001022894815</v>
      </c>
      <c r="M49" s="3726">
        <v>120.463261398</v>
      </c>
      <c r="N49" s="3680">
        <f t="shared" ref="N49:N50" si="16">M49/L49-1</f>
        <v>0.16988685472747411</v>
      </c>
    </row>
    <row r="50" spans="2:14" s="3673" customFormat="1" ht="43.25" customHeight="1" thickBot="1">
      <c r="B50" s="3727" t="s">
        <v>2304</v>
      </c>
      <c r="C50" s="3728">
        <f t="shared" ref="C50:M50" si="17">C48+C49</f>
        <v>198.11258045999998</v>
      </c>
      <c r="D50" s="3728">
        <f t="shared" si="17"/>
        <v>213.32976149750579</v>
      </c>
      <c r="E50" s="3728">
        <f t="shared" si="17"/>
        <v>254.12178287318113</v>
      </c>
      <c r="F50" s="3728">
        <f t="shared" si="17"/>
        <v>275.33106719581019</v>
      </c>
      <c r="G50" s="3728">
        <f t="shared" si="17"/>
        <v>282.64856237599997</v>
      </c>
      <c r="H50" s="3728">
        <f t="shared" si="17"/>
        <v>282.06343800111841</v>
      </c>
      <c r="I50" s="3728">
        <f t="shared" si="17"/>
        <v>303.70801410981005</v>
      </c>
      <c r="J50" s="3728">
        <f t="shared" si="17"/>
        <v>266.81280717787263</v>
      </c>
      <c r="K50" s="3728">
        <f t="shared" si="17"/>
        <v>289.70946150919031</v>
      </c>
      <c r="L50" s="3728">
        <f t="shared" si="17"/>
        <v>282.58612022184292</v>
      </c>
      <c r="M50" s="3728">
        <f t="shared" si="17"/>
        <v>331.27534102131148</v>
      </c>
      <c r="N50" s="3729">
        <f t="shared" si="16"/>
        <v>0.17229869875153558</v>
      </c>
    </row>
    <row r="51" spans="2:14" ht="43.25" customHeight="1">
      <c r="B51" s="3730" t="s">
        <v>917</v>
      </c>
      <c r="C51" s="3731"/>
      <c r="D51" s="3731"/>
      <c r="E51" s="3731"/>
    </row>
    <row r="52" spans="2:14" ht="43.25" customHeight="1">
      <c r="B52" s="3733" t="s">
        <v>1527</v>
      </c>
      <c r="C52" s="3734"/>
      <c r="D52" s="3734"/>
      <c r="E52" s="3731"/>
      <c r="J52" s="3735"/>
      <c r="K52" s="3735"/>
      <c r="L52" s="3735"/>
      <c r="M52" s="3735"/>
      <c r="N52" s="3735"/>
    </row>
    <row r="53" spans="2:14" s="3740" customFormat="1" ht="43.25" customHeight="1">
      <c r="B53" s="3736" t="s">
        <v>1056</v>
      </c>
      <c r="C53" s="3737"/>
      <c r="D53" s="3737"/>
      <c r="E53" s="3738"/>
      <c r="F53" s="3732"/>
      <c r="G53" s="3739"/>
      <c r="H53" s="3739"/>
      <c r="I53" s="3739"/>
      <c r="J53" s="3739"/>
      <c r="K53" s="3739"/>
      <c r="L53" s="3739"/>
      <c r="M53" s="3739"/>
      <c r="N53" s="3739"/>
    </row>
    <row r="54" spans="2:14" hidden="1">
      <c r="E54" s="3742"/>
      <c r="G54" s="3743"/>
      <c r="H54" s="3743"/>
      <c r="I54" s="3743"/>
      <c r="J54" s="3739"/>
      <c r="K54" s="3739"/>
      <c r="L54" s="3739"/>
      <c r="M54" s="3739"/>
      <c r="N54" s="3739"/>
    </row>
    <row r="55" spans="2:14" s="3673" customFormat="1" ht="44.65" hidden="1">
      <c r="B55" s="3673" t="s">
        <v>436</v>
      </c>
      <c r="C55" s="3744"/>
      <c r="D55" s="3744"/>
      <c r="E55" s="3745"/>
      <c r="F55" s="3744"/>
      <c r="G55" s="3746"/>
      <c r="H55" s="3746"/>
      <c r="I55" s="3746"/>
      <c r="J55" s="3747"/>
      <c r="K55" s="3747"/>
      <c r="L55" s="3747"/>
      <c r="M55" s="3747"/>
      <c r="N55" s="3747"/>
    </row>
    <row r="56" spans="2:14" s="3673" customFormat="1" ht="44.65" hidden="1">
      <c r="C56" s="3748"/>
      <c r="D56" s="3748"/>
      <c r="E56" s="3749"/>
      <c r="F56" s="3744"/>
      <c r="G56" s="3746"/>
      <c r="H56" s="3746"/>
      <c r="I56" s="3746"/>
      <c r="J56" s="3747"/>
      <c r="K56" s="3747"/>
      <c r="L56" s="3747"/>
      <c r="M56" s="3747"/>
      <c r="N56" s="3747"/>
    </row>
    <row r="57" spans="2:14" s="3673" customFormat="1" ht="44.65" hidden="1">
      <c r="C57" s="3749"/>
      <c r="D57" s="3749"/>
      <c r="E57" s="3749"/>
      <c r="F57" s="3744"/>
      <c r="G57" s="3746"/>
      <c r="H57" s="3746"/>
      <c r="I57" s="3746"/>
      <c r="J57" s="3747"/>
      <c r="K57" s="3747"/>
      <c r="L57" s="3747"/>
      <c r="M57" s="3747"/>
      <c r="N57" s="3747"/>
    </row>
    <row r="58" spans="2:14" s="3673" customFormat="1" ht="44.65" hidden="1">
      <c r="B58" s="3750" t="s">
        <v>435</v>
      </c>
      <c r="C58" s="3751"/>
      <c r="D58" s="3751"/>
      <c r="E58" s="3749"/>
      <c r="F58" s="3744"/>
      <c r="G58" s="3746"/>
      <c r="H58" s="3746"/>
      <c r="I58" s="3746"/>
      <c r="J58" s="3747"/>
      <c r="K58" s="3747"/>
      <c r="L58" s="3747"/>
      <c r="M58" s="3747"/>
      <c r="N58" s="3747"/>
    </row>
    <row r="59" spans="2:14" s="3673" customFormat="1" ht="44.65" hidden="1">
      <c r="B59" s="3673" t="s">
        <v>437</v>
      </c>
      <c r="C59" s="3752"/>
      <c r="D59" s="3752"/>
      <c r="E59" s="3749"/>
      <c r="F59" s="3744"/>
      <c r="G59" s="3746"/>
      <c r="H59" s="3746"/>
      <c r="I59" s="3746"/>
      <c r="J59" s="3747"/>
      <c r="K59" s="3747"/>
      <c r="L59" s="3747"/>
      <c r="M59" s="3747"/>
      <c r="N59" s="3747"/>
    </row>
    <row r="60" spans="2:14">
      <c r="B60" s="3753"/>
      <c r="C60" s="3754"/>
      <c r="E60" s="3755"/>
      <c r="G60" s="3743"/>
      <c r="H60" s="3743"/>
      <c r="I60" s="3743"/>
      <c r="J60" s="3739"/>
      <c r="K60" s="3739"/>
      <c r="L60" s="3739"/>
      <c r="M60" s="3739"/>
      <c r="N60" s="3739"/>
    </row>
    <row r="61" spans="2:14">
      <c r="E61" s="3755"/>
      <c r="F61" s="3755"/>
      <c r="G61" s="3756"/>
      <c r="H61" s="3756"/>
      <c r="I61" s="3756"/>
      <c r="J61" s="3757"/>
      <c r="K61" s="3757"/>
      <c r="L61" s="3757"/>
      <c r="M61" s="3757"/>
      <c r="N61" s="3757"/>
    </row>
    <row r="62" spans="2:14">
      <c r="C62" s="3749"/>
      <c r="D62" s="3749"/>
      <c r="E62" s="3755"/>
    </row>
    <row r="63" spans="2:14">
      <c r="G63" s="3758"/>
      <c r="H63" s="3758"/>
      <c r="I63" s="3758"/>
      <c r="J63" s="3758"/>
      <c r="K63" s="3758"/>
      <c r="L63" s="3758"/>
      <c r="M63" s="3758"/>
      <c r="N63" s="3758"/>
    </row>
    <row r="64" spans="2:14">
      <c r="C64" s="3755"/>
      <c r="D64" s="3755"/>
    </row>
  </sheetData>
  <mergeCells count="5">
    <mergeCell ref="B1:N1"/>
    <mergeCell ref="B2:N2"/>
    <mergeCell ref="B3:N3"/>
    <mergeCell ref="B4:N4"/>
    <mergeCell ref="B5:E5"/>
  </mergeCells>
  <printOptions horizontalCentered="1" verticalCentered="1"/>
  <pageMargins left="0.25" right="0.25" top="0.75" bottom="0.75" header="0.3" footer="0.3"/>
  <pageSetup scale="21" firstPageNumber="103" orientation="landscape" useFirstPageNumber="1" r:id="rId1"/>
  <headerFooter scaleWithDoc="0" alignWithMargins="0">
    <oddFooter xml:space="preserve">&amp;C129
</oddFooter>
  </headerFooter>
  <rowBreaks count="1" manualBreakCount="1">
    <brk id="60"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theme="9" tint="-0.499984740745262"/>
    <pageSetUpPr fitToPage="1"/>
  </sheetPr>
  <dimension ref="C1:H152"/>
  <sheetViews>
    <sheetView view="pageBreakPreview" zoomScale="30" zoomScaleNormal="75" zoomScaleSheetLayoutView="30" workbookViewId="0">
      <selection activeCell="B44" sqref="B44"/>
    </sheetView>
  </sheetViews>
  <sheetFormatPr defaultColWidth="9.46484375" defaultRowHeight="36"/>
  <cols>
    <col min="1" max="1" width="3.46484375" style="2889" customWidth="1"/>
    <col min="2" max="2" width="9.46484375" style="2889"/>
    <col min="3" max="3" width="141.33203125" style="2889" customWidth="1"/>
    <col min="4" max="4" width="91" style="2929" customWidth="1"/>
    <col min="5" max="5" width="89.6640625" style="2929" customWidth="1"/>
    <col min="6" max="6" width="88.6640625" style="2929" customWidth="1"/>
    <col min="7" max="7" width="87.6640625" style="2929" customWidth="1"/>
    <col min="8" max="8" width="9" style="2889" customWidth="1"/>
    <col min="9" max="9" width="17.46484375" style="2889" bestFit="1" customWidth="1"/>
    <col min="10" max="16384" width="9.46484375" style="2889"/>
  </cols>
  <sheetData>
    <row r="1" spans="3:8">
      <c r="C1" s="5871" t="s">
        <v>695</v>
      </c>
      <c r="D1" s="5871"/>
      <c r="E1" s="5871"/>
      <c r="F1" s="5871"/>
      <c r="G1" s="5871"/>
      <c r="H1" s="4427">
        <v>1000</v>
      </c>
    </row>
    <row r="2" spans="3:8">
      <c r="C2" s="5872" t="s">
        <v>304</v>
      </c>
      <c r="D2" s="5872"/>
      <c r="E2" s="5872"/>
      <c r="F2" s="5872"/>
      <c r="G2" s="5872"/>
      <c r="H2" s="2890"/>
    </row>
    <row r="3" spans="3:8">
      <c r="C3" s="5871" t="s">
        <v>305</v>
      </c>
      <c r="D3" s="5871"/>
      <c r="E3" s="5871"/>
      <c r="F3" s="5871"/>
      <c r="G3" s="5871"/>
    </row>
    <row r="4" spans="3:8">
      <c r="C4" s="5871" t="s">
        <v>1967</v>
      </c>
      <c r="D4" s="5871"/>
      <c r="E4" s="5871"/>
      <c r="F4" s="5871"/>
      <c r="G4" s="5871"/>
    </row>
    <row r="5" spans="3:8">
      <c r="C5" s="5870" t="s">
        <v>1955</v>
      </c>
      <c r="D5" s="5870"/>
      <c r="E5" s="5870"/>
      <c r="F5" s="5870"/>
      <c r="G5" s="5870"/>
    </row>
    <row r="6" spans="3:8" ht="16.25" customHeight="1" thickBot="1">
      <c r="C6" s="4879"/>
      <c r="D6" s="4879"/>
      <c r="E6" s="4879"/>
      <c r="F6" s="4879"/>
      <c r="G6" s="4879"/>
    </row>
    <row r="7" spans="3:8" ht="18" customHeight="1">
      <c r="C7" s="2891"/>
      <c r="D7" s="2892"/>
      <c r="E7" s="2893"/>
      <c r="F7" s="2893"/>
      <c r="G7" s="2893"/>
    </row>
    <row r="8" spans="3:8">
      <c r="C8" s="2894"/>
      <c r="D8" s="2895" t="s">
        <v>716</v>
      </c>
      <c r="E8" s="2896" t="s">
        <v>717</v>
      </c>
      <c r="F8" s="2896" t="s">
        <v>783</v>
      </c>
      <c r="G8" s="2897" t="s">
        <v>336</v>
      </c>
    </row>
    <row r="9" spans="3:8" ht="36.4" thickBot="1">
      <c r="C9" s="2898"/>
      <c r="D9" s="2899" t="s">
        <v>704</v>
      </c>
      <c r="E9" s="2900" t="s">
        <v>704</v>
      </c>
      <c r="F9" s="2900" t="s">
        <v>704</v>
      </c>
      <c r="G9" s="2899"/>
    </row>
    <row r="10" spans="3:8" ht="49.5" customHeight="1">
      <c r="C10" s="2901" t="s">
        <v>658</v>
      </c>
      <c r="D10" s="2902"/>
      <c r="E10" s="2903"/>
      <c r="F10" s="2904"/>
      <c r="G10" s="4827"/>
    </row>
    <row r="11" spans="3:8" ht="42" customHeight="1">
      <c r="C11" s="2905" t="s">
        <v>366</v>
      </c>
      <c r="D11" s="2906">
        <f>D12</f>
        <v>54000</v>
      </c>
      <c r="E11" s="2907">
        <f>E12</f>
        <v>0</v>
      </c>
      <c r="F11" s="2906">
        <f>F12</f>
        <v>0</v>
      </c>
      <c r="G11" s="4826">
        <f>G12</f>
        <v>54000</v>
      </c>
    </row>
    <row r="12" spans="3:8" ht="42" customHeight="1">
      <c r="C12" s="2908" t="s">
        <v>367</v>
      </c>
      <c r="D12" s="2904">
        <v>54000</v>
      </c>
      <c r="E12" s="2909">
        <f>[187]CLOTHL!$J$15</f>
        <v>0</v>
      </c>
      <c r="F12" s="2910">
        <f>[187]CLOTHL!$N$15</f>
        <v>0</v>
      </c>
      <c r="G12" s="4828">
        <f>F12+E12+D12</f>
        <v>54000</v>
      </c>
    </row>
    <row r="13" spans="3:8" ht="42" customHeight="1">
      <c r="C13" s="2905" t="s">
        <v>368</v>
      </c>
      <c r="D13" s="2906">
        <f>SUM(D14:D16)</f>
        <v>863719.53</v>
      </c>
      <c r="E13" s="2907">
        <f>SUM(E14:E16)</f>
        <v>51659.7</v>
      </c>
      <c r="F13" s="2906">
        <f>SUM(F14:F16)</f>
        <v>0</v>
      </c>
      <c r="G13" s="4826">
        <f>SUM(G14:G16)</f>
        <v>915379.22999999986</v>
      </c>
    </row>
    <row r="14" spans="3:8" ht="35.75" customHeight="1">
      <c r="C14" s="2908" t="s">
        <v>369</v>
      </c>
      <c r="D14" s="2904">
        <v>304626.53999999998</v>
      </c>
      <c r="E14" s="2909">
        <v>51373.659999999996</v>
      </c>
      <c r="F14" s="2910">
        <v>0</v>
      </c>
      <c r="G14" s="4828">
        <f t="shared" ref="G14:G21" si="0">F14+E14+D14</f>
        <v>356000.19999999995</v>
      </c>
    </row>
    <row r="15" spans="3:8" ht="42" customHeight="1">
      <c r="C15" s="2908" t="s">
        <v>370</v>
      </c>
      <c r="D15" s="2904">
        <v>213280.19</v>
      </c>
      <c r="E15" s="2909">
        <v>0</v>
      </c>
      <c r="F15" s="2910">
        <f>[188]CLOTHL!$N$17</f>
        <v>0</v>
      </c>
      <c r="G15" s="4828">
        <f t="shared" si="0"/>
        <v>213280.19</v>
      </c>
    </row>
    <row r="16" spans="3:8" ht="42" customHeight="1">
      <c r="C16" s="2908" t="s">
        <v>371</v>
      </c>
      <c r="D16" s="2904">
        <v>345812.8</v>
      </c>
      <c r="E16" s="2909">
        <v>286.04000000000002</v>
      </c>
      <c r="F16" s="2910">
        <f>[188]CLOTHL!$N$18</f>
        <v>0</v>
      </c>
      <c r="G16" s="4828">
        <f t="shared" si="0"/>
        <v>346098.83999999997</v>
      </c>
    </row>
    <row r="17" spans="3:7" ht="17.25" customHeight="1">
      <c r="C17" s="2908"/>
      <c r="D17" s="2904"/>
      <c r="E17" s="2903"/>
      <c r="F17" s="2904"/>
      <c r="G17" s="4829" t="s">
        <v>390</v>
      </c>
    </row>
    <row r="18" spans="3:7" s="2914" customFormat="1" ht="38.75" customHeight="1">
      <c r="C18" s="2911" t="s">
        <v>372</v>
      </c>
      <c r="D18" s="2906">
        <v>48710.17</v>
      </c>
      <c r="E18" s="2912">
        <f>[188]CLOTHL!$J$21</f>
        <v>0</v>
      </c>
      <c r="F18" s="2913">
        <v>0</v>
      </c>
      <c r="G18" s="4826">
        <f t="shared" si="0"/>
        <v>48710.17</v>
      </c>
    </row>
    <row r="19" spans="3:7" s="2914" customFormat="1" ht="56" customHeight="1">
      <c r="C19" s="2911" t="s">
        <v>373</v>
      </c>
      <c r="D19" s="2906">
        <v>647413.5</v>
      </c>
      <c r="E19" s="2912">
        <v>105390.39</v>
      </c>
      <c r="F19" s="2913">
        <f>[188]CLOTHL!$N$22</f>
        <v>0</v>
      </c>
      <c r="G19" s="4826">
        <f t="shared" si="0"/>
        <v>752803.89</v>
      </c>
    </row>
    <row r="20" spans="3:7" s="2914" customFormat="1" ht="56" customHeight="1">
      <c r="C20" s="2905" t="s">
        <v>374</v>
      </c>
      <c r="D20" s="2906">
        <v>164995</v>
      </c>
      <c r="E20" s="2912">
        <f>[188]CLOTHL!$J$23</f>
        <v>0</v>
      </c>
      <c r="F20" s="2913">
        <f>[188]CLOTHL!$N$23</f>
        <v>0</v>
      </c>
      <c r="G20" s="4826">
        <f t="shared" si="0"/>
        <v>164995</v>
      </c>
    </row>
    <row r="21" spans="3:7" s="2914" customFormat="1" ht="56" customHeight="1">
      <c r="C21" s="2905" t="s">
        <v>375</v>
      </c>
      <c r="D21" s="2906">
        <f>[188]CLOTHL!$F$24</f>
        <v>0</v>
      </c>
      <c r="E21" s="2912">
        <f>[188]CLOTHL!$J$24</f>
        <v>0</v>
      </c>
      <c r="F21" s="2913">
        <f>[188]CLOTHL!$N$24</f>
        <v>0</v>
      </c>
      <c r="G21" s="4830">
        <f t="shared" si="0"/>
        <v>0</v>
      </c>
    </row>
    <row r="22" spans="3:7" ht="48.75" customHeight="1">
      <c r="C22" s="2915" t="s">
        <v>123</v>
      </c>
      <c r="D22" s="2916">
        <f>D11+D13+D18+D19+D20+D21</f>
        <v>1778838.2000000002</v>
      </c>
      <c r="E22" s="2917">
        <f>E11+E13+E18+E19+E20+E21</f>
        <v>157050.09</v>
      </c>
      <c r="F22" s="2916">
        <f>F11+F13+F18+F19+F20+F21</f>
        <v>0</v>
      </c>
      <c r="G22" s="2916">
        <f>G11+G13+G18+G19+G20+G21</f>
        <v>1935888.29</v>
      </c>
    </row>
    <row r="23" spans="3:7" ht="15.75" customHeight="1">
      <c r="C23" s="2894"/>
      <c r="D23" s="2902"/>
      <c r="E23" s="2903"/>
      <c r="F23" s="2902"/>
      <c r="G23" s="2904"/>
    </row>
    <row r="24" spans="3:7" ht="34.5" customHeight="1">
      <c r="C24" s="2901" t="s">
        <v>659</v>
      </c>
      <c r="D24" s="2902"/>
      <c r="E24" s="2918"/>
      <c r="F24" s="2902"/>
      <c r="G24" s="2904"/>
    </row>
    <row r="25" spans="3:7" ht="47.75" customHeight="1">
      <c r="C25" s="2905" t="s">
        <v>366</v>
      </c>
      <c r="D25" s="2906">
        <f>SUM(D26:D27)</f>
        <v>77521.692599999995</v>
      </c>
      <c r="E25" s="2907">
        <f>SUM(E26:E27)</f>
        <v>0</v>
      </c>
      <c r="F25" s="2906">
        <f>SUM(F26:F27)</f>
        <v>0</v>
      </c>
      <c r="G25" s="2906">
        <f>F25+E25+D25</f>
        <v>77521.692599999995</v>
      </c>
    </row>
    <row r="26" spans="3:7" ht="39" customHeight="1">
      <c r="C26" s="2908" t="s">
        <v>367</v>
      </c>
      <c r="D26" s="2904">
        <v>0</v>
      </c>
      <c r="E26" s="2909">
        <v>0</v>
      </c>
      <c r="F26" s="2910">
        <v>0</v>
      </c>
      <c r="G26" s="2904">
        <f>F26+E26+D26</f>
        <v>0</v>
      </c>
    </row>
    <row r="27" spans="3:7" ht="34.25" customHeight="1">
      <c r="C27" s="2908" t="s">
        <v>420</v>
      </c>
      <c r="D27" s="2904">
        <v>77521.692599999995</v>
      </c>
      <c r="E27" s="2909">
        <v>0</v>
      </c>
      <c r="F27" s="2910">
        <v>0</v>
      </c>
      <c r="G27" s="2904">
        <f>F27+E27+D27</f>
        <v>77521.692599999995</v>
      </c>
    </row>
    <row r="28" spans="3:7" ht="18.5" customHeight="1">
      <c r="C28" s="2894"/>
      <c r="D28" s="2904"/>
      <c r="E28" s="2903"/>
      <c r="F28" s="2904"/>
      <c r="G28" s="2904"/>
    </row>
    <row r="29" spans="3:7" ht="32" customHeight="1">
      <c r="C29" s="2905" t="s">
        <v>376</v>
      </c>
      <c r="D29" s="2906">
        <f>SUM(D30:D35)</f>
        <v>944192.89</v>
      </c>
      <c r="E29" s="2907">
        <f>SUM(E30:E35)</f>
        <v>55204.700000000004</v>
      </c>
      <c r="F29" s="2906">
        <f>SUM(F30:F35)</f>
        <v>0</v>
      </c>
      <c r="G29" s="2906">
        <f>F29+E29+D29</f>
        <v>999397.59</v>
      </c>
    </row>
    <row r="30" spans="3:7" ht="35.75" customHeight="1">
      <c r="C30" s="2908" t="s">
        <v>377</v>
      </c>
      <c r="D30" s="2904">
        <v>436958.86</v>
      </c>
      <c r="E30" s="2909">
        <v>40198.800000000003</v>
      </c>
      <c r="F30" s="2910">
        <f>[187]CLOTHL!N35</f>
        <v>0</v>
      </c>
      <c r="G30" s="2904">
        <f>F30+E30+D30</f>
        <v>477157.66</v>
      </c>
    </row>
    <row r="31" spans="3:7" ht="35.75" customHeight="1">
      <c r="C31" s="2908" t="s">
        <v>378</v>
      </c>
      <c r="D31" s="2904">
        <v>0</v>
      </c>
      <c r="E31" s="2909">
        <v>15005.9</v>
      </c>
      <c r="F31" s="2910">
        <f>[187]CLOTHL!N36</f>
        <v>0</v>
      </c>
      <c r="G31" s="2904">
        <f t="shared" ref="G31:G51" si="1">F31+E31+D31</f>
        <v>15005.9</v>
      </c>
    </row>
    <row r="32" spans="3:7" ht="35.75" customHeight="1">
      <c r="C32" s="2908" t="s">
        <v>379</v>
      </c>
      <c r="D32" s="2904">
        <f>[188]CLOTHL!$F$37</f>
        <v>0</v>
      </c>
      <c r="E32" s="2909">
        <f>[187]CLOTHL!J37</f>
        <v>0</v>
      </c>
      <c r="F32" s="2910">
        <f>[187]CLOTHL!N37</f>
        <v>0</v>
      </c>
      <c r="G32" s="2904">
        <f t="shared" si="1"/>
        <v>0</v>
      </c>
    </row>
    <row r="33" spans="3:7" ht="35.75" customHeight="1">
      <c r="C33" s="2908" t="s">
        <v>380</v>
      </c>
      <c r="D33" s="2904">
        <f>[188]CLOTHL!$F$38</f>
        <v>0</v>
      </c>
      <c r="E33" s="2909">
        <f>[187]CLOTHL!J38</f>
        <v>0</v>
      </c>
      <c r="F33" s="2910">
        <f>[187]CLOTHL!N38</f>
        <v>0</v>
      </c>
      <c r="G33" s="2904">
        <f t="shared" si="1"/>
        <v>0</v>
      </c>
    </row>
    <row r="34" spans="3:7" ht="35.75" customHeight="1">
      <c r="C34" s="2908" t="s">
        <v>381</v>
      </c>
      <c r="D34" s="2904">
        <v>500106.03</v>
      </c>
      <c r="E34" s="2909">
        <f>[187]CLOTHL!J39</f>
        <v>0</v>
      </c>
      <c r="F34" s="2910">
        <f>[187]CLOTHL!N39</f>
        <v>0</v>
      </c>
      <c r="G34" s="2904">
        <f t="shared" si="1"/>
        <v>500106.03</v>
      </c>
    </row>
    <row r="35" spans="3:7" ht="35.75" customHeight="1">
      <c r="C35" s="2908" t="s">
        <v>382</v>
      </c>
      <c r="D35" s="2904">
        <v>7128</v>
      </c>
      <c r="E35" s="2909">
        <f>[187]CLOTHL!J40</f>
        <v>0</v>
      </c>
      <c r="F35" s="2910">
        <f>[187]CLOTHL!N40</f>
        <v>0</v>
      </c>
      <c r="G35" s="2904">
        <f t="shared" si="1"/>
        <v>7128</v>
      </c>
    </row>
    <row r="36" spans="3:7" ht="48" customHeight="1">
      <c r="C36" s="2905" t="s">
        <v>383</v>
      </c>
      <c r="D36" s="2906">
        <f>D37+D38</f>
        <v>10388.23</v>
      </c>
      <c r="E36" s="2907">
        <f>SUM(E37:E38)</f>
        <v>0</v>
      </c>
      <c r="F36" s="2906">
        <f>SUM(F37:F38)</f>
        <v>0</v>
      </c>
      <c r="G36" s="2906">
        <f>F36+E36+D36</f>
        <v>10388.23</v>
      </c>
    </row>
    <row r="37" spans="3:7" ht="41.75" customHeight="1">
      <c r="C37" s="2908" t="s">
        <v>384</v>
      </c>
      <c r="D37" s="2904">
        <v>2190.4</v>
      </c>
      <c r="E37" s="2909">
        <f>[187]CLOTHL!J42</f>
        <v>0</v>
      </c>
      <c r="F37" s="2910">
        <f>[187]CLOTHL!N42</f>
        <v>0</v>
      </c>
      <c r="G37" s="2904">
        <f>F37+E37+D37</f>
        <v>2190.4</v>
      </c>
    </row>
    <row r="38" spans="3:7" ht="41.75" customHeight="1">
      <c r="C38" s="2908" t="s">
        <v>385</v>
      </c>
      <c r="D38" s="2904">
        <v>8197.83</v>
      </c>
      <c r="E38" s="2909">
        <f>[187]CLOTHL!J43</f>
        <v>0</v>
      </c>
      <c r="F38" s="2910">
        <f>[187]CLOTHL!N43</f>
        <v>0</v>
      </c>
      <c r="G38" s="2904">
        <f t="shared" si="1"/>
        <v>8197.83</v>
      </c>
    </row>
    <row r="39" spans="3:7" ht="48" customHeight="1">
      <c r="C39" s="2905" t="s">
        <v>643</v>
      </c>
      <c r="D39" s="2906">
        <f>SUM(D40:D42)</f>
        <v>0</v>
      </c>
      <c r="E39" s="2907">
        <f>SUM(E40:E42)</f>
        <v>0</v>
      </c>
      <c r="F39" s="2906">
        <f>SUM(F40:F42)</f>
        <v>0</v>
      </c>
      <c r="G39" s="2904">
        <f t="shared" si="1"/>
        <v>0</v>
      </c>
    </row>
    <row r="40" spans="3:7" ht="41.75" customHeight="1">
      <c r="C40" s="2908" t="s">
        <v>386</v>
      </c>
      <c r="D40" s="2904">
        <f>[188]CLOTHL!$F$45</f>
        <v>0</v>
      </c>
      <c r="E40" s="2909">
        <f>[187]CLOTHL!J45</f>
        <v>0</v>
      </c>
      <c r="F40" s="2910">
        <f>[187]CLOTHL!N45</f>
        <v>0</v>
      </c>
      <c r="G40" s="2904">
        <f t="shared" si="1"/>
        <v>0</v>
      </c>
    </row>
    <row r="41" spans="3:7" ht="41.75" customHeight="1">
      <c r="C41" s="2908" t="s">
        <v>306</v>
      </c>
      <c r="D41" s="2904">
        <f>[188]CLOTHL!$F$46</f>
        <v>0</v>
      </c>
      <c r="E41" s="2909">
        <f>[187]CLOTHL!J46</f>
        <v>0</v>
      </c>
      <c r="F41" s="2910">
        <f>[187]CLOTHL!N46</f>
        <v>0</v>
      </c>
      <c r="G41" s="2904">
        <f t="shared" si="1"/>
        <v>0</v>
      </c>
    </row>
    <row r="42" spans="3:7" ht="35" customHeight="1">
      <c r="C42" s="2908" t="s">
        <v>307</v>
      </c>
      <c r="D42" s="2904">
        <f>[188]CLOTHL!$F$47</f>
        <v>0</v>
      </c>
      <c r="E42" s="2909">
        <f>[187]CLOTHL!J47</f>
        <v>0</v>
      </c>
      <c r="F42" s="2910">
        <f>[187]CLOTHL!N47</f>
        <v>0</v>
      </c>
      <c r="G42" s="2904">
        <f t="shared" si="1"/>
        <v>0</v>
      </c>
    </row>
    <row r="43" spans="3:7" ht="48" customHeight="1">
      <c r="C43" s="2905" t="s">
        <v>388</v>
      </c>
      <c r="D43" s="2906">
        <f>SUM(D44:D51)</f>
        <v>1678313.41</v>
      </c>
      <c r="E43" s="2907">
        <f>SUM(E44:E51)</f>
        <v>81985.59</v>
      </c>
      <c r="F43" s="2906">
        <f>SUM(F44:F51)</f>
        <v>0</v>
      </c>
      <c r="G43" s="2906">
        <f>F43+E43+D43</f>
        <v>1760299</v>
      </c>
    </row>
    <row r="44" spans="3:7" ht="41.75" customHeight="1">
      <c r="C44" s="2908" t="s">
        <v>389</v>
      </c>
      <c r="D44" s="2904">
        <f>[188]CLOTHL!$F$49</f>
        <v>0</v>
      </c>
      <c r="E44" s="2903">
        <f>[187]CLOTHL!J49</f>
        <v>0</v>
      </c>
      <c r="F44" s="2910">
        <f>[187]CLOTHL!N49</f>
        <v>0</v>
      </c>
      <c r="G44" s="2904">
        <f t="shared" si="1"/>
        <v>0</v>
      </c>
    </row>
    <row r="45" spans="3:7" ht="41.75" customHeight="1">
      <c r="C45" s="2908" t="s">
        <v>529</v>
      </c>
      <c r="D45" s="2904">
        <v>16200</v>
      </c>
      <c r="E45" s="2903">
        <f>[187]CLOTHL!J50</f>
        <v>0</v>
      </c>
      <c r="F45" s="2910">
        <f>[187]CLOTHL!N50</f>
        <v>0</v>
      </c>
      <c r="G45" s="2904">
        <f t="shared" si="1"/>
        <v>16200</v>
      </c>
    </row>
    <row r="46" spans="3:7" ht="41.75" customHeight="1">
      <c r="C46" s="2908" t="s">
        <v>526</v>
      </c>
      <c r="D46" s="2904">
        <v>0</v>
      </c>
      <c r="E46" s="2903">
        <f>[187]CLOTHL!J51</f>
        <v>0</v>
      </c>
      <c r="F46" s="2910">
        <f>[187]CLOTHL!N51</f>
        <v>0</v>
      </c>
      <c r="G46" s="2904">
        <f t="shared" si="1"/>
        <v>0</v>
      </c>
    </row>
    <row r="47" spans="3:7" ht="41.75" customHeight="1">
      <c r="C47" s="2908" t="s">
        <v>604</v>
      </c>
      <c r="D47" s="2904">
        <v>540</v>
      </c>
      <c r="E47" s="2903">
        <f>[187]CLOTHL!J52</f>
        <v>0</v>
      </c>
      <c r="F47" s="2910">
        <f>[187]CLOTHL!N52</f>
        <v>0</v>
      </c>
      <c r="G47" s="2904">
        <f t="shared" si="1"/>
        <v>540</v>
      </c>
    </row>
    <row r="48" spans="3:7" ht="41.75" customHeight="1">
      <c r="C48" s="2908" t="s">
        <v>527</v>
      </c>
      <c r="D48" s="2904">
        <v>1091976.8999999999</v>
      </c>
      <c r="E48" s="2903">
        <f>[187]CLOTHL!J53</f>
        <v>0</v>
      </c>
      <c r="F48" s="2910">
        <f>[187]CLOTHL!N53</f>
        <v>0</v>
      </c>
      <c r="G48" s="2904">
        <f t="shared" si="1"/>
        <v>1091976.8999999999</v>
      </c>
    </row>
    <row r="49" spans="3:7" ht="41.75" customHeight="1">
      <c r="C49" s="2908" t="s">
        <v>528</v>
      </c>
      <c r="D49" s="2904">
        <v>0</v>
      </c>
      <c r="E49" s="2903">
        <f>[187]CLOTHL!J54</f>
        <v>0</v>
      </c>
      <c r="F49" s="2910">
        <f>[187]CLOTHL!N54</f>
        <v>0</v>
      </c>
      <c r="G49" s="2904">
        <f t="shared" si="1"/>
        <v>0</v>
      </c>
    </row>
    <row r="50" spans="3:7" ht="41.75" customHeight="1">
      <c r="C50" s="2908" t="s">
        <v>586</v>
      </c>
      <c r="D50" s="2904">
        <v>567065.21</v>
      </c>
      <c r="E50" s="2903">
        <v>80209.039999999994</v>
      </c>
      <c r="F50" s="2910">
        <f>[187]CLOTHL!N55</f>
        <v>0</v>
      </c>
      <c r="G50" s="2904">
        <f>F50+E50+D50</f>
        <v>647274.25</v>
      </c>
    </row>
    <row r="51" spans="3:7" ht="41.75" customHeight="1">
      <c r="C51" s="2908" t="s">
        <v>587</v>
      </c>
      <c r="D51" s="2904">
        <v>2531.3000000000002</v>
      </c>
      <c r="E51" s="2903">
        <v>1776.55</v>
      </c>
      <c r="F51" s="2910">
        <f>[187]CLOTHL!N56</f>
        <v>0</v>
      </c>
      <c r="G51" s="2904">
        <f t="shared" si="1"/>
        <v>4307.8500000000004</v>
      </c>
    </row>
    <row r="52" spans="3:7" ht="47" customHeight="1" thickBot="1">
      <c r="C52" s="2919" t="s">
        <v>123</v>
      </c>
      <c r="D52" s="2916">
        <f>D43+D39+D36+D29+D25</f>
        <v>2710416.2226</v>
      </c>
      <c r="E52" s="2917">
        <f>E43+E39+E36+E29+E25</f>
        <v>137190.29</v>
      </c>
      <c r="F52" s="2916">
        <f>F43+F39+F36+F29+F25</f>
        <v>0</v>
      </c>
      <c r="G52" s="2916">
        <f>G43+G39+G36+G29+G25</f>
        <v>2847606.5126</v>
      </c>
    </row>
    <row r="53" spans="3:7" ht="35" hidden="1" customHeight="1" thickBot="1">
      <c r="C53" s="2920" t="s">
        <v>308</v>
      </c>
      <c r="D53" s="2921">
        <v>0</v>
      </c>
      <c r="E53" s="2922">
        <v>0</v>
      </c>
      <c r="F53" s="2923">
        <v>0</v>
      </c>
      <c r="G53" s="2921">
        <v>0</v>
      </c>
    </row>
    <row r="54" spans="3:7" ht="46.25" customHeight="1" thickBot="1">
      <c r="C54" s="2924" t="s">
        <v>336</v>
      </c>
      <c r="D54" s="2925">
        <f>D22+D52+D53</f>
        <v>4489254.4226000002</v>
      </c>
      <c r="E54" s="2926">
        <f>E22+E52+E53</f>
        <v>294240.38</v>
      </c>
      <c r="F54" s="2925">
        <f>F22+F52+F53</f>
        <v>0</v>
      </c>
      <c r="G54" s="2925">
        <f>G22+G52+G53</f>
        <v>4783494.8026000001</v>
      </c>
    </row>
    <row r="55" spans="3:7" ht="47" customHeight="1">
      <c r="C55" s="2927" t="s">
        <v>664</v>
      </c>
      <c r="D55" s="2927"/>
      <c r="E55" s="2927"/>
      <c r="F55" s="2928" t="s">
        <v>390</v>
      </c>
      <c r="G55" s="1378"/>
    </row>
    <row r="56" spans="3:7">
      <c r="F56" s="2930"/>
    </row>
    <row r="57" spans="3:7">
      <c r="F57" s="2930"/>
    </row>
    <row r="58" spans="3:7">
      <c r="F58" s="2930"/>
    </row>
    <row r="59" spans="3:7">
      <c r="F59" s="2930"/>
    </row>
    <row r="60" spans="3:7">
      <c r="F60" s="2930"/>
    </row>
    <row r="61" spans="3:7">
      <c r="F61" s="2930"/>
    </row>
    <row r="62" spans="3:7">
      <c r="F62" s="2930"/>
    </row>
    <row r="63" spans="3:7">
      <c r="F63" s="2930"/>
    </row>
    <row r="64" spans="3:7">
      <c r="F64" s="2930"/>
    </row>
    <row r="65" spans="3:6">
      <c r="F65" s="2930"/>
    </row>
    <row r="66" spans="3:6">
      <c r="F66" s="2930"/>
    </row>
    <row r="67" spans="3:6">
      <c r="F67" s="2930"/>
    </row>
    <row r="68" spans="3:6">
      <c r="F68" s="2930"/>
    </row>
    <row r="69" spans="3:6">
      <c r="F69" s="2930"/>
    </row>
    <row r="70" spans="3:6">
      <c r="F70" s="2930"/>
    </row>
    <row r="71" spans="3:6">
      <c r="F71" s="2930"/>
    </row>
    <row r="72" spans="3:6">
      <c r="F72" s="2930"/>
    </row>
    <row r="73" spans="3:6">
      <c r="F73" s="2930"/>
    </row>
    <row r="74" spans="3:6">
      <c r="C74" s="2889" t="s">
        <v>747</v>
      </c>
      <c r="F74" s="2930"/>
    </row>
    <row r="75" spans="3:6">
      <c r="F75" s="2930"/>
    </row>
    <row r="76" spans="3:6">
      <c r="F76" s="2930"/>
    </row>
    <row r="77" spans="3:6">
      <c r="F77" s="2930"/>
    </row>
    <row r="78" spans="3:6">
      <c r="F78" s="2930"/>
    </row>
    <row r="79" spans="3:6">
      <c r="F79" s="2930"/>
    </row>
    <row r="80" spans="3:6">
      <c r="F80" s="2930"/>
    </row>
    <row r="81" spans="6:6">
      <c r="F81" s="2930"/>
    </row>
    <row r="82" spans="6:6">
      <c r="F82" s="2930"/>
    </row>
    <row r="83" spans="6:6">
      <c r="F83" s="2930"/>
    </row>
    <row r="84" spans="6:6">
      <c r="F84" s="2930"/>
    </row>
    <row r="85" spans="6:6">
      <c r="F85" s="2930"/>
    </row>
    <row r="86" spans="6:6">
      <c r="F86" s="2930"/>
    </row>
    <row r="87" spans="6:6">
      <c r="F87" s="2930"/>
    </row>
    <row r="88" spans="6:6">
      <c r="F88" s="2930"/>
    </row>
    <row r="89" spans="6:6">
      <c r="F89" s="2930"/>
    </row>
    <row r="90" spans="6:6">
      <c r="F90" s="2930"/>
    </row>
    <row r="91" spans="6:6">
      <c r="F91" s="2930"/>
    </row>
    <row r="92" spans="6:6">
      <c r="F92" s="2930"/>
    </row>
    <row r="93" spans="6:6">
      <c r="F93" s="2930"/>
    </row>
    <row r="94" spans="6:6">
      <c r="F94" s="2930"/>
    </row>
    <row r="95" spans="6:6">
      <c r="F95" s="2930"/>
    </row>
    <row r="96" spans="6:6">
      <c r="F96" s="2930"/>
    </row>
    <row r="97" spans="6:6">
      <c r="F97" s="2930"/>
    </row>
    <row r="98" spans="6:6">
      <c r="F98" s="2930"/>
    </row>
    <row r="99" spans="6:6">
      <c r="F99" s="2930"/>
    </row>
    <row r="100" spans="6:6">
      <c r="F100" s="2930"/>
    </row>
    <row r="101" spans="6:6">
      <c r="F101" s="2930"/>
    </row>
    <row r="102" spans="6:6">
      <c r="F102" s="2930"/>
    </row>
    <row r="103" spans="6:6">
      <c r="F103" s="2930"/>
    </row>
    <row r="104" spans="6:6">
      <c r="F104" s="2930"/>
    </row>
    <row r="105" spans="6:6">
      <c r="F105" s="2930"/>
    </row>
    <row r="106" spans="6:6">
      <c r="F106" s="2930"/>
    </row>
    <row r="107" spans="6:6">
      <c r="F107" s="2930"/>
    </row>
    <row r="108" spans="6:6">
      <c r="F108" s="2930"/>
    </row>
    <row r="109" spans="6:6">
      <c r="F109" s="2930"/>
    </row>
    <row r="110" spans="6:6">
      <c r="F110" s="2930"/>
    </row>
    <row r="111" spans="6:6">
      <c r="F111" s="2930"/>
    </row>
    <row r="112" spans="6:6">
      <c r="F112" s="2930"/>
    </row>
    <row r="113" spans="6:6">
      <c r="F113" s="2930"/>
    </row>
    <row r="114" spans="6:6">
      <c r="F114" s="2930"/>
    </row>
    <row r="115" spans="6:6">
      <c r="F115" s="2930"/>
    </row>
    <row r="116" spans="6:6">
      <c r="F116" s="2930"/>
    </row>
    <row r="117" spans="6:6">
      <c r="F117" s="2930"/>
    </row>
    <row r="118" spans="6:6">
      <c r="F118" s="2930"/>
    </row>
    <row r="119" spans="6:6">
      <c r="F119" s="2930"/>
    </row>
    <row r="120" spans="6:6">
      <c r="F120" s="2930"/>
    </row>
    <row r="121" spans="6:6">
      <c r="F121" s="2930"/>
    </row>
    <row r="122" spans="6:6">
      <c r="F122" s="2930"/>
    </row>
    <row r="123" spans="6:6">
      <c r="F123" s="2930"/>
    </row>
    <row r="124" spans="6:6">
      <c r="F124" s="2930"/>
    </row>
    <row r="125" spans="6:6">
      <c r="F125" s="2930"/>
    </row>
    <row r="126" spans="6:6">
      <c r="F126" s="2930"/>
    </row>
    <row r="127" spans="6:6">
      <c r="F127" s="2930"/>
    </row>
    <row r="128" spans="6:6">
      <c r="F128" s="2930"/>
    </row>
    <row r="129" spans="6:6">
      <c r="F129" s="2930"/>
    </row>
    <row r="130" spans="6:6">
      <c r="F130" s="2930"/>
    </row>
    <row r="131" spans="6:6">
      <c r="F131" s="2930"/>
    </row>
    <row r="132" spans="6:6">
      <c r="F132" s="2930"/>
    </row>
    <row r="133" spans="6:6">
      <c r="F133" s="2930"/>
    </row>
    <row r="134" spans="6:6">
      <c r="F134" s="2930"/>
    </row>
    <row r="135" spans="6:6">
      <c r="F135" s="2930"/>
    </row>
    <row r="136" spans="6:6">
      <c r="F136" s="2930"/>
    </row>
    <row r="137" spans="6:6">
      <c r="F137" s="2930"/>
    </row>
    <row r="138" spans="6:6">
      <c r="F138" s="2930"/>
    </row>
    <row r="139" spans="6:6">
      <c r="F139" s="2930"/>
    </row>
    <row r="140" spans="6:6">
      <c r="F140" s="2930"/>
    </row>
    <row r="141" spans="6:6">
      <c r="F141" s="2930"/>
    </row>
    <row r="142" spans="6:6">
      <c r="F142" s="2930"/>
    </row>
    <row r="143" spans="6:6">
      <c r="F143" s="2930"/>
    </row>
    <row r="144" spans="6:6">
      <c r="F144" s="2930"/>
    </row>
    <row r="145" spans="6:6">
      <c r="F145" s="2930"/>
    </row>
    <row r="146" spans="6:6">
      <c r="F146" s="2930"/>
    </row>
    <row r="147" spans="6:6">
      <c r="F147" s="2930"/>
    </row>
    <row r="148" spans="6:6">
      <c r="F148" s="2930"/>
    </row>
    <row r="149" spans="6:6">
      <c r="F149" s="2930"/>
    </row>
    <row r="150" spans="6:6">
      <c r="F150" s="2930"/>
    </row>
    <row r="151" spans="6:6">
      <c r="F151" s="2930"/>
    </row>
    <row r="152" spans="6:6">
      <c r="F152" s="2930"/>
    </row>
  </sheetData>
  <mergeCells count="5">
    <mergeCell ref="C5:G5"/>
    <mergeCell ref="C1:G1"/>
    <mergeCell ref="C2:G2"/>
    <mergeCell ref="C3:G3"/>
    <mergeCell ref="C4:G4"/>
  </mergeCells>
  <printOptions horizontalCentered="1" verticalCentered="1"/>
  <pageMargins left="0.25" right="0.25" top="0.75" bottom="0.75" header="0.3" footer="0.3"/>
  <pageSetup scale="24" firstPageNumber="103" orientation="landscape" useFirstPageNumber="1" r:id="rId1"/>
  <headerFooter scaleWithDoc="0" alignWithMargins="0">
    <oddFooter xml:space="preserve">&amp;C130
</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theme="9" tint="-0.499984740745262"/>
    <pageSetUpPr fitToPage="1"/>
  </sheetPr>
  <dimension ref="B1:AH74"/>
  <sheetViews>
    <sheetView view="pageBreakPreview" topLeftCell="B1" zoomScale="30" zoomScaleNormal="75" zoomScaleSheetLayoutView="30" workbookViewId="0">
      <pane xSplit="1" ySplit="8" topLeftCell="C9" activePane="bottomRight" state="frozen"/>
      <selection activeCell="B44" sqref="B44"/>
      <selection pane="topRight" activeCell="B44" sqref="B44"/>
      <selection pane="bottomLeft" activeCell="B44" sqref="B44"/>
      <selection pane="bottomRight" activeCell="B44" sqref="B44"/>
    </sheetView>
  </sheetViews>
  <sheetFormatPr defaultColWidth="9.46484375" defaultRowHeight="36"/>
  <cols>
    <col min="1" max="1" width="5.46484375" style="1375" customWidth="1"/>
    <col min="2" max="2" width="101.46484375" style="1378" customWidth="1"/>
    <col min="3" max="3" width="30.6640625" style="1378" customWidth="1"/>
    <col min="4" max="4" width="43.33203125" style="1378" customWidth="1"/>
    <col min="5" max="5" width="32.33203125" style="1378" customWidth="1"/>
    <col min="6" max="6" width="43" style="1429" bestFit="1" customWidth="1"/>
    <col min="7" max="7" width="37.46484375" style="1378" customWidth="1"/>
    <col min="8" max="8" width="40.33203125" style="1378" customWidth="1"/>
    <col min="9" max="9" width="31.33203125" style="1378" customWidth="1"/>
    <col min="10" max="10" width="37.33203125" style="1429" bestFit="1" customWidth="1"/>
    <col min="11" max="11" width="43" style="1378" bestFit="1" customWidth="1"/>
    <col min="12" max="12" width="39.33203125" style="1378" bestFit="1" customWidth="1"/>
    <col min="13" max="13" width="55.46484375" style="1378" bestFit="1" customWidth="1"/>
    <col min="14" max="14" width="25.6640625" style="1378" customWidth="1"/>
    <col min="15" max="15" width="43" style="1429" bestFit="1" customWidth="1"/>
    <col min="16" max="16" width="41.6640625" style="1429" customWidth="1"/>
    <col min="17" max="17" width="6.46484375" style="1375" customWidth="1"/>
    <col min="18" max="18" width="9.46484375" style="1375"/>
    <col min="19" max="19" width="36" style="1375" bestFit="1" customWidth="1"/>
    <col min="20" max="16384" width="9.46484375" style="1375"/>
  </cols>
  <sheetData>
    <row r="1" spans="2:19" ht="42" customHeight="1">
      <c r="B1" s="5879" t="s">
        <v>696</v>
      </c>
      <c r="C1" s="5879"/>
      <c r="D1" s="5879"/>
      <c r="E1" s="5879"/>
      <c r="F1" s="5879"/>
      <c r="G1" s="5879"/>
      <c r="H1" s="5879"/>
      <c r="I1" s="5879"/>
      <c r="J1" s="5879"/>
      <c r="K1" s="5879"/>
      <c r="L1" s="5879"/>
      <c r="M1" s="5879"/>
      <c r="N1" s="5879"/>
      <c r="O1" s="5879"/>
      <c r="P1" s="5879"/>
    </row>
    <row r="2" spans="2:19" ht="36" customHeight="1">
      <c r="B2" s="5880" t="s">
        <v>712</v>
      </c>
      <c r="C2" s="5880"/>
      <c r="D2" s="5880"/>
      <c r="E2" s="5880"/>
      <c r="F2" s="5880"/>
      <c r="G2" s="5880"/>
      <c r="H2" s="5880"/>
      <c r="I2" s="5880"/>
      <c r="J2" s="5880"/>
      <c r="K2" s="5880"/>
      <c r="L2" s="5880"/>
      <c r="M2" s="5880"/>
      <c r="N2" s="5880"/>
      <c r="O2" s="5880"/>
      <c r="P2" s="5880"/>
      <c r="Q2" s="1376"/>
    </row>
    <row r="3" spans="2:19" ht="36" customHeight="1">
      <c r="B3" s="5880" t="s">
        <v>359</v>
      </c>
      <c r="C3" s="5880"/>
      <c r="D3" s="5880"/>
      <c r="E3" s="5880"/>
      <c r="F3" s="5880"/>
      <c r="G3" s="5880"/>
      <c r="H3" s="5880"/>
      <c r="I3" s="5880"/>
      <c r="J3" s="5880"/>
      <c r="K3" s="5880"/>
      <c r="L3" s="5880"/>
      <c r="M3" s="5880"/>
      <c r="N3" s="5880"/>
      <c r="O3" s="5880"/>
      <c r="P3" s="5880"/>
      <c r="Q3" s="1376"/>
    </row>
    <row r="4" spans="2:19" ht="36" customHeight="1">
      <c r="B4" s="5877" t="s">
        <v>1968</v>
      </c>
      <c r="C4" s="5877"/>
      <c r="D4" s="5877"/>
      <c r="E4" s="5877"/>
      <c r="F4" s="5877"/>
      <c r="G4" s="5877"/>
      <c r="H4" s="5877"/>
      <c r="I4" s="5877"/>
      <c r="J4" s="5877"/>
      <c r="K4" s="5877"/>
      <c r="L4" s="5877"/>
      <c r="M4" s="5877"/>
      <c r="N4" s="5877"/>
      <c r="O4" s="5877"/>
      <c r="P4" s="5877"/>
      <c r="Q4" s="1376"/>
    </row>
    <row r="5" spans="2:19" s="1378" customFormat="1" ht="36" customHeight="1" thickBot="1">
      <c r="B5" s="5881" t="s">
        <v>1955</v>
      </c>
      <c r="C5" s="5881"/>
      <c r="D5" s="5881"/>
      <c r="E5" s="5881"/>
      <c r="F5" s="5881"/>
      <c r="G5" s="5881"/>
      <c r="H5" s="5881"/>
      <c r="I5" s="5881"/>
      <c r="J5" s="5881"/>
      <c r="K5" s="5881"/>
      <c r="L5" s="5881"/>
      <c r="M5" s="5881"/>
      <c r="N5" s="5881"/>
      <c r="O5" s="5881"/>
      <c r="P5" s="5881"/>
      <c r="Q5" s="1377"/>
    </row>
    <row r="6" spans="2:19" ht="20.25" customHeight="1">
      <c r="B6" s="1379"/>
      <c r="C6" s="1380"/>
      <c r="D6" s="1381"/>
      <c r="E6" s="1381"/>
      <c r="F6" s="1382"/>
      <c r="G6" s="1380"/>
      <c r="H6" s="1381"/>
      <c r="I6" s="1381"/>
      <c r="J6" s="1382"/>
      <c r="K6" s="1380"/>
      <c r="L6" s="1381"/>
      <c r="M6" s="1381"/>
      <c r="N6" s="1381"/>
      <c r="O6" s="1382"/>
      <c r="P6" s="1383"/>
      <c r="Q6" s="1376"/>
    </row>
    <row r="7" spans="2:19" ht="50.25" customHeight="1">
      <c r="B7" s="1384"/>
      <c r="C7" s="5873" t="s">
        <v>360</v>
      </c>
      <c r="D7" s="5874"/>
      <c r="E7" s="5874"/>
      <c r="F7" s="5875"/>
      <c r="G7" s="5876" t="s">
        <v>361</v>
      </c>
      <c r="H7" s="5877"/>
      <c r="I7" s="5877"/>
      <c r="J7" s="5878"/>
      <c r="K7" s="5873" t="s">
        <v>362</v>
      </c>
      <c r="L7" s="5874"/>
      <c r="M7" s="5874"/>
      <c r="N7" s="5874"/>
      <c r="O7" s="5875"/>
      <c r="P7" s="1385"/>
      <c r="Q7" s="1376"/>
    </row>
    <row r="8" spans="2:19" ht="69.5" customHeight="1">
      <c r="B8" s="1386"/>
      <c r="C8" s="1387" t="s">
        <v>231</v>
      </c>
      <c r="D8" s="1388" t="s">
        <v>363</v>
      </c>
      <c r="E8" s="1388" t="s">
        <v>141</v>
      </c>
      <c r="F8" s="1389" t="s">
        <v>364</v>
      </c>
      <c r="G8" s="1390" t="s">
        <v>231</v>
      </c>
      <c r="H8" s="1388" t="s">
        <v>363</v>
      </c>
      <c r="I8" s="1390" t="s">
        <v>141</v>
      </c>
      <c r="J8" s="1391" t="s">
        <v>364</v>
      </c>
      <c r="K8" s="1390" t="s">
        <v>231</v>
      </c>
      <c r="L8" s="1392" t="s">
        <v>365</v>
      </c>
      <c r="M8" s="1388" t="s">
        <v>363</v>
      </c>
      <c r="N8" s="1388" t="s">
        <v>141</v>
      </c>
      <c r="O8" s="1389" t="s">
        <v>123</v>
      </c>
      <c r="P8" s="1393" t="s">
        <v>394</v>
      </c>
      <c r="Q8" s="1376"/>
    </row>
    <row r="9" spans="2:19" ht="39" customHeight="1">
      <c r="B9" s="1394" t="s">
        <v>713</v>
      </c>
      <c r="C9" s="1395"/>
      <c r="D9" s="1395"/>
      <c r="E9" s="1395"/>
      <c r="F9" s="1396"/>
      <c r="G9" s="1395"/>
      <c r="H9" s="1395"/>
      <c r="I9" s="1395"/>
      <c r="J9" s="1396"/>
      <c r="K9" s="1395"/>
      <c r="L9" s="1395"/>
      <c r="M9" s="1395"/>
      <c r="N9" s="1395"/>
      <c r="O9" s="1396"/>
      <c r="P9" s="1397"/>
      <c r="Q9" s="1376"/>
    </row>
    <row r="10" spans="2:19" ht="27" customHeight="1">
      <c r="B10" s="1398" t="s">
        <v>366</v>
      </c>
      <c r="C10" s="1395"/>
      <c r="D10" s="1395"/>
      <c r="E10" s="1395"/>
      <c r="F10" s="1396"/>
      <c r="G10" s="1395"/>
      <c r="H10" s="1395"/>
      <c r="I10" s="1395"/>
      <c r="J10" s="1396"/>
      <c r="K10" s="1395"/>
      <c r="L10" s="1395"/>
      <c r="M10" s="1395"/>
      <c r="N10" s="1395"/>
      <c r="O10" s="1396"/>
      <c r="P10" s="1397"/>
      <c r="Q10" s="1376"/>
    </row>
    <row r="11" spans="2:19" ht="33" customHeight="1">
      <c r="B11" s="1399" t="s">
        <v>367</v>
      </c>
      <c r="C11" s="1400">
        <v>54000</v>
      </c>
      <c r="D11" s="1400"/>
      <c r="E11" s="1400"/>
      <c r="F11" s="1401">
        <f>SUM(C11:E11)</f>
        <v>54000</v>
      </c>
      <c r="G11" s="1400"/>
      <c r="H11" s="1400"/>
      <c r="I11" s="1400"/>
      <c r="J11" s="1401"/>
      <c r="K11" s="1400"/>
      <c r="L11" s="1400"/>
      <c r="M11" s="1400"/>
      <c r="N11" s="1395"/>
      <c r="O11" s="1401">
        <f>SUM(K11:N11)</f>
        <v>0</v>
      </c>
      <c r="P11" s="1402">
        <f>F11+J11+O11</f>
        <v>54000</v>
      </c>
      <c r="Q11" s="1376"/>
    </row>
    <row r="12" spans="2:19" ht="25.25" customHeight="1">
      <c r="B12" s="1399"/>
      <c r="C12" s="1400"/>
      <c r="D12" s="1400"/>
      <c r="E12" s="1400"/>
      <c r="F12" s="1401"/>
      <c r="G12" s="1400"/>
      <c r="H12" s="1400"/>
      <c r="I12" s="1400"/>
      <c r="J12" s="1401"/>
      <c r="K12" s="1400"/>
      <c r="L12" s="1400"/>
      <c r="M12" s="1400"/>
      <c r="N12" s="1395"/>
      <c r="O12" s="1401"/>
      <c r="P12" s="1402"/>
      <c r="Q12" s="1376"/>
    </row>
    <row r="13" spans="2:19" ht="32" customHeight="1">
      <c r="B13" s="1398" t="s">
        <v>368</v>
      </c>
      <c r="C13" s="1400"/>
      <c r="D13" s="1400"/>
      <c r="E13" s="1400"/>
      <c r="F13" s="1401"/>
      <c r="G13" s="1400"/>
      <c r="H13" s="1400"/>
      <c r="I13" s="1400"/>
      <c r="J13" s="1401"/>
      <c r="K13" s="1400"/>
      <c r="L13" s="1400"/>
      <c r="M13" s="1403"/>
      <c r="N13" s="1395"/>
      <c r="O13" s="1401"/>
      <c r="P13" s="1402"/>
      <c r="Q13" s="1376"/>
      <c r="S13" s="4747">
        <v>1000000</v>
      </c>
    </row>
    <row r="14" spans="2:19" ht="32" customHeight="1">
      <c r="B14" s="1404" t="s">
        <v>369</v>
      </c>
      <c r="C14" s="1400"/>
      <c r="D14" s="1400" t="s">
        <v>390</v>
      </c>
      <c r="E14" s="1400"/>
      <c r="F14" s="1401">
        <f>SUM(C14:E14)</f>
        <v>0</v>
      </c>
      <c r="G14" s="1400">
        <v>3000</v>
      </c>
      <c r="H14" s="1400">
        <v>99292.18</v>
      </c>
      <c r="I14" s="1400"/>
      <c r="J14" s="1401">
        <f>SUM(G14:I14)</f>
        <v>102292.18</v>
      </c>
      <c r="K14" s="1400">
        <v>123368.88</v>
      </c>
      <c r="L14" s="1400">
        <v>37418.870000000003</v>
      </c>
      <c r="M14" s="1400">
        <v>41546.67</v>
      </c>
      <c r="N14" s="1413">
        <v>0</v>
      </c>
      <c r="O14" s="1401">
        <f>SUM(K14:N14)</f>
        <v>202334.41999999998</v>
      </c>
      <c r="P14" s="1402">
        <f>F14+J14+O14</f>
        <v>304626.59999999998</v>
      </c>
    </row>
    <row r="15" spans="2:19" ht="32" customHeight="1">
      <c r="B15" s="1399" t="s">
        <v>370</v>
      </c>
      <c r="C15" s="1400">
        <v>10000</v>
      </c>
      <c r="D15" s="1400"/>
      <c r="E15" s="1400"/>
      <c r="F15" s="1401">
        <f>SUM(C15:E15)</f>
        <v>10000</v>
      </c>
      <c r="G15" s="1400">
        <v>56127.15</v>
      </c>
      <c r="H15" s="1400"/>
      <c r="I15" s="1400"/>
      <c r="J15" s="1401">
        <f>SUM(G15:I15)</f>
        <v>56127.15</v>
      </c>
      <c r="K15" s="1405">
        <v>128024.97</v>
      </c>
      <c r="L15" s="1400">
        <v>19128.07</v>
      </c>
      <c r="M15" s="1400"/>
      <c r="N15" s="1395"/>
      <c r="O15" s="1401">
        <f>SUM(K15:N15)</f>
        <v>147153.04</v>
      </c>
      <c r="P15" s="1402">
        <f>F15+J15+O15</f>
        <v>213280.19</v>
      </c>
      <c r="Q15" s="1376"/>
    </row>
    <row r="16" spans="2:19" ht="32" customHeight="1">
      <c r="B16" s="1399" t="s">
        <v>371</v>
      </c>
      <c r="C16" s="1400">
        <v>0</v>
      </c>
      <c r="D16" s="1400"/>
      <c r="E16" s="1400"/>
      <c r="F16" s="1401">
        <f>SUM(C16:E16)</f>
        <v>0</v>
      </c>
      <c r="G16" s="1406">
        <v>30000</v>
      </c>
      <c r="H16" s="1400"/>
      <c r="I16" s="1400"/>
      <c r="J16" s="1401">
        <f>SUM(G16:I16)</f>
        <v>30000</v>
      </c>
      <c r="K16" s="1405">
        <v>292633.21999999997</v>
      </c>
      <c r="L16" s="1400">
        <v>23179.599999999999</v>
      </c>
      <c r="M16" s="1400"/>
      <c r="N16" s="1395"/>
      <c r="O16" s="1401">
        <f>SUM(K16:N16)</f>
        <v>315812.81999999995</v>
      </c>
      <c r="P16" s="1402">
        <f>F16+J16+O16</f>
        <v>345812.81999999995</v>
      </c>
      <c r="R16" s="1376"/>
    </row>
    <row r="17" spans="2:34" ht="25.25" customHeight="1">
      <c r="B17" s="1399"/>
      <c r="C17" s="1400"/>
      <c r="D17" s="1400"/>
      <c r="E17" s="1400"/>
      <c r="F17" s="1401"/>
      <c r="G17" s="1406"/>
      <c r="H17" s="1400"/>
      <c r="I17" s="1400"/>
      <c r="J17" s="1401"/>
      <c r="K17" s="1406"/>
      <c r="L17" s="1400"/>
      <c r="M17" s="1400"/>
      <c r="N17" s="1395"/>
      <c r="O17" s="1401"/>
      <c r="P17" s="1402"/>
      <c r="Q17" s="1376"/>
      <c r="R17" s="1376"/>
      <c r="S17" s="1376"/>
    </row>
    <row r="18" spans="2:34">
      <c r="B18" s="1398" t="s">
        <v>372</v>
      </c>
      <c r="C18" s="1400"/>
      <c r="D18" s="1400"/>
      <c r="E18" s="1400"/>
      <c r="F18" s="1401">
        <f>SUM(C18:E18)</f>
        <v>0</v>
      </c>
      <c r="G18" s="1400">
        <v>729</v>
      </c>
      <c r="H18" s="1400"/>
      <c r="I18" s="1400"/>
      <c r="J18" s="1401">
        <f>SUM(G18:I18)</f>
        <v>729</v>
      </c>
      <c r="K18" s="1407">
        <v>43478.27</v>
      </c>
      <c r="L18" s="1407">
        <v>4502.8999999999996</v>
      </c>
      <c r="M18" s="1400"/>
      <c r="N18" s="1395"/>
      <c r="O18" s="1401">
        <f>SUM(K18:N18)</f>
        <v>47981.17</v>
      </c>
      <c r="P18" s="1402">
        <f>F18+J18+O18</f>
        <v>48710.17</v>
      </c>
      <c r="Q18" s="1376"/>
      <c r="R18" s="1376"/>
      <c r="S18" s="1376"/>
    </row>
    <row r="19" spans="2:34" ht="25.25" customHeight="1">
      <c r="B19" s="1398"/>
      <c r="C19" s="1400"/>
      <c r="D19" s="1400"/>
      <c r="E19" s="1400"/>
      <c r="F19" s="1401"/>
      <c r="G19" s="1400"/>
      <c r="H19" s="1400"/>
      <c r="I19" s="1400"/>
      <c r="J19" s="1401"/>
      <c r="K19" s="1400"/>
      <c r="L19" s="1400"/>
      <c r="M19" s="1400"/>
      <c r="N19" s="1395"/>
      <c r="O19" s="1401"/>
      <c r="P19" s="1402"/>
      <c r="Q19" s="1376"/>
      <c r="R19" s="1376"/>
      <c r="S19" s="1376"/>
    </row>
    <row r="20" spans="2:34">
      <c r="B20" s="1398" t="s">
        <v>373</v>
      </c>
      <c r="C20" s="1400"/>
      <c r="D20" s="1400" t="s">
        <v>390</v>
      </c>
      <c r="E20" s="1400"/>
      <c r="F20" s="1401">
        <f>SUM(C20:E20)</f>
        <v>0</v>
      </c>
      <c r="G20" s="1400">
        <v>244305.08000000002</v>
      </c>
      <c r="H20" s="1400">
        <v>8996.2000000000007</v>
      </c>
      <c r="I20" s="1400" t="s">
        <v>390</v>
      </c>
      <c r="J20" s="1401">
        <f>SUM(G20:I20)</f>
        <v>253301.28000000003</v>
      </c>
      <c r="K20" s="1408">
        <v>389769.6</v>
      </c>
      <c r="L20" s="1400">
        <v>3986.4</v>
      </c>
      <c r="M20" s="1400">
        <v>356.22</v>
      </c>
      <c r="N20" s="1395"/>
      <c r="O20" s="1401">
        <f>SUM(K20:N20)</f>
        <v>394112.22</v>
      </c>
      <c r="P20" s="1402">
        <f>F20+J20+O20</f>
        <v>647413.5</v>
      </c>
      <c r="Q20" s="1376"/>
      <c r="R20" s="1376"/>
      <c r="S20" s="1376"/>
    </row>
    <row r="21" spans="2:34" ht="25.25" customHeight="1">
      <c r="B21" s="1398"/>
      <c r="C21" s="1400"/>
      <c r="D21" s="1400"/>
      <c r="E21" s="1400"/>
      <c r="F21" s="1401"/>
      <c r="G21" s="1400"/>
      <c r="H21" s="1400"/>
      <c r="I21" s="1400"/>
      <c r="J21" s="1401"/>
      <c r="K21" s="1400"/>
      <c r="L21" s="1400"/>
      <c r="M21" s="1400"/>
      <c r="N21" s="1395"/>
      <c r="O21" s="1401"/>
      <c r="P21" s="1402"/>
      <c r="Q21" s="1376"/>
      <c r="R21" s="1376"/>
      <c r="S21" s="1376"/>
    </row>
    <row r="22" spans="2:34" ht="70.5">
      <c r="B22" s="1409" t="s">
        <v>374</v>
      </c>
      <c r="C22" s="1400" t="s">
        <v>390</v>
      </c>
      <c r="D22" s="1400"/>
      <c r="E22" s="1400"/>
      <c r="F22" s="1401">
        <f>SUM(C22:E22)</f>
        <v>0</v>
      </c>
      <c r="G22" s="1400">
        <v>15227.82</v>
      </c>
      <c r="H22" s="1400"/>
      <c r="I22" s="1400"/>
      <c r="J22" s="1401">
        <f>SUM(G22:I22)</f>
        <v>15227.82</v>
      </c>
      <c r="K22" s="1400">
        <v>122648.86000000002</v>
      </c>
      <c r="L22" s="1400">
        <v>27118.28</v>
      </c>
      <c r="M22" s="1400"/>
      <c r="N22" s="1395"/>
      <c r="O22" s="1401">
        <f>SUM(K22:N22)</f>
        <v>149767.14000000001</v>
      </c>
      <c r="P22" s="1402">
        <f>F22+J22+O22</f>
        <v>164994.96000000002</v>
      </c>
      <c r="Q22" s="1376"/>
      <c r="R22" s="1376"/>
      <c r="S22" s="1376"/>
    </row>
    <row r="23" spans="2:34" ht="25.25" customHeight="1">
      <c r="B23" s="1398"/>
      <c r="C23" s="1400"/>
      <c r="D23" s="1400"/>
      <c r="E23" s="1400"/>
      <c r="F23" s="1401"/>
      <c r="G23" s="1400"/>
      <c r="H23" s="1400"/>
      <c r="I23" s="1400"/>
      <c r="J23" s="1401"/>
      <c r="K23" s="1400"/>
      <c r="L23" s="1400"/>
      <c r="M23" s="1400"/>
      <c r="N23" s="1395"/>
      <c r="O23" s="1401"/>
      <c r="P23" s="1402"/>
      <c r="R23" s="1376"/>
      <c r="S23" s="1376"/>
    </row>
    <row r="24" spans="2:34" ht="39" customHeight="1">
      <c r="B24" s="1398" t="s">
        <v>375</v>
      </c>
      <c r="C24" s="1400"/>
      <c r="D24" s="1400"/>
      <c r="E24" s="1400"/>
      <c r="F24" s="1401"/>
      <c r="G24" s="1400"/>
      <c r="H24" s="1400"/>
      <c r="I24" s="1400"/>
      <c r="J24" s="1401"/>
      <c r="K24" s="1400"/>
      <c r="L24" s="1400"/>
      <c r="M24" s="1400"/>
      <c r="N24" s="1395"/>
      <c r="O24" s="1401">
        <f>SUM(K24:N24)</f>
        <v>0</v>
      </c>
      <c r="P24" s="1402">
        <f>F24+J24+O24</f>
        <v>0</v>
      </c>
      <c r="Q24" s="1376"/>
      <c r="R24" s="1376"/>
      <c r="S24" s="1376"/>
    </row>
    <row r="25" spans="2:34" ht="25.25" customHeight="1">
      <c r="B25" s="1399"/>
      <c r="C25" s="1400"/>
      <c r="D25" s="1400"/>
      <c r="E25" s="1400"/>
      <c r="F25" s="1401"/>
      <c r="G25" s="1400"/>
      <c r="H25" s="1400"/>
      <c r="I25" s="1400"/>
      <c r="J25" s="1401"/>
      <c r="K25" s="1400"/>
      <c r="L25" s="1400"/>
      <c r="M25" s="1400"/>
      <c r="N25" s="1395"/>
      <c r="O25" s="1401"/>
      <c r="P25" s="1402"/>
      <c r="Q25" s="1376"/>
      <c r="R25" s="1376"/>
      <c r="S25" s="1376"/>
    </row>
    <row r="26" spans="2:34" ht="51.75" customHeight="1">
      <c r="B26" s="1410" t="s">
        <v>123</v>
      </c>
      <c r="C26" s="1411">
        <f>SUM(C11:C25)</f>
        <v>64000</v>
      </c>
      <c r="D26" s="1411">
        <f>SUM(D11:D25)</f>
        <v>0</v>
      </c>
      <c r="E26" s="1411">
        <f t="shared" ref="E26:O26" si="0">SUM(E11:E25)</f>
        <v>0</v>
      </c>
      <c r="F26" s="1411">
        <f>SUM(F11:F25)</f>
        <v>64000</v>
      </c>
      <c r="G26" s="1411">
        <f t="shared" si="0"/>
        <v>349389.05</v>
      </c>
      <c r="H26" s="1411">
        <f t="shared" si="0"/>
        <v>108288.37999999999</v>
      </c>
      <c r="I26" s="1411">
        <f t="shared" si="0"/>
        <v>0</v>
      </c>
      <c r="J26" s="1411">
        <f>SUM(J11:J25)</f>
        <v>457677.43</v>
      </c>
      <c r="K26" s="1411">
        <f>SUM(K11:K25)</f>
        <v>1099923.8</v>
      </c>
      <c r="L26" s="1411">
        <f t="shared" si="0"/>
        <v>115334.12</v>
      </c>
      <c r="M26" s="1411">
        <f t="shared" si="0"/>
        <v>41902.89</v>
      </c>
      <c r="N26" s="1411">
        <f t="shared" si="0"/>
        <v>0</v>
      </c>
      <c r="O26" s="1411">
        <f t="shared" si="0"/>
        <v>1257160.81</v>
      </c>
      <c r="P26" s="1412">
        <f>SUM(P11:P25)</f>
        <v>1778838.24</v>
      </c>
      <c r="Q26" s="1376"/>
      <c r="S26" s="1376"/>
    </row>
    <row r="27" spans="2:34" ht="40.25" customHeight="1">
      <c r="B27" s="1394" t="s">
        <v>714</v>
      </c>
      <c r="C27" s="1395"/>
      <c r="D27" s="1395"/>
      <c r="E27" s="1395"/>
      <c r="F27" s="1396"/>
      <c r="G27" s="1395"/>
      <c r="H27" s="1395"/>
      <c r="I27" s="1395"/>
      <c r="J27" s="1396"/>
      <c r="K27" s="1395"/>
      <c r="L27" s="1395"/>
      <c r="M27" s="1395"/>
      <c r="N27" s="1395"/>
      <c r="O27" s="1396"/>
      <c r="P27" s="1397"/>
      <c r="R27" s="1376"/>
      <c r="S27" s="1376"/>
    </row>
    <row r="28" spans="2:34">
      <c r="B28" s="1398" t="s">
        <v>366</v>
      </c>
      <c r="C28" s="1395"/>
      <c r="D28" s="1395"/>
      <c r="E28" s="1395"/>
      <c r="F28" s="1396"/>
      <c r="G28" s="1395"/>
      <c r="H28" s="1395"/>
      <c r="I28" s="1395"/>
      <c r="J28" s="1396"/>
      <c r="K28" s="1395"/>
      <c r="L28" s="1395"/>
      <c r="M28" s="1395"/>
      <c r="N28" s="1395"/>
      <c r="O28" s="1396"/>
      <c r="P28" s="1397"/>
      <c r="Q28" s="1376"/>
      <c r="R28" s="1376"/>
      <c r="S28" s="1376"/>
    </row>
    <row r="29" spans="2:34">
      <c r="B29" s="1399" t="s">
        <v>367</v>
      </c>
      <c r="C29" s="1395"/>
      <c r="D29" s="1395"/>
      <c r="E29" s="1395"/>
      <c r="F29" s="1401">
        <f>C29+D29+E29</f>
        <v>0</v>
      </c>
      <c r="G29" s="1395"/>
      <c r="H29" s="1395"/>
      <c r="I29" s="1395"/>
      <c r="J29" s="1401">
        <f>G29+H29+I29</f>
        <v>0</v>
      </c>
      <c r="K29" s="1400" t="s">
        <v>390</v>
      </c>
      <c r="L29" s="1400" t="s">
        <v>390</v>
      </c>
      <c r="M29" s="1395"/>
      <c r="N29" s="1395"/>
      <c r="O29" s="1401" t="s">
        <v>390</v>
      </c>
      <c r="P29" s="1402">
        <v>0</v>
      </c>
      <c r="R29" s="1376"/>
      <c r="S29" s="1376"/>
    </row>
    <row r="30" spans="2:34">
      <c r="B30" s="1399" t="s">
        <v>420</v>
      </c>
      <c r="C30" s="1395"/>
      <c r="D30" s="1400">
        <v>0</v>
      </c>
      <c r="E30" s="1395"/>
      <c r="F30" s="1401">
        <f>C30+D30+E30</f>
        <v>0</v>
      </c>
      <c r="G30" s="1395"/>
      <c r="H30" s="1400">
        <v>77521.69</v>
      </c>
      <c r="I30" s="1395"/>
      <c r="J30" s="1401">
        <f>G30+H30+I30</f>
        <v>77521.69</v>
      </c>
      <c r="K30" s="1395"/>
      <c r="L30" s="1395"/>
      <c r="M30" s="1400">
        <v>0</v>
      </c>
      <c r="N30" s="1395"/>
      <c r="O30" s="1401">
        <f>K30+L30+M30</f>
        <v>0</v>
      </c>
      <c r="P30" s="1402">
        <f>F30+J30+O30</f>
        <v>77521.69</v>
      </c>
      <c r="Q30" s="1376"/>
      <c r="R30" s="1376"/>
    </row>
    <row r="31" spans="2:34" ht="25.25" customHeight="1">
      <c r="B31" s="1399"/>
      <c r="C31" s="1395"/>
      <c r="D31" s="1395"/>
      <c r="E31" s="1395"/>
      <c r="F31" s="1401"/>
      <c r="G31" s="1395"/>
      <c r="H31" s="1395"/>
      <c r="I31" s="1395"/>
      <c r="J31" s="1401"/>
      <c r="K31" s="1395"/>
      <c r="L31" s="1395"/>
      <c r="M31" s="1395"/>
      <c r="N31" s="1395"/>
      <c r="O31" s="1401"/>
      <c r="P31" s="1402"/>
      <c r="Q31" s="1376"/>
      <c r="R31" s="1376"/>
      <c r="W31" s="1375">
        <v>79.2</v>
      </c>
      <c r="X31" s="1375">
        <v>84.5</v>
      </c>
      <c r="Y31" s="1375">
        <v>86.7</v>
      </c>
      <c r="Z31" s="1375">
        <v>88.9</v>
      </c>
      <c r="AA31" s="1375">
        <v>107.4</v>
      </c>
      <c r="AB31" s="1375">
        <v>121.3</v>
      </c>
      <c r="AC31" s="1375">
        <v>134.69999999999999</v>
      </c>
      <c r="AD31" s="1375">
        <v>181</v>
      </c>
      <c r="AE31" s="1375">
        <v>163.80000000000001</v>
      </c>
      <c r="AF31" s="1375">
        <v>164.5</v>
      </c>
      <c r="AG31" s="1375">
        <v>188.4</v>
      </c>
      <c r="AH31" s="1375">
        <v>209.8</v>
      </c>
    </row>
    <row r="32" spans="2:34" ht="33" customHeight="1">
      <c r="B32" s="1398" t="s">
        <v>376</v>
      </c>
      <c r="C32" s="1395"/>
      <c r="D32" s="1395"/>
      <c r="E32" s="1395"/>
      <c r="F32" s="1401"/>
      <c r="G32" s="1395"/>
      <c r="H32" s="1395"/>
      <c r="I32" s="1395"/>
      <c r="J32" s="1401"/>
      <c r="K32" s="1395"/>
      <c r="L32" s="1395"/>
      <c r="M32" s="1395"/>
      <c r="N32" s="1395"/>
      <c r="O32" s="1401"/>
      <c r="P32" s="1402"/>
      <c r="Q32" s="1376"/>
      <c r="R32" s="1376"/>
    </row>
    <row r="33" spans="2:18">
      <c r="B33" s="1399" t="s">
        <v>377</v>
      </c>
      <c r="C33" s="1395"/>
      <c r="D33" s="1413">
        <v>350542.77</v>
      </c>
      <c r="E33" s="1400"/>
      <c r="F33" s="1401">
        <f t="shared" ref="F33:F38" si="1">C33+D33+E33</f>
        <v>350542.77</v>
      </c>
      <c r="G33" s="1400"/>
      <c r="H33" s="1400">
        <v>65899.929999999993</v>
      </c>
      <c r="I33" s="1400"/>
      <c r="J33" s="1401">
        <f t="shared" ref="J33:J38" si="2">G33+H33+I33</f>
        <v>65899.929999999993</v>
      </c>
      <c r="K33" s="1400"/>
      <c r="L33" s="1400"/>
      <c r="M33" s="1400">
        <v>20516.16</v>
      </c>
      <c r="N33" s="1395"/>
      <c r="O33" s="1401">
        <f>K33+L33+M33</f>
        <v>20516.16</v>
      </c>
      <c r="P33" s="1402">
        <f t="shared" ref="P33:P38" si="3">F33+J33+O33</f>
        <v>436958.86</v>
      </c>
      <c r="R33" s="1376"/>
    </row>
    <row r="34" spans="2:18">
      <c r="B34" s="1399" t="s">
        <v>378</v>
      </c>
      <c r="C34" s="1395"/>
      <c r="D34" s="1413">
        <v>0</v>
      </c>
      <c r="E34" s="1395"/>
      <c r="F34" s="1401">
        <f t="shared" si="1"/>
        <v>0</v>
      </c>
      <c r="G34" s="1395"/>
      <c r="H34" s="1395"/>
      <c r="I34" s="1395"/>
      <c r="J34" s="1401">
        <f t="shared" si="2"/>
        <v>0</v>
      </c>
      <c r="K34" s="1395"/>
      <c r="L34" s="1395"/>
      <c r="M34" s="1395"/>
      <c r="N34" s="1395"/>
      <c r="O34" s="1401">
        <f>K34+L34+M34</f>
        <v>0</v>
      </c>
      <c r="P34" s="1402">
        <f t="shared" si="3"/>
        <v>0</v>
      </c>
      <c r="Q34" s="1376"/>
      <c r="R34" s="1376"/>
    </row>
    <row r="35" spans="2:18">
      <c r="B35" s="1399" t="s">
        <v>379</v>
      </c>
      <c r="C35" s="1395"/>
      <c r="D35" s="1395"/>
      <c r="E35" s="1395"/>
      <c r="F35" s="1401">
        <f t="shared" si="1"/>
        <v>0</v>
      </c>
      <c r="G35" s="1395"/>
      <c r="H35" s="1395"/>
      <c r="I35" s="1395"/>
      <c r="J35" s="1401">
        <f t="shared" si="2"/>
        <v>0</v>
      </c>
      <c r="K35" s="1395"/>
      <c r="L35" s="1395"/>
      <c r="M35" s="1395"/>
      <c r="N35" s="1395"/>
      <c r="O35" s="1401">
        <f>K35+L35+M35</f>
        <v>0</v>
      </c>
      <c r="P35" s="1402">
        <f t="shared" si="3"/>
        <v>0</v>
      </c>
      <c r="Q35" s="1376"/>
      <c r="R35" s="1376"/>
    </row>
    <row r="36" spans="2:18">
      <c r="B36" s="1399" t="s">
        <v>380</v>
      </c>
      <c r="C36" s="1395"/>
      <c r="D36" s="1395"/>
      <c r="E36" s="1395"/>
      <c r="F36" s="1401">
        <f t="shared" si="1"/>
        <v>0</v>
      </c>
      <c r="G36" s="1395"/>
      <c r="H36" s="1395"/>
      <c r="I36" s="1395"/>
      <c r="J36" s="1401">
        <f t="shared" si="2"/>
        <v>0</v>
      </c>
      <c r="K36" s="1395"/>
      <c r="L36" s="1395"/>
      <c r="M36" s="1395"/>
      <c r="N36" s="1395"/>
      <c r="O36" s="1401">
        <f>K36+L36+M36</f>
        <v>0</v>
      </c>
      <c r="P36" s="1402">
        <f t="shared" si="3"/>
        <v>0</v>
      </c>
      <c r="Q36" s="1376"/>
      <c r="R36" s="1376"/>
    </row>
    <row r="37" spans="2:18">
      <c r="B37" s="1399" t="s">
        <v>381</v>
      </c>
      <c r="C37" s="1395"/>
      <c r="D37" s="1400">
        <v>488161.03</v>
      </c>
      <c r="E37" s="1395"/>
      <c r="F37" s="1401">
        <f t="shared" si="1"/>
        <v>488161.03</v>
      </c>
      <c r="G37" s="1395"/>
      <c r="H37" s="1400">
        <v>10858.23</v>
      </c>
      <c r="I37" s="1395"/>
      <c r="J37" s="1401">
        <f t="shared" si="2"/>
        <v>10858.23</v>
      </c>
      <c r="K37" s="1395"/>
      <c r="L37" s="1395"/>
      <c r="M37" s="1413">
        <v>1086.75</v>
      </c>
      <c r="N37" s="1395"/>
      <c r="O37" s="1401">
        <f>K37+L37+M37</f>
        <v>1086.75</v>
      </c>
      <c r="P37" s="1402">
        <f t="shared" si="3"/>
        <v>500106.01</v>
      </c>
      <c r="Q37" s="1376"/>
      <c r="R37" s="1376"/>
    </row>
    <row r="38" spans="2:18" ht="47.25" customHeight="1">
      <c r="B38" s="1399" t="s">
        <v>382</v>
      </c>
      <c r="C38" s="1395"/>
      <c r="D38" s="1413">
        <v>7128</v>
      </c>
      <c r="E38" s="1395"/>
      <c r="F38" s="1401">
        <f t="shared" si="1"/>
        <v>7128</v>
      </c>
      <c r="G38" s="1395"/>
      <c r="H38" s="1395"/>
      <c r="I38" s="1395"/>
      <c r="J38" s="1401">
        <f t="shared" si="2"/>
        <v>0</v>
      </c>
      <c r="K38" s="1395"/>
      <c r="L38" s="1395"/>
      <c r="M38" s="1400" t="s">
        <v>390</v>
      </c>
      <c r="N38" s="1395"/>
      <c r="O38" s="1401">
        <v>0</v>
      </c>
      <c r="P38" s="1402">
        <f t="shared" si="3"/>
        <v>7128</v>
      </c>
      <c r="Q38" s="1376"/>
    </row>
    <row r="39" spans="2:18" ht="25.25" customHeight="1">
      <c r="B39" s="1399"/>
      <c r="C39" s="1395"/>
      <c r="D39" s="1395"/>
      <c r="E39" s="1395"/>
      <c r="F39" s="1401"/>
      <c r="G39" s="1395"/>
      <c r="H39" s="1395"/>
      <c r="I39" s="1395"/>
      <c r="J39" s="1401"/>
      <c r="K39" s="1395"/>
      <c r="L39" s="1395"/>
      <c r="M39" s="1395"/>
      <c r="N39" s="1395"/>
      <c r="O39" s="1401"/>
      <c r="P39" s="1402"/>
      <c r="R39" s="1376"/>
    </row>
    <row r="40" spans="2:18">
      <c r="B40" s="1398" t="s">
        <v>383</v>
      </c>
      <c r="C40" s="1395"/>
      <c r="D40" s="1395"/>
      <c r="E40" s="1395"/>
      <c r="F40" s="1401"/>
      <c r="G40" s="1395"/>
      <c r="H40" s="1395"/>
      <c r="I40" s="1395"/>
      <c r="J40" s="1401"/>
      <c r="K40" s="1395"/>
      <c r="L40" s="1395"/>
      <c r="M40" s="1395"/>
      <c r="N40" s="1395"/>
      <c r="O40" s="1401"/>
      <c r="P40" s="1402"/>
      <c r="Q40" s="1376"/>
      <c r="R40" s="1376"/>
    </row>
    <row r="41" spans="2:18">
      <c r="B41" s="1399" t="s">
        <v>384</v>
      </c>
      <c r="C41" s="1395"/>
      <c r="D41" s="1395"/>
      <c r="E41" s="1395"/>
      <c r="F41" s="1401">
        <v>0</v>
      </c>
      <c r="G41" s="1395"/>
      <c r="H41" s="1400">
        <f>'[188]CLOTHI (CG)'!$G$45</f>
        <v>0</v>
      </c>
      <c r="I41" s="1395"/>
      <c r="J41" s="1401">
        <f>G41+H41+I41</f>
        <v>0</v>
      </c>
      <c r="K41" s="1395"/>
      <c r="L41" s="1395"/>
      <c r="M41" s="1400">
        <v>2190.4</v>
      </c>
      <c r="N41" s="1395"/>
      <c r="O41" s="1401">
        <f>K41+L41+M41</f>
        <v>2190.4</v>
      </c>
      <c r="P41" s="1402">
        <f>F41+J41+O41</f>
        <v>2190.4</v>
      </c>
      <c r="Q41" s="1376"/>
      <c r="R41" s="1376"/>
    </row>
    <row r="42" spans="2:18">
      <c r="B42" s="1399" t="s">
        <v>385</v>
      </c>
      <c r="C42" s="1395"/>
      <c r="D42" s="1400" t="s">
        <v>390</v>
      </c>
      <c r="E42" s="1395"/>
      <c r="F42" s="1401">
        <v>0</v>
      </c>
      <c r="G42" s="1395"/>
      <c r="H42" s="1413">
        <v>0</v>
      </c>
      <c r="I42" s="1395"/>
      <c r="J42" s="1401">
        <f>G42+H42+I42</f>
        <v>0</v>
      </c>
      <c r="K42" s="1395"/>
      <c r="L42" s="1395"/>
      <c r="M42" s="1400">
        <v>8197.82</v>
      </c>
      <c r="N42" s="1395"/>
      <c r="O42" s="1401">
        <f>K42+L42+M42</f>
        <v>8197.82</v>
      </c>
      <c r="P42" s="1402">
        <f>F42+J42+O42</f>
        <v>8197.82</v>
      </c>
      <c r="Q42" s="1376"/>
      <c r="R42" s="1376"/>
    </row>
    <row r="43" spans="2:18" ht="25.25" customHeight="1">
      <c r="B43" s="1399"/>
      <c r="C43" s="1395"/>
      <c r="D43" s="1395"/>
      <c r="E43" s="1395"/>
      <c r="F43" s="1401"/>
      <c r="G43" s="1395"/>
      <c r="H43" s="1395"/>
      <c r="I43" s="1395"/>
      <c r="J43" s="1401"/>
      <c r="K43" s="1395"/>
      <c r="L43" s="1395"/>
      <c r="M43" s="1395"/>
      <c r="N43" s="1395"/>
      <c r="O43" s="1401"/>
      <c r="P43" s="1402"/>
      <c r="Q43" s="1376"/>
      <c r="R43" s="1376"/>
    </row>
    <row r="44" spans="2:18" ht="32.75" customHeight="1">
      <c r="B44" s="1398" t="s">
        <v>715</v>
      </c>
      <c r="C44" s="1395"/>
      <c r="D44" s="1395"/>
      <c r="E44" s="1395"/>
      <c r="F44" s="1401"/>
      <c r="G44" s="1395"/>
      <c r="H44" s="1395"/>
      <c r="I44" s="1395"/>
      <c r="J44" s="1401"/>
      <c r="K44" s="1395"/>
      <c r="L44" s="1395"/>
      <c r="M44" s="1395"/>
      <c r="N44" s="1395"/>
      <c r="O44" s="1401"/>
      <c r="P44" s="1414"/>
      <c r="Q44" s="1376"/>
      <c r="R44" s="1376"/>
    </row>
    <row r="45" spans="2:18" ht="32.25" customHeight="1">
      <c r="B45" s="1399" t="s">
        <v>386</v>
      </c>
      <c r="C45" s="1395"/>
      <c r="D45" s="1400">
        <v>0</v>
      </c>
      <c r="E45" s="1395"/>
      <c r="F45" s="1401">
        <f>C45+D45+E45</f>
        <v>0</v>
      </c>
      <c r="G45" s="1415"/>
      <c r="H45" s="1395"/>
      <c r="I45" s="1395"/>
      <c r="J45" s="1401">
        <f>G45+H45+I45</f>
        <v>0</v>
      </c>
      <c r="K45" s="1395"/>
      <c r="L45" s="1395"/>
      <c r="M45" s="1395"/>
      <c r="N45" s="1395"/>
      <c r="O45" s="1401">
        <f>K45+L45+M45</f>
        <v>0</v>
      </c>
      <c r="P45" s="1414">
        <f>F45+J45+O45</f>
        <v>0</v>
      </c>
      <c r="Q45" s="1376"/>
    </row>
    <row r="46" spans="2:18" ht="46.5" customHeight="1">
      <c r="B46" s="1416" t="s">
        <v>387</v>
      </c>
      <c r="C46" s="1395"/>
      <c r="D46" s="1400">
        <v>0</v>
      </c>
      <c r="E46" s="1395"/>
      <c r="F46" s="1401">
        <v>0</v>
      </c>
      <c r="G46" s="1395"/>
      <c r="H46" s="1395"/>
      <c r="I46" s="1395"/>
      <c r="J46" s="1401">
        <f>G46+H46+I46</f>
        <v>0</v>
      </c>
      <c r="K46" s="1395"/>
      <c r="L46" s="1395"/>
      <c r="M46" s="1400">
        <v>0</v>
      </c>
      <c r="N46" s="1395"/>
      <c r="O46" s="1401">
        <f>K46+L46+M46</f>
        <v>0</v>
      </c>
      <c r="P46" s="1414">
        <f>F46+J46+O46</f>
        <v>0</v>
      </c>
      <c r="Q46" s="1376"/>
      <c r="R46" s="1376"/>
    </row>
    <row r="47" spans="2:18" ht="25.25" customHeight="1">
      <c r="B47" s="1399"/>
      <c r="C47" s="1395"/>
      <c r="D47" s="1395"/>
      <c r="E47" s="1395"/>
      <c r="F47" s="1401"/>
      <c r="G47" s="1395"/>
      <c r="H47" s="1395"/>
      <c r="I47" s="1395"/>
      <c r="J47" s="1401"/>
      <c r="K47" s="1395"/>
      <c r="L47" s="1395"/>
      <c r="M47" s="1395"/>
      <c r="N47" s="1395"/>
      <c r="O47" s="1401"/>
      <c r="P47" s="1414"/>
      <c r="Q47" s="1376"/>
      <c r="R47" s="1376"/>
    </row>
    <row r="48" spans="2:18" ht="42" customHeight="1">
      <c r="B48" s="1398" t="s">
        <v>388</v>
      </c>
      <c r="C48" s="1395"/>
      <c r="D48" s="1395"/>
      <c r="E48" s="1395"/>
      <c r="F48" s="1401"/>
      <c r="G48" s="1395"/>
      <c r="H48" s="1395"/>
      <c r="I48" s="1395"/>
      <c r="J48" s="1401"/>
      <c r="K48" s="1395"/>
      <c r="L48" s="1395"/>
      <c r="M48" s="1395"/>
      <c r="N48" s="1395"/>
      <c r="O48" s="1401"/>
      <c r="P48" s="1414"/>
      <c r="Q48" s="1376"/>
      <c r="R48" s="1376"/>
    </row>
    <row r="49" spans="2:18" ht="43.5" customHeight="1">
      <c r="B49" s="1399" t="s">
        <v>389</v>
      </c>
      <c r="C49" s="1395"/>
      <c r="D49" s="1395"/>
      <c r="E49" s="1395"/>
      <c r="F49" s="1401">
        <f>C49+D49+E49</f>
        <v>0</v>
      </c>
      <c r="G49" s="1395"/>
      <c r="H49" s="1395"/>
      <c r="I49" s="1395"/>
      <c r="J49" s="1401">
        <f t="shared" ref="J49:J56" si="4">G49+H49+I49</f>
        <v>0</v>
      </c>
      <c r="K49" s="1395"/>
      <c r="L49" s="1395"/>
      <c r="M49" s="1395"/>
      <c r="N49" s="1395"/>
      <c r="O49" s="1401">
        <f t="shared" ref="O49:O56" si="5">K49+L49+M49</f>
        <v>0</v>
      </c>
      <c r="P49" s="1414">
        <f t="shared" ref="P49:P56" si="6">F49+J49+O49</f>
        <v>0</v>
      </c>
      <c r="Q49" s="1376"/>
      <c r="R49" s="1376"/>
    </row>
    <row r="50" spans="2:18" ht="43.5" customHeight="1">
      <c r="B50" s="1399" t="s">
        <v>529</v>
      </c>
      <c r="C50" s="1395"/>
      <c r="D50" s="1400" t="s">
        <v>390</v>
      </c>
      <c r="E50" s="1395"/>
      <c r="F50" s="1401">
        <v>0</v>
      </c>
      <c r="G50" s="1395"/>
      <c r="H50" s="1413">
        <v>16200</v>
      </c>
      <c r="I50" s="1395"/>
      <c r="J50" s="1401">
        <f t="shared" si="4"/>
        <v>16200</v>
      </c>
      <c r="K50" s="1395"/>
      <c r="L50" s="1395"/>
      <c r="M50" s="1395"/>
      <c r="N50" s="1395"/>
      <c r="O50" s="1401">
        <f t="shared" si="5"/>
        <v>0</v>
      </c>
      <c r="P50" s="1414">
        <f t="shared" si="6"/>
        <v>16200</v>
      </c>
      <c r="Q50" s="1376"/>
      <c r="R50" s="1376"/>
    </row>
    <row r="51" spans="2:18" ht="43.5" customHeight="1">
      <c r="B51" s="1399" t="s">
        <v>526</v>
      </c>
      <c r="C51" s="1395"/>
      <c r="D51" s="1395"/>
      <c r="E51" s="1395"/>
      <c r="F51" s="1401">
        <f>C51+D51+E51</f>
        <v>0</v>
      </c>
      <c r="G51" s="1395"/>
      <c r="H51" s="1395"/>
      <c r="I51" s="1395"/>
      <c r="J51" s="1401">
        <f t="shared" si="4"/>
        <v>0</v>
      </c>
      <c r="K51" s="1400">
        <f>'[188]CLOTHI (CG)'!$J$55</f>
        <v>0</v>
      </c>
      <c r="L51" s="1395"/>
      <c r="M51" s="1395"/>
      <c r="N51" s="1395"/>
      <c r="O51" s="1401">
        <f t="shared" si="5"/>
        <v>0</v>
      </c>
      <c r="P51" s="1414">
        <f t="shared" si="6"/>
        <v>0</v>
      </c>
      <c r="Q51" s="1376"/>
      <c r="R51" s="1376"/>
    </row>
    <row r="52" spans="2:18" ht="41.25" customHeight="1">
      <c r="B52" s="1399" t="s">
        <v>604</v>
      </c>
      <c r="C52" s="1400" t="s">
        <v>390</v>
      </c>
      <c r="D52" s="1395"/>
      <c r="E52" s="1395"/>
      <c r="F52" s="1401">
        <v>0</v>
      </c>
      <c r="G52" s="1417"/>
      <c r="H52" s="1395"/>
      <c r="I52" s="1395"/>
      <c r="J52" s="1401">
        <f t="shared" si="4"/>
        <v>0</v>
      </c>
      <c r="K52" s="1413">
        <v>540</v>
      </c>
      <c r="L52" s="1395"/>
      <c r="M52" s="1413">
        <v>0</v>
      </c>
      <c r="N52" s="1395"/>
      <c r="O52" s="1401">
        <f t="shared" si="5"/>
        <v>540</v>
      </c>
      <c r="P52" s="1414">
        <f t="shared" si="6"/>
        <v>540</v>
      </c>
      <c r="Q52" s="1376"/>
      <c r="R52" s="1376"/>
    </row>
    <row r="53" spans="2:18" ht="46.5" customHeight="1">
      <c r="B53" s="1399" t="s">
        <v>527</v>
      </c>
      <c r="C53" s="1400" t="s">
        <v>390</v>
      </c>
      <c r="D53" s="1400"/>
      <c r="E53" s="1395"/>
      <c r="F53" s="1401">
        <v>0</v>
      </c>
      <c r="G53" s="1417">
        <v>233217.7</v>
      </c>
      <c r="H53" s="1395"/>
      <c r="I53" s="1395"/>
      <c r="J53" s="1401">
        <f t="shared" si="4"/>
        <v>233217.7</v>
      </c>
      <c r="K53" s="1400">
        <v>641755.12999999989</v>
      </c>
      <c r="L53" s="1400">
        <v>217004.03</v>
      </c>
      <c r="M53" s="1413"/>
      <c r="N53" s="1395"/>
      <c r="O53" s="1401">
        <f>K53+L53+M53+N53</f>
        <v>858759.15999999992</v>
      </c>
      <c r="P53" s="1414">
        <f>F53+J53+O53</f>
        <v>1091976.8599999999</v>
      </c>
      <c r="Q53" s="1376"/>
      <c r="R53" s="1376"/>
    </row>
    <row r="54" spans="2:18" ht="40.5" customHeight="1">
      <c r="B54" s="1399" t="s">
        <v>528</v>
      </c>
      <c r="C54" s="1395"/>
      <c r="D54" s="1395"/>
      <c r="E54" s="1395"/>
      <c r="F54" s="1396"/>
      <c r="G54" s="1400"/>
      <c r="H54" s="1395"/>
      <c r="I54" s="1395"/>
      <c r="J54" s="1401">
        <f t="shared" si="4"/>
        <v>0</v>
      </c>
      <c r="K54" s="1400">
        <v>0</v>
      </c>
      <c r="L54" s="1395"/>
      <c r="M54" s="1413">
        <v>0</v>
      </c>
      <c r="N54" s="1395"/>
      <c r="O54" s="1401">
        <f t="shared" si="5"/>
        <v>0</v>
      </c>
      <c r="P54" s="1414">
        <f t="shared" si="6"/>
        <v>0</v>
      </c>
      <c r="Q54" s="1376"/>
      <c r="R54" s="1376"/>
    </row>
    <row r="55" spans="2:18" ht="46.5" customHeight="1">
      <c r="B55" s="1399" t="s">
        <v>586</v>
      </c>
      <c r="C55" s="1395"/>
      <c r="D55" s="1400">
        <v>567065.21</v>
      </c>
      <c r="E55" s="1395"/>
      <c r="F55" s="1401">
        <f>C55+D55+E55</f>
        <v>567065.21</v>
      </c>
      <c r="G55" s="1395"/>
      <c r="H55" s="1395"/>
      <c r="I55" s="1395"/>
      <c r="J55" s="1401">
        <f t="shared" si="4"/>
        <v>0</v>
      </c>
      <c r="K55" s="1395"/>
      <c r="L55" s="1395"/>
      <c r="M55" s="1395"/>
      <c r="N55" s="1395"/>
      <c r="O55" s="1401">
        <f t="shared" si="5"/>
        <v>0</v>
      </c>
      <c r="P55" s="1414">
        <f>F55+J55+O55</f>
        <v>567065.21</v>
      </c>
      <c r="Q55" s="1376"/>
      <c r="R55" s="1376"/>
    </row>
    <row r="56" spans="2:18" ht="43.5" customHeight="1">
      <c r="B56" s="1399" t="s">
        <v>587</v>
      </c>
      <c r="C56" s="1395"/>
      <c r="D56" s="1400">
        <v>2531.3000000000002</v>
      </c>
      <c r="E56" s="1395"/>
      <c r="F56" s="1401">
        <f>C56+D56+E56</f>
        <v>2531.3000000000002</v>
      </c>
      <c r="G56" s="1395"/>
      <c r="H56" s="1395"/>
      <c r="I56" s="1395"/>
      <c r="J56" s="1401">
        <f t="shared" si="4"/>
        <v>0</v>
      </c>
      <c r="K56" s="1395"/>
      <c r="L56" s="1395"/>
      <c r="M56" s="1413">
        <v>0</v>
      </c>
      <c r="N56" s="1395"/>
      <c r="O56" s="1401">
        <f t="shared" si="5"/>
        <v>0</v>
      </c>
      <c r="P56" s="1414">
        <f t="shared" si="6"/>
        <v>2531.3000000000002</v>
      </c>
      <c r="Q56" s="1376"/>
      <c r="R56" s="1376"/>
    </row>
    <row r="57" spans="2:18" ht="39.5" customHeight="1">
      <c r="B57" s="1410" t="s">
        <v>123</v>
      </c>
      <c r="C57" s="1411">
        <f>SUM(C33:C56)</f>
        <v>0</v>
      </c>
      <c r="D57" s="1411">
        <f>SUM(D29:D56)</f>
        <v>1415428.31</v>
      </c>
      <c r="E57" s="1411">
        <f>SUM(E29:E54)</f>
        <v>0</v>
      </c>
      <c r="F57" s="1411">
        <f>SUM(F29:F56)</f>
        <v>1415428.31</v>
      </c>
      <c r="G57" s="1411">
        <f>SUM(G29:G56)</f>
        <v>233217.7</v>
      </c>
      <c r="H57" s="1411">
        <f>SUM(H29:H55)</f>
        <v>170479.85</v>
      </c>
      <c r="I57" s="1411">
        <f>SUM(I29:I54)</f>
        <v>0</v>
      </c>
      <c r="J57" s="1411">
        <f>SUM(J29:J56)</f>
        <v>403697.55000000005</v>
      </c>
      <c r="K57" s="1411">
        <f>SUM(K29:K55)</f>
        <v>642295.12999999989</v>
      </c>
      <c r="L57" s="1411">
        <f>SUM(L29:L55)</f>
        <v>217004.03</v>
      </c>
      <c r="M57" s="1411">
        <f>SUM(M29:M56)</f>
        <v>31991.13</v>
      </c>
      <c r="N57" s="1411">
        <f>SUM(N29:N55)</f>
        <v>0</v>
      </c>
      <c r="O57" s="1411">
        <f>SUM(O29:O56)</f>
        <v>891290.28999999992</v>
      </c>
      <c r="P57" s="1412">
        <f>SUM(P29:P56)</f>
        <v>2710416.1499999994</v>
      </c>
      <c r="Q57" s="1418"/>
    </row>
    <row r="58" spans="2:18" ht="25.25" customHeight="1">
      <c r="B58" s="1398" t="s">
        <v>390</v>
      </c>
      <c r="C58" s="1401"/>
      <c r="D58" s="1401"/>
      <c r="E58" s="1401"/>
      <c r="F58" s="1401"/>
      <c r="G58" s="1401"/>
      <c r="H58" s="1401"/>
      <c r="I58" s="1401"/>
      <c r="J58" s="1401"/>
      <c r="K58" s="1401"/>
      <c r="L58" s="1401"/>
      <c r="M58" s="1401"/>
      <c r="N58" s="1401"/>
      <c r="O58" s="1401"/>
      <c r="P58" s="1402"/>
      <c r="Q58" s="1376"/>
      <c r="R58" s="1376"/>
    </row>
    <row r="59" spans="2:18" ht="46.25" customHeight="1" thickBot="1">
      <c r="B59" s="1419" t="s">
        <v>336</v>
      </c>
      <c r="C59" s="1420">
        <f t="shared" ref="C59:N59" si="7">C26+C57+C58</f>
        <v>64000</v>
      </c>
      <c r="D59" s="1420">
        <f>D26+D57+D58</f>
        <v>1415428.31</v>
      </c>
      <c r="E59" s="1420">
        <f t="shared" si="7"/>
        <v>0</v>
      </c>
      <c r="F59" s="1420">
        <f>F26+F57+F58</f>
        <v>1479428.31</v>
      </c>
      <c r="G59" s="1420">
        <f t="shared" si="7"/>
        <v>582606.75</v>
      </c>
      <c r="H59" s="1420">
        <f t="shared" si="7"/>
        <v>278768.23</v>
      </c>
      <c r="I59" s="1420">
        <f t="shared" si="7"/>
        <v>0</v>
      </c>
      <c r="J59" s="1420">
        <f t="shared" si="7"/>
        <v>861374.98</v>
      </c>
      <c r="K59" s="1420">
        <f t="shared" si="7"/>
        <v>1742218.93</v>
      </c>
      <c r="L59" s="1420">
        <f t="shared" si="7"/>
        <v>332338.15000000002</v>
      </c>
      <c r="M59" s="1420">
        <f t="shared" si="7"/>
        <v>73894.02</v>
      </c>
      <c r="N59" s="1420">
        <f t="shared" si="7"/>
        <v>0</v>
      </c>
      <c r="O59" s="1420">
        <f>O26+O57+O58</f>
        <v>2148451.1</v>
      </c>
      <c r="P59" s="1421">
        <f>P26+P57+P58</f>
        <v>4489254.3899999997</v>
      </c>
      <c r="Q59" s="1418"/>
      <c r="R59" s="1376"/>
    </row>
    <row r="60" spans="2:18" s="1425" customFormat="1" ht="32" customHeight="1">
      <c r="B60" s="1422" t="s">
        <v>664</v>
      </c>
      <c r="C60" s="1423"/>
      <c r="D60" s="1423"/>
      <c r="E60" s="1423"/>
      <c r="F60" s="1424"/>
      <c r="G60" s="1423"/>
      <c r="H60" s="1423"/>
      <c r="I60" s="1423"/>
      <c r="J60" s="1424"/>
      <c r="K60" s="1423"/>
      <c r="L60" s="1423"/>
      <c r="M60" s="1423"/>
      <c r="N60" s="1423"/>
      <c r="O60" s="1424"/>
      <c r="P60" s="1424"/>
      <c r="R60" s="1426"/>
    </row>
    <row r="61" spans="2:18">
      <c r="B61" s="1427"/>
      <c r="C61" s="1377"/>
      <c r="D61" s="1377"/>
      <c r="E61" s="1377"/>
      <c r="F61" s="1428"/>
      <c r="G61" s="1377"/>
      <c r="H61" s="1377"/>
      <c r="I61" s="1377"/>
      <c r="J61" s="1428"/>
      <c r="K61" s="1377"/>
      <c r="L61" s="1377"/>
      <c r="M61" s="1377"/>
      <c r="N61" s="1377"/>
      <c r="O61" s="1428"/>
      <c r="R61" s="1376"/>
    </row>
    <row r="62" spans="2:18">
      <c r="B62" s="1427"/>
      <c r="C62" s="1377"/>
      <c r="D62" s="1377"/>
      <c r="E62" s="1377"/>
      <c r="F62" s="1428"/>
      <c r="G62" s="1377"/>
      <c r="H62" s="1377"/>
      <c r="I62" s="1377"/>
      <c r="J62" s="1428"/>
      <c r="K62" s="1377"/>
      <c r="L62" s="1377"/>
      <c r="M62" s="1377"/>
      <c r="N62" s="1377"/>
      <c r="O62" s="1428"/>
    </row>
    <row r="63" spans="2:18">
      <c r="B63" s="1427"/>
      <c r="C63" s="1377"/>
      <c r="D63" s="1377"/>
      <c r="E63" s="1377"/>
      <c r="F63" s="1428"/>
      <c r="G63" s="1377"/>
      <c r="H63" s="1377"/>
      <c r="I63" s="1377"/>
      <c r="J63" s="1428"/>
      <c r="K63" s="1377"/>
      <c r="L63" s="1377"/>
      <c r="M63" s="1377"/>
      <c r="N63" s="1377"/>
      <c r="O63" s="1428"/>
    </row>
    <row r="64" spans="2:18">
      <c r="B64" s="1377"/>
      <c r="C64" s="1377"/>
      <c r="D64" s="1377"/>
      <c r="E64" s="1377"/>
      <c r="F64" s="1428"/>
      <c r="G64" s="1377"/>
      <c r="I64" s="1377"/>
      <c r="J64" s="1428"/>
      <c r="K64" s="1377"/>
      <c r="L64" s="1377"/>
      <c r="M64" s="1377"/>
      <c r="N64" s="1377"/>
      <c r="O64" s="1428"/>
      <c r="P64" s="1428"/>
    </row>
    <row r="74" spans="2:2">
      <c r="B74" s="1378" t="s">
        <v>747</v>
      </c>
    </row>
  </sheetData>
  <mergeCells count="8">
    <mergeCell ref="C7:F7"/>
    <mergeCell ref="G7:J7"/>
    <mergeCell ref="K7:O7"/>
    <mergeCell ref="B1:P1"/>
    <mergeCell ref="B2:P2"/>
    <mergeCell ref="B3:P3"/>
    <mergeCell ref="B4:P4"/>
    <mergeCell ref="B5:P5"/>
  </mergeCells>
  <printOptions horizontalCentered="1" verticalCentered="1"/>
  <pageMargins left="0.25" right="0.25" top="0.75" bottom="0.75" header="0.3" footer="0.3"/>
  <pageSetup scale="21" firstPageNumber="103" orientation="landscape" useFirstPageNumber="1" r:id="rId1"/>
  <headerFooter scaleWithDoc="0" alignWithMargins="0">
    <oddFooter xml:space="preserve">&amp;C131
</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theme="9" tint="-0.499984740745262"/>
    <pageSetUpPr fitToPage="1"/>
  </sheetPr>
  <dimension ref="A1:DO112"/>
  <sheetViews>
    <sheetView view="pageBreakPreview" topLeftCell="A67" zoomScale="40" zoomScaleNormal="50" zoomScaleSheetLayoutView="40" workbookViewId="0">
      <selection activeCell="D23" sqref="D23"/>
    </sheetView>
  </sheetViews>
  <sheetFormatPr defaultColWidth="9.46484375" defaultRowHeight="36"/>
  <cols>
    <col min="1" max="1" width="4.6640625" style="1067" customWidth="1"/>
    <col min="2" max="2" width="227.1328125" style="1067" customWidth="1"/>
    <col min="3" max="3" width="78.46484375" style="1083" customWidth="1"/>
    <col min="4" max="4" width="35.46484375" style="1083" bestFit="1" customWidth="1"/>
    <col min="5" max="5" width="32.6640625" style="1084" customWidth="1"/>
    <col min="6" max="6" width="32.6640625" style="1085" customWidth="1"/>
    <col min="7" max="7" width="40.33203125" style="4704" bestFit="1" customWidth="1"/>
    <col min="8" max="8" width="49.46484375" style="4707" customWidth="1"/>
    <col min="9" max="9" width="20.1328125" style="1067" bestFit="1" customWidth="1"/>
    <col min="10" max="16384" width="9.46484375" style="1067"/>
  </cols>
  <sheetData>
    <row r="1" spans="1:119" s="1453" customFormat="1" ht="30.5" customHeight="1">
      <c r="B1" s="5882" t="s">
        <v>1836</v>
      </c>
      <c r="C1" s="5882"/>
      <c r="D1" s="5882"/>
      <c r="E1" s="5882"/>
      <c r="F1" s="5882"/>
      <c r="G1" s="5882"/>
      <c r="H1" s="5882"/>
    </row>
    <row r="2" spans="1:119" s="1453" customFormat="1" ht="30.5" customHeight="1">
      <c r="B2" s="5882" t="s">
        <v>573</v>
      </c>
      <c r="C2" s="5882"/>
      <c r="D2" s="5882"/>
      <c r="E2" s="5882"/>
      <c r="F2" s="5882"/>
      <c r="G2" s="5882"/>
      <c r="H2" s="5882"/>
    </row>
    <row r="3" spans="1:119" s="1453" customFormat="1" ht="30.5" customHeight="1" thickBot="1">
      <c r="B3" s="5883" t="s">
        <v>1967</v>
      </c>
      <c r="C3" s="5883"/>
      <c r="D3" s="5883"/>
      <c r="E3" s="5883"/>
      <c r="F3" s="5883"/>
      <c r="G3" s="5883"/>
      <c r="H3" s="5883"/>
    </row>
    <row r="4" spans="1:119" ht="51" customHeight="1">
      <c r="B4" s="1434"/>
      <c r="C4" s="1435"/>
      <c r="D4" s="1435"/>
      <c r="E4" s="1436"/>
      <c r="F4" s="1437"/>
      <c r="G4" s="5884" t="s">
        <v>2333</v>
      </c>
      <c r="H4" s="5885"/>
    </row>
    <row r="5" spans="1:119" ht="30">
      <c r="B5" s="1438"/>
      <c r="C5" s="1439"/>
      <c r="D5" s="1439"/>
      <c r="E5" s="1440" t="s">
        <v>275</v>
      </c>
      <c r="F5" s="1441" t="s">
        <v>276</v>
      </c>
      <c r="G5" s="4700" t="s">
        <v>277</v>
      </c>
      <c r="H5" s="4891" t="s">
        <v>278</v>
      </c>
    </row>
    <row r="6" spans="1:119" ht="30">
      <c r="B6" s="1442" t="s">
        <v>795</v>
      </c>
      <c r="C6" s="1443" t="s">
        <v>279</v>
      </c>
      <c r="D6" s="1443" t="s">
        <v>280</v>
      </c>
      <c r="E6" s="1444" t="s">
        <v>281</v>
      </c>
      <c r="F6" s="1445" t="s">
        <v>281</v>
      </c>
      <c r="G6" s="4701" t="s">
        <v>280</v>
      </c>
      <c r="H6" s="4831" t="s">
        <v>282</v>
      </c>
    </row>
    <row r="7" spans="1:119" ht="15.75" customHeight="1">
      <c r="B7" s="1446"/>
      <c r="C7" s="1439"/>
      <c r="D7" s="1439"/>
      <c r="E7" s="1440"/>
      <c r="F7" s="1441"/>
      <c r="G7" s="4710"/>
      <c r="H7" s="4709"/>
    </row>
    <row r="8" spans="1:119" s="1073" customFormat="1" ht="38" customHeight="1">
      <c r="B8" s="5254" t="s">
        <v>926</v>
      </c>
      <c r="C8" s="1466"/>
      <c r="D8" s="1466"/>
      <c r="E8" s="1467"/>
      <c r="F8" s="4714"/>
      <c r="G8" s="4714"/>
      <c r="H8" s="4714"/>
    </row>
    <row r="9" spans="1:119" s="1074" customFormat="1" ht="47" customHeight="1">
      <c r="A9" s="1073"/>
      <c r="B9" s="5255" t="s">
        <v>1364</v>
      </c>
      <c r="C9" s="1454"/>
      <c r="D9" s="1454"/>
      <c r="E9" s="1455"/>
      <c r="F9" s="1456"/>
      <c r="G9" s="4711"/>
      <c r="H9" s="4711"/>
      <c r="I9" s="1073"/>
      <c r="J9" s="1073"/>
      <c r="K9" s="1073"/>
      <c r="L9" s="1073"/>
      <c r="M9" s="1073"/>
      <c r="N9" s="1073"/>
      <c r="O9" s="1073"/>
      <c r="P9" s="1073"/>
      <c r="Q9" s="1073"/>
      <c r="R9" s="1073"/>
      <c r="S9" s="1073"/>
      <c r="T9" s="1073"/>
      <c r="U9" s="1073"/>
      <c r="V9" s="1073"/>
      <c r="W9" s="1073"/>
      <c r="X9" s="1073"/>
      <c r="Y9" s="1073"/>
      <c r="Z9" s="1073"/>
      <c r="AA9" s="1073"/>
      <c r="AB9" s="1073"/>
      <c r="AC9" s="1073"/>
      <c r="AD9" s="1073"/>
      <c r="AE9" s="1073"/>
      <c r="AF9" s="1073"/>
      <c r="AG9" s="1073"/>
      <c r="AH9" s="1073"/>
      <c r="AI9" s="1073"/>
      <c r="AJ9" s="1073"/>
      <c r="AK9" s="1073"/>
      <c r="AL9" s="1073"/>
      <c r="AM9" s="1073"/>
      <c r="AN9" s="1073"/>
      <c r="AO9" s="1073"/>
      <c r="AP9" s="1073"/>
      <c r="AQ9" s="1073"/>
      <c r="AR9" s="1073"/>
      <c r="AS9" s="1073"/>
      <c r="AT9" s="1073"/>
      <c r="AU9" s="1073"/>
      <c r="AV9" s="1073"/>
      <c r="AW9" s="1073"/>
      <c r="AX9" s="1073"/>
      <c r="AY9" s="1073"/>
      <c r="AZ9" s="1073"/>
      <c r="BA9" s="1073"/>
      <c r="BB9" s="1073"/>
      <c r="BC9" s="1073"/>
      <c r="BD9" s="1073"/>
      <c r="BE9" s="1073"/>
      <c r="BF9" s="1073"/>
      <c r="BG9" s="1073"/>
      <c r="BH9" s="1073"/>
      <c r="BI9" s="1073"/>
      <c r="BJ9" s="1073"/>
      <c r="BK9" s="1073"/>
      <c r="BL9" s="1073"/>
      <c r="BM9" s="1073"/>
      <c r="BN9" s="1073"/>
      <c r="BO9" s="1073"/>
      <c r="BP9" s="1073"/>
      <c r="BQ9" s="1073"/>
      <c r="BR9" s="1073"/>
      <c r="BS9" s="1073"/>
      <c r="BT9" s="1073"/>
      <c r="BU9" s="1073"/>
      <c r="BV9" s="1073"/>
      <c r="BW9" s="1073"/>
      <c r="BX9" s="1073"/>
      <c r="BY9" s="1073"/>
      <c r="BZ9" s="1073"/>
      <c r="CA9" s="1073"/>
      <c r="CB9" s="1073"/>
      <c r="CC9" s="1073"/>
      <c r="CD9" s="1073"/>
      <c r="CE9" s="1073"/>
      <c r="CF9" s="1073"/>
      <c r="CG9" s="1073"/>
      <c r="CH9" s="1073"/>
      <c r="CI9" s="1073"/>
      <c r="CJ9" s="1073"/>
      <c r="CK9" s="1073"/>
      <c r="CL9" s="1073"/>
      <c r="CM9" s="1073"/>
      <c r="CN9" s="1073"/>
      <c r="CO9" s="1073"/>
      <c r="CP9" s="1073"/>
      <c r="CQ9" s="1073"/>
      <c r="CR9" s="1073"/>
      <c r="CS9" s="1073"/>
      <c r="CT9" s="1073"/>
      <c r="CU9" s="1073"/>
      <c r="CV9" s="1073"/>
      <c r="CW9" s="1073"/>
      <c r="CX9" s="1073"/>
      <c r="CY9" s="1073"/>
      <c r="CZ9" s="1073"/>
      <c r="DA9" s="1073"/>
      <c r="DB9" s="1073"/>
      <c r="DC9" s="1073"/>
      <c r="DD9" s="1073"/>
      <c r="DE9" s="1073"/>
      <c r="DF9" s="1073"/>
      <c r="DG9" s="1073"/>
      <c r="DH9" s="1073"/>
      <c r="DI9" s="1073"/>
      <c r="DJ9" s="1073"/>
      <c r="DK9" s="1073"/>
      <c r="DL9" s="1073"/>
      <c r="DM9" s="1073"/>
      <c r="DN9" s="1073"/>
      <c r="DO9" s="1073"/>
    </row>
    <row r="10" spans="1:119" s="1073" customFormat="1" ht="17.25" customHeight="1">
      <c r="B10" s="5255"/>
      <c r="C10" s="1454"/>
      <c r="D10" s="1454"/>
      <c r="E10" s="1455"/>
      <c r="F10" s="1456"/>
      <c r="G10" s="4711"/>
      <c r="H10" s="4711"/>
    </row>
    <row r="11" spans="1:119" s="1073" customFormat="1" ht="30" customHeight="1">
      <c r="B11" s="5256" t="s">
        <v>1881</v>
      </c>
      <c r="C11" s="1454"/>
      <c r="D11" s="1454"/>
      <c r="E11" s="1455"/>
      <c r="F11" s="1456"/>
      <c r="G11" s="4711"/>
      <c r="H11" s="4711"/>
    </row>
    <row r="12" spans="1:119" ht="30" customHeight="1">
      <c r="B12" s="5257" t="s">
        <v>1977</v>
      </c>
      <c r="C12" s="1457" t="s">
        <v>574</v>
      </c>
      <c r="D12" s="1457" t="s">
        <v>286</v>
      </c>
      <c r="E12" s="1458">
        <v>4.4999999999999998E-2</v>
      </c>
      <c r="F12" s="1459">
        <v>1</v>
      </c>
      <c r="G12" s="4712"/>
      <c r="H12" s="4712">
        <v>45.273724500000007</v>
      </c>
      <c r="I12" s="4699"/>
    </row>
    <row r="13" spans="1:119" ht="30" customHeight="1">
      <c r="B13" s="5258" t="s">
        <v>1978</v>
      </c>
      <c r="C13" s="1460" t="s">
        <v>575</v>
      </c>
      <c r="D13" s="1460" t="s">
        <v>286</v>
      </c>
      <c r="E13" s="1461">
        <v>4.9500000000000002E-2</v>
      </c>
      <c r="F13" s="1462">
        <v>1</v>
      </c>
      <c r="G13" s="4713"/>
      <c r="H13" s="4713">
        <v>41.546663910000007</v>
      </c>
    </row>
    <row r="14" spans="1:119" ht="30" customHeight="1">
      <c r="B14" s="5259"/>
      <c r="C14" s="1460"/>
      <c r="D14" s="1460"/>
      <c r="E14" s="1461"/>
      <c r="F14" s="1462"/>
      <c r="G14" s="4713"/>
      <c r="H14" s="4713"/>
    </row>
    <row r="15" spans="1:119" ht="30" hidden="1" customHeight="1">
      <c r="B15" s="5254"/>
      <c r="C15" s="1460"/>
      <c r="D15" s="1460"/>
      <c r="E15" s="1461"/>
      <c r="F15" s="1462"/>
      <c r="G15" s="4713"/>
      <c r="H15" s="4713">
        <v>0</v>
      </c>
    </row>
    <row r="16" spans="1:119" s="1073" customFormat="1" ht="30" customHeight="1">
      <c r="B16" s="5256" t="s">
        <v>1882</v>
      </c>
      <c r="C16" s="1454"/>
      <c r="D16" s="1454"/>
      <c r="E16" s="1455"/>
      <c r="F16" s="1463"/>
      <c r="G16" s="4714"/>
      <c r="H16" s="4714"/>
    </row>
    <row r="17" spans="2:8" ht="30" customHeight="1">
      <c r="B17" s="5258" t="s">
        <v>1888</v>
      </c>
      <c r="C17" s="1460" t="s">
        <v>718</v>
      </c>
      <c r="D17" s="1457" t="s">
        <v>286</v>
      </c>
      <c r="E17" s="1461">
        <v>0.06</v>
      </c>
      <c r="F17" s="1462">
        <v>1</v>
      </c>
      <c r="G17" s="4713"/>
      <c r="H17" s="4713">
        <v>18.938874239999997</v>
      </c>
    </row>
    <row r="18" spans="2:8" ht="30" customHeight="1">
      <c r="B18" s="5258" t="s">
        <v>1884</v>
      </c>
      <c r="C18" s="1460" t="s">
        <v>789</v>
      </c>
      <c r="D18" s="1460" t="s">
        <v>286</v>
      </c>
      <c r="E18" s="1461">
        <v>4.4999999999999998E-2</v>
      </c>
      <c r="F18" s="1462">
        <v>1</v>
      </c>
      <c r="G18" s="4713"/>
      <c r="H18" s="4713">
        <v>0</v>
      </c>
    </row>
    <row r="19" spans="2:8" ht="30" customHeight="1">
      <c r="B19" s="5258" t="s">
        <v>1887</v>
      </c>
      <c r="C19" s="1464" t="s">
        <v>790</v>
      </c>
      <c r="D19" s="1460" t="s">
        <v>286</v>
      </c>
      <c r="E19" s="1461">
        <v>4.4999999999999998E-2</v>
      </c>
      <c r="F19" s="1462">
        <v>1</v>
      </c>
      <c r="G19" s="4713"/>
      <c r="H19" s="4713">
        <v>0</v>
      </c>
    </row>
    <row r="20" spans="2:8" ht="30" customHeight="1">
      <c r="B20" s="5260"/>
      <c r="C20" s="1460"/>
      <c r="D20" s="1460"/>
      <c r="E20" s="1461"/>
      <c r="F20" s="1462"/>
      <c r="G20" s="4713"/>
      <c r="H20" s="4713"/>
    </row>
    <row r="21" spans="2:8" s="1073" customFormat="1" ht="30" customHeight="1">
      <c r="B21" s="5261" t="s">
        <v>1889</v>
      </c>
      <c r="C21" s="1465"/>
      <c r="D21" s="1466"/>
      <c r="E21" s="1467"/>
      <c r="F21" s="1463"/>
      <c r="G21" s="4714"/>
      <c r="H21" s="4714"/>
    </row>
    <row r="22" spans="2:8" ht="30" customHeight="1">
      <c r="B22" s="5258" t="s">
        <v>1979</v>
      </c>
      <c r="C22" s="1460" t="s">
        <v>719</v>
      </c>
      <c r="D22" s="1460" t="s">
        <v>286</v>
      </c>
      <c r="E22" s="1461">
        <v>0.06</v>
      </c>
      <c r="F22" s="1462">
        <v>1</v>
      </c>
      <c r="G22" s="4713"/>
      <c r="H22" s="4713">
        <v>10.497794580000001</v>
      </c>
    </row>
    <row r="23" spans="2:8" ht="30" customHeight="1">
      <c r="B23" s="5258" t="s">
        <v>1980</v>
      </c>
      <c r="C23" s="1460" t="s">
        <v>752</v>
      </c>
      <c r="D23" s="1460" t="s">
        <v>286</v>
      </c>
      <c r="E23" s="1461">
        <v>0.06</v>
      </c>
      <c r="F23" s="1462">
        <v>1</v>
      </c>
      <c r="G23" s="4713"/>
      <c r="H23" s="4713">
        <v>24.581783989999998</v>
      </c>
    </row>
    <row r="24" spans="2:8" ht="30" customHeight="1">
      <c r="B24" s="5260"/>
      <c r="C24" s="1460"/>
      <c r="D24" s="1460"/>
      <c r="E24" s="1461"/>
      <c r="F24" s="1462"/>
      <c r="G24" s="4713"/>
      <c r="H24" s="4713"/>
    </row>
    <row r="25" spans="2:8" s="1073" customFormat="1" ht="30" customHeight="1">
      <c r="B25" s="5261" t="s">
        <v>1883</v>
      </c>
      <c r="C25" s="1466"/>
      <c r="D25" s="1466"/>
      <c r="E25" s="1467"/>
      <c r="F25" s="1463"/>
      <c r="G25" s="4714"/>
      <c r="H25" s="4714"/>
    </row>
    <row r="26" spans="2:8" ht="30" customHeight="1">
      <c r="B26" s="5258" t="s">
        <v>1885</v>
      </c>
      <c r="C26" s="1460" t="s">
        <v>576</v>
      </c>
      <c r="D26" s="1460" t="s">
        <v>286</v>
      </c>
      <c r="E26" s="1461">
        <v>0.04</v>
      </c>
      <c r="F26" s="1462">
        <v>1</v>
      </c>
      <c r="G26" s="4713"/>
      <c r="H26" s="4713">
        <v>0.35621858000000028</v>
      </c>
    </row>
    <row r="27" spans="2:8" s="1073" customFormat="1" ht="30" customHeight="1">
      <c r="B27" s="5258" t="s">
        <v>1886</v>
      </c>
      <c r="C27" s="1460" t="s">
        <v>577</v>
      </c>
      <c r="D27" s="1460" t="s">
        <v>286</v>
      </c>
      <c r="E27" s="1461">
        <v>7.4999999999999997E-2</v>
      </c>
      <c r="F27" s="1462">
        <v>1</v>
      </c>
      <c r="G27" s="4713"/>
      <c r="H27" s="4713">
        <v>8.9961911199999989</v>
      </c>
    </row>
    <row r="28" spans="2:8" ht="30" customHeight="1">
      <c r="B28" s="5260"/>
      <c r="C28" s="1468"/>
      <c r="D28" s="1460"/>
      <c r="E28" s="1461"/>
      <c r="F28" s="1462"/>
      <c r="G28" s="4713"/>
      <c r="H28" s="4713"/>
    </row>
    <row r="29" spans="2:8" s="1073" customFormat="1" ht="30" customHeight="1">
      <c r="B29" s="5262" t="s">
        <v>927</v>
      </c>
      <c r="C29" s="1469"/>
      <c r="D29" s="1466"/>
      <c r="E29" s="1467"/>
      <c r="F29" s="1463"/>
      <c r="G29" s="4714" t="s">
        <v>390</v>
      </c>
      <c r="H29" s="4714"/>
    </row>
    <row r="30" spans="2:8" ht="57.5" customHeight="1">
      <c r="B30" s="5263" t="s">
        <v>1934</v>
      </c>
      <c r="C30" s="1468"/>
      <c r="D30" s="1460"/>
      <c r="E30" s="1461"/>
      <c r="F30" s="1462"/>
      <c r="G30" s="4713"/>
      <c r="H30" s="4713"/>
    </row>
    <row r="31" spans="2:8" ht="44" customHeight="1">
      <c r="B31" s="5264" t="s">
        <v>1981</v>
      </c>
      <c r="C31" s="1460" t="s">
        <v>578</v>
      </c>
      <c r="D31" s="1460" t="s">
        <v>286</v>
      </c>
      <c r="E31" s="1461">
        <v>7.9500000000000001E-2</v>
      </c>
      <c r="F31" s="1462">
        <v>1</v>
      </c>
      <c r="G31" s="4713"/>
      <c r="H31" s="4713">
        <v>40</v>
      </c>
    </row>
    <row r="32" spans="2:8" s="1073" customFormat="1" ht="44" customHeight="1">
      <c r="B32" s="5264" t="s">
        <v>1982</v>
      </c>
      <c r="C32" s="1466"/>
      <c r="D32" s="1460" t="s">
        <v>286</v>
      </c>
      <c r="E32" s="1461">
        <v>7.4999999999999997E-2</v>
      </c>
      <c r="F32" s="1462">
        <v>1</v>
      </c>
      <c r="G32" s="4713"/>
      <c r="H32" s="4713">
        <v>27.408000000000001</v>
      </c>
    </row>
    <row r="33" spans="2:8" ht="44" customHeight="1">
      <c r="B33" s="5265" t="s">
        <v>1983</v>
      </c>
      <c r="C33" s="1470"/>
      <c r="D33" s="1457" t="s">
        <v>286</v>
      </c>
      <c r="E33" s="1458">
        <v>7.2499999999999995E-2</v>
      </c>
      <c r="F33" s="1462">
        <v>1</v>
      </c>
      <c r="G33" s="4713"/>
      <c r="H33" s="4713">
        <v>66.353999999999999</v>
      </c>
    </row>
    <row r="34" spans="2:8" ht="44" customHeight="1">
      <c r="B34" s="5265" t="s">
        <v>1984</v>
      </c>
      <c r="C34" s="1470"/>
      <c r="D34" s="1457" t="s">
        <v>286</v>
      </c>
      <c r="E34" s="1458">
        <v>6.25E-2</v>
      </c>
      <c r="F34" s="1462">
        <v>1</v>
      </c>
      <c r="G34" s="4713"/>
      <c r="H34" s="4713">
        <v>11.193</v>
      </c>
    </row>
    <row r="35" spans="2:8" ht="44" customHeight="1">
      <c r="B35" s="5265" t="s">
        <v>1985</v>
      </c>
      <c r="C35" s="1470" t="s">
        <v>390</v>
      </c>
      <c r="D35" s="1457" t="s">
        <v>286</v>
      </c>
      <c r="E35" s="1458">
        <v>6.9500000000000006E-2</v>
      </c>
      <c r="F35" s="1462">
        <v>1</v>
      </c>
      <c r="G35" s="4713"/>
      <c r="H35" s="4713">
        <v>33.28</v>
      </c>
    </row>
    <row r="36" spans="2:8" ht="44" customHeight="1">
      <c r="B36" s="5265" t="s">
        <v>1986</v>
      </c>
      <c r="C36" s="1470"/>
      <c r="D36" s="1457" t="s">
        <v>286</v>
      </c>
      <c r="E36" s="1458">
        <v>7.0000000000000007E-2</v>
      </c>
      <c r="F36" s="1462">
        <v>1</v>
      </c>
      <c r="G36" s="4713"/>
      <c r="H36" s="4713">
        <v>33.756</v>
      </c>
    </row>
    <row r="37" spans="2:8" ht="44" customHeight="1">
      <c r="B37" s="5265" t="s">
        <v>1987</v>
      </c>
      <c r="C37" s="1470"/>
      <c r="D37" s="1457" t="s">
        <v>286</v>
      </c>
      <c r="E37" s="1458">
        <v>6.9900000000000004E-2</v>
      </c>
      <c r="F37" s="1462">
        <v>1</v>
      </c>
      <c r="G37" s="4713"/>
      <c r="H37" s="4713">
        <v>0.57799999999999996</v>
      </c>
    </row>
    <row r="38" spans="2:8" ht="44" customHeight="1">
      <c r="B38" s="5265" t="s">
        <v>1988</v>
      </c>
      <c r="C38" s="1470"/>
      <c r="D38" s="1457" t="s">
        <v>286</v>
      </c>
      <c r="E38" s="1458">
        <v>6.5000000000000002E-2</v>
      </c>
      <c r="F38" s="1462">
        <v>1</v>
      </c>
      <c r="G38" s="4713"/>
      <c r="H38" s="4713">
        <v>11.772692319999992</v>
      </c>
    </row>
    <row r="39" spans="2:8" ht="44" customHeight="1">
      <c r="B39" s="5265" t="s">
        <v>1989</v>
      </c>
      <c r="C39" s="1470"/>
      <c r="D39" s="1457" t="s">
        <v>286</v>
      </c>
      <c r="E39" s="1458">
        <v>7.4999999999999997E-2</v>
      </c>
      <c r="F39" s="1462">
        <v>1</v>
      </c>
      <c r="G39" s="4713"/>
      <c r="H39" s="4713">
        <v>7.0389999999999997</v>
      </c>
    </row>
    <row r="40" spans="2:8" ht="44" customHeight="1">
      <c r="B40" s="5265" t="s">
        <v>1990</v>
      </c>
      <c r="C40" s="1470"/>
      <c r="D40" s="1457" t="s">
        <v>286</v>
      </c>
      <c r="E40" s="1458">
        <v>6.9900000000000004E-2</v>
      </c>
      <c r="F40" s="1462">
        <v>1</v>
      </c>
      <c r="G40" s="4713"/>
      <c r="H40" s="4713">
        <v>9.5779999999999994</v>
      </c>
    </row>
    <row r="41" spans="2:8" ht="44" customHeight="1">
      <c r="B41" s="5265" t="s">
        <v>1991</v>
      </c>
      <c r="C41" s="1470"/>
      <c r="D41" s="1457" t="s">
        <v>286</v>
      </c>
      <c r="E41" s="1458">
        <v>6.25E-2</v>
      </c>
      <c r="F41" s="1462">
        <v>1</v>
      </c>
      <c r="G41" s="4713"/>
      <c r="H41" s="4713">
        <v>13.471</v>
      </c>
    </row>
    <row r="42" spans="2:8" ht="44" customHeight="1">
      <c r="B42" s="5265" t="s">
        <v>1992</v>
      </c>
      <c r="C42" s="1470"/>
      <c r="D42" s="1457" t="s">
        <v>286</v>
      </c>
      <c r="E42" s="1458">
        <v>7.0000000000000007E-2</v>
      </c>
      <c r="F42" s="1462">
        <v>1</v>
      </c>
      <c r="G42" s="4713"/>
      <c r="H42" s="4713">
        <v>16.138000000000002</v>
      </c>
    </row>
    <row r="43" spans="2:8" ht="44" customHeight="1">
      <c r="B43" s="5265" t="s">
        <v>1993</v>
      </c>
      <c r="C43" s="1470"/>
      <c r="D43" s="1457" t="s">
        <v>286</v>
      </c>
      <c r="E43" s="1458">
        <v>7.0999999999999994E-2</v>
      </c>
      <c r="F43" s="1462">
        <v>1</v>
      </c>
      <c r="G43" s="4713"/>
      <c r="H43" s="4713">
        <v>18.762</v>
      </c>
    </row>
    <row r="44" spans="2:8" ht="44" customHeight="1">
      <c r="B44" s="5265" t="s">
        <v>1994</v>
      </c>
      <c r="C44" s="1470"/>
      <c r="D44" s="1457" t="s">
        <v>286</v>
      </c>
      <c r="E44" s="1458">
        <v>6.25E-2</v>
      </c>
      <c r="F44" s="1462">
        <v>1</v>
      </c>
      <c r="G44" s="4713"/>
      <c r="H44" s="4713">
        <v>10.362454570000002</v>
      </c>
    </row>
    <row r="45" spans="2:8" ht="44" customHeight="1">
      <c r="B45" s="5265" t="s">
        <v>1995</v>
      </c>
      <c r="C45" s="1470"/>
      <c r="D45" s="1457" t="s">
        <v>286</v>
      </c>
      <c r="E45" s="1458">
        <v>7.4999999999999997E-2</v>
      </c>
      <c r="F45" s="1462">
        <v>1</v>
      </c>
      <c r="G45" s="4713"/>
      <c r="H45" s="4713">
        <v>4.267849179999998</v>
      </c>
    </row>
    <row r="46" spans="2:8" ht="44" customHeight="1">
      <c r="B46" s="5265" t="s">
        <v>1996</v>
      </c>
      <c r="C46" s="1470"/>
      <c r="D46" s="1457" t="s">
        <v>288</v>
      </c>
      <c r="E46" s="1458">
        <v>7.0000000000000007E-2</v>
      </c>
      <c r="F46" s="1462">
        <v>2.7</v>
      </c>
      <c r="G46" s="4713">
        <v>2.7069999999999999</v>
      </c>
      <c r="H46" s="4713">
        <v>7.3089000000000013</v>
      </c>
    </row>
    <row r="47" spans="2:8" s="1075" customFormat="1" ht="44" customHeight="1">
      <c r="B47" s="5265" t="s">
        <v>1997</v>
      </c>
      <c r="C47" s="1470" t="s">
        <v>1536</v>
      </c>
      <c r="D47" s="1457" t="s">
        <v>288</v>
      </c>
      <c r="E47" s="1458">
        <v>6.7500000000000004E-2</v>
      </c>
      <c r="F47" s="1462">
        <v>2.7</v>
      </c>
      <c r="G47" s="4713">
        <v>8.6679999999999993</v>
      </c>
      <c r="H47" s="4713">
        <v>23.403600000000001</v>
      </c>
    </row>
    <row r="48" spans="2:8" ht="44" customHeight="1">
      <c r="B48" s="5265" t="s">
        <v>1998</v>
      </c>
      <c r="C48" s="1470" t="s">
        <v>611</v>
      </c>
      <c r="D48" s="1457" t="s">
        <v>286</v>
      </c>
      <c r="E48" s="1458">
        <v>7.4999999999999997E-2</v>
      </c>
      <c r="F48" s="1462">
        <v>1</v>
      </c>
      <c r="G48" s="4713">
        <v>0</v>
      </c>
      <c r="H48" s="4713">
        <v>10.465999999999999</v>
      </c>
    </row>
    <row r="49" spans="2:8" ht="44" customHeight="1">
      <c r="B49" s="5265" t="s">
        <v>1999</v>
      </c>
      <c r="C49" s="1470" t="s">
        <v>720</v>
      </c>
      <c r="D49" s="1457" t="s">
        <v>286</v>
      </c>
      <c r="E49" s="1458">
        <v>6.25E-2</v>
      </c>
      <c r="F49" s="1462">
        <v>1</v>
      </c>
      <c r="G49" s="4713">
        <v>0</v>
      </c>
      <c r="H49" s="4713">
        <v>8.4390000000000001</v>
      </c>
    </row>
    <row r="50" spans="2:8" ht="44" customHeight="1">
      <c r="B50" s="5265" t="s">
        <v>2000</v>
      </c>
      <c r="C50" s="1470" t="s">
        <v>721</v>
      </c>
      <c r="D50" s="1457" t="s">
        <v>286</v>
      </c>
      <c r="E50" s="1458">
        <v>7.2499999999999995E-2</v>
      </c>
      <c r="F50" s="1462">
        <v>1</v>
      </c>
      <c r="G50" s="4713">
        <v>0</v>
      </c>
      <c r="H50" s="4713">
        <v>15.03</v>
      </c>
    </row>
    <row r="51" spans="2:8" ht="44" customHeight="1">
      <c r="B51" s="5265" t="s">
        <v>2001</v>
      </c>
      <c r="C51" s="1470" t="s">
        <v>753</v>
      </c>
      <c r="D51" s="1457" t="s">
        <v>286</v>
      </c>
      <c r="E51" s="1458">
        <v>7.2499999999999995E-2</v>
      </c>
      <c r="F51" s="1462">
        <v>1</v>
      </c>
      <c r="G51" s="4713">
        <v>0</v>
      </c>
      <c r="H51" s="4713">
        <v>6.62</v>
      </c>
    </row>
    <row r="52" spans="2:8" ht="44" customHeight="1">
      <c r="B52" s="5265" t="s">
        <v>2002</v>
      </c>
      <c r="C52" s="1470" t="s">
        <v>791</v>
      </c>
      <c r="D52" s="1457" t="s">
        <v>288</v>
      </c>
      <c r="E52" s="1458">
        <v>6.4000000000000001E-2</v>
      </c>
      <c r="F52" s="1462">
        <v>2.7</v>
      </c>
      <c r="G52" s="4713">
        <v>5.9279999999999999</v>
      </c>
      <c r="H52" s="4713">
        <v>16.005600000000001</v>
      </c>
    </row>
    <row r="53" spans="2:8" ht="44" customHeight="1">
      <c r="B53" s="5265" t="s">
        <v>2003</v>
      </c>
      <c r="C53" s="1470" t="s">
        <v>792</v>
      </c>
      <c r="D53" s="1457" t="s">
        <v>286</v>
      </c>
      <c r="E53" s="1458">
        <v>5.7500000000000002E-2</v>
      </c>
      <c r="F53" s="1462">
        <v>1</v>
      </c>
      <c r="G53" s="4713">
        <v>0</v>
      </c>
      <c r="H53" s="4713">
        <v>5.07</v>
      </c>
    </row>
    <row r="54" spans="2:8" ht="44" customHeight="1">
      <c r="B54" s="5265" t="s">
        <v>2004</v>
      </c>
      <c r="C54" s="1470" t="s">
        <v>793</v>
      </c>
      <c r="D54" s="1457" t="s">
        <v>286</v>
      </c>
      <c r="E54" s="1458">
        <v>6.5000000000000002E-2</v>
      </c>
      <c r="F54" s="1462">
        <v>1</v>
      </c>
      <c r="G54" s="4713">
        <v>0</v>
      </c>
      <c r="H54" s="4713">
        <v>5.0049999999999999</v>
      </c>
    </row>
    <row r="55" spans="2:8" ht="44" customHeight="1">
      <c r="B55" s="5265" t="s">
        <v>2005</v>
      </c>
      <c r="C55" s="1470" t="s">
        <v>794</v>
      </c>
      <c r="D55" s="1457" t="s">
        <v>286</v>
      </c>
      <c r="E55" s="1458">
        <v>7.2499999999999995E-2</v>
      </c>
      <c r="F55" s="1462">
        <v>1</v>
      </c>
      <c r="G55" s="4713">
        <v>0</v>
      </c>
      <c r="H55" s="4713">
        <v>29.170999999999999</v>
      </c>
    </row>
    <row r="56" spans="2:8" ht="44" customHeight="1">
      <c r="B56" s="5264" t="s">
        <v>2006</v>
      </c>
      <c r="C56" s="1464" t="s">
        <v>1537</v>
      </c>
      <c r="D56" s="1464" t="s">
        <v>288</v>
      </c>
      <c r="E56" s="1461">
        <v>7.0000000000000007E-2</v>
      </c>
      <c r="F56" s="1462">
        <v>2.7</v>
      </c>
      <c r="G56" s="4713">
        <v>2.0179999999999998</v>
      </c>
      <c r="H56" s="4713">
        <v>5.4485999999999999</v>
      </c>
    </row>
    <row r="57" spans="2:8" ht="44" customHeight="1">
      <c r="B57" s="5266"/>
      <c r="C57" s="1464"/>
      <c r="D57" s="1464"/>
      <c r="E57" s="1471"/>
      <c r="F57" s="1462"/>
      <c r="G57" s="4713"/>
      <c r="H57" s="4713"/>
    </row>
    <row r="58" spans="2:8" s="1073" customFormat="1" ht="44" customHeight="1">
      <c r="B58" s="5263" t="s">
        <v>1935</v>
      </c>
      <c r="C58" s="1466"/>
      <c r="D58" s="1466"/>
      <c r="E58" s="1467"/>
      <c r="F58" s="1463"/>
      <c r="G58" s="4714"/>
      <c r="H58" s="4714"/>
    </row>
    <row r="59" spans="2:8" ht="44" customHeight="1">
      <c r="B59" s="5264" t="s">
        <v>1538</v>
      </c>
      <c r="C59" s="1464" t="s">
        <v>1539</v>
      </c>
      <c r="D59" s="1464" t="s">
        <v>288</v>
      </c>
      <c r="E59" s="2540">
        <v>7.4999999999999997E-2</v>
      </c>
      <c r="F59" s="1462">
        <v>2.7</v>
      </c>
      <c r="G59" s="4713">
        <v>7.3926017999999987</v>
      </c>
      <c r="H59" s="4713">
        <v>19.960024860000001</v>
      </c>
    </row>
    <row r="60" spans="2:8" ht="44" customHeight="1">
      <c r="B60" s="5264" t="s">
        <v>2007</v>
      </c>
      <c r="C60" s="1464" t="s">
        <v>2008</v>
      </c>
      <c r="D60" s="1464" t="s">
        <v>286</v>
      </c>
      <c r="E60" s="2540">
        <v>7.4999999999999997E-2</v>
      </c>
      <c r="F60" s="1462">
        <v>1</v>
      </c>
      <c r="G60" s="4713">
        <v>0</v>
      </c>
      <c r="H60" s="4713">
        <v>4.7729999999999997</v>
      </c>
    </row>
    <row r="61" spans="2:8" ht="44" customHeight="1">
      <c r="B61" s="5267" t="s">
        <v>1540</v>
      </c>
      <c r="C61" s="1472" t="s">
        <v>579</v>
      </c>
      <c r="D61" s="1460" t="s">
        <v>286</v>
      </c>
      <c r="E61" s="1461">
        <v>7.4999999999999997E-2</v>
      </c>
      <c r="F61" s="1462">
        <v>1</v>
      </c>
      <c r="G61" s="4713">
        <v>0</v>
      </c>
      <c r="H61" s="4713">
        <v>7</v>
      </c>
    </row>
    <row r="62" spans="2:8" ht="44" customHeight="1">
      <c r="B62" s="5267" t="s">
        <v>1541</v>
      </c>
      <c r="C62" s="1472" t="s">
        <v>1085</v>
      </c>
      <c r="D62" s="1460" t="s">
        <v>286</v>
      </c>
      <c r="E62" s="1461">
        <v>7.2499999999999995E-2</v>
      </c>
      <c r="F62" s="1462">
        <v>1</v>
      </c>
      <c r="G62" s="4713">
        <v>0</v>
      </c>
      <c r="H62" s="4713">
        <v>5.5050781300000002</v>
      </c>
    </row>
    <row r="63" spans="2:8" ht="44" customHeight="1">
      <c r="B63" s="5267" t="s">
        <v>1542</v>
      </c>
      <c r="C63" s="1473" t="s">
        <v>530</v>
      </c>
      <c r="D63" s="1460" t="s">
        <v>286</v>
      </c>
      <c r="E63" s="1461">
        <v>7.4999999999999997E-2</v>
      </c>
      <c r="F63" s="1462">
        <v>1</v>
      </c>
      <c r="G63" s="4713">
        <v>0</v>
      </c>
      <c r="H63" s="4713">
        <v>4.01</v>
      </c>
    </row>
    <row r="64" spans="2:8" ht="44" customHeight="1">
      <c r="B64" s="5267" t="s">
        <v>1542</v>
      </c>
      <c r="C64" s="1473" t="s">
        <v>531</v>
      </c>
      <c r="D64" s="1474" t="s">
        <v>286</v>
      </c>
      <c r="E64" s="1461">
        <v>7.4999999999999997E-2</v>
      </c>
      <c r="F64" s="1462">
        <v>1</v>
      </c>
      <c r="G64" s="4713">
        <v>0</v>
      </c>
      <c r="H64" s="4713">
        <v>10</v>
      </c>
    </row>
    <row r="65" spans="2:8" ht="44" customHeight="1">
      <c r="B65" s="5265" t="s">
        <v>1543</v>
      </c>
      <c r="C65" s="1457" t="s">
        <v>532</v>
      </c>
      <c r="D65" s="1475" t="s">
        <v>286</v>
      </c>
      <c r="E65" s="1458">
        <v>7.4999999999999997E-2</v>
      </c>
      <c r="F65" s="1462">
        <v>1</v>
      </c>
      <c r="G65" s="4713">
        <v>0</v>
      </c>
      <c r="H65" s="4713">
        <v>15</v>
      </c>
    </row>
    <row r="66" spans="2:8" ht="44" customHeight="1">
      <c r="B66" s="5265" t="s">
        <v>1542</v>
      </c>
      <c r="C66" s="1457" t="s">
        <v>533</v>
      </c>
      <c r="D66" s="1475" t="s">
        <v>286</v>
      </c>
      <c r="E66" s="1458">
        <v>7.4999999999999997E-2</v>
      </c>
      <c r="F66" s="1462">
        <v>1</v>
      </c>
      <c r="G66" s="4713">
        <v>0</v>
      </c>
      <c r="H66" s="4713">
        <v>2.5392380999999999</v>
      </c>
    </row>
    <row r="67" spans="2:8" ht="44" customHeight="1">
      <c r="B67" s="5265" t="s">
        <v>1544</v>
      </c>
      <c r="C67" s="1457" t="s">
        <v>1086</v>
      </c>
      <c r="D67" s="1476" t="s">
        <v>286</v>
      </c>
      <c r="E67" s="1458">
        <v>7.4999999999999997E-2</v>
      </c>
      <c r="F67" s="1462">
        <v>1</v>
      </c>
      <c r="G67" s="4713">
        <v>0</v>
      </c>
      <c r="H67" s="4713">
        <v>15</v>
      </c>
    </row>
    <row r="68" spans="2:8" ht="44" customHeight="1">
      <c r="B68" s="5265" t="s">
        <v>1545</v>
      </c>
      <c r="C68" s="1464" t="s">
        <v>612</v>
      </c>
      <c r="D68" s="1475" t="s">
        <v>286</v>
      </c>
      <c r="E68" s="1458">
        <v>7.4999999999999997E-2</v>
      </c>
      <c r="F68" s="1462">
        <v>1</v>
      </c>
      <c r="G68" s="4713">
        <v>0</v>
      </c>
      <c r="H68" s="4713">
        <v>40</v>
      </c>
    </row>
    <row r="69" spans="2:8" ht="44" customHeight="1">
      <c r="B69" s="5265" t="s">
        <v>1546</v>
      </c>
      <c r="C69" s="1457" t="s">
        <v>1087</v>
      </c>
      <c r="D69" s="1476" t="s">
        <v>288</v>
      </c>
      <c r="E69" s="1458">
        <v>6.5000000000000002E-2</v>
      </c>
      <c r="F69" s="1462">
        <v>2.7</v>
      </c>
      <c r="G69" s="4713">
        <v>3.36</v>
      </c>
      <c r="H69" s="4713">
        <v>9.0719999999999992</v>
      </c>
    </row>
    <row r="70" spans="2:8" ht="44" customHeight="1">
      <c r="B70" s="5265" t="s">
        <v>1547</v>
      </c>
      <c r="C70" s="1457" t="s">
        <v>722</v>
      </c>
      <c r="D70" s="1476" t="s">
        <v>286</v>
      </c>
      <c r="E70" s="1458">
        <v>7.2499999999999995E-2</v>
      </c>
      <c r="F70" s="1462">
        <v>1</v>
      </c>
      <c r="G70" s="4713">
        <v>0</v>
      </c>
      <c r="H70" s="4713">
        <v>13.182</v>
      </c>
    </row>
    <row r="71" spans="2:8" ht="44" customHeight="1">
      <c r="B71" s="5265" t="s">
        <v>1088</v>
      </c>
      <c r="C71" s="1457" t="s">
        <v>580</v>
      </c>
      <c r="D71" s="1476" t="s">
        <v>286</v>
      </c>
      <c r="E71" s="1458">
        <v>7.4999999999999997E-2</v>
      </c>
      <c r="F71" s="1462">
        <v>1</v>
      </c>
      <c r="G71" s="4713">
        <v>0</v>
      </c>
      <c r="H71" s="4713">
        <v>15</v>
      </c>
    </row>
    <row r="72" spans="2:8" ht="44" customHeight="1">
      <c r="B72" s="5265" t="s">
        <v>1089</v>
      </c>
      <c r="C72" s="1457" t="s">
        <v>1090</v>
      </c>
      <c r="D72" s="1476" t="s">
        <v>286</v>
      </c>
      <c r="E72" s="1458">
        <v>6.7500000000000004E-2</v>
      </c>
      <c r="F72" s="1462">
        <v>1</v>
      </c>
      <c r="G72" s="4713">
        <v>0</v>
      </c>
      <c r="H72" s="4713">
        <v>10</v>
      </c>
    </row>
    <row r="73" spans="2:8" ht="44" customHeight="1">
      <c r="B73" s="5265" t="s">
        <v>1091</v>
      </c>
      <c r="C73" s="1457" t="s">
        <v>1092</v>
      </c>
      <c r="D73" s="1476" t="s">
        <v>286</v>
      </c>
      <c r="E73" s="1458">
        <v>6.7500000000000004E-2</v>
      </c>
      <c r="F73" s="1462">
        <v>1</v>
      </c>
      <c r="G73" s="4713">
        <v>0</v>
      </c>
      <c r="H73" s="4713">
        <v>2.548</v>
      </c>
    </row>
    <row r="74" spans="2:8" ht="44" customHeight="1">
      <c r="B74" s="5265" t="s">
        <v>1093</v>
      </c>
      <c r="C74" s="1457" t="s">
        <v>613</v>
      </c>
      <c r="D74" s="1476" t="s">
        <v>286</v>
      </c>
      <c r="E74" s="1458">
        <v>7.4999999999999997E-2</v>
      </c>
      <c r="F74" s="1462">
        <v>1</v>
      </c>
      <c r="G74" s="4713">
        <v>0</v>
      </c>
      <c r="H74" s="4713">
        <v>0</v>
      </c>
    </row>
    <row r="75" spans="2:8" ht="44" customHeight="1">
      <c r="B75" s="5265" t="s">
        <v>1094</v>
      </c>
      <c r="C75" s="1457" t="s">
        <v>1095</v>
      </c>
      <c r="D75" s="1476" t="s">
        <v>286</v>
      </c>
      <c r="E75" s="1458">
        <v>7.0000000000000007E-2</v>
      </c>
      <c r="F75" s="1462">
        <v>1</v>
      </c>
      <c r="G75" s="4713">
        <v>0</v>
      </c>
      <c r="H75" s="4713">
        <v>10</v>
      </c>
    </row>
    <row r="76" spans="2:8" ht="44" customHeight="1">
      <c r="B76" s="5265" t="s">
        <v>1096</v>
      </c>
      <c r="C76" s="1457" t="s">
        <v>614</v>
      </c>
      <c r="D76" s="1476" t="s">
        <v>286</v>
      </c>
      <c r="E76" s="1458">
        <v>7.4999999999999997E-2</v>
      </c>
      <c r="F76" s="1462">
        <v>1</v>
      </c>
      <c r="G76" s="4713">
        <v>0</v>
      </c>
      <c r="H76" s="4713">
        <v>3</v>
      </c>
    </row>
    <row r="77" spans="2:8" ht="44" customHeight="1">
      <c r="B77" s="5265" t="s">
        <v>1097</v>
      </c>
      <c r="C77" s="1457" t="s">
        <v>723</v>
      </c>
      <c r="D77" s="1476" t="s">
        <v>286</v>
      </c>
      <c r="E77" s="3120">
        <v>6.25E-2</v>
      </c>
      <c r="F77" s="3121">
        <v>1</v>
      </c>
      <c r="G77" s="4715">
        <v>0</v>
      </c>
      <c r="H77" s="4715">
        <v>9.1950000000000003</v>
      </c>
    </row>
    <row r="78" spans="2:8" ht="33">
      <c r="B78" s="5265" t="s">
        <v>1098</v>
      </c>
      <c r="C78" s="1457" t="s">
        <v>615</v>
      </c>
      <c r="D78" s="1476" t="s">
        <v>286</v>
      </c>
      <c r="E78" s="3120">
        <v>7.0000000000000007E-2</v>
      </c>
      <c r="F78" s="3121">
        <v>1</v>
      </c>
      <c r="G78" s="4715">
        <v>0</v>
      </c>
      <c r="H78" s="4715">
        <v>15</v>
      </c>
    </row>
    <row r="79" spans="2:8" ht="33">
      <c r="B79" s="5265" t="s">
        <v>1548</v>
      </c>
      <c r="C79" s="1457" t="s">
        <v>1099</v>
      </c>
      <c r="D79" s="1476" t="s">
        <v>286</v>
      </c>
      <c r="E79" s="1458">
        <v>6.5000000000000002E-2</v>
      </c>
      <c r="F79" s="1462">
        <v>1</v>
      </c>
      <c r="G79" s="4713">
        <v>0</v>
      </c>
      <c r="H79" s="4713">
        <v>20.853000000000002</v>
      </c>
    </row>
    <row r="80" spans="2:8" ht="33">
      <c r="B80" s="5265" t="s">
        <v>1549</v>
      </c>
      <c r="C80" s="1457" t="s">
        <v>616</v>
      </c>
      <c r="D80" s="1476" t="s">
        <v>286</v>
      </c>
      <c r="E80" s="1458">
        <v>7.4999999999999997E-2</v>
      </c>
      <c r="F80" s="1462">
        <v>1</v>
      </c>
      <c r="G80" s="4713">
        <v>0</v>
      </c>
      <c r="H80" s="4713">
        <v>10.625</v>
      </c>
    </row>
    <row r="81" spans="1:8" ht="33">
      <c r="B81" s="5265" t="s">
        <v>2009</v>
      </c>
      <c r="C81" s="1457" t="s">
        <v>617</v>
      </c>
      <c r="D81" s="1476" t="s">
        <v>286</v>
      </c>
      <c r="E81" s="1458">
        <v>7.0000000000000007E-2</v>
      </c>
      <c r="F81" s="1462">
        <v>1</v>
      </c>
      <c r="G81" s="4713">
        <v>0</v>
      </c>
      <c r="H81" s="4713">
        <v>12.25</v>
      </c>
    </row>
    <row r="82" spans="1:8" ht="33">
      <c r="B82" s="5265" t="s">
        <v>1550</v>
      </c>
      <c r="C82" s="1457" t="s">
        <v>754</v>
      </c>
      <c r="D82" s="1476" t="s">
        <v>286</v>
      </c>
      <c r="E82" s="1458">
        <v>6.8500000000000005E-2</v>
      </c>
      <c r="F82" s="1462">
        <v>1</v>
      </c>
      <c r="G82" s="4713">
        <v>0</v>
      </c>
      <c r="H82" s="4713">
        <v>12.5</v>
      </c>
    </row>
    <row r="83" spans="1:8" ht="33">
      <c r="B83" s="5265" t="s">
        <v>1551</v>
      </c>
      <c r="C83" s="1457" t="s">
        <v>755</v>
      </c>
      <c r="D83" s="1476" t="s">
        <v>288</v>
      </c>
      <c r="E83" s="1458">
        <v>7.0000000000000007E-2</v>
      </c>
      <c r="F83" s="1462">
        <v>2.7</v>
      </c>
      <c r="G83" s="4713">
        <v>3</v>
      </c>
      <c r="H83" s="4713">
        <v>8.1000000000000014</v>
      </c>
    </row>
    <row r="84" spans="1:8" ht="33">
      <c r="B84" s="5265" t="s">
        <v>1552</v>
      </c>
      <c r="C84" s="1457" t="s">
        <v>724</v>
      </c>
      <c r="D84" s="1476" t="s">
        <v>286</v>
      </c>
      <c r="E84" s="1458">
        <v>7.0000000000000007E-2</v>
      </c>
      <c r="F84" s="1462">
        <v>1</v>
      </c>
      <c r="G84" s="4713">
        <v>0</v>
      </c>
      <c r="H84" s="4713">
        <v>6.75</v>
      </c>
    </row>
    <row r="85" spans="1:8" ht="33">
      <c r="B85" s="5265" t="s">
        <v>2010</v>
      </c>
      <c r="C85" s="1457" t="s">
        <v>725</v>
      </c>
      <c r="D85" s="1476" t="s">
        <v>286</v>
      </c>
      <c r="E85" s="1458">
        <v>0.06</v>
      </c>
      <c r="F85" s="1462">
        <v>1</v>
      </c>
      <c r="G85" s="4713">
        <v>0</v>
      </c>
      <c r="H85" s="4713">
        <v>6.8803071999999972</v>
      </c>
    </row>
    <row r="86" spans="1:8" ht="33">
      <c r="B86" s="5265" t="s">
        <v>1553</v>
      </c>
      <c r="C86" s="1457" t="s">
        <v>753</v>
      </c>
      <c r="D86" s="1476" t="s">
        <v>286</v>
      </c>
      <c r="E86" s="1458">
        <v>7.2499999999999995E-2</v>
      </c>
      <c r="F86" s="1462">
        <v>1</v>
      </c>
      <c r="G86" s="4713">
        <v>0</v>
      </c>
      <c r="H86" s="4713">
        <v>3.5459999999999998</v>
      </c>
    </row>
    <row r="87" spans="1:8" ht="33">
      <c r="B87" s="5265" t="s">
        <v>1554</v>
      </c>
      <c r="C87" s="1457" t="s">
        <v>753</v>
      </c>
      <c r="D87" s="1476" t="s">
        <v>286</v>
      </c>
      <c r="E87" s="1458">
        <v>7.2499999999999995E-2</v>
      </c>
      <c r="F87" s="1462">
        <v>1</v>
      </c>
      <c r="G87" s="4713">
        <v>0</v>
      </c>
      <c r="H87" s="4713">
        <v>12.815</v>
      </c>
    </row>
    <row r="88" spans="1:8" ht="33">
      <c r="B88" s="5265" t="s">
        <v>1555</v>
      </c>
      <c r="C88" s="1457" t="s">
        <v>759</v>
      </c>
      <c r="D88" s="1476" t="s">
        <v>286</v>
      </c>
      <c r="E88" s="1458">
        <v>0.05</v>
      </c>
      <c r="F88" s="1462">
        <v>1</v>
      </c>
      <c r="G88" s="4713">
        <v>0</v>
      </c>
      <c r="H88" s="4713">
        <v>0</v>
      </c>
    </row>
    <row r="89" spans="1:8" ht="33">
      <c r="B89" s="5265" t="s">
        <v>1556</v>
      </c>
      <c r="C89" s="1457" t="s">
        <v>756</v>
      </c>
      <c r="D89" s="1476" t="s">
        <v>288</v>
      </c>
      <c r="E89" s="1458">
        <v>7.2499999999999995E-2</v>
      </c>
      <c r="F89" s="1462">
        <v>2.7</v>
      </c>
      <c r="G89" s="4713">
        <v>10.31321</v>
      </c>
      <c r="H89" s="4713">
        <v>27.845666999999999</v>
      </c>
    </row>
    <row r="90" spans="1:8" ht="33">
      <c r="B90" s="5265" t="s">
        <v>1557</v>
      </c>
      <c r="C90" s="1457" t="s">
        <v>760</v>
      </c>
      <c r="D90" s="1476" t="s">
        <v>286</v>
      </c>
      <c r="E90" s="1458">
        <v>7.0000000000000007E-2</v>
      </c>
      <c r="F90" s="1462">
        <v>1</v>
      </c>
      <c r="G90" s="4713">
        <v>0</v>
      </c>
      <c r="H90" s="4713">
        <v>16</v>
      </c>
    </row>
    <row r="91" spans="1:8" ht="33">
      <c r="B91" s="5265" t="s">
        <v>1558</v>
      </c>
      <c r="C91" s="1457" t="s">
        <v>760</v>
      </c>
      <c r="D91" s="1476" t="s">
        <v>288</v>
      </c>
      <c r="E91" s="1458">
        <v>7.0000000000000007E-2</v>
      </c>
      <c r="F91" s="1462">
        <v>2.7</v>
      </c>
      <c r="G91" s="4713">
        <v>2</v>
      </c>
      <c r="H91" s="4713">
        <v>5.4</v>
      </c>
    </row>
    <row r="92" spans="1:8" s="1082" customFormat="1" ht="33">
      <c r="A92" s="1067"/>
      <c r="B92" s="5265" t="s">
        <v>1559</v>
      </c>
      <c r="C92" s="1457" t="s">
        <v>796</v>
      </c>
      <c r="D92" s="1476" t="s">
        <v>286</v>
      </c>
      <c r="E92" s="1458">
        <v>0.06</v>
      </c>
      <c r="F92" s="1462">
        <v>1</v>
      </c>
      <c r="G92" s="4713">
        <v>0</v>
      </c>
      <c r="H92" s="4713">
        <v>5.7750000000000004</v>
      </c>
    </row>
    <row r="93" spans="1:8" s="1082" customFormat="1" ht="33">
      <c r="A93" s="1067"/>
      <c r="B93" s="5265" t="s">
        <v>1560</v>
      </c>
      <c r="C93" s="1457" t="s">
        <v>797</v>
      </c>
      <c r="D93" s="1476" t="s">
        <v>288</v>
      </c>
      <c r="E93" s="1458">
        <v>6.5000000000000002E-2</v>
      </c>
      <c r="F93" s="1462">
        <v>2.7</v>
      </c>
      <c r="G93" s="4713">
        <v>1</v>
      </c>
      <c r="H93" s="4713">
        <v>2.7</v>
      </c>
    </row>
    <row r="94" spans="1:8" s="1082" customFormat="1" ht="33">
      <c r="A94" s="1067"/>
      <c r="B94" s="5265" t="s">
        <v>1100</v>
      </c>
      <c r="C94" s="1457" t="s">
        <v>890</v>
      </c>
      <c r="D94" s="1476" t="s">
        <v>286</v>
      </c>
      <c r="E94" s="1458">
        <v>7.2499999999999995E-2</v>
      </c>
      <c r="F94" s="1462">
        <v>1</v>
      </c>
      <c r="G94" s="4713">
        <v>0</v>
      </c>
      <c r="H94" s="4713">
        <v>13.914999999999999</v>
      </c>
    </row>
    <row r="95" spans="1:8" s="1082" customFormat="1" ht="33">
      <c r="A95" s="1067"/>
      <c r="B95" s="5265" t="s">
        <v>1101</v>
      </c>
      <c r="C95" s="1457" t="s">
        <v>891</v>
      </c>
      <c r="D95" s="1476" t="s">
        <v>286</v>
      </c>
      <c r="E95" s="1458">
        <v>0.06</v>
      </c>
      <c r="F95" s="1462">
        <v>1</v>
      </c>
      <c r="G95" s="4713">
        <v>0</v>
      </c>
      <c r="H95" s="4713">
        <v>1.2829999999999999</v>
      </c>
    </row>
    <row r="96" spans="1:8" s="1082" customFormat="1" ht="33">
      <c r="A96" s="1067"/>
      <c r="B96" s="5265" t="s">
        <v>1102</v>
      </c>
      <c r="C96" s="1457" t="s">
        <v>892</v>
      </c>
      <c r="D96" s="1476" t="s">
        <v>286</v>
      </c>
      <c r="E96" s="1458">
        <v>0.06</v>
      </c>
      <c r="F96" s="1462">
        <v>1</v>
      </c>
      <c r="G96" s="4713">
        <v>0</v>
      </c>
      <c r="H96" s="4713">
        <v>2</v>
      </c>
    </row>
    <row r="97" spans="1:8" s="1082" customFormat="1" ht="33">
      <c r="A97" s="1067"/>
      <c r="B97" s="5265" t="s">
        <v>1103</v>
      </c>
      <c r="C97" s="1457" t="s">
        <v>893</v>
      </c>
      <c r="D97" s="1476" t="s">
        <v>286</v>
      </c>
      <c r="E97" s="1458">
        <v>7.9500000000000001E-2</v>
      </c>
      <c r="F97" s="1462">
        <v>1</v>
      </c>
      <c r="G97" s="4713">
        <v>0</v>
      </c>
      <c r="H97" s="4713">
        <v>10</v>
      </c>
    </row>
    <row r="98" spans="1:8" s="1082" customFormat="1" ht="33">
      <c r="A98" s="1067"/>
      <c r="B98" s="5265" t="s">
        <v>1104</v>
      </c>
      <c r="C98" s="1457" t="s">
        <v>894</v>
      </c>
      <c r="D98" s="1476" t="s">
        <v>286</v>
      </c>
      <c r="E98" s="1458">
        <v>7.4999999999999997E-2</v>
      </c>
      <c r="F98" s="1462">
        <v>1</v>
      </c>
      <c r="G98" s="4713">
        <v>0</v>
      </c>
      <c r="H98" s="4713">
        <v>50</v>
      </c>
    </row>
    <row r="99" spans="1:8" s="1082" customFormat="1" ht="33">
      <c r="A99" s="1067"/>
      <c r="B99" s="5265" t="s">
        <v>1105</v>
      </c>
      <c r="C99" s="1457" t="s">
        <v>895</v>
      </c>
      <c r="D99" s="1476" t="s">
        <v>286</v>
      </c>
      <c r="E99" s="1458">
        <v>0.06</v>
      </c>
      <c r="F99" s="1462">
        <v>1</v>
      </c>
      <c r="G99" s="4713">
        <v>0</v>
      </c>
      <c r="H99" s="4713">
        <v>5.1383999999999999</v>
      </c>
    </row>
    <row r="100" spans="1:8" s="1082" customFormat="1" ht="33.4" thickBot="1">
      <c r="A100" s="1067"/>
      <c r="B100" s="5268" t="s">
        <v>1106</v>
      </c>
      <c r="C100" s="3122" t="s">
        <v>896</v>
      </c>
      <c r="D100" s="3123" t="s">
        <v>286</v>
      </c>
      <c r="E100" s="1477">
        <v>6.5000000000000002E-2</v>
      </c>
      <c r="F100" s="3124">
        <v>1</v>
      </c>
      <c r="G100" s="4708">
        <v>0</v>
      </c>
      <c r="H100" s="4705">
        <v>54</v>
      </c>
    </row>
    <row r="101" spans="1:8" s="1082" customFormat="1">
      <c r="B101" s="4429"/>
      <c r="C101" s="4430"/>
      <c r="D101" s="1079"/>
      <c r="E101" s="1080"/>
      <c r="F101" s="1081"/>
      <c r="G101" s="4702"/>
      <c r="H101" s="4706"/>
    </row>
    <row r="102" spans="1:8" s="1082" customFormat="1">
      <c r="B102" s="4428"/>
      <c r="C102" s="1079"/>
      <c r="D102" s="1079"/>
      <c r="E102" s="1080"/>
      <c r="F102" s="1081"/>
      <c r="G102" s="4703"/>
      <c r="H102" s="4706"/>
    </row>
    <row r="103" spans="1:8" s="1082" customFormat="1">
      <c r="B103" s="4428"/>
      <c r="C103" s="1079"/>
      <c r="D103" s="1079"/>
      <c r="E103" s="1080"/>
      <c r="F103" s="1081"/>
      <c r="G103" s="4703"/>
      <c r="H103" s="4706"/>
    </row>
    <row r="104" spans="1:8" s="1082" customFormat="1">
      <c r="B104" s="4428"/>
      <c r="C104" s="1079"/>
      <c r="D104" s="1079"/>
      <c r="E104" s="1080"/>
      <c r="F104" s="1081"/>
      <c r="G104" s="4703"/>
      <c r="H104" s="4706"/>
    </row>
    <row r="105" spans="1:8" s="1082" customFormat="1">
      <c r="B105" s="4428"/>
      <c r="C105" s="1079"/>
      <c r="D105" s="1079"/>
      <c r="E105" s="1080"/>
      <c r="F105" s="1081"/>
      <c r="G105" s="4703"/>
      <c r="H105" s="4706"/>
    </row>
    <row r="106" spans="1:8" s="1082" customFormat="1">
      <c r="B106" s="4428"/>
      <c r="C106" s="1079"/>
      <c r="D106" s="1079"/>
      <c r="E106" s="1080"/>
      <c r="F106" s="1081"/>
      <c r="G106" s="4703"/>
      <c r="H106" s="4706"/>
    </row>
    <row r="107" spans="1:8" s="1082" customFormat="1">
      <c r="B107" s="4428"/>
      <c r="C107" s="1079"/>
      <c r="D107" s="1079"/>
      <c r="E107" s="1080"/>
      <c r="F107" s="1081"/>
      <c r="G107" s="4703"/>
      <c r="H107" s="4706"/>
    </row>
    <row r="108" spans="1:8" s="1082" customFormat="1">
      <c r="B108" s="4428"/>
      <c r="C108" s="1079"/>
      <c r="D108" s="1079"/>
      <c r="E108" s="1080"/>
      <c r="F108" s="1081"/>
      <c r="G108" s="4703"/>
      <c r="H108" s="4706"/>
    </row>
    <row r="109" spans="1:8" s="1082" customFormat="1">
      <c r="B109" s="4428"/>
      <c r="C109" s="1079"/>
      <c r="D109" s="1079"/>
      <c r="E109" s="1080"/>
      <c r="F109" s="1081"/>
      <c r="G109" s="4703"/>
      <c r="H109" s="4706"/>
    </row>
    <row r="110" spans="1:8" s="1082" customFormat="1">
      <c r="B110" s="4428"/>
      <c r="C110" s="1079"/>
      <c r="D110" s="1079"/>
      <c r="E110" s="1080"/>
      <c r="F110" s="1081"/>
      <c r="G110" s="4703"/>
      <c r="H110" s="4706"/>
    </row>
    <row r="111" spans="1:8" s="1082" customFormat="1">
      <c r="B111" s="4428"/>
      <c r="C111" s="1079"/>
      <c r="D111" s="1079"/>
      <c r="E111" s="1080"/>
      <c r="F111" s="1081"/>
      <c r="G111" s="4703"/>
      <c r="H111" s="4706"/>
    </row>
    <row r="112" spans="1:8" s="1082" customFormat="1">
      <c r="B112" s="4428"/>
      <c r="C112" s="1079"/>
      <c r="D112" s="1079"/>
      <c r="E112" s="1080"/>
      <c r="F112" s="1081"/>
      <c r="G112" s="4703"/>
      <c r="H112" s="4706"/>
    </row>
  </sheetData>
  <mergeCells count="4">
    <mergeCell ref="B1:H1"/>
    <mergeCell ref="B2:H2"/>
    <mergeCell ref="B3:H3"/>
    <mergeCell ref="G4:H4"/>
  </mergeCells>
  <printOptions horizontalCentered="1" verticalCentered="1"/>
  <pageMargins left="0.25" right="0.25" top="0.75" bottom="0.75" header="0.3" footer="0.3"/>
  <pageSetup scale="18" firstPageNumber="103" orientation="portrait" useFirstPageNumber="1" r:id="rId1"/>
  <headerFooter scaleWithDoc="0" alignWithMargins="0">
    <oddFooter xml:space="preserve">&amp;C132
</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theme="9" tint="-0.499984740745262"/>
    <pageSetUpPr fitToPage="1"/>
  </sheetPr>
  <dimension ref="B1:K99"/>
  <sheetViews>
    <sheetView showGridLines="0" view="pageBreakPreview" topLeftCell="A56" zoomScale="40" zoomScaleNormal="50" zoomScaleSheetLayoutView="40" workbookViewId="0">
      <selection activeCell="D14" sqref="D14"/>
    </sheetView>
  </sheetViews>
  <sheetFormatPr defaultColWidth="9.46484375" defaultRowHeight="25.5"/>
  <cols>
    <col min="1" max="1" width="9.46484375" style="1067"/>
    <col min="2" max="2" width="187.1328125" style="1067" customWidth="1"/>
    <col min="3" max="3" width="64.46484375" style="1083" customWidth="1"/>
    <col min="4" max="4" width="24.6640625" style="1083" bestFit="1" customWidth="1"/>
    <col min="5" max="5" width="22.6640625" style="1084" bestFit="1" customWidth="1"/>
    <col min="6" max="6" width="25.33203125" style="1085" bestFit="1" customWidth="1"/>
    <col min="7" max="7" width="36.46484375" style="4704" bestFit="1" customWidth="1"/>
    <col min="8" max="8" width="31.46484375" style="4704" bestFit="1" customWidth="1"/>
    <col min="9" max="9" width="3.33203125" style="1067" bestFit="1" customWidth="1"/>
    <col min="10" max="10" width="2.6640625" style="1067" bestFit="1" customWidth="1"/>
    <col min="11" max="11" width="17.6640625" style="1067" bestFit="1" customWidth="1"/>
    <col min="12" max="16384" width="9.46484375" style="1067"/>
  </cols>
  <sheetData>
    <row r="1" spans="2:11">
      <c r="B1" s="5886" t="s">
        <v>1837</v>
      </c>
      <c r="C1" s="5886"/>
      <c r="D1" s="5886"/>
      <c r="E1" s="5886"/>
      <c r="F1" s="5886"/>
      <c r="G1" s="5886"/>
      <c r="H1" s="5886"/>
    </row>
    <row r="2" spans="2:11">
      <c r="B2" s="5886" t="s">
        <v>1073</v>
      </c>
      <c r="C2" s="5886"/>
      <c r="D2" s="5886"/>
      <c r="E2" s="5886"/>
      <c r="F2" s="5886"/>
      <c r="G2" s="5886"/>
      <c r="H2" s="5886"/>
    </row>
    <row r="3" spans="2:11" ht="26.25" customHeight="1" thickBot="1">
      <c r="B3" s="5887" t="s">
        <v>1967</v>
      </c>
      <c r="C3" s="5887"/>
      <c r="D3" s="5887"/>
      <c r="E3" s="5887"/>
      <c r="F3" s="5887"/>
      <c r="G3" s="5887"/>
      <c r="H3" s="5887"/>
    </row>
    <row r="4" spans="2:11" ht="24.75" customHeight="1">
      <c r="B4" s="4880"/>
      <c r="C4" s="4881"/>
      <c r="D4" s="4881"/>
      <c r="E4" s="4882"/>
      <c r="F4" s="4883"/>
      <c r="G4" s="5888" t="s">
        <v>2333</v>
      </c>
      <c r="H4" s="5889"/>
    </row>
    <row r="5" spans="2:11" ht="21" customHeight="1">
      <c r="B5" s="4884"/>
      <c r="C5" s="4885"/>
      <c r="D5" s="4885"/>
      <c r="E5" s="4886" t="s">
        <v>275</v>
      </c>
      <c r="F5" s="4887" t="s">
        <v>276</v>
      </c>
      <c r="G5" s="4888" t="s">
        <v>277</v>
      </c>
      <c r="H5" s="4889" t="s">
        <v>278</v>
      </c>
    </row>
    <row r="6" spans="2:11" ht="27" customHeight="1">
      <c r="B6" s="1088" t="s">
        <v>761</v>
      </c>
      <c r="C6" s="1089" t="s">
        <v>279</v>
      </c>
      <c r="D6" s="1089" t="s">
        <v>280</v>
      </c>
      <c r="E6" s="1090" t="s">
        <v>281</v>
      </c>
      <c r="F6" s="1091" t="s">
        <v>281</v>
      </c>
      <c r="G6" s="4725" t="s">
        <v>280</v>
      </c>
      <c r="H6" s="4726" t="s">
        <v>282</v>
      </c>
    </row>
    <row r="7" spans="2:11" ht="25.25" hidden="1" customHeight="1">
      <c r="B7" s="1092"/>
      <c r="C7" s="1087"/>
      <c r="D7" s="1087"/>
      <c r="E7" s="1093"/>
      <c r="F7" s="1094"/>
      <c r="G7" s="4727"/>
      <c r="H7" s="4728"/>
    </row>
    <row r="8" spans="2:11" s="1096" customFormat="1" ht="32" customHeight="1">
      <c r="B8" s="5269" t="s">
        <v>1107</v>
      </c>
      <c r="C8" s="5270" t="s">
        <v>1108</v>
      </c>
      <c r="D8" s="5270" t="s">
        <v>286</v>
      </c>
      <c r="E8" s="5271">
        <v>7.0999999999999994E-2</v>
      </c>
      <c r="F8" s="5272">
        <v>1</v>
      </c>
      <c r="G8" s="5273"/>
      <c r="H8" s="5274">
        <v>6.45</v>
      </c>
    </row>
    <row r="9" spans="2:11" s="1096" customFormat="1" ht="32" customHeight="1">
      <c r="B9" s="5269" t="s">
        <v>1561</v>
      </c>
      <c r="C9" s="5270" t="s">
        <v>1562</v>
      </c>
      <c r="D9" s="5270" t="s">
        <v>286</v>
      </c>
      <c r="E9" s="5271">
        <v>7.2499999999999995E-2</v>
      </c>
      <c r="F9" s="5272">
        <v>1</v>
      </c>
      <c r="G9" s="5275">
        <v>0</v>
      </c>
      <c r="H9" s="5274">
        <v>55</v>
      </c>
      <c r="K9" s="1096">
        <v>1000000</v>
      </c>
    </row>
    <row r="10" spans="2:11" s="1096" customFormat="1" ht="32" customHeight="1">
      <c r="B10" s="5269" t="s">
        <v>1563</v>
      </c>
      <c r="C10" s="5270" t="s">
        <v>1564</v>
      </c>
      <c r="D10" s="5270" t="s">
        <v>286</v>
      </c>
      <c r="E10" s="5271">
        <v>7.2499999999999995E-2</v>
      </c>
      <c r="F10" s="5276">
        <v>1</v>
      </c>
      <c r="G10" s="5275">
        <v>0</v>
      </c>
      <c r="H10" s="5274">
        <v>50</v>
      </c>
    </row>
    <row r="11" spans="2:11" s="1096" customFormat="1" ht="32" customHeight="1">
      <c r="B11" s="5277" t="s">
        <v>1565</v>
      </c>
      <c r="C11" s="5270" t="s">
        <v>1566</v>
      </c>
      <c r="D11" s="5278" t="s">
        <v>288</v>
      </c>
      <c r="E11" s="5279">
        <v>7.0000000000000007E-2</v>
      </c>
      <c r="F11" s="5280">
        <v>2.7</v>
      </c>
      <c r="G11" s="5275">
        <v>1.0999999999999999E-2</v>
      </c>
      <c r="H11" s="5274">
        <v>2.9700000000000004E-2</v>
      </c>
    </row>
    <row r="12" spans="2:11" s="1096" customFormat="1" ht="32" customHeight="1">
      <c r="B12" s="5277" t="s">
        <v>1567</v>
      </c>
      <c r="C12" s="5270" t="s">
        <v>1568</v>
      </c>
      <c r="D12" s="5278" t="s">
        <v>286</v>
      </c>
      <c r="E12" s="5279">
        <v>7.4999999999999997E-2</v>
      </c>
      <c r="F12" s="5280">
        <v>1</v>
      </c>
      <c r="G12" s="5275">
        <v>0</v>
      </c>
      <c r="H12" s="5274">
        <v>6.7220000000000004</v>
      </c>
    </row>
    <row r="13" spans="2:11" s="1096" customFormat="1" ht="32" customHeight="1">
      <c r="B13" s="5281" t="s">
        <v>2011</v>
      </c>
      <c r="C13" s="5270" t="s">
        <v>2012</v>
      </c>
      <c r="D13" s="5278" t="s">
        <v>286</v>
      </c>
      <c r="E13" s="5279">
        <v>7.0000000000000007E-2</v>
      </c>
      <c r="F13" s="5280">
        <v>1</v>
      </c>
      <c r="G13" s="5275">
        <v>0</v>
      </c>
      <c r="H13" s="5274">
        <v>2.7545000000000002</v>
      </c>
    </row>
    <row r="14" spans="2:11" s="1096" customFormat="1" ht="32" customHeight="1">
      <c r="B14" s="5281" t="s">
        <v>2013</v>
      </c>
      <c r="C14" s="5270" t="s">
        <v>2014</v>
      </c>
      <c r="D14" s="5278" t="s">
        <v>286</v>
      </c>
      <c r="E14" s="5279">
        <v>7.4999999999999997E-2</v>
      </c>
      <c r="F14" s="5280">
        <v>1</v>
      </c>
      <c r="G14" s="5275">
        <v>0</v>
      </c>
      <c r="H14" s="5274">
        <v>1.079</v>
      </c>
    </row>
    <row r="15" spans="2:11" s="1096" customFormat="1" ht="54.75" customHeight="1">
      <c r="B15" s="5282" t="s">
        <v>2015</v>
      </c>
      <c r="C15" s="5270" t="s">
        <v>2016</v>
      </c>
      <c r="D15" s="5278" t="s">
        <v>288</v>
      </c>
      <c r="E15" s="5279">
        <v>7.0000000000000007E-2</v>
      </c>
      <c r="F15" s="5280">
        <v>2.7</v>
      </c>
      <c r="G15" s="5275">
        <v>2.3039999999999998</v>
      </c>
      <c r="H15" s="5274">
        <v>6.2207999999999997</v>
      </c>
    </row>
    <row r="16" spans="2:11" s="1096" customFormat="1" ht="32" customHeight="1">
      <c r="B16" s="5281" t="s">
        <v>2017</v>
      </c>
      <c r="C16" s="5270" t="s">
        <v>2018</v>
      </c>
      <c r="D16" s="5278" t="s">
        <v>286</v>
      </c>
      <c r="E16" s="5279">
        <v>4.4999999999999998E-2</v>
      </c>
      <c r="F16" s="5280">
        <v>1</v>
      </c>
      <c r="G16" s="5275">
        <v>0</v>
      </c>
      <c r="H16" s="5274">
        <v>3.9967713799999998</v>
      </c>
    </row>
    <row r="17" spans="2:8" s="1096" customFormat="1" ht="30.75">
      <c r="B17" s="2659"/>
      <c r="C17" s="1452"/>
      <c r="D17" s="1452"/>
      <c r="E17" s="1449"/>
      <c r="F17" s="1450"/>
      <c r="G17" s="5275"/>
      <c r="H17" s="5274"/>
    </row>
    <row r="18" spans="2:8" s="1098" customFormat="1" ht="25.25" customHeight="1">
      <c r="B18" s="5283" t="s">
        <v>492</v>
      </c>
      <c r="C18" s="2505"/>
      <c r="D18" s="2505"/>
      <c r="E18" s="1447"/>
      <c r="F18" s="2506"/>
      <c r="G18" s="5275"/>
      <c r="H18" s="5274"/>
    </row>
    <row r="19" spans="2:8" s="1098" customFormat="1" ht="25.25" customHeight="1">
      <c r="B19" s="5284" t="s">
        <v>1934</v>
      </c>
      <c r="C19" s="2505"/>
      <c r="D19" s="2505"/>
      <c r="E19" s="1447"/>
      <c r="F19" s="2506"/>
      <c r="G19" s="5275"/>
      <c r="H19" s="5274"/>
    </row>
    <row r="20" spans="2:8" s="1096" customFormat="1" ht="25.25" customHeight="1">
      <c r="B20" s="2659" t="s">
        <v>2019</v>
      </c>
      <c r="C20" s="1452" t="s">
        <v>897</v>
      </c>
      <c r="D20" s="1452" t="s">
        <v>286</v>
      </c>
      <c r="E20" s="1449">
        <v>0.06</v>
      </c>
      <c r="F20" s="1450">
        <v>1</v>
      </c>
      <c r="G20" s="5275">
        <v>0</v>
      </c>
      <c r="H20" s="5274">
        <v>6.0640000000000001</v>
      </c>
    </row>
    <row r="21" spans="2:8" s="1096" customFormat="1" ht="25.25" customHeight="1">
      <c r="B21" s="2659" t="s">
        <v>2020</v>
      </c>
      <c r="C21" s="1452" t="s">
        <v>2021</v>
      </c>
      <c r="D21" s="1452" t="s">
        <v>286</v>
      </c>
      <c r="E21" s="1449">
        <v>4.4999999999999998E-2</v>
      </c>
      <c r="F21" s="1450">
        <v>1</v>
      </c>
      <c r="G21" s="5275">
        <v>0</v>
      </c>
      <c r="H21" s="5274">
        <v>5.6159999999999997</v>
      </c>
    </row>
    <row r="22" spans="2:8" s="1096" customFormat="1" ht="29.75" customHeight="1">
      <c r="B22" s="2659" t="s">
        <v>2022</v>
      </c>
      <c r="C22" s="1452" t="s">
        <v>898</v>
      </c>
      <c r="D22" s="1452" t="s">
        <v>286</v>
      </c>
      <c r="E22" s="1449">
        <v>0.06</v>
      </c>
      <c r="F22" s="1450">
        <v>1</v>
      </c>
      <c r="G22" s="5275">
        <v>0</v>
      </c>
      <c r="H22" s="5274">
        <v>20</v>
      </c>
    </row>
    <row r="23" spans="2:8" s="1096" customFormat="1" ht="29.75" customHeight="1">
      <c r="B23" s="5285"/>
      <c r="C23" s="1452"/>
      <c r="D23" s="1452"/>
      <c r="E23" s="1449"/>
      <c r="F23" s="1450"/>
      <c r="G23" s="5275"/>
      <c r="H23" s="5274"/>
    </row>
    <row r="24" spans="2:8" s="1098" customFormat="1" ht="29.75" customHeight="1">
      <c r="B24" s="5284" t="s">
        <v>1936</v>
      </c>
      <c r="C24" s="2505"/>
      <c r="D24" s="2505"/>
      <c r="E24" s="1447"/>
      <c r="F24" s="2506"/>
      <c r="G24" s="5275"/>
      <c r="H24" s="5274"/>
    </row>
    <row r="25" spans="2:8" s="1096" customFormat="1" ht="29.75" customHeight="1">
      <c r="B25" s="2658" t="s">
        <v>2023</v>
      </c>
      <c r="C25" s="1452" t="s">
        <v>2024</v>
      </c>
      <c r="D25" s="1452" t="s">
        <v>288</v>
      </c>
      <c r="E25" s="1449">
        <v>4.4999999999999998E-2</v>
      </c>
      <c r="F25" s="1450">
        <v>2.7</v>
      </c>
      <c r="G25" s="5275">
        <v>2.4138908100000003</v>
      </c>
      <c r="H25" s="5274">
        <v>6.5175051870000011</v>
      </c>
    </row>
    <row r="26" spans="2:8" s="1096" customFormat="1" ht="29.75" customHeight="1">
      <c r="B26" s="2658" t="s">
        <v>2025</v>
      </c>
      <c r="C26" s="1452" t="s">
        <v>1569</v>
      </c>
      <c r="D26" s="1452" t="s">
        <v>288</v>
      </c>
      <c r="E26" s="1449">
        <v>4.4999999999999998E-2</v>
      </c>
      <c r="F26" s="1450">
        <v>2.7</v>
      </c>
      <c r="G26" s="5275">
        <v>5.6916349800000008</v>
      </c>
      <c r="H26" s="5274">
        <v>15.367414446000002</v>
      </c>
    </row>
    <row r="27" spans="2:8" s="1096" customFormat="1" ht="29.75" customHeight="1">
      <c r="B27" s="5286" t="s">
        <v>2026</v>
      </c>
      <c r="C27" s="5278" t="s">
        <v>2027</v>
      </c>
      <c r="D27" s="5278" t="s">
        <v>288</v>
      </c>
      <c r="E27" s="5279">
        <v>4.4999999999999998E-2</v>
      </c>
      <c r="F27" s="5280">
        <v>2.7</v>
      </c>
      <c r="G27" s="5275">
        <v>5.2716115407407402</v>
      </c>
      <c r="H27" s="5274">
        <v>14.23335116</v>
      </c>
    </row>
    <row r="28" spans="2:8" s="1096" customFormat="1" ht="29.75" customHeight="1">
      <c r="B28" s="5286" t="s">
        <v>1570</v>
      </c>
      <c r="C28" s="5278" t="s">
        <v>798</v>
      </c>
      <c r="D28" s="5278" t="s">
        <v>286</v>
      </c>
      <c r="E28" s="5279">
        <v>5.7500000000000002E-2</v>
      </c>
      <c r="F28" s="5280">
        <v>1</v>
      </c>
      <c r="G28" s="5275">
        <v>0</v>
      </c>
      <c r="H28" s="5274">
        <v>1.5</v>
      </c>
    </row>
    <row r="29" spans="2:8" s="1096" customFormat="1" ht="29.75" customHeight="1">
      <c r="B29" s="5286" t="s">
        <v>2028</v>
      </c>
      <c r="C29" s="5278" t="s">
        <v>2029</v>
      </c>
      <c r="D29" s="5278" t="s">
        <v>286</v>
      </c>
      <c r="E29" s="5279">
        <v>4.4999999999999998E-2</v>
      </c>
      <c r="F29" s="5280">
        <v>1</v>
      </c>
      <c r="G29" s="5275">
        <v>0</v>
      </c>
      <c r="H29" s="5274">
        <v>8.8305369600000017</v>
      </c>
    </row>
    <row r="30" spans="2:8" s="1096" customFormat="1" ht="29.75" customHeight="1">
      <c r="B30" s="5286" t="s">
        <v>1571</v>
      </c>
      <c r="C30" s="5278" t="s">
        <v>1109</v>
      </c>
      <c r="D30" s="5278" t="s">
        <v>286</v>
      </c>
      <c r="E30" s="5279">
        <v>6.3500000000000001E-2</v>
      </c>
      <c r="F30" s="5280">
        <v>1</v>
      </c>
      <c r="G30" s="5275">
        <v>0</v>
      </c>
      <c r="H30" s="5274">
        <v>14.005000000000001</v>
      </c>
    </row>
    <row r="31" spans="2:8" s="1096" customFormat="1" ht="29.75" customHeight="1">
      <c r="B31" s="5286" t="s">
        <v>1572</v>
      </c>
      <c r="C31" s="5287" t="s">
        <v>1573</v>
      </c>
      <c r="D31" s="5287" t="s">
        <v>288</v>
      </c>
      <c r="E31" s="5279">
        <v>6.25E-2</v>
      </c>
      <c r="F31" s="5280">
        <v>2.7</v>
      </c>
      <c r="G31" s="5275">
        <v>12.899026800000001</v>
      </c>
      <c r="H31" s="5274">
        <v>34.827372360000005</v>
      </c>
    </row>
    <row r="32" spans="2:8" s="1096" customFormat="1" ht="29.75" customHeight="1">
      <c r="B32" s="5286" t="s">
        <v>1574</v>
      </c>
      <c r="C32" s="5287" t="s">
        <v>1575</v>
      </c>
      <c r="D32" s="5287" t="s">
        <v>288</v>
      </c>
      <c r="E32" s="5279">
        <v>4.4999999999999998E-2</v>
      </c>
      <c r="F32" s="5280">
        <v>2.7</v>
      </c>
      <c r="G32" s="5275">
        <v>2.2629999999999999</v>
      </c>
      <c r="H32" s="5274">
        <v>6.1101000000000001</v>
      </c>
    </row>
    <row r="33" spans="2:11" s="1096" customFormat="1" ht="29.75" customHeight="1">
      <c r="B33" s="2658" t="s">
        <v>1576</v>
      </c>
      <c r="C33" s="1451" t="s">
        <v>1110</v>
      </c>
      <c r="D33" s="1452" t="s">
        <v>288</v>
      </c>
      <c r="E33" s="1449">
        <v>6.5000000000000002E-2</v>
      </c>
      <c r="F33" s="1450">
        <v>2.7</v>
      </c>
      <c r="G33" s="5275">
        <v>13.506029699999999</v>
      </c>
      <c r="H33" s="5274">
        <v>36.466280189999999</v>
      </c>
    </row>
    <row r="34" spans="2:11" s="1096" customFormat="1" ht="29.75" customHeight="1">
      <c r="B34" s="2658" t="s">
        <v>1111</v>
      </c>
      <c r="C34" s="1451" t="s">
        <v>1112</v>
      </c>
      <c r="D34" s="1452" t="s">
        <v>286</v>
      </c>
      <c r="E34" s="1449">
        <v>0.06</v>
      </c>
      <c r="F34" s="1450">
        <v>1</v>
      </c>
      <c r="G34" s="5275">
        <v>0</v>
      </c>
      <c r="H34" s="5274">
        <v>17.0855</v>
      </c>
    </row>
    <row r="35" spans="2:11" s="1096" customFormat="1" ht="29.75" customHeight="1">
      <c r="B35" s="2658" t="s">
        <v>2030</v>
      </c>
      <c r="C35" s="1452" t="s">
        <v>2031</v>
      </c>
      <c r="D35" s="1452" t="s">
        <v>286</v>
      </c>
      <c r="E35" s="1449">
        <v>4.4999999999999998E-2</v>
      </c>
      <c r="F35" s="1450">
        <v>1</v>
      </c>
      <c r="G35" s="5275">
        <v>0</v>
      </c>
      <c r="H35" s="5274">
        <v>19.799807699999999</v>
      </c>
    </row>
    <row r="36" spans="2:11" s="1096" customFormat="1" ht="29.75" customHeight="1">
      <c r="B36" s="2661" t="s">
        <v>2032</v>
      </c>
      <c r="C36" s="5287" t="s">
        <v>2033</v>
      </c>
      <c r="D36" s="1478" t="s">
        <v>288</v>
      </c>
      <c r="E36" s="5253">
        <v>4.2999999999999997E-2</v>
      </c>
      <c r="F36" s="1448">
        <v>2.7</v>
      </c>
      <c r="G36" s="5275">
        <v>1.9808833799999999</v>
      </c>
      <c r="H36" s="5274">
        <v>5.3483851260000002</v>
      </c>
      <c r="I36" s="1096" t="s">
        <v>390</v>
      </c>
      <c r="J36" s="1096" t="s">
        <v>390</v>
      </c>
      <c r="K36" s="1096" t="s">
        <v>390</v>
      </c>
    </row>
    <row r="37" spans="2:11" s="1096" customFormat="1" ht="29.75" customHeight="1">
      <c r="B37" s="2661" t="s">
        <v>1577</v>
      </c>
      <c r="C37" s="1478" t="s">
        <v>1578</v>
      </c>
      <c r="D37" s="1478" t="s">
        <v>286</v>
      </c>
      <c r="E37" s="5253">
        <v>4.4999999999999998E-2</v>
      </c>
      <c r="F37" s="1448">
        <v>1</v>
      </c>
      <c r="G37" s="5275">
        <v>0</v>
      </c>
      <c r="H37" s="5274">
        <v>3.44802835</v>
      </c>
      <c r="I37" s="1096" t="s">
        <v>390</v>
      </c>
      <c r="J37" s="1096" t="s">
        <v>390</v>
      </c>
    </row>
    <row r="38" spans="2:11" s="1096" customFormat="1" ht="29.75" customHeight="1">
      <c r="B38" s="2661" t="s">
        <v>1579</v>
      </c>
      <c r="C38" s="1478" t="s">
        <v>1580</v>
      </c>
      <c r="D38" s="1478" t="s">
        <v>286</v>
      </c>
      <c r="E38" s="5253">
        <v>4.4999999999999998E-2</v>
      </c>
      <c r="F38" s="1448">
        <v>1</v>
      </c>
      <c r="G38" s="5275">
        <v>0</v>
      </c>
      <c r="H38" s="5274">
        <v>8.8174779499999989</v>
      </c>
      <c r="I38" s="1096" t="s">
        <v>390</v>
      </c>
    </row>
    <row r="39" spans="2:11" s="1096" customFormat="1" ht="29.75" customHeight="1">
      <c r="B39" s="2661" t="s">
        <v>2034</v>
      </c>
      <c r="C39" s="1478" t="s">
        <v>2035</v>
      </c>
      <c r="D39" s="1478" t="s">
        <v>286</v>
      </c>
      <c r="E39" s="5253">
        <v>0.06</v>
      </c>
      <c r="F39" s="1448">
        <v>1</v>
      </c>
      <c r="G39" s="5275">
        <v>0</v>
      </c>
      <c r="H39" s="5274">
        <v>8.7959603599999987</v>
      </c>
      <c r="I39" s="1098" t="s">
        <v>390</v>
      </c>
    </row>
    <row r="40" spans="2:11" s="1096" customFormat="1" ht="29.75" customHeight="1">
      <c r="B40" s="2661" t="s">
        <v>2036</v>
      </c>
      <c r="C40" s="1451" t="s">
        <v>2035</v>
      </c>
      <c r="D40" s="1478" t="s">
        <v>288</v>
      </c>
      <c r="E40" s="5253">
        <v>0.06</v>
      </c>
      <c r="F40" s="1448">
        <v>2.7</v>
      </c>
      <c r="G40" s="5275">
        <v>0.20499999999999999</v>
      </c>
      <c r="H40" s="5274">
        <v>0.55349999999999999</v>
      </c>
    </row>
    <row r="41" spans="2:11" s="1096" customFormat="1" ht="29.75" customHeight="1">
      <c r="B41" s="2661" t="s">
        <v>1581</v>
      </c>
      <c r="C41" s="1478" t="s">
        <v>1582</v>
      </c>
      <c r="D41" s="1478" t="s">
        <v>288</v>
      </c>
      <c r="E41" s="5253">
        <v>4.4999999999999998E-2</v>
      </c>
      <c r="F41" s="1448">
        <v>2.7</v>
      </c>
      <c r="G41" s="5275">
        <v>4.2893874400000005</v>
      </c>
      <c r="H41" s="5274">
        <v>11.581346088000002</v>
      </c>
    </row>
    <row r="42" spans="2:11" s="1096" customFormat="1" ht="29.75" customHeight="1">
      <c r="B42" s="2661" t="s">
        <v>2037</v>
      </c>
      <c r="C42" s="1478" t="s">
        <v>2038</v>
      </c>
      <c r="D42" s="1478" t="s">
        <v>288</v>
      </c>
      <c r="E42" s="5253">
        <v>0.06</v>
      </c>
      <c r="F42" s="1448">
        <v>2.7</v>
      </c>
      <c r="G42" s="5275">
        <v>3.7633035099999996</v>
      </c>
      <c r="H42" s="5274">
        <v>10.160919477</v>
      </c>
    </row>
    <row r="43" spans="2:11" s="1096" customFormat="1" ht="29.75" customHeight="1">
      <c r="B43" s="2661" t="s">
        <v>2039</v>
      </c>
      <c r="C43" s="1478" t="s">
        <v>2040</v>
      </c>
      <c r="D43" s="1478" t="s">
        <v>286</v>
      </c>
      <c r="E43" s="5253">
        <v>4.4999999999999998E-2</v>
      </c>
      <c r="F43" s="1448">
        <v>1</v>
      </c>
      <c r="G43" s="5275">
        <v>0</v>
      </c>
      <c r="H43" s="5274">
        <v>8.9720531099999992</v>
      </c>
    </row>
    <row r="44" spans="2:11" s="1096" customFormat="1" ht="29.75" customHeight="1">
      <c r="B44" s="2661" t="s">
        <v>2041</v>
      </c>
      <c r="C44" s="1478" t="s">
        <v>2042</v>
      </c>
      <c r="D44" s="1478" t="s">
        <v>286</v>
      </c>
      <c r="E44" s="5253">
        <v>4.4999999999999998E-2</v>
      </c>
      <c r="F44" s="1448">
        <v>1</v>
      </c>
      <c r="G44" s="5275">
        <v>0</v>
      </c>
      <c r="H44" s="5274">
        <v>0.55374258999999992</v>
      </c>
    </row>
    <row r="45" spans="2:11" s="1096" customFormat="1" ht="29.75" customHeight="1">
      <c r="B45" s="2658" t="s">
        <v>2043</v>
      </c>
      <c r="C45" s="1451" t="s">
        <v>2044</v>
      </c>
      <c r="D45" s="1478" t="s">
        <v>288</v>
      </c>
      <c r="E45" s="5253">
        <v>4.4999999999999998E-2</v>
      </c>
      <c r="F45" s="1448">
        <v>2.7</v>
      </c>
      <c r="G45" s="5275">
        <v>3.2633129799999998</v>
      </c>
      <c r="H45" s="5274">
        <v>8.8109450460000005</v>
      </c>
    </row>
    <row r="46" spans="2:11" s="1096" customFormat="1" ht="29.75" customHeight="1">
      <c r="B46" s="2660" t="s">
        <v>2045</v>
      </c>
      <c r="C46" s="5288" t="s">
        <v>2046</v>
      </c>
      <c r="D46" s="1478" t="s">
        <v>288</v>
      </c>
      <c r="E46" s="5253">
        <v>4.4999999999999998E-2</v>
      </c>
      <c r="F46" s="1448">
        <v>2.7</v>
      </c>
      <c r="G46" s="5275">
        <v>0.28360415999999999</v>
      </c>
      <c r="H46" s="5274">
        <v>0.76573123199999993</v>
      </c>
    </row>
    <row r="47" spans="2:11" s="1096" customFormat="1" ht="29.75" customHeight="1">
      <c r="B47" s="2661" t="s">
        <v>2047</v>
      </c>
      <c r="C47" s="5288" t="s">
        <v>2046</v>
      </c>
      <c r="D47" s="1478" t="s">
        <v>286</v>
      </c>
      <c r="E47" s="5253">
        <v>4.4999999999999998E-2</v>
      </c>
      <c r="F47" s="1448">
        <v>1</v>
      </c>
      <c r="G47" s="5275">
        <v>0</v>
      </c>
      <c r="H47" s="5274">
        <v>1.2337355800000001</v>
      </c>
    </row>
    <row r="48" spans="2:11" s="1096" customFormat="1" ht="29.75" customHeight="1">
      <c r="B48" s="2661" t="s">
        <v>1583</v>
      </c>
      <c r="C48" s="1478" t="s">
        <v>1584</v>
      </c>
      <c r="D48" s="1478" t="s">
        <v>286</v>
      </c>
      <c r="E48" s="5253">
        <v>4.2999999999999997E-2</v>
      </c>
      <c r="F48" s="1448">
        <v>1</v>
      </c>
      <c r="G48" s="5275">
        <v>0</v>
      </c>
      <c r="H48" s="5274">
        <v>19.739119049999999</v>
      </c>
    </row>
    <row r="49" spans="2:8" s="1096" customFormat="1" ht="29.75" customHeight="1">
      <c r="B49" s="2661" t="s">
        <v>1585</v>
      </c>
      <c r="C49" s="1478" t="s">
        <v>1586</v>
      </c>
      <c r="D49" s="1478" t="s">
        <v>286</v>
      </c>
      <c r="E49" s="5253">
        <v>4.2500000000000003E-2</v>
      </c>
      <c r="F49" s="1448">
        <v>1</v>
      </c>
      <c r="G49" s="5275">
        <v>0</v>
      </c>
      <c r="H49" s="5274">
        <v>2.6280000000000001</v>
      </c>
    </row>
    <row r="50" spans="2:8" s="1096" customFormat="1" ht="29.75" customHeight="1">
      <c r="B50" s="5286" t="s">
        <v>1587</v>
      </c>
      <c r="C50" s="5278" t="s">
        <v>2048</v>
      </c>
      <c r="D50" s="5278" t="s">
        <v>286</v>
      </c>
      <c r="E50" s="5279">
        <v>4.4999999999999998E-2</v>
      </c>
      <c r="F50" s="5280">
        <v>1</v>
      </c>
      <c r="G50" s="5275">
        <v>0</v>
      </c>
      <c r="H50" s="5274">
        <v>30</v>
      </c>
    </row>
    <row r="51" spans="2:8" s="1096" customFormat="1" ht="29.75" customHeight="1">
      <c r="B51" s="2661" t="s">
        <v>1588</v>
      </c>
      <c r="C51" s="5289" t="s">
        <v>1589</v>
      </c>
      <c r="D51" s="1478" t="s">
        <v>286</v>
      </c>
      <c r="E51" s="5253">
        <v>4.4999999999999998E-2</v>
      </c>
      <c r="F51" s="1448">
        <v>1</v>
      </c>
      <c r="G51" s="5275">
        <v>0</v>
      </c>
      <c r="H51" s="5274">
        <v>19.03592944</v>
      </c>
    </row>
    <row r="52" spans="2:8" s="1096" customFormat="1" ht="29.75" customHeight="1">
      <c r="B52" s="2661" t="s">
        <v>1590</v>
      </c>
      <c r="C52" s="1478" t="s">
        <v>1591</v>
      </c>
      <c r="D52" s="1478" t="s">
        <v>286</v>
      </c>
      <c r="E52" s="5253">
        <v>4.4999999999999998E-2</v>
      </c>
      <c r="F52" s="1448">
        <v>1</v>
      </c>
      <c r="G52" s="5275">
        <v>0</v>
      </c>
      <c r="H52" s="5274">
        <v>4.5927477799999998</v>
      </c>
    </row>
    <row r="53" spans="2:8" s="1096" customFormat="1" ht="29.75" customHeight="1">
      <c r="B53" s="2658" t="s">
        <v>1592</v>
      </c>
      <c r="C53" s="1452" t="s">
        <v>1593</v>
      </c>
      <c r="D53" s="1452" t="s">
        <v>286</v>
      </c>
      <c r="E53" s="1449">
        <v>4.4999999999999998E-2</v>
      </c>
      <c r="F53" s="1450">
        <v>1</v>
      </c>
      <c r="G53" s="5275">
        <v>0</v>
      </c>
      <c r="H53" s="5274">
        <v>10.857612</v>
      </c>
    </row>
    <row r="54" spans="2:8" s="1096" customFormat="1" ht="29.75" customHeight="1">
      <c r="B54" s="2658" t="s">
        <v>1594</v>
      </c>
      <c r="C54" s="1452" t="s">
        <v>1595</v>
      </c>
      <c r="D54" s="1452" t="s">
        <v>286</v>
      </c>
      <c r="E54" s="1449">
        <v>0.04</v>
      </c>
      <c r="F54" s="1450">
        <v>1</v>
      </c>
      <c r="G54" s="5275">
        <v>0</v>
      </c>
      <c r="H54" s="5274">
        <v>2.65</v>
      </c>
    </row>
    <row r="55" spans="2:8" s="1096" customFormat="1" ht="25.25" customHeight="1">
      <c r="B55" s="2658" t="s">
        <v>2049</v>
      </c>
      <c r="C55" s="1452" t="s">
        <v>2050</v>
      </c>
      <c r="D55" s="1452" t="s">
        <v>286</v>
      </c>
      <c r="E55" s="1449">
        <v>4.4999999999999998E-2</v>
      </c>
      <c r="F55" s="1450">
        <v>1</v>
      </c>
      <c r="G55" s="5275">
        <v>0</v>
      </c>
      <c r="H55" s="5274">
        <v>4.0727146400000001</v>
      </c>
    </row>
    <row r="56" spans="2:8" s="1096" customFormat="1" ht="25.25" customHeight="1">
      <c r="B56" s="2658" t="s">
        <v>1596</v>
      </c>
      <c r="C56" s="1452" t="s">
        <v>899</v>
      </c>
      <c r="D56" s="1452" t="s">
        <v>286</v>
      </c>
      <c r="E56" s="1449">
        <v>0.06</v>
      </c>
      <c r="F56" s="1450">
        <v>1</v>
      </c>
      <c r="G56" s="5275">
        <v>0</v>
      </c>
      <c r="H56" s="5274">
        <v>6.7098894099999997</v>
      </c>
    </row>
    <row r="57" spans="2:8" s="1096" customFormat="1" ht="30.75">
      <c r="B57" s="2658" t="s">
        <v>1113</v>
      </c>
      <c r="C57" s="1452" t="s">
        <v>900</v>
      </c>
      <c r="D57" s="1452" t="s">
        <v>286</v>
      </c>
      <c r="E57" s="1449">
        <v>6.5000000000000002E-2</v>
      </c>
      <c r="F57" s="1450">
        <v>1</v>
      </c>
      <c r="G57" s="5275">
        <v>0</v>
      </c>
      <c r="H57" s="5274">
        <v>2.02</v>
      </c>
    </row>
    <row r="58" spans="2:8" s="1096" customFormat="1" ht="30.75">
      <c r="B58" s="2660" t="s">
        <v>1114</v>
      </c>
      <c r="C58" s="1478" t="s">
        <v>901</v>
      </c>
      <c r="D58" s="1478" t="s">
        <v>286</v>
      </c>
      <c r="E58" s="1449">
        <v>0.06</v>
      </c>
      <c r="F58" s="1448">
        <v>1</v>
      </c>
      <c r="G58" s="5275">
        <v>0</v>
      </c>
      <c r="H58" s="5274">
        <v>8.4770000000000003</v>
      </c>
    </row>
    <row r="59" spans="2:8" s="1096" customFormat="1" ht="25.25" customHeight="1">
      <c r="B59" s="2660" t="s">
        <v>1597</v>
      </c>
      <c r="C59" s="1478" t="s">
        <v>2051</v>
      </c>
      <c r="D59" s="1478" t="s">
        <v>286</v>
      </c>
      <c r="E59" s="1449">
        <v>5.5E-2</v>
      </c>
      <c r="F59" s="1448">
        <v>1</v>
      </c>
      <c r="G59" s="5275">
        <v>0</v>
      </c>
      <c r="H59" s="5274">
        <v>1.5840000000000001</v>
      </c>
    </row>
    <row r="60" spans="2:8" ht="25.25" customHeight="1">
      <c r="B60" s="5286" t="s">
        <v>1598</v>
      </c>
      <c r="C60" s="5287" t="s">
        <v>1599</v>
      </c>
      <c r="D60" s="5287" t="s">
        <v>286</v>
      </c>
      <c r="E60" s="5279">
        <v>0.05</v>
      </c>
      <c r="F60" s="1448">
        <v>1</v>
      </c>
      <c r="G60" s="5275">
        <v>0</v>
      </c>
      <c r="H60" s="5274">
        <v>4.0149999999999997</v>
      </c>
    </row>
    <row r="61" spans="2:8" ht="25.25" customHeight="1">
      <c r="B61" s="5286" t="s">
        <v>1600</v>
      </c>
      <c r="C61" s="5290" t="s">
        <v>1601</v>
      </c>
      <c r="D61" s="5290" t="s">
        <v>288</v>
      </c>
      <c r="E61" s="5291">
        <v>5.5E-2</v>
      </c>
      <c r="F61" s="2701">
        <v>2.7</v>
      </c>
      <c r="G61" s="5275">
        <v>6</v>
      </c>
      <c r="H61" s="5274">
        <v>16.200000000000003</v>
      </c>
    </row>
    <row r="62" spans="2:8" ht="25.25" customHeight="1">
      <c r="B62" s="5286" t="s">
        <v>1600</v>
      </c>
      <c r="C62" s="5290" t="s">
        <v>1601</v>
      </c>
      <c r="D62" s="5290" t="s">
        <v>286</v>
      </c>
      <c r="E62" s="5291">
        <v>5.5E-2</v>
      </c>
      <c r="F62" s="2701">
        <v>1</v>
      </c>
      <c r="G62" s="5275">
        <v>0</v>
      </c>
      <c r="H62" s="5274">
        <v>5.4</v>
      </c>
    </row>
    <row r="63" spans="2:8" ht="25.25" customHeight="1">
      <c r="B63" s="5292"/>
      <c r="C63" s="5287"/>
      <c r="D63" s="5287"/>
      <c r="E63" s="5293"/>
      <c r="F63" s="1448"/>
      <c r="G63" s="5275"/>
      <c r="H63" s="5274"/>
    </row>
    <row r="64" spans="2:8" s="1073" customFormat="1" ht="25.25" customHeight="1">
      <c r="B64" s="5294" t="s">
        <v>47</v>
      </c>
      <c r="C64" s="5295"/>
      <c r="D64" s="5295"/>
      <c r="E64" s="5296"/>
      <c r="F64" s="2046"/>
      <c r="G64" s="5275"/>
      <c r="H64" s="5274"/>
    </row>
    <row r="65" spans="2:8" ht="25.25" customHeight="1">
      <c r="B65" s="5297" t="s">
        <v>1602</v>
      </c>
      <c r="C65" s="5287" t="s">
        <v>1603</v>
      </c>
      <c r="D65" s="5287" t="s">
        <v>288</v>
      </c>
      <c r="E65" s="5279">
        <v>4.4999999999999998E-2</v>
      </c>
      <c r="F65" s="1448">
        <v>2.7</v>
      </c>
      <c r="G65" s="5275">
        <v>4.7638815000000001</v>
      </c>
      <c r="H65" s="5274">
        <v>12.86248005</v>
      </c>
    </row>
    <row r="66" spans="2:8" ht="25.25" customHeight="1">
      <c r="B66" s="5297" t="s">
        <v>2052</v>
      </c>
      <c r="C66" s="5287" t="s">
        <v>2053</v>
      </c>
      <c r="D66" s="5287" t="s">
        <v>286</v>
      </c>
      <c r="E66" s="5279">
        <v>0.04</v>
      </c>
      <c r="F66" s="1448">
        <v>1</v>
      </c>
      <c r="G66" s="5275">
        <v>0</v>
      </c>
      <c r="H66" s="5274">
        <v>7.5060000000000002</v>
      </c>
    </row>
    <row r="67" spans="2:8" ht="25.25" customHeight="1">
      <c r="B67" s="5297" t="s">
        <v>1604</v>
      </c>
      <c r="C67" s="5287" t="s">
        <v>1605</v>
      </c>
      <c r="D67" s="5287" t="s">
        <v>286</v>
      </c>
      <c r="E67" s="5279">
        <v>4.4999999999999998E-2</v>
      </c>
      <c r="F67" s="1448">
        <v>1</v>
      </c>
      <c r="G67" s="5275">
        <v>0</v>
      </c>
      <c r="H67" s="5274">
        <v>1</v>
      </c>
    </row>
    <row r="68" spans="2:8" ht="25.25" customHeight="1">
      <c r="B68" s="5297" t="s">
        <v>1606</v>
      </c>
      <c r="C68" s="5287" t="s">
        <v>902</v>
      </c>
      <c r="D68" s="5287" t="s">
        <v>286</v>
      </c>
      <c r="E68" s="5279">
        <v>5.2499999999999998E-2</v>
      </c>
      <c r="F68" s="1448">
        <v>1</v>
      </c>
      <c r="G68" s="5275">
        <v>0</v>
      </c>
      <c r="H68" s="5274">
        <v>1.29</v>
      </c>
    </row>
    <row r="69" spans="2:8" ht="25.25" customHeight="1">
      <c r="B69" s="5297" t="s">
        <v>1607</v>
      </c>
      <c r="C69" s="5287" t="s">
        <v>1115</v>
      </c>
      <c r="D69" s="5287" t="s">
        <v>286</v>
      </c>
      <c r="E69" s="5279">
        <v>4.4999999999999998E-2</v>
      </c>
      <c r="F69" s="1450">
        <v>1</v>
      </c>
      <c r="G69" s="5275">
        <v>0</v>
      </c>
      <c r="H69" s="5274">
        <v>0</v>
      </c>
    </row>
    <row r="70" spans="2:8" ht="25.25" customHeight="1">
      <c r="B70" s="5297" t="s">
        <v>1116</v>
      </c>
      <c r="C70" s="5287" t="s">
        <v>1117</v>
      </c>
      <c r="D70" s="5287" t="s">
        <v>288</v>
      </c>
      <c r="E70" s="5279">
        <v>0.05</v>
      </c>
      <c r="F70" s="1448">
        <v>2.7</v>
      </c>
      <c r="G70" s="5275">
        <v>1</v>
      </c>
      <c r="H70" s="5274">
        <v>2.7</v>
      </c>
    </row>
    <row r="71" spans="2:8" ht="32" customHeight="1">
      <c r="B71" s="5298" t="s">
        <v>2054</v>
      </c>
      <c r="C71" s="5287" t="s">
        <v>1118</v>
      </c>
      <c r="D71" s="5287" t="s">
        <v>286</v>
      </c>
      <c r="E71" s="5279">
        <v>0.04</v>
      </c>
      <c r="F71" s="1448">
        <v>1</v>
      </c>
      <c r="G71" s="5275">
        <v>0</v>
      </c>
      <c r="H71" s="5274">
        <v>0.85899322000000045</v>
      </c>
    </row>
    <row r="72" spans="2:8" ht="32" customHeight="1">
      <c r="B72" s="5298" t="s">
        <v>1608</v>
      </c>
      <c r="C72" s="5287" t="s">
        <v>1119</v>
      </c>
      <c r="D72" s="5287" t="s">
        <v>286</v>
      </c>
      <c r="E72" s="5279">
        <v>5.5E-2</v>
      </c>
      <c r="F72" s="1448">
        <v>1</v>
      </c>
      <c r="G72" s="5275">
        <v>0</v>
      </c>
      <c r="H72" s="5274">
        <v>0</v>
      </c>
    </row>
    <row r="73" spans="2:8" ht="32" customHeight="1">
      <c r="B73" s="5298" t="s">
        <v>1609</v>
      </c>
      <c r="C73" s="5287"/>
      <c r="D73" s="5287" t="s">
        <v>286</v>
      </c>
      <c r="E73" s="5279">
        <v>4.4999999999999998E-2</v>
      </c>
      <c r="F73" s="1448">
        <v>1</v>
      </c>
      <c r="G73" s="5275">
        <v>0</v>
      </c>
      <c r="H73" s="5274">
        <v>0.52172499999999999</v>
      </c>
    </row>
    <row r="74" spans="2:8" ht="32" customHeight="1">
      <c r="B74" s="5298" t="s">
        <v>1610</v>
      </c>
      <c r="C74" s="5287"/>
      <c r="D74" s="5287" t="s">
        <v>286</v>
      </c>
      <c r="E74" s="5279">
        <v>4.4999999999999998E-2</v>
      </c>
      <c r="F74" s="1448">
        <v>1</v>
      </c>
      <c r="G74" s="5275">
        <v>0</v>
      </c>
      <c r="H74" s="5274">
        <v>0.13</v>
      </c>
    </row>
    <row r="75" spans="2:8" ht="32" customHeight="1">
      <c r="B75" s="5298" t="s">
        <v>2055</v>
      </c>
      <c r="C75" s="5287"/>
      <c r="D75" s="5287" t="s">
        <v>286</v>
      </c>
      <c r="E75" s="5279">
        <v>0.06</v>
      </c>
      <c r="F75" s="1448">
        <v>1</v>
      </c>
      <c r="G75" s="5275">
        <v>0</v>
      </c>
      <c r="H75" s="5274">
        <v>1.44</v>
      </c>
    </row>
    <row r="76" spans="2:8" ht="32" customHeight="1">
      <c r="B76" s="5298" t="s">
        <v>1611</v>
      </c>
      <c r="C76" s="5287"/>
      <c r="D76" s="5287" t="s">
        <v>286</v>
      </c>
      <c r="E76" s="5279">
        <v>0.03</v>
      </c>
      <c r="F76" s="1448">
        <v>1</v>
      </c>
      <c r="G76" s="5275">
        <v>0</v>
      </c>
      <c r="H76" s="5274">
        <v>4.2160358099999993</v>
      </c>
    </row>
    <row r="77" spans="2:8" ht="32" customHeight="1">
      <c r="B77" s="5299"/>
      <c r="C77" s="5287"/>
      <c r="D77" s="5287" t="s">
        <v>390</v>
      </c>
      <c r="E77" s="5293"/>
      <c r="F77" s="1448"/>
      <c r="G77" s="5275"/>
      <c r="H77" s="5274"/>
    </row>
    <row r="78" spans="2:8" s="1073" customFormat="1" ht="32" customHeight="1">
      <c r="B78" s="5300" t="s">
        <v>493</v>
      </c>
      <c r="C78" s="5295"/>
      <c r="D78" s="5295"/>
      <c r="E78" s="5296"/>
      <c r="F78" s="2046"/>
      <c r="G78" s="5275"/>
      <c r="H78" s="5274"/>
    </row>
    <row r="79" spans="2:8" ht="32" customHeight="1">
      <c r="B79" s="5299"/>
      <c r="C79" s="5287"/>
      <c r="D79" s="5287"/>
      <c r="E79" s="5293"/>
      <c r="F79" s="1448"/>
      <c r="G79" s="5275"/>
      <c r="H79" s="5274"/>
    </row>
    <row r="80" spans="2:8" s="1073" customFormat="1" ht="32" customHeight="1">
      <c r="B80" s="2662" t="s">
        <v>1612</v>
      </c>
      <c r="C80" s="5295"/>
      <c r="D80" s="5295" t="s">
        <v>286</v>
      </c>
      <c r="E80" s="5296" t="s">
        <v>903</v>
      </c>
      <c r="F80" s="2046">
        <v>1</v>
      </c>
      <c r="G80" s="5275">
        <v>0</v>
      </c>
      <c r="H80" s="5274">
        <v>11.760559689999999</v>
      </c>
    </row>
    <row r="81" spans="2:8" s="1073" customFormat="1" ht="32" customHeight="1">
      <c r="B81" s="5301" t="s">
        <v>1937</v>
      </c>
      <c r="C81" s="5295"/>
      <c r="D81" s="5295"/>
      <c r="E81" s="5296"/>
      <c r="F81" s="2046"/>
      <c r="G81" s="5275"/>
      <c r="H81" s="5274"/>
    </row>
    <row r="82" spans="2:8" ht="32" customHeight="1">
      <c r="B82" s="5298" t="s">
        <v>2056</v>
      </c>
      <c r="C82" s="5287" t="s">
        <v>2057</v>
      </c>
      <c r="D82" s="5287" t="s">
        <v>286</v>
      </c>
      <c r="E82" s="5279">
        <v>0.04</v>
      </c>
      <c r="F82" s="1448">
        <v>1</v>
      </c>
      <c r="G82" s="5275">
        <v>0</v>
      </c>
      <c r="H82" s="5274">
        <v>5.2320000000000002</v>
      </c>
    </row>
    <row r="83" spans="2:8" ht="32" customHeight="1">
      <c r="B83" s="5298" t="s">
        <v>2058</v>
      </c>
      <c r="C83" s="5287" t="s">
        <v>2059</v>
      </c>
      <c r="D83" s="5287" t="s">
        <v>286</v>
      </c>
      <c r="E83" s="5279">
        <v>0.04</v>
      </c>
      <c r="F83" s="1448">
        <v>1</v>
      </c>
      <c r="G83" s="5275">
        <v>0</v>
      </c>
      <c r="H83" s="5274">
        <v>5.9602897800000001</v>
      </c>
    </row>
    <row r="84" spans="2:8" ht="32" customHeight="1">
      <c r="B84" s="5298" t="s">
        <v>2302</v>
      </c>
      <c r="C84" s="5290" t="s">
        <v>2060</v>
      </c>
      <c r="D84" s="5290" t="s">
        <v>288</v>
      </c>
      <c r="E84" s="5291">
        <v>0.04</v>
      </c>
      <c r="F84" s="2701">
        <v>2.7</v>
      </c>
      <c r="G84" s="5275">
        <v>1.44023933</v>
      </c>
      <c r="H84" s="5274">
        <v>3.8886461910000008</v>
      </c>
    </row>
    <row r="85" spans="2:8" ht="32" customHeight="1">
      <c r="B85" s="5298" t="s">
        <v>2061</v>
      </c>
      <c r="C85" s="5290" t="s">
        <v>2062</v>
      </c>
      <c r="D85" s="5290" t="s">
        <v>286</v>
      </c>
      <c r="E85" s="5291">
        <v>0.04</v>
      </c>
      <c r="F85" s="2701">
        <v>1</v>
      </c>
      <c r="G85" s="5275">
        <v>0</v>
      </c>
      <c r="H85" s="5274">
        <v>3.4980834999999999</v>
      </c>
    </row>
    <row r="86" spans="2:8" ht="32" customHeight="1">
      <c r="B86" s="5298" t="s">
        <v>2063</v>
      </c>
      <c r="C86" s="5290" t="s">
        <v>2064</v>
      </c>
      <c r="D86" s="5290" t="s">
        <v>286</v>
      </c>
      <c r="E86" s="5291">
        <v>0.04</v>
      </c>
      <c r="F86" s="2701">
        <v>1</v>
      </c>
      <c r="G86" s="5275">
        <v>0</v>
      </c>
      <c r="H86" s="5274">
        <v>13.577508</v>
      </c>
    </row>
    <row r="87" spans="2:8" ht="32" customHeight="1">
      <c r="B87" s="5298" t="s">
        <v>2065</v>
      </c>
      <c r="C87" s="5290" t="s">
        <v>2066</v>
      </c>
      <c r="D87" s="5290" t="s">
        <v>288</v>
      </c>
      <c r="E87" s="5291">
        <v>0.04</v>
      </c>
      <c r="F87" s="2701">
        <v>2.7</v>
      </c>
      <c r="G87" s="5275">
        <v>0.92762844</v>
      </c>
      <c r="H87" s="5274">
        <v>2.5045967880000002</v>
      </c>
    </row>
    <row r="88" spans="2:8" ht="32" customHeight="1">
      <c r="B88" s="5298" t="s">
        <v>2067</v>
      </c>
      <c r="C88" s="5290" t="s">
        <v>2068</v>
      </c>
      <c r="D88" s="5290" t="s">
        <v>286</v>
      </c>
      <c r="E88" s="5291">
        <v>0.04</v>
      </c>
      <c r="F88" s="2701">
        <v>1</v>
      </c>
      <c r="G88" s="5275">
        <v>0</v>
      </c>
      <c r="H88" s="5274">
        <v>5.8628194900000006</v>
      </c>
    </row>
    <row r="89" spans="2:8" ht="32" customHeight="1">
      <c r="B89" s="5298" t="s">
        <v>2069</v>
      </c>
      <c r="C89" s="5290" t="s">
        <v>2070</v>
      </c>
      <c r="D89" s="5290" t="s">
        <v>286</v>
      </c>
      <c r="E89" s="5291">
        <v>0.04</v>
      </c>
      <c r="F89" s="2701">
        <v>1</v>
      </c>
      <c r="G89" s="5275">
        <v>0</v>
      </c>
      <c r="H89" s="5274">
        <v>0.10214960000000001</v>
      </c>
    </row>
    <row r="90" spans="2:8" ht="32" customHeight="1">
      <c r="B90" s="5298" t="s">
        <v>2071</v>
      </c>
      <c r="C90" s="5290" t="s">
        <v>2072</v>
      </c>
      <c r="D90" s="5290" t="s">
        <v>286</v>
      </c>
      <c r="E90" s="5291">
        <v>0.04</v>
      </c>
      <c r="F90" s="2701">
        <v>1</v>
      </c>
      <c r="G90" s="5275">
        <v>0</v>
      </c>
      <c r="H90" s="5274">
        <v>4.3779000000000003</v>
      </c>
    </row>
    <row r="91" spans="2:8" ht="32" customHeight="1">
      <c r="B91" s="5298" t="s">
        <v>2073</v>
      </c>
      <c r="C91" s="5290" t="s">
        <v>2074</v>
      </c>
      <c r="D91" s="5290" t="s">
        <v>286</v>
      </c>
      <c r="E91" s="5291">
        <v>0.03</v>
      </c>
      <c r="F91" s="2701">
        <v>1</v>
      </c>
      <c r="G91" s="5275">
        <v>0</v>
      </c>
      <c r="H91" s="5274">
        <v>7</v>
      </c>
    </row>
    <row r="92" spans="2:8" ht="32" customHeight="1">
      <c r="B92" s="5298" t="s">
        <v>2075</v>
      </c>
      <c r="C92" s="5290" t="s">
        <v>2076</v>
      </c>
      <c r="D92" s="5290" t="s">
        <v>288</v>
      </c>
      <c r="E92" s="5291">
        <v>0.04</v>
      </c>
      <c r="F92" s="2701">
        <v>2.7</v>
      </c>
      <c r="G92" s="5275">
        <v>0.83280792000000003</v>
      </c>
      <c r="H92" s="5274">
        <v>2.248581384</v>
      </c>
    </row>
    <row r="93" spans="2:8" ht="32" customHeight="1">
      <c r="B93" s="5298" t="s">
        <v>2077</v>
      </c>
      <c r="C93" s="5290" t="s">
        <v>2078</v>
      </c>
      <c r="D93" s="5290" t="s">
        <v>286</v>
      </c>
      <c r="E93" s="5291">
        <v>0.04</v>
      </c>
      <c r="F93" s="2701">
        <v>1</v>
      </c>
      <c r="G93" s="5275">
        <v>0</v>
      </c>
      <c r="H93" s="5274">
        <v>5.52</v>
      </c>
    </row>
    <row r="94" spans="2:8" ht="32" customHeight="1">
      <c r="B94" s="5298" t="s">
        <v>2079</v>
      </c>
      <c r="C94" s="5290" t="s">
        <v>2080</v>
      </c>
      <c r="D94" s="5290" t="s">
        <v>286</v>
      </c>
      <c r="E94" s="5291">
        <v>0.04</v>
      </c>
      <c r="F94" s="2701">
        <v>1</v>
      </c>
      <c r="G94" s="5275">
        <v>0</v>
      </c>
      <c r="H94" s="5274">
        <v>0.49352353000000004</v>
      </c>
    </row>
    <row r="95" spans="2:8" ht="32" customHeight="1">
      <c r="B95" s="5298" t="s">
        <v>2081</v>
      </c>
      <c r="C95" s="5290" t="s">
        <v>2082</v>
      </c>
      <c r="D95" s="5290" t="s">
        <v>288</v>
      </c>
      <c r="E95" s="5291">
        <v>0.04</v>
      </c>
      <c r="F95" s="2701">
        <v>2.7</v>
      </c>
      <c r="G95" s="5275">
        <v>0.13423289999999999</v>
      </c>
      <c r="H95" s="5274">
        <v>0.36242883000000004</v>
      </c>
    </row>
    <row r="96" spans="2:8" ht="32" customHeight="1">
      <c r="B96" s="5298" t="s">
        <v>2083</v>
      </c>
      <c r="C96" s="5290" t="s">
        <v>2084</v>
      </c>
      <c r="D96" s="5290" t="s">
        <v>286</v>
      </c>
      <c r="E96" s="5291">
        <v>0.03</v>
      </c>
      <c r="F96" s="2701">
        <v>1</v>
      </c>
      <c r="G96" s="5302"/>
      <c r="H96" s="5274">
        <v>1.788</v>
      </c>
    </row>
    <row r="97" spans="2:8" ht="32" customHeight="1">
      <c r="B97" s="5298" t="s">
        <v>2085</v>
      </c>
      <c r="C97" s="5290" t="s">
        <v>2086</v>
      </c>
      <c r="D97" s="5290" t="s">
        <v>286</v>
      </c>
      <c r="E97" s="5291">
        <v>2.5000000000000001E-2</v>
      </c>
      <c r="F97" s="2701">
        <v>1</v>
      </c>
      <c r="G97" s="5302"/>
      <c r="H97" s="5274">
        <v>2</v>
      </c>
    </row>
    <row r="98" spans="2:8" ht="32" customHeight="1">
      <c r="B98" s="5298" t="s">
        <v>2087</v>
      </c>
      <c r="C98" s="5290" t="s">
        <v>2088</v>
      </c>
      <c r="D98" s="5290" t="s">
        <v>288</v>
      </c>
      <c r="E98" s="5291">
        <v>4.4999999999999998E-2</v>
      </c>
      <c r="F98" s="2701">
        <v>2.7</v>
      </c>
      <c r="G98" s="5302">
        <v>0</v>
      </c>
      <c r="H98" s="5303">
        <v>0</v>
      </c>
    </row>
    <row r="99" spans="2:8" ht="32" customHeight="1" thickBot="1">
      <c r="B99" s="5304" t="s">
        <v>2089</v>
      </c>
      <c r="C99" s="5305" t="s">
        <v>2090</v>
      </c>
      <c r="D99" s="5305" t="s">
        <v>288</v>
      </c>
      <c r="E99" s="5306">
        <v>4.4999999999999998E-2</v>
      </c>
      <c r="F99" s="1498">
        <v>2.7</v>
      </c>
      <c r="G99" s="5307">
        <v>0</v>
      </c>
      <c r="H99" s="5308">
        <v>0</v>
      </c>
    </row>
  </sheetData>
  <mergeCells count="4">
    <mergeCell ref="B1:H1"/>
    <mergeCell ref="B2:H2"/>
    <mergeCell ref="B3:H3"/>
    <mergeCell ref="G4:H4"/>
  </mergeCells>
  <printOptions horizontalCentered="1" verticalCentered="1"/>
  <pageMargins left="0.25" right="0.25" top="0.75" bottom="0.75" header="0.3" footer="0.3"/>
  <pageSetup scale="23" firstPageNumber="103" orientation="portrait" useFirstPageNumber="1" r:id="rId1"/>
  <headerFooter scaleWithDoc="0" alignWithMargins="0">
    <oddFooter xml:space="preserve">&amp;C133
</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tabColor theme="9" tint="-0.499984740745262"/>
    <pageSetUpPr fitToPage="1"/>
  </sheetPr>
  <dimension ref="B1:J53"/>
  <sheetViews>
    <sheetView view="pageBreakPreview" zoomScale="40" zoomScaleNormal="50" zoomScaleSheetLayoutView="40" workbookViewId="0">
      <selection activeCell="B8" sqref="B8:H53"/>
    </sheetView>
  </sheetViews>
  <sheetFormatPr defaultColWidth="26.46484375" defaultRowHeight="25.5"/>
  <cols>
    <col min="1" max="1" width="7.6640625" style="1067" customWidth="1"/>
    <col min="2" max="2" width="234.33203125" style="1067" customWidth="1"/>
    <col min="3" max="3" width="74.46484375" style="1102" customWidth="1"/>
    <col min="4" max="4" width="34.46484375" style="1083" bestFit="1" customWidth="1"/>
    <col min="5" max="5" width="30.46484375" style="1103" bestFit="1" customWidth="1"/>
    <col min="6" max="6" width="34.46484375" style="1085" bestFit="1" customWidth="1"/>
    <col min="7" max="7" width="52.6640625" style="1153" bestFit="1" customWidth="1"/>
    <col min="8" max="8" width="46.33203125" style="1104" bestFit="1" customWidth="1"/>
    <col min="9" max="9" width="7.46484375" style="1096" customWidth="1"/>
    <col min="10" max="16384" width="26.46484375" style="1067"/>
  </cols>
  <sheetData>
    <row r="1" spans="2:10" ht="31.25" customHeight="1">
      <c r="B1" s="5882" t="s">
        <v>1838</v>
      </c>
      <c r="C1" s="5882"/>
      <c r="D1" s="5882"/>
      <c r="E1" s="5882"/>
      <c r="F1" s="5882"/>
      <c r="G1" s="5882"/>
      <c r="H1" s="5882"/>
    </row>
    <row r="2" spans="2:10" ht="27.75">
      <c r="B2" s="5882" t="s">
        <v>1073</v>
      </c>
      <c r="C2" s="5882"/>
      <c r="D2" s="5882"/>
      <c r="E2" s="5882"/>
      <c r="F2" s="5882"/>
      <c r="G2" s="5882"/>
      <c r="H2" s="5882"/>
    </row>
    <row r="3" spans="2:10" ht="27.75">
      <c r="B3" s="5882" t="s">
        <v>1967</v>
      </c>
      <c r="C3" s="5882"/>
      <c r="D3" s="5882"/>
      <c r="E3" s="5882"/>
      <c r="F3" s="5882"/>
      <c r="G3" s="5882"/>
      <c r="H3" s="5882"/>
    </row>
    <row r="4" spans="2:10" ht="18.5" customHeight="1" thickBot="1">
      <c r="B4" s="4892"/>
      <c r="C4" s="4892"/>
      <c r="D4" s="4892"/>
      <c r="E4" s="4892"/>
      <c r="F4" s="4892"/>
      <c r="G4" s="4892"/>
      <c r="H4" s="4892"/>
    </row>
    <row r="5" spans="2:10" ht="37.25" customHeight="1">
      <c r="B5" s="1068"/>
      <c r="C5" s="1099"/>
      <c r="D5" s="1100"/>
      <c r="E5" s="1069"/>
      <c r="F5" s="1070"/>
      <c r="G5" s="5890" t="s">
        <v>2333</v>
      </c>
      <c r="H5" s="5891"/>
    </row>
    <row r="6" spans="2:10" s="1486" customFormat="1" ht="29.25">
      <c r="B6" s="1479"/>
      <c r="C6" s="1480"/>
      <c r="D6" s="1481"/>
      <c r="E6" s="1482" t="s">
        <v>275</v>
      </c>
      <c r="F6" s="1483" t="s">
        <v>276</v>
      </c>
      <c r="G6" s="1484" t="s">
        <v>277</v>
      </c>
      <c r="H6" s="4890" t="s">
        <v>278</v>
      </c>
      <c r="I6" s="1485"/>
    </row>
    <row r="7" spans="2:10" s="1486" customFormat="1" ht="29.25">
      <c r="B7" s="1487" t="s">
        <v>742</v>
      </c>
      <c r="C7" s="1488" t="s">
        <v>279</v>
      </c>
      <c r="D7" s="1489" t="s">
        <v>280</v>
      </c>
      <c r="E7" s="1490" t="s">
        <v>281</v>
      </c>
      <c r="F7" s="1491" t="s">
        <v>281</v>
      </c>
      <c r="G7" s="1492" t="s">
        <v>280</v>
      </c>
      <c r="H7" s="1493" t="s">
        <v>282</v>
      </c>
      <c r="I7" s="1485"/>
    </row>
    <row r="8" spans="2:10" s="1486" customFormat="1" ht="42.5" customHeight="1">
      <c r="B8" s="5309"/>
      <c r="C8" s="5310"/>
      <c r="D8" s="5311"/>
      <c r="E8" s="5312"/>
      <c r="F8" s="5313"/>
      <c r="G8" s="5314"/>
      <c r="H8" s="5315"/>
    </row>
    <row r="9" spans="2:10" s="1495" customFormat="1" ht="42.5" customHeight="1">
      <c r="B9" s="5316" t="s">
        <v>1938</v>
      </c>
      <c r="C9" s="5317"/>
      <c r="D9" s="5318"/>
      <c r="E9" s="5319"/>
      <c r="F9" s="5320"/>
      <c r="G9" s="5321"/>
      <c r="H9" s="5322"/>
      <c r="I9" s="1494"/>
    </row>
    <row r="10" spans="2:10" s="1486" customFormat="1" ht="42.5" customHeight="1">
      <c r="B10" s="5323" t="s">
        <v>2091</v>
      </c>
      <c r="C10" s="5310" t="s">
        <v>2092</v>
      </c>
      <c r="D10" s="5311" t="s">
        <v>286</v>
      </c>
      <c r="E10" s="5312">
        <v>1.7999999999999999E-2</v>
      </c>
      <c r="F10" s="5313">
        <v>1</v>
      </c>
      <c r="G10" s="5324"/>
      <c r="H10" s="5325">
        <v>6.694</v>
      </c>
      <c r="I10" s="1485"/>
      <c r="J10" s="1486">
        <v>1000000</v>
      </c>
    </row>
    <row r="11" spans="2:10" s="1486" customFormat="1" ht="42.5" customHeight="1">
      <c r="B11" s="5323" t="s">
        <v>2093</v>
      </c>
      <c r="C11" s="5310" t="s">
        <v>2094</v>
      </c>
      <c r="D11" s="5311" t="s">
        <v>286</v>
      </c>
      <c r="E11" s="5312">
        <v>0.04</v>
      </c>
      <c r="F11" s="5313">
        <v>1</v>
      </c>
      <c r="G11" s="5324"/>
      <c r="H11" s="5325">
        <v>6.5190000000000001</v>
      </c>
      <c r="I11" s="1485"/>
    </row>
    <row r="12" spans="2:10" s="1486" customFormat="1" ht="42.5" customHeight="1">
      <c r="B12" s="5326" t="s">
        <v>2095</v>
      </c>
      <c r="C12" s="5310" t="s">
        <v>2096</v>
      </c>
      <c r="D12" s="5311" t="s">
        <v>286</v>
      </c>
      <c r="E12" s="5312">
        <v>0.04</v>
      </c>
      <c r="F12" s="5313">
        <v>1</v>
      </c>
      <c r="G12" s="5327"/>
      <c r="H12" s="5325">
        <v>5.742</v>
      </c>
    </row>
    <row r="13" spans="2:10" s="1486" customFormat="1" ht="42.5" customHeight="1">
      <c r="B13" s="5326" t="s">
        <v>2097</v>
      </c>
      <c r="C13" s="5310" t="s">
        <v>2098</v>
      </c>
      <c r="D13" s="5311" t="s">
        <v>286</v>
      </c>
      <c r="E13" s="5328">
        <v>2.0199999999999999E-2</v>
      </c>
      <c r="F13" s="5313">
        <v>1</v>
      </c>
      <c r="G13" s="5327"/>
      <c r="H13" s="5325">
        <v>11.672000000000001</v>
      </c>
    </row>
    <row r="14" spans="2:10" s="1486" customFormat="1" ht="42.5" customHeight="1">
      <c r="B14" s="5326" t="s">
        <v>2099</v>
      </c>
      <c r="C14" s="5310" t="s">
        <v>2100</v>
      </c>
      <c r="D14" s="5311" t="s">
        <v>286</v>
      </c>
      <c r="E14" s="5328">
        <v>0.02</v>
      </c>
      <c r="F14" s="5313">
        <v>1</v>
      </c>
      <c r="G14" s="5327"/>
      <c r="H14" s="5325">
        <v>8.5299999999999994</v>
      </c>
    </row>
    <row r="15" spans="2:10" s="1486" customFormat="1" ht="42.5" customHeight="1">
      <c r="B15" s="5329"/>
      <c r="C15" s="5310"/>
      <c r="D15" s="5311"/>
      <c r="E15" s="5330"/>
      <c r="F15" s="5313"/>
      <c r="G15" s="5327"/>
      <c r="H15" s="5325"/>
    </row>
    <row r="16" spans="2:10" s="1495" customFormat="1" ht="42.5" customHeight="1">
      <c r="B16" s="5331" t="s">
        <v>283</v>
      </c>
      <c r="C16" s="5317"/>
      <c r="D16" s="5318"/>
      <c r="E16" s="5332"/>
      <c r="F16" s="5320"/>
      <c r="G16" s="5333"/>
      <c r="H16" s="5325"/>
    </row>
    <row r="17" spans="2:9" s="1495" customFormat="1" ht="42.5" customHeight="1">
      <c r="B17" s="5334"/>
      <c r="C17" s="5317"/>
      <c r="D17" s="5318"/>
      <c r="E17" s="5335"/>
      <c r="F17" s="5320"/>
      <c r="G17" s="5333"/>
      <c r="H17" s="5325" t="s">
        <v>390</v>
      </c>
    </row>
    <row r="18" spans="2:9" s="1495" customFormat="1" ht="42.5" customHeight="1">
      <c r="B18" s="5336" t="s">
        <v>904</v>
      </c>
      <c r="C18" s="5317"/>
      <c r="D18" s="5318"/>
      <c r="E18" s="5335"/>
      <c r="F18" s="5320"/>
      <c r="G18" s="5333"/>
      <c r="H18" s="5325"/>
    </row>
    <row r="19" spans="2:9" s="1495" customFormat="1" ht="42.5" customHeight="1">
      <c r="B19" s="5337" t="s">
        <v>1890</v>
      </c>
      <c r="C19" s="5317"/>
      <c r="D19" s="5318"/>
      <c r="E19" s="5335"/>
      <c r="F19" s="5320"/>
      <c r="G19" s="5333"/>
      <c r="H19" s="5325"/>
    </row>
    <row r="20" spans="2:9" s="1486" customFormat="1" ht="42.5" customHeight="1">
      <c r="B20" s="5338" t="s">
        <v>1614</v>
      </c>
      <c r="C20" s="5339">
        <v>690113524</v>
      </c>
      <c r="D20" s="5311" t="s">
        <v>286</v>
      </c>
      <c r="E20" s="5340">
        <v>7.7499999999999999E-2</v>
      </c>
      <c r="F20" s="5313">
        <v>1</v>
      </c>
      <c r="G20" s="5327"/>
      <c r="H20" s="5325">
        <v>3.8515755299999999</v>
      </c>
    </row>
    <row r="21" spans="2:9" s="1486" customFormat="1" ht="53" customHeight="1">
      <c r="B21" s="5341" t="s">
        <v>2101</v>
      </c>
      <c r="C21" s="5339">
        <v>690098782</v>
      </c>
      <c r="D21" s="5311" t="s">
        <v>286</v>
      </c>
      <c r="E21" s="5340">
        <v>0.02</v>
      </c>
      <c r="F21" s="5313">
        <v>1</v>
      </c>
      <c r="G21" s="5327"/>
      <c r="H21" s="5325">
        <v>4.1298106499999996</v>
      </c>
    </row>
    <row r="22" spans="2:9" s="1486" customFormat="1" ht="53" customHeight="1">
      <c r="B22" s="5342" t="s">
        <v>2102</v>
      </c>
      <c r="C22" s="5339">
        <v>690120209</v>
      </c>
      <c r="D22" s="5311" t="s">
        <v>286</v>
      </c>
      <c r="E22" s="5340"/>
      <c r="F22" s="5313">
        <v>1</v>
      </c>
      <c r="G22" s="5333"/>
      <c r="H22" s="5325">
        <v>15.12</v>
      </c>
      <c r="I22" s="1485"/>
    </row>
    <row r="23" spans="2:9" s="1486" customFormat="1" ht="53" customHeight="1">
      <c r="B23" s="5343" t="s">
        <v>1615</v>
      </c>
      <c r="C23" s="5344">
        <v>690123485</v>
      </c>
      <c r="D23" s="5311" t="s">
        <v>286</v>
      </c>
      <c r="E23" s="5345">
        <v>0.09</v>
      </c>
      <c r="F23" s="5313">
        <v>1</v>
      </c>
      <c r="G23" s="5346"/>
      <c r="H23" s="5325">
        <v>3.8852514399999998</v>
      </c>
    </row>
    <row r="24" spans="2:9" s="1486" customFormat="1" ht="42.5" customHeight="1">
      <c r="B24" s="5343" t="s">
        <v>1616</v>
      </c>
      <c r="C24" s="5344">
        <v>690030459</v>
      </c>
      <c r="D24" s="5311" t="s">
        <v>286</v>
      </c>
      <c r="E24" s="5345"/>
      <c r="F24" s="5313">
        <v>1</v>
      </c>
      <c r="G24" s="5346"/>
      <c r="H24" s="5325">
        <v>0</v>
      </c>
    </row>
    <row r="25" spans="2:9" s="1486" customFormat="1" ht="42.5" customHeight="1">
      <c r="B25" s="5338" t="s">
        <v>2103</v>
      </c>
      <c r="C25" s="5339">
        <v>690120544</v>
      </c>
      <c r="D25" s="5311" t="s">
        <v>286</v>
      </c>
      <c r="E25" s="5312"/>
      <c r="F25" s="5313">
        <v>1</v>
      </c>
      <c r="G25" s="5333"/>
      <c r="H25" s="5325">
        <v>3.2119107699999998</v>
      </c>
      <c r="I25" s="1485"/>
    </row>
    <row r="26" spans="2:9" s="1486" customFormat="1" ht="42.5" customHeight="1">
      <c r="B26" s="5338" t="s">
        <v>1617</v>
      </c>
      <c r="C26" s="5347"/>
      <c r="D26" s="5347" t="s">
        <v>286</v>
      </c>
      <c r="E26" s="5312"/>
      <c r="F26" s="5313"/>
      <c r="G26" s="5327"/>
      <c r="H26" s="5325"/>
    </row>
    <row r="27" spans="2:9" s="1486" customFormat="1" ht="42.5" customHeight="1">
      <c r="B27" s="5348"/>
      <c r="C27" s="5347"/>
      <c r="D27" s="5347"/>
      <c r="E27" s="5312"/>
      <c r="F27" s="5313"/>
      <c r="G27" s="5327"/>
      <c r="H27" s="5325"/>
    </row>
    <row r="28" spans="2:9" s="1495" customFormat="1" ht="42.5" customHeight="1">
      <c r="B28" s="5349" t="s">
        <v>1891</v>
      </c>
      <c r="C28" s="5350"/>
      <c r="D28" s="5350"/>
      <c r="E28" s="5351"/>
      <c r="F28" s="5320"/>
      <c r="G28" s="5352"/>
      <c r="H28" s="5325"/>
    </row>
    <row r="29" spans="2:9" s="1495" customFormat="1" ht="42.5" customHeight="1">
      <c r="B29" s="5353" t="s">
        <v>1618</v>
      </c>
      <c r="C29" s="5354"/>
      <c r="D29" s="5354" t="s">
        <v>286</v>
      </c>
      <c r="E29" s="5345"/>
      <c r="F29" s="5313">
        <v>1</v>
      </c>
      <c r="G29" s="5352"/>
      <c r="H29" s="5325">
        <v>2.2486249999999999E-2</v>
      </c>
    </row>
    <row r="30" spans="2:9" s="1486" customFormat="1" ht="42.5" customHeight="1">
      <c r="B30" s="5353" t="s">
        <v>1619</v>
      </c>
      <c r="C30" s="5354"/>
      <c r="D30" s="5354" t="s">
        <v>286</v>
      </c>
      <c r="E30" s="5345"/>
      <c r="F30" s="5313">
        <v>1</v>
      </c>
      <c r="G30" s="5346"/>
      <c r="H30" s="5325">
        <v>10.100477199999998</v>
      </c>
    </row>
    <row r="31" spans="2:9" s="1486" customFormat="1" ht="42.5" customHeight="1">
      <c r="B31" s="5353" t="s">
        <v>2104</v>
      </c>
      <c r="C31" s="5355"/>
      <c r="D31" s="5355" t="s">
        <v>286</v>
      </c>
      <c r="E31" s="5345">
        <v>0.04</v>
      </c>
      <c r="F31" s="5356">
        <v>1</v>
      </c>
      <c r="G31" s="5346"/>
      <c r="H31" s="5325">
        <v>11.029637859999999</v>
      </c>
    </row>
    <row r="32" spans="2:9" s="1486" customFormat="1" ht="42.5" customHeight="1">
      <c r="B32" s="5357"/>
      <c r="C32" s="5358"/>
      <c r="D32" s="5358"/>
      <c r="E32" s="5345"/>
      <c r="F32" s="5313"/>
      <c r="G32" s="5346"/>
      <c r="H32" s="5325"/>
    </row>
    <row r="33" spans="2:9" s="1495" customFormat="1" ht="42.5" customHeight="1">
      <c r="B33" s="5349" t="s">
        <v>1892</v>
      </c>
      <c r="C33" s="5350"/>
      <c r="D33" s="5350"/>
      <c r="E33" s="5351"/>
      <c r="F33" s="5320"/>
      <c r="G33" s="5352"/>
      <c r="H33" s="5325"/>
    </row>
    <row r="34" spans="2:9" s="1486" customFormat="1" ht="30" customHeight="1">
      <c r="B34" s="5359" t="s">
        <v>1620</v>
      </c>
      <c r="C34" s="5360"/>
      <c r="D34" s="5347" t="s">
        <v>286</v>
      </c>
      <c r="E34" s="5312">
        <v>0.08</v>
      </c>
      <c r="F34" s="5313">
        <v>1</v>
      </c>
      <c r="G34" s="5327"/>
      <c r="H34" s="5325">
        <v>0.11714948</v>
      </c>
    </row>
    <row r="35" spans="2:9" s="1486" customFormat="1" ht="39" customHeight="1">
      <c r="B35" s="5361" t="s">
        <v>1621</v>
      </c>
      <c r="C35" s="5311"/>
      <c r="D35" s="5311" t="s">
        <v>286</v>
      </c>
      <c r="E35" s="5312">
        <v>0.08</v>
      </c>
      <c r="F35" s="5313">
        <v>1</v>
      </c>
      <c r="G35" s="5362"/>
      <c r="H35" s="5325">
        <v>0</v>
      </c>
    </row>
    <row r="36" spans="2:9" s="1486" customFormat="1" ht="39" customHeight="1">
      <c r="B36" s="5359" t="s">
        <v>1622</v>
      </c>
      <c r="C36" s="5347"/>
      <c r="D36" s="5311" t="s">
        <v>286</v>
      </c>
      <c r="E36" s="5312">
        <v>0.08</v>
      </c>
      <c r="F36" s="5363">
        <v>1</v>
      </c>
      <c r="G36" s="5327"/>
      <c r="H36" s="5325">
        <v>8.257668E-2</v>
      </c>
    </row>
    <row r="37" spans="2:9" s="1486" customFormat="1" ht="39" customHeight="1">
      <c r="B37" s="5364" t="s">
        <v>1623</v>
      </c>
      <c r="C37" s="5365"/>
      <c r="D37" s="5310" t="s">
        <v>286</v>
      </c>
      <c r="E37" s="5366"/>
      <c r="F37" s="5363"/>
      <c r="G37" s="5367"/>
      <c r="H37" s="5325">
        <v>8.6321660000000008E-2</v>
      </c>
      <c r="I37" s="1485"/>
    </row>
    <row r="38" spans="2:9" s="1495" customFormat="1" ht="39" customHeight="1">
      <c r="B38" s="5368"/>
      <c r="C38" s="5369"/>
      <c r="D38" s="5370"/>
      <c r="E38" s="5366"/>
      <c r="F38" s="5363"/>
      <c r="G38" s="5371"/>
      <c r="H38" s="5325"/>
      <c r="I38" s="1494"/>
    </row>
    <row r="39" spans="2:9" s="1486" customFormat="1" ht="39" customHeight="1">
      <c r="B39" s="5349" t="s">
        <v>1893</v>
      </c>
      <c r="C39" s="5354"/>
      <c r="D39" s="5354"/>
      <c r="E39" s="5345"/>
      <c r="F39" s="5313"/>
      <c r="G39" s="5346"/>
      <c r="H39" s="5325"/>
    </row>
    <row r="40" spans="2:9" s="1486" customFormat="1" ht="39" customHeight="1">
      <c r="B40" s="5372" t="s">
        <v>1624</v>
      </c>
      <c r="C40" s="5354"/>
      <c r="D40" s="5354" t="s">
        <v>286</v>
      </c>
      <c r="E40" s="5345">
        <v>0.04</v>
      </c>
      <c r="F40" s="5313">
        <v>1</v>
      </c>
      <c r="G40" s="5346"/>
      <c r="H40" s="5325">
        <v>34.009187070000003</v>
      </c>
    </row>
    <row r="41" spans="2:9" s="1486" customFormat="1" ht="39" customHeight="1">
      <c r="B41" s="5372" t="s">
        <v>1625</v>
      </c>
      <c r="C41" s="5350"/>
      <c r="D41" s="5354" t="s">
        <v>286</v>
      </c>
      <c r="E41" s="5345">
        <v>0.04</v>
      </c>
      <c r="F41" s="5313">
        <v>1</v>
      </c>
      <c r="G41" s="5346"/>
      <c r="H41" s="5325">
        <v>12.598341</v>
      </c>
    </row>
    <row r="42" spans="2:9" s="1486" customFormat="1" ht="39" customHeight="1">
      <c r="B42" s="5372" t="s">
        <v>1626</v>
      </c>
      <c r="C42" s="5354"/>
      <c r="D42" s="5354" t="s">
        <v>286</v>
      </c>
      <c r="E42" s="5345">
        <v>6.5000000000000002E-2</v>
      </c>
      <c r="F42" s="5313">
        <v>1</v>
      </c>
      <c r="G42" s="5346"/>
      <c r="H42" s="5325">
        <v>8.5</v>
      </c>
    </row>
    <row r="43" spans="2:9" s="1486" customFormat="1" ht="39" customHeight="1">
      <c r="B43" s="5372" t="s">
        <v>1627</v>
      </c>
      <c r="C43" s="5354"/>
      <c r="D43" s="5354" t="s">
        <v>286</v>
      </c>
      <c r="E43" s="5345">
        <v>6.5000000000000002E-2</v>
      </c>
      <c r="F43" s="5313">
        <v>1</v>
      </c>
      <c r="G43" s="5346"/>
      <c r="H43" s="5325">
        <v>32.711727809999999</v>
      </c>
    </row>
    <row r="44" spans="2:9" s="1486" customFormat="1" ht="39" customHeight="1">
      <c r="B44" s="5372" t="s">
        <v>1628</v>
      </c>
      <c r="C44" s="5354"/>
      <c r="D44" s="5354" t="s">
        <v>286</v>
      </c>
      <c r="E44" s="5345">
        <v>0.03</v>
      </c>
      <c r="F44" s="5313">
        <v>1</v>
      </c>
      <c r="G44" s="5346"/>
      <c r="H44" s="5325">
        <v>13.3473308</v>
      </c>
    </row>
    <row r="45" spans="2:9" ht="36">
      <c r="B45" s="5372" t="s">
        <v>1629</v>
      </c>
      <c r="C45" s="5354"/>
      <c r="D45" s="5354" t="s">
        <v>286</v>
      </c>
      <c r="E45" s="5345">
        <v>0.03</v>
      </c>
      <c r="F45" s="5313">
        <v>1</v>
      </c>
      <c r="G45" s="5346"/>
      <c r="H45" s="5325">
        <v>4.2238063399999994</v>
      </c>
    </row>
    <row r="46" spans="2:9" ht="36">
      <c r="B46" s="5357"/>
      <c r="C46" s="5354"/>
      <c r="D46" s="5354"/>
      <c r="E46" s="5345"/>
      <c r="F46" s="5313"/>
      <c r="G46" s="5346"/>
      <c r="H46" s="5325"/>
    </row>
    <row r="47" spans="2:9" s="1073" customFormat="1" ht="34.9">
      <c r="B47" s="5349" t="s">
        <v>285</v>
      </c>
      <c r="C47" s="5350"/>
      <c r="D47" s="5350"/>
      <c r="E47" s="5351"/>
      <c r="F47" s="5320"/>
      <c r="G47" s="5352"/>
      <c r="H47" s="5373">
        <v>157.05010934999999</v>
      </c>
      <c r="I47" s="1098"/>
    </row>
    <row r="48" spans="2:9" ht="36">
      <c r="B48" s="5357"/>
      <c r="C48" s="5354"/>
      <c r="D48" s="5354"/>
      <c r="E48" s="5345"/>
      <c r="F48" s="5313"/>
      <c r="G48" s="5346"/>
      <c r="H48" s="5325"/>
    </row>
    <row r="49" spans="2:9" s="1073" customFormat="1" ht="34.9">
      <c r="B49" s="5349" t="s">
        <v>1630</v>
      </c>
      <c r="C49" s="5350"/>
      <c r="D49" s="5350"/>
      <c r="E49" s="5351"/>
      <c r="F49" s="5320"/>
      <c r="G49" s="5352"/>
      <c r="H49" s="5373">
        <v>0</v>
      </c>
      <c r="I49" s="1098"/>
    </row>
    <row r="50" spans="2:9" ht="36">
      <c r="B50" s="5357"/>
      <c r="C50" s="5354"/>
      <c r="D50" s="5354"/>
      <c r="E50" s="5345"/>
      <c r="F50" s="5313"/>
      <c r="G50" s="5346"/>
      <c r="H50" s="5325"/>
    </row>
    <row r="51" spans="2:9" s="1073" customFormat="1" ht="34.9">
      <c r="B51" s="5349" t="s">
        <v>287</v>
      </c>
      <c r="C51" s="5350"/>
      <c r="D51" s="5350"/>
      <c r="E51" s="5351"/>
      <c r="F51" s="5320"/>
      <c r="G51" s="5352"/>
      <c r="H51" s="5373">
        <v>0</v>
      </c>
      <c r="I51" s="1098"/>
    </row>
    <row r="52" spans="2:9" ht="36">
      <c r="B52" s="5357"/>
      <c r="C52" s="5354"/>
      <c r="D52" s="5354"/>
      <c r="E52" s="5345"/>
      <c r="F52" s="5313"/>
      <c r="G52" s="5355"/>
      <c r="H52" s="5325"/>
    </row>
    <row r="53" spans="2:9" s="2508" customFormat="1" ht="35.25" thickBot="1">
      <c r="B53" s="5374" t="s">
        <v>247</v>
      </c>
      <c r="C53" s="5375"/>
      <c r="D53" s="5376"/>
      <c r="E53" s="5377"/>
      <c r="F53" s="5378"/>
      <c r="G53" s="5379"/>
      <c r="H53" s="5380">
        <v>1935.8885691050002</v>
      </c>
      <c r="I53" s="2507"/>
    </row>
  </sheetData>
  <mergeCells count="4">
    <mergeCell ref="B1:H1"/>
    <mergeCell ref="B2:H2"/>
    <mergeCell ref="B3:H3"/>
    <mergeCell ref="G5:H5"/>
  </mergeCells>
  <printOptions horizontalCentered="1" verticalCentered="1"/>
  <pageMargins left="0.25" right="0.25" top="0.75" bottom="0.75" header="0.3" footer="0.3"/>
  <pageSetup scale="24" firstPageNumber="103" orientation="landscape" useFirstPageNumber="1" r:id="rId1"/>
  <headerFooter scaleWithDoc="0" alignWithMargins="0">
    <oddFooter xml:space="preserve">&amp;C134
</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4">
    <tabColor theme="9" tint="-0.499984740745262"/>
    <pageSetUpPr fitToPage="1"/>
  </sheetPr>
  <dimension ref="A1:J98"/>
  <sheetViews>
    <sheetView view="pageBreakPreview" zoomScale="40" zoomScaleNormal="60" zoomScaleSheetLayoutView="40" workbookViewId="0">
      <selection activeCell="E16" sqref="E16"/>
    </sheetView>
  </sheetViews>
  <sheetFormatPr defaultColWidth="9.46484375" defaultRowHeight="25.5"/>
  <cols>
    <col min="1" max="1" width="9.46484375" style="1067"/>
    <col min="2" max="2" width="155.6640625" style="1117" customWidth="1"/>
    <col min="3" max="3" width="58.46484375" style="5419" customWidth="1"/>
    <col min="4" max="4" width="23" style="1083" customWidth="1"/>
    <col min="5" max="5" width="23.33203125" style="1118" customWidth="1"/>
    <col min="6" max="6" width="24.33203125" style="1119" customWidth="1"/>
    <col min="7" max="7" width="33.6640625" style="1120" bestFit="1" customWidth="1"/>
    <col min="8" max="8" width="27.46484375" style="1086" customWidth="1"/>
    <col min="9" max="9" width="9.46484375" style="1067"/>
    <col min="10" max="10" width="17.6640625" style="1067" bestFit="1" customWidth="1"/>
    <col min="11" max="16384" width="9.46484375" style="1067"/>
  </cols>
  <sheetData>
    <row r="1" spans="2:10">
      <c r="B1" s="5886" t="s">
        <v>1839</v>
      </c>
      <c r="C1" s="5886"/>
      <c r="D1" s="5886"/>
      <c r="E1" s="5886"/>
      <c r="F1" s="5886"/>
      <c r="G1" s="5886"/>
      <c r="H1" s="5886"/>
    </row>
    <row r="2" spans="2:10">
      <c r="B2" s="5886" t="s">
        <v>1073</v>
      </c>
      <c r="C2" s="5886"/>
      <c r="D2" s="5886"/>
      <c r="E2" s="5886"/>
      <c r="F2" s="5886"/>
      <c r="G2" s="5886"/>
      <c r="H2" s="5886"/>
    </row>
    <row r="3" spans="2:10" ht="25.9" thickBot="1">
      <c r="B3" s="5892" t="s">
        <v>1967</v>
      </c>
      <c r="C3" s="5892"/>
      <c r="D3" s="5892"/>
      <c r="E3" s="5892"/>
      <c r="F3" s="5892"/>
      <c r="G3" s="5892"/>
      <c r="H3" s="5892"/>
    </row>
    <row r="4" spans="2:10" ht="31.25" customHeight="1">
      <c r="B4" s="1105"/>
      <c r="C4" s="5418"/>
      <c r="D4" s="1106"/>
      <c r="E4" s="1107"/>
      <c r="F4" s="1108"/>
      <c r="G4" s="5893" t="s">
        <v>2333</v>
      </c>
      <c r="H4" s="5894"/>
    </row>
    <row r="5" spans="2:10" ht="36.5" customHeight="1">
      <c r="B5" s="1092"/>
      <c r="C5" s="1087"/>
      <c r="D5" s="1087"/>
      <c r="E5" s="1109" t="s">
        <v>275</v>
      </c>
      <c r="F5" s="1071" t="s">
        <v>276</v>
      </c>
      <c r="G5" s="4893" t="s">
        <v>277</v>
      </c>
      <c r="H5" s="4894" t="s">
        <v>278</v>
      </c>
      <c r="J5" s="1067">
        <v>1000000</v>
      </c>
    </row>
    <row r="6" spans="2:10" ht="31.25" customHeight="1" thickBot="1">
      <c r="B6" s="1110"/>
      <c r="C6" s="1087" t="s">
        <v>279</v>
      </c>
      <c r="D6" s="1087" t="s">
        <v>280</v>
      </c>
      <c r="E6" s="1109" t="s">
        <v>281</v>
      </c>
      <c r="F6" s="1111" t="s">
        <v>281</v>
      </c>
      <c r="G6" s="1112" t="s">
        <v>280</v>
      </c>
      <c r="H6" s="4724" t="s">
        <v>282</v>
      </c>
    </row>
    <row r="7" spans="2:10" ht="21" customHeight="1">
      <c r="B7" s="5387" t="s">
        <v>494</v>
      </c>
      <c r="C7" s="1106"/>
      <c r="D7" s="2509"/>
      <c r="E7" s="5388"/>
      <c r="F7" s="1441"/>
      <c r="G7" s="5389"/>
      <c r="H7" s="5390"/>
    </row>
    <row r="8" spans="2:10" ht="30.75">
      <c r="B8" s="5391" t="s">
        <v>1894</v>
      </c>
      <c r="C8" s="1077"/>
      <c r="D8" s="1452"/>
      <c r="E8" s="5392"/>
      <c r="F8" s="1450"/>
      <c r="G8" s="5393"/>
      <c r="H8" s="5394"/>
    </row>
    <row r="9" spans="2:10" ht="18" customHeight="1">
      <c r="B9" s="5391"/>
      <c r="C9" s="1077"/>
      <c r="D9" s="1452"/>
      <c r="E9" s="5392"/>
      <c r="F9" s="1450"/>
      <c r="G9" s="5393"/>
      <c r="H9" s="5395"/>
    </row>
    <row r="10" spans="2:10" s="1073" customFormat="1" ht="25.25" customHeight="1">
      <c r="B10" s="5391" t="s">
        <v>2105</v>
      </c>
      <c r="C10" s="1087" t="s">
        <v>581</v>
      </c>
      <c r="D10" s="2505" t="s">
        <v>286</v>
      </c>
      <c r="E10" s="5396">
        <v>7.4999999999999997E-2</v>
      </c>
      <c r="F10" s="2506">
        <v>1</v>
      </c>
      <c r="G10" s="5397"/>
      <c r="H10" s="5398">
        <v>0.54</v>
      </c>
    </row>
    <row r="11" spans="2:10" s="1073" customFormat="1" ht="25.25" customHeight="1">
      <c r="B11" s="5391"/>
      <c r="C11" s="1087"/>
      <c r="D11" s="2505"/>
      <c r="E11" s="5396"/>
      <c r="F11" s="2506"/>
      <c r="G11" s="5397"/>
      <c r="H11" s="4733"/>
    </row>
    <row r="12" spans="2:10" ht="25.25" customHeight="1">
      <c r="B12" s="5391" t="s">
        <v>1934</v>
      </c>
      <c r="C12" s="1077"/>
      <c r="D12" s="1452"/>
      <c r="E12" s="5392"/>
      <c r="F12" s="1450"/>
      <c r="G12" s="5393"/>
      <c r="H12" s="4733"/>
    </row>
    <row r="13" spans="2:10" ht="25.25" customHeight="1">
      <c r="B13" s="5399" t="s">
        <v>2106</v>
      </c>
      <c r="C13" s="1077" t="s">
        <v>534</v>
      </c>
      <c r="D13" s="1452" t="s">
        <v>286</v>
      </c>
      <c r="E13" s="5392">
        <v>7.9500000000000001E-2</v>
      </c>
      <c r="F13" s="1450">
        <v>1</v>
      </c>
      <c r="G13" s="5393"/>
      <c r="H13" s="4733">
        <v>10</v>
      </c>
    </row>
    <row r="14" spans="2:10" ht="25.25" customHeight="1">
      <c r="B14" s="5399" t="s">
        <v>2107</v>
      </c>
      <c r="C14" s="1077"/>
      <c r="D14" s="1452" t="s">
        <v>286</v>
      </c>
      <c r="E14" s="5392">
        <v>7.4999999999999997E-2</v>
      </c>
      <c r="F14" s="1450">
        <v>1</v>
      </c>
      <c r="G14" s="5400"/>
      <c r="H14" s="4733">
        <v>7.5919999999999996</v>
      </c>
    </row>
    <row r="15" spans="2:10" ht="30.75">
      <c r="B15" s="5399" t="s">
        <v>2108</v>
      </c>
      <c r="C15" s="1077"/>
      <c r="D15" s="1452" t="s">
        <v>286</v>
      </c>
      <c r="E15" s="5392">
        <v>7.2499999999999995E-2</v>
      </c>
      <c r="F15" s="1450">
        <v>1</v>
      </c>
      <c r="G15" s="5400"/>
      <c r="H15" s="4733">
        <v>13.646000000000001</v>
      </c>
    </row>
    <row r="16" spans="2:10" ht="30.75">
      <c r="B16" s="5399" t="s">
        <v>2109</v>
      </c>
      <c r="C16" s="1077"/>
      <c r="D16" s="1452" t="s">
        <v>286</v>
      </c>
      <c r="E16" s="5392">
        <v>6.8000000000000005E-2</v>
      </c>
      <c r="F16" s="1450">
        <v>1</v>
      </c>
      <c r="G16" s="5400"/>
      <c r="H16" s="4733">
        <v>8.8070000000000004</v>
      </c>
    </row>
    <row r="17" spans="2:8" ht="25.25" customHeight="1">
      <c r="B17" s="5399" t="s">
        <v>2110</v>
      </c>
      <c r="C17" s="1077"/>
      <c r="D17" s="1452" t="s">
        <v>286</v>
      </c>
      <c r="E17" s="5392">
        <v>6.9500000000000006E-2</v>
      </c>
      <c r="F17" s="1450">
        <v>1</v>
      </c>
      <c r="G17" s="5400"/>
      <c r="H17" s="4733">
        <v>16.72</v>
      </c>
    </row>
    <row r="18" spans="2:8" ht="25.25" customHeight="1">
      <c r="B18" s="5399" t="s">
        <v>2111</v>
      </c>
      <c r="C18" s="1077"/>
      <c r="D18" s="1452" t="s">
        <v>286</v>
      </c>
      <c r="E18" s="5392">
        <v>7.0000000000000007E-2</v>
      </c>
      <c r="F18" s="1450">
        <v>1</v>
      </c>
      <c r="G18" s="5400"/>
      <c r="H18" s="4733">
        <v>4.6829999999999998</v>
      </c>
    </row>
    <row r="19" spans="2:8" ht="25.25" customHeight="1">
      <c r="B19" s="5399" t="s">
        <v>2112</v>
      </c>
      <c r="C19" s="1077"/>
      <c r="D19" s="1452" t="s">
        <v>286</v>
      </c>
      <c r="E19" s="5392">
        <v>6.9900000000000004E-2</v>
      </c>
      <c r="F19" s="1450">
        <v>1</v>
      </c>
      <c r="G19" s="5400"/>
      <c r="H19" s="4733">
        <v>9.4220000000000006</v>
      </c>
    </row>
    <row r="20" spans="2:8" ht="25.25" customHeight="1">
      <c r="B20" s="5399" t="s">
        <v>2113</v>
      </c>
      <c r="C20" s="1077"/>
      <c r="D20" s="1452" t="s">
        <v>286</v>
      </c>
      <c r="E20" s="5392">
        <v>6.5000000000000002E-2</v>
      </c>
      <c r="F20" s="1450">
        <v>1</v>
      </c>
      <c r="G20" s="5400"/>
      <c r="H20" s="4733">
        <v>9.346152000000002E-2</v>
      </c>
    </row>
    <row r="21" spans="2:8" ht="25.25" customHeight="1">
      <c r="B21" s="5399" t="s">
        <v>2114</v>
      </c>
      <c r="C21" s="1077"/>
      <c r="D21" s="1452" t="s">
        <v>286</v>
      </c>
      <c r="E21" s="5392">
        <v>7.4999999999999997E-2</v>
      </c>
      <c r="F21" s="1450">
        <v>1</v>
      </c>
      <c r="G21" s="5400"/>
      <c r="H21" s="4733">
        <v>0.35</v>
      </c>
    </row>
    <row r="22" spans="2:8" ht="25.25" customHeight="1">
      <c r="B22" s="5401" t="s">
        <v>2115</v>
      </c>
      <c r="C22" s="1077"/>
      <c r="D22" s="1452" t="s">
        <v>286</v>
      </c>
      <c r="E22" s="5392">
        <v>6.9900000000000004E-2</v>
      </c>
      <c r="F22" s="1450">
        <v>1</v>
      </c>
      <c r="G22" s="5400"/>
      <c r="H22" s="4733">
        <v>5.4219999999999997</v>
      </c>
    </row>
    <row r="23" spans="2:8" ht="25.25" customHeight="1">
      <c r="B23" s="5402" t="s">
        <v>2116</v>
      </c>
      <c r="C23" s="1097"/>
      <c r="D23" s="1478" t="s">
        <v>286</v>
      </c>
      <c r="E23" s="5403">
        <v>6.25E-2</v>
      </c>
      <c r="F23" s="1448">
        <v>1</v>
      </c>
      <c r="G23" s="5404"/>
      <c r="H23" s="4733">
        <v>6.5289999999999999</v>
      </c>
    </row>
    <row r="24" spans="2:8" ht="25.25" customHeight="1">
      <c r="B24" s="5402" t="s">
        <v>2117</v>
      </c>
      <c r="C24" s="1097"/>
      <c r="D24" s="1478" t="s">
        <v>286</v>
      </c>
      <c r="E24" s="5403">
        <v>7.0000000000000007E-2</v>
      </c>
      <c r="F24" s="1448">
        <v>1</v>
      </c>
      <c r="G24" s="5404"/>
      <c r="H24" s="4733">
        <v>0.47</v>
      </c>
    </row>
    <row r="25" spans="2:8" ht="25.25" customHeight="1">
      <c r="B25" s="5399" t="s">
        <v>2118</v>
      </c>
      <c r="C25" s="1077"/>
      <c r="D25" s="1452" t="s">
        <v>286</v>
      </c>
      <c r="E25" s="5392">
        <v>7.0999999999999994E-2</v>
      </c>
      <c r="F25" s="1450">
        <v>1</v>
      </c>
      <c r="G25" s="5405"/>
      <c r="H25" s="4733">
        <v>5.2</v>
      </c>
    </row>
    <row r="26" spans="2:8" ht="25.25" customHeight="1">
      <c r="B26" s="5399" t="s">
        <v>2119</v>
      </c>
      <c r="C26" s="1077"/>
      <c r="D26" s="1452" t="s">
        <v>286</v>
      </c>
      <c r="E26" s="5392">
        <v>6.25E-2</v>
      </c>
      <c r="F26" s="1450">
        <v>1</v>
      </c>
      <c r="G26" s="5406"/>
      <c r="H26" s="4733">
        <v>0.53827279999999977</v>
      </c>
    </row>
    <row r="27" spans="2:8" ht="25.25" customHeight="1">
      <c r="B27" s="5399" t="s">
        <v>2120</v>
      </c>
      <c r="C27" s="1077"/>
      <c r="D27" s="1452" t="s">
        <v>286</v>
      </c>
      <c r="E27" s="5392">
        <v>7.4999999999999997E-2</v>
      </c>
      <c r="F27" s="1450">
        <v>1</v>
      </c>
      <c r="G27" s="5406"/>
      <c r="H27" s="4733">
        <v>10.957150820000001</v>
      </c>
    </row>
    <row r="28" spans="2:8" ht="25.25" customHeight="1">
      <c r="B28" s="5399" t="s">
        <v>2121</v>
      </c>
      <c r="C28" s="1077"/>
      <c r="D28" s="1452" t="s">
        <v>288</v>
      </c>
      <c r="E28" s="5392">
        <v>7.0000000000000007E-2</v>
      </c>
      <c r="F28" s="1450">
        <v>2.7</v>
      </c>
      <c r="G28" s="4422">
        <v>4.2930000000000001</v>
      </c>
      <c r="H28" s="4733">
        <v>11.591100000000001</v>
      </c>
    </row>
    <row r="29" spans="2:8" ht="25.25" customHeight="1">
      <c r="B29" s="5399" t="s">
        <v>2122</v>
      </c>
      <c r="C29" s="1077" t="s">
        <v>1536</v>
      </c>
      <c r="D29" s="1452" t="s">
        <v>288</v>
      </c>
      <c r="E29" s="5392">
        <v>6.7500000000000004E-2</v>
      </c>
      <c r="F29" s="1450">
        <v>2.7</v>
      </c>
      <c r="G29" s="4422">
        <v>11.332000000000001</v>
      </c>
      <c r="H29" s="4733">
        <v>30.596400000000003</v>
      </c>
    </row>
    <row r="30" spans="2:8" ht="25.25" customHeight="1">
      <c r="B30" s="5399" t="s">
        <v>2123</v>
      </c>
      <c r="C30" s="1077" t="s">
        <v>619</v>
      </c>
      <c r="D30" s="1452" t="s">
        <v>286</v>
      </c>
      <c r="E30" s="5392">
        <v>7.4999999999999997E-2</v>
      </c>
      <c r="F30" s="1450">
        <v>1</v>
      </c>
      <c r="G30" s="4422">
        <v>0</v>
      </c>
      <c r="H30" s="4733">
        <v>7.82</v>
      </c>
    </row>
    <row r="31" spans="2:8" ht="25.25" customHeight="1">
      <c r="B31" s="5399" t="s">
        <v>2124</v>
      </c>
      <c r="C31" s="1077" t="s">
        <v>1537</v>
      </c>
      <c r="D31" s="1452" t="s">
        <v>288</v>
      </c>
      <c r="E31" s="5392">
        <v>7.0000000000000007E-2</v>
      </c>
      <c r="F31" s="1450">
        <v>2.7</v>
      </c>
      <c r="G31" s="4422">
        <v>3.9359999999999999</v>
      </c>
      <c r="H31" s="4733">
        <v>10.6272</v>
      </c>
    </row>
    <row r="32" spans="2:8" ht="25.25" customHeight="1">
      <c r="B32" s="5399" t="s">
        <v>2125</v>
      </c>
      <c r="C32" s="1077" t="s">
        <v>726</v>
      </c>
      <c r="D32" s="1452" t="s">
        <v>288</v>
      </c>
      <c r="E32" s="5392">
        <v>6.5000000000000002E-2</v>
      </c>
      <c r="F32" s="1450">
        <v>2.7</v>
      </c>
      <c r="G32" s="4422">
        <v>2.68</v>
      </c>
      <c r="H32" s="4733">
        <v>7.2360000000000007</v>
      </c>
    </row>
    <row r="33" spans="2:8" ht="25.25" customHeight="1">
      <c r="B33" s="5399" t="s">
        <v>2126</v>
      </c>
      <c r="C33" s="1077" t="s">
        <v>720</v>
      </c>
      <c r="D33" s="1452" t="s">
        <v>286</v>
      </c>
      <c r="E33" s="5392">
        <v>6.25E-2</v>
      </c>
      <c r="F33" s="1450">
        <v>1</v>
      </c>
      <c r="G33" s="4422">
        <v>0</v>
      </c>
      <c r="H33" s="4733">
        <v>8.11</v>
      </c>
    </row>
    <row r="34" spans="2:8" ht="25.25" customHeight="1">
      <c r="B34" s="5399" t="s">
        <v>2127</v>
      </c>
      <c r="C34" s="1077" t="s">
        <v>721</v>
      </c>
      <c r="D34" s="1452" t="s">
        <v>286</v>
      </c>
      <c r="E34" s="5392">
        <v>7.2499999999999995E-2</v>
      </c>
      <c r="F34" s="1450">
        <v>1</v>
      </c>
      <c r="G34" s="4422">
        <v>0</v>
      </c>
      <c r="H34" s="4733">
        <v>1.0069999999999999</v>
      </c>
    </row>
    <row r="35" spans="2:8" ht="25.25" customHeight="1">
      <c r="B35" s="5399" t="s">
        <v>2128</v>
      </c>
      <c r="C35" s="1077" t="s">
        <v>799</v>
      </c>
      <c r="D35" s="1452" t="s">
        <v>286</v>
      </c>
      <c r="E35" s="5392">
        <v>7.2499999999999995E-2</v>
      </c>
      <c r="F35" s="1450">
        <v>1</v>
      </c>
      <c r="G35" s="4422">
        <v>0</v>
      </c>
      <c r="H35" s="4733">
        <v>6.38</v>
      </c>
    </row>
    <row r="36" spans="2:8" ht="25.25" customHeight="1">
      <c r="B36" s="5399" t="s">
        <v>2129</v>
      </c>
      <c r="C36" s="1077" t="s">
        <v>791</v>
      </c>
      <c r="D36" s="1452" t="s">
        <v>288</v>
      </c>
      <c r="E36" s="5407">
        <v>6.4000000000000001E-2</v>
      </c>
      <c r="F36" s="1450">
        <v>2.7</v>
      </c>
      <c r="G36" s="4422">
        <v>1.0720000000000001</v>
      </c>
      <c r="H36" s="4733">
        <v>2.8944000000000001</v>
      </c>
    </row>
    <row r="37" spans="2:8" ht="25.25" customHeight="1">
      <c r="B37" s="5399" t="s">
        <v>2130</v>
      </c>
      <c r="C37" s="1077" t="s">
        <v>792</v>
      </c>
      <c r="D37" s="1452" t="s">
        <v>286</v>
      </c>
      <c r="E37" s="5407">
        <v>5.7500000000000002E-2</v>
      </c>
      <c r="F37" s="1450">
        <v>1</v>
      </c>
      <c r="G37" s="4422">
        <v>0</v>
      </c>
      <c r="H37" s="4733">
        <v>10.154999999999999</v>
      </c>
    </row>
    <row r="38" spans="2:8" ht="25.25" customHeight="1">
      <c r="B38" s="5399" t="s">
        <v>2131</v>
      </c>
      <c r="C38" s="1077" t="s">
        <v>793</v>
      </c>
      <c r="D38" s="1452" t="s">
        <v>286</v>
      </c>
      <c r="E38" s="5392">
        <v>6.5000000000000002E-2</v>
      </c>
      <c r="F38" s="1450">
        <v>1</v>
      </c>
      <c r="G38" s="4422">
        <v>0</v>
      </c>
      <c r="H38" s="4733">
        <v>6.8849999999999998</v>
      </c>
    </row>
    <row r="39" spans="2:8" ht="25.25" customHeight="1">
      <c r="B39" s="5399" t="s">
        <v>2132</v>
      </c>
      <c r="C39" s="1077" t="s">
        <v>794</v>
      </c>
      <c r="D39" s="1452" t="s">
        <v>286</v>
      </c>
      <c r="E39" s="5392">
        <v>7.2499999999999995E-2</v>
      </c>
      <c r="F39" s="1450">
        <v>1</v>
      </c>
      <c r="G39" s="4422">
        <v>0</v>
      </c>
      <c r="H39" s="4733">
        <v>1.9239999999999999</v>
      </c>
    </row>
    <row r="40" spans="2:8" ht="25.25" customHeight="1">
      <c r="B40" s="5408"/>
      <c r="C40" s="1077"/>
      <c r="D40" s="1452"/>
      <c r="E40" s="5392"/>
      <c r="F40" s="1450"/>
      <c r="G40" s="4422"/>
      <c r="H40" s="4733"/>
    </row>
    <row r="41" spans="2:8" s="1073" customFormat="1" ht="25.25" customHeight="1">
      <c r="B41" s="5409" t="s">
        <v>2358</v>
      </c>
      <c r="C41" s="1087"/>
      <c r="D41" s="2505"/>
      <c r="E41" s="5396"/>
      <c r="F41" s="2506"/>
      <c r="G41" s="4422"/>
      <c r="H41" s="4733"/>
    </row>
    <row r="42" spans="2:8" ht="25.25" customHeight="1">
      <c r="B42" s="5399" t="s">
        <v>1538</v>
      </c>
      <c r="C42" s="1077" t="s">
        <v>1539</v>
      </c>
      <c r="D42" s="1452" t="s">
        <v>288</v>
      </c>
      <c r="E42" s="5392">
        <v>7.4999999999999997E-2</v>
      </c>
      <c r="F42" s="1450">
        <v>2.7</v>
      </c>
      <c r="G42" s="4422">
        <v>1.1592870100000001</v>
      </c>
      <c r="H42" s="4733">
        <v>3.1300749270000003</v>
      </c>
    </row>
    <row r="43" spans="2:8" ht="25.25" customHeight="1">
      <c r="B43" s="5399" t="s">
        <v>1091</v>
      </c>
      <c r="C43" s="1077" t="s">
        <v>1092</v>
      </c>
      <c r="D43" s="1452" t="s">
        <v>286</v>
      </c>
      <c r="E43" s="5392">
        <v>6.7500000000000004E-2</v>
      </c>
      <c r="F43" s="1450">
        <v>1</v>
      </c>
      <c r="G43" s="4422">
        <v>0</v>
      </c>
      <c r="H43" s="4733">
        <v>3.1469999999999998</v>
      </c>
    </row>
    <row r="44" spans="2:8" ht="25.25" customHeight="1">
      <c r="B44" s="5399" t="s">
        <v>1631</v>
      </c>
      <c r="C44" s="1077" t="s">
        <v>616</v>
      </c>
      <c r="D44" s="1452" t="s">
        <v>286</v>
      </c>
      <c r="E44" s="5392">
        <v>7.4999999999999997E-2</v>
      </c>
      <c r="F44" s="1450">
        <v>1</v>
      </c>
      <c r="G44" s="4422">
        <v>0</v>
      </c>
      <c r="H44" s="4733">
        <v>34.515000000000001</v>
      </c>
    </row>
    <row r="45" spans="2:8" ht="25.25" customHeight="1">
      <c r="B45" s="5399" t="s">
        <v>1632</v>
      </c>
      <c r="C45" s="1077" t="s">
        <v>617</v>
      </c>
      <c r="D45" s="1452" t="s">
        <v>286</v>
      </c>
      <c r="E45" s="5392">
        <v>7.0000000000000007E-2</v>
      </c>
      <c r="F45" s="1450">
        <v>1</v>
      </c>
      <c r="G45" s="4422">
        <v>0</v>
      </c>
      <c r="H45" s="4733">
        <v>3.75</v>
      </c>
    </row>
    <row r="46" spans="2:8" ht="25.25" customHeight="1">
      <c r="B46" s="5399" t="s">
        <v>1633</v>
      </c>
      <c r="C46" s="1077" t="s">
        <v>618</v>
      </c>
      <c r="D46" s="1452" t="s">
        <v>286</v>
      </c>
      <c r="E46" s="5392">
        <v>7.4999999999999997E-2</v>
      </c>
      <c r="F46" s="1450">
        <v>1</v>
      </c>
      <c r="G46" s="4422">
        <v>0</v>
      </c>
      <c r="H46" s="4733">
        <v>1</v>
      </c>
    </row>
    <row r="47" spans="2:8" ht="25.25" customHeight="1">
      <c r="B47" s="5399" t="s">
        <v>1634</v>
      </c>
      <c r="C47" s="1077" t="s">
        <v>727</v>
      </c>
      <c r="D47" s="1452" t="s">
        <v>288</v>
      </c>
      <c r="E47" s="5392">
        <v>6.5000000000000002E-2</v>
      </c>
      <c r="F47" s="1450">
        <v>2.7</v>
      </c>
      <c r="G47" s="4422">
        <v>4</v>
      </c>
      <c r="H47" s="4733">
        <v>10.8</v>
      </c>
    </row>
    <row r="48" spans="2:8" ht="25.25" customHeight="1">
      <c r="B48" s="5399" t="s">
        <v>1635</v>
      </c>
      <c r="C48" s="1077" t="s">
        <v>723</v>
      </c>
      <c r="D48" s="1452" t="s">
        <v>286</v>
      </c>
      <c r="E48" s="5392">
        <v>6.25E-2</v>
      </c>
      <c r="F48" s="1450">
        <v>1</v>
      </c>
      <c r="G48" s="4422">
        <v>0</v>
      </c>
      <c r="H48" s="4733">
        <v>4.7450000000000001</v>
      </c>
    </row>
    <row r="49" spans="2:8" ht="25.25" customHeight="1">
      <c r="B49" s="5399" t="s">
        <v>1556</v>
      </c>
      <c r="C49" s="1077" t="s">
        <v>756</v>
      </c>
      <c r="D49" s="1452" t="s">
        <v>288</v>
      </c>
      <c r="E49" s="5392">
        <v>7.2499999999999995E-2</v>
      </c>
      <c r="F49" s="1450">
        <v>2.7</v>
      </c>
      <c r="G49" s="4422">
        <v>3.1799812000000003</v>
      </c>
      <c r="H49" s="4733">
        <v>8.5859492399999997</v>
      </c>
    </row>
    <row r="50" spans="2:8" ht="25.25" customHeight="1">
      <c r="B50" s="5399" t="s">
        <v>1553</v>
      </c>
      <c r="C50" s="1077" t="s">
        <v>753</v>
      </c>
      <c r="D50" s="1452" t="s">
        <v>286</v>
      </c>
      <c r="E50" s="5392">
        <v>7.2499999999999995E-2</v>
      </c>
      <c r="F50" s="1450">
        <v>1</v>
      </c>
      <c r="G50" s="4422">
        <v>0</v>
      </c>
      <c r="H50" s="4733">
        <v>2</v>
      </c>
    </row>
    <row r="51" spans="2:8" ht="25.25" customHeight="1">
      <c r="B51" s="5399" t="s">
        <v>1636</v>
      </c>
      <c r="C51" s="1077" t="s">
        <v>796</v>
      </c>
      <c r="D51" s="1452" t="s">
        <v>286</v>
      </c>
      <c r="E51" s="5392">
        <v>0.06</v>
      </c>
      <c r="F51" s="1450">
        <v>1</v>
      </c>
      <c r="G51" s="4422">
        <v>0</v>
      </c>
      <c r="H51" s="4733">
        <v>10.645</v>
      </c>
    </row>
    <row r="52" spans="2:8" ht="25.25" customHeight="1">
      <c r="B52" s="5399" t="s">
        <v>1560</v>
      </c>
      <c r="C52" s="1077" t="s">
        <v>797</v>
      </c>
      <c r="D52" s="1452" t="s">
        <v>288</v>
      </c>
      <c r="E52" s="5392">
        <v>6.5000000000000002E-2</v>
      </c>
      <c r="F52" s="1450">
        <v>2.7</v>
      </c>
      <c r="G52" s="4422">
        <v>0.875</v>
      </c>
      <c r="H52" s="4733">
        <v>2.3624999999999998</v>
      </c>
    </row>
    <row r="53" spans="2:8" ht="25.25" customHeight="1">
      <c r="B53" s="5399" t="s">
        <v>1101</v>
      </c>
      <c r="C53" s="1077" t="s">
        <v>891</v>
      </c>
      <c r="D53" s="1452" t="s">
        <v>286</v>
      </c>
      <c r="E53" s="5392">
        <v>0.06</v>
      </c>
      <c r="F53" s="1450">
        <v>1</v>
      </c>
      <c r="G53" s="4422">
        <v>0</v>
      </c>
      <c r="H53" s="4733">
        <v>7.1050000000000004</v>
      </c>
    </row>
    <row r="54" spans="2:8" ht="25.25" customHeight="1">
      <c r="B54" s="5399" t="s">
        <v>1100</v>
      </c>
      <c r="C54" s="1077" t="s">
        <v>890</v>
      </c>
      <c r="D54" s="1452" t="s">
        <v>286</v>
      </c>
      <c r="E54" s="5392">
        <v>7.2499999999999995E-2</v>
      </c>
      <c r="F54" s="1450">
        <v>1</v>
      </c>
      <c r="G54" s="4422">
        <v>0</v>
      </c>
      <c r="H54" s="4733">
        <v>1.4810000000000001</v>
      </c>
    </row>
    <row r="55" spans="2:8" ht="25.25" customHeight="1">
      <c r="B55" s="5399" t="s">
        <v>1570</v>
      </c>
      <c r="C55" s="1076" t="s">
        <v>798</v>
      </c>
      <c r="D55" s="1452" t="s">
        <v>286</v>
      </c>
      <c r="E55" s="5392">
        <v>5.7500000000000002E-2</v>
      </c>
      <c r="F55" s="1450">
        <v>1</v>
      </c>
      <c r="G55" s="4422">
        <v>0</v>
      </c>
      <c r="H55" s="4733">
        <v>14.4</v>
      </c>
    </row>
    <row r="56" spans="2:8" ht="25.25" customHeight="1">
      <c r="B56" s="5399" t="s">
        <v>1105</v>
      </c>
      <c r="C56" s="1077" t="s">
        <v>895</v>
      </c>
      <c r="D56" s="1452" t="s">
        <v>286</v>
      </c>
      <c r="E56" s="5392">
        <v>0.06</v>
      </c>
      <c r="F56" s="5410">
        <v>1</v>
      </c>
      <c r="G56" s="4422">
        <v>0</v>
      </c>
      <c r="H56" s="4733">
        <v>7.4277860000000002</v>
      </c>
    </row>
    <row r="57" spans="2:8" ht="25.25" customHeight="1">
      <c r="B57" s="5399" t="s">
        <v>1107</v>
      </c>
      <c r="C57" s="1077" t="s">
        <v>1120</v>
      </c>
      <c r="D57" s="1452" t="s">
        <v>286</v>
      </c>
      <c r="E57" s="5392">
        <v>7.0999999999999994E-2</v>
      </c>
      <c r="F57" s="1450">
        <v>1</v>
      </c>
      <c r="G57" s="4422">
        <v>0</v>
      </c>
      <c r="H57" s="4733">
        <v>6.0330000000000004</v>
      </c>
    </row>
    <row r="58" spans="2:8" ht="25.25" customHeight="1">
      <c r="B58" s="5399" t="s">
        <v>1565</v>
      </c>
      <c r="C58" s="1076" t="s">
        <v>1566</v>
      </c>
      <c r="D58" s="1452" t="s">
        <v>288</v>
      </c>
      <c r="E58" s="5392">
        <v>7.0000000000000007E-2</v>
      </c>
      <c r="F58" s="1450">
        <v>2.7</v>
      </c>
      <c r="G58" s="4422">
        <v>4.9889999999999999</v>
      </c>
      <c r="H58" s="4733">
        <v>13.4703</v>
      </c>
    </row>
    <row r="59" spans="2:8" ht="25.25" customHeight="1">
      <c r="B59" s="5399" t="s">
        <v>1567</v>
      </c>
      <c r="C59" s="1077" t="s">
        <v>1568</v>
      </c>
      <c r="D59" s="1452" t="s">
        <v>286</v>
      </c>
      <c r="E59" s="5392">
        <v>7.4999999999999997E-2</v>
      </c>
      <c r="F59" s="1450">
        <v>1</v>
      </c>
      <c r="G59" s="4422">
        <v>0</v>
      </c>
      <c r="H59" s="4733">
        <v>3.278</v>
      </c>
    </row>
    <row r="60" spans="2:8" ht="25.25" customHeight="1">
      <c r="B60" s="5399" t="s">
        <v>1094</v>
      </c>
      <c r="C60" s="1077" t="s">
        <v>1095</v>
      </c>
      <c r="D60" s="1452" t="s">
        <v>286</v>
      </c>
      <c r="E60" s="5392">
        <v>7.0000000000000007E-2</v>
      </c>
      <c r="F60" s="1450">
        <v>1</v>
      </c>
      <c r="G60" s="4422">
        <v>0</v>
      </c>
      <c r="H60" s="4733">
        <v>0.03</v>
      </c>
    </row>
    <row r="61" spans="2:8" ht="25.25" customHeight="1">
      <c r="B61" s="5399" t="s">
        <v>2011</v>
      </c>
      <c r="C61" s="3125"/>
      <c r="D61" s="2703" t="s">
        <v>286</v>
      </c>
      <c r="E61" s="5392">
        <v>7.0000000000000007E-2</v>
      </c>
      <c r="F61" s="2704">
        <v>1</v>
      </c>
      <c r="G61" s="4422">
        <v>0</v>
      </c>
      <c r="H61" s="4733">
        <v>6.2549999999999999</v>
      </c>
    </row>
    <row r="62" spans="2:8" ht="25.25" customHeight="1">
      <c r="B62" s="5399" t="s">
        <v>2133</v>
      </c>
      <c r="C62" s="3125"/>
      <c r="D62" s="2703" t="s">
        <v>288</v>
      </c>
      <c r="E62" s="5392" t="s">
        <v>2134</v>
      </c>
      <c r="F62" s="2704">
        <v>2.7</v>
      </c>
      <c r="G62" s="4422">
        <v>40</v>
      </c>
      <c r="H62" s="4733">
        <v>108</v>
      </c>
    </row>
    <row r="63" spans="2:8" ht="25.25" customHeight="1">
      <c r="B63" s="5399" t="s">
        <v>2013</v>
      </c>
      <c r="C63" s="3125" t="s">
        <v>2014</v>
      </c>
      <c r="D63" s="2703" t="s">
        <v>286</v>
      </c>
      <c r="E63" s="5392">
        <v>7.4999999999999997E-2</v>
      </c>
      <c r="F63" s="2704">
        <v>1</v>
      </c>
      <c r="G63" s="4422">
        <v>0</v>
      </c>
      <c r="H63" s="4733">
        <v>3.9209999999999998</v>
      </c>
    </row>
    <row r="64" spans="2:8" ht="25.25" customHeight="1">
      <c r="B64" s="5399" t="s">
        <v>2015</v>
      </c>
      <c r="C64" s="3125" t="s">
        <v>2016</v>
      </c>
      <c r="D64" s="2703" t="s">
        <v>288</v>
      </c>
      <c r="E64" s="5392">
        <v>7.0000000000000007E-2</v>
      </c>
      <c r="F64" s="2704">
        <v>2.7</v>
      </c>
      <c r="G64" s="4422">
        <v>1.964</v>
      </c>
      <c r="H64" s="4733">
        <v>5.3028000000000004</v>
      </c>
    </row>
    <row r="65" spans="2:8" ht="25.25" customHeight="1">
      <c r="B65" s="5399" t="s">
        <v>2007</v>
      </c>
      <c r="C65" s="3125" t="s">
        <v>2008</v>
      </c>
      <c r="D65" s="2703" t="s">
        <v>286</v>
      </c>
      <c r="E65" s="5392">
        <v>7.4999999999999997E-2</v>
      </c>
      <c r="F65" s="2704">
        <v>1</v>
      </c>
      <c r="G65" s="4422">
        <v>0</v>
      </c>
      <c r="H65" s="4733">
        <v>20.227</v>
      </c>
    </row>
    <row r="66" spans="2:8" ht="25.25" customHeight="1">
      <c r="B66" s="5399"/>
      <c r="C66" s="3125"/>
      <c r="D66" s="2703"/>
      <c r="E66" s="5392"/>
      <c r="F66" s="2704"/>
      <c r="G66" s="4422"/>
      <c r="H66" s="4733"/>
    </row>
    <row r="67" spans="2:8" s="1073" customFormat="1" ht="25.25" customHeight="1">
      <c r="B67" s="5409" t="s">
        <v>1939</v>
      </c>
      <c r="C67" s="1087"/>
      <c r="D67" s="2505"/>
      <c r="E67" s="5396"/>
      <c r="F67" s="2506"/>
      <c r="G67" s="4422"/>
      <c r="H67" s="4733"/>
    </row>
    <row r="68" spans="2:8" ht="25.25" customHeight="1">
      <c r="B68" s="5399" t="s">
        <v>1637</v>
      </c>
      <c r="C68" s="1077" t="s">
        <v>905</v>
      </c>
      <c r="D68" s="1452" t="s">
        <v>288</v>
      </c>
      <c r="E68" s="5392">
        <v>0</v>
      </c>
      <c r="F68" s="1450">
        <v>2.7</v>
      </c>
      <c r="G68" s="4422">
        <v>0.25</v>
      </c>
      <c r="H68" s="4733">
        <v>0.67500000000000004</v>
      </c>
    </row>
    <row r="69" spans="2:8" ht="25.25" customHeight="1">
      <c r="B69" s="5399" t="s">
        <v>1638</v>
      </c>
      <c r="C69" s="1077" t="s">
        <v>905</v>
      </c>
      <c r="D69" s="1452" t="s">
        <v>288</v>
      </c>
      <c r="E69" s="5392">
        <v>0</v>
      </c>
      <c r="F69" s="1450">
        <v>2.7</v>
      </c>
      <c r="G69" s="4422">
        <v>0.25</v>
      </c>
      <c r="H69" s="4733">
        <v>0.67500000000000004</v>
      </c>
    </row>
    <row r="70" spans="2:8" ht="25.25" customHeight="1">
      <c r="B70" s="5399" t="s">
        <v>2135</v>
      </c>
      <c r="C70" s="1077" t="s">
        <v>905</v>
      </c>
      <c r="D70" s="1452" t="s">
        <v>288</v>
      </c>
      <c r="E70" s="5392">
        <v>0</v>
      </c>
      <c r="F70" s="1450">
        <v>2.7</v>
      </c>
      <c r="G70" s="4422">
        <v>0.25</v>
      </c>
      <c r="H70" s="4733">
        <v>0.67500000000000004</v>
      </c>
    </row>
    <row r="71" spans="2:8" ht="25.25" customHeight="1">
      <c r="B71" s="5399" t="s">
        <v>1639</v>
      </c>
      <c r="C71" s="1077" t="s">
        <v>905</v>
      </c>
      <c r="D71" s="1452" t="s">
        <v>288</v>
      </c>
      <c r="E71" s="5392">
        <v>0</v>
      </c>
      <c r="F71" s="1450">
        <v>2.7</v>
      </c>
      <c r="G71" s="4422">
        <v>0.25</v>
      </c>
      <c r="H71" s="4733">
        <v>0.67500000000000004</v>
      </c>
    </row>
    <row r="72" spans="2:8" ht="25.25" customHeight="1">
      <c r="B72" s="5399" t="s">
        <v>1640</v>
      </c>
      <c r="C72" s="1077" t="s">
        <v>906</v>
      </c>
      <c r="D72" s="1452" t="s">
        <v>288</v>
      </c>
      <c r="E72" s="5392">
        <v>0</v>
      </c>
      <c r="F72" s="1450">
        <v>2.7</v>
      </c>
      <c r="G72" s="4422">
        <v>0.25</v>
      </c>
      <c r="H72" s="4733">
        <v>0.67500000000000004</v>
      </c>
    </row>
    <row r="73" spans="2:8" ht="25.25" customHeight="1">
      <c r="B73" s="5399" t="s">
        <v>1641</v>
      </c>
      <c r="C73" s="1077" t="s">
        <v>907</v>
      </c>
      <c r="D73" s="1452" t="s">
        <v>288</v>
      </c>
      <c r="E73" s="5407">
        <v>0</v>
      </c>
      <c r="F73" s="1450">
        <v>2.7</v>
      </c>
      <c r="G73" s="4422">
        <v>0.3</v>
      </c>
      <c r="H73" s="4733">
        <v>0.81</v>
      </c>
    </row>
    <row r="74" spans="2:8" ht="25.25" customHeight="1">
      <c r="B74" s="5399" t="s">
        <v>2136</v>
      </c>
      <c r="C74" s="1077" t="s">
        <v>1121</v>
      </c>
      <c r="D74" s="1452" t="s">
        <v>288</v>
      </c>
      <c r="E74" s="5392">
        <v>0</v>
      </c>
      <c r="F74" s="1450">
        <v>2.7</v>
      </c>
      <c r="G74" s="4422">
        <v>0.25</v>
      </c>
      <c r="H74" s="4733">
        <v>0.67500000000000004</v>
      </c>
    </row>
    <row r="75" spans="2:8" ht="25.25" customHeight="1">
      <c r="B75" s="5411" t="s">
        <v>1642</v>
      </c>
      <c r="C75" s="1077" t="s">
        <v>1122</v>
      </c>
      <c r="D75" s="1452" t="s">
        <v>288</v>
      </c>
      <c r="E75" s="5407">
        <v>0</v>
      </c>
      <c r="F75" s="1450">
        <v>2.7</v>
      </c>
      <c r="G75" s="4422">
        <v>0.25</v>
      </c>
      <c r="H75" s="4733">
        <v>0.67500000000000004</v>
      </c>
    </row>
    <row r="76" spans="2:8" ht="30.75">
      <c r="B76" s="5399" t="s">
        <v>1643</v>
      </c>
      <c r="C76" s="1077" t="s">
        <v>1123</v>
      </c>
      <c r="D76" s="1452" t="s">
        <v>288</v>
      </c>
      <c r="E76" s="5407">
        <v>0</v>
      </c>
      <c r="F76" s="1450">
        <v>2.7</v>
      </c>
      <c r="G76" s="4422">
        <v>0.25</v>
      </c>
      <c r="H76" s="4733">
        <v>0.67500000000000004</v>
      </c>
    </row>
    <row r="77" spans="2:8" ht="30.75">
      <c r="B77" s="5401" t="s">
        <v>2137</v>
      </c>
      <c r="C77" s="1097" t="s">
        <v>1124</v>
      </c>
      <c r="D77" s="1478" t="s">
        <v>288</v>
      </c>
      <c r="E77" s="5403">
        <v>0</v>
      </c>
      <c r="F77" s="1450">
        <v>2.7</v>
      </c>
      <c r="G77" s="4422">
        <v>0.25</v>
      </c>
      <c r="H77" s="4733">
        <v>0.67500000000000004</v>
      </c>
    </row>
    <row r="78" spans="2:8" ht="25.25" customHeight="1">
      <c r="B78" s="5401" t="s">
        <v>2138</v>
      </c>
      <c r="C78" s="1097" t="s">
        <v>1125</v>
      </c>
      <c r="D78" s="1478" t="s">
        <v>288</v>
      </c>
      <c r="E78" s="5403">
        <v>0</v>
      </c>
      <c r="F78" s="1448">
        <v>2.7</v>
      </c>
      <c r="G78" s="4422">
        <v>0.3</v>
      </c>
      <c r="H78" s="4733">
        <v>0.81</v>
      </c>
    </row>
    <row r="79" spans="2:8" ht="25.25" customHeight="1">
      <c r="B79" s="5401" t="s">
        <v>1644</v>
      </c>
      <c r="C79" s="1097" t="s">
        <v>1126</v>
      </c>
      <c r="D79" s="1478" t="s">
        <v>288</v>
      </c>
      <c r="E79" s="5412">
        <v>0</v>
      </c>
      <c r="F79" s="1450">
        <v>2.7</v>
      </c>
      <c r="G79" s="4422">
        <v>0.25</v>
      </c>
      <c r="H79" s="4733">
        <v>0.67500000000000004</v>
      </c>
    </row>
    <row r="80" spans="2:8" ht="25.25" customHeight="1">
      <c r="B80" s="5401" t="s">
        <v>1645</v>
      </c>
      <c r="C80" s="1097" t="s">
        <v>1127</v>
      </c>
      <c r="D80" s="1478" t="s">
        <v>288</v>
      </c>
      <c r="E80" s="5403">
        <v>0</v>
      </c>
      <c r="F80" s="1448">
        <v>2.7</v>
      </c>
      <c r="G80" s="4422">
        <v>0.25</v>
      </c>
      <c r="H80" s="4733">
        <v>0.67500000000000004</v>
      </c>
    </row>
    <row r="81" spans="1:9" ht="25.25" customHeight="1">
      <c r="B81" s="5401" t="s">
        <v>1646</v>
      </c>
      <c r="C81" s="1097" t="s">
        <v>1128</v>
      </c>
      <c r="D81" s="1478" t="s">
        <v>288</v>
      </c>
      <c r="E81" s="5403">
        <v>0</v>
      </c>
      <c r="F81" s="1448">
        <v>2.7</v>
      </c>
      <c r="G81" s="4422">
        <v>0.25</v>
      </c>
      <c r="H81" s="4733">
        <v>0.67500000000000004</v>
      </c>
    </row>
    <row r="82" spans="1:9" ht="25.25" customHeight="1">
      <c r="B82" s="5401" t="s">
        <v>1647</v>
      </c>
      <c r="C82" s="1097" t="s">
        <v>1129</v>
      </c>
      <c r="D82" s="1478" t="s">
        <v>288</v>
      </c>
      <c r="E82" s="5403">
        <v>0</v>
      </c>
      <c r="F82" s="1448">
        <v>2.7</v>
      </c>
      <c r="G82" s="4422">
        <v>0.3</v>
      </c>
      <c r="H82" s="4733">
        <v>0.81</v>
      </c>
    </row>
    <row r="83" spans="1:9" ht="25.25" customHeight="1">
      <c r="B83" s="5401" t="s">
        <v>1648</v>
      </c>
      <c r="C83" s="1097" t="s">
        <v>1130</v>
      </c>
      <c r="D83" s="1478" t="s">
        <v>288</v>
      </c>
      <c r="E83" s="5403">
        <v>0</v>
      </c>
      <c r="F83" s="1448">
        <v>2.7</v>
      </c>
      <c r="G83" s="4422">
        <v>0.25</v>
      </c>
      <c r="H83" s="4733">
        <v>0.67500000000000004</v>
      </c>
    </row>
    <row r="84" spans="1:9" ht="25.25" customHeight="1">
      <c r="B84" s="5399" t="s">
        <v>1649</v>
      </c>
      <c r="C84" s="1077" t="s">
        <v>1131</v>
      </c>
      <c r="D84" s="1452" t="s">
        <v>288</v>
      </c>
      <c r="E84" s="5392">
        <v>0</v>
      </c>
      <c r="F84" s="1450">
        <v>2.7</v>
      </c>
      <c r="G84" s="4422">
        <v>0.3</v>
      </c>
      <c r="H84" s="4733">
        <v>0.81</v>
      </c>
    </row>
    <row r="85" spans="1:9" ht="25.25" customHeight="1">
      <c r="B85" s="5399" t="s">
        <v>2139</v>
      </c>
      <c r="C85" s="1077" t="s">
        <v>1132</v>
      </c>
      <c r="D85" s="1452" t="s">
        <v>288</v>
      </c>
      <c r="E85" s="5392">
        <v>0</v>
      </c>
      <c r="F85" s="1450">
        <v>2.7</v>
      </c>
      <c r="G85" s="4422">
        <v>0.3</v>
      </c>
      <c r="H85" s="4733">
        <v>0.81</v>
      </c>
    </row>
    <row r="86" spans="1:9" ht="25.25" customHeight="1">
      <c r="B86" s="5399" t="s">
        <v>2140</v>
      </c>
      <c r="C86" s="1077" t="s">
        <v>1133</v>
      </c>
      <c r="D86" s="1452" t="s">
        <v>288</v>
      </c>
      <c r="E86" s="5407">
        <v>0</v>
      </c>
      <c r="F86" s="1450">
        <v>2.7</v>
      </c>
      <c r="G86" s="4422">
        <v>0.25</v>
      </c>
      <c r="H86" s="4733">
        <v>0.67500000000000004</v>
      </c>
    </row>
    <row r="87" spans="1:9" s="1115" customFormat="1" ht="25.25" customHeight="1">
      <c r="A87" s="1067"/>
      <c r="B87" s="5399" t="s">
        <v>2141</v>
      </c>
      <c r="C87" s="1077" t="s">
        <v>1132</v>
      </c>
      <c r="D87" s="1452" t="s">
        <v>288</v>
      </c>
      <c r="E87" s="5407">
        <v>0</v>
      </c>
      <c r="F87" s="1450">
        <v>2.7</v>
      </c>
      <c r="G87" s="4422">
        <v>0.3</v>
      </c>
      <c r="H87" s="4733">
        <v>0.81</v>
      </c>
      <c r="I87" s="1067"/>
    </row>
    <row r="88" spans="1:9" s="1115" customFormat="1" ht="26" customHeight="1">
      <c r="A88" s="1067"/>
      <c r="B88" s="5411" t="s">
        <v>1650</v>
      </c>
      <c r="C88" s="1077" t="s">
        <v>1134</v>
      </c>
      <c r="D88" s="1452" t="s">
        <v>288</v>
      </c>
      <c r="E88" s="5407">
        <v>0</v>
      </c>
      <c r="F88" s="1450">
        <v>2.7</v>
      </c>
      <c r="G88" s="4422">
        <v>0.34499999999999997</v>
      </c>
      <c r="H88" s="4733">
        <v>0.93150000000000011</v>
      </c>
      <c r="I88" s="1067"/>
    </row>
    <row r="89" spans="1:9" ht="30.75">
      <c r="B89" s="5399" t="s">
        <v>1651</v>
      </c>
      <c r="C89" s="1077" t="s">
        <v>1135</v>
      </c>
      <c r="D89" s="1452" t="s">
        <v>288</v>
      </c>
      <c r="E89" s="5407">
        <v>0</v>
      </c>
      <c r="F89" s="1450">
        <v>2.7</v>
      </c>
      <c r="G89" s="4422">
        <v>0.25</v>
      </c>
      <c r="H89" s="4733">
        <v>0.67500000000000004</v>
      </c>
    </row>
    <row r="90" spans="1:9" s="1115" customFormat="1" ht="30.75">
      <c r="A90" s="1067"/>
      <c r="B90" s="5399" t="s">
        <v>1652</v>
      </c>
      <c r="C90" s="1077" t="s">
        <v>1136</v>
      </c>
      <c r="D90" s="1452" t="s">
        <v>288</v>
      </c>
      <c r="E90" s="5407">
        <v>0</v>
      </c>
      <c r="F90" s="1450">
        <v>2.7</v>
      </c>
      <c r="G90" s="4422">
        <v>0.25</v>
      </c>
      <c r="H90" s="4733">
        <v>0.67500000000000004</v>
      </c>
      <c r="I90" s="1067"/>
    </row>
    <row r="91" spans="1:9" s="1115" customFormat="1" ht="30.75">
      <c r="A91" s="1067"/>
      <c r="B91" s="5399" t="s">
        <v>1653</v>
      </c>
      <c r="C91" s="1077" t="s">
        <v>1137</v>
      </c>
      <c r="D91" s="1452" t="s">
        <v>288</v>
      </c>
      <c r="E91" s="5407">
        <v>0</v>
      </c>
      <c r="F91" s="1450">
        <v>2.7</v>
      </c>
      <c r="G91" s="4422">
        <v>0.25</v>
      </c>
      <c r="H91" s="4733">
        <v>0.67500000000000004</v>
      </c>
      <c r="I91" s="1067"/>
    </row>
    <row r="92" spans="1:9" s="1115" customFormat="1" ht="30.75">
      <c r="A92" s="1067"/>
      <c r="B92" s="5399" t="s">
        <v>1654</v>
      </c>
      <c r="C92" s="1077" t="s">
        <v>1138</v>
      </c>
      <c r="D92" s="1452" t="s">
        <v>288</v>
      </c>
      <c r="E92" s="5407">
        <v>0</v>
      </c>
      <c r="F92" s="1450">
        <v>2.7</v>
      </c>
      <c r="G92" s="4422">
        <v>0.25</v>
      </c>
      <c r="H92" s="4733">
        <v>0.67500000000000004</v>
      </c>
      <c r="I92" s="1067"/>
    </row>
    <row r="93" spans="1:9" ht="30.75">
      <c r="B93" s="5399" t="s">
        <v>2142</v>
      </c>
      <c r="C93" s="1077" t="s">
        <v>1139</v>
      </c>
      <c r="D93" s="1452" t="s">
        <v>288</v>
      </c>
      <c r="E93" s="5407">
        <v>0</v>
      </c>
      <c r="F93" s="1450">
        <v>2.7</v>
      </c>
      <c r="G93" s="4422">
        <v>0.25</v>
      </c>
      <c r="H93" s="4733">
        <v>0.67500000000000004</v>
      </c>
    </row>
    <row r="94" spans="1:9" ht="30.75">
      <c r="B94" s="5399" t="s">
        <v>2143</v>
      </c>
      <c r="C94" s="1077" t="s">
        <v>1140</v>
      </c>
      <c r="D94" s="1452" t="s">
        <v>288</v>
      </c>
      <c r="E94" s="5407">
        <v>0</v>
      </c>
      <c r="F94" s="1450">
        <v>2.7</v>
      </c>
      <c r="G94" s="4422">
        <v>0.25</v>
      </c>
      <c r="H94" s="4733">
        <v>0.67500000000000004</v>
      </c>
    </row>
    <row r="95" spans="1:9" ht="30.75">
      <c r="B95" s="5399" t="s">
        <v>2144</v>
      </c>
      <c r="C95" s="1077" t="s">
        <v>1141</v>
      </c>
      <c r="D95" s="1452" t="s">
        <v>288</v>
      </c>
      <c r="E95" s="5407">
        <v>0</v>
      </c>
      <c r="F95" s="1450">
        <v>2.7</v>
      </c>
      <c r="G95" s="4422">
        <v>0.25</v>
      </c>
      <c r="H95" s="4733">
        <v>0.67500000000000004</v>
      </c>
    </row>
    <row r="96" spans="1:9" ht="30.75">
      <c r="B96" s="5399" t="s">
        <v>2145</v>
      </c>
      <c r="C96" s="1077" t="s">
        <v>1142</v>
      </c>
      <c r="D96" s="1452" t="s">
        <v>288</v>
      </c>
      <c r="E96" s="5407">
        <v>0</v>
      </c>
      <c r="F96" s="1450">
        <v>2.7</v>
      </c>
      <c r="G96" s="4422">
        <v>0.25</v>
      </c>
      <c r="H96" s="4733">
        <v>0.67500000000000004</v>
      </c>
    </row>
    <row r="97" spans="2:8" ht="31.15" thickBot="1">
      <c r="B97" s="5413" t="s">
        <v>1655</v>
      </c>
      <c r="C97" s="1116" t="s">
        <v>1143</v>
      </c>
      <c r="D97" s="5414" t="s">
        <v>288</v>
      </c>
      <c r="E97" s="5415">
        <v>0</v>
      </c>
      <c r="F97" s="5416">
        <v>2.7</v>
      </c>
      <c r="G97" s="5417">
        <v>0.25</v>
      </c>
      <c r="H97" s="4733">
        <v>0.67500000000000004</v>
      </c>
    </row>
    <row r="98" spans="2:8">
      <c r="G98" s="2541"/>
      <c r="H98" s="1121"/>
    </row>
  </sheetData>
  <mergeCells count="4">
    <mergeCell ref="B1:H1"/>
    <mergeCell ref="B2:H2"/>
    <mergeCell ref="B3:H3"/>
    <mergeCell ref="G4:H4"/>
  </mergeCells>
  <printOptions horizontalCentered="1" verticalCentered="1"/>
  <pageMargins left="0.25" right="0.25" top="0.75" bottom="0.75" header="0.3" footer="0.3"/>
  <pageSetup scale="27" firstPageNumber="103" orientation="portrait" useFirstPageNumber="1" r:id="rId1"/>
  <headerFooter scaleWithDoc="0" alignWithMargins="0">
    <oddFooter xml:space="preserve">&amp;C135
</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5">
    <tabColor theme="9" tint="-0.499984740745262"/>
    <pageSetUpPr fitToPage="1"/>
  </sheetPr>
  <dimension ref="A1:AB84"/>
  <sheetViews>
    <sheetView view="pageBreakPreview" zoomScale="40" zoomScaleNormal="69" zoomScaleSheetLayoutView="40" workbookViewId="0">
      <selection activeCell="B7" sqref="B7:H80"/>
    </sheetView>
  </sheetViews>
  <sheetFormatPr defaultColWidth="9.46484375" defaultRowHeight="25.5"/>
  <cols>
    <col min="1" max="1" width="9.46484375" style="1067"/>
    <col min="2" max="2" width="173.6640625" style="1117" customWidth="1"/>
    <col min="3" max="3" width="52.46484375" style="1083" customWidth="1"/>
    <col min="4" max="4" width="24.6640625" style="1083" customWidth="1"/>
    <col min="5" max="5" width="28.33203125" style="1118" customWidth="1"/>
    <col min="6" max="6" width="24.6640625" style="1119" bestFit="1" customWidth="1"/>
    <col min="7" max="7" width="27.6640625" style="1143" bestFit="1" customWidth="1"/>
    <col min="8" max="8" width="31.33203125" style="1086" bestFit="1" customWidth="1"/>
    <col min="9" max="9" width="9.46484375" style="1067"/>
    <col min="10" max="10" width="29.46484375" style="1067" bestFit="1" customWidth="1"/>
    <col min="11" max="16384" width="9.46484375" style="1067"/>
  </cols>
  <sheetData>
    <row r="1" spans="1:28">
      <c r="B1" s="5886" t="s">
        <v>1840</v>
      </c>
      <c r="C1" s="5886"/>
      <c r="D1" s="5886"/>
      <c r="E1" s="5886"/>
      <c r="F1" s="5886"/>
      <c r="G1" s="5886"/>
      <c r="H1" s="5886"/>
    </row>
    <row r="2" spans="1:28">
      <c r="B2" s="5886" t="s">
        <v>1073</v>
      </c>
      <c r="C2" s="5886"/>
      <c r="D2" s="5886"/>
      <c r="E2" s="5886"/>
      <c r="F2" s="5886"/>
      <c r="G2" s="5886"/>
      <c r="H2" s="5886"/>
    </row>
    <row r="3" spans="1:28" ht="25.9" thickBot="1">
      <c r="B3" s="5886" t="s">
        <v>1967</v>
      </c>
      <c r="C3" s="5886"/>
      <c r="D3" s="5886"/>
      <c r="E3" s="5886"/>
      <c r="F3" s="5886"/>
      <c r="G3" s="5886"/>
      <c r="H3" s="5886"/>
    </row>
    <row r="4" spans="1:28">
      <c r="B4" s="1122"/>
      <c r="C4" s="1106"/>
      <c r="D4" s="1106"/>
      <c r="E4" s="1113"/>
      <c r="F4" s="1108"/>
      <c r="G4" s="5893" t="s">
        <v>2333</v>
      </c>
      <c r="H4" s="5894"/>
    </row>
    <row r="5" spans="1:28">
      <c r="B5" s="1072"/>
      <c r="C5" s="1087"/>
      <c r="D5" s="1087"/>
      <c r="E5" s="1123" t="s">
        <v>275</v>
      </c>
      <c r="F5" s="1071" t="s">
        <v>276</v>
      </c>
      <c r="G5" s="1095" t="s">
        <v>277</v>
      </c>
      <c r="H5" s="4894" t="s">
        <v>278</v>
      </c>
    </row>
    <row r="6" spans="1:28" ht="25.9" thickBot="1">
      <c r="B6" s="1110" t="s">
        <v>743</v>
      </c>
      <c r="C6" s="1124" t="s">
        <v>279</v>
      </c>
      <c r="D6" s="1124" t="s">
        <v>280</v>
      </c>
      <c r="E6" s="1125" t="s">
        <v>281</v>
      </c>
      <c r="F6" s="1111" t="s">
        <v>281</v>
      </c>
      <c r="G6" s="1126" t="s">
        <v>280</v>
      </c>
      <c r="H6" s="4729" t="s">
        <v>282</v>
      </c>
    </row>
    <row r="7" spans="1:28" ht="30" customHeight="1">
      <c r="B7" s="2657" t="s">
        <v>1656</v>
      </c>
      <c r="C7" s="5422"/>
      <c r="D7" s="5422" t="s">
        <v>288</v>
      </c>
      <c r="E7" s="1449">
        <v>0</v>
      </c>
      <c r="F7" s="1450">
        <v>2.7</v>
      </c>
      <c r="G7" s="5423">
        <v>0.3</v>
      </c>
      <c r="H7" s="4733">
        <v>0.81</v>
      </c>
    </row>
    <row r="8" spans="1:28" s="1115" customFormat="1" ht="30" customHeight="1">
      <c r="A8" s="1067"/>
      <c r="B8" s="2657" t="s">
        <v>1657</v>
      </c>
      <c r="C8" s="1452"/>
      <c r="D8" s="1452" t="s">
        <v>288</v>
      </c>
      <c r="E8" s="1449">
        <v>0</v>
      </c>
      <c r="F8" s="1450">
        <v>2.7</v>
      </c>
      <c r="G8" s="4422">
        <v>0.25</v>
      </c>
      <c r="H8" s="4733">
        <v>0.67500000000000004</v>
      </c>
      <c r="I8" s="1067"/>
      <c r="J8" s="1067"/>
      <c r="K8" s="1067"/>
      <c r="L8" s="1067"/>
      <c r="M8" s="1067"/>
      <c r="N8" s="1067"/>
      <c r="O8" s="1067"/>
      <c r="P8" s="1067"/>
      <c r="Q8" s="1067"/>
      <c r="R8" s="1067"/>
      <c r="S8" s="1067"/>
      <c r="T8" s="1067"/>
      <c r="U8" s="1067"/>
      <c r="V8" s="1067"/>
      <c r="W8" s="1067"/>
      <c r="X8" s="1067"/>
      <c r="Y8" s="1067"/>
      <c r="Z8" s="1067"/>
      <c r="AA8" s="1067"/>
      <c r="AB8" s="1067"/>
    </row>
    <row r="9" spans="1:28" s="1115" customFormat="1" ht="30" customHeight="1">
      <c r="A9" s="1067"/>
      <c r="B9" s="5424" t="s">
        <v>1658</v>
      </c>
      <c r="C9" s="1451"/>
      <c r="D9" s="1452" t="s">
        <v>288</v>
      </c>
      <c r="E9" s="1449">
        <v>0</v>
      </c>
      <c r="F9" s="1450">
        <v>2.7</v>
      </c>
      <c r="G9" s="4422">
        <v>0.315</v>
      </c>
      <c r="H9" s="4733">
        <v>0.85050000000000003</v>
      </c>
      <c r="I9" s="1067"/>
      <c r="J9" s="1067"/>
      <c r="K9" s="1067"/>
      <c r="L9" s="1067"/>
      <c r="M9" s="1067"/>
      <c r="N9" s="1067"/>
      <c r="O9" s="1067"/>
      <c r="P9" s="1067"/>
      <c r="Q9" s="1067"/>
      <c r="R9" s="1067"/>
      <c r="S9" s="1067"/>
      <c r="T9" s="1067"/>
      <c r="U9" s="1067"/>
      <c r="V9" s="1067"/>
      <c r="W9" s="1067"/>
      <c r="X9" s="1067"/>
      <c r="Y9" s="1067"/>
      <c r="Z9" s="1067"/>
      <c r="AA9" s="1067"/>
      <c r="AB9" s="1067"/>
    </row>
    <row r="10" spans="1:28" s="1115" customFormat="1" ht="30" customHeight="1">
      <c r="A10" s="1067"/>
      <c r="B10" s="5424" t="s">
        <v>1659</v>
      </c>
      <c r="C10" s="1451"/>
      <c r="D10" s="1452" t="s">
        <v>288</v>
      </c>
      <c r="E10" s="1449">
        <v>0</v>
      </c>
      <c r="F10" s="1450">
        <v>2.7</v>
      </c>
      <c r="G10" s="4422">
        <v>0.3</v>
      </c>
      <c r="H10" s="4733">
        <v>0.81</v>
      </c>
      <c r="I10" s="1067"/>
      <c r="J10" s="1067">
        <v>1000000</v>
      </c>
      <c r="K10" s="1067"/>
      <c r="L10" s="1067"/>
      <c r="M10" s="1067"/>
      <c r="N10" s="1067"/>
      <c r="O10" s="1067"/>
      <c r="P10" s="1067"/>
      <c r="Q10" s="1067"/>
      <c r="R10" s="1067"/>
      <c r="S10" s="1067"/>
      <c r="T10" s="1067"/>
      <c r="U10" s="1067"/>
      <c r="V10" s="1067"/>
      <c r="W10" s="1067"/>
      <c r="X10" s="1067"/>
      <c r="Y10" s="1067"/>
      <c r="Z10" s="1067"/>
      <c r="AA10" s="1067"/>
      <c r="AB10" s="1067"/>
    </row>
    <row r="11" spans="1:28" s="1115" customFormat="1" ht="30" customHeight="1">
      <c r="A11" s="1067"/>
      <c r="B11" s="5424" t="s">
        <v>1660</v>
      </c>
      <c r="C11" s="1452"/>
      <c r="D11" s="1452" t="s">
        <v>288</v>
      </c>
      <c r="E11" s="1449">
        <v>0</v>
      </c>
      <c r="F11" s="1450">
        <v>2.7</v>
      </c>
      <c r="G11" s="4422">
        <v>0.3</v>
      </c>
      <c r="H11" s="4733">
        <v>0.81</v>
      </c>
      <c r="I11" s="1067"/>
      <c r="J11" s="1067"/>
      <c r="K11" s="1067"/>
      <c r="L11" s="1067"/>
      <c r="M11" s="1067"/>
      <c r="N11" s="1067"/>
      <c r="O11" s="1067"/>
      <c r="P11" s="1067"/>
      <c r="Q11" s="1067"/>
      <c r="R11" s="1067"/>
      <c r="S11" s="1067"/>
      <c r="T11" s="1067"/>
      <c r="U11" s="1067"/>
      <c r="V11" s="1067"/>
      <c r="W11" s="1067"/>
      <c r="X11" s="1067"/>
      <c r="Y11" s="1067"/>
      <c r="Z11" s="1067"/>
      <c r="AA11" s="1067"/>
      <c r="AB11" s="1067"/>
    </row>
    <row r="12" spans="1:28" s="1115" customFormat="1" ht="30" customHeight="1">
      <c r="A12" s="1067"/>
      <c r="B12" s="5424" t="s">
        <v>1661</v>
      </c>
      <c r="C12" s="5425"/>
      <c r="D12" s="1452" t="s">
        <v>288</v>
      </c>
      <c r="E12" s="1449">
        <v>0</v>
      </c>
      <c r="F12" s="1450">
        <v>2.7</v>
      </c>
      <c r="G12" s="4422">
        <v>0.3</v>
      </c>
      <c r="H12" s="4733">
        <v>0.81</v>
      </c>
      <c r="I12" s="1067"/>
      <c r="J12" s="1067"/>
      <c r="K12" s="1067"/>
      <c r="L12" s="1067"/>
      <c r="M12" s="1067"/>
      <c r="N12" s="1067"/>
      <c r="O12" s="1067"/>
      <c r="P12" s="1067"/>
      <c r="Q12" s="1067"/>
      <c r="R12" s="1067"/>
      <c r="S12" s="1067"/>
      <c r="T12" s="1067"/>
      <c r="U12" s="1067"/>
      <c r="V12" s="1067"/>
      <c r="W12" s="1067"/>
      <c r="X12" s="1067"/>
      <c r="Y12" s="1067"/>
      <c r="Z12" s="1067"/>
      <c r="AA12" s="1067"/>
      <c r="AB12" s="1067"/>
    </row>
    <row r="13" spans="1:28" s="1115" customFormat="1" ht="30" customHeight="1">
      <c r="A13" s="1067"/>
      <c r="B13" s="5424" t="s">
        <v>1662</v>
      </c>
      <c r="C13" s="1452"/>
      <c r="D13" s="1452" t="s">
        <v>288</v>
      </c>
      <c r="E13" s="1449">
        <v>0</v>
      </c>
      <c r="F13" s="1450">
        <v>2.7</v>
      </c>
      <c r="G13" s="4422">
        <v>0.25</v>
      </c>
      <c r="H13" s="4733">
        <v>0.67500000000000004</v>
      </c>
      <c r="I13" s="1067"/>
      <c r="J13" s="1067"/>
      <c r="K13" s="1067"/>
      <c r="L13" s="1067"/>
      <c r="M13" s="1067"/>
      <c r="N13" s="1067"/>
      <c r="O13" s="1067"/>
      <c r="P13" s="1067"/>
      <c r="Q13" s="1067"/>
      <c r="R13" s="1067"/>
      <c r="S13" s="1067"/>
      <c r="T13" s="1067"/>
      <c r="U13" s="1067"/>
      <c r="V13" s="1067"/>
      <c r="W13" s="1067"/>
      <c r="X13" s="1067"/>
      <c r="Y13" s="1067"/>
      <c r="Z13" s="1067"/>
      <c r="AA13" s="1067"/>
      <c r="AB13" s="1067"/>
    </row>
    <row r="14" spans="1:28" s="1115" customFormat="1" ht="30" customHeight="1">
      <c r="A14" s="1067"/>
      <c r="B14" s="5424" t="s">
        <v>1663</v>
      </c>
      <c r="C14" s="1452"/>
      <c r="D14" s="1452" t="s">
        <v>288</v>
      </c>
      <c r="E14" s="1449">
        <v>0</v>
      </c>
      <c r="F14" s="1450">
        <v>2.7</v>
      </c>
      <c r="G14" s="4422">
        <v>0.25</v>
      </c>
      <c r="H14" s="4733">
        <v>0.67500000000000004</v>
      </c>
      <c r="I14" s="1067"/>
      <c r="J14" s="1067"/>
      <c r="K14" s="1067"/>
      <c r="L14" s="1067"/>
      <c r="M14" s="1067"/>
      <c r="N14" s="1067"/>
      <c r="O14" s="1067"/>
      <c r="P14" s="1067"/>
      <c r="Q14" s="1067"/>
      <c r="R14" s="1067"/>
      <c r="S14" s="1067"/>
      <c r="T14" s="1067"/>
      <c r="U14" s="1067"/>
      <c r="V14" s="1067"/>
      <c r="W14" s="1067"/>
      <c r="X14" s="1067"/>
      <c r="Y14" s="1067"/>
      <c r="Z14" s="1067"/>
      <c r="AA14" s="1067"/>
      <c r="AB14" s="1067"/>
    </row>
    <row r="15" spans="1:28" s="1115" customFormat="1" ht="30" customHeight="1">
      <c r="A15" s="1067"/>
      <c r="B15" s="5424" t="s">
        <v>1664</v>
      </c>
      <c r="C15" s="1452"/>
      <c r="D15" s="1452" t="s">
        <v>288</v>
      </c>
      <c r="E15" s="1449">
        <v>0</v>
      </c>
      <c r="F15" s="1450">
        <v>2.7</v>
      </c>
      <c r="G15" s="4422">
        <v>0.25</v>
      </c>
      <c r="H15" s="4733">
        <v>0.67500000000000004</v>
      </c>
      <c r="I15" s="1067"/>
      <c r="J15" s="1067"/>
      <c r="K15" s="1067"/>
      <c r="L15" s="1067"/>
      <c r="M15" s="1067"/>
      <c r="N15" s="1067"/>
      <c r="O15" s="1067"/>
      <c r="P15" s="1067"/>
      <c r="Q15" s="1067"/>
      <c r="R15" s="1067"/>
      <c r="S15" s="1067"/>
      <c r="T15" s="1067"/>
      <c r="U15" s="1067"/>
      <c r="V15" s="1067"/>
      <c r="W15" s="1067"/>
      <c r="X15" s="1067"/>
      <c r="Y15" s="1067"/>
      <c r="Z15" s="1067"/>
      <c r="AA15" s="1067"/>
      <c r="AB15" s="1067"/>
    </row>
    <row r="16" spans="1:28" ht="30" customHeight="1">
      <c r="B16" s="5424" t="s">
        <v>1665</v>
      </c>
      <c r="C16" s="1452"/>
      <c r="D16" s="1452" t="s">
        <v>288</v>
      </c>
      <c r="E16" s="1449">
        <v>0</v>
      </c>
      <c r="F16" s="1450">
        <v>2.7</v>
      </c>
      <c r="G16" s="4422">
        <v>0.3</v>
      </c>
      <c r="H16" s="4733">
        <v>0.81</v>
      </c>
    </row>
    <row r="17" spans="2:8" ht="30" customHeight="1">
      <c r="B17" s="5426" t="s">
        <v>1666</v>
      </c>
      <c r="C17" s="5289"/>
      <c r="D17" s="1478" t="s">
        <v>288</v>
      </c>
      <c r="E17" s="5253">
        <v>0</v>
      </c>
      <c r="F17" s="1450">
        <v>2.7</v>
      </c>
      <c r="G17" s="4422">
        <v>0.3</v>
      </c>
      <c r="H17" s="4733">
        <v>0.81</v>
      </c>
    </row>
    <row r="18" spans="2:8" ht="30" customHeight="1">
      <c r="B18" s="5424" t="s">
        <v>1667</v>
      </c>
      <c r="C18" s="5427"/>
      <c r="D18" s="1452" t="s">
        <v>288</v>
      </c>
      <c r="E18" s="1449">
        <v>0</v>
      </c>
      <c r="F18" s="1450">
        <v>2.7</v>
      </c>
      <c r="G18" s="4422">
        <v>0.3</v>
      </c>
      <c r="H18" s="4733">
        <v>0.81</v>
      </c>
    </row>
    <row r="19" spans="2:8" ht="30" customHeight="1">
      <c r="B19" s="5424" t="s">
        <v>1668</v>
      </c>
      <c r="C19" s="1452"/>
      <c r="D19" s="1452" t="s">
        <v>288</v>
      </c>
      <c r="E19" s="1449">
        <v>0</v>
      </c>
      <c r="F19" s="1450">
        <v>2.7</v>
      </c>
      <c r="G19" s="4422">
        <v>0.25</v>
      </c>
      <c r="H19" s="4733">
        <v>0.67500000000000004</v>
      </c>
    </row>
    <row r="20" spans="2:8" ht="30" customHeight="1">
      <c r="B20" s="5426" t="s">
        <v>1669</v>
      </c>
      <c r="C20" s="5289"/>
      <c r="D20" s="1478" t="s">
        <v>288</v>
      </c>
      <c r="E20" s="5253">
        <v>0</v>
      </c>
      <c r="F20" s="1450">
        <v>2.7</v>
      </c>
      <c r="G20" s="4422">
        <v>0.25</v>
      </c>
      <c r="H20" s="4733">
        <v>0.67500000000000004</v>
      </c>
    </row>
    <row r="21" spans="2:8" ht="30" customHeight="1">
      <c r="B21" s="5426" t="s">
        <v>1670</v>
      </c>
      <c r="C21" s="5289"/>
      <c r="D21" s="1478" t="s">
        <v>288</v>
      </c>
      <c r="E21" s="5253">
        <v>0</v>
      </c>
      <c r="F21" s="1450">
        <v>2.7</v>
      </c>
      <c r="G21" s="4422">
        <v>0.3</v>
      </c>
      <c r="H21" s="4733">
        <v>0.81</v>
      </c>
    </row>
    <row r="22" spans="2:8" ht="30" customHeight="1">
      <c r="B22" s="5426" t="s">
        <v>1671</v>
      </c>
      <c r="C22" s="5289"/>
      <c r="D22" s="1478" t="s">
        <v>288</v>
      </c>
      <c r="E22" s="5253">
        <v>0</v>
      </c>
      <c r="F22" s="1450">
        <v>2.7</v>
      </c>
      <c r="G22" s="4422">
        <v>0.3</v>
      </c>
      <c r="H22" s="4733">
        <v>0.81</v>
      </c>
    </row>
    <row r="23" spans="2:8" ht="30" customHeight="1">
      <c r="B23" s="2657" t="s">
        <v>1672</v>
      </c>
      <c r="C23" s="5289"/>
      <c r="D23" s="1478" t="s">
        <v>288</v>
      </c>
      <c r="E23" s="5253">
        <v>0</v>
      </c>
      <c r="F23" s="1450">
        <v>2.7</v>
      </c>
      <c r="G23" s="4422">
        <v>0.24999999999999997</v>
      </c>
      <c r="H23" s="4733">
        <v>0.67500000000000004</v>
      </c>
    </row>
    <row r="24" spans="2:8" ht="30" customHeight="1">
      <c r="B24" s="5426" t="s">
        <v>1673</v>
      </c>
      <c r="C24" s="5289"/>
      <c r="D24" s="1478" t="s">
        <v>288</v>
      </c>
      <c r="E24" s="5253">
        <v>0</v>
      </c>
      <c r="F24" s="1450">
        <v>2.7</v>
      </c>
      <c r="G24" s="4422">
        <v>0.24999999999999997</v>
      </c>
      <c r="H24" s="4733">
        <v>0.67500000000000004</v>
      </c>
    </row>
    <row r="25" spans="2:8" ht="30" customHeight="1">
      <c r="B25" s="5424" t="s">
        <v>1674</v>
      </c>
      <c r="C25" s="1452"/>
      <c r="D25" s="1452" t="s">
        <v>288</v>
      </c>
      <c r="E25" s="1449">
        <v>0</v>
      </c>
      <c r="F25" s="1450">
        <v>2.7</v>
      </c>
      <c r="G25" s="4422">
        <v>0.24999999999999997</v>
      </c>
      <c r="H25" s="4733">
        <v>0.67500000000000004</v>
      </c>
    </row>
    <row r="26" spans="2:8" ht="30" customHeight="1">
      <c r="B26" s="5426" t="s">
        <v>1675</v>
      </c>
      <c r="C26" s="5289"/>
      <c r="D26" s="1478" t="s">
        <v>288</v>
      </c>
      <c r="E26" s="5253">
        <v>0</v>
      </c>
      <c r="F26" s="1450">
        <v>2.7</v>
      </c>
      <c r="G26" s="4422">
        <v>0.24999999999999997</v>
      </c>
      <c r="H26" s="4733">
        <v>0.67500000000000004</v>
      </c>
    </row>
    <row r="27" spans="2:8" ht="30" customHeight="1">
      <c r="B27" s="5424" t="s">
        <v>1676</v>
      </c>
      <c r="C27" s="1452"/>
      <c r="D27" s="1452" t="s">
        <v>288</v>
      </c>
      <c r="E27" s="1449">
        <v>0</v>
      </c>
      <c r="F27" s="1450">
        <v>2.7</v>
      </c>
      <c r="G27" s="4422">
        <v>0.24999999999999997</v>
      </c>
      <c r="H27" s="4733">
        <v>0.67500000000000004</v>
      </c>
    </row>
    <row r="28" spans="2:8" ht="30" customHeight="1">
      <c r="B28" s="5424" t="s">
        <v>1677</v>
      </c>
      <c r="C28" s="1452"/>
      <c r="D28" s="1452" t="s">
        <v>288</v>
      </c>
      <c r="E28" s="1449">
        <v>0</v>
      </c>
      <c r="F28" s="1450">
        <v>2.7</v>
      </c>
      <c r="G28" s="4422">
        <v>0.24999999999999997</v>
      </c>
      <c r="H28" s="4733">
        <v>0.67500000000000004</v>
      </c>
    </row>
    <row r="29" spans="2:8" ht="30" customHeight="1">
      <c r="B29" s="5426" t="s">
        <v>1678</v>
      </c>
      <c r="C29" s="5289"/>
      <c r="D29" s="1478" t="s">
        <v>288</v>
      </c>
      <c r="E29" s="5253">
        <v>0</v>
      </c>
      <c r="F29" s="1450">
        <v>2.7</v>
      </c>
      <c r="G29" s="4422">
        <v>0.3</v>
      </c>
      <c r="H29" s="4733">
        <v>0.81</v>
      </c>
    </row>
    <row r="30" spans="2:8" ht="30" customHeight="1">
      <c r="B30" s="5426" t="s">
        <v>1679</v>
      </c>
      <c r="C30" s="5289"/>
      <c r="D30" s="1478" t="s">
        <v>288</v>
      </c>
      <c r="E30" s="5253">
        <v>0</v>
      </c>
      <c r="F30" s="1450">
        <v>2.7</v>
      </c>
      <c r="G30" s="4422">
        <v>0.24999999999999997</v>
      </c>
      <c r="H30" s="4733">
        <v>0.67500000000000004</v>
      </c>
    </row>
    <row r="31" spans="2:8" ht="30" customHeight="1">
      <c r="B31" s="5426" t="s">
        <v>1680</v>
      </c>
      <c r="C31" s="5289"/>
      <c r="D31" s="1478" t="s">
        <v>288</v>
      </c>
      <c r="E31" s="5253">
        <v>0</v>
      </c>
      <c r="F31" s="1450">
        <v>2.7</v>
      </c>
      <c r="G31" s="4422">
        <v>0.3</v>
      </c>
      <c r="H31" s="4733">
        <v>0.81</v>
      </c>
    </row>
    <row r="32" spans="2:8" ht="30" customHeight="1">
      <c r="B32" s="5424" t="s">
        <v>1681</v>
      </c>
      <c r="C32" s="1452"/>
      <c r="D32" s="1452" t="s">
        <v>288</v>
      </c>
      <c r="E32" s="1449">
        <v>0</v>
      </c>
      <c r="F32" s="1450">
        <v>2.7</v>
      </c>
      <c r="G32" s="4422">
        <v>0.3</v>
      </c>
      <c r="H32" s="4733">
        <v>0.81</v>
      </c>
    </row>
    <row r="33" spans="2:8" ht="30" customHeight="1">
      <c r="B33" s="5426" t="s">
        <v>1682</v>
      </c>
      <c r="C33" s="5289"/>
      <c r="D33" s="1478" t="s">
        <v>288</v>
      </c>
      <c r="E33" s="5253">
        <v>0</v>
      </c>
      <c r="F33" s="1450">
        <v>2.7</v>
      </c>
      <c r="G33" s="4422">
        <v>0.24999999999999997</v>
      </c>
      <c r="H33" s="4733">
        <v>0.67500000000000004</v>
      </c>
    </row>
    <row r="34" spans="2:8" ht="30" customHeight="1">
      <c r="B34" s="5426" t="s">
        <v>1683</v>
      </c>
      <c r="C34" s="5289"/>
      <c r="D34" s="1478" t="s">
        <v>288</v>
      </c>
      <c r="E34" s="5253">
        <v>0</v>
      </c>
      <c r="F34" s="1450">
        <v>2.7</v>
      </c>
      <c r="G34" s="4422">
        <v>0.25</v>
      </c>
      <c r="H34" s="4733">
        <v>0.67500000000000004</v>
      </c>
    </row>
    <row r="35" spans="2:8" ht="30" customHeight="1">
      <c r="B35" s="5424" t="s">
        <v>1684</v>
      </c>
      <c r="C35" s="1452"/>
      <c r="D35" s="1452" t="s">
        <v>288</v>
      </c>
      <c r="E35" s="1449">
        <v>0</v>
      </c>
      <c r="F35" s="1450">
        <v>2.7</v>
      </c>
      <c r="G35" s="4422">
        <v>0.3</v>
      </c>
      <c r="H35" s="4733">
        <v>0.81</v>
      </c>
    </row>
    <row r="36" spans="2:8" ht="30" customHeight="1">
      <c r="B36" s="5424" t="s">
        <v>1685</v>
      </c>
      <c r="C36" s="1452"/>
      <c r="D36" s="1452" t="s">
        <v>288</v>
      </c>
      <c r="E36" s="1449">
        <v>0</v>
      </c>
      <c r="F36" s="1450">
        <v>2.7</v>
      </c>
      <c r="G36" s="4422">
        <v>0.3</v>
      </c>
      <c r="H36" s="4733">
        <v>0.81</v>
      </c>
    </row>
    <row r="37" spans="2:8" ht="30" customHeight="1">
      <c r="B37" s="5424" t="s">
        <v>1686</v>
      </c>
      <c r="C37" s="1452"/>
      <c r="D37" s="1452" t="s">
        <v>288</v>
      </c>
      <c r="E37" s="1449">
        <v>0</v>
      </c>
      <c r="F37" s="1450">
        <v>2.7</v>
      </c>
      <c r="G37" s="4422">
        <v>0.3</v>
      </c>
      <c r="H37" s="4733">
        <v>0.81</v>
      </c>
    </row>
    <row r="38" spans="2:8" ht="30" customHeight="1">
      <c r="B38" s="5424" t="s">
        <v>1687</v>
      </c>
      <c r="C38" s="1452"/>
      <c r="D38" s="1452" t="s">
        <v>288</v>
      </c>
      <c r="E38" s="1449">
        <v>0</v>
      </c>
      <c r="F38" s="1450">
        <v>2.7</v>
      </c>
      <c r="G38" s="4422">
        <v>0.25</v>
      </c>
      <c r="H38" s="4733">
        <v>0.67500000000000004</v>
      </c>
    </row>
    <row r="39" spans="2:8" ht="30" customHeight="1">
      <c r="B39" s="5424" t="s">
        <v>1688</v>
      </c>
      <c r="C39" s="1452"/>
      <c r="D39" s="1452" t="s">
        <v>288</v>
      </c>
      <c r="E39" s="1449">
        <v>0</v>
      </c>
      <c r="F39" s="1450">
        <v>2.7</v>
      </c>
      <c r="G39" s="4422">
        <v>0.25</v>
      </c>
      <c r="H39" s="4733">
        <v>0.67500000000000004</v>
      </c>
    </row>
    <row r="40" spans="2:8" ht="30" customHeight="1">
      <c r="B40" s="5424" t="s">
        <v>1689</v>
      </c>
      <c r="C40" s="1452"/>
      <c r="D40" s="1452" t="s">
        <v>288</v>
      </c>
      <c r="E40" s="1449">
        <v>0</v>
      </c>
      <c r="F40" s="1450">
        <v>2.7</v>
      </c>
      <c r="G40" s="4422">
        <v>0.25</v>
      </c>
      <c r="H40" s="4733">
        <v>0.67500000000000004</v>
      </c>
    </row>
    <row r="41" spans="2:8" ht="30" customHeight="1">
      <c r="B41" s="5424" t="s">
        <v>1690</v>
      </c>
      <c r="C41" s="1452"/>
      <c r="D41" s="1452" t="s">
        <v>288</v>
      </c>
      <c r="E41" s="1449">
        <v>0</v>
      </c>
      <c r="F41" s="1450">
        <v>2.7</v>
      </c>
      <c r="G41" s="4422">
        <v>0.25</v>
      </c>
      <c r="H41" s="4733">
        <v>0.67500000000000004</v>
      </c>
    </row>
    <row r="42" spans="2:8" ht="30" customHeight="1">
      <c r="B42" s="5424" t="s">
        <v>1691</v>
      </c>
      <c r="C42" s="1452"/>
      <c r="D42" s="1452" t="s">
        <v>288</v>
      </c>
      <c r="E42" s="1449">
        <v>0</v>
      </c>
      <c r="F42" s="1450">
        <v>2.7</v>
      </c>
      <c r="G42" s="4422">
        <v>0.25</v>
      </c>
      <c r="H42" s="4733">
        <v>0.67500000000000004</v>
      </c>
    </row>
    <row r="43" spans="2:8" ht="30" customHeight="1">
      <c r="B43" s="5424" t="s">
        <v>1692</v>
      </c>
      <c r="C43" s="1452"/>
      <c r="D43" s="1452" t="s">
        <v>288</v>
      </c>
      <c r="E43" s="1449">
        <v>0</v>
      </c>
      <c r="F43" s="1450">
        <v>2.7</v>
      </c>
      <c r="G43" s="4422">
        <v>0.25</v>
      </c>
      <c r="H43" s="4733">
        <v>0.67500000000000004</v>
      </c>
    </row>
    <row r="44" spans="2:8" ht="30" customHeight="1">
      <c r="B44" s="5424" t="s">
        <v>1693</v>
      </c>
      <c r="C44" s="1452"/>
      <c r="D44" s="1452" t="s">
        <v>288</v>
      </c>
      <c r="E44" s="1449">
        <v>0</v>
      </c>
      <c r="F44" s="1450">
        <v>2.7</v>
      </c>
      <c r="G44" s="4422">
        <v>0.25</v>
      </c>
      <c r="H44" s="4733">
        <v>0.67500000000000004</v>
      </c>
    </row>
    <row r="45" spans="2:8" ht="30" customHeight="1">
      <c r="B45" s="5424" t="s">
        <v>1694</v>
      </c>
      <c r="C45" s="1452"/>
      <c r="D45" s="1452" t="s">
        <v>288</v>
      </c>
      <c r="E45" s="1449">
        <v>0</v>
      </c>
      <c r="F45" s="1450">
        <v>2.7</v>
      </c>
      <c r="G45" s="4422">
        <v>0.25</v>
      </c>
      <c r="H45" s="4733">
        <v>0.67500000000000004</v>
      </c>
    </row>
    <row r="46" spans="2:8" ht="30" customHeight="1">
      <c r="B46" s="5424" t="s">
        <v>1695</v>
      </c>
      <c r="C46" s="1452"/>
      <c r="D46" s="1452" t="s">
        <v>288</v>
      </c>
      <c r="E46" s="1449">
        <v>0</v>
      </c>
      <c r="F46" s="1450">
        <v>2.7</v>
      </c>
      <c r="G46" s="4422">
        <v>0.25</v>
      </c>
      <c r="H46" s="4733">
        <v>0.67500000000000004</v>
      </c>
    </row>
    <row r="47" spans="2:8" ht="30" customHeight="1">
      <c r="B47" s="5424" t="s">
        <v>1696</v>
      </c>
      <c r="C47" s="1452"/>
      <c r="D47" s="1452" t="s">
        <v>288</v>
      </c>
      <c r="E47" s="1449">
        <v>0</v>
      </c>
      <c r="F47" s="1450">
        <v>2.7</v>
      </c>
      <c r="G47" s="4422">
        <v>0.25</v>
      </c>
      <c r="H47" s="4733">
        <v>0.67500000000000004</v>
      </c>
    </row>
    <row r="48" spans="2:8" ht="30" customHeight="1">
      <c r="B48" s="5424" t="s">
        <v>1697</v>
      </c>
      <c r="C48" s="1452"/>
      <c r="D48" s="1452" t="s">
        <v>288</v>
      </c>
      <c r="E48" s="1449">
        <v>0</v>
      </c>
      <c r="F48" s="1450">
        <v>2.7</v>
      </c>
      <c r="G48" s="4422">
        <v>0.3</v>
      </c>
      <c r="H48" s="4733">
        <v>0.81</v>
      </c>
    </row>
    <row r="49" spans="1:10" ht="30" customHeight="1">
      <c r="B49" s="2657" t="s">
        <v>1698</v>
      </c>
      <c r="C49" s="1452"/>
      <c r="D49" s="1478" t="s">
        <v>288</v>
      </c>
      <c r="E49" s="5253">
        <v>0</v>
      </c>
      <c r="F49" s="1450">
        <v>2.7</v>
      </c>
      <c r="G49" s="4422">
        <v>0.25</v>
      </c>
      <c r="H49" s="4733">
        <v>0.67500000000000004</v>
      </c>
    </row>
    <row r="50" spans="1:10" ht="30" customHeight="1">
      <c r="B50" s="2657" t="s">
        <v>1699</v>
      </c>
      <c r="C50" s="1452"/>
      <c r="D50" s="1478" t="s">
        <v>288</v>
      </c>
      <c r="E50" s="5253">
        <v>0</v>
      </c>
      <c r="F50" s="1450">
        <v>2.7</v>
      </c>
      <c r="G50" s="4422">
        <v>0.25</v>
      </c>
      <c r="H50" s="4733">
        <v>0.67500000000000004</v>
      </c>
    </row>
    <row r="51" spans="1:10" ht="30" customHeight="1">
      <c r="B51" s="5424" t="s">
        <v>1700</v>
      </c>
      <c r="C51" s="1452"/>
      <c r="D51" s="1452" t="s">
        <v>288</v>
      </c>
      <c r="E51" s="1449">
        <v>0</v>
      </c>
      <c r="F51" s="1450">
        <v>2.7</v>
      </c>
      <c r="G51" s="4422">
        <v>0.25</v>
      </c>
      <c r="H51" s="4733">
        <v>0.67500000000000004</v>
      </c>
      <c r="J51" s="2874"/>
    </row>
    <row r="52" spans="1:10" ht="30" customHeight="1">
      <c r="B52" s="5424" t="s">
        <v>1701</v>
      </c>
      <c r="C52" s="1452"/>
      <c r="D52" s="1452" t="s">
        <v>288</v>
      </c>
      <c r="E52" s="1449">
        <v>0</v>
      </c>
      <c r="F52" s="1450">
        <v>2.7</v>
      </c>
      <c r="G52" s="4422">
        <v>0.3</v>
      </c>
      <c r="H52" s="4733">
        <v>0.81</v>
      </c>
      <c r="J52" s="2874"/>
    </row>
    <row r="53" spans="1:10" ht="30" customHeight="1">
      <c r="B53" s="5424" t="s">
        <v>1702</v>
      </c>
      <c r="C53" s="1452"/>
      <c r="D53" s="1452" t="s">
        <v>288</v>
      </c>
      <c r="E53" s="1449">
        <v>0</v>
      </c>
      <c r="F53" s="1450">
        <v>2.7</v>
      </c>
      <c r="G53" s="4422">
        <v>0.25</v>
      </c>
      <c r="H53" s="4733">
        <v>0.67500000000000004</v>
      </c>
      <c r="J53" s="2874"/>
    </row>
    <row r="54" spans="1:10" ht="30" customHeight="1">
      <c r="B54" s="5426" t="s">
        <v>1703</v>
      </c>
      <c r="C54" s="1478"/>
      <c r="D54" s="1478" t="s">
        <v>288</v>
      </c>
      <c r="E54" s="1449">
        <v>0</v>
      </c>
      <c r="F54" s="1450">
        <v>2.7</v>
      </c>
      <c r="G54" s="4422">
        <v>0.25</v>
      </c>
      <c r="H54" s="4733">
        <v>0.67500000000000004</v>
      </c>
      <c r="J54" s="2874"/>
    </row>
    <row r="55" spans="1:10" ht="30" customHeight="1">
      <c r="B55" s="5426" t="s">
        <v>1704</v>
      </c>
      <c r="C55" s="1478"/>
      <c r="D55" s="1478" t="s">
        <v>288</v>
      </c>
      <c r="E55" s="1449">
        <v>0</v>
      </c>
      <c r="F55" s="1450">
        <v>2.7</v>
      </c>
      <c r="G55" s="4422">
        <v>0.25</v>
      </c>
      <c r="H55" s="4733">
        <v>0.67500000000000004</v>
      </c>
      <c r="J55" s="2874"/>
    </row>
    <row r="56" spans="1:10" s="1073" customFormat="1" ht="30" customHeight="1">
      <c r="A56" s="1067"/>
      <c r="B56" s="2657" t="s">
        <v>1705</v>
      </c>
      <c r="C56" s="1478"/>
      <c r="D56" s="1478" t="s">
        <v>288</v>
      </c>
      <c r="E56" s="5253">
        <v>0</v>
      </c>
      <c r="F56" s="1450">
        <v>2.7</v>
      </c>
      <c r="G56" s="4422">
        <v>0.3</v>
      </c>
      <c r="H56" s="4733">
        <v>0.81</v>
      </c>
      <c r="I56" s="1067"/>
      <c r="J56" s="2874"/>
    </row>
    <row r="57" spans="1:10" s="1073" customFormat="1" ht="30" customHeight="1">
      <c r="A57" s="1067"/>
      <c r="B57" s="5426" t="s">
        <v>1706</v>
      </c>
      <c r="C57" s="1478"/>
      <c r="D57" s="1478" t="s">
        <v>288</v>
      </c>
      <c r="E57" s="1449">
        <v>0</v>
      </c>
      <c r="F57" s="1450">
        <v>2.7</v>
      </c>
      <c r="G57" s="4422">
        <v>0.25</v>
      </c>
      <c r="H57" s="4733">
        <v>0.67500000000000004</v>
      </c>
      <c r="I57" s="1067"/>
      <c r="J57" s="2874"/>
    </row>
    <row r="58" spans="1:10" ht="30" customHeight="1">
      <c r="B58" s="5426" t="s">
        <v>1707</v>
      </c>
      <c r="C58" s="1478"/>
      <c r="D58" s="1478" t="s">
        <v>288</v>
      </c>
      <c r="E58" s="5253">
        <v>0</v>
      </c>
      <c r="F58" s="1450">
        <v>2.7</v>
      </c>
      <c r="G58" s="4422">
        <v>0.25</v>
      </c>
      <c r="H58" s="4733">
        <v>0.67500000000000004</v>
      </c>
      <c r="J58" s="2874"/>
    </row>
    <row r="59" spans="1:10" ht="30" customHeight="1">
      <c r="B59" s="5426" t="s">
        <v>1708</v>
      </c>
      <c r="C59" s="1478"/>
      <c r="D59" s="1478" t="s">
        <v>288</v>
      </c>
      <c r="E59" s="5253">
        <v>0</v>
      </c>
      <c r="F59" s="1450">
        <v>2.7</v>
      </c>
      <c r="G59" s="4422">
        <v>0.3</v>
      </c>
      <c r="H59" s="4733">
        <v>0.81</v>
      </c>
      <c r="J59" s="2874"/>
    </row>
    <row r="60" spans="1:10" ht="30" customHeight="1">
      <c r="B60" s="5426" t="s">
        <v>1709</v>
      </c>
      <c r="C60" s="1478"/>
      <c r="D60" s="1478" t="s">
        <v>288</v>
      </c>
      <c r="E60" s="5253">
        <v>0</v>
      </c>
      <c r="F60" s="1450">
        <v>2.7</v>
      </c>
      <c r="G60" s="4422">
        <v>0.25</v>
      </c>
      <c r="H60" s="4733">
        <v>0.67500000000000004</v>
      </c>
      <c r="J60" s="2874"/>
    </row>
    <row r="61" spans="1:10" ht="30" customHeight="1">
      <c r="B61" s="5426" t="s">
        <v>1710</v>
      </c>
      <c r="C61" s="1478"/>
      <c r="D61" s="1478" t="s">
        <v>288</v>
      </c>
      <c r="E61" s="5253">
        <v>0</v>
      </c>
      <c r="F61" s="1450">
        <v>2.7</v>
      </c>
      <c r="G61" s="4422">
        <v>0.25</v>
      </c>
      <c r="H61" s="4733">
        <v>0.67500000000000004</v>
      </c>
    </row>
    <row r="62" spans="1:10" s="1073" customFormat="1" ht="30" customHeight="1">
      <c r="A62" s="1067"/>
      <c r="B62" s="5426" t="s">
        <v>1711</v>
      </c>
      <c r="C62" s="1478"/>
      <c r="D62" s="1478" t="s">
        <v>288</v>
      </c>
      <c r="E62" s="5253">
        <v>0</v>
      </c>
      <c r="F62" s="1450">
        <v>2.7</v>
      </c>
      <c r="G62" s="4422">
        <v>0.3</v>
      </c>
      <c r="H62" s="4733">
        <v>0.81</v>
      </c>
      <c r="I62" s="1067"/>
    </row>
    <row r="63" spans="1:10" ht="30" customHeight="1">
      <c r="B63" s="5426" t="s">
        <v>1712</v>
      </c>
      <c r="C63" s="5288"/>
      <c r="D63" s="1478" t="s">
        <v>288</v>
      </c>
      <c r="E63" s="5253">
        <v>0</v>
      </c>
      <c r="F63" s="1450">
        <v>2.7</v>
      </c>
      <c r="G63" s="4422">
        <v>0.25</v>
      </c>
      <c r="H63" s="4733">
        <v>0.67500000000000004</v>
      </c>
    </row>
    <row r="64" spans="1:10" ht="30" customHeight="1">
      <c r="B64" s="5426" t="s">
        <v>1713</v>
      </c>
      <c r="C64" s="1478"/>
      <c r="D64" s="1478" t="s">
        <v>288</v>
      </c>
      <c r="E64" s="5253">
        <v>0</v>
      </c>
      <c r="F64" s="1450">
        <v>2.7</v>
      </c>
      <c r="G64" s="4422">
        <v>0.3</v>
      </c>
      <c r="H64" s="4733">
        <v>0.81</v>
      </c>
    </row>
    <row r="65" spans="2:8" ht="30" customHeight="1">
      <c r="B65" s="5424" t="s">
        <v>1714</v>
      </c>
      <c r="C65" s="1452"/>
      <c r="D65" s="1452" t="s">
        <v>288</v>
      </c>
      <c r="E65" s="1449">
        <v>0</v>
      </c>
      <c r="F65" s="1450">
        <v>2.7</v>
      </c>
      <c r="G65" s="4422">
        <v>0.25</v>
      </c>
      <c r="H65" s="4733">
        <v>0.67500000000000004</v>
      </c>
    </row>
    <row r="66" spans="2:8" ht="30.75">
      <c r="B66" s="5424" t="s">
        <v>1715</v>
      </c>
      <c r="C66" s="1451"/>
      <c r="D66" s="1452" t="s">
        <v>288</v>
      </c>
      <c r="E66" s="1449">
        <v>0</v>
      </c>
      <c r="F66" s="1450">
        <v>2.7</v>
      </c>
      <c r="G66" s="4422">
        <v>0.3</v>
      </c>
      <c r="H66" s="4733">
        <v>0.81</v>
      </c>
    </row>
    <row r="67" spans="2:8" ht="30" customHeight="1">
      <c r="B67" s="5424" t="s">
        <v>1716</v>
      </c>
      <c r="C67" s="1452"/>
      <c r="D67" s="1452" t="s">
        <v>288</v>
      </c>
      <c r="E67" s="1449">
        <v>0</v>
      </c>
      <c r="F67" s="1450">
        <v>2.7</v>
      </c>
      <c r="G67" s="4422">
        <v>0.3</v>
      </c>
      <c r="H67" s="4733">
        <v>0.81</v>
      </c>
    </row>
    <row r="68" spans="2:8" ht="30" customHeight="1">
      <c r="B68" s="5424" t="s">
        <v>1717</v>
      </c>
      <c r="C68" s="1452"/>
      <c r="D68" s="1452" t="s">
        <v>288</v>
      </c>
      <c r="E68" s="1449">
        <v>0</v>
      </c>
      <c r="F68" s="1450">
        <v>2.7</v>
      </c>
      <c r="G68" s="4422">
        <v>0.3</v>
      </c>
      <c r="H68" s="4733">
        <v>0.81</v>
      </c>
    </row>
    <row r="69" spans="2:8" ht="30" customHeight="1">
      <c r="B69" s="2657" t="s">
        <v>1718</v>
      </c>
      <c r="C69" s="1478"/>
      <c r="D69" s="1478" t="s">
        <v>288</v>
      </c>
      <c r="E69" s="5253">
        <v>0</v>
      </c>
      <c r="F69" s="1450">
        <v>2.7</v>
      </c>
      <c r="G69" s="4422">
        <v>0.25</v>
      </c>
      <c r="H69" s="4733">
        <v>0.67500000000000004</v>
      </c>
    </row>
    <row r="70" spans="2:8" ht="30" customHeight="1">
      <c r="B70" s="5424" t="s">
        <v>1719</v>
      </c>
      <c r="C70" s="1452"/>
      <c r="D70" s="1452" t="s">
        <v>288</v>
      </c>
      <c r="E70" s="1449">
        <v>0</v>
      </c>
      <c r="F70" s="1450">
        <v>2.7</v>
      </c>
      <c r="G70" s="4422">
        <v>0.25</v>
      </c>
      <c r="H70" s="4733">
        <v>0.67500000000000004</v>
      </c>
    </row>
    <row r="71" spans="2:8" ht="30" customHeight="1">
      <c r="B71" s="5424" t="s">
        <v>1720</v>
      </c>
      <c r="C71" s="1452"/>
      <c r="D71" s="1452" t="s">
        <v>288</v>
      </c>
      <c r="E71" s="1449">
        <v>0</v>
      </c>
      <c r="F71" s="1450">
        <v>2.7</v>
      </c>
      <c r="G71" s="4422">
        <v>0.28000000000000003</v>
      </c>
      <c r="H71" s="4733">
        <v>0.75600000000000001</v>
      </c>
    </row>
    <row r="72" spans="2:8" ht="30" customHeight="1">
      <c r="B72" s="5426" t="s">
        <v>1721</v>
      </c>
      <c r="C72" s="1451"/>
      <c r="D72" s="5253" t="s">
        <v>288</v>
      </c>
      <c r="E72" s="1449">
        <v>0</v>
      </c>
      <c r="F72" s="1450">
        <v>2.7</v>
      </c>
      <c r="G72" s="4422">
        <v>0.25</v>
      </c>
      <c r="H72" s="4733">
        <v>0.67500000000000004</v>
      </c>
    </row>
    <row r="73" spans="2:8" ht="30" customHeight="1">
      <c r="B73" s="5426" t="s">
        <v>1722</v>
      </c>
      <c r="C73" s="1451"/>
      <c r="D73" s="1452" t="s">
        <v>288</v>
      </c>
      <c r="E73" s="1449">
        <v>0</v>
      </c>
      <c r="F73" s="1450">
        <v>2.7</v>
      </c>
      <c r="G73" s="4422">
        <v>0.25</v>
      </c>
      <c r="H73" s="4733">
        <v>0.67500000000000004</v>
      </c>
    </row>
    <row r="74" spans="2:8" ht="30" customHeight="1">
      <c r="B74" s="5426" t="s">
        <v>1723</v>
      </c>
      <c r="C74" s="1451"/>
      <c r="D74" s="1452" t="s">
        <v>288</v>
      </c>
      <c r="E74" s="1449">
        <v>0</v>
      </c>
      <c r="F74" s="1450">
        <v>2.7</v>
      </c>
      <c r="G74" s="4422">
        <v>0.315</v>
      </c>
      <c r="H74" s="4733">
        <v>0.85050000000000003</v>
      </c>
    </row>
    <row r="75" spans="2:8" ht="30" customHeight="1">
      <c r="B75" s="2657" t="s">
        <v>1724</v>
      </c>
      <c r="C75" s="1478"/>
      <c r="D75" s="1478" t="s">
        <v>288</v>
      </c>
      <c r="E75" s="1449">
        <v>0</v>
      </c>
      <c r="F75" s="1450">
        <v>2.7</v>
      </c>
      <c r="G75" s="4422">
        <v>0.25</v>
      </c>
      <c r="H75" s="4733">
        <v>0.67500000000000004</v>
      </c>
    </row>
    <row r="76" spans="2:8" ht="30" customHeight="1">
      <c r="B76" s="5424" t="s">
        <v>1725</v>
      </c>
      <c r="C76" s="1451"/>
      <c r="D76" s="1451" t="s">
        <v>288</v>
      </c>
      <c r="E76" s="1449">
        <v>0</v>
      </c>
      <c r="F76" s="1450">
        <v>2.7</v>
      </c>
      <c r="G76" s="4422">
        <v>0.25</v>
      </c>
      <c r="H76" s="4733">
        <v>0.67500000000000004</v>
      </c>
    </row>
    <row r="77" spans="2:8" ht="30" customHeight="1">
      <c r="B77" s="5424" t="s">
        <v>1726</v>
      </c>
      <c r="C77" s="1478"/>
      <c r="D77" s="1478" t="s">
        <v>288</v>
      </c>
      <c r="E77" s="5253">
        <v>0</v>
      </c>
      <c r="F77" s="1450">
        <v>2.7</v>
      </c>
      <c r="G77" s="4422">
        <v>0.25</v>
      </c>
      <c r="H77" s="4733">
        <v>0.67500000000000004</v>
      </c>
    </row>
    <row r="78" spans="2:8" ht="30" customHeight="1">
      <c r="B78" s="5424" t="s">
        <v>1727</v>
      </c>
      <c r="C78" s="1478"/>
      <c r="D78" s="1478" t="s">
        <v>288</v>
      </c>
      <c r="E78" s="5253">
        <v>0</v>
      </c>
      <c r="F78" s="1450">
        <v>2.7</v>
      </c>
      <c r="G78" s="4422">
        <v>0.25</v>
      </c>
      <c r="H78" s="4733">
        <v>0.67500000000000004</v>
      </c>
    </row>
    <row r="79" spans="2:8" ht="30" customHeight="1">
      <c r="B79" s="5426" t="s">
        <v>1728</v>
      </c>
      <c r="C79" s="1451"/>
      <c r="D79" s="1478" t="s">
        <v>288</v>
      </c>
      <c r="E79" s="5253">
        <v>0</v>
      </c>
      <c r="F79" s="1448">
        <v>2.7</v>
      </c>
      <c r="G79" s="4422">
        <v>0.3</v>
      </c>
      <c r="H79" s="4733">
        <v>0.81</v>
      </c>
    </row>
    <row r="80" spans="2:8" ht="30" customHeight="1" thickBot="1">
      <c r="B80" s="5428"/>
      <c r="C80" s="5429"/>
      <c r="D80" s="5430"/>
      <c r="E80" s="5431"/>
      <c r="F80" s="5432"/>
      <c r="G80" s="5433"/>
      <c r="H80" s="5434"/>
    </row>
    <row r="81" spans="2:8">
      <c r="B81" s="1127"/>
      <c r="C81" s="1128"/>
      <c r="D81" s="1129"/>
      <c r="E81" s="1130"/>
      <c r="F81" s="1131"/>
      <c r="G81" s="1132"/>
      <c r="H81" s="1133"/>
    </row>
    <row r="82" spans="2:8">
      <c r="B82" s="1134"/>
      <c r="C82" s="1078"/>
      <c r="D82" s="1079"/>
      <c r="E82" s="1080"/>
      <c r="F82" s="1081"/>
      <c r="G82" s="1135"/>
      <c r="H82" s="1136"/>
    </row>
    <row r="83" spans="2:8">
      <c r="B83" s="1101"/>
      <c r="C83" s="1078"/>
      <c r="D83" s="1078"/>
      <c r="E83" s="1114"/>
      <c r="F83" s="1137"/>
      <c r="G83" s="1138"/>
      <c r="H83" s="1139"/>
    </row>
    <row r="84" spans="2:8">
      <c r="E84" s="1140"/>
      <c r="G84" s="1141"/>
      <c r="H84" s="1142"/>
    </row>
  </sheetData>
  <mergeCells count="4">
    <mergeCell ref="B1:H1"/>
    <mergeCell ref="B2:H2"/>
    <mergeCell ref="B3:H3"/>
    <mergeCell ref="G4:H4"/>
  </mergeCells>
  <printOptions horizontalCentered="1" verticalCentered="1"/>
  <pageMargins left="0.25" right="0.25" top="0.75" bottom="0.75" header="0.3" footer="0.3"/>
  <pageSetup scale="27" firstPageNumber="103" orientation="portrait" useFirstPageNumber="1" r:id="rId1"/>
  <headerFooter scaleWithDoc="0" alignWithMargins="0">
    <oddFooter xml:space="preserve">&amp;C136
</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6">
    <tabColor theme="9" tint="-0.499984740745262"/>
    <pageSetUpPr fitToPage="1"/>
  </sheetPr>
  <dimension ref="B1:J95"/>
  <sheetViews>
    <sheetView view="pageBreakPreview" zoomScale="40" zoomScaleNormal="50" zoomScaleSheetLayoutView="40" workbookViewId="0">
      <selection activeCell="B7" sqref="B7:H95"/>
    </sheetView>
  </sheetViews>
  <sheetFormatPr defaultColWidth="77.46484375" defaultRowHeight="25.5"/>
  <cols>
    <col min="1" max="1" width="13.46484375" style="1067" customWidth="1"/>
    <col min="2" max="2" width="184.46484375" style="1117" customWidth="1"/>
    <col min="3" max="3" width="45.796875" style="1067" customWidth="1"/>
    <col min="4" max="4" width="27.33203125" style="1067" bestFit="1" customWidth="1"/>
    <col min="5" max="5" width="36.6640625" style="1067" customWidth="1"/>
    <col min="6" max="6" width="25.6640625" style="1119" customWidth="1"/>
    <col min="7" max="7" width="38.33203125" style="1153" bestFit="1" customWidth="1"/>
    <col min="8" max="8" width="30.46484375" style="1153" bestFit="1" customWidth="1"/>
    <col min="9" max="9" width="11.33203125" style="1067" customWidth="1"/>
    <col min="10" max="10" width="24.46484375" style="1067" customWidth="1"/>
    <col min="11" max="16384" width="77.46484375" style="1067"/>
  </cols>
  <sheetData>
    <row r="1" spans="2:10" ht="30">
      <c r="B1" s="5895" t="s">
        <v>1841</v>
      </c>
      <c r="C1" s="5895"/>
      <c r="D1" s="5895"/>
      <c r="E1" s="5895"/>
      <c r="F1" s="5895"/>
      <c r="G1" s="5895"/>
      <c r="H1" s="5895"/>
    </row>
    <row r="2" spans="2:10" ht="30">
      <c r="B2" s="5895" t="s">
        <v>1073</v>
      </c>
      <c r="C2" s="5895"/>
      <c r="D2" s="5895"/>
      <c r="E2" s="5895"/>
      <c r="F2" s="5895"/>
      <c r="G2" s="5895"/>
      <c r="H2" s="5895"/>
    </row>
    <row r="3" spans="2:10" ht="30.4" thickBot="1">
      <c r="B3" s="5895" t="s">
        <v>1967</v>
      </c>
      <c r="C3" s="5895"/>
      <c r="D3" s="5895"/>
      <c r="E3" s="5895"/>
      <c r="F3" s="5895"/>
      <c r="G3" s="5895"/>
      <c r="H3" s="5895"/>
    </row>
    <row r="4" spans="2:10" ht="44.75" customHeight="1">
      <c r="B4" s="5191"/>
      <c r="C4" s="5192"/>
      <c r="D4" s="5192"/>
      <c r="E4" s="5193"/>
      <c r="F4" s="5194"/>
      <c r="G4" s="5896" t="s">
        <v>2333</v>
      </c>
      <c r="H4" s="5897"/>
    </row>
    <row r="5" spans="2:10">
      <c r="B5" s="5195"/>
      <c r="C5" s="5196"/>
      <c r="D5" s="5196"/>
      <c r="E5" s="5197" t="s">
        <v>275</v>
      </c>
      <c r="F5" s="5198" t="s">
        <v>276</v>
      </c>
      <c r="G5" s="5199" t="s">
        <v>277</v>
      </c>
      <c r="H5" s="5200" t="s">
        <v>278</v>
      </c>
    </row>
    <row r="6" spans="2:10" ht="25.9" thickBot="1">
      <c r="B6" s="5201" t="s">
        <v>743</v>
      </c>
      <c r="C6" s="5196" t="s">
        <v>279</v>
      </c>
      <c r="D6" s="5202" t="s">
        <v>280</v>
      </c>
      <c r="E6" s="5202" t="s">
        <v>281</v>
      </c>
      <c r="F6" s="5203" t="s">
        <v>281</v>
      </c>
      <c r="G6" s="5204" t="s">
        <v>280</v>
      </c>
      <c r="H6" s="5205" t="s">
        <v>282</v>
      </c>
    </row>
    <row r="7" spans="2:10" ht="33" customHeight="1">
      <c r="B7" s="5435" t="s">
        <v>1729</v>
      </c>
      <c r="C7" s="5436"/>
      <c r="D7" s="5437" t="s">
        <v>288</v>
      </c>
      <c r="E7" s="5438">
        <v>0</v>
      </c>
      <c r="F7" s="5439">
        <v>2.7</v>
      </c>
      <c r="G7" s="5440">
        <v>0.3</v>
      </c>
      <c r="H7" s="5420">
        <v>0.81</v>
      </c>
      <c r="J7" s="1067">
        <v>1000000</v>
      </c>
    </row>
    <row r="8" spans="2:10" ht="33" customHeight="1">
      <c r="B8" s="5441" t="s">
        <v>1730</v>
      </c>
      <c r="C8" s="5437"/>
      <c r="D8" s="5437" t="s">
        <v>288</v>
      </c>
      <c r="E8" s="5438">
        <v>0</v>
      </c>
      <c r="F8" s="5439">
        <v>2.7</v>
      </c>
      <c r="G8" s="5421">
        <v>0.25</v>
      </c>
      <c r="H8" s="5420">
        <v>0.67500000000000004</v>
      </c>
    </row>
    <row r="9" spans="2:10" ht="33" customHeight="1">
      <c r="B9" s="5435" t="s">
        <v>1731</v>
      </c>
      <c r="C9" s="5437"/>
      <c r="D9" s="5437" t="s">
        <v>288</v>
      </c>
      <c r="E9" s="5438">
        <v>0</v>
      </c>
      <c r="F9" s="5439">
        <v>2.7</v>
      </c>
      <c r="G9" s="5421">
        <v>0.3</v>
      </c>
      <c r="H9" s="5420">
        <v>0.81</v>
      </c>
    </row>
    <row r="10" spans="2:10" ht="33" customHeight="1">
      <c r="B10" s="5441" t="s">
        <v>2146</v>
      </c>
      <c r="C10" s="5437"/>
      <c r="D10" s="5437" t="s">
        <v>288</v>
      </c>
      <c r="E10" s="5438">
        <v>0</v>
      </c>
      <c r="F10" s="5439">
        <v>2.7</v>
      </c>
      <c r="G10" s="5421">
        <v>0.25</v>
      </c>
      <c r="H10" s="5420">
        <v>0.67500000000000004</v>
      </c>
    </row>
    <row r="11" spans="2:10" ht="33" customHeight="1">
      <c r="B11" s="5441" t="s">
        <v>1732</v>
      </c>
      <c r="C11" s="5437"/>
      <c r="D11" s="5437" t="s">
        <v>288</v>
      </c>
      <c r="E11" s="5438">
        <v>0</v>
      </c>
      <c r="F11" s="5439">
        <v>2.7</v>
      </c>
      <c r="G11" s="5421">
        <v>0.25</v>
      </c>
      <c r="H11" s="5420">
        <v>0.67500000000000004</v>
      </c>
    </row>
    <row r="12" spans="2:10" ht="33" customHeight="1">
      <c r="B12" s="5441" t="s">
        <v>1733</v>
      </c>
      <c r="C12" s="5442"/>
      <c r="D12" s="5442" t="s">
        <v>288</v>
      </c>
      <c r="E12" s="5443">
        <v>0</v>
      </c>
      <c r="F12" s="5444">
        <v>2.7</v>
      </c>
      <c r="G12" s="5421">
        <v>0.25</v>
      </c>
      <c r="H12" s="5420">
        <v>0.67500000000000004</v>
      </c>
    </row>
    <row r="13" spans="2:10" ht="33" customHeight="1">
      <c r="B13" s="5441" t="s">
        <v>1734</v>
      </c>
      <c r="C13" s="5442"/>
      <c r="D13" s="5442" t="s">
        <v>288</v>
      </c>
      <c r="E13" s="5443">
        <v>0</v>
      </c>
      <c r="F13" s="5444">
        <v>2.7</v>
      </c>
      <c r="G13" s="5421">
        <v>0.25</v>
      </c>
      <c r="H13" s="5420">
        <v>0.67500000000000004</v>
      </c>
    </row>
    <row r="14" spans="2:10" ht="33" customHeight="1">
      <c r="B14" s="5441" t="s">
        <v>1735</v>
      </c>
      <c r="C14" s="5442"/>
      <c r="D14" s="5442" t="s">
        <v>288</v>
      </c>
      <c r="E14" s="5443">
        <v>0</v>
      </c>
      <c r="F14" s="5444">
        <v>2.7</v>
      </c>
      <c r="G14" s="5421">
        <v>0.25</v>
      </c>
      <c r="H14" s="5420">
        <v>0.67500000000000004</v>
      </c>
    </row>
    <row r="15" spans="2:10" ht="33" customHeight="1">
      <c r="B15" s="5441" t="s">
        <v>1736</v>
      </c>
      <c r="C15" s="5442"/>
      <c r="D15" s="5442" t="s">
        <v>288</v>
      </c>
      <c r="E15" s="5443">
        <v>0</v>
      </c>
      <c r="F15" s="5444">
        <v>2.7</v>
      </c>
      <c r="G15" s="5421">
        <v>0.25</v>
      </c>
      <c r="H15" s="5420">
        <v>0.67500000000000004</v>
      </c>
    </row>
    <row r="16" spans="2:10" ht="33" customHeight="1">
      <c r="B16" s="5435" t="s">
        <v>1737</v>
      </c>
      <c r="C16" s="5437"/>
      <c r="D16" s="5437" t="s">
        <v>288</v>
      </c>
      <c r="E16" s="5438">
        <v>0</v>
      </c>
      <c r="F16" s="5439">
        <v>2.7</v>
      </c>
      <c r="G16" s="5421">
        <v>0.3</v>
      </c>
      <c r="H16" s="5420">
        <v>0.81</v>
      </c>
    </row>
    <row r="17" spans="2:8" ht="33" customHeight="1">
      <c r="B17" s="5441" t="s">
        <v>1738</v>
      </c>
      <c r="C17" s="5442"/>
      <c r="D17" s="5442" t="s">
        <v>288</v>
      </c>
      <c r="E17" s="5443">
        <v>0</v>
      </c>
      <c r="F17" s="5444">
        <v>2.7</v>
      </c>
      <c r="G17" s="5421">
        <v>0.3</v>
      </c>
      <c r="H17" s="5420">
        <v>0.81</v>
      </c>
    </row>
    <row r="18" spans="2:8" ht="33" customHeight="1">
      <c r="B18" s="5441" t="s">
        <v>1739</v>
      </c>
      <c r="C18" s="5442"/>
      <c r="D18" s="5442" t="s">
        <v>288</v>
      </c>
      <c r="E18" s="5443">
        <v>0</v>
      </c>
      <c r="F18" s="5444">
        <v>2.7</v>
      </c>
      <c r="G18" s="5421">
        <v>0.25</v>
      </c>
      <c r="H18" s="5420">
        <v>0.67500000000000004</v>
      </c>
    </row>
    <row r="19" spans="2:8" ht="33" customHeight="1">
      <c r="B19" s="5441" t="s">
        <v>1740</v>
      </c>
      <c r="C19" s="5442"/>
      <c r="D19" s="5442" t="s">
        <v>288</v>
      </c>
      <c r="E19" s="5443">
        <v>0</v>
      </c>
      <c r="F19" s="5444">
        <v>2.7</v>
      </c>
      <c r="G19" s="5421">
        <v>0.3</v>
      </c>
      <c r="H19" s="5420">
        <v>0.81</v>
      </c>
    </row>
    <row r="20" spans="2:8" ht="33" customHeight="1">
      <c r="B20" s="5435" t="s">
        <v>1741</v>
      </c>
      <c r="C20" s="5437"/>
      <c r="D20" s="5437" t="s">
        <v>288</v>
      </c>
      <c r="E20" s="5438">
        <v>0</v>
      </c>
      <c r="F20" s="5439">
        <v>2.7</v>
      </c>
      <c r="G20" s="5421">
        <v>0.25</v>
      </c>
      <c r="H20" s="5420">
        <v>0.67500000000000004</v>
      </c>
    </row>
    <row r="21" spans="2:8" ht="33" customHeight="1">
      <c r="B21" s="5441" t="s">
        <v>1742</v>
      </c>
      <c r="C21" s="5442"/>
      <c r="D21" s="5442" t="s">
        <v>288</v>
      </c>
      <c r="E21" s="5443">
        <v>0</v>
      </c>
      <c r="F21" s="5444">
        <v>2.7</v>
      </c>
      <c r="G21" s="5421">
        <v>0.3</v>
      </c>
      <c r="H21" s="5420">
        <v>0.81</v>
      </c>
    </row>
    <row r="22" spans="2:8" ht="33" customHeight="1">
      <c r="B22" s="5435" t="s">
        <v>1743</v>
      </c>
      <c r="C22" s="5437"/>
      <c r="D22" s="5437" t="s">
        <v>288</v>
      </c>
      <c r="E22" s="5438">
        <v>0</v>
      </c>
      <c r="F22" s="5439">
        <v>2.7</v>
      </c>
      <c r="G22" s="5421">
        <v>0.3</v>
      </c>
      <c r="H22" s="5420">
        <v>0.81</v>
      </c>
    </row>
    <row r="23" spans="2:8" ht="33" customHeight="1">
      <c r="B23" s="5435" t="s">
        <v>1744</v>
      </c>
      <c r="C23" s="5437"/>
      <c r="D23" s="5437" t="s">
        <v>288</v>
      </c>
      <c r="E23" s="5438">
        <v>0</v>
      </c>
      <c r="F23" s="5439">
        <v>2.7</v>
      </c>
      <c r="G23" s="5421">
        <v>0.315</v>
      </c>
      <c r="H23" s="5420">
        <v>0.85050000000000003</v>
      </c>
    </row>
    <row r="24" spans="2:8" ht="33" customHeight="1">
      <c r="B24" s="5435" t="s">
        <v>1745</v>
      </c>
      <c r="C24" s="5437"/>
      <c r="D24" s="5437" t="s">
        <v>288</v>
      </c>
      <c r="E24" s="5443">
        <v>0</v>
      </c>
      <c r="F24" s="5439">
        <v>2.7</v>
      </c>
      <c r="G24" s="5421">
        <v>0.25</v>
      </c>
      <c r="H24" s="5420">
        <v>0.67500000000000004</v>
      </c>
    </row>
    <row r="25" spans="2:8" ht="33" customHeight="1">
      <c r="B25" s="5435" t="s">
        <v>2147</v>
      </c>
      <c r="C25" s="5437"/>
      <c r="D25" s="5437" t="s">
        <v>288</v>
      </c>
      <c r="E25" s="5438">
        <v>0</v>
      </c>
      <c r="F25" s="5439">
        <v>2.7</v>
      </c>
      <c r="G25" s="5421">
        <v>0.3</v>
      </c>
      <c r="H25" s="5420">
        <v>0.81</v>
      </c>
    </row>
    <row r="26" spans="2:8" ht="33" customHeight="1">
      <c r="B26" s="5435" t="s">
        <v>2148</v>
      </c>
      <c r="C26" s="5445"/>
      <c r="D26" s="5445" t="s">
        <v>288</v>
      </c>
      <c r="E26" s="5438">
        <v>0</v>
      </c>
      <c r="F26" s="5446">
        <v>2.7</v>
      </c>
      <c r="G26" s="5421">
        <v>0.3</v>
      </c>
      <c r="H26" s="5420">
        <v>0.81</v>
      </c>
    </row>
    <row r="27" spans="2:8" ht="33" customHeight="1">
      <c r="B27" s="5435" t="s">
        <v>2149</v>
      </c>
      <c r="C27" s="5445"/>
      <c r="D27" s="5445" t="s">
        <v>288</v>
      </c>
      <c r="E27" s="5438">
        <v>0</v>
      </c>
      <c r="F27" s="5446">
        <v>2.7</v>
      </c>
      <c r="G27" s="5421">
        <v>0.25</v>
      </c>
      <c r="H27" s="5420">
        <v>0.67500000000000004</v>
      </c>
    </row>
    <row r="28" spans="2:8" ht="33" customHeight="1">
      <c r="B28" s="5435" t="s">
        <v>2150</v>
      </c>
      <c r="C28" s="5445"/>
      <c r="D28" s="5445" t="s">
        <v>288</v>
      </c>
      <c r="E28" s="5438">
        <v>0</v>
      </c>
      <c r="F28" s="5446">
        <v>2.7</v>
      </c>
      <c r="G28" s="5421">
        <v>0.25</v>
      </c>
      <c r="H28" s="5420">
        <v>0.67500000000000004</v>
      </c>
    </row>
    <row r="29" spans="2:8" ht="33" customHeight="1">
      <c r="B29" s="5435" t="s">
        <v>2151</v>
      </c>
      <c r="C29" s="5445"/>
      <c r="D29" s="5445" t="s">
        <v>288</v>
      </c>
      <c r="E29" s="5438">
        <v>0</v>
      </c>
      <c r="F29" s="5446">
        <v>2.7</v>
      </c>
      <c r="G29" s="5421">
        <v>0.25</v>
      </c>
      <c r="H29" s="5420">
        <v>0.67500000000000004</v>
      </c>
    </row>
    <row r="30" spans="2:8" ht="33" customHeight="1">
      <c r="B30" s="5435" t="s">
        <v>2152</v>
      </c>
      <c r="C30" s="5445"/>
      <c r="D30" s="5445" t="s">
        <v>288</v>
      </c>
      <c r="E30" s="5438">
        <v>0</v>
      </c>
      <c r="F30" s="5446">
        <v>2.7</v>
      </c>
      <c r="G30" s="5421">
        <v>0.25</v>
      </c>
      <c r="H30" s="5420">
        <v>0.67500000000000004</v>
      </c>
    </row>
    <row r="31" spans="2:8" ht="33" customHeight="1">
      <c r="B31" s="5435" t="s">
        <v>2153</v>
      </c>
      <c r="C31" s="5445"/>
      <c r="D31" s="5445" t="s">
        <v>288</v>
      </c>
      <c r="E31" s="5438">
        <v>0</v>
      </c>
      <c r="F31" s="5446">
        <v>2.7</v>
      </c>
      <c r="G31" s="5421">
        <v>0.25</v>
      </c>
      <c r="H31" s="5420">
        <v>0.67500000000000004</v>
      </c>
    </row>
    <row r="32" spans="2:8" ht="33" customHeight="1">
      <c r="B32" s="5435" t="s">
        <v>2154</v>
      </c>
      <c r="C32" s="5445"/>
      <c r="D32" s="5445" t="s">
        <v>288</v>
      </c>
      <c r="E32" s="5438">
        <v>0</v>
      </c>
      <c r="F32" s="5446">
        <v>2.7</v>
      </c>
      <c r="G32" s="5421">
        <v>0.39</v>
      </c>
      <c r="H32" s="5420">
        <v>1.0529999999999999</v>
      </c>
    </row>
    <row r="33" spans="2:8" ht="33" customHeight="1">
      <c r="B33" s="5435" t="s">
        <v>2155</v>
      </c>
      <c r="C33" s="5445"/>
      <c r="D33" s="5445" t="s">
        <v>288</v>
      </c>
      <c r="E33" s="5438">
        <v>0</v>
      </c>
      <c r="F33" s="5446">
        <v>2.7</v>
      </c>
      <c r="G33" s="5421">
        <v>0.25</v>
      </c>
      <c r="H33" s="5420">
        <v>0.67500000000000004</v>
      </c>
    </row>
    <row r="34" spans="2:8" ht="33" customHeight="1">
      <c r="B34" s="5435" t="s">
        <v>2156</v>
      </c>
      <c r="C34" s="5445"/>
      <c r="D34" s="5445" t="s">
        <v>288</v>
      </c>
      <c r="E34" s="5438">
        <v>0</v>
      </c>
      <c r="F34" s="5446">
        <v>2.7</v>
      </c>
      <c r="G34" s="5421">
        <v>0.25</v>
      </c>
      <c r="H34" s="5420">
        <v>0.67500000000000004</v>
      </c>
    </row>
    <row r="35" spans="2:8" ht="33" customHeight="1">
      <c r="B35" s="5435" t="s">
        <v>2157</v>
      </c>
      <c r="C35" s="5445"/>
      <c r="D35" s="5445" t="s">
        <v>288</v>
      </c>
      <c r="E35" s="5438">
        <v>0</v>
      </c>
      <c r="F35" s="5446">
        <v>2.7</v>
      </c>
      <c r="G35" s="5421">
        <v>0.25</v>
      </c>
      <c r="H35" s="5420">
        <v>0.67500000000000004</v>
      </c>
    </row>
    <row r="36" spans="2:8" ht="33" customHeight="1">
      <c r="B36" s="5435" t="s">
        <v>2158</v>
      </c>
      <c r="C36" s="5445"/>
      <c r="D36" s="5445" t="s">
        <v>288</v>
      </c>
      <c r="E36" s="5438">
        <v>0</v>
      </c>
      <c r="F36" s="5446">
        <v>2.7</v>
      </c>
      <c r="G36" s="5421">
        <v>0.25</v>
      </c>
      <c r="H36" s="5420">
        <v>0.67500000000000004</v>
      </c>
    </row>
    <row r="37" spans="2:8" ht="33" customHeight="1">
      <c r="B37" s="5435" t="s">
        <v>2159</v>
      </c>
      <c r="C37" s="5445"/>
      <c r="D37" s="5445" t="s">
        <v>288</v>
      </c>
      <c r="E37" s="5438">
        <v>0</v>
      </c>
      <c r="F37" s="5446">
        <v>2.7</v>
      </c>
      <c r="G37" s="5421">
        <v>0.25</v>
      </c>
      <c r="H37" s="5420">
        <v>0.67500000000000004</v>
      </c>
    </row>
    <row r="38" spans="2:8" ht="33" customHeight="1">
      <c r="B38" s="5435" t="s">
        <v>2160</v>
      </c>
      <c r="C38" s="5445"/>
      <c r="D38" s="5445" t="s">
        <v>288</v>
      </c>
      <c r="E38" s="5438">
        <v>0</v>
      </c>
      <c r="F38" s="5446">
        <v>2.7</v>
      </c>
      <c r="G38" s="5421">
        <v>0.3</v>
      </c>
      <c r="H38" s="5420">
        <v>0.81</v>
      </c>
    </row>
    <row r="39" spans="2:8" ht="33" customHeight="1">
      <c r="B39" s="5435" t="s">
        <v>2161</v>
      </c>
      <c r="C39" s="5445"/>
      <c r="D39" s="5445" t="s">
        <v>288</v>
      </c>
      <c r="E39" s="5438">
        <v>0</v>
      </c>
      <c r="F39" s="5446">
        <v>2.7</v>
      </c>
      <c r="G39" s="5421">
        <v>0.25</v>
      </c>
      <c r="H39" s="5420">
        <v>0.67500000000000004</v>
      </c>
    </row>
    <row r="40" spans="2:8" ht="33" customHeight="1">
      <c r="B40" s="5435" t="s">
        <v>2162</v>
      </c>
      <c r="C40" s="5445"/>
      <c r="D40" s="5445" t="s">
        <v>288</v>
      </c>
      <c r="E40" s="5438">
        <v>0</v>
      </c>
      <c r="F40" s="5446">
        <v>2.7</v>
      </c>
      <c r="G40" s="5421">
        <v>0.25</v>
      </c>
      <c r="H40" s="5420">
        <v>0.67500000000000004</v>
      </c>
    </row>
    <row r="41" spans="2:8" ht="33" customHeight="1">
      <c r="B41" s="5435" t="s">
        <v>2163</v>
      </c>
      <c r="C41" s="5445"/>
      <c r="D41" s="5445" t="s">
        <v>288</v>
      </c>
      <c r="E41" s="5438">
        <v>0</v>
      </c>
      <c r="F41" s="5446">
        <v>2.7</v>
      </c>
      <c r="G41" s="5421">
        <v>0.25</v>
      </c>
      <c r="H41" s="5420">
        <v>0.67500000000000004</v>
      </c>
    </row>
    <row r="42" spans="2:8" ht="33" customHeight="1">
      <c r="B42" s="5435" t="s">
        <v>2164</v>
      </c>
      <c r="C42" s="5445"/>
      <c r="D42" s="5445" t="s">
        <v>288</v>
      </c>
      <c r="E42" s="5438">
        <v>0</v>
      </c>
      <c r="F42" s="5446">
        <v>2.7</v>
      </c>
      <c r="G42" s="5421">
        <v>0.3</v>
      </c>
      <c r="H42" s="5420">
        <v>0.81</v>
      </c>
    </row>
    <row r="43" spans="2:8" ht="33" customHeight="1">
      <c r="B43" s="5435" t="s">
        <v>2165</v>
      </c>
      <c r="C43" s="5445"/>
      <c r="D43" s="5445" t="s">
        <v>288</v>
      </c>
      <c r="E43" s="5438">
        <v>0</v>
      </c>
      <c r="F43" s="5446">
        <v>2.7</v>
      </c>
      <c r="G43" s="5421">
        <v>0.25</v>
      </c>
      <c r="H43" s="5420">
        <v>0.67500000000000004</v>
      </c>
    </row>
    <row r="44" spans="2:8" ht="33" customHeight="1">
      <c r="B44" s="5435" t="s">
        <v>2166</v>
      </c>
      <c r="C44" s="5445"/>
      <c r="D44" s="5445" t="s">
        <v>288</v>
      </c>
      <c r="E44" s="5438">
        <v>0</v>
      </c>
      <c r="F44" s="5446">
        <v>2.7</v>
      </c>
      <c r="G44" s="5421">
        <v>0.25</v>
      </c>
      <c r="H44" s="5420">
        <v>0.67500000000000004</v>
      </c>
    </row>
    <row r="45" spans="2:8" ht="33" customHeight="1">
      <c r="B45" s="5435" t="s">
        <v>2167</v>
      </c>
      <c r="C45" s="5445"/>
      <c r="D45" s="5445" t="s">
        <v>288</v>
      </c>
      <c r="E45" s="5438">
        <v>0</v>
      </c>
      <c r="F45" s="5446">
        <v>2.7</v>
      </c>
      <c r="G45" s="5421">
        <v>0.3</v>
      </c>
      <c r="H45" s="5420">
        <v>0.81</v>
      </c>
    </row>
    <row r="46" spans="2:8" ht="33" customHeight="1">
      <c r="B46" s="5435" t="s">
        <v>2168</v>
      </c>
      <c r="C46" s="5445"/>
      <c r="D46" s="5445" t="s">
        <v>288</v>
      </c>
      <c r="E46" s="5438">
        <v>0</v>
      </c>
      <c r="F46" s="5446">
        <v>2.7</v>
      </c>
      <c r="G46" s="5421">
        <v>0.315</v>
      </c>
      <c r="H46" s="5420">
        <v>0.85050000000000003</v>
      </c>
    </row>
    <row r="47" spans="2:8" ht="33" customHeight="1">
      <c r="B47" s="5435" t="s">
        <v>2169</v>
      </c>
      <c r="C47" s="5445"/>
      <c r="D47" s="5445" t="s">
        <v>288</v>
      </c>
      <c r="E47" s="5438">
        <v>0</v>
      </c>
      <c r="F47" s="5446">
        <v>2.7</v>
      </c>
      <c r="G47" s="5421">
        <v>0.25</v>
      </c>
      <c r="H47" s="5420">
        <v>0.67500000000000004</v>
      </c>
    </row>
    <row r="48" spans="2:8" ht="33" customHeight="1">
      <c r="B48" s="5435" t="s">
        <v>2170</v>
      </c>
      <c r="C48" s="5445"/>
      <c r="D48" s="5445" t="s">
        <v>288</v>
      </c>
      <c r="E48" s="5438">
        <v>0</v>
      </c>
      <c r="F48" s="5446">
        <v>2.7</v>
      </c>
      <c r="G48" s="5421">
        <v>0.25</v>
      </c>
      <c r="H48" s="5420">
        <v>0.67500000000000004</v>
      </c>
    </row>
    <row r="49" spans="2:8" ht="33" customHeight="1">
      <c r="B49" s="5435" t="s">
        <v>2171</v>
      </c>
      <c r="C49" s="5445"/>
      <c r="D49" s="5445" t="s">
        <v>288</v>
      </c>
      <c r="E49" s="5438">
        <v>0</v>
      </c>
      <c r="F49" s="5446">
        <v>2.7</v>
      </c>
      <c r="G49" s="5421">
        <v>0.3</v>
      </c>
      <c r="H49" s="5420">
        <v>0.81</v>
      </c>
    </row>
    <row r="50" spans="2:8" ht="33" customHeight="1">
      <c r="B50" s="5435" t="s">
        <v>2172</v>
      </c>
      <c r="C50" s="5445"/>
      <c r="D50" s="5445" t="s">
        <v>288</v>
      </c>
      <c r="E50" s="5438">
        <v>0</v>
      </c>
      <c r="F50" s="5446">
        <v>2.7</v>
      </c>
      <c r="G50" s="5421">
        <v>0.25</v>
      </c>
      <c r="H50" s="5420">
        <v>0.67500000000000004</v>
      </c>
    </row>
    <row r="51" spans="2:8" ht="33" customHeight="1">
      <c r="B51" s="5435" t="s">
        <v>2173</v>
      </c>
      <c r="C51" s="5445"/>
      <c r="D51" s="5445" t="s">
        <v>288</v>
      </c>
      <c r="E51" s="5438">
        <v>0</v>
      </c>
      <c r="F51" s="5446">
        <v>2.7</v>
      </c>
      <c r="G51" s="5421">
        <v>0.25</v>
      </c>
      <c r="H51" s="5420">
        <v>0.67500000000000004</v>
      </c>
    </row>
    <row r="52" spans="2:8" ht="33" customHeight="1">
      <c r="B52" s="5435" t="s">
        <v>2174</v>
      </c>
      <c r="C52" s="5445"/>
      <c r="D52" s="5445" t="s">
        <v>288</v>
      </c>
      <c r="E52" s="5438">
        <v>0</v>
      </c>
      <c r="F52" s="5446">
        <v>2.7</v>
      </c>
      <c r="G52" s="5421">
        <v>0.3</v>
      </c>
      <c r="H52" s="5420">
        <v>0.81</v>
      </c>
    </row>
    <row r="53" spans="2:8" ht="33" customHeight="1">
      <c r="B53" s="5435" t="s">
        <v>2175</v>
      </c>
      <c r="C53" s="5445"/>
      <c r="D53" s="5445" t="s">
        <v>288</v>
      </c>
      <c r="E53" s="5438">
        <v>0</v>
      </c>
      <c r="F53" s="5446">
        <v>2.7</v>
      </c>
      <c r="G53" s="5421">
        <v>0.25</v>
      </c>
      <c r="H53" s="5420">
        <v>0.67500000000000004</v>
      </c>
    </row>
    <row r="54" spans="2:8" ht="33" customHeight="1">
      <c r="B54" s="5435" t="s">
        <v>2176</v>
      </c>
      <c r="C54" s="5445"/>
      <c r="D54" s="5445" t="s">
        <v>288</v>
      </c>
      <c r="E54" s="5438">
        <v>0</v>
      </c>
      <c r="F54" s="5446">
        <v>2.7</v>
      </c>
      <c r="G54" s="5421">
        <v>0.3</v>
      </c>
      <c r="H54" s="5420">
        <v>0.81</v>
      </c>
    </row>
    <row r="55" spans="2:8" ht="33" customHeight="1">
      <c r="B55" s="5435" t="s">
        <v>2177</v>
      </c>
      <c r="C55" s="5445"/>
      <c r="D55" s="5445" t="s">
        <v>288</v>
      </c>
      <c r="E55" s="5438">
        <v>0</v>
      </c>
      <c r="F55" s="5446">
        <v>2.7</v>
      </c>
      <c r="G55" s="5421">
        <v>0.25</v>
      </c>
      <c r="H55" s="5420">
        <v>0.67500000000000004</v>
      </c>
    </row>
    <row r="56" spans="2:8" ht="33" customHeight="1">
      <c r="B56" s="5435" t="s">
        <v>2178</v>
      </c>
      <c r="C56" s="5445"/>
      <c r="D56" s="5445" t="s">
        <v>288</v>
      </c>
      <c r="E56" s="5438">
        <v>0</v>
      </c>
      <c r="F56" s="5446">
        <v>2.7</v>
      </c>
      <c r="G56" s="5421">
        <v>0.3</v>
      </c>
      <c r="H56" s="5420">
        <v>0.81</v>
      </c>
    </row>
    <row r="57" spans="2:8" ht="33" customHeight="1">
      <c r="B57" s="5435" t="s">
        <v>2179</v>
      </c>
      <c r="C57" s="5445"/>
      <c r="D57" s="5445" t="s">
        <v>288</v>
      </c>
      <c r="E57" s="5438">
        <v>0</v>
      </c>
      <c r="F57" s="5446">
        <v>2.7</v>
      </c>
      <c r="G57" s="5421">
        <v>0.25</v>
      </c>
      <c r="H57" s="5420">
        <v>0.67500000000000004</v>
      </c>
    </row>
    <row r="58" spans="2:8" ht="33" customHeight="1">
      <c r="B58" s="5435" t="s">
        <v>2180</v>
      </c>
      <c r="C58" s="5445"/>
      <c r="D58" s="5445" t="s">
        <v>288</v>
      </c>
      <c r="E58" s="5438">
        <v>0</v>
      </c>
      <c r="F58" s="5446">
        <v>2.7</v>
      </c>
      <c r="G58" s="5421">
        <v>0.25</v>
      </c>
      <c r="H58" s="5420">
        <v>0.67500000000000004</v>
      </c>
    </row>
    <row r="59" spans="2:8" ht="33" customHeight="1">
      <c r="B59" s="5435" t="s">
        <v>2181</v>
      </c>
      <c r="C59" s="5445"/>
      <c r="D59" s="5445" t="s">
        <v>288</v>
      </c>
      <c r="E59" s="5438">
        <v>0</v>
      </c>
      <c r="F59" s="5446">
        <v>2.7</v>
      </c>
      <c r="G59" s="5421">
        <v>0.25</v>
      </c>
      <c r="H59" s="5420">
        <v>0.67500000000000004</v>
      </c>
    </row>
    <row r="60" spans="2:8" ht="33" customHeight="1">
      <c r="B60" s="5435" t="s">
        <v>2182</v>
      </c>
      <c r="C60" s="5445"/>
      <c r="D60" s="5445" t="s">
        <v>288</v>
      </c>
      <c r="E60" s="5438">
        <v>0</v>
      </c>
      <c r="F60" s="5446">
        <v>2.7</v>
      </c>
      <c r="G60" s="5421">
        <v>0.25</v>
      </c>
      <c r="H60" s="5420">
        <v>0.67500000000000004</v>
      </c>
    </row>
    <row r="61" spans="2:8" ht="33" customHeight="1">
      <c r="B61" s="5435" t="s">
        <v>2183</v>
      </c>
      <c r="C61" s="5445"/>
      <c r="D61" s="5445" t="s">
        <v>288</v>
      </c>
      <c r="E61" s="5438">
        <v>0</v>
      </c>
      <c r="F61" s="5446">
        <v>2.7</v>
      </c>
      <c r="G61" s="5421">
        <v>0.25</v>
      </c>
      <c r="H61" s="5420">
        <v>0.67500000000000004</v>
      </c>
    </row>
    <row r="62" spans="2:8" ht="33" customHeight="1">
      <c r="B62" s="5435" t="s">
        <v>2184</v>
      </c>
      <c r="C62" s="5445"/>
      <c r="D62" s="5445" t="s">
        <v>288</v>
      </c>
      <c r="E62" s="5438">
        <v>0</v>
      </c>
      <c r="F62" s="5446">
        <v>2.7</v>
      </c>
      <c r="G62" s="5421">
        <v>0.3</v>
      </c>
      <c r="H62" s="5420">
        <v>0.81</v>
      </c>
    </row>
    <row r="63" spans="2:8" ht="33" customHeight="1">
      <c r="B63" s="5435" t="s">
        <v>2185</v>
      </c>
      <c r="C63" s="5445"/>
      <c r="D63" s="5445" t="s">
        <v>288</v>
      </c>
      <c r="E63" s="5438">
        <v>0</v>
      </c>
      <c r="F63" s="5446">
        <v>2.7</v>
      </c>
      <c r="G63" s="5421">
        <v>0.25</v>
      </c>
      <c r="H63" s="5420">
        <v>0.67500000000000004</v>
      </c>
    </row>
    <row r="64" spans="2:8" ht="33" customHeight="1">
      <c r="B64" s="5435" t="s">
        <v>2186</v>
      </c>
      <c r="C64" s="5445"/>
      <c r="D64" s="5445" t="s">
        <v>288</v>
      </c>
      <c r="E64" s="5438">
        <v>0</v>
      </c>
      <c r="F64" s="5446">
        <v>2.7</v>
      </c>
      <c r="G64" s="5421">
        <v>0.3</v>
      </c>
      <c r="H64" s="5420">
        <v>0.81</v>
      </c>
    </row>
    <row r="65" spans="2:8" ht="33" customHeight="1">
      <c r="B65" s="5435" t="s">
        <v>2187</v>
      </c>
      <c r="C65" s="5445"/>
      <c r="D65" s="5445" t="s">
        <v>288</v>
      </c>
      <c r="E65" s="5438">
        <v>0</v>
      </c>
      <c r="F65" s="5446">
        <v>2.7</v>
      </c>
      <c r="G65" s="5421">
        <v>0.3</v>
      </c>
      <c r="H65" s="5420">
        <v>0.81</v>
      </c>
    </row>
    <row r="66" spans="2:8" ht="33" customHeight="1">
      <c r="B66" s="5435" t="s">
        <v>2188</v>
      </c>
      <c r="C66" s="5445"/>
      <c r="D66" s="5445" t="s">
        <v>288</v>
      </c>
      <c r="E66" s="5438">
        <v>0</v>
      </c>
      <c r="F66" s="5446">
        <v>2.7</v>
      </c>
      <c r="G66" s="5421">
        <v>0.25</v>
      </c>
      <c r="H66" s="5420">
        <v>0.67500000000000004</v>
      </c>
    </row>
    <row r="67" spans="2:8" ht="33" customHeight="1">
      <c r="B67" s="5435" t="s">
        <v>2189</v>
      </c>
      <c r="C67" s="5445"/>
      <c r="D67" s="5445" t="s">
        <v>288</v>
      </c>
      <c r="E67" s="5438">
        <v>0</v>
      </c>
      <c r="F67" s="5446">
        <v>2.7</v>
      </c>
      <c r="G67" s="5421">
        <v>0.3</v>
      </c>
      <c r="H67" s="5420">
        <v>0.81</v>
      </c>
    </row>
    <row r="68" spans="2:8" ht="33" customHeight="1">
      <c r="B68" s="5435" t="s">
        <v>2190</v>
      </c>
      <c r="C68" s="5445"/>
      <c r="D68" s="5445" t="s">
        <v>288</v>
      </c>
      <c r="E68" s="5438">
        <v>0</v>
      </c>
      <c r="F68" s="5446">
        <v>2.7</v>
      </c>
      <c r="G68" s="5421">
        <v>0.3</v>
      </c>
      <c r="H68" s="5420">
        <v>0.81</v>
      </c>
    </row>
    <row r="69" spans="2:8" ht="33" customHeight="1">
      <c r="B69" s="5435" t="s">
        <v>2191</v>
      </c>
      <c r="C69" s="5445"/>
      <c r="D69" s="5445" t="s">
        <v>288</v>
      </c>
      <c r="E69" s="5438">
        <v>0</v>
      </c>
      <c r="F69" s="5446">
        <v>2.7</v>
      </c>
      <c r="G69" s="5421">
        <v>0.3</v>
      </c>
      <c r="H69" s="5420">
        <v>0.81</v>
      </c>
    </row>
    <row r="70" spans="2:8" ht="33" customHeight="1">
      <c r="B70" s="5435" t="s">
        <v>2192</v>
      </c>
      <c r="C70" s="5445"/>
      <c r="D70" s="5445" t="s">
        <v>288</v>
      </c>
      <c r="E70" s="5438">
        <v>0</v>
      </c>
      <c r="F70" s="5446">
        <v>2.7</v>
      </c>
      <c r="G70" s="5421">
        <v>0.3</v>
      </c>
      <c r="H70" s="5420">
        <v>0.81</v>
      </c>
    </row>
    <row r="71" spans="2:8" ht="33" customHeight="1">
      <c r="B71" s="5435" t="s">
        <v>2193</v>
      </c>
      <c r="C71" s="5445"/>
      <c r="D71" s="5445" t="s">
        <v>288</v>
      </c>
      <c r="E71" s="5438">
        <v>0</v>
      </c>
      <c r="F71" s="5446">
        <v>2.7</v>
      </c>
      <c r="G71" s="5421">
        <v>0.25</v>
      </c>
      <c r="H71" s="5420">
        <v>0.67500000000000004</v>
      </c>
    </row>
    <row r="72" spans="2:8" ht="33" customHeight="1">
      <c r="B72" s="5435" t="s">
        <v>2194</v>
      </c>
      <c r="C72" s="5445"/>
      <c r="D72" s="5445" t="s">
        <v>288</v>
      </c>
      <c r="E72" s="5438">
        <v>0</v>
      </c>
      <c r="F72" s="5446">
        <v>2.7</v>
      </c>
      <c r="G72" s="5421">
        <v>0.3</v>
      </c>
      <c r="H72" s="5420">
        <v>0.81</v>
      </c>
    </row>
    <row r="73" spans="2:8" ht="33" customHeight="1">
      <c r="B73" s="5435" t="s">
        <v>2195</v>
      </c>
      <c r="C73" s="5445"/>
      <c r="D73" s="5445" t="s">
        <v>288</v>
      </c>
      <c r="E73" s="5438">
        <v>0</v>
      </c>
      <c r="F73" s="5446">
        <v>2.7</v>
      </c>
      <c r="G73" s="5421">
        <v>0.3</v>
      </c>
      <c r="H73" s="5420">
        <v>0.81</v>
      </c>
    </row>
    <row r="74" spans="2:8" ht="33" customHeight="1">
      <c r="B74" s="5435" t="s">
        <v>2196</v>
      </c>
      <c r="C74" s="5445"/>
      <c r="D74" s="5445" t="s">
        <v>288</v>
      </c>
      <c r="E74" s="5438">
        <v>0</v>
      </c>
      <c r="F74" s="5446">
        <v>2.7</v>
      </c>
      <c r="G74" s="5421">
        <v>0.25</v>
      </c>
      <c r="H74" s="5420">
        <v>0.67500000000000004</v>
      </c>
    </row>
    <row r="75" spans="2:8" ht="33" customHeight="1">
      <c r="B75" s="5435" t="s">
        <v>2197</v>
      </c>
      <c r="C75" s="5445"/>
      <c r="D75" s="5445" t="s">
        <v>288</v>
      </c>
      <c r="E75" s="5438">
        <v>0</v>
      </c>
      <c r="F75" s="5446">
        <v>2.7</v>
      </c>
      <c r="G75" s="5421">
        <v>0.25</v>
      </c>
      <c r="H75" s="5420">
        <v>0.67500000000000004</v>
      </c>
    </row>
    <row r="76" spans="2:8" ht="33" customHeight="1">
      <c r="B76" s="5435" t="s">
        <v>2198</v>
      </c>
      <c r="C76" s="5445"/>
      <c r="D76" s="5445" t="s">
        <v>288</v>
      </c>
      <c r="E76" s="5438">
        <v>0</v>
      </c>
      <c r="F76" s="5446">
        <v>2.7</v>
      </c>
      <c r="G76" s="5421">
        <v>0.28000000000000003</v>
      </c>
      <c r="H76" s="5420">
        <v>0.75600000000000001</v>
      </c>
    </row>
    <row r="77" spans="2:8" ht="33" customHeight="1">
      <c r="B77" s="5435" t="s">
        <v>2199</v>
      </c>
      <c r="C77" s="5445"/>
      <c r="D77" s="5445" t="s">
        <v>288</v>
      </c>
      <c r="E77" s="5438">
        <v>0</v>
      </c>
      <c r="F77" s="5446">
        <v>2.7</v>
      </c>
      <c r="G77" s="5421">
        <v>0.25</v>
      </c>
      <c r="H77" s="5420">
        <v>0.67500000000000004</v>
      </c>
    </row>
    <row r="78" spans="2:8" ht="33" customHeight="1">
      <c r="B78" s="5435" t="s">
        <v>2200</v>
      </c>
      <c r="C78" s="5445"/>
      <c r="D78" s="5445" t="s">
        <v>288</v>
      </c>
      <c r="E78" s="5438">
        <v>0</v>
      </c>
      <c r="F78" s="5446">
        <v>2.7</v>
      </c>
      <c r="G78" s="5421">
        <v>0.25</v>
      </c>
      <c r="H78" s="5420">
        <v>0.67500000000000004</v>
      </c>
    </row>
    <row r="79" spans="2:8" ht="33" customHeight="1">
      <c r="B79" s="5435" t="s">
        <v>2201</v>
      </c>
      <c r="C79" s="5445"/>
      <c r="D79" s="5445" t="s">
        <v>288</v>
      </c>
      <c r="E79" s="5438">
        <v>0</v>
      </c>
      <c r="F79" s="5446">
        <v>2.7</v>
      </c>
      <c r="G79" s="5421">
        <v>0.3</v>
      </c>
      <c r="H79" s="5420">
        <v>0.81</v>
      </c>
    </row>
    <row r="80" spans="2:8" ht="33" customHeight="1">
      <c r="B80" s="5435" t="s">
        <v>2202</v>
      </c>
      <c r="C80" s="5445"/>
      <c r="D80" s="5445" t="s">
        <v>288</v>
      </c>
      <c r="E80" s="5438">
        <v>0</v>
      </c>
      <c r="F80" s="5446">
        <v>2.7</v>
      </c>
      <c r="G80" s="5421">
        <v>0.3</v>
      </c>
      <c r="H80" s="5420">
        <v>0.81</v>
      </c>
    </row>
    <row r="81" spans="2:8" ht="33" customHeight="1">
      <c r="B81" s="5435" t="s">
        <v>2203</v>
      </c>
      <c r="C81" s="5445"/>
      <c r="D81" s="5445" t="s">
        <v>288</v>
      </c>
      <c r="E81" s="5438">
        <v>0</v>
      </c>
      <c r="F81" s="5446">
        <v>2.7</v>
      </c>
      <c r="G81" s="5421">
        <v>0.25</v>
      </c>
      <c r="H81" s="5420">
        <v>0.67500000000000004</v>
      </c>
    </row>
    <row r="82" spans="2:8" ht="33" customHeight="1">
      <c r="B82" s="5435" t="s">
        <v>2204</v>
      </c>
      <c r="C82" s="5445"/>
      <c r="D82" s="5445" t="s">
        <v>288</v>
      </c>
      <c r="E82" s="5438">
        <v>0</v>
      </c>
      <c r="F82" s="5446">
        <v>2.7</v>
      </c>
      <c r="G82" s="5421">
        <v>0.25</v>
      </c>
      <c r="H82" s="5420">
        <v>0.67500000000000004</v>
      </c>
    </row>
    <row r="83" spans="2:8" ht="33" customHeight="1">
      <c r="B83" s="5435" t="s">
        <v>2205</v>
      </c>
      <c r="C83" s="5445"/>
      <c r="D83" s="5445" t="s">
        <v>288</v>
      </c>
      <c r="E83" s="5438">
        <v>0</v>
      </c>
      <c r="F83" s="5446">
        <v>2.7</v>
      </c>
      <c r="G83" s="5421">
        <v>0.26500000000000001</v>
      </c>
      <c r="H83" s="5420">
        <v>0.71550000000000002</v>
      </c>
    </row>
    <row r="84" spans="2:8" ht="33" customHeight="1">
      <c r="B84" s="5435" t="s">
        <v>2206</v>
      </c>
      <c r="C84" s="5445"/>
      <c r="D84" s="5445" t="s">
        <v>288</v>
      </c>
      <c r="E84" s="5438">
        <v>0</v>
      </c>
      <c r="F84" s="5446">
        <v>2.7</v>
      </c>
      <c r="G84" s="5421">
        <v>0.25</v>
      </c>
      <c r="H84" s="5420">
        <v>0.67500000000000004</v>
      </c>
    </row>
    <row r="85" spans="2:8" ht="33" customHeight="1">
      <c r="B85" s="5435" t="s">
        <v>2207</v>
      </c>
      <c r="C85" s="5445"/>
      <c r="D85" s="5445" t="s">
        <v>288</v>
      </c>
      <c r="E85" s="5438">
        <v>0</v>
      </c>
      <c r="F85" s="5446">
        <v>2.7</v>
      </c>
      <c r="G85" s="5421">
        <v>0.25</v>
      </c>
      <c r="H85" s="5420">
        <v>0.67500000000000004</v>
      </c>
    </row>
    <row r="86" spans="2:8" ht="33" customHeight="1">
      <c r="B86" s="5435" t="s">
        <v>2208</v>
      </c>
      <c r="C86" s="5445"/>
      <c r="D86" s="5445" t="s">
        <v>288</v>
      </c>
      <c r="E86" s="5438">
        <v>0</v>
      </c>
      <c r="F86" s="5446">
        <v>2.7</v>
      </c>
      <c r="G86" s="5421">
        <v>0.25</v>
      </c>
      <c r="H86" s="5420">
        <v>0.67500000000000004</v>
      </c>
    </row>
    <row r="87" spans="2:8" ht="33" customHeight="1">
      <c r="B87" s="5435" t="s">
        <v>2209</v>
      </c>
      <c r="C87" s="5445"/>
      <c r="D87" s="5445" t="s">
        <v>288</v>
      </c>
      <c r="E87" s="5438">
        <v>0</v>
      </c>
      <c r="F87" s="5446">
        <v>2.7</v>
      </c>
      <c r="G87" s="5421">
        <v>0.25</v>
      </c>
      <c r="H87" s="5420">
        <v>0.67500000000000004</v>
      </c>
    </row>
    <row r="88" spans="2:8" ht="33" customHeight="1">
      <c r="B88" s="5435" t="s">
        <v>2210</v>
      </c>
      <c r="C88" s="5445"/>
      <c r="D88" s="5445" t="s">
        <v>288</v>
      </c>
      <c r="E88" s="5438">
        <v>0</v>
      </c>
      <c r="F88" s="5446">
        <v>2.7</v>
      </c>
      <c r="G88" s="5421">
        <v>0.25</v>
      </c>
      <c r="H88" s="5420">
        <v>0.67500000000000004</v>
      </c>
    </row>
    <row r="89" spans="2:8" ht="33" customHeight="1">
      <c r="B89" s="5435" t="s">
        <v>2211</v>
      </c>
      <c r="C89" s="5445"/>
      <c r="D89" s="5445" t="s">
        <v>288</v>
      </c>
      <c r="E89" s="5438">
        <v>0</v>
      </c>
      <c r="F89" s="5446">
        <v>2.7</v>
      </c>
      <c r="G89" s="5421">
        <v>0.25</v>
      </c>
      <c r="H89" s="5420">
        <v>0.67500000000000004</v>
      </c>
    </row>
    <row r="90" spans="2:8" ht="33" customHeight="1">
      <c r="B90" s="5435" t="s">
        <v>2212</v>
      </c>
      <c r="C90" s="5445"/>
      <c r="D90" s="5445" t="s">
        <v>288</v>
      </c>
      <c r="E90" s="5438">
        <v>0</v>
      </c>
      <c r="F90" s="5446">
        <v>2.7</v>
      </c>
      <c r="G90" s="5421">
        <v>0.25</v>
      </c>
      <c r="H90" s="5420">
        <v>0.67500000000000004</v>
      </c>
    </row>
    <row r="91" spans="2:8" ht="33" customHeight="1">
      <c r="B91" s="5435" t="s">
        <v>2213</v>
      </c>
      <c r="C91" s="5445"/>
      <c r="D91" s="5445" t="s">
        <v>288</v>
      </c>
      <c r="E91" s="5438">
        <v>0</v>
      </c>
      <c r="F91" s="5446">
        <v>2.7</v>
      </c>
      <c r="G91" s="5421">
        <v>0.3</v>
      </c>
      <c r="H91" s="5420">
        <v>0.81</v>
      </c>
    </row>
    <row r="92" spans="2:8" ht="33" customHeight="1">
      <c r="B92" s="5435" t="s">
        <v>2214</v>
      </c>
      <c r="C92" s="5445"/>
      <c r="D92" s="5445" t="s">
        <v>288</v>
      </c>
      <c r="E92" s="5438">
        <v>0</v>
      </c>
      <c r="F92" s="5446">
        <v>2.7</v>
      </c>
      <c r="G92" s="5421">
        <v>0.3</v>
      </c>
      <c r="H92" s="5420">
        <v>0.81</v>
      </c>
    </row>
    <row r="93" spans="2:8" ht="33" customHeight="1">
      <c r="B93" s="5435" t="s">
        <v>2215</v>
      </c>
      <c r="C93" s="5445"/>
      <c r="D93" s="5445" t="s">
        <v>288</v>
      </c>
      <c r="E93" s="5438">
        <v>0</v>
      </c>
      <c r="F93" s="5446">
        <v>2.7</v>
      </c>
      <c r="G93" s="5421">
        <v>0.25</v>
      </c>
      <c r="H93" s="5420">
        <v>0.67500000000000004</v>
      </c>
    </row>
    <row r="94" spans="2:8" ht="33" customHeight="1">
      <c r="B94" s="5435" t="s">
        <v>2216</v>
      </c>
      <c r="C94" s="5445"/>
      <c r="D94" s="5445" t="s">
        <v>288</v>
      </c>
      <c r="E94" s="5438">
        <v>0</v>
      </c>
      <c r="F94" s="5446">
        <v>2.7</v>
      </c>
      <c r="G94" s="5421">
        <v>0.25</v>
      </c>
      <c r="H94" s="5420">
        <v>0.67500000000000004</v>
      </c>
    </row>
    <row r="95" spans="2:8" ht="25.5" customHeight="1" thickBot="1">
      <c r="B95" s="5447"/>
      <c r="C95" s="5448"/>
      <c r="D95" s="5448"/>
      <c r="E95" s="5449"/>
      <c r="F95" s="5450"/>
      <c r="G95" s="5451"/>
      <c r="H95" s="5452"/>
    </row>
  </sheetData>
  <mergeCells count="4">
    <mergeCell ref="B1:H1"/>
    <mergeCell ref="B2:H2"/>
    <mergeCell ref="B3:H3"/>
    <mergeCell ref="G4:H4"/>
  </mergeCells>
  <printOptions horizontalCentered="1" verticalCentered="1"/>
  <pageMargins left="0.25" right="0.25" top="0.75" bottom="0.75" header="0.3" footer="0.3"/>
  <pageSetup scale="22" firstPageNumber="103" orientation="portrait" useFirstPageNumber="1" r:id="rId1"/>
  <headerFooter scaleWithDoc="0" alignWithMargins="0">
    <oddFooter xml:space="preserve">&amp;C137
</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tint="-0.499984740745262"/>
    <pageSetUpPr fitToPage="1"/>
  </sheetPr>
  <dimension ref="B1:J66"/>
  <sheetViews>
    <sheetView view="pageBreakPreview" topLeftCell="A7" zoomScale="40" zoomScaleNormal="50" zoomScaleSheetLayoutView="40" workbookViewId="0">
      <selection activeCell="B14" sqref="B14"/>
    </sheetView>
  </sheetViews>
  <sheetFormatPr defaultColWidth="77.46484375" defaultRowHeight="25.5"/>
  <cols>
    <col min="1" max="1" width="13.46484375" style="1067" customWidth="1"/>
    <col min="2" max="2" width="184.46484375" style="1117" customWidth="1"/>
    <col min="3" max="3" width="58.46484375" style="1067" customWidth="1"/>
    <col min="4" max="4" width="27.33203125" style="1067" bestFit="1" customWidth="1"/>
    <col min="5" max="5" width="36.6640625" style="1067" customWidth="1"/>
    <col min="6" max="6" width="25.6640625" style="1119" customWidth="1"/>
    <col min="7" max="7" width="38.33203125" style="1153" bestFit="1" customWidth="1"/>
    <col min="8" max="8" width="30.46484375" style="1153" bestFit="1" customWidth="1"/>
    <col min="9" max="9" width="11.33203125" style="1067" customWidth="1"/>
    <col min="10" max="10" width="24.46484375" style="1067" customWidth="1"/>
    <col min="11" max="16384" width="77.46484375" style="1067"/>
  </cols>
  <sheetData>
    <row r="1" spans="2:10" ht="30">
      <c r="B1" s="5895" t="s">
        <v>1842</v>
      </c>
      <c r="C1" s="5895"/>
      <c r="D1" s="5895"/>
      <c r="E1" s="5895"/>
      <c r="F1" s="5895"/>
      <c r="G1" s="5895"/>
      <c r="H1" s="5895"/>
    </row>
    <row r="2" spans="2:10" ht="30">
      <c r="B2" s="5895" t="s">
        <v>1073</v>
      </c>
      <c r="C2" s="5895"/>
      <c r="D2" s="5895"/>
      <c r="E2" s="5895"/>
      <c r="F2" s="5895"/>
      <c r="G2" s="5895"/>
      <c r="H2" s="5895"/>
    </row>
    <row r="3" spans="2:10" ht="30.4" thickBot="1">
      <c r="B3" s="5895" t="s">
        <v>1967</v>
      </c>
      <c r="C3" s="5895"/>
      <c r="D3" s="5895"/>
      <c r="E3" s="5895"/>
      <c r="F3" s="5895"/>
      <c r="G3" s="5895"/>
      <c r="H3" s="5895"/>
    </row>
    <row r="4" spans="2:10" ht="44.75" customHeight="1">
      <c r="B4" s="1144"/>
      <c r="C4" s="1145"/>
      <c r="D4" s="1145"/>
      <c r="E4" s="1146"/>
      <c r="F4" s="1147"/>
      <c r="G4" s="5898" t="s">
        <v>2333</v>
      </c>
      <c r="H4" s="5899"/>
    </row>
    <row r="5" spans="2:10">
      <c r="B5" s="1148"/>
      <c r="C5" s="1149"/>
      <c r="D5" s="1149"/>
      <c r="E5" s="1150" t="s">
        <v>275</v>
      </c>
      <c r="F5" s="1151" t="s">
        <v>276</v>
      </c>
      <c r="G5" s="1152" t="s">
        <v>277</v>
      </c>
      <c r="H5" s="4895" t="s">
        <v>278</v>
      </c>
    </row>
    <row r="6" spans="2:10" ht="25.9" thickBot="1">
      <c r="B6" s="1110" t="s">
        <v>743</v>
      </c>
      <c r="C6" s="3129" t="s">
        <v>279</v>
      </c>
      <c r="D6" s="3129" t="s">
        <v>280</v>
      </c>
      <c r="E6" s="3129" t="s">
        <v>281</v>
      </c>
      <c r="F6" s="3130" t="s">
        <v>281</v>
      </c>
      <c r="G6" s="3131" t="s">
        <v>280</v>
      </c>
      <c r="H6" s="3132" t="s">
        <v>282</v>
      </c>
    </row>
    <row r="7" spans="2:10" ht="25.5" customHeight="1">
      <c r="B7" s="1497"/>
      <c r="C7" s="5468"/>
      <c r="D7" s="1433"/>
      <c r="E7" s="1496"/>
      <c r="F7" s="1432"/>
      <c r="G7" s="1868"/>
      <c r="H7" s="4730"/>
    </row>
    <row r="8" spans="2:10" s="1073" customFormat="1" ht="25.5" customHeight="1">
      <c r="B8" s="5453" t="s">
        <v>492</v>
      </c>
      <c r="C8" s="5469"/>
      <c r="D8" s="2505"/>
      <c r="E8" s="5396"/>
      <c r="F8" s="2506"/>
      <c r="G8" s="4422"/>
      <c r="H8" s="4733"/>
    </row>
    <row r="9" spans="2:10" s="1073" customFormat="1" ht="25.5" customHeight="1">
      <c r="B9" s="5454" t="s">
        <v>1934</v>
      </c>
      <c r="C9" s="5469"/>
      <c r="D9" s="2505"/>
      <c r="E9" s="5396"/>
      <c r="F9" s="2506"/>
      <c r="G9" s="4422"/>
      <c r="H9" s="4733"/>
    </row>
    <row r="10" spans="2:10" ht="31.25" customHeight="1">
      <c r="B10" s="5455" t="s">
        <v>1746</v>
      </c>
      <c r="C10" s="5468" t="s">
        <v>897</v>
      </c>
      <c r="D10" s="1452" t="s">
        <v>286</v>
      </c>
      <c r="E10" s="5403">
        <v>0.06</v>
      </c>
      <c r="F10" s="1450">
        <v>1</v>
      </c>
      <c r="G10" s="4422">
        <v>0</v>
      </c>
      <c r="H10" s="4733">
        <v>9.9359999999999999</v>
      </c>
    </row>
    <row r="11" spans="2:10" ht="31.25" customHeight="1">
      <c r="B11" s="5455" t="s">
        <v>2217</v>
      </c>
      <c r="C11" s="5468" t="s">
        <v>2021</v>
      </c>
      <c r="D11" s="1452" t="s">
        <v>286</v>
      </c>
      <c r="E11" s="5392">
        <v>4.4999999999999998E-2</v>
      </c>
      <c r="F11" s="1450">
        <v>1</v>
      </c>
      <c r="G11" s="4422">
        <v>0</v>
      </c>
      <c r="H11" s="4733">
        <v>7.2930000000000001</v>
      </c>
      <c r="J11" s="1067">
        <v>1000000</v>
      </c>
    </row>
    <row r="12" spans="2:10" ht="31.25" customHeight="1">
      <c r="B12" s="5456"/>
      <c r="C12" s="5468"/>
      <c r="D12" s="1452"/>
      <c r="E12" s="5392"/>
      <c r="F12" s="1450"/>
      <c r="G12" s="4422"/>
      <c r="H12" s="4733"/>
    </row>
    <row r="13" spans="2:10" s="1073" customFormat="1" ht="31.25" customHeight="1">
      <c r="B13" s="5454" t="s">
        <v>1940</v>
      </c>
      <c r="C13" s="5469"/>
      <c r="D13" s="2505"/>
      <c r="E13" s="5396"/>
      <c r="F13" s="2506"/>
      <c r="G13" s="4422"/>
      <c r="H13" s="4733"/>
    </row>
    <row r="14" spans="2:10" ht="31.25" customHeight="1">
      <c r="B14" s="5456" t="s">
        <v>2025</v>
      </c>
      <c r="C14" s="5468" t="s">
        <v>1569</v>
      </c>
      <c r="D14" s="1452" t="s">
        <v>288</v>
      </c>
      <c r="E14" s="5392">
        <v>4.4999999999999998E-2</v>
      </c>
      <c r="F14" s="1450">
        <v>2.7</v>
      </c>
      <c r="G14" s="4422">
        <v>5.6780840599999998</v>
      </c>
      <c r="H14" s="4733">
        <v>15.330826962</v>
      </c>
    </row>
    <row r="15" spans="2:10" ht="31.25" customHeight="1">
      <c r="B15" s="5456" t="s">
        <v>2218</v>
      </c>
      <c r="C15" s="5468" t="s">
        <v>2027</v>
      </c>
      <c r="D15" s="1452" t="s">
        <v>288</v>
      </c>
      <c r="E15" s="5392">
        <v>4.4999999999999998E-2</v>
      </c>
      <c r="F15" s="1450">
        <v>2.7</v>
      </c>
      <c r="G15" s="4422">
        <v>6.09</v>
      </c>
      <c r="H15" s="4733">
        <v>16.443000000000001</v>
      </c>
    </row>
    <row r="16" spans="2:10" ht="25.5" customHeight="1">
      <c r="B16" s="5457" t="s">
        <v>2023</v>
      </c>
      <c r="C16" s="5470" t="s">
        <v>2024</v>
      </c>
      <c r="D16" s="1478" t="s">
        <v>288</v>
      </c>
      <c r="E16" s="5403">
        <v>4.4999999999999998E-2</v>
      </c>
      <c r="F16" s="1448">
        <v>2.7</v>
      </c>
      <c r="G16" s="4422">
        <v>0.92036874000000002</v>
      </c>
      <c r="H16" s="4733">
        <v>2.4849955980000002</v>
      </c>
    </row>
    <row r="17" spans="2:8" ht="25.5" customHeight="1">
      <c r="B17" s="5457" t="s">
        <v>2028</v>
      </c>
      <c r="C17" s="5470" t="s">
        <v>2029</v>
      </c>
      <c r="D17" s="1478" t="s">
        <v>286</v>
      </c>
      <c r="E17" s="5403">
        <v>4.4999999999999998E-2</v>
      </c>
      <c r="F17" s="1448">
        <v>1</v>
      </c>
      <c r="G17" s="4422">
        <v>0</v>
      </c>
      <c r="H17" s="4733">
        <v>2.4700000000000002</v>
      </c>
    </row>
    <row r="18" spans="2:8" ht="31.25" customHeight="1">
      <c r="B18" s="5457" t="s">
        <v>1572</v>
      </c>
      <c r="C18" s="5470" t="s">
        <v>1573</v>
      </c>
      <c r="D18" s="1478" t="s">
        <v>288</v>
      </c>
      <c r="E18" s="5403">
        <v>6.25E-2</v>
      </c>
      <c r="F18" s="1448">
        <v>2.7</v>
      </c>
      <c r="G18" s="4422">
        <v>3.8035832199999997</v>
      </c>
      <c r="H18" s="4733">
        <v>10.269674694000001</v>
      </c>
    </row>
    <row r="19" spans="2:8" ht="31.25" customHeight="1">
      <c r="B19" s="5456" t="s">
        <v>2030</v>
      </c>
      <c r="C19" s="5468" t="s">
        <v>2031</v>
      </c>
      <c r="D19" s="1452" t="s">
        <v>286</v>
      </c>
      <c r="E19" s="5403">
        <v>4.4999999999999998E-2</v>
      </c>
      <c r="F19" s="1450">
        <v>1</v>
      </c>
      <c r="G19" s="4422">
        <v>0</v>
      </c>
      <c r="H19" s="4733">
        <v>1.19</v>
      </c>
    </row>
    <row r="20" spans="2:8" ht="31.25" customHeight="1">
      <c r="B20" s="5456" t="s">
        <v>2219</v>
      </c>
      <c r="C20" s="5468" t="s">
        <v>2220</v>
      </c>
      <c r="D20" s="1452" t="s">
        <v>288</v>
      </c>
      <c r="E20" s="5403">
        <v>4.2999999999999997E-2</v>
      </c>
      <c r="F20" s="1450">
        <v>2.7</v>
      </c>
      <c r="G20" s="4422">
        <v>0.18439399999999997</v>
      </c>
      <c r="H20" s="4733">
        <v>0.49786379999999991</v>
      </c>
    </row>
    <row r="21" spans="2:8" ht="31.25" customHeight="1">
      <c r="B21" s="5456" t="s">
        <v>1602</v>
      </c>
      <c r="C21" s="5468" t="s">
        <v>1603</v>
      </c>
      <c r="D21" s="1452" t="s">
        <v>288</v>
      </c>
      <c r="E21" s="5392">
        <v>4.4999999999999998E-2</v>
      </c>
      <c r="F21" s="1450">
        <v>2.7</v>
      </c>
      <c r="G21" s="4422">
        <v>0.76649935000000002</v>
      </c>
      <c r="H21" s="4733">
        <v>2.069548245</v>
      </c>
    </row>
    <row r="22" spans="2:8" ht="31.25" customHeight="1">
      <c r="B22" s="5456" t="s">
        <v>1577</v>
      </c>
      <c r="C22" s="5468" t="s">
        <v>1578</v>
      </c>
      <c r="D22" s="1452" t="s">
        <v>286</v>
      </c>
      <c r="E22" s="5403">
        <v>4.4999999999999998E-2</v>
      </c>
      <c r="F22" s="1450">
        <v>1</v>
      </c>
      <c r="G22" s="4422">
        <v>0</v>
      </c>
      <c r="H22" s="4733">
        <v>4.6375000000000002</v>
      </c>
    </row>
    <row r="23" spans="2:8" ht="31.25" customHeight="1">
      <c r="B23" s="5456" t="s">
        <v>2221</v>
      </c>
      <c r="C23" s="5468" t="s">
        <v>2222</v>
      </c>
      <c r="D23" s="1452" t="s">
        <v>286</v>
      </c>
      <c r="E23" s="5403">
        <v>0.05</v>
      </c>
      <c r="F23" s="1450">
        <v>1</v>
      </c>
      <c r="G23" s="4422">
        <v>0</v>
      </c>
      <c r="H23" s="4733">
        <v>2</v>
      </c>
    </row>
    <row r="24" spans="2:8" ht="31.25" customHeight="1">
      <c r="B24" s="5456" t="s">
        <v>1574</v>
      </c>
      <c r="C24" s="5468" t="s">
        <v>1575</v>
      </c>
      <c r="D24" s="1452" t="s">
        <v>288</v>
      </c>
      <c r="E24" s="5403">
        <v>4.4999999999999998E-2</v>
      </c>
      <c r="F24" s="1450">
        <v>2.7</v>
      </c>
      <c r="G24" s="4422">
        <v>12.805999999999999</v>
      </c>
      <c r="H24" s="4733">
        <v>34.5762</v>
      </c>
    </row>
    <row r="25" spans="2:8" ht="31.25" customHeight="1">
      <c r="B25" s="5456" t="s">
        <v>1576</v>
      </c>
      <c r="C25" s="5468" t="s">
        <v>1110</v>
      </c>
      <c r="D25" s="1452" t="s">
        <v>288</v>
      </c>
      <c r="E25" s="5392">
        <v>6.5000000000000002E-2</v>
      </c>
      <c r="F25" s="1450">
        <v>2.7</v>
      </c>
      <c r="G25" s="4422">
        <v>1.5050814100000001</v>
      </c>
      <c r="H25" s="4733">
        <v>4.0637198070000009</v>
      </c>
    </row>
    <row r="26" spans="2:8" ht="31.25" customHeight="1">
      <c r="B26" s="5456" t="s">
        <v>1747</v>
      </c>
      <c r="C26" s="5468" t="s">
        <v>722</v>
      </c>
      <c r="D26" s="1452" t="s">
        <v>286</v>
      </c>
      <c r="E26" s="5392">
        <v>7.2499999999999995E-2</v>
      </c>
      <c r="F26" s="1450">
        <v>1</v>
      </c>
      <c r="G26" s="4422">
        <v>0</v>
      </c>
      <c r="H26" s="4733">
        <v>1.5009999999999999</v>
      </c>
    </row>
    <row r="27" spans="2:8" ht="31.25" customHeight="1">
      <c r="B27" s="5456" t="s">
        <v>2223</v>
      </c>
      <c r="C27" s="5468" t="s">
        <v>2224</v>
      </c>
      <c r="D27" s="1452" t="s">
        <v>286</v>
      </c>
      <c r="E27" s="5403">
        <v>4.4999999999999998E-2</v>
      </c>
      <c r="F27" s="1450">
        <v>1</v>
      </c>
      <c r="G27" s="4422">
        <v>0</v>
      </c>
      <c r="H27" s="4733">
        <v>5</v>
      </c>
    </row>
    <row r="28" spans="2:8" ht="31.25" customHeight="1">
      <c r="B28" s="5456" t="s">
        <v>1579</v>
      </c>
      <c r="C28" s="5468" t="s">
        <v>1580</v>
      </c>
      <c r="D28" s="1452" t="s">
        <v>286</v>
      </c>
      <c r="E28" s="5392">
        <v>4.4999999999999998E-2</v>
      </c>
      <c r="F28" s="1450">
        <v>1</v>
      </c>
      <c r="G28" s="4422">
        <v>0</v>
      </c>
      <c r="H28" s="4733">
        <v>0.92283736999999999</v>
      </c>
    </row>
    <row r="29" spans="2:8" ht="31.25" customHeight="1">
      <c r="B29" s="5457" t="s">
        <v>2034</v>
      </c>
      <c r="C29" s="5468" t="s">
        <v>2035</v>
      </c>
      <c r="D29" s="1452" t="s">
        <v>286</v>
      </c>
      <c r="E29" s="5392">
        <v>0.06</v>
      </c>
      <c r="F29" s="1450">
        <v>1</v>
      </c>
      <c r="G29" s="4422">
        <v>0</v>
      </c>
      <c r="H29" s="4733">
        <v>6.109</v>
      </c>
    </row>
    <row r="30" spans="2:8" ht="31.25" customHeight="1">
      <c r="B30" s="5456" t="s">
        <v>2036</v>
      </c>
      <c r="C30" s="5468" t="s">
        <v>2035</v>
      </c>
      <c r="D30" s="1452" t="s">
        <v>288</v>
      </c>
      <c r="E30" s="5392">
        <v>0.06</v>
      </c>
      <c r="F30" s="1450">
        <v>2.7</v>
      </c>
      <c r="G30" s="4422">
        <v>0.97197002962962953</v>
      </c>
      <c r="H30" s="4733">
        <v>2.6243190800000002</v>
      </c>
    </row>
    <row r="31" spans="2:8" ht="31.25" customHeight="1">
      <c r="B31" s="5457" t="s">
        <v>1581</v>
      </c>
      <c r="C31" s="5468" t="s">
        <v>1582</v>
      </c>
      <c r="D31" s="1452" t="s">
        <v>288</v>
      </c>
      <c r="E31" s="5392">
        <v>4.4999999999999998E-2</v>
      </c>
      <c r="F31" s="1450">
        <v>2.7</v>
      </c>
      <c r="G31" s="4422">
        <v>5.2228468799999996</v>
      </c>
      <c r="H31" s="4733">
        <v>14.101686576000001</v>
      </c>
    </row>
    <row r="32" spans="2:8" ht="31.25" customHeight="1">
      <c r="B32" s="5456" t="s">
        <v>2037</v>
      </c>
      <c r="C32" s="5468" t="s">
        <v>2038</v>
      </c>
      <c r="D32" s="1452" t="s">
        <v>288</v>
      </c>
      <c r="E32" s="5392">
        <v>0.06</v>
      </c>
      <c r="F32" s="1450">
        <v>2.7</v>
      </c>
      <c r="G32" s="4422">
        <v>3.9319949799999998</v>
      </c>
      <c r="H32" s="4733">
        <v>10.616386446</v>
      </c>
    </row>
    <row r="33" spans="2:8" ht="31.25" customHeight="1">
      <c r="B33" s="5456" t="s">
        <v>2039</v>
      </c>
      <c r="C33" s="5468" t="s">
        <v>2040</v>
      </c>
      <c r="D33" s="1452" t="s">
        <v>286</v>
      </c>
      <c r="E33" s="5392">
        <v>4.4999999999999998E-2</v>
      </c>
      <c r="F33" s="1450">
        <v>1</v>
      </c>
      <c r="G33" s="4422">
        <v>0</v>
      </c>
      <c r="H33" s="4733">
        <v>7.5709636100000006</v>
      </c>
    </row>
    <row r="34" spans="2:8" ht="25.5" customHeight="1">
      <c r="B34" s="5456" t="s">
        <v>2041</v>
      </c>
      <c r="C34" s="5468" t="s">
        <v>2042</v>
      </c>
      <c r="D34" s="1452" t="s">
        <v>286</v>
      </c>
      <c r="E34" s="5392">
        <v>4.4999999999999998E-2</v>
      </c>
      <c r="F34" s="1450">
        <v>1</v>
      </c>
      <c r="G34" s="4422">
        <v>0</v>
      </c>
      <c r="H34" s="4733">
        <v>0.5</v>
      </c>
    </row>
    <row r="35" spans="2:8" ht="25.5" customHeight="1">
      <c r="B35" s="5456" t="s">
        <v>2043</v>
      </c>
      <c r="C35" s="5468" t="s">
        <v>2044</v>
      </c>
      <c r="D35" s="1452" t="s">
        <v>288</v>
      </c>
      <c r="E35" s="5392">
        <v>4.4999999999999998E-2</v>
      </c>
      <c r="F35" s="1450">
        <v>2.7</v>
      </c>
      <c r="G35" s="4422">
        <v>1.22578882</v>
      </c>
      <c r="H35" s="4733">
        <v>3.3096298140000004</v>
      </c>
    </row>
    <row r="36" spans="2:8" ht="29" customHeight="1">
      <c r="B36" s="5456" t="s">
        <v>2045</v>
      </c>
      <c r="C36" s="5468" t="s">
        <v>2046</v>
      </c>
      <c r="D36" s="1452" t="s">
        <v>288</v>
      </c>
      <c r="E36" s="5403">
        <v>4.4999999999999998E-2</v>
      </c>
      <c r="F36" s="1450">
        <v>2.7</v>
      </c>
      <c r="G36" s="4422">
        <v>2.8933449200000001</v>
      </c>
      <c r="H36" s="4733">
        <v>7.8120312839999997</v>
      </c>
    </row>
    <row r="37" spans="2:8" ht="29" customHeight="1">
      <c r="B37" s="5456" t="s">
        <v>2047</v>
      </c>
      <c r="C37" s="5468" t="s">
        <v>2046</v>
      </c>
      <c r="D37" s="1452" t="s">
        <v>286</v>
      </c>
      <c r="E37" s="5392">
        <v>4.4999999999999998E-2</v>
      </c>
      <c r="F37" s="1450">
        <v>1</v>
      </c>
      <c r="G37" s="4422">
        <v>0</v>
      </c>
      <c r="H37" s="4733">
        <v>0.4</v>
      </c>
    </row>
    <row r="38" spans="2:8" ht="25.5" customHeight="1">
      <c r="B38" s="5456" t="s">
        <v>1583</v>
      </c>
      <c r="C38" s="5468" t="s">
        <v>1584</v>
      </c>
      <c r="D38" s="1452" t="s">
        <v>286</v>
      </c>
      <c r="E38" s="5392">
        <v>4.2999999999999997E-2</v>
      </c>
      <c r="F38" s="1450">
        <v>1</v>
      </c>
      <c r="G38" s="4422">
        <v>0</v>
      </c>
      <c r="H38" s="4733">
        <v>4</v>
      </c>
    </row>
    <row r="39" spans="2:8" ht="25.5" customHeight="1">
      <c r="B39" s="5457" t="s">
        <v>1585</v>
      </c>
      <c r="C39" s="5470" t="s">
        <v>1586</v>
      </c>
      <c r="D39" s="1478" t="s">
        <v>286</v>
      </c>
      <c r="E39" s="5403">
        <v>4.2500000000000003E-2</v>
      </c>
      <c r="F39" s="1448">
        <v>1</v>
      </c>
      <c r="G39" s="4422">
        <v>0</v>
      </c>
      <c r="H39" s="4733">
        <v>13.983000000000001</v>
      </c>
    </row>
    <row r="40" spans="2:8" ht="25.5" customHeight="1">
      <c r="B40" s="5458" t="s">
        <v>1144</v>
      </c>
      <c r="C40" s="5470" t="s">
        <v>902</v>
      </c>
      <c r="D40" s="1452" t="s">
        <v>286</v>
      </c>
      <c r="E40" s="5403">
        <v>5.2499999999999998E-2</v>
      </c>
      <c r="F40" s="1450">
        <v>1</v>
      </c>
      <c r="G40" s="4422">
        <v>0</v>
      </c>
      <c r="H40" s="4733">
        <v>1.748</v>
      </c>
    </row>
    <row r="41" spans="2:8" ht="29.75" customHeight="1">
      <c r="B41" s="5458" t="s">
        <v>1588</v>
      </c>
      <c r="C41" s="5471" t="s">
        <v>1589</v>
      </c>
      <c r="D41" s="1452" t="s">
        <v>286</v>
      </c>
      <c r="E41" s="5459">
        <v>4.4999999999999998E-2</v>
      </c>
      <c r="F41" s="1450">
        <v>1</v>
      </c>
      <c r="G41" s="4422">
        <v>0</v>
      </c>
      <c r="H41" s="4733">
        <v>6.7301339900000006</v>
      </c>
    </row>
    <row r="42" spans="2:8" ht="29.75" customHeight="1">
      <c r="B42" s="5456" t="s">
        <v>1590</v>
      </c>
      <c r="C42" s="5468" t="s">
        <v>1591</v>
      </c>
      <c r="D42" s="1452" t="s">
        <v>286</v>
      </c>
      <c r="E42" s="5392">
        <v>4.4999999999999998E-2</v>
      </c>
      <c r="F42" s="1450">
        <v>1</v>
      </c>
      <c r="G42" s="4422">
        <v>0</v>
      </c>
      <c r="H42" s="4733">
        <v>1.0795908999999999</v>
      </c>
    </row>
    <row r="43" spans="2:8" ht="29.75" customHeight="1">
      <c r="B43" s="5456" t="s">
        <v>1592</v>
      </c>
      <c r="C43" s="5468" t="s">
        <v>1593</v>
      </c>
      <c r="D43" s="1452" t="s">
        <v>286</v>
      </c>
      <c r="E43" s="5392">
        <v>4.4999999999999998E-2</v>
      </c>
      <c r="F43" s="1450">
        <v>1</v>
      </c>
      <c r="G43" s="4422">
        <v>0</v>
      </c>
      <c r="H43" s="4733">
        <v>4.2909429600000006</v>
      </c>
    </row>
    <row r="44" spans="2:8" ht="29.75" customHeight="1">
      <c r="B44" s="5456" t="s">
        <v>2225</v>
      </c>
      <c r="C44" s="5468" t="s">
        <v>2051</v>
      </c>
      <c r="D44" s="1452" t="s">
        <v>286</v>
      </c>
      <c r="E44" s="5392">
        <v>5.5E-2</v>
      </c>
      <c r="F44" s="1450">
        <v>1</v>
      </c>
      <c r="G44" s="4422">
        <v>0</v>
      </c>
      <c r="H44" s="4733">
        <v>8.4160000000000004</v>
      </c>
    </row>
    <row r="45" spans="2:8" ht="29.75" customHeight="1">
      <c r="B45" s="5456" t="s">
        <v>1145</v>
      </c>
      <c r="C45" s="5468" t="s">
        <v>899</v>
      </c>
      <c r="D45" s="1452" t="s">
        <v>286</v>
      </c>
      <c r="E45" s="5392">
        <v>0.06</v>
      </c>
      <c r="F45" s="1450">
        <v>1</v>
      </c>
      <c r="G45" s="4422">
        <v>0</v>
      </c>
      <c r="H45" s="4733">
        <v>9.6999999999999993</v>
      </c>
    </row>
    <row r="46" spans="2:8" ht="29.75" customHeight="1">
      <c r="B46" s="5456" t="s">
        <v>1113</v>
      </c>
      <c r="C46" s="5468" t="s">
        <v>900</v>
      </c>
      <c r="D46" s="1452" t="s">
        <v>286</v>
      </c>
      <c r="E46" s="5403">
        <v>6.5000000000000002E-2</v>
      </c>
      <c r="F46" s="1450">
        <v>1</v>
      </c>
      <c r="G46" s="4422">
        <v>0</v>
      </c>
      <c r="H46" s="4733">
        <v>3.55</v>
      </c>
    </row>
    <row r="47" spans="2:8" ht="29.75" customHeight="1">
      <c r="B47" s="5456" t="s">
        <v>1114</v>
      </c>
      <c r="C47" s="5470" t="s">
        <v>901</v>
      </c>
      <c r="D47" s="1452" t="s">
        <v>286</v>
      </c>
      <c r="E47" s="5403">
        <v>0.06</v>
      </c>
      <c r="F47" s="1450">
        <v>1</v>
      </c>
      <c r="G47" s="4422">
        <v>0</v>
      </c>
      <c r="H47" s="4733">
        <v>3.8780000000000001</v>
      </c>
    </row>
    <row r="48" spans="2:8" ht="29.75" customHeight="1">
      <c r="B48" s="5456" t="s">
        <v>1116</v>
      </c>
      <c r="C48" s="5472" t="s">
        <v>1117</v>
      </c>
      <c r="D48" s="1452" t="s">
        <v>288</v>
      </c>
      <c r="E48" s="5392">
        <v>0.05</v>
      </c>
      <c r="F48" s="1450">
        <v>2.7</v>
      </c>
      <c r="G48" s="4422">
        <v>1.0429999999999999</v>
      </c>
      <c r="H48" s="4733">
        <v>2.8161</v>
      </c>
    </row>
    <row r="49" spans="2:8" ht="29.75" customHeight="1">
      <c r="B49" s="5458" t="s">
        <v>2052</v>
      </c>
      <c r="C49" s="5472" t="s">
        <v>2053</v>
      </c>
      <c r="D49" s="1451" t="s">
        <v>286</v>
      </c>
      <c r="E49" s="5392">
        <v>0.04</v>
      </c>
      <c r="F49" s="1450">
        <v>1</v>
      </c>
      <c r="G49" s="4422">
        <v>0</v>
      </c>
      <c r="H49" s="4733">
        <v>2.4940000000000002</v>
      </c>
    </row>
    <row r="50" spans="2:8" ht="25.5" customHeight="1">
      <c r="B50" s="5456" t="s">
        <v>1111</v>
      </c>
      <c r="C50" s="5468" t="s">
        <v>1112</v>
      </c>
      <c r="D50" s="1452" t="s">
        <v>286</v>
      </c>
      <c r="E50" s="5403">
        <v>0.06</v>
      </c>
      <c r="F50" s="1450">
        <v>1</v>
      </c>
      <c r="G50" s="4422">
        <v>0</v>
      </c>
      <c r="H50" s="4733">
        <v>2.9144999999999999</v>
      </c>
    </row>
    <row r="51" spans="2:8" ht="36" customHeight="1">
      <c r="B51" s="5456" t="s">
        <v>1607</v>
      </c>
      <c r="C51" s="5468" t="s">
        <v>1115</v>
      </c>
      <c r="D51" s="1452" t="s">
        <v>286</v>
      </c>
      <c r="E51" s="5403">
        <v>4.4999999999999998E-2</v>
      </c>
      <c r="F51" s="1450">
        <v>1</v>
      </c>
      <c r="G51" s="4422">
        <v>0</v>
      </c>
      <c r="H51" s="4733">
        <v>0</v>
      </c>
    </row>
    <row r="52" spans="2:8" ht="36" customHeight="1">
      <c r="B52" s="5456" t="s">
        <v>1598</v>
      </c>
      <c r="C52" s="5468" t="s">
        <v>1599</v>
      </c>
      <c r="D52" s="1452" t="s">
        <v>286</v>
      </c>
      <c r="E52" s="5392">
        <v>0.05</v>
      </c>
      <c r="F52" s="1450">
        <v>1</v>
      </c>
      <c r="G52" s="4422">
        <v>0</v>
      </c>
      <c r="H52" s="4733">
        <v>7.3330000000000002</v>
      </c>
    </row>
    <row r="53" spans="2:8" ht="36" customHeight="1">
      <c r="B53" s="5456" t="s">
        <v>1604</v>
      </c>
      <c r="C53" s="5468" t="s">
        <v>1605</v>
      </c>
      <c r="D53" s="1452" t="s">
        <v>286</v>
      </c>
      <c r="E53" s="5403">
        <v>4.4999999999999998E-2</v>
      </c>
      <c r="F53" s="1450">
        <v>1</v>
      </c>
      <c r="G53" s="4422">
        <v>0</v>
      </c>
      <c r="H53" s="4733">
        <v>2.0779999999999998</v>
      </c>
    </row>
    <row r="54" spans="2:8" ht="36" customHeight="1">
      <c r="B54" s="5456" t="s">
        <v>1610</v>
      </c>
      <c r="C54" s="5468"/>
      <c r="D54" s="1452" t="s">
        <v>286</v>
      </c>
      <c r="E54" s="5403">
        <v>4.4999999999999998E-2</v>
      </c>
      <c r="F54" s="1450">
        <v>1</v>
      </c>
      <c r="G54" s="4422">
        <v>0</v>
      </c>
      <c r="H54" s="4733">
        <v>0.4</v>
      </c>
    </row>
    <row r="55" spans="2:8" ht="36" customHeight="1">
      <c r="B55" s="5456"/>
      <c r="C55" s="5468"/>
      <c r="D55" s="1452"/>
      <c r="E55" s="5392"/>
      <c r="F55" s="1450"/>
      <c r="G55" s="4422"/>
      <c r="H55" s="4733"/>
    </row>
    <row r="56" spans="2:8" s="1073" customFormat="1" ht="29.75" customHeight="1">
      <c r="B56" s="5460" t="s">
        <v>493</v>
      </c>
      <c r="C56" s="5469"/>
      <c r="D56" s="2505"/>
      <c r="E56" s="5396"/>
      <c r="F56" s="2506"/>
      <c r="G56" s="4422"/>
      <c r="H56" s="4733"/>
    </row>
    <row r="57" spans="2:8" s="1073" customFormat="1" ht="29.75" customHeight="1">
      <c r="B57" s="5454" t="s">
        <v>1934</v>
      </c>
      <c r="C57" s="5469"/>
      <c r="D57" s="2505"/>
      <c r="E57" s="5396"/>
      <c r="F57" s="2506"/>
      <c r="G57" s="4422"/>
      <c r="H57" s="4733"/>
    </row>
    <row r="58" spans="2:8" ht="25.5" customHeight="1">
      <c r="B58" s="5456" t="s">
        <v>2226</v>
      </c>
      <c r="C58" s="5468" t="s">
        <v>2092</v>
      </c>
      <c r="D58" s="1452" t="s">
        <v>286</v>
      </c>
      <c r="E58" s="5392">
        <v>1.7999999999999999E-2</v>
      </c>
      <c r="F58" s="1450">
        <v>1</v>
      </c>
      <c r="G58" s="4422">
        <v>0</v>
      </c>
      <c r="H58" s="4733">
        <v>9.3059999999999992</v>
      </c>
    </row>
    <row r="59" spans="2:8" ht="25.5" customHeight="1">
      <c r="B59" s="5456" t="s">
        <v>2227</v>
      </c>
      <c r="C59" s="5468" t="s">
        <v>2100</v>
      </c>
      <c r="D59" s="1452" t="s">
        <v>286</v>
      </c>
      <c r="E59" s="5392">
        <v>0.02</v>
      </c>
      <c r="F59" s="1450">
        <v>1</v>
      </c>
      <c r="G59" s="4422">
        <v>0</v>
      </c>
      <c r="H59" s="4733">
        <v>21.47</v>
      </c>
    </row>
    <row r="60" spans="2:8" ht="25.5" customHeight="1">
      <c r="B60" s="5456" t="s">
        <v>2228</v>
      </c>
      <c r="C60" s="5468" t="s">
        <v>2094</v>
      </c>
      <c r="D60" s="1452" t="s">
        <v>286</v>
      </c>
      <c r="E60" s="5392">
        <v>0.04</v>
      </c>
      <c r="F60" s="1450">
        <v>1</v>
      </c>
      <c r="G60" s="4422">
        <v>0</v>
      </c>
      <c r="H60" s="4733">
        <v>18.481000000000002</v>
      </c>
    </row>
    <row r="61" spans="2:8" ht="25.5" customHeight="1">
      <c r="B61" s="5456" t="s">
        <v>2229</v>
      </c>
      <c r="C61" s="5468" t="s">
        <v>2230</v>
      </c>
      <c r="D61" s="1452" t="s">
        <v>286</v>
      </c>
      <c r="E61" s="5392">
        <v>0.04</v>
      </c>
      <c r="F61" s="1450">
        <v>1</v>
      </c>
      <c r="G61" s="4422">
        <v>0</v>
      </c>
      <c r="H61" s="4733">
        <v>8.3279999999999994</v>
      </c>
    </row>
    <row r="62" spans="2:8" ht="25.5" customHeight="1">
      <c r="B62" s="5456" t="s">
        <v>2231</v>
      </c>
      <c r="C62" s="5468" t="s">
        <v>2232</v>
      </c>
      <c r="D62" s="1452" t="s">
        <v>286</v>
      </c>
      <c r="E62" s="5392">
        <v>0.02</v>
      </c>
      <c r="F62" s="1450">
        <v>1</v>
      </c>
      <c r="G62" s="4422">
        <v>0</v>
      </c>
      <c r="H62" s="4733">
        <v>16</v>
      </c>
    </row>
    <row r="63" spans="2:8" ht="25.5" customHeight="1">
      <c r="B63" s="5456" t="s">
        <v>2233</v>
      </c>
      <c r="C63" s="5468" t="s">
        <v>2096</v>
      </c>
      <c r="D63" s="1452" t="s">
        <v>286</v>
      </c>
      <c r="E63" s="5392">
        <v>0.04</v>
      </c>
      <c r="F63" s="1450">
        <v>1</v>
      </c>
      <c r="G63" s="4422">
        <v>0</v>
      </c>
      <c r="H63" s="4733">
        <v>14.265000000000001</v>
      </c>
    </row>
    <row r="64" spans="2:8" ht="25.5" customHeight="1">
      <c r="B64" s="5456"/>
      <c r="C64" s="1452"/>
      <c r="D64" s="1452"/>
      <c r="E64" s="5392"/>
      <c r="F64" s="1450"/>
      <c r="G64" s="5461"/>
      <c r="H64" s="5462"/>
    </row>
    <row r="65" spans="2:8" ht="25.5" customHeight="1" thickBot="1">
      <c r="B65" s="5428"/>
      <c r="C65" s="5429"/>
      <c r="D65" s="5429"/>
      <c r="E65" s="5463"/>
      <c r="F65" s="5416"/>
      <c r="G65" s="5464"/>
      <c r="H65" s="5465"/>
    </row>
    <row r="66" spans="2:8" ht="30.75">
      <c r="B66" s="5466"/>
      <c r="C66" s="2040"/>
      <c r="D66" s="2040"/>
      <c r="E66" s="2040"/>
      <c r="F66" s="2050"/>
      <c r="G66" s="5467"/>
      <c r="H66" s="5467"/>
    </row>
  </sheetData>
  <mergeCells count="4">
    <mergeCell ref="B1:H1"/>
    <mergeCell ref="B2:H2"/>
    <mergeCell ref="B3:H3"/>
    <mergeCell ref="G4:H4"/>
  </mergeCells>
  <printOptions horizontalCentered="1" verticalCentered="1"/>
  <pageMargins left="0.25" right="0.25" top="0.75" bottom="0.75" header="0.3" footer="0.3"/>
  <pageSetup scale="26" firstPageNumber="103" orientation="landscape" useFirstPageNumber="1" r:id="rId1"/>
  <headerFooter scaleWithDoc="0" alignWithMargins="0">
    <oddFooter xml:space="preserve">&amp;C138
</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theme="9" tint="-0.499984740745262"/>
    <pageSetUpPr fitToPage="1"/>
  </sheetPr>
  <dimension ref="B1:I97"/>
  <sheetViews>
    <sheetView view="pageBreakPreview" topLeftCell="A64" zoomScale="40" zoomScaleNormal="70" zoomScaleSheetLayoutView="40" workbookViewId="0">
      <selection activeCell="B18" sqref="B18"/>
    </sheetView>
  </sheetViews>
  <sheetFormatPr defaultColWidth="30.6640625" defaultRowHeight="25.5"/>
  <cols>
    <col min="1" max="1" width="6.46484375" style="1067" customWidth="1"/>
    <col min="2" max="2" width="212.33203125" style="1067" customWidth="1"/>
    <col min="3" max="3" width="73" style="1067" bestFit="1" customWidth="1"/>
    <col min="4" max="4" width="30.6640625" style="1067"/>
    <col min="5" max="5" width="43.46484375" style="1154" bestFit="1" customWidth="1"/>
    <col min="6" max="6" width="30.6640625" style="1119" bestFit="1" customWidth="1"/>
    <col min="7" max="7" width="43.46484375" style="1086" bestFit="1" customWidth="1"/>
    <col min="8" max="8" width="34.6640625" style="1086" customWidth="1"/>
    <col min="9" max="9" width="19.6640625" style="1067" customWidth="1"/>
    <col min="10" max="16384" width="30.6640625" style="1067"/>
  </cols>
  <sheetData>
    <row r="1" spans="2:9" ht="30">
      <c r="B1" s="5895" t="s">
        <v>1843</v>
      </c>
      <c r="C1" s="5895"/>
      <c r="D1" s="5895"/>
      <c r="E1" s="5895"/>
      <c r="F1" s="5895"/>
      <c r="G1" s="5895"/>
      <c r="H1" s="5895"/>
    </row>
    <row r="2" spans="2:9" ht="30">
      <c r="B2" s="5895" t="s">
        <v>1073</v>
      </c>
      <c r="C2" s="5895"/>
      <c r="D2" s="5895"/>
      <c r="E2" s="5895"/>
      <c r="F2" s="5895"/>
      <c r="G2" s="5895"/>
      <c r="H2" s="5895"/>
    </row>
    <row r="3" spans="2:9" ht="30.4" thickBot="1">
      <c r="B3" s="5895" t="s">
        <v>1967</v>
      </c>
      <c r="C3" s="5895"/>
      <c r="D3" s="5895"/>
      <c r="E3" s="5895"/>
      <c r="F3" s="5895"/>
      <c r="G3" s="5895"/>
      <c r="H3" s="5895"/>
    </row>
    <row r="4" spans="2:9" ht="30">
      <c r="B4" s="5206"/>
      <c r="C4" s="5207"/>
      <c r="D4" s="5207"/>
      <c r="E4" s="5208"/>
      <c r="F4" s="5209"/>
      <c r="G4" s="5900" t="s">
        <v>2333</v>
      </c>
      <c r="H4" s="5901"/>
    </row>
    <row r="5" spans="2:9" ht="30">
      <c r="B5" s="5210"/>
      <c r="C5" s="5211"/>
      <c r="D5" s="5211"/>
      <c r="E5" s="5212" t="s">
        <v>275</v>
      </c>
      <c r="F5" s="5213" t="s">
        <v>276</v>
      </c>
      <c r="G5" s="5214" t="s">
        <v>277</v>
      </c>
      <c r="H5" s="5215" t="s">
        <v>278</v>
      </c>
    </row>
    <row r="6" spans="2:9" ht="30.4" thickBot="1">
      <c r="B6" s="5216" t="s">
        <v>743</v>
      </c>
      <c r="C6" s="5217" t="s">
        <v>279</v>
      </c>
      <c r="D6" s="5217" t="s">
        <v>280</v>
      </c>
      <c r="E6" s="5218" t="s">
        <v>281</v>
      </c>
      <c r="F6" s="5219" t="s">
        <v>281</v>
      </c>
      <c r="G6" s="5220" t="s">
        <v>280</v>
      </c>
      <c r="H6" s="5221" t="s">
        <v>282</v>
      </c>
    </row>
    <row r="7" spans="2:9" s="1073" customFormat="1" ht="30" customHeight="1">
      <c r="B7" s="5473" t="s">
        <v>1941</v>
      </c>
      <c r="C7" s="5474"/>
      <c r="D7" s="5474"/>
      <c r="E7" s="5475"/>
      <c r="F7" s="5476"/>
      <c r="G7" s="5477"/>
      <c r="H7" s="5478"/>
    </row>
    <row r="8" spans="2:9" ht="30" customHeight="1">
      <c r="B8" s="5479" t="s">
        <v>2234</v>
      </c>
      <c r="C8" s="5437" t="s">
        <v>2057</v>
      </c>
      <c r="D8" s="5437" t="s">
        <v>286</v>
      </c>
      <c r="E8" s="5480">
        <v>0.04</v>
      </c>
      <c r="F8" s="5439">
        <v>1</v>
      </c>
      <c r="G8" s="5421">
        <f>0/(1000000)</f>
        <v>0</v>
      </c>
      <c r="H8" s="5481">
        <f>10000000/(1000000)</f>
        <v>10</v>
      </c>
      <c r="I8" s="1067">
        <f>1000000</f>
        <v>1000000</v>
      </c>
    </row>
    <row r="9" spans="2:9" ht="30" customHeight="1">
      <c r="B9" s="5482" t="s">
        <v>2235</v>
      </c>
      <c r="C9" s="5483" t="s">
        <v>2059</v>
      </c>
      <c r="D9" s="5483" t="s">
        <v>286</v>
      </c>
      <c r="E9" s="5480">
        <v>0.04</v>
      </c>
      <c r="F9" s="5439">
        <v>1</v>
      </c>
      <c r="G9" s="5421">
        <f>0/(1000000)</f>
        <v>0</v>
      </c>
      <c r="H9" s="5481">
        <f>9104425.2/(1000000)</f>
        <v>9.1044251999999997</v>
      </c>
    </row>
    <row r="10" spans="2:9" ht="30" customHeight="1">
      <c r="B10" s="5479" t="s">
        <v>2236</v>
      </c>
      <c r="C10" s="5437" t="s">
        <v>2237</v>
      </c>
      <c r="D10" s="5437" t="s">
        <v>288</v>
      </c>
      <c r="E10" s="5480">
        <v>0.04</v>
      </c>
      <c r="F10" s="5439">
        <v>2.7</v>
      </c>
      <c r="G10" s="5421">
        <f>2028640.95/(1000000)</f>
        <v>2.0286409499999998</v>
      </c>
      <c r="H10" s="5481">
        <f>5477330.565/(1000000)</f>
        <v>5.4773305650000008</v>
      </c>
    </row>
    <row r="11" spans="2:9" ht="30" customHeight="1">
      <c r="B11" s="5479" t="s">
        <v>2238</v>
      </c>
      <c r="C11" s="5437" t="s">
        <v>2076</v>
      </c>
      <c r="D11" s="5437" t="s">
        <v>288</v>
      </c>
      <c r="E11" s="5480">
        <v>0.04</v>
      </c>
      <c r="F11" s="5439">
        <v>2.7</v>
      </c>
      <c r="G11" s="5421">
        <f>3000000/(1000000)</f>
        <v>3</v>
      </c>
      <c r="H11" s="5481">
        <f>8100000/(1000000)</f>
        <v>8.1</v>
      </c>
    </row>
    <row r="12" spans="2:9" ht="30" customHeight="1">
      <c r="B12" s="5479" t="s">
        <v>2239</v>
      </c>
      <c r="C12" s="5437" t="s">
        <v>2060</v>
      </c>
      <c r="D12" s="5437" t="s">
        <v>288</v>
      </c>
      <c r="E12" s="5480">
        <v>0.04</v>
      </c>
      <c r="F12" s="5439">
        <v>2.7</v>
      </c>
      <c r="G12" s="5421">
        <f>2604222.22/(1000000)</f>
        <v>2.60422222</v>
      </c>
      <c r="H12" s="5481">
        <f>7031399.994/(1000000)</f>
        <v>7.031399994</v>
      </c>
    </row>
    <row r="13" spans="2:9" ht="30" customHeight="1">
      <c r="B13" s="5479" t="s">
        <v>2240</v>
      </c>
      <c r="C13" s="5484" t="s">
        <v>2068</v>
      </c>
      <c r="D13" s="5437" t="s">
        <v>286</v>
      </c>
      <c r="E13" s="5480">
        <v>0.04</v>
      </c>
      <c r="F13" s="5439">
        <v>1</v>
      </c>
      <c r="G13" s="5421">
        <f>0/(1000000)</f>
        <v>0</v>
      </c>
      <c r="H13" s="5481">
        <f>19348379.47/(1000000)</f>
        <v>19.348379469999998</v>
      </c>
    </row>
    <row r="14" spans="2:9" ht="30" customHeight="1">
      <c r="B14" s="5479" t="s">
        <v>2241</v>
      </c>
      <c r="C14" s="5437" t="s">
        <v>2062</v>
      </c>
      <c r="D14" s="5437" t="s">
        <v>286</v>
      </c>
      <c r="E14" s="5480">
        <v>0.04</v>
      </c>
      <c r="F14" s="5439">
        <v>1</v>
      </c>
      <c r="G14" s="5421">
        <f>0/(1000000)</f>
        <v>0</v>
      </c>
      <c r="H14" s="5481">
        <f>200000/(1000000)</f>
        <v>0.2</v>
      </c>
    </row>
    <row r="15" spans="2:9" ht="30" customHeight="1">
      <c r="B15" s="5479" t="s">
        <v>2242</v>
      </c>
      <c r="C15" s="5437" t="s">
        <v>2062</v>
      </c>
      <c r="D15" s="5437" t="s">
        <v>286</v>
      </c>
      <c r="E15" s="5480">
        <v>4.4999999999999998E-2</v>
      </c>
      <c r="F15" s="5439">
        <v>1</v>
      </c>
      <c r="G15" s="5421">
        <f>0/(1000000)</f>
        <v>0</v>
      </c>
      <c r="H15" s="5481">
        <f>10000000/(1000000)</f>
        <v>10</v>
      </c>
    </row>
    <row r="16" spans="2:9" ht="30" customHeight="1">
      <c r="B16" s="5479" t="s">
        <v>2243</v>
      </c>
      <c r="C16" s="5437" t="s">
        <v>2244</v>
      </c>
      <c r="D16" s="5437" t="s">
        <v>286</v>
      </c>
      <c r="E16" s="5480">
        <v>0.04</v>
      </c>
      <c r="F16" s="5439">
        <v>1</v>
      </c>
      <c r="G16" s="5421">
        <f>0/(1000000)</f>
        <v>0</v>
      </c>
      <c r="H16" s="5481">
        <f>1963636.36/(1000000)</f>
        <v>1.9636363600000002</v>
      </c>
    </row>
    <row r="17" spans="2:8" ht="30" customHeight="1">
      <c r="B17" s="5479" t="s">
        <v>2245</v>
      </c>
      <c r="C17" s="5437" t="s">
        <v>2066</v>
      </c>
      <c r="D17" s="5437" t="s">
        <v>288</v>
      </c>
      <c r="E17" s="5480">
        <v>0.04</v>
      </c>
      <c r="F17" s="5439">
        <v>2.7</v>
      </c>
      <c r="G17" s="5421">
        <f>3070370.37/(1000000)</f>
        <v>3.07037037</v>
      </c>
      <c r="H17" s="5481">
        <f>8289999.999/(1000000)</f>
        <v>8.2899999989999991</v>
      </c>
    </row>
    <row r="18" spans="2:8" ht="30" customHeight="1">
      <c r="B18" s="5479" t="s">
        <v>2246</v>
      </c>
      <c r="C18" s="5437" t="s">
        <v>2072</v>
      </c>
      <c r="D18" s="5437" t="s">
        <v>286</v>
      </c>
      <c r="E18" s="5480">
        <v>0.04</v>
      </c>
      <c r="F18" s="5439">
        <v>1</v>
      </c>
      <c r="G18" s="5421">
        <f t="shared" ref="G18:G34" si="0">0/(1000000)</f>
        <v>0</v>
      </c>
      <c r="H18" s="5481">
        <f>10603796.2/(1000000)</f>
        <v>10.6037962</v>
      </c>
    </row>
    <row r="19" spans="2:8" ht="30" customHeight="1">
      <c r="B19" s="5479" t="s">
        <v>2247</v>
      </c>
      <c r="C19" s="5437" t="s">
        <v>2074</v>
      </c>
      <c r="D19" s="5437" t="s">
        <v>286</v>
      </c>
      <c r="E19" s="5480">
        <v>0.03</v>
      </c>
      <c r="F19" s="5439">
        <v>1</v>
      </c>
      <c r="G19" s="5421">
        <f t="shared" si="0"/>
        <v>0</v>
      </c>
      <c r="H19" s="5481">
        <f>1139943.19/(1000000)</f>
        <v>1.1399431899999999</v>
      </c>
    </row>
    <row r="20" spans="2:8" ht="30" customHeight="1">
      <c r="B20" s="5479" t="s">
        <v>2248</v>
      </c>
      <c r="C20" s="5437" t="s">
        <v>2070</v>
      </c>
      <c r="D20" s="5437" t="s">
        <v>286</v>
      </c>
      <c r="E20" s="5480">
        <v>0.04</v>
      </c>
      <c r="F20" s="5439">
        <v>1</v>
      </c>
      <c r="G20" s="5421">
        <f t="shared" si="0"/>
        <v>0</v>
      </c>
      <c r="H20" s="5481">
        <f>5483116.88/(1000000)</f>
        <v>5.4831168799999999</v>
      </c>
    </row>
    <row r="21" spans="2:8" ht="30" customHeight="1">
      <c r="B21" s="5479" t="s">
        <v>2249</v>
      </c>
      <c r="C21" s="5485" t="s">
        <v>2250</v>
      </c>
      <c r="D21" s="5437" t="s">
        <v>286</v>
      </c>
      <c r="E21" s="5480">
        <v>0.03</v>
      </c>
      <c r="F21" s="5439">
        <v>1</v>
      </c>
      <c r="G21" s="5421">
        <f t="shared" si="0"/>
        <v>0</v>
      </c>
      <c r="H21" s="5481">
        <f>5000000/(1000000)</f>
        <v>5</v>
      </c>
    </row>
    <row r="22" spans="2:8" ht="30" customHeight="1">
      <c r="B22" s="5479" t="s">
        <v>2251</v>
      </c>
      <c r="C22" s="5485" t="s">
        <v>2078</v>
      </c>
      <c r="D22" s="5437" t="s">
        <v>286</v>
      </c>
      <c r="E22" s="5480">
        <v>0.04</v>
      </c>
      <c r="F22" s="5439">
        <v>1</v>
      </c>
      <c r="G22" s="5421">
        <f t="shared" si="0"/>
        <v>0</v>
      </c>
      <c r="H22" s="5481">
        <f>3700000/(1000000)</f>
        <v>3.7</v>
      </c>
    </row>
    <row r="23" spans="2:8" ht="30" customHeight="1">
      <c r="B23" s="5479" t="s">
        <v>2252</v>
      </c>
      <c r="C23" s="5485" t="s">
        <v>1613</v>
      </c>
      <c r="D23" s="5437" t="s">
        <v>286</v>
      </c>
      <c r="E23" s="5480">
        <v>0.04</v>
      </c>
      <c r="F23" s="5439">
        <v>1</v>
      </c>
      <c r="G23" s="5421">
        <f t="shared" si="0"/>
        <v>0</v>
      </c>
      <c r="H23" s="5481">
        <f>0/(1000000)</f>
        <v>0</v>
      </c>
    </row>
    <row r="24" spans="2:8" ht="30" customHeight="1">
      <c r="B24" s="5479" t="s">
        <v>2253</v>
      </c>
      <c r="C24" s="5485" t="s">
        <v>2086</v>
      </c>
      <c r="D24" s="5437" t="s">
        <v>286</v>
      </c>
      <c r="E24" s="5480">
        <v>2.5000000000000001E-2</v>
      </c>
      <c r="F24" s="5439">
        <v>1</v>
      </c>
      <c r="G24" s="5421">
        <f t="shared" si="0"/>
        <v>0</v>
      </c>
      <c r="H24" s="5481">
        <f>500000/(1000000)</f>
        <v>0.5</v>
      </c>
    </row>
    <row r="25" spans="2:8" ht="30" customHeight="1">
      <c r="B25" s="5486"/>
      <c r="C25" s="5485"/>
      <c r="D25" s="5437"/>
      <c r="E25" s="5480"/>
      <c r="F25" s="5439"/>
      <c r="G25" s="5421"/>
      <c r="H25" s="5481"/>
    </row>
    <row r="26" spans="2:8" s="1073" customFormat="1" ht="30" customHeight="1">
      <c r="B26" s="5487" t="s">
        <v>1942</v>
      </c>
      <c r="C26" s="5488"/>
      <c r="D26" s="5489"/>
      <c r="E26" s="5475"/>
      <c r="F26" s="5490"/>
      <c r="G26" s="5421"/>
      <c r="H26" s="5481"/>
    </row>
    <row r="27" spans="2:8" ht="30" customHeight="1">
      <c r="B27" s="5479" t="s">
        <v>2254</v>
      </c>
      <c r="C27" s="5485" t="s">
        <v>2084</v>
      </c>
      <c r="D27" s="5437" t="s">
        <v>286</v>
      </c>
      <c r="E27" s="5480">
        <v>0.03</v>
      </c>
      <c r="F27" s="5439">
        <v>1</v>
      </c>
      <c r="G27" s="5421">
        <f t="shared" si="0"/>
        <v>0</v>
      </c>
      <c r="H27" s="5481">
        <f>23212000/(1000000)</f>
        <v>23.212</v>
      </c>
    </row>
    <row r="28" spans="2:8" ht="30" customHeight="1">
      <c r="B28" s="5486"/>
      <c r="C28" s="5485"/>
      <c r="D28" s="5437"/>
      <c r="E28" s="5480"/>
      <c r="F28" s="5439"/>
      <c r="G28" s="5421"/>
      <c r="H28" s="5481"/>
    </row>
    <row r="29" spans="2:8" s="1073" customFormat="1" ht="30" customHeight="1">
      <c r="B29" s="5491" t="s">
        <v>1895</v>
      </c>
      <c r="C29" s="5488"/>
      <c r="D29" s="5489"/>
      <c r="E29" s="5475"/>
      <c r="F29" s="5490"/>
      <c r="G29" s="5421"/>
      <c r="H29" s="5481"/>
    </row>
    <row r="30" spans="2:8" ht="30" customHeight="1">
      <c r="B30" s="5486"/>
      <c r="C30" s="5485"/>
      <c r="D30" s="5437"/>
      <c r="E30" s="5480"/>
      <c r="F30" s="5439"/>
      <c r="G30" s="5421"/>
      <c r="H30" s="5481"/>
    </row>
    <row r="31" spans="2:8" s="1073" customFormat="1" ht="30" customHeight="1">
      <c r="B31" s="5487" t="s">
        <v>1943</v>
      </c>
      <c r="C31" s="5488"/>
      <c r="D31" s="5489"/>
      <c r="E31" s="5475"/>
      <c r="F31" s="5490"/>
      <c r="G31" s="5421"/>
      <c r="H31" s="5481"/>
    </row>
    <row r="32" spans="2:8" ht="30" customHeight="1">
      <c r="B32" s="5492" t="s">
        <v>578</v>
      </c>
      <c r="C32" s="5485"/>
      <c r="D32" s="5483"/>
      <c r="E32" s="5480"/>
      <c r="F32" s="5439"/>
      <c r="G32" s="5421"/>
      <c r="H32" s="5481"/>
    </row>
    <row r="33" spans="2:8" s="1073" customFormat="1" ht="30" customHeight="1">
      <c r="B33" s="5487" t="s">
        <v>1748</v>
      </c>
      <c r="C33" s="5488"/>
      <c r="D33" s="5489"/>
      <c r="E33" s="5475"/>
      <c r="F33" s="5493"/>
      <c r="G33" s="5421"/>
      <c r="H33" s="5481"/>
    </row>
    <row r="34" spans="2:8" ht="30" customHeight="1">
      <c r="B34" s="5479" t="s">
        <v>2255</v>
      </c>
      <c r="C34" s="5485" t="s">
        <v>290</v>
      </c>
      <c r="D34" s="5437" t="s">
        <v>289</v>
      </c>
      <c r="E34" s="5480">
        <v>3.5000000000000003E-2</v>
      </c>
      <c r="F34" s="5444">
        <v>3.0011899999999998</v>
      </c>
      <c r="G34" s="5421">
        <f t="shared" si="0"/>
        <v>0</v>
      </c>
      <c r="H34" s="5481">
        <f t="shared" ref="H34" si="1">0/(1000000)</f>
        <v>0</v>
      </c>
    </row>
    <row r="35" spans="2:8" ht="30" customHeight="1">
      <c r="B35" s="5479" t="s">
        <v>1880</v>
      </c>
      <c r="C35" s="5485" t="s">
        <v>2256</v>
      </c>
      <c r="D35" s="5437" t="s">
        <v>289</v>
      </c>
      <c r="E35" s="5480">
        <v>3.5000000000000003E-2</v>
      </c>
      <c r="F35" s="5444">
        <v>3.0011899999999998</v>
      </c>
      <c r="G35" s="5421">
        <f>135980.05/(1000000)</f>
        <v>0.13598004999999999</v>
      </c>
      <c r="H35" s="5481">
        <f>408101.9662595/(1000000)</f>
        <v>0.40810196625950002</v>
      </c>
    </row>
    <row r="36" spans="2:8" ht="30" customHeight="1">
      <c r="B36" s="5479" t="s">
        <v>1880</v>
      </c>
      <c r="C36" s="5485" t="s">
        <v>2257</v>
      </c>
      <c r="D36" s="5437" t="s">
        <v>289</v>
      </c>
      <c r="E36" s="5480">
        <v>3.5000000000000003E-2</v>
      </c>
      <c r="F36" s="5444">
        <v>3.0011899999999998</v>
      </c>
      <c r="G36" s="5421">
        <f>280339.11/(1000000)</f>
        <v>0.28033911</v>
      </c>
      <c r="H36" s="5481">
        <f>841350.9335409/(1000000)</f>
        <v>0.84135093354089996</v>
      </c>
    </row>
    <row r="37" spans="2:8" ht="30" customHeight="1">
      <c r="B37" s="5479" t="s">
        <v>1880</v>
      </c>
      <c r="C37" s="5485" t="s">
        <v>2258</v>
      </c>
      <c r="D37" s="5437" t="s">
        <v>289</v>
      </c>
      <c r="E37" s="5480">
        <v>3.5000000000000003E-2</v>
      </c>
      <c r="F37" s="5444">
        <v>3.0011899999999998</v>
      </c>
      <c r="G37" s="5421">
        <f>313523.63/(1000000)</f>
        <v>0.31352363</v>
      </c>
      <c r="H37" s="5481">
        <f>940943.9831197/(1000000)</f>
        <v>0.94094398311969996</v>
      </c>
    </row>
    <row r="38" spans="2:8" ht="30" customHeight="1">
      <c r="B38" s="5494"/>
      <c r="C38" s="5485"/>
      <c r="D38" s="5437"/>
      <c r="E38" s="5480"/>
      <c r="F38" s="5444"/>
      <c r="G38" s="5421"/>
      <c r="H38" s="5481"/>
    </row>
    <row r="39" spans="2:8" s="1073" customFormat="1" ht="30" customHeight="1">
      <c r="B39" s="5495" t="s">
        <v>1749</v>
      </c>
      <c r="C39" s="5488"/>
      <c r="D39" s="5489"/>
      <c r="E39" s="5475"/>
      <c r="F39" s="5490"/>
      <c r="G39" s="5421"/>
      <c r="H39" s="5481"/>
    </row>
    <row r="40" spans="2:8" ht="30" customHeight="1">
      <c r="B40" s="5479" t="s">
        <v>2259</v>
      </c>
      <c r="C40" s="5485" t="s">
        <v>535</v>
      </c>
      <c r="D40" s="5437" t="s">
        <v>288</v>
      </c>
      <c r="E40" s="5480">
        <v>4.4999999999999998E-2</v>
      </c>
      <c r="F40" s="5439">
        <v>2.7</v>
      </c>
      <c r="G40" s="5421">
        <f>6000000/(1000000)</f>
        <v>6</v>
      </c>
      <c r="H40" s="5481">
        <f>16200000/(1000000)</f>
        <v>16.2</v>
      </c>
    </row>
    <row r="41" spans="2:8" s="1073" customFormat="1" ht="30" customHeight="1">
      <c r="B41" s="5495" t="s">
        <v>1750</v>
      </c>
      <c r="C41" s="5488"/>
      <c r="D41" s="5489"/>
      <c r="E41" s="5475"/>
      <c r="F41" s="5490"/>
      <c r="G41" s="5421"/>
      <c r="H41" s="5481"/>
    </row>
    <row r="42" spans="2:8" ht="30" customHeight="1">
      <c r="B42" s="5479" t="s">
        <v>1751</v>
      </c>
      <c r="C42" s="5485">
        <v>646</v>
      </c>
      <c r="D42" s="5437" t="s">
        <v>291</v>
      </c>
      <c r="E42" s="5480">
        <v>0.04</v>
      </c>
      <c r="F42" s="5439">
        <v>8.7934999999999999</v>
      </c>
      <c r="G42" s="5421">
        <f>0/(1000000)</f>
        <v>0</v>
      </c>
      <c r="H42" s="5481">
        <f>0/(1000000)</f>
        <v>0</v>
      </c>
    </row>
    <row r="43" spans="2:8" ht="30" customHeight="1">
      <c r="B43" s="5479" t="s">
        <v>1752</v>
      </c>
      <c r="C43" s="5485">
        <v>759</v>
      </c>
      <c r="D43" s="5437" t="s">
        <v>291</v>
      </c>
      <c r="E43" s="5480">
        <v>3.5000000000000003E-2</v>
      </c>
      <c r="F43" s="5439">
        <v>8.7934999999999999</v>
      </c>
      <c r="G43" s="5421">
        <f>932260/(1000000)</f>
        <v>0.93225999999999998</v>
      </c>
      <c r="H43" s="5481">
        <f>8197828.31/(1000000)</f>
        <v>8.1978283100000002</v>
      </c>
    </row>
    <row r="44" spans="2:8" ht="30" customHeight="1">
      <c r="B44" s="5486"/>
      <c r="C44" s="5485"/>
      <c r="D44" s="5437"/>
      <c r="E44" s="5480"/>
      <c r="F44" s="5444"/>
      <c r="G44" s="5421"/>
      <c r="H44" s="5481"/>
    </row>
    <row r="45" spans="2:8" s="1073" customFormat="1" ht="30" customHeight="1">
      <c r="B45" s="5495" t="s">
        <v>1753</v>
      </c>
      <c r="C45" s="5488"/>
      <c r="D45" s="5489"/>
      <c r="E45" s="5475"/>
      <c r="F45" s="5490"/>
      <c r="G45" s="5421"/>
      <c r="H45" s="5481"/>
    </row>
    <row r="46" spans="2:8" ht="30" customHeight="1">
      <c r="B46" s="5496" t="s">
        <v>1754</v>
      </c>
      <c r="C46" s="5485" t="s">
        <v>1146</v>
      </c>
      <c r="D46" s="5437" t="s">
        <v>288</v>
      </c>
      <c r="E46" s="5480" t="s">
        <v>2260</v>
      </c>
      <c r="F46" s="5439">
        <v>2.7</v>
      </c>
      <c r="G46" s="5421">
        <f>12379404/(1000000)</f>
        <v>12.379403999999999</v>
      </c>
      <c r="H46" s="5481">
        <f>33424390.8/(1000000)</f>
        <v>33.424390799999998</v>
      </c>
    </row>
    <row r="47" spans="2:8" ht="30" customHeight="1">
      <c r="B47" s="5496" t="s">
        <v>1755</v>
      </c>
      <c r="C47" s="5485" t="s">
        <v>1147</v>
      </c>
      <c r="D47" s="5437" t="s">
        <v>288</v>
      </c>
      <c r="E47" s="5480" t="s">
        <v>2261</v>
      </c>
      <c r="F47" s="5439">
        <v>2.7</v>
      </c>
      <c r="G47" s="5421">
        <f>47516455.32/(1000000)</f>
        <v>47.516455319999999</v>
      </c>
      <c r="H47" s="5481">
        <f>128294429.364/(1000000)</f>
        <v>128.294429364</v>
      </c>
    </row>
    <row r="48" spans="2:8" ht="30" customHeight="1">
      <c r="B48" s="5497" t="s">
        <v>1756</v>
      </c>
      <c r="C48" s="5498" t="s">
        <v>1148</v>
      </c>
      <c r="D48" s="5442" t="s">
        <v>288</v>
      </c>
      <c r="E48" s="5480" t="s">
        <v>2261</v>
      </c>
      <c r="F48" s="5444">
        <v>2.7</v>
      </c>
      <c r="G48" s="5421">
        <f>18000000/(1000000)</f>
        <v>18</v>
      </c>
      <c r="H48" s="5481">
        <f>48600000/(1000000)</f>
        <v>48.6</v>
      </c>
    </row>
    <row r="49" spans="2:8" ht="30" customHeight="1">
      <c r="B49" s="5497" t="s">
        <v>1757</v>
      </c>
      <c r="C49" s="5498" t="s">
        <v>1149</v>
      </c>
      <c r="D49" s="5442" t="s">
        <v>288</v>
      </c>
      <c r="E49" s="5480" t="s">
        <v>2261</v>
      </c>
      <c r="F49" s="5444">
        <v>2.7</v>
      </c>
      <c r="G49" s="5421">
        <f>20000000/(1000000)</f>
        <v>20</v>
      </c>
      <c r="H49" s="5481">
        <f>54000000/(1000000)</f>
        <v>54</v>
      </c>
    </row>
    <row r="50" spans="2:8" ht="30" customHeight="1">
      <c r="B50" s="5497" t="s">
        <v>2262</v>
      </c>
      <c r="C50" s="5499">
        <v>20223330</v>
      </c>
      <c r="D50" s="5500" t="s">
        <v>288</v>
      </c>
      <c r="E50" s="5501" t="s">
        <v>2263</v>
      </c>
      <c r="F50" s="5502">
        <v>2.7</v>
      </c>
      <c r="G50" s="5421">
        <f>10000000/(1000000)</f>
        <v>10</v>
      </c>
      <c r="H50" s="5481">
        <f>27000000/(1000000)</f>
        <v>27</v>
      </c>
    </row>
    <row r="51" spans="2:8" ht="30" customHeight="1">
      <c r="B51" s="5497" t="s">
        <v>2264</v>
      </c>
      <c r="C51" s="5499">
        <v>20223499</v>
      </c>
      <c r="D51" s="5500" t="s">
        <v>288</v>
      </c>
      <c r="E51" s="5501" t="s">
        <v>2265</v>
      </c>
      <c r="F51" s="5502">
        <v>2.7</v>
      </c>
      <c r="G51" s="5421">
        <f>102128294/(1000000)</f>
        <v>102.128294</v>
      </c>
      <c r="H51" s="5481">
        <f>275746393.8/(1000000)</f>
        <v>275.74639380000002</v>
      </c>
    </row>
    <row r="52" spans="2:8" ht="30" customHeight="1">
      <c r="B52" s="5497"/>
      <c r="C52" s="5499"/>
      <c r="D52" s="5500"/>
      <c r="E52" s="5501"/>
      <c r="F52" s="5502"/>
      <c r="G52" s="5421"/>
      <c r="H52" s="5481"/>
    </row>
    <row r="53" spans="2:8" ht="30" customHeight="1">
      <c r="B53" s="5503" t="s">
        <v>1944</v>
      </c>
      <c r="C53" s="5504"/>
      <c r="D53" s="5442"/>
      <c r="E53" s="5480"/>
      <c r="F53" s="5444"/>
      <c r="G53" s="5421"/>
      <c r="H53" s="5481"/>
    </row>
    <row r="54" spans="2:8" s="1073" customFormat="1" ht="30" customHeight="1">
      <c r="B54" s="5503" t="s">
        <v>1150</v>
      </c>
      <c r="C54" s="5505"/>
      <c r="D54" s="5506"/>
      <c r="E54" s="5475"/>
      <c r="F54" s="5493"/>
      <c r="G54" s="5421"/>
      <c r="H54" s="5481"/>
    </row>
    <row r="55" spans="2:8" ht="30" customHeight="1">
      <c r="B55" s="5507"/>
      <c r="C55" s="5504"/>
      <c r="D55" s="5442"/>
      <c r="E55" s="5480"/>
      <c r="F55" s="5444"/>
      <c r="G55" s="5421"/>
      <c r="H55" s="5481"/>
    </row>
    <row r="56" spans="2:8" ht="30" customHeight="1">
      <c r="B56" s="5508" t="s">
        <v>1758</v>
      </c>
      <c r="C56" s="5504" t="s">
        <v>620</v>
      </c>
      <c r="D56" s="5442" t="s">
        <v>289</v>
      </c>
      <c r="E56" s="5480">
        <v>0.01</v>
      </c>
      <c r="F56" s="5444">
        <v>3.0011899999999998</v>
      </c>
      <c r="G56" s="5421">
        <f t="shared" ref="G56:H56" si="2">0/(1000000)</f>
        <v>0</v>
      </c>
      <c r="H56" s="5481">
        <f t="shared" si="2"/>
        <v>0</v>
      </c>
    </row>
    <row r="57" spans="2:8" ht="30" customHeight="1">
      <c r="B57" s="5508"/>
      <c r="C57" s="5504"/>
      <c r="D57" s="5442"/>
      <c r="E57" s="5480"/>
      <c r="F57" s="5444"/>
      <c r="G57" s="5421"/>
      <c r="H57" s="5481"/>
    </row>
    <row r="58" spans="2:8" ht="30" customHeight="1">
      <c r="B58" s="5508" t="s">
        <v>1759</v>
      </c>
      <c r="C58" s="5504" t="s">
        <v>621</v>
      </c>
      <c r="D58" s="5442" t="s">
        <v>288</v>
      </c>
      <c r="E58" s="5480">
        <v>7.4999999999999997E-3</v>
      </c>
      <c r="F58" s="5444">
        <v>2.7</v>
      </c>
      <c r="G58" s="5421">
        <f>73079.28/(1000000)</f>
        <v>7.3079279999999996E-2</v>
      </c>
      <c r="H58" s="5481">
        <f>197314.056/(1000000)</f>
        <v>0.19731405600000002</v>
      </c>
    </row>
    <row r="59" spans="2:8" ht="30" customHeight="1">
      <c r="B59" s="5508"/>
      <c r="C59" s="5504"/>
      <c r="D59" s="5442"/>
      <c r="E59" s="5480"/>
      <c r="F59" s="5444"/>
      <c r="G59" s="5421">
        <f>0/(1000000)</f>
        <v>0</v>
      </c>
      <c r="H59" s="5481">
        <f>0/(1000000)</f>
        <v>0</v>
      </c>
    </row>
    <row r="60" spans="2:8" ht="30" customHeight="1">
      <c r="B60" s="5508"/>
      <c r="C60" s="5504"/>
      <c r="D60" s="5442"/>
      <c r="E60" s="5480"/>
      <c r="F60" s="5444"/>
      <c r="G60" s="5421"/>
      <c r="H60" s="5481"/>
    </row>
    <row r="61" spans="2:8" ht="30" customHeight="1">
      <c r="B61" s="5508" t="s">
        <v>1760</v>
      </c>
      <c r="C61" s="5504" t="s">
        <v>622</v>
      </c>
      <c r="D61" s="5442" t="s">
        <v>292</v>
      </c>
      <c r="E61" s="5480">
        <v>7.4999999999999997E-3</v>
      </c>
      <c r="F61" s="5444">
        <v>3.622509</v>
      </c>
      <c r="G61" s="5421">
        <f>317482.92/(1000000)</f>
        <v>0.31748292</v>
      </c>
      <c r="H61" s="5481">
        <f>1150084.73504628/(1000000)</f>
        <v>1.1500847350462802</v>
      </c>
    </row>
    <row r="62" spans="2:8" ht="30" customHeight="1">
      <c r="B62" s="5508"/>
      <c r="C62" s="5504"/>
      <c r="D62" s="5442"/>
      <c r="E62" s="5480"/>
      <c r="F62" s="5444"/>
      <c r="G62" s="5421"/>
      <c r="H62" s="5481"/>
    </row>
    <row r="63" spans="2:8" ht="30" customHeight="1">
      <c r="B63" s="5508" t="s">
        <v>1151</v>
      </c>
      <c r="C63" s="5504" t="s">
        <v>623</v>
      </c>
      <c r="D63" s="5442" t="s">
        <v>292</v>
      </c>
      <c r="E63" s="5480">
        <v>7.4999999999999997E-3</v>
      </c>
      <c r="F63" s="5444">
        <v>3.622509</v>
      </c>
      <c r="G63" s="5421">
        <f>666750.15/(1000000)</f>
        <v>0.66675015000000004</v>
      </c>
      <c r="H63" s="5481">
        <f>2415308.41912635/(1000000)</f>
        <v>2.4153084191263501</v>
      </c>
    </row>
    <row r="64" spans="2:8" ht="30" customHeight="1">
      <c r="B64" s="5508" t="s">
        <v>1761</v>
      </c>
      <c r="C64" s="5504" t="s">
        <v>623</v>
      </c>
      <c r="D64" s="5442" t="s">
        <v>288</v>
      </c>
      <c r="E64" s="5480">
        <v>0.02</v>
      </c>
      <c r="F64" s="5444">
        <v>2.7</v>
      </c>
      <c r="G64" s="5421">
        <f>200878.04/(1000000)</f>
        <v>0.20087804000000001</v>
      </c>
      <c r="H64" s="5481">
        <f>542370.708/(1000000)</f>
        <v>0.54237070799999998</v>
      </c>
    </row>
    <row r="65" spans="2:8" ht="30" customHeight="1">
      <c r="B65" s="5508"/>
      <c r="C65" s="5504"/>
      <c r="D65" s="5442"/>
      <c r="E65" s="5480"/>
      <c r="F65" s="5444"/>
      <c r="G65" s="5421"/>
      <c r="H65" s="5481"/>
    </row>
    <row r="66" spans="2:8" ht="30" customHeight="1">
      <c r="B66" s="5508"/>
      <c r="C66" s="5504"/>
      <c r="D66" s="5442"/>
      <c r="E66" s="5480"/>
      <c r="F66" s="5444"/>
      <c r="G66" s="5421"/>
      <c r="H66" s="5481"/>
    </row>
    <row r="67" spans="2:8" ht="30" customHeight="1">
      <c r="B67" s="5508" t="s">
        <v>1762</v>
      </c>
      <c r="C67" s="5504" t="s">
        <v>293</v>
      </c>
      <c r="D67" s="5442" t="s">
        <v>288</v>
      </c>
      <c r="E67" s="5480">
        <v>0.02</v>
      </c>
      <c r="F67" s="5444">
        <v>2.7</v>
      </c>
      <c r="G67" s="5421">
        <f>1210952.42/(1000000)</f>
        <v>1.2109524199999999</v>
      </c>
      <c r="H67" s="5481">
        <f>3269571.534/(1000000)</f>
        <v>3.2695715339999998</v>
      </c>
    </row>
    <row r="68" spans="2:8" ht="30" customHeight="1">
      <c r="B68" s="5508"/>
      <c r="C68" s="5504"/>
      <c r="D68" s="5442"/>
      <c r="E68" s="5480"/>
      <c r="F68" s="5444"/>
      <c r="G68" s="5421" t="s">
        <v>908</v>
      </c>
      <c r="H68" s="5481"/>
    </row>
    <row r="69" spans="2:8" ht="30" customHeight="1">
      <c r="B69" s="5508" t="s">
        <v>1763</v>
      </c>
      <c r="C69" s="5504" t="s">
        <v>624</v>
      </c>
      <c r="D69" s="5442" t="s">
        <v>288</v>
      </c>
      <c r="E69" s="5480">
        <v>0.02</v>
      </c>
      <c r="F69" s="5444">
        <v>2.7</v>
      </c>
      <c r="G69" s="5421">
        <f>119969.29/(1000000)</f>
        <v>0.11996928999999999</v>
      </c>
      <c r="H69" s="5481">
        <f>323917.083/(1000000)</f>
        <v>0.32391708299999999</v>
      </c>
    </row>
    <row r="70" spans="2:8" ht="30" customHeight="1">
      <c r="B70" s="5508"/>
      <c r="C70" s="5504"/>
      <c r="D70" s="5442"/>
      <c r="E70" s="5480"/>
      <c r="F70" s="5444"/>
      <c r="G70" s="5421">
        <f>0/(1000000)</f>
        <v>0</v>
      </c>
      <c r="H70" s="5481">
        <f>0/(1000000)</f>
        <v>0</v>
      </c>
    </row>
    <row r="71" spans="2:8" ht="30" customHeight="1">
      <c r="B71" s="5508" t="s">
        <v>536</v>
      </c>
      <c r="C71" s="5504" t="s">
        <v>294</v>
      </c>
      <c r="D71" s="5442" t="s">
        <v>292</v>
      </c>
      <c r="E71" s="5480">
        <v>7.4999999999999997E-3</v>
      </c>
      <c r="F71" s="5444">
        <v>3.622509</v>
      </c>
      <c r="G71" s="5421">
        <f>96521.92/(1000000)</f>
        <v>9.6521919999999997E-2</v>
      </c>
      <c r="H71" s="5481">
        <f>349651.52389728/(1000000)</f>
        <v>0.34965152389727999</v>
      </c>
    </row>
    <row r="72" spans="2:8" ht="30" customHeight="1">
      <c r="B72" s="5508"/>
      <c r="C72" s="5504"/>
      <c r="D72" s="5442"/>
      <c r="E72" s="5480"/>
      <c r="F72" s="5444"/>
      <c r="G72" s="5421"/>
      <c r="H72" s="5481"/>
    </row>
    <row r="73" spans="2:8" ht="30" customHeight="1">
      <c r="B73" s="5508"/>
      <c r="C73" s="5504"/>
      <c r="D73" s="5442"/>
      <c r="E73" s="5480"/>
      <c r="F73" s="5444"/>
      <c r="G73" s="5421"/>
      <c r="H73" s="5481"/>
    </row>
    <row r="74" spans="2:8" ht="30" customHeight="1">
      <c r="B74" s="5509" t="s">
        <v>1764</v>
      </c>
      <c r="C74" s="5504" t="s">
        <v>625</v>
      </c>
      <c r="D74" s="5442" t="s">
        <v>288</v>
      </c>
      <c r="E74" s="5480">
        <v>2.5000000000000001E-2</v>
      </c>
      <c r="F74" s="5444">
        <v>2.7</v>
      </c>
      <c r="G74" s="5421">
        <f>624746.97/(1000000)</f>
        <v>0.62474697000000001</v>
      </c>
      <c r="H74" s="5481">
        <f>1686816.819/(1000000)</f>
        <v>1.6868168189999999</v>
      </c>
    </row>
    <row r="75" spans="2:8" ht="30" customHeight="1">
      <c r="B75" s="5508" t="s">
        <v>1765</v>
      </c>
      <c r="C75" s="5504"/>
      <c r="D75" s="5442" t="s">
        <v>288</v>
      </c>
      <c r="E75" s="5480">
        <v>4.9000000000000002E-2</v>
      </c>
      <c r="F75" s="5444">
        <v>2.7</v>
      </c>
      <c r="G75" s="5421">
        <f>295321.71/(1000000)</f>
        <v>0.29532171000000002</v>
      </c>
      <c r="H75" s="5481">
        <f>797368.617/(1000000)</f>
        <v>0.79736861699999995</v>
      </c>
    </row>
    <row r="76" spans="2:8" ht="30" customHeight="1">
      <c r="B76" s="5508"/>
      <c r="C76" s="5504"/>
      <c r="D76" s="5442"/>
      <c r="E76" s="5480"/>
      <c r="F76" s="5444"/>
      <c r="G76" s="5421"/>
      <c r="H76" s="5481"/>
    </row>
    <row r="77" spans="2:8" ht="30" customHeight="1">
      <c r="B77" s="5508" t="s">
        <v>1766</v>
      </c>
      <c r="C77" s="5504" t="s">
        <v>297</v>
      </c>
      <c r="D77" s="5442" t="s">
        <v>288</v>
      </c>
      <c r="E77" s="5480">
        <v>2.5000000000000001E-2</v>
      </c>
      <c r="F77" s="5444">
        <v>2.7</v>
      </c>
      <c r="G77" s="5421">
        <f>96223.26/(1000000)</f>
        <v>9.6223259999999991E-2</v>
      </c>
      <c r="H77" s="5481">
        <f>259802.802/(1000000)</f>
        <v>0.259802802</v>
      </c>
    </row>
    <row r="78" spans="2:8" ht="30" customHeight="1">
      <c r="B78" s="5509"/>
      <c r="C78" s="5504"/>
      <c r="D78" s="5442"/>
      <c r="E78" s="5480"/>
      <c r="F78" s="5444"/>
      <c r="G78" s="5421"/>
      <c r="H78" s="5481"/>
    </row>
    <row r="79" spans="2:8" ht="30" customHeight="1">
      <c r="B79" s="5508" t="s">
        <v>1767</v>
      </c>
      <c r="C79" s="5504" t="s">
        <v>298</v>
      </c>
      <c r="D79" s="5442" t="s">
        <v>288</v>
      </c>
      <c r="E79" s="5480">
        <v>0.02</v>
      </c>
      <c r="F79" s="5444">
        <v>2.7</v>
      </c>
      <c r="G79" s="5421">
        <f>1543514.31/(1000000)</f>
        <v>1.5435143099999999</v>
      </c>
      <c r="H79" s="5481">
        <f>4167488.637/(1000000)</f>
        <v>4.1674886369999999</v>
      </c>
    </row>
    <row r="80" spans="2:8" ht="30" customHeight="1">
      <c r="B80" s="5508"/>
      <c r="C80" s="5504"/>
      <c r="D80" s="5442"/>
      <c r="E80" s="5480"/>
      <c r="F80" s="5444"/>
      <c r="G80" s="5421"/>
      <c r="H80" s="5481"/>
    </row>
    <row r="81" spans="2:8" ht="30" customHeight="1">
      <c r="B81" s="5508" t="s">
        <v>1768</v>
      </c>
      <c r="C81" s="5504" t="s">
        <v>626</v>
      </c>
      <c r="D81" s="5442" t="s">
        <v>288</v>
      </c>
      <c r="E81" s="5480">
        <v>4.9000000000000002E-2</v>
      </c>
      <c r="F81" s="5444">
        <v>2.7</v>
      </c>
      <c r="G81" s="5421"/>
      <c r="H81" s="5481"/>
    </row>
    <row r="82" spans="2:8" ht="30" customHeight="1">
      <c r="B82" s="5510" t="s">
        <v>1769</v>
      </c>
      <c r="C82" s="5504" t="s">
        <v>626</v>
      </c>
      <c r="D82" s="5442" t="s">
        <v>288</v>
      </c>
      <c r="E82" s="5480">
        <v>0.02</v>
      </c>
      <c r="F82" s="5444">
        <v>2.7</v>
      </c>
      <c r="G82" s="5421">
        <f>629000/(1000000)</f>
        <v>0.629</v>
      </c>
      <c r="H82" s="5481">
        <f>1698300/(1000000)</f>
        <v>1.6982999999999999</v>
      </c>
    </row>
    <row r="83" spans="2:8" ht="30" customHeight="1">
      <c r="B83" s="5511" t="s">
        <v>1770</v>
      </c>
      <c r="C83" s="5504" t="s">
        <v>299</v>
      </c>
      <c r="D83" s="5442" t="s">
        <v>288</v>
      </c>
      <c r="E83" s="5480">
        <v>2.5000000000000001E-2</v>
      </c>
      <c r="F83" s="5444">
        <v>2.7</v>
      </c>
      <c r="G83" s="5421">
        <f>1105654.76/(1000000)</f>
        <v>1.10565476</v>
      </c>
      <c r="H83" s="5481">
        <f>2985267.852/(1000000)</f>
        <v>2.9852678519999998</v>
      </c>
    </row>
    <row r="84" spans="2:8" ht="30" customHeight="1">
      <c r="B84" s="5441"/>
      <c r="C84" s="5504"/>
      <c r="D84" s="5442"/>
      <c r="E84" s="5480"/>
      <c r="F84" s="5444"/>
      <c r="G84" s="5421"/>
      <c r="H84" s="5481"/>
    </row>
    <row r="85" spans="2:8" ht="30" customHeight="1">
      <c r="B85" s="5441" t="s">
        <v>1771</v>
      </c>
      <c r="C85" s="5504" t="s">
        <v>627</v>
      </c>
      <c r="D85" s="5442" t="s">
        <v>288</v>
      </c>
      <c r="E85" s="5480">
        <v>0.02</v>
      </c>
      <c r="F85" s="5444">
        <v>2.7</v>
      </c>
      <c r="G85" s="5421">
        <f>1280592.23/(1000000)</f>
        <v>1.2805922299999999</v>
      </c>
      <c r="H85" s="5481">
        <f>3457599.021/(1000000)</f>
        <v>3.4575990210000001</v>
      </c>
    </row>
    <row r="86" spans="2:8" ht="30" customHeight="1">
      <c r="B86" s="5441"/>
      <c r="C86" s="5504"/>
      <c r="D86" s="5442"/>
      <c r="E86" s="5480"/>
      <c r="F86" s="5444"/>
      <c r="G86" s="5421"/>
      <c r="H86" s="5481"/>
    </row>
    <row r="87" spans="2:8" ht="30" customHeight="1">
      <c r="B87" s="5441"/>
      <c r="C87" s="5504"/>
      <c r="D87" s="5442"/>
      <c r="E87" s="5480"/>
      <c r="F87" s="5444"/>
      <c r="G87" s="5421"/>
      <c r="H87" s="5481"/>
    </row>
    <row r="88" spans="2:8" ht="30" customHeight="1">
      <c r="B88" s="5441" t="s">
        <v>1772</v>
      </c>
      <c r="C88" s="5504" t="s">
        <v>300</v>
      </c>
      <c r="D88" s="5442" t="s">
        <v>288</v>
      </c>
      <c r="E88" s="5480">
        <v>5.5E-2</v>
      </c>
      <c r="F88" s="5444">
        <v>2.7</v>
      </c>
      <c r="G88" s="5421">
        <f t="shared" ref="G88:H88" si="3">0/(1000000)</f>
        <v>0</v>
      </c>
      <c r="H88" s="5481">
        <f t="shared" si="3"/>
        <v>0</v>
      </c>
    </row>
    <row r="89" spans="2:8" ht="30" customHeight="1">
      <c r="B89" s="5441" t="s">
        <v>1773</v>
      </c>
      <c r="C89" s="5504"/>
      <c r="D89" s="5442" t="s">
        <v>288</v>
      </c>
      <c r="E89" s="5480">
        <v>2.5000000000000001E-2</v>
      </c>
      <c r="F89" s="5444">
        <v>2.7</v>
      </c>
      <c r="G89" s="5421">
        <f>728141.92/(1000000)</f>
        <v>0.72814192</v>
      </c>
      <c r="H89" s="5481">
        <f>1965983.184/(1000000)</f>
        <v>1.9659831839999999</v>
      </c>
    </row>
    <row r="90" spans="2:8" ht="30" customHeight="1">
      <c r="B90" s="5441"/>
      <c r="C90" s="5504"/>
      <c r="D90" s="5442"/>
      <c r="E90" s="5480"/>
      <c r="F90" s="5444"/>
      <c r="G90" s="5421"/>
      <c r="H90" s="5481"/>
    </row>
    <row r="91" spans="2:8" ht="30" customHeight="1">
      <c r="B91" s="5441" t="s">
        <v>800</v>
      </c>
      <c r="C91" s="5504" t="s">
        <v>909</v>
      </c>
      <c r="D91" s="5442" t="s">
        <v>288</v>
      </c>
      <c r="E91" s="5480">
        <v>4.9000000000000002E-2</v>
      </c>
      <c r="F91" s="5444">
        <v>2.7</v>
      </c>
      <c r="G91" s="5421">
        <f t="shared" ref="G91:H92" si="4">0/(1000000)</f>
        <v>0</v>
      </c>
      <c r="H91" s="5481">
        <f t="shared" si="4"/>
        <v>0</v>
      </c>
    </row>
    <row r="92" spans="2:8" ht="30" customHeight="1">
      <c r="B92" s="5441" t="s">
        <v>1774</v>
      </c>
      <c r="C92" s="5504" t="s">
        <v>325</v>
      </c>
      <c r="D92" s="5442" t="s">
        <v>288</v>
      </c>
      <c r="E92" s="5480">
        <v>4.9000000000000002E-2</v>
      </c>
      <c r="F92" s="5444">
        <v>2.7</v>
      </c>
      <c r="G92" s="5421">
        <f t="shared" si="4"/>
        <v>0</v>
      </c>
      <c r="H92" s="5481">
        <f t="shared" si="4"/>
        <v>0</v>
      </c>
    </row>
    <row r="93" spans="2:8" ht="30" customHeight="1">
      <c r="B93" s="5441" t="s">
        <v>801</v>
      </c>
      <c r="C93" s="5504" t="s">
        <v>628</v>
      </c>
      <c r="D93" s="5442" t="s">
        <v>288</v>
      </c>
      <c r="E93" s="5480">
        <v>4.9000000000000002E-2</v>
      </c>
      <c r="F93" s="5444">
        <v>2.7</v>
      </c>
      <c r="G93" s="5421">
        <f>4612547.02/(1000000)</f>
        <v>4.6125470199999992</v>
      </c>
      <c r="H93" s="5481">
        <f>12453876.954/(1000000)</f>
        <v>12.453876954</v>
      </c>
    </row>
    <row r="94" spans="2:8" ht="33">
      <c r="B94" s="5441"/>
      <c r="C94" s="5504"/>
      <c r="D94" s="5442"/>
      <c r="E94" s="5480"/>
      <c r="F94" s="5444"/>
      <c r="G94" s="5421"/>
      <c r="H94" s="5481"/>
    </row>
    <row r="95" spans="2:8" ht="33">
      <c r="B95" s="5441" t="s">
        <v>802</v>
      </c>
      <c r="C95" s="5504" t="s">
        <v>629</v>
      </c>
      <c r="D95" s="5442" t="s">
        <v>288</v>
      </c>
      <c r="E95" s="5480">
        <v>4.9000000000000002E-2</v>
      </c>
      <c r="F95" s="5444">
        <v>2.7</v>
      </c>
      <c r="G95" s="5421">
        <f>212500/(1000000)</f>
        <v>0.21249999999999999</v>
      </c>
      <c r="H95" s="5481">
        <f>573750/(1000000)</f>
        <v>0.57374999999999998</v>
      </c>
    </row>
    <row r="96" spans="2:8" ht="33.4" thickBot="1">
      <c r="B96" s="5512" t="s">
        <v>1152</v>
      </c>
      <c r="C96" s="5513" t="s">
        <v>629</v>
      </c>
      <c r="D96" s="5514" t="s">
        <v>288</v>
      </c>
      <c r="E96" s="5515">
        <v>4.9000000000000002E-2</v>
      </c>
      <c r="F96" s="5516">
        <v>2.7</v>
      </c>
      <c r="G96" s="5517">
        <v>0</v>
      </c>
      <c r="H96" s="5518">
        <v>0</v>
      </c>
    </row>
    <row r="97" spans="7:7">
      <c r="G97" s="1869"/>
    </row>
  </sheetData>
  <mergeCells count="4">
    <mergeCell ref="B1:H1"/>
    <mergeCell ref="B2:H2"/>
    <mergeCell ref="B3:H3"/>
    <mergeCell ref="G4:H4"/>
  </mergeCells>
  <printOptions horizontalCentered="1" verticalCentered="1"/>
  <pageMargins left="0.25" right="0.25" top="0.75" bottom="0.75" header="0.3" footer="0.3"/>
  <pageSetup scale="21" firstPageNumber="103" orientation="portrait" useFirstPageNumber="1" r:id="rId1"/>
  <headerFooter scaleWithDoc="0" alignWithMargins="0">
    <oddFooter xml:space="preserve">&amp;C139
</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tabColor theme="9" tint="-0.499984740745262"/>
    <pageSetUpPr fitToPage="1"/>
  </sheetPr>
  <dimension ref="A1:I124"/>
  <sheetViews>
    <sheetView view="pageBreakPreview" zoomScale="40" zoomScaleNormal="68" zoomScaleSheetLayoutView="40" workbookViewId="0">
      <selection activeCell="B8" sqref="B8:H124"/>
    </sheetView>
  </sheetViews>
  <sheetFormatPr defaultColWidth="9.46484375" defaultRowHeight="30.75"/>
  <cols>
    <col min="1" max="1" width="9.46484375" style="2040"/>
    <col min="2" max="2" width="251.33203125" style="2040" customWidth="1"/>
    <col min="3" max="3" width="58" style="2040" bestFit="1" customWidth="1"/>
    <col min="4" max="4" width="32.6640625" style="4421" bestFit="1" customWidth="1"/>
    <col min="5" max="5" width="27" style="2049" customWidth="1"/>
    <col min="6" max="6" width="30.1328125" style="2050" customWidth="1"/>
    <col min="7" max="7" width="42.33203125" style="2051" bestFit="1" customWidth="1"/>
    <col min="8" max="8" width="34.796875" style="2051" customWidth="1"/>
    <col min="9" max="9" width="5" style="2040" customWidth="1"/>
    <col min="10" max="10" width="22.46484375" style="2040" customWidth="1"/>
    <col min="11" max="11" width="10.46484375" style="2040" bestFit="1" customWidth="1"/>
    <col min="12" max="12" width="22.46484375" style="2040" customWidth="1"/>
    <col min="13" max="13" width="19" style="2040" customWidth="1"/>
    <col min="14" max="16384" width="9.46484375" style="2040"/>
  </cols>
  <sheetData>
    <row r="1" spans="2:8">
      <c r="B1" s="5895" t="s">
        <v>1844</v>
      </c>
      <c r="C1" s="5895"/>
      <c r="D1" s="5895"/>
      <c r="E1" s="5895"/>
      <c r="F1" s="5895"/>
      <c r="G1" s="5895"/>
      <c r="H1" s="5895"/>
    </row>
    <row r="2" spans="2:8">
      <c r="B2" s="5895" t="s">
        <v>1073</v>
      </c>
      <c r="C2" s="5895"/>
      <c r="D2" s="5895"/>
      <c r="E2" s="5895"/>
      <c r="F2" s="5895"/>
      <c r="G2" s="5895"/>
      <c r="H2" s="5895"/>
    </row>
    <row r="3" spans="2:8" ht="31.15" thickBot="1">
      <c r="B3" s="5895" t="s">
        <v>1967</v>
      </c>
      <c r="C3" s="5895"/>
      <c r="D3" s="5895"/>
      <c r="E3" s="5895"/>
      <c r="F3" s="5895"/>
      <c r="G3" s="5895"/>
      <c r="H3" s="5895"/>
    </row>
    <row r="4" spans="2:8" ht="30" customHeight="1">
      <c r="B4" s="2041"/>
      <c r="C4" s="2687"/>
      <c r="D4" s="2687"/>
      <c r="E4" s="2688"/>
      <c r="F4" s="2689"/>
      <c r="G4" s="5902" t="s">
        <v>2333</v>
      </c>
      <c r="H4" s="5903"/>
    </row>
    <row r="5" spans="2:8">
      <c r="B5" s="2042"/>
      <c r="C5" s="2690"/>
      <c r="D5" s="2690"/>
      <c r="E5" s="2691" t="s">
        <v>275</v>
      </c>
      <c r="F5" s="2692" t="s">
        <v>276</v>
      </c>
      <c r="G5" s="2693" t="s">
        <v>277</v>
      </c>
      <c r="H5" s="4896" t="s">
        <v>278</v>
      </c>
    </row>
    <row r="6" spans="2:8" ht="31.15" thickBot="1">
      <c r="B6" s="2043"/>
      <c r="C6" s="2694" t="s">
        <v>279</v>
      </c>
      <c r="D6" s="2694" t="s">
        <v>280</v>
      </c>
      <c r="E6" s="2695" t="s">
        <v>281</v>
      </c>
      <c r="F6" s="2696" t="s">
        <v>281</v>
      </c>
      <c r="G6" s="2697" t="s">
        <v>280</v>
      </c>
      <c r="H6" s="4731" t="s">
        <v>282</v>
      </c>
    </row>
    <row r="7" spans="2:8" ht="42.5" customHeight="1">
      <c r="B7" s="2044"/>
      <c r="C7" s="2698"/>
      <c r="D7" s="2699"/>
      <c r="E7" s="2700"/>
      <c r="F7" s="2701"/>
      <c r="G7" s="4732"/>
      <c r="H7" s="2702"/>
    </row>
    <row r="8" spans="2:8" ht="24.5" customHeight="1">
      <c r="B8" s="5519" t="s">
        <v>2346</v>
      </c>
      <c r="C8" s="5520" t="s">
        <v>326</v>
      </c>
      <c r="D8" s="5521" t="s">
        <v>288</v>
      </c>
      <c r="E8" s="5522">
        <v>2.5000000000000001E-2</v>
      </c>
      <c r="F8" s="5523">
        <v>2.7</v>
      </c>
      <c r="G8" s="5524">
        <v>0.16874998999999999</v>
      </c>
      <c r="H8" s="5525">
        <v>0.45562497299999999</v>
      </c>
    </row>
    <row r="9" spans="2:8" ht="24.5" customHeight="1">
      <c r="B9" s="5519"/>
      <c r="C9" s="5520"/>
      <c r="D9" s="5521"/>
      <c r="E9" s="5522"/>
      <c r="F9" s="5523"/>
      <c r="G9" s="5524"/>
      <c r="H9" s="5525"/>
    </row>
    <row r="10" spans="2:8" ht="24.5" customHeight="1">
      <c r="B10" s="5519" t="s">
        <v>1775</v>
      </c>
      <c r="C10" s="5520" t="s">
        <v>327</v>
      </c>
      <c r="D10" s="5521" t="s">
        <v>288</v>
      </c>
      <c r="E10" s="5522">
        <v>2.5000000000000001E-2</v>
      </c>
      <c r="F10" s="5523">
        <v>2.7</v>
      </c>
      <c r="G10" s="5524">
        <v>5.5596619999999999E-2</v>
      </c>
      <c r="H10" s="5525">
        <v>0.15011087400000001</v>
      </c>
    </row>
    <row r="11" spans="2:8" ht="24.5" customHeight="1">
      <c r="B11" s="5519"/>
      <c r="C11" s="5520"/>
      <c r="D11" s="5521"/>
      <c r="E11" s="5522"/>
      <c r="F11" s="5523"/>
      <c r="G11" s="5524"/>
      <c r="H11" s="5525"/>
    </row>
    <row r="12" spans="2:8" ht="24.5" customHeight="1">
      <c r="B12" s="5519" t="s">
        <v>1776</v>
      </c>
      <c r="C12" s="5520" t="s">
        <v>328</v>
      </c>
      <c r="D12" s="5521" t="s">
        <v>288</v>
      </c>
      <c r="E12" s="5522">
        <v>3.5000000000000003E-2</v>
      </c>
      <c r="F12" s="5523">
        <v>2.7</v>
      </c>
      <c r="G12" s="5524">
        <v>0.67373574000000003</v>
      </c>
      <c r="H12" s="5525">
        <v>1.8190864980000001</v>
      </c>
    </row>
    <row r="13" spans="2:8" ht="24.5" customHeight="1">
      <c r="B13" s="5519" t="s">
        <v>2344</v>
      </c>
      <c r="C13" s="5520" t="s">
        <v>328</v>
      </c>
      <c r="D13" s="5521" t="s">
        <v>288</v>
      </c>
      <c r="E13" s="5522">
        <v>3.5000000000000003E-2</v>
      </c>
      <c r="F13" s="5523">
        <v>2.7</v>
      </c>
      <c r="G13" s="5524">
        <v>1.3890874499999999</v>
      </c>
      <c r="H13" s="5525">
        <v>3.7505361150000001</v>
      </c>
    </row>
    <row r="14" spans="2:8" ht="24.5" customHeight="1">
      <c r="B14" s="5519" t="s">
        <v>2345</v>
      </c>
      <c r="C14" s="5520" t="s">
        <v>328</v>
      </c>
      <c r="D14" s="5521" t="s">
        <v>288</v>
      </c>
      <c r="E14" s="5522">
        <v>4.9000000000000002E-2</v>
      </c>
      <c r="F14" s="5523">
        <v>2.7</v>
      </c>
      <c r="G14" s="5524">
        <v>0.18258544000000002</v>
      </c>
      <c r="H14" s="5525">
        <v>0.492980688</v>
      </c>
    </row>
    <row r="15" spans="2:8" ht="24.5" customHeight="1">
      <c r="B15" s="5519" t="s">
        <v>2343</v>
      </c>
      <c r="C15" s="5520" t="s">
        <v>328</v>
      </c>
      <c r="D15" s="5521" t="s">
        <v>288</v>
      </c>
      <c r="E15" s="5522">
        <v>2.5000000000000001E-2</v>
      </c>
      <c r="F15" s="5523">
        <v>2.7</v>
      </c>
      <c r="G15" s="5524">
        <v>0.88508445999999996</v>
      </c>
      <c r="H15" s="5525">
        <v>2.3897280419999998</v>
      </c>
    </row>
    <row r="16" spans="2:8" ht="24.5" customHeight="1">
      <c r="B16" s="5519"/>
      <c r="C16" s="5520"/>
      <c r="D16" s="5521"/>
      <c r="E16" s="5522"/>
      <c r="F16" s="5523"/>
      <c r="G16" s="5524"/>
      <c r="H16" s="5525"/>
    </row>
    <row r="17" spans="2:9" ht="24.5" customHeight="1">
      <c r="B17" s="5519"/>
      <c r="C17" s="5520"/>
      <c r="D17" s="5521"/>
      <c r="E17" s="5522"/>
      <c r="F17" s="5523"/>
      <c r="G17" s="5524"/>
      <c r="H17" s="5525"/>
    </row>
    <row r="18" spans="2:9" ht="24.5" customHeight="1">
      <c r="B18" s="5519" t="s">
        <v>1777</v>
      </c>
      <c r="C18" s="5520" t="s">
        <v>630</v>
      </c>
      <c r="D18" s="5521" t="s">
        <v>288</v>
      </c>
      <c r="E18" s="5522">
        <v>2.5000000000000001E-2</v>
      </c>
      <c r="F18" s="5523">
        <v>2.7</v>
      </c>
      <c r="G18" s="5524">
        <v>0.51557903999999999</v>
      </c>
      <c r="H18" s="5525">
        <v>1.3920634080000001</v>
      </c>
    </row>
    <row r="19" spans="2:9" ht="24.5" customHeight="1">
      <c r="B19" s="5519" t="s">
        <v>2337</v>
      </c>
      <c r="C19" s="5520"/>
      <c r="D19" s="5521" t="s">
        <v>288</v>
      </c>
      <c r="E19" s="5522">
        <v>4.9000000000000002E-2</v>
      </c>
      <c r="F19" s="5523">
        <v>2.7</v>
      </c>
      <c r="G19" s="5524">
        <v>0</v>
      </c>
      <c r="H19" s="5525">
        <v>0</v>
      </c>
    </row>
    <row r="20" spans="2:9" ht="24.5" customHeight="1">
      <c r="B20" s="5519" t="s">
        <v>2338</v>
      </c>
      <c r="C20" s="5520" t="s">
        <v>631</v>
      </c>
      <c r="D20" s="5521" t="s">
        <v>288</v>
      </c>
      <c r="E20" s="5522">
        <v>4.9000000000000002E-2</v>
      </c>
      <c r="F20" s="5523">
        <v>2.7</v>
      </c>
      <c r="G20" s="5524">
        <v>0</v>
      </c>
      <c r="H20" s="5525">
        <v>0</v>
      </c>
    </row>
    <row r="21" spans="2:9" ht="24.5" customHeight="1">
      <c r="B21" s="5519" t="s">
        <v>2339</v>
      </c>
      <c r="C21" s="5520"/>
      <c r="D21" s="5521" t="s">
        <v>288</v>
      </c>
      <c r="E21" s="5522">
        <v>2.5000000000000001E-2</v>
      </c>
      <c r="F21" s="5523">
        <v>2.7</v>
      </c>
      <c r="G21" s="5524">
        <v>1.16776E-2</v>
      </c>
      <c r="H21" s="5525">
        <v>3.1529520000000005E-2</v>
      </c>
    </row>
    <row r="22" spans="2:9" ht="24.5" customHeight="1">
      <c r="B22" s="5519"/>
      <c r="C22" s="5520"/>
      <c r="D22" s="5521"/>
      <c r="E22" s="5522"/>
      <c r="F22" s="5523"/>
      <c r="G22" s="5524"/>
      <c r="H22" s="5525"/>
      <c r="I22" s="2045"/>
    </row>
    <row r="23" spans="2:9" ht="24.5" customHeight="1">
      <c r="B23" s="5519"/>
      <c r="C23" s="5520"/>
      <c r="D23" s="5521"/>
      <c r="E23" s="5522"/>
      <c r="F23" s="5523"/>
      <c r="G23" s="5524"/>
      <c r="H23" s="5525"/>
    </row>
    <row r="24" spans="2:9" ht="25.5" customHeight="1">
      <c r="B24" s="5519" t="s">
        <v>2341</v>
      </c>
      <c r="C24" s="5520" t="s">
        <v>632</v>
      </c>
      <c r="D24" s="5521" t="s">
        <v>288</v>
      </c>
      <c r="E24" s="5522">
        <v>4.9000000000000002E-2</v>
      </c>
      <c r="F24" s="5523">
        <v>2.7</v>
      </c>
      <c r="G24" s="5524">
        <v>9.6745869999999998E-2</v>
      </c>
      <c r="H24" s="5525">
        <v>0.261213849</v>
      </c>
    </row>
    <row r="25" spans="2:9" s="2047" customFormat="1" ht="25.5" customHeight="1">
      <c r="B25" s="5519" t="s">
        <v>2340</v>
      </c>
      <c r="C25" s="5520" t="s">
        <v>632</v>
      </c>
      <c r="D25" s="5521" t="s">
        <v>288</v>
      </c>
      <c r="E25" s="5522">
        <v>2.5000000000000001E-2</v>
      </c>
      <c r="F25" s="5523">
        <v>2.7</v>
      </c>
      <c r="G25" s="5524">
        <v>0.13014581</v>
      </c>
      <c r="H25" s="5525">
        <v>0.35139368700000001</v>
      </c>
    </row>
    <row r="26" spans="2:9" ht="32" customHeight="1">
      <c r="B26" s="5519" t="s">
        <v>2342</v>
      </c>
      <c r="C26" s="5520" t="s">
        <v>633</v>
      </c>
      <c r="D26" s="5521" t="s">
        <v>288</v>
      </c>
      <c r="E26" s="5522">
        <v>2.5000000000000001E-2</v>
      </c>
      <c r="F26" s="5523">
        <v>2.7</v>
      </c>
      <c r="G26" s="5524">
        <v>4.19449E-2</v>
      </c>
      <c r="H26" s="5525">
        <v>0.11325123000000001</v>
      </c>
    </row>
    <row r="27" spans="2:9" ht="20" customHeight="1">
      <c r="B27" s="5519"/>
      <c r="C27" s="5520"/>
      <c r="D27" s="5521"/>
      <c r="E27" s="5522"/>
      <c r="F27" s="5523"/>
      <c r="G27" s="5524"/>
      <c r="H27" s="5525"/>
    </row>
    <row r="28" spans="2:9" ht="14" customHeight="1">
      <c r="B28" s="5519"/>
      <c r="C28" s="5520"/>
      <c r="D28" s="5521"/>
      <c r="E28" s="5522"/>
      <c r="F28" s="5523"/>
      <c r="G28" s="5524"/>
      <c r="H28" s="5525"/>
    </row>
    <row r="29" spans="2:9" s="2047" customFormat="1" ht="31.9">
      <c r="B29" s="5519" t="s">
        <v>2336</v>
      </c>
      <c r="C29" s="5520" t="s">
        <v>537</v>
      </c>
      <c r="D29" s="5521" t="s">
        <v>288</v>
      </c>
      <c r="E29" s="5522">
        <v>4.9000000000000002E-2</v>
      </c>
      <c r="F29" s="5523">
        <v>2.7</v>
      </c>
      <c r="G29" s="5524">
        <v>0.70757094999999992</v>
      </c>
      <c r="H29" s="5525">
        <v>1.910441565</v>
      </c>
    </row>
    <row r="30" spans="2:9" s="2047" customFormat="1" ht="31.9">
      <c r="B30" s="5519" t="s">
        <v>2335</v>
      </c>
      <c r="C30" s="5520" t="s">
        <v>537</v>
      </c>
      <c r="D30" s="5521" t="s">
        <v>288</v>
      </c>
      <c r="E30" s="5522">
        <v>2.5000000000000001E-2</v>
      </c>
      <c r="F30" s="5523">
        <v>2.7</v>
      </c>
      <c r="G30" s="5524">
        <v>0.11188985999999999</v>
      </c>
      <c r="H30" s="5525">
        <v>0.30210262200000004</v>
      </c>
    </row>
    <row r="31" spans="2:9" ht="28.25" customHeight="1">
      <c r="B31" s="5519" t="s">
        <v>803</v>
      </c>
      <c r="C31" s="5520" t="s">
        <v>537</v>
      </c>
      <c r="D31" s="5521" t="s">
        <v>288</v>
      </c>
      <c r="E31" s="5522">
        <v>2.5000000000000001E-2</v>
      </c>
      <c r="F31" s="5523">
        <v>2.7</v>
      </c>
      <c r="G31" s="5524">
        <v>0.75338308999999992</v>
      </c>
      <c r="H31" s="5525">
        <v>2.0341343430000003</v>
      </c>
    </row>
    <row r="32" spans="2:9" ht="28.25" customHeight="1">
      <c r="B32" s="5519"/>
      <c r="C32" s="5520"/>
      <c r="D32" s="5521"/>
      <c r="E32" s="5522"/>
      <c r="F32" s="5523"/>
      <c r="G32" s="5524"/>
      <c r="H32" s="5525"/>
    </row>
    <row r="33" spans="2:8" ht="28.25" customHeight="1">
      <c r="B33" s="5519" t="s">
        <v>1778</v>
      </c>
      <c r="C33" s="5520" t="s">
        <v>634</v>
      </c>
      <c r="D33" s="5521" t="s">
        <v>288</v>
      </c>
      <c r="E33" s="5522">
        <v>4.9000000000000002E-2</v>
      </c>
      <c r="F33" s="5523">
        <v>2.7</v>
      </c>
      <c r="G33" s="5524">
        <v>6.6</v>
      </c>
      <c r="H33" s="5525">
        <v>17.82</v>
      </c>
    </row>
    <row r="34" spans="2:8" ht="28.25" customHeight="1">
      <c r="B34" s="5519" t="s">
        <v>804</v>
      </c>
      <c r="C34" s="5520" t="s">
        <v>431</v>
      </c>
      <c r="D34" s="5521" t="s">
        <v>288</v>
      </c>
      <c r="E34" s="5522">
        <v>2.5000000000000001E-2</v>
      </c>
      <c r="F34" s="5523">
        <v>2.7</v>
      </c>
      <c r="G34" s="5524">
        <v>4.2</v>
      </c>
      <c r="H34" s="5525">
        <v>11.34</v>
      </c>
    </row>
    <row r="35" spans="2:8" ht="28.25" customHeight="1">
      <c r="B35" s="5519" t="s">
        <v>805</v>
      </c>
      <c r="C35" s="5520" t="s">
        <v>432</v>
      </c>
      <c r="D35" s="5521" t="s">
        <v>288</v>
      </c>
      <c r="E35" s="5522">
        <v>2.5000000000000001E-2</v>
      </c>
      <c r="F35" s="5523">
        <v>2.7</v>
      </c>
      <c r="G35" s="5524">
        <v>2.1</v>
      </c>
      <c r="H35" s="5525">
        <v>5.67</v>
      </c>
    </row>
    <row r="36" spans="2:8" ht="28.25" customHeight="1">
      <c r="B36" s="5519" t="s">
        <v>1779</v>
      </c>
      <c r="C36" s="5520" t="s">
        <v>467</v>
      </c>
      <c r="D36" s="5521" t="s">
        <v>288</v>
      </c>
      <c r="E36" s="5522">
        <v>4.9000000000000002E-2</v>
      </c>
      <c r="F36" s="5523">
        <v>2.7</v>
      </c>
      <c r="G36" s="5524">
        <v>3.59134259</v>
      </c>
      <c r="H36" s="5525">
        <v>9.6966249930000004</v>
      </c>
    </row>
    <row r="37" spans="2:8" ht="28.25" customHeight="1">
      <c r="B37" s="5519" t="s">
        <v>806</v>
      </c>
      <c r="C37" s="5520" t="s">
        <v>468</v>
      </c>
      <c r="D37" s="5521" t="s">
        <v>288</v>
      </c>
      <c r="E37" s="5522">
        <v>2.5000000000000001E-2</v>
      </c>
      <c r="F37" s="5523">
        <v>2.7</v>
      </c>
      <c r="G37" s="5524">
        <v>3.4959815600000002</v>
      </c>
      <c r="H37" s="5525">
        <v>9.4391502120000013</v>
      </c>
    </row>
    <row r="38" spans="2:8" ht="28.25" customHeight="1">
      <c r="B38" s="5519"/>
      <c r="C38" s="5520"/>
      <c r="D38" s="5521"/>
      <c r="E38" s="5522"/>
      <c r="F38" s="5523"/>
      <c r="G38" s="5524"/>
      <c r="H38" s="5525"/>
    </row>
    <row r="39" spans="2:8" ht="28.25" customHeight="1">
      <c r="B39" s="5519" t="s">
        <v>1780</v>
      </c>
      <c r="C39" s="5520" t="s">
        <v>433</v>
      </c>
      <c r="D39" s="5521" t="s">
        <v>288</v>
      </c>
      <c r="E39" s="5522">
        <v>2.5000000000000001E-2</v>
      </c>
      <c r="F39" s="5523">
        <v>2.7</v>
      </c>
      <c r="G39" s="5524">
        <v>9.8193640900000005</v>
      </c>
      <c r="H39" s="5525">
        <v>26.512283043</v>
      </c>
    </row>
    <row r="40" spans="2:8" ht="28.25" customHeight="1">
      <c r="B40" s="5519"/>
      <c r="C40" s="5520"/>
      <c r="D40" s="5521"/>
      <c r="E40" s="5522"/>
      <c r="F40" s="5523"/>
      <c r="G40" s="5524"/>
      <c r="H40" s="5525"/>
    </row>
    <row r="41" spans="2:8" ht="28.25" customHeight="1">
      <c r="B41" s="5519" t="s">
        <v>1781</v>
      </c>
      <c r="C41" s="5520" t="s">
        <v>469</v>
      </c>
      <c r="D41" s="5521" t="s">
        <v>288</v>
      </c>
      <c r="E41" s="5522">
        <v>2.5000000000000001E-2</v>
      </c>
      <c r="F41" s="5523">
        <v>2.7</v>
      </c>
      <c r="G41" s="5524">
        <v>6.8264670299999999</v>
      </c>
      <c r="H41" s="5525">
        <v>18.431460981000001</v>
      </c>
    </row>
    <row r="42" spans="2:8" ht="28.25" customHeight="1">
      <c r="B42" s="5519" t="s">
        <v>1782</v>
      </c>
      <c r="C42" s="5520" t="s">
        <v>469</v>
      </c>
      <c r="D42" s="5521" t="s">
        <v>288</v>
      </c>
      <c r="E42" s="5522">
        <v>4.9000000000000002E-2</v>
      </c>
      <c r="F42" s="5523">
        <v>2.7</v>
      </c>
      <c r="G42" s="5524">
        <v>2.8270070600000001</v>
      </c>
      <c r="H42" s="5525">
        <v>7.6329190620000009</v>
      </c>
    </row>
    <row r="43" spans="2:8" ht="28.25" customHeight="1">
      <c r="B43" s="5519" t="s">
        <v>1783</v>
      </c>
      <c r="C43" s="5520" t="s">
        <v>582</v>
      </c>
      <c r="D43" s="5521" t="s">
        <v>288</v>
      </c>
      <c r="E43" s="5522">
        <v>2.5000000000000001E-2</v>
      </c>
      <c r="F43" s="5523">
        <v>2.7</v>
      </c>
      <c r="G43" s="5524">
        <v>0.75548146999999999</v>
      </c>
      <c r="H43" s="5525">
        <v>2.0397999690000002</v>
      </c>
    </row>
    <row r="44" spans="2:8" ht="28.25" customHeight="1">
      <c r="B44" s="5519"/>
      <c r="C44" s="5520"/>
      <c r="D44" s="5521"/>
      <c r="E44" s="5522"/>
      <c r="F44" s="5523"/>
      <c r="G44" s="5524"/>
      <c r="H44" s="5525"/>
    </row>
    <row r="45" spans="2:8" ht="28.25" customHeight="1">
      <c r="B45" s="5519" t="s">
        <v>1784</v>
      </c>
      <c r="C45" s="5521" t="s">
        <v>635</v>
      </c>
      <c r="D45" s="5521" t="s">
        <v>288</v>
      </c>
      <c r="E45" s="5522">
        <v>2.5000000000000001E-2</v>
      </c>
      <c r="F45" s="5523">
        <v>2.7</v>
      </c>
      <c r="G45" s="5524">
        <v>3.9949097099999999</v>
      </c>
      <c r="H45" s="5525">
        <v>10.786256217</v>
      </c>
    </row>
    <row r="46" spans="2:8" ht="28.25" customHeight="1">
      <c r="B46" s="5519"/>
      <c r="C46" s="5521"/>
      <c r="D46" s="5521"/>
      <c r="E46" s="5522"/>
      <c r="F46" s="5523"/>
      <c r="G46" s="5524"/>
      <c r="H46" s="5525"/>
    </row>
    <row r="47" spans="2:8" ht="28.25" customHeight="1">
      <c r="B47" s="5519" t="s">
        <v>1785</v>
      </c>
      <c r="C47" s="5520" t="s">
        <v>583</v>
      </c>
      <c r="D47" s="5521" t="s">
        <v>288</v>
      </c>
      <c r="E47" s="5522">
        <v>2.5000000000000001E-2</v>
      </c>
      <c r="F47" s="5523">
        <v>2.7</v>
      </c>
      <c r="G47" s="5524">
        <v>4.6875E-2</v>
      </c>
      <c r="H47" s="5525">
        <v>0.12656250000000002</v>
      </c>
    </row>
    <row r="48" spans="2:8" ht="28.25" customHeight="1">
      <c r="B48" s="5519"/>
      <c r="C48" s="5520"/>
      <c r="D48" s="5521"/>
      <c r="E48" s="5522"/>
      <c r="F48" s="5523"/>
      <c r="G48" s="5524"/>
      <c r="H48" s="5525"/>
    </row>
    <row r="49" spans="2:8" ht="28.25" customHeight="1">
      <c r="B49" s="5519" t="s">
        <v>1786</v>
      </c>
      <c r="C49" s="5520" t="s">
        <v>807</v>
      </c>
      <c r="D49" s="5521" t="s">
        <v>288</v>
      </c>
      <c r="E49" s="5522">
        <v>2.5000000000000001E-2</v>
      </c>
      <c r="F49" s="5523">
        <v>2.7</v>
      </c>
      <c r="G49" s="5524">
        <v>0.51143583000000004</v>
      </c>
      <c r="H49" s="5525">
        <v>1.3808767410000002</v>
      </c>
    </row>
    <row r="50" spans="2:8" ht="28.25" customHeight="1">
      <c r="B50" s="5519"/>
      <c r="C50" s="5520"/>
      <c r="D50" s="5521"/>
      <c r="E50" s="5522"/>
      <c r="F50" s="5523"/>
      <c r="G50" s="5524"/>
      <c r="H50" s="5525"/>
    </row>
    <row r="51" spans="2:8" ht="28.25" customHeight="1">
      <c r="B51" s="5519" t="s">
        <v>1787</v>
      </c>
      <c r="C51" s="5520" t="s">
        <v>808</v>
      </c>
      <c r="D51" s="5521" t="s">
        <v>288</v>
      </c>
      <c r="E51" s="5522">
        <v>2.5000000000000001E-2</v>
      </c>
      <c r="F51" s="5523">
        <v>2.7</v>
      </c>
      <c r="G51" s="5524">
        <v>0.421875</v>
      </c>
      <c r="H51" s="5525">
        <v>1.1390625000000001</v>
      </c>
    </row>
    <row r="52" spans="2:8" ht="28.25" customHeight="1">
      <c r="B52" s="5519"/>
      <c r="C52" s="5520"/>
      <c r="D52" s="5521"/>
      <c r="E52" s="5522"/>
      <c r="F52" s="5523"/>
      <c r="G52" s="5524"/>
      <c r="H52" s="5525"/>
    </row>
    <row r="53" spans="2:8" ht="28.25" customHeight="1">
      <c r="B53" s="5519" t="s">
        <v>1788</v>
      </c>
      <c r="C53" s="5520" t="s">
        <v>636</v>
      </c>
      <c r="D53" s="5521" t="s">
        <v>288</v>
      </c>
      <c r="E53" s="5522">
        <v>4.9000000000000002E-2</v>
      </c>
      <c r="F53" s="5523">
        <v>2.7</v>
      </c>
      <c r="G53" s="5524">
        <v>1.3218162</v>
      </c>
      <c r="H53" s="5525">
        <v>3.5689037400000001</v>
      </c>
    </row>
    <row r="54" spans="2:8" ht="28.25" customHeight="1">
      <c r="B54" s="5526" t="s">
        <v>809</v>
      </c>
      <c r="C54" s="5520" t="s">
        <v>636</v>
      </c>
      <c r="D54" s="5521" t="s">
        <v>288</v>
      </c>
      <c r="E54" s="5522">
        <v>4.9000000000000002E-2</v>
      </c>
      <c r="F54" s="5523">
        <v>2.7</v>
      </c>
      <c r="G54" s="5524">
        <v>1.5534208899999999</v>
      </c>
      <c r="H54" s="5525">
        <v>4.1942364029999997</v>
      </c>
    </row>
    <row r="55" spans="2:8" ht="28.25" customHeight="1">
      <c r="B55" s="5519" t="s">
        <v>810</v>
      </c>
      <c r="C55" s="5520" t="s">
        <v>636</v>
      </c>
      <c r="D55" s="5521" t="s">
        <v>288</v>
      </c>
      <c r="E55" s="5522">
        <v>2.5000000000000001E-2</v>
      </c>
      <c r="F55" s="5523">
        <v>2.7</v>
      </c>
      <c r="G55" s="5524">
        <v>5.2021970800000004</v>
      </c>
      <c r="H55" s="5525">
        <v>14.045932116000001</v>
      </c>
    </row>
    <row r="56" spans="2:8" ht="28.25" customHeight="1">
      <c r="B56" s="5519" t="s">
        <v>811</v>
      </c>
      <c r="C56" s="5520" t="s">
        <v>636</v>
      </c>
      <c r="D56" s="5521" t="s">
        <v>288</v>
      </c>
      <c r="E56" s="5522">
        <v>4.9000000000000002E-2</v>
      </c>
      <c r="F56" s="5523">
        <v>2.7</v>
      </c>
      <c r="G56" s="5524">
        <v>7.7340144000000004</v>
      </c>
      <c r="H56" s="5525">
        <v>20.881838880000004</v>
      </c>
    </row>
    <row r="57" spans="2:8" ht="28.25" customHeight="1">
      <c r="B57" s="5527"/>
      <c r="C57" s="5520"/>
      <c r="D57" s="5528"/>
      <c r="E57" s="5529"/>
      <c r="F57" s="5530"/>
      <c r="G57" s="5524"/>
      <c r="H57" s="5525"/>
    </row>
    <row r="58" spans="2:8" ht="28.25" customHeight="1">
      <c r="B58" s="5519" t="s">
        <v>1789</v>
      </c>
      <c r="C58" s="5520"/>
      <c r="D58" s="5521"/>
      <c r="E58" s="5522"/>
      <c r="F58" s="5523"/>
      <c r="G58" s="5524"/>
      <c r="H58" s="5525"/>
    </row>
    <row r="59" spans="2:8" ht="28.25" customHeight="1">
      <c r="B59" s="5519" t="s">
        <v>1790</v>
      </c>
      <c r="C59" s="5520" t="s">
        <v>1153</v>
      </c>
      <c r="D59" s="5521" t="s">
        <v>288</v>
      </c>
      <c r="E59" s="5522">
        <v>4.9000000000000002E-2</v>
      </c>
      <c r="F59" s="5523">
        <v>2.7</v>
      </c>
      <c r="G59" s="5524">
        <v>3.43532663</v>
      </c>
      <c r="H59" s="5525">
        <v>9.2753819010000012</v>
      </c>
    </row>
    <row r="60" spans="2:8" ht="28.25" customHeight="1">
      <c r="B60" s="5519" t="s">
        <v>1791</v>
      </c>
      <c r="C60" s="5531" t="s">
        <v>1153</v>
      </c>
      <c r="D60" s="5521" t="s">
        <v>288</v>
      </c>
      <c r="E60" s="5522">
        <v>4.9000000000000002E-2</v>
      </c>
      <c r="F60" s="5523">
        <v>2.7</v>
      </c>
      <c r="G60" s="5524">
        <v>2.6856251600000003</v>
      </c>
      <c r="H60" s="5525">
        <v>7.2511879320000006</v>
      </c>
    </row>
    <row r="61" spans="2:8" ht="28.25" customHeight="1">
      <c r="B61" s="5519"/>
      <c r="C61" s="5521"/>
      <c r="D61" s="5521"/>
      <c r="E61" s="5522"/>
      <c r="F61" s="5523"/>
      <c r="G61" s="5524"/>
      <c r="H61" s="5525"/>
    </row>
    <row r="62" spans="2:8" ht="28.25" customHeight="1">
      <c r="B62" s="5519" t="s">
        <v>1792</v>
      </c>
      <c r="C62" s="5520" t="s">
        <v>757</v>
      </c>
      <c r="D62" s="5521" t="s">
        <v>288</v>
      </c>
      <c r="E62" s="5522">
        <v>4.9000000000000002E-2</v>
      </c>
      <c r="F62" s="5523">
        <v>2.7</v>
      </c>
      <c r="G62" s="5524">
        <v>1.98205842</v>
      </c>
      <c r="H62" s="5525">
        <v>5.351557734</v>
      </c>
    </row>
    <row r="63" spans="2:8" ht="28.25" customHeight="1">
      <c r="B63" s="5519" t="s">
        <v>809</v>
      </c>
      <c r="C63" s="5520" t="s">
        <v>757</v>
      </c>
      <c r="D63" s="5521" t="s">
        <v>288</v>
      </c>
      <c r="E63" s="5522">
        <v>2.5000000000000001E-2</v>
      </c>
      <c r="F63" s="5523">
        <v>2.7</v>
      </c>
      <c r="G63" s="5524">
        <v>3.3148020299999996</v>
      </c>
      <c r="H63" s="5525">
        <v>8.9499654810000013</v>
      </c>
    </row>
    <row r="64" spans="2:8" ht="28.25" customHeight="1">
      <c r="B64" s="5519" t="s">
        <v>810</v>
      </c>
      <c r="C64" s="5520" t="s">
        <v>757</v>
      </c>
      <c r="D64" s="5521" t="s">
        <v>288</v>
      </c>
      <c r="E64" s="5522">
        <v>4.9000000000000002E-2</v>
      </c>
      <c r="F64" s="5523">
        <v>2.7</v>
      </c>
      <c r="G64" s="5524">
        <v>4.5833333200000004</v>
      </c>
      <c r="H64" s="5525">
        <v>12.374999964000002</v>
      </c>
    </row>
    <row r="65" spans="2:8" ht="28.25" customHeight="1">
      <c r="B65" s="5519"/>
      <c r="C65" s="5520"/>
      <c r="D65" s="5521"/>
      <c r="E65" s="5522"/>
      <c r="F65" s="5523"/>
      <c r="G65" s="5524"/>
      <c r="H65" s="5525"/>
    </row>
    <row r="66" spans="2:8" ht="28.25" customHeight="1">
      <c r="B66" s="5519" t="s">
        <v>1793</v>
      </c>
      <c r="C66" s="5520" t="s">
        <v>758</v>
      </c>
      <c r="D66" s="5521" t="s">
        <v>288</v>
      </c>
      <c r="E66" s="5522">
        <v>4.9000000000000002E-2</v>
      </c>
      <c r="F66" s="5523">
        <v>2.7</v>
      </c>
      <c r="G66" s="5524">
        <v>7.8107151900000007</v>
      </c>
      <c r="H66" s="5525">
        <v>21.088931013000003</v>
      </c>
    </row>
    <row r="67" spans="2:8" ht="28.25" customHeight="1">
      <c r="B67" s="5519" t="s">
        <v>1794</v>
      </c>
      <c r="C67" s="5520" t="s">
        <v>758</v>
      </c>
      <c r="D67" s="5521" t="s">
        <v>288</v>
      </c>
      <c r="E67" s="5522">
        <v>2.5000000000000001E-2</v>
      </c>
      <c r="F67" s="5523">
        <v>2.7</v>
      </c>
      <c r="G67" s="5524">
        <v>5.5142945399999999</v>
      </c>
      <c r="H67" s="5525">
        <v>14.888595258</v>
      </c>
    </row>
    <row r="68" spans="2:8" ht="28.25" customHeight="1">
      <c r="B68" s="5532"/>
      <c r="C68" s="5520"/>
      <c r="D68" s="5521"/>
      <c r="E68" s="5522"/>
      <c r="F68" s="5523"/>
      <c r="G68" s="5524"/>
      <c r="H68" s="5525"/>
    </row>
    <row r="69" spans="2:8" ht="28.25" customHeight="1">
      <c r="B69" s="5532" t="s">
        <v>1795</v>
      </c>
      <c r="C69" s="5520" t="s">
        <v>812</v>
      </c>
      <c r="D69" s="5521" t="s">
        <v>288</v>
      </c>
      <c r="E69" s="5522">
        <v>0.01</v>
      </c>
      <c r="F69" s="5523">
        <v>2.7</v>
      </c>
      <c r="G69" s="5524">
        <v>1.54985726</v>
      </c>
      <c r="H69" s="5525">
        <v>4.1846146020000008</v>
      </c>
    </row>
    <row r="70" spans="2:8" ht="28.25" customHeight="1">
      <c r="B70" s="5532" t="s">
        <v>1796</v>
      </c>
      <c r="C70" s="5520" t="s">
        <v>812</v>
      </c>
      <c r="D70" s="5521" t="s">
        <v>288</v>
      </c>
      <c r="E70" s="5522">
        <v>4.9000000000000002E-2</v>
      </c>
      <c r="F70" s="5523">
        <v>2.7</v>
      </c>
      <c r="G70" s="5524">
        <v>1.54985726</v>
      </c>
      <c r="H70" s="5525">
        <v>4.1846146020000008</v>
      </c>
    </row>
    <row r="71" spans="2:8" ht="28.25" customHeight="1">
      <c r="B71" s="5532"/>
      <c r="C71" s="5520"/>
      <c r="D71" s="5521"/>
      <c r="E71" s="5522"/>
      <c r="F71" s="5523"/>
      <c r="G71" s="5524"/>
      <c r="H71" s="5525"/>
    </row>
    <row r="72" spans="2:8" ht="28.25" customHeight="1">
      <c r="B72" s="5532" t="s">
        <v>1797</v>
      </c>
      <c r="C72" s="5520" t="s">
        <v>910</v>
      </c>
      <c r="D72" s="5521" t="s">
        <v>288</v>
      </c>
      <c r="E72" s="5522">
        <v>0.01</v>
      </c>
      <c r="F72" s="5523">
        <v>2.7</v>
      </c>
      <c r="G72" s="5524">
        <v>10.8</v>
      </c>
      <c r="H72" s="5525">
        <v>29.160000000000004</v>
      </c>
    </row>
    <row r="73" spans="2:8" ht="28.25" customHeight="1">
      <c r="B73" s="5532" t="s">
        <v>1797</v>
      </c>
      <c r="C73" s="5520" t="s">
        <v>910</v>
      </c>
      <c r="D73" s="5521" t="s">
        <v>288</v>
      </c>
      <c r="E73" s="5522">
        <v>4.9000000000000002E-2</v>
      </c>
      <c r="F73" s="5523">
        <v>2.7</v>
      </c>
      <c r="G73" s="5524">
        <v>17.28</v>
      </c>
      <c r="H73" s="5525">
        <v>46.655999999999999</v>
      </c>
    </row>
    <row r="74" spans="2:8" ht="28.25" customHeight="1">
      <c r="B74" s="5532"/>
      <c r="C74" s="5520"/>
      <c r="D74" s="5521"/>
      <c r="E74" s="5522"/>
      <c r="F74" s="5523"/>
      <c r="G74" s="5524"/>
      <c r="H74" s="5525"/>
    </row>
    <row r="75" spans="2:8" ht="28.25" customHeight="1">
      <c r="B75" s="5532"/>
      <c r="C75" s="5520"/>
      <c r="D75" s="5521"/>
      <c r="E75" s="5522"/>
      <c r="F75" s="5523"/>
      <c r="G75" s="5524"/>
      <c r="H75" s="5525"/>
    </row>
    <row r="76" spans="2:8" ht="28.25" customHeight="1">
      <c r="B76" s="5532" t="s">
        <v>1798</v>
      </c>
      <c r="C76" s="5520" t="s">
        <v>332</v>
      </c>
      <c r="D76" s="5521" t="s">
        <v>288</v>
      </c>
      <c r="E76" s="5522">
        <v>4.9000000000000002E-2</v>
      </c>
      <c r="F76" s="5523">
        <v>2.7</v>
      </c>
      <c r="G76" s="5524">
        <v>1.40138436</v>
      </c>
      <c r="H76" s="5525">
        <v>3.7837377720000003</v>
      </c>
    </row>
    <row r="77" spans="2:8" ht="28.25" customHeight="1">
      <c r="B77" s="5532"/>
      <c r="C77" s="5520"/>
      <c r="D77" s="5521"/>
      <c r="E77" s="5522"/>
      <c r="F77" s="5523"/>
      <c r="G77" s="5524"/>
      <c r="H77" s="5525"/>
    </row>
    <row r="78" spans="2:8" ht="28.25" customHeight="1">
      <c r="B78" s="5532" t="s">
        <v>2266</v>
      </c>
      <c r="C78" s="5520" t="s">
        <v>911</v>
      </c>
      <c r="D78" s="5521" t="s">
        <v>288</v>
      </c>
      <c r="E78" s="5522">
        <v>0.01</v>
      </c>
      <c r="F78" s="5523">
        <v>2.7</v>
      </c>
      <c r="G78" s="5524">
        <v>10.7</v>
      </c>
      <c r="H78" s="5525">
        <v>28.890000000000004</v>
      </c>
    </row>
    <row r="79" spans="2:8" ht="28.25" customHeight="1">
      <c r="B79" s="5532"/>
      <c r="C79" s="5520"/>
      <c r="D79" s="5521"/>
      <c r="E79" s="5522"/>
      <c r="F79" s="5523"/>
      <c r="G79" s="5524"/>
      <c r="H79" s="5525"/>
    </row>
    <row r="80" spans="2:8" ht="28.25" customHeight="1">
      <c r="B80" s="5532" t="s">
        <v>2267</v>
      </c>
      <c r="C80" s="5520" t="s">
        <v>2268</v>
      </c>
      <c r="D80" s="5521" t="s">
        <v>288</v>
      </c>
      <c r="E80" s="5522">
        <v>5.16E-2</v>
      </c>
      <c r="F80" s="5523">
        <v>2.7</v>
      </c>
      <c r="G80" s="5524">
        <v>4</v>
      </c>
      <c r="H80" s="5525">
        <v>10.8</v>
      </c>
    </row>
    <row r="81" spans="2:8" ht="28.25" customHeight="1">
      <c r="B81" s="5532"/>
      <c r="C81" s="5520"/>
      <c r="D81" s="5521"/>
      <c r="E81" s="5522"/>
      <c r="F81" s="5523"/>
      <c r="G81" s="5524"/>
      <c r="H81" s="5525"/>
    </row>
    <row r="82" spans="2:8" ht="28.25" customHeight="1">
      <c r="B82" s="5532" t="s">
        <v>2269</v>
      </c>
      <c r="C82" s="5520" t="s">
        <v>2270</v>
      </c>
      <c r="D82" s="5521" t="s">
        <v>288</v>
      </c>
      <c r="E82" s="5522">
        <v>7.4999999999999997E-3</v>
      </c>
      <c r="F82" s="5523">
        <v>2.7</v>
      </c>
      <c r="G82" s="5524">
        <v>1.4810000000000001</v>
      </c>
      <c r="H82" s="5525">
        <v>3.9987000000000004</v>
      </c>
    </row>
    <row r="83" spans="2:8" ht="28.25" customHeight="1">
      <c r="B83" s="5532"/>
      <c r="C83" s="5520"/>
      <c r="D83" s="5521"/>
      <c r="E83" s="5522"/>
      <c r="F83" s="5523"/>
      <c r="G83" s="5524"/>
      <c r="H83" s="5525"/>
    </row>
    <row r="84" spans="2:8" ht="28.25" customHeight="1">
      <c r="B84" s="5532" t="s">
        <v>2271</v>
      </c>
      <c r="C84" s="5520" t="s">
        <v>2272</v>
      </c>
      <c r="D84" s="5521" t="s">
        <v>288</v>
      </c>
      <c r="E84" s="5522">
        <v>7.4999999999999997E-3</v>
      </c>
      <c r="F84" s="5523">
        <v>2.7</v>
      </c>
      <c r="G84" s="5524">
        <v>2.2455500000000002</v>
      </c>
      <c r="H84" s="5525">
        <v>6.0629850000000003</v>
      </c>
    </row>
    <row r="85" spans="2:8" ht="28.25" customHeight="1">
      <c r="B85" s="5532"/>
      <c r="C85" s="5520"/>
      <c r="D85" s="5521"/>
      <c r="E85" s="5522"/>
      <c r="F85" s="5523"/>
      <c r="G85" s="5524"/>
      <c r="H85" s="5525"/>
    </row>
    <row r="86" spans="2:8" ht="28.25" customHeight="1">
      <c r="B86" s="5532" t="s">
        <v>2273</v>
      </c>
      <c r="C86" s="5520" t="s">
        <v>2274</v>
      </c>
      <c r="D86" s="5521" t="s">
        <v>288</v>
      </c>
      <c r="E86" s="5522">
        <v>5.16E-2</v>
      </c>
      <c r="F86" s="5523">
        <v>2.7</v>
      </c>
      <c r="G86" s="5524">
        <v>0.59371063000000002</v>
      </c>
      <c r="H86" s="5525">
        <v>1.6030187010000001</v>
      </c>
    </row>
    <row r="87" spans="2:8" ht="28.25" customHeight="1">
      <c r="B87" s="5532"/>
      <c r="C87" s="5520"/>
      <c r="D87" s="5521"/>
      <c r="E87" s="5522"/>
      <c r="F87" s="5523"/>
      <c r="G87" s="5524"/>
      <c r="H87" s="5525"/>
    </row>
    <row r="88" spans="2:8" ht="28.25" customHeight="1">
      <c r="B88" s="5533" t="s">
        <v>2275</v>
      </c>
      <c r="C88" s="5520"/>
      <c r="D88" s="5521"/>
      <c r="E88" s="5522"/>
      <c r="F88" s="5523"/>
      <c r="G88" s="5524"/>
      <c r="H88" s="5525"/>
    </row>
    <row r="89" spans="2:8" ht="28.25" customHeight="1">
      <c r="B89" s="5532" t="s">
        <v>1799</v>
      </c>
      <c r="C89" s="5520"/>
      <c r="D89" s="5521" t="s">
        <v>292</v>
      </c>
      <c r="E89" s="5522">
        <v>0</v>
      </c>
      <c r="F89" s="5523">
        <v>3.622509</v>
      </c>
      <c r="G89" s="5524">
        <v>21.4</v>
      </c>
      <c r="H89" s="5525">
        <v>77.521692599999994</v>
      </c>
    </row>
    <row r="90" spans="2:8" ht="28.25" customHeight="1">
      <c r="B90" s="5534"/>
      <c r="C90" s="5520"/>
      <c r="D90" s="5521"/>
      <c r="E90" s="5522"/>
      <c r="F90" s="5523"/>
      <c r="G90" s="5524"/>
      <c r="H90" s="5525"/>
    </row>
    <row r="91" spans="2:8" ht="28.25" customHeight="1">
      <c r="B91" s="5535" t="s">
        <v>2320</v>
      </c>
      <c r="C91" s="5520"/>
      <c r="D91" s="5521"/>
      <c r="E91" s="5522"/>
      <c r="F91" s="5523"/>
      <c r="G91" s="5524"/>
      <c r="H91" s="5525"/>
    </row>
    <row r="92" spans="2:8" ht="28.25" customHeight="1">
      <c r="B92" s="5534" t="s">
        <v>2321</v>
      </c>
      <c r="C92" s="5520"/>
      <c r="D92" s="5521" t="s">
        <v>288</v>
      </c>
      <c r="E92" s="5522">
        <v>0.03</v>
      </c>
      <c r="F92" s="5523">
        <v>2.7</v>
      </c>
      <c r="G92" s="5524">
        <v>0.9375</v>
      </c>
      <c r="H92" s="5525">
        <v>2.53125</v>
      </c>
    </row>
    <row r="93" spans="2:8" ht="28.25" customHeight="1">
      <c r="B93" s="5534"/>
      <c r="C93" s="5520"/>
      <c r="D93" s="5521"/>
      <c r="E93" s="5522"/>
      <c r="F93" s="5523"/>
      <c r="G93" s="5524"/>
      <c r="H93" s="5525"/>
    </row>
    <row r="94" spans="2:8" s="2047" customFormat="1" ht="28.25" customHeight="1">
      <c r="B94" s="5536" t="s">
        <v>1800</v>
      </c>
      <c r="C94" s="5537"/>
      <c r="D94" s="5538"/>
      <c r="E94" s="5539"/>
      <c r="F94" s="5540"/>
      <c r="G94" s="5524"/>
      <c r="H94" s="5525"/>
    </row>
    <row r="95" spans="2:8" ht="28.25" customHeight="1">
      <c r="B95" s="5534"/>
      <c r="C95" s="5520"/>
      <c r="D95" s="5521"/>
      <c r="E95" s="5541"/>
      <c r="F95" s="5523"/>
      <c r="G95" s="5524"/>
      <c r="H95" s="5525"/>
    </row>
    <row r="96" spans="2:8" ht="28.25" customHeight="1">
      <c r="B96" s="5532" t="s">
        <v>2334</v>
      </c>
      <c r="C96" s="5520">
        <v>27680</v>
      </c>
      <c r="D96" s="5521" t="s">
        <v>292</v>
      </c>
      <c r="E96" s="5541">
        <v>7.4999999999999997E-3</v>
      </c>
      <c r="F96" s="5523">
        <v>3.622509</v>
      </c>
      <c r="G96" s="5524">
        <v>0.55250000380126962</v>
      </c>
      <c r="H96" s="5525">
        <v>2.0014362362701332</v>
      </c>
    </row>
    <row r="97" spans="2:8" ht="28.25" customHeight="1">
      <c r="B97" s="5532"/>
      <c r="C97" s="5520"/>
      <c r="D97" s="5522"/>
      <c r="E97" s="5522"/>
      <c r="F97" s="5523"/>
      <c r="G97" s="5524"/>
      <c r="H97" s="5525"/>
    </row>
    <row r="98" spans="2:8" ht="28.25" customHeight="1">
      <c r="B98" s="5532" t="s">
        <v>1801</v>
      </c>
      <c r="C98" s="5520"/>
      <c r="D98" s="5522"/>
      <c r="E98" s="5522"/>
      <c r="F98" s="5523"/>
      <c r="G98" s="5524"/>
      <c r="H98" s="5525"/>
    </row>
    <row r="99" spans="2:8" ht="28.25" customHeight="1">
      <c r="B99" s="5542" t="s">
        <v>1154</v>
      </c>
      <c r="C99" s="5520">
        <v>21200</v>
      </c>
      <c r="D99" s="5543" t="s">
        <v>292</v>
      </c>
      <c r="E99" s="5543">
        <v>7.4999999999999997E-3</v>
      </c>
      <c r="F99" s="5544">
        <v>3.622509</v>
      </c>
      <c r="G99" s="5524">
        <v>0.3</v>
      </c>
      <c r="H99" s="5525">
        <v>1.0867526999999999</v>
      </c>
    </row>
    <row r="100" spans="2:8" ht="28.25" customHeight="1">
      <c r="B100" s="5545"/>
      <c r="C100" s="5520"/>
      <c r="D100" s="5543"/>
      <c r="E100" s="5543"/>
      <c r="F100" s="5544"/>
      <c r="G100" s="5524"/>
      <c r="H100" s="5525"/>
    </row>
    <row r="101" spans="2:8" ht="28.25" customHeight="1">
      <c r="B101" s="5545" t="s">
        <v>1802</v>
      </c>
      <c r="C101" s="5520"/>
      <c r="D101" s="5543"/>
      <c r="E101" s="5543"/>
      <c r="F101" s="5544"/>
      <c r="G101" s="5524"/>
      <c r="H101" s="5525"/>
    </row>
    <row r="102" spans="2:8" ht="28.25" customHeight="1">
      <c r="B102" s="5542" t="s">
        <v>1155</v>
      </c>
      <c r="C102" s="5520">
        <v>26760</v>
      </c>
      <c r="D102" s="5543" t="s">
        <v>292</v>
      </c>
      <c r="E102" s="5543">
        <v>7.4999999999999997E-3</v>
      </c>
      <c r="F102" s="5544">
        <v>3.622509</v>
      </c>
      <c r="G102" s="5524">
        <v>0.69000000000000017</v>
      </c>
      <c r="H102" s="5525">
        <v>2.4995312100000002</v>
      </c>
    </row>
    <row r="103" spans="2:8" ht="33" customHeight="1">
      <c r="B103" s="5545"/>
      <c r="C103" s="5546"/>
      <c r="D103" s="5543"/>
      <c r="E103" s="5543"/>
      <c r="F103" s="5544"/>
      <c r="G103" s="5524"/>
      <c r="H103" s="5525"/>
    </row>
    <row r="104" spans="2:8" ht="28.25" customHeight="1">
      <c r="B104" s="5545" t="s">
        <v>1803</v>
      </c>
      <c r="C104" s="5547"/>
      <c r="D104" s="5543"/>
      <c r="E104" s="5543"/>
      <c r="F104" s="5544"/>
      <c r="G104" s="5524"/>
      <c r="H104" s="5525"/>
    </row>
    <row r="105" spans="2:8" ht="28.25" customHeight="1">
      <c r="B105" s="5545" t="s">
        <v>1156</v>
      </c>
      <c r="C105" s="5547">
        <v>30880</v>
      </c>
      <c r="D105" s="5543" t="s">
        <v>292</v>
      </c>
      <c r="E105" s="5543">
        <v>7.4999999999999997E-3</v>
      </c>
      <c r="F105" s="5544">
        <v>3.622509</v>
      </c>
      <c r="G105" s="5524">
        <v>0.19143557234061687</v>
      </c>
      <c r="H105" s="5525">
        <v>0.6934770837240356</v>
      </c>
    </row>
    <row r="106" spans="2:8" ht="28.25" customHeight="1">
      <c r="B106" s="5545"/>
      <c r="C106" s="5547"/>
      <c r="D106" s="5543"/>
      <c r="E106" s="5543"/>
      <c r="F106" s="5544"/>
      <c r="G106" s="5524"/>
      <c r="H106" s="5525"/>
    </row>
    <row r="107" spans="2:8" ht="28.25" customHeight="1">
      <c r="B107" s="5545" t="s">
        <v>1804</v>
      </c>
      <c r="C107" s="5547"/>
      <c r="D107" s="5543"/>
      <c r="E107" s="5543"/>
      <c r="F107" s="5544"/>
      <c r="G107" s="5524"/>
      <c r="H107" s="5525"/>
    </row>
    <row r="108" spans="2:8" ht="28.25" customHeight="1">
      <c r="B108" s="5545" t="s">
        <v>1157</v>
      </c>
      <c r="C108" s="5547">
        <v>31510</v>
      </c>
      <c r="D108" s="5543" t="s">
        <v>292</v>
      </c>
      <c r="E108" s="5543">
        <v>7.4999999999999997E-3</v>
      </c>
      <c r="F108" s="5544">
        <v>3.622509</v>
      </c>
      <c r="G108" s="5524">
        <v>1.0449999999999999</v>
      </c>
      <c r="H108" s="5525">
        <v>3.785521905</v>
      </c>
    </row>
    <row r="109" spans="2:8" ht="28.25" customHeight="1">
      <c r="B109" s="5545"/>
      <c r="C109" s="5547"/>
      <c r="D109" s="5543"/>
      <c r="E109" s="5543"/>
      <c r="F109" s="5544"/>
      <c r="G109" s="5524"/>
      <c r="H109" s="5525"/>
    </row>
    <row r="110" spans="2:8" ht="28.25" customHeight="1">
      <c r="B110" s="5545" t="s">
        <v>1805</v>
      </c>
      <c r="C110" s="5547"/>
      <c r="D110" s="5547"/>
      <c r="E110" s="5548"/>
      <c r="F110" s="5549"/>
      <c r="G110" s="5524"/>
      <c r="H110" s="5525"/>
    </row>
    <row r="111" spans="2:8" ht="28.25" customHeight="1">
      <c r="B111" s="5545" t="s">
        <v>1158</v>
      </c>
      <c r="C111" s="5547">
        <v>32770</v>
      </c>
      <c r="D111" s="5547" t="s">
        <v>292</v>
      </c>
      <c r="E111" s="5550">
        <v>7.4999999999999997E-3</v>
      </c>
      <c r="F111" s="5524">
        <v>3.622509</v>
      </c>
      <c r="G111" s="5524">
        <v>0.63</v>
      </c>
      <c r="H111" s="5525">
        <v>2.2821806699999998</v>
      </c>
    </row>
    <row r="112" spans="2:8" ht="28.25" customHeight="1">
      <c r="B112" s="5551"/>
      <c r="C112" s="5547"/>
      <c r="D112" s="5543"/>
      <c r="E112" s="5543"/>
      <c r="F112" s="5544"/>
      <c r="G112" s="5524"/>
      <c r="H112" s="5525"/>
    </row>
    <row r="113" spans="1:8" ht="28.25" customHeight="1">
      <c r="B113" s="5551" t="s">
        <v>1806</v>
      </c>
      <c r="C113" s="5547"/>
      <c r="D113" s="5547"/>
      <c r="E113" s="5550"/>
      <c r="F113" s="5524"/>
      <c r="G113" s="5524"/>
      <c r="H113" s="5525"/>
    </row>
    <row r="114" spans="1:8" ht="28.25" customHeight="1">
      <c r="B114" s="5551" t="s">
        <v>813</v>
      </c>
      <c r="C114" s="5547">
        <v>27160</v>
      </c>
      <c r="D114" s="5547" t="s">
        <v>292</v>
      </c>
      <c r="E114" s="5550">
        <v>7.4999999999999997E-3</v>
      </c>
      <c r="F114" s="5524">
        <v>3.622509</v>
      </c>
      <c r="G114" s="5524">
        <v>0.51851058653590298</v>
      </c>
      <c r="H114" s="5525">
        <v>1.8783092663215875</v>
      </c>
    </row>
    <row r="115" spans="1:8" ht="28.25" customHeight="1">
      <c r="B115" s="5551"/>
      <c r="C115" s="5547"/>
      <c r="D115" s="5543"/>
      <c r="E115" s="5543"/>
      <c r="F115" s="5544"/>
      <c r="G115" s="5524"/>
      <c r="H115" s="5525"/>
    </row>
    <row r="116" spans="1:8" ht="28.25" customHeight="1">
      <c r="B116" s="5551" t="s">
        <v>1807</v>
      </c>
      <c r="C116" s="5547"/>
      <c r="D116" s="5543"/>
      <c r="E116" s="5543"/>
      <c r="F116" s="5544"/>
      <c r="G116" s="5524"/>
      <c r="H116" s="5525"/>
    </row>
    <row r="117" spans="1:8" ht="28.25" customHeight="1">
      <c r="B117" s="5551" t="s">
        <v>814</v>
      </c>
      <c r="C117" s="5547">
        <v>35920</v>
      </c>
      <c r="D117" s="5543" t="s">
        <v>292</v>
      </c>
      <c r="E117" s="5543">
        <v>7.4999999999999997E-3</v>
      </c>
      <c r="F117" s="5544">
        <v>3.622509</v>
      </c>
      <c r="G117" s="5524">
        <v>0.71499999999999997</v>
      </c>
      <c r="H117" s="5525">
        <v>2.5900939350000001</v>
      </c>
    </row>
    <row r="118" spans="1:8" ht="28.25" customHeight="1">
      <c r="B118" s="5551"/>
      <c r="C118" s="5547"/>
      <c r="D118" s="5543"/>
      <c r="E118" s="5543"/>
      <c r="F118" s="5544"/>
      <c r="G118" s="5524"/>
      <c r="H118" s="5525"/>
    </row>
    <row r="119" spans="1:8" ht="28.25" customHeight="1">
      <c r="B119" s="5551" t="s">
        <v>1808</v>
      </c>
      <c r="C119" s="5547"/>
      <c r="D119" s="5543"/>
      <c r="E119" s="5543"/>
      <c r="F119" s="5544"/>
      <c r="G119" s="5524"/>
      <c r="H119" s="5525"/>
    </row>
    <row r="120" spans="1:8" ht="28.25" customHeight="1">
      <c r="B120" s="5551" t="s">
        <v>815</v>
      </c>
      <c r="C120" s="5547">
        <v>36120</v>
      </c>
      <c r="D120" s="5543" t="s">
        <v>292</v>
      </c>
      <c r="E120" s="5543">
        <v>7.4999999999999997E-3</v>
      </c>
      <c r="F120" s="5544">
        <v>3.622509</v>
      </c>
      <c r="G120" s="5524">
        <v>2.4300000000000002</v>
      </c>
      <c r="H120" s="5525">
        <v>8.8026968699999983</v>
      </c>
    </row>
    <row r="121" spans="1:8" ht="14.25" customHeight="1">
      <c r="B121" s="5551"/>
      <c r="C121" s="5547"/>
      <c r="D121" s="5543"/>
      <c r="E121" s="5543"/>
      <c r="F121" s="5544"/>
      <c r="G121" s="5524"/>
      <c r="H121" s="5525"/>
    </row>
    <row r="122" spans="1:8" ht="28.5" customHeight="1">
      <c r="A122" s="2048"/>
      <c r="B122" s="5551" t="s">
        <v>1809</v>
      </c>
      <c r="C122" s="5547"/>
      <c r="D122" s="5543"/>
      <c r="E122" s="5543"/>
      <c r="F122" s="5544"/>
      <c r="G122" s="5524"/>
      <c r="H122" s="5525"/>
    </row>
    <row r="123" spans="1:8" ht="28.25" customHeight="1">
      <c r="A123" s="2048"/>
      <c r="B123" s="5551" t="s">
        <v>816</v>
      </c>
      <c r="C123" s="5547">
        <v>36610</v>
      </c>
      <c r="D123" s="5543" t="s">
        <v>292</v>
      </c>
      <c r="E123" s="5543">
        <v>7.4999999999999997E-3</v>
      </c>
      <c r="F123" s="5544">
        <v>3.622509</v>
      </c>
      <c r="G123" s="5524">
        <v>3.24</v>
      </c>
      <c r="H123" s="5525">
        <v>11.736929160000001</v>
      </c>
    </row>
    <row r="124" spans="1:8" ht="28.25" customHeight="1" thickBot="1">
      <c r="B124" s="5552"/>
      <c r="C124" s="5553"/>
      <c r="D124" s="5554"/>
      <c r="E124" s="5554"/>
      <c r="F124" s="5555"/>
      <c r="G124" s="5556"/>
      <c r="H124" s="5557"/>
    </row>
  </sheetData>
  <mergeCells count="4">
    <mergeCell ref="B1:H1"/>
    <mergeCell ref="B2:H2"/>
    <mergeCell ref="B3:H3"/>
    <mergeCell ref="G4:H4"/>
  </mergeCells>
  <printOptions horizontalCentered="1" verticalCentered="1"/>
  <pageMargins left="0.25" right="0.25" top="0.75" bottom="0.75" header="0.3" footer="0.3"/>
  <pageSetup scale="20" firstPageNumber="103" orientation="portrait" useFirstPageNumber="1" r:id="rId1"/>
  <headerFooter scaleWithDoc="0" alignWithMargins="0">
    <oddFooter xml:space="preserve">&amp;C140
</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499984740745262"/>
    <pageSetUpPr fitToPage="1"/>
  </sheetPr>
  <dimension ref="A1:I91"/>
  <sheetViews>
    <sheetView view="pageBreakPreview" topLeftCell="B40" zoomScale="30" zoomScaleNormal="68" zoomScaleSheetLayoutView="30" workbookViewId="0">
      <selection activeCell="G52" sqref="G52"/>
    </sheetView>
  </sheetViews>
  <sheetFormatPr defaultColWidth="9.46484375" defaultRowHeight="31.9"/>
  <cols>
    <col min="1" max="1" width="43.6640625" style="1499" hidden="1" customWidth="1"/>
    <col min="2" max="2" width="255.6640625" style="4832" bestFit="1" customWidth="1"/>
    <col min="3" max="3" width="77.6640625" style="1499" customWidth="1"/>
    <col min="4" max="4" width="51.1328125" style="1499" customWidth="1"/>
    <col min="5" max="5" width="51.796875" style="1500" customWidth="1"/>
    <col min="6" max="6" width="51.796875" style="1501" customWidth="1"/>
    <col min="7" max="7" width="64" style="1502" customWidth="1"/>
    <col min="8" max="8" width="61.1328125" style="1502" customWidth="1"/>
    <col min="9" max="9" width="5" style="1499" customWidth="1"/>
    <col min="10" max="10" width="22.46484375" style="1499" customWidth="1"/>
    <col min="11" max="11" width="54.46484375" style="1499" bestFit="1" customWidth="1"/>
    <col min="12" max="12" width="22.46484375" style="1499" customWidth="1"/>
    <col min="13" max="13" width="19" style="1499" customWidth="1"/>
    <col min="14" max="16384" width="9.46484375" style="1499"/>
  </cols>
  <sheetData>
    <row r="1" spans="2:8" s="5605" customFormat="1" ht="57" customHeight="1">
      <c r="B1" s="5904" t="s">
        <v>2306</v>
      </c>
      <c r="C1" s="5904"/>
      <c r="D1" s="5904"/>
      <c r="E1" s="5904"/>
      <c r="F1" s="5904"/>
      <c r="G1" s="5904"/>
      <c r="H1" s="5904"/>
    </row>
    <row r="2" spans="2:8" s="5605" customFormat="1" ht="57" customHeight="1">
      <c r="B2" s="5905" t="s">
        <v>1073</v>
      </c>
      <c r="C2" s="5905"/>
      <c r="D2" s="5905"/>
      <c r="E2" s="5905"/>
      <c r="F2" s="5905"/>
      <c r="G2" s="5905"/>
      <c r="H2" s="5905"/>
    </row>
    <row r="3" spans="2:8" s="5605" customFormat="1" ht="57" customHeight="1" thickBot="1">
      <c r="B3" s="5905" t="s">
        <v>1967</v>
      </c>
      <c r="C3" s="5905"/>
      <c r="D3" s="5905"/>
      <c r="E3" s="5905"/>
      <c r="F3" s="5905"/>
      <c r="G3" s="5905"/>
      <c r="H3" s="5905"/>
    </row>
    <row r="4" spans="2:8" s="5605" customFormat="1" ht="75" customHeight="1">
      <c r="B4" s="5610"/>
      <c r="C4" s="5611"/>
      <c r="D4" s="5611"/>
      <c r="E4" s="5612"/>
      <c r="F4" s="5613"/>
      <c r="G4" s="5906" t="s">
        <v>2333</v>
      </c>
      <c r="H4" s="5907"/>
    </row>
    <row r="5" spans="2:8" s="5605" customFormat="1" ht="75" customHeight="1">
      <c r="B5" s="5614"/>
      <c r="C5" s="5615"/>
      <c r="D5" s="5615"/>
      <c r="E5" s="5616" t="s">
        <v>275</v>
      </c>
      <c r="F5" s="5617" t="s">
        <v>276</v>
      </c>
      <c r="G5" s="5618" t="s">
        <v>277</v>
      </c>
      <c r="H5" s="5619" t="s">
        <v>278</v>
      </c>
    </row>
    <row r="6" spans="2:8" s="5605" customFormat="1" ht="75" customHeight="1" thickBot="1">
      <c r="B6" s="5614"/>
      <c r="C6" s="5620" t="s">
        <v>279</v>
      </c>
      <c r="D6" s="5620" t="s">
        <v>280</v>
      </c>
      <c r="E6" s="5621" t="s">
        <v>281</v>
      </c>
      <c r="F6" s="5622" t="s">
        <v>281</v>
      </c>
      <c r="G6" s="5623" t="s">
        <v>280</v>
      </c>
      <c r="H6" s="5624" t="s">
        <v>282</v>
      </c>
    </row>
    <row r="7" spans="2:8" s="5605" customFormat="1" ht="35" customHeight="1">
      <c r="B7" s="5558" t="s">
        <v>1810</v>
      </c>
      <c r="C7" s="5559"/>
      <c r="D7" s="5559"/>
      <c r="E7" s="5560"/>
      <c r="F7" s="5561"/>
      <c r="G7" s="5562"/>
      <c r="H7" s="5563"/>
    </row>
    <row r="8" spans="2:8" s="5605" customFormat="1" ht="35" customHeight="1">
      <c r="B8" s="5564" t="s">
        <v>817</v>
      </c>
      <c r="C8" s="5565">
        <v>39360</v>
      </c>
      <c r="D8" s="5384" t="s">
        <v>292</v>
      </c>
      <c r="E8" s="5566">
        <v>7.4999999999999997E-3</v>
      </c>
      <c r="F8" s="5386">
        <v>3.622509</v>
      </c>
      <c r="G8" s="5567">
        <v>1.9824999999999999</v>
      </c>
      <c r="H8" s="5568">
        <v>7.1816240924999999</v>
      </c>
    </row>
    <row r="9" spans="2:8" s="5605" customFormat="1" ht="35" customHeight="1">
      <c r="B9" s="5564" t="s">
        <v>818</v>
      </c>
      <c r="C9" s="5565">
        <v>44980</v>
      </c>
      <c r="D9" s="5384" t="s">
        <v>292</v>
      </c>
      <c r="E9" s="5566">
        <v>7.4999999999999997E-3</v>
      </c>
      <c r="F9" s="5386">
        <v>3.622509</v>
      </c>
      <c r="G9" s="5567">
        <v>1.6387499999999999</v>
      </c>
      <c r="H9" s="5568">
        <v>5.9363866237500007</v>
      </c>
    </row>
    <row r="10" spans="2:8" s="5605" customFormat="1" ht="35" customHeight="1">
      <c r="B10" s="5564" t="s">
        <v>2276</v>
      </c>
      <c r="C10" s="5565"/>
      <c r="D10" s="5384"/>
      <c r="E10" s="5566"/>
      <c r="F10" s="5386"/>
      <c r="G10" s="5567"/>
      <c r="H10" s="5568"/>
    </row>
    <row r="11" spans="2:8" s="5605" customFormat="1" ht="35" customHeight="1">
      <c r="B11" s="5564" t="s">
        <v>1159</v>
      </c>
      <c r="C11" s="5565">
        <v>39470</v>
      </c>
      <c r="D11" s="5384" t="s">
        <v>292</v>
      </c>
      <c r="E11" s="5566">
        <v>7.4999999999999997E-3</v>
      </c>
      <c r="F11" s="5386">
        <v>3.622509</v>
      </c>
      <c r="G11" s="5567">
        <v>0.87687499904968269</v>
      </c>
      <c r="H11" s="5568">
        <v>3.1764875759324669</v>
      </c>
    </row>
    <row r="12" spans="2:8" s="5605" customFormat="1" ht="35" customHeight="1">
      <c r="B12" s="5564" t="s">
        <v>2277</v>
      </c>
      <c r="C12" s="5565"/>
      <c r="D12" s="5384"/>
      <c r="E12" s="5566"/>
      <c r="F12" s="5386"/>
      <c r="G12" s="5567"/>
      <c r="H12" s="5568"/>
    </row>
    <row r="13" spans="2:8" s="5605" customFormat="1" ht="35" customHeight="1">
      <c r="B13" s="5564" t="s">
        <v>1160</v>
      </c>
      <c r="C13" s="5565">
        <v>40650</v>
      </c>
      <c r="D13" s="5384" t="s">
        <v>292</v>
      </c>
      <c r="E13" s="5566">
        <v>8.0000000000000002E-3</v>
      </c>
      <c r="F13" s="5386">
        <v>3.622509</v>
      </c>
      <c r="G13" s="5567">
        <v>2.0475000000000003</v>
      </c>
      <c r="H13" s="5568">
        <v>7.4170871775000009</v>
      </c>
    </row>
    <row r="14" spans="2:8" s="5605" customFormat="1" ht="35" customHeight="1">
      <c r="B14" s="5564" t="s">
        <v>1161</v>
      </c>
      <c r="C14" s="5565">
        <v>40651</v>
      </c>
      <c r="D14" s="5384" t="s">
        <v>292</v>
      </c>
      <c r="E14" s="5566">
        <v>7.4999999999999997E-3</v>
      </c>
      <c r="F14" s="5386">
        <v>3.622509</v>
      </c>
      <c r="G14" s="5567">
        <v>1.0713425875970388</v>
      </c>
      <c r="H14" s="5568">
        <v>3.8809481656535616</v>
      </c>
    </row>
    <row r="15" spans="2:8" s="5605" customFormat="1" ht="35" customHeight="1">
      <c r="B15" s="5564" t="s">
        <v>2278</v>
      </c>
      <c r="C15" s="5565"/>
      <c r="D15" s="5384"/>
      <c r="E15" s="5566"/>
      <c r="F15" s="5386"/>
      <c r="G15" s="5567"/>
      <c r="H15" s="5568"/>
    </row>
    <row r="16" spans="2:8" s="5605" customFormat="1" ht="35" customHeight="1">
      <c r="B16" s="5564" t="s">
        <v>1162</v>
      </c>
      <c r="C16" s="5565">
        <v>40570</v>
      </c>
      <c r="D16" s="5384" t="s">
        <v>292</v>
      </c>
      <c r="E16" s="5566">
        <v>7.4999999999999997E-3</v>
      </c>
      <c r="F16" s="5386">
        <v>3.622509</v>
      </c>
      <c r="G16" s="5567">
        <v>0.15693841980637235</v>
      </c>
      <c r="H16" s="5568">
        <v>0.5685108381943621</v>
      </c>
    </row>
    <row r="17" spans="2:9" s="5605" customFormat="1" ht="35" customHeight="1">
      <c r="B17" s="5564" t="s">
        <v>2279</v>
      </c>
      <c r="C17" s="5565"/>
      <c r="D17" s="5384"/>
      <c r="E17" s="5566"/>
      <c r="F17" s="5386"/>
      <c r="G17" s="5567"/>
      <c r="H17" s="5568"/>
    </row>
    <row r="18" spans="2:9" s="5605" customFormat="1" ht="35" customHeight="1">
      <c r="B18" s="5564" t="s">
        <v>1163</v>
      </c>
      <c r="C18" s="5565">
        <v>42710</v>
      </c>
      <c r="D18" s="5384" t="s">
        <v>292</v>
      </c>
      <c r="E18" s="5566">
        <v>7.4999999999999997E-3</v>
      </c>
      <c r="F18" s="5386">
        <v>3.622509</v>
      </c>
      <c r="G18" s="5567">
        <v>2.4338557084195069</v>
      </c>
      <c r="H18" s="5568">
        <v>8.8166642084510407</v>
      </c>
      <c r="I18" s="5606"/>
    </row>
    <row r="19" spans="2:9" s="5605" customFormat="1" ht="35" customHeight="1">
      <c r="B19" s="5564" t="s">
        <v>2280</v>
      </c>
      <c r="C19" s="5565"/>
      <c r="D19" s="5384"/>
      <c r="E19" s="5566"/>
      <c r="F19" s="5386"/>
      <c r="G19" s="5567"/>
      <c r="H19" s="5568"/>
    </row>
    <row r="20" spans="2:9" s="5605" customFormat="1" ht="35" customHeight="1">
      <c r="B20" s="5564" t="s">
        <v>1164</v>
      </c>
      <c r="C20" s="5565">
        <v>43000</v>
      </c>
      <c r="D20" s="5384" t="s">
        <v>292</v>
      </c>
      <c r="E20" s="5566">
        <v>7.4999999999999997E-3</v>
      </c>
      <c r="F20" s="5386">
        <v>3.622509</v>
      </c>
      <c r="G20" s="5567">
        <v>2.0099434675181511</v>
      </c>
      <c r="H20" s="5568">
        <v>7.2810383005757098</v>
      </c>
    </row>
    <row r="21" spans="2:9" s="5605" customFormat="1" ht="35" customHeight="1">
      <c r="B21" s="5564" t="s">
        <v>2281</v>
      </c>
      <c r="C21" s="5565"/>
      <c r="D21" s="5384"/>
      <c r="E21" s="5566"/>
      <c r="F21" s="5386"/>
      <c r="G21" s="5567"/>
      <c r="H21" s="5568"/>
    </row>
    <row r="22" spans="2:9" s="5605" customFormat="1" ht="35" customHeight="1">
      <c r="B22" s="5564" t="s">
        <v>1165</v>
      </c>
      <c r="C22" s="5565">
        <v>44510</v>
      </c>
      <c r="D22" s="5384" t="s">
        <v>292</v>
      </c>
      <c r="E22" s="5566">
        <v>7.4999999999999997E-3</v>
      </c>
      <c r="F22" s="5386">
        <v>3.622509</v>
      </c>
      <c r="G22" s="5567">
        <v>1.2545782719428291</v>
      </c>
      <c r="H22" s="5568">
        <v>4.5447210813173458</v>
      </c>
    </row>
    <row r="23" spans="2:9" s="5605" customFormat="1" ht="35" customHeight="1">
      <c r="B23" s="5564" t="s">
        <v>2282</v>
      </c>
      <c r="C23" s="5565"/>
      <c r="D23" s="5384"/>
      <c r="E23" s="5566"/>
      <c r="F23" s="5386"/>
      <c r="G23" s="5567"/>
      <c r="H23" s="5568"/>
    </row>
    <row r="24" spans="2:9" s="5605" customFormat="1" ht="35" customHeight="1">
      <c r="B24" s="5564" t="s">
        <v>1166</v>
      </c>
      <c r="C24" s="5565">
        <v>47520</v>
      </c>
      <c r="D24" s="5384" t="s">
        <v>292</v>
      </c>
      <c r="E24" s="5566">
        <v>7.4999999999999997E-3</v>
      </c>
      <c r="F24" s="5386">
        <v>3.622509</v>
      </c>
      <c r="G24" s="5567">
        <v>4.8362500019006349</v>
      </c>
      <c r="H24" s="5568">
        <v>17.519359158135067</v>
      </c>
    </row>
    <row r="25" spans="2:9" s="5605" customFormat="1" ht="35" customHeight="1">
      <c r="B25" s="5564" t="s">
        <v>1167</v>
      </c>
      <c r="C25" s="5565">
        <v>79190</v>
      </c>
      <c r="D25" s="5384" t="s">
        <v>288</v>
      </c>
      <c r="E25" s="5566">
        <v>1.9099999999999999E-2</v>
      </c>
      <c r="F25" s="5386">
        <v>2.7</v>
      </c>
      <c r="G25" s="5567">
        <v>2.64</v>
      </c>
      <c r="H25" s="5568">
        <v>7.128000000000001</v>
      </c>
    </row>
    <row r="26" spans="2:9" s="5605" customFormat="1" ht="35" customHeight="1">
      <c r="B26" s="5564" t="s">
        <v>2283</v>
      </c>
      <c r="C26" s="5565"/>
      <c r="D26" s="5384"/>
      <c r="E26" s="5566"/>
      <c r="F26" s="5386"/>
      <c r="G26" s="5567"/>
      <c r="H26" s="5568"/>
    </row>
    <row r="27" spans="2:9" s="5605" customFormat="1" ht="35" customHeight="1">
      <c r="B27" s="5564" t="s">
        <v>1168</v>
      </c>
      <c r="C27" s="5565">
        <v>51170</v>
      </c>
      <c r="D27" s="5384" t="s">
        <v>292</v>
      </c>
      <c r="E27" s="5566">
        <v>7.4999999999999997E-3</v>
      </c>
      <c r="F27" s="5386">
        <v>3.622509</v>
      </c>
      <c r="G27" s="5567">
        <v>3.7829284536762278</v>
      </c>
      <c r="H27" s="5568">
        <v>13.703692369798219</v>
      </c>
    </row>
    <row r="28" spans="2:9" s="5605" customFormat="1" ht="35" customHeight="1">
      <c r="B28" s="5564" t="s">
        <v>2284</v>
      </c>
      <c r="C28" s="5565"/>
      <c r="D28" s="5384"/>
      <c r="E28" s="5566"/>
      <c r="F28" s="5386"/>
      <c r="G28" s="5567"/>
      <c r="H28" s="5568"/>
    </row>
    <row r="29" spans="2:9" s="5605" customFormat="1" ht="35" customHeight="1">
      <c r="B29" s="5564" t="s">
        <v>1169</v>
      </c>
      <c r="C29" s="5565">
        <v>48710</v>
      </c>
      <c r="D29" s="5384" t="s">
        <v>292</v>
      </c>
      <c r="E29" s="5566">
        <v>7.4999999999999997E-3</v>
      </c>
      <c r="F29" s="5386">
        <v>3.622509</v>
      </c>
      <c r="G29" s="5567">
        <v>7.8943604591913203</v>
      </c>
      <c r="H29" s="5568">
        <v>28.597391812664693</v>
      </c>
    </row>
    <row r="30" spans="2:9" s="5605" customFormat="1" ht="35" customHeight="1">
      <c r="B30" s="5564" t="s">
        <v>2285</v>
      </c>
      <c r="C30" s="5565"/>
      <c r="D30" s="5384"/>
      <c r="E30" s="5566"/>
      <c r="F30" s="5386"/>
      <c r="G30" s="5567"/>
      <c r="H30" s="5568"/>
    </row>
    <row r="31" spans="2:9" s="5605" customFormat="1" ht="35" customHeight="1">
      <c r="B31" s="5564" t="s">
        <v>1170</v>
      </c>
      <c r="C31" s="5565">
        <v>49360</v>
      </c>
      <c r="D31" s="5384" t="s">
        <v>292</v>
      </c>
      <c r="E31" s="5566">
        <v>7.4999999999999997E-3</v>
      </c>
      <c r="F31" s="5386">
        <v>3.622509</v>
      </c>
      <c r="G31" s="5567">
        <v>0.92621482630458896</v>
      </c>
      <c r="H31" s="5568">
        <v>3.3552215442218101</v>
      </c>
    </row>
    <row r="32" spans="2:9" s="5605" customFormat="1" ht="35" customHeight="1">
      <c r="B32" s="5564"/>
      <c r="C32" s="5565"/>
      <c r="D32" s="5384"/>
      <c r="E32" s="5566"/>
      <c r="F32" s="5386"/>
      <c r="G32" s="5567"/>
      <c r="H32" s="5568"/>
    </row>
    <row r="33" spans="2:8" s="5605" customFormat="1" ht="35" customHeight="1">
      <c r="B33" s="5564" t="s">
        <v>2286</v>
      </c>
      <c r="C33" s="5565"/>
      <c r="D33" s="5384"/>
      <c r="E33" s="5566"/>
      <c r="F33" s="5386"/>
      <c r="G33" s="5567"/>
      <c r="H33" s="5568"/>
    </row>
    <row r="34" spans="2:8" s="5605" customFormat="1" ht="35" customHeight="1">
      <c r="B34" s="5564" t="s">
        <v>1171</v>
      </c>
      <c r="C34" s="5565">
        <v>54930</v>
      </c>
      <c r="D34" s="5384" t="s">
        <v>292</v>
      </c>
      <c r="E34" s="5566">
        <v>7.4999999999999997E-3</v>
      </c>
      <c r="F34" s="5386">
        <v>3.622509</v>
      </c>
      <c r="G34" s="5567">
        <v>26.454340289656745</v>
      </c>
      <c r="H34" s="5568">
        <v>95.831085788344154</v>
      </c>
    </row>
    <row r="35" spans="2:8" s="5605" customFormat="1" ht="35" customHeight="1">
      <c r="B35" s="5564" t="s">
        <v>1172</v>
      </c>
      <c r="C35" s="5384" t="s">
        <v>728</v>
      </c>
      <c r="D35" s="5384" t="s">
        <v>288</v>
      </c>
      <c r="E35" s="5566">
        <v>1E-3</v>
      </c>
      <c r="F35" s="5386">
        <v>2.7</v>
      </c>
      <c r="G35" s="5567">
        <v>14.995864989999999</v>
      </c>
      <c r="H35" s="5568">
        <v>40.488835473000002</v>
      </c>
    </row>
    <row r="36" spans="2:8" s="5605" customFormat="1" ht="35" customHeight="1">
      <c r="B36" s="5564" t="s">
        <v>2287</v>
      </c>
      <c r="C36" s="5384">
        <v>59140</v>
      </c>
      <c r="D36" s="5384" t="s">
        <v>288</v>
      </c>
      <c r="E36" s="5566">
        <v>1.3299999999999999E-2</v>
      </c>
      <c r="F36" s="5386">
        <v>2.7</v>
      </c>
      <c r="G36" s="5567">
        <v>1.62</v>
      </c>
      <c r="H36" s="5568">
        <v>4.3739999999999997</v>
      </c>
    </row>
    <row r="37" spans="2:8" s="5605" customFormat="1" ht="35" customHeight="1">
      <c r="B37" s="5564" t="s">
        <v>2288</v>
      </c>
      <c r="C37" s="5565"/>
      <c r="D37" s="5384"/>
      <c r="E37" s="5566"/>
      <c r="F37" s="5386"/>
      <c r="G37" s="5567"/>
      <c r="H37" s="5568"/>
    </row>
    <row r="38" spans="2:8" s="5605" customFormat="1" ht="35" customHeight="1">
      <c r="B38" s="5564" t="s">
        <v>1173</v>
      </c>
      <c r="C38" s="5565">
        <v>63160</v>
      </c>
      <c r="D38" s="5384" t="s">
        <v>288</v>
      </c>
      <c r="E38" s="5566">
        <v>1.37E-2</v>
      </c>
      <c r="F38" s="5386">
        <v>2.7</v>
      </c>
      <c r="G38" s="5567">
        <v>11.684876150000001</v>
      </c>
      <c r="H38" s="5568">
        <v>31.549165605000002</v>
      </c>
    </row>
    <row r="39" spans="2:8" s="5605" customFormat="1" ht="35" customHeight="1">
      <c r="B39" s="5564" t="s">
        <v>2289</v>
      </c>
      <c r="C39" s="5565"/>
      <c r="D39" s="5384"/>
      <c r="E39" s="5566"/>
      <c r="F39" s="5386"/>
      <c r="G39" s="5567"/>
      <c r="H39" s="5568"/>
    </row>
    <row r="40" spans="2:8" s="5605" customFormat="1" ht="35" customHeight="1">
      <c r="B40" s="5564" t="s">
        <v>1811</v>
      </c>
      <c r="C40" s="5565">
        <v>6000</v>
      </c>
      <c r="D40" s="5384" t="s">
        <v>288</v>
      </c>
      <c r="E40" s="5566">
        <v>1.3899999999999999E-2</v>
      </c>
      <c r="F40" s="5386">
        <v>2.7</v>
      </c>
      <c r="G40" s="5567">
        <v>5.0734511799999993</v>
      </c>
      <c r="H40" s="5568">
        <v>13.698318186</v>
      </c>
    </row>
    <row r="41" spans="2:8" s="5605" customFormat="1" ht="35" customHeight="1">
      <c r="B41" s="5569" t="s">
        <v>2290</v>
      </c>
      <c r="C41" s="5565"/>
      <c r="D41" s="5384"/>
      <c r="E41" s="5566"/>
      <c r="F41" s="5386"/>
      <c r="G41" s="5567"/>
      <c r="H41" s="5568"/>
    </row>
    <row r="42" spans="2:8" s="5605" customFormat="1" ht="35" customHeight="1">
      <c r="B42" s="5564" t="s">
        <v>1812</v>
      </c>
      <c r="C42" s="5565">
        <v>62650</v>
      </c>
      <c r="D42" s="5384" t="s">
        <v>288</v>
      </c>
      <c r="E42" s="5566">
        <v>1.37E-2</v>
      </c>
      <c r="F42" s="5386">
        <v>2.7</v>
      </c>
      <c r="G42" s="5567">
        <v>1.884709</v>
      </c>
      <c r="H42" s="5568">
        <v>5.0887143000000004</v>
      </c>
    </row>
    <row r="43" spans="2:8" s="5605" customFormat="1" ht="35" customHeight="1">
      <c r="B43" s="5570" t="s">
        <v>2291</v>
      </c>
      <c r="C43" s="5565"/>
      <c r="D43" s="5381"/>
      <c r="E43" s="5571"/>
      <c r="F43" s="5572"/>
      <c r="G43" s="5567"/>
      <c r="H43" s="5568"/>
    </row>
    <row r="44" spans="2:8" s="5605" customFormat="1" ht="35" customHeight="1">
      <c r="B44" s="5564" t="s">
        <v>1812</v>
      </c>
      <c r="C44" s="5565">
        <v>64770</v>
      </c>
      <c r="D44" s="5384" t="s">
        <v>288</v>
      </c>
      <c r="E44" s="5566">
        <v>1.46E-2</v>
      </c>
      <c r="F44" s="5386">
        <v>2.7</v>
      </c>
      <c r="G44" s="5567">
        <v>1.9557768400000002</v>
      </c>
      <c r="H44" s="5568">
        <v>5.2805974680000007</v>
      </c>
    </row>
    <row r="45" spans="2:8" s="5605" customFormat="1" ht="35" customHeight="1">
      <c r="B45" s="5564" t="s">
        <v>1813</v>
      </c>
      <c r="C45" s="5574"/>
      <c r="D45" s="5384"/>
      <c r="E45" s="5566"/>
      <c r="F45" s="5386"/>
      <c r="G45" s="5567"/>
      <c r="H45" s="5568"/>
    </row>
    <row r="46" spans="2:8" s="5605" customFormat="1" ht="35" customHeight="1">
      <c r="B46" s="5564" t="s">
        <v>1814</v>
      </c>
      <c r="C46" s="5565">
        <v>68210</v>
      </c>
      <c r="D46" s="5384" t="s">
        <v>288</v>
      </c>
      <c r="E46" s="5566">
        <v>1.2999999999999999E-2</v>
      </c>
      <c r="F46" s="5386">
        <v>2.7</v>
      </c>
      <c r="G46" s="5567">
        <v>30</v>
      </c>
      <c r="H46" s="5568">
        <v>81</v>
      </c>
    </row>
    <row r="47" spans="2:8" s="5605" customFormat="1" ht="35" customHeight="1">
      <c r="B47" s="5564" t="s">
        <v>1815</v>
      </c>
      <c r="C47" s="5565"/>
      <c r="D47" s="5384"/>
      <c r="E47" s="5566"/>
      <c r="F47" s="5386"/>
      <c r="G47" s="5567"/>
      <c r="H47" s="5568"/>
    </row>
    <row r="48" spans="2:8" s="5605" customFormat="1" ht="35" customHeight="1">
      <c r="B48" s="5564" t="s">
        <v>1816</v>
      </c>
      <c r="C48" s="5565"/>
      <c r="D48" s="5384"/>
      <c r="E48" s="5566"/>
      <c r="F48" s="5386"/>
      <c r="G48" s="5567"/>
      <c r="H48" s="5568"/>
    </row>
    <row r="49" spans="2:8" s="5605" customFormat="1" ht="35" customHeight="1">
      <c r="B49" s="5564" t="s">
        <v>1817</v>
      </c>
      <c r="C49" s="5565"/>
      <c r="D49" s="5384"/>
      <c r="E49" s="5566"/>
      <c r="F49" s="5386"/>
      <c r="G49" s="5567"/>
      <c r="H49" s="5568"/>
    </row>
    <row r="50" spans="2:8" s="5605" customFormat="1" ht="35" customHeight="1">
      <c r="B50" s="5564" t="s">
        <v>1174</v>
      </c>
      <c r="C50" s="5565">
        <v>66820</v>
      </c>
      <c r="D50" s="5384" t="s">
        <v>288</v>
      </c>
      <c r="E50" s="5566">
        <v>1.2999999999999999E-2</v>
      </c>
      <c r="F50" s="5386">
        <v>2.7</v>
      </c>
      <c r="G50" s="5567">
        <v>6.8491574000000002</v>
      </c>
      <c r="H50" s="5568">
        <v>18.492724980000002</v>
      </c>
    </row>
    <row r="51" spans="2:8" s="5605" customFormat="1" ht="35" customHeight="1">
      <c r="B51" s="5564" t="s">
        <v>1818</v>
      </c>
      <c r="C51" s="5565"/>
      <c r="D51" s="5384"/>
      <c r="E51" s="5566"/>
      <c r="F51" s="5386"/>
      <c r="G51" s="5567"/>
      <c r="H51" s="5568"/>
    </row>
    <row r="52" spans="2:8" s="5605" customFormat="1" ht="35" customHeight="1">
      <c r="B52" s="5564" t="s">
        <v>2292</v>
      </c>
      <c r="C52" s="5565">
        <v>69710</v>
      </c>
      <c r="D52" s="5384" t="s">
        <v>288</v>
      </c>
      <c r="E52" s="5566">
        <v>7.4999999999999997E-3</v>
      </c>
      <c r="F52" s="5386">
        <v>2.7</v>
      </c>
      <c r="G52" s="5567">
        <v>0.85796692000000008</v>
      </c>
      <c r="H52" s="5568">
        <v>2.3165106840000003</v>
      </c>
    </row>
    <row r="53" spans="2:8" s="5605" customFormat="1" ht="35" customHeight="1">
      <c r="B53" s="5564" t="s">
        <v>1819</v>
      </c>
      <c r="C53" s="5565"/>
      <c r="D53" s="5384"/>
      <c r="E53" s="5566"/>
      <c r="F53" s="5386"/>
      <c r="G53" s="5567"/>
      <c r="H53" s="5568"/>
    </row>
    <row r="54" spans="2:8" s="5605" customFormat="1" ht="35" customHeight="1">
      <c r="B54" s="5564" t="s">
        <v>2293</v>
      </c>
      <c r="C54" s="5575">
        <v>71120</v>
      </c>
      <c r="D54" s="5576" t="s">
        <v>288</v>
      </c>
      <c r="E54" s="5577">
        <v>7.4999999999999997E-3</v>
      </c>
      <c r="F54" s="5578">
        <v>2.7</v>
      </c>
      <c r="G54" s="5567">
        <v>2.7362435899999999</v>
      </c>
      <c r="H54" s="5568">
        <v>7.3878576929999999</v>
      </c>
    </row>
    <row r="55" spans="2:8" s="5605" customFormat="1" ht="35" customHeight="1">
      <c r="B55" s="5564" t="s">
        <v>2294</v>
      </c>
      <c r="C55" s="5575"/>
      <c r="D55" s="5576"/>
      <c r="E55" s="5577"/>
      <c r="F55" s="5578"/>
      <c r="G55" s="5567"/>
      <c r="H55" s="5568"/>
    </row>
    <row r="56" spans="2:8" s="5605" customFormat="1" ht="35" customHeight="1">
      <c r="B56" s="5564" t="s">
        <v>1174</v>
      </c>
      <c r="C56" s="5575">
        <v>70880</v>
      </c>
      <c r="D56" s="5576" t="s">
        <v>288</v>
      </c>
      <c r="E56" s="5577">
        <v>7.4999999999999997E-3</v>
      </c>
      <c r="F56" s="5578">
        <v>2.7</v>
      </c>
      <c r="G56" s="5567">
        <v>0.14528429000000001</v>
      </c>
      <c r="H56" s="5568">
        <v>0.39226758300000003</v>
      </c>
    </row>
    <row r="57" spans="2:8" s="5607" customFormat="1" ht="35" customHeight="1">
      <c r="B57" s="5383" t="s">
        <v>283</v>
      </c>
      <c r="C57" s="5385"/>
      <c r="D57" s="5385"/>
      <c r="E57" s="5579"/>
      <c r="F57" s="5580"/>
      <c r="G57" s="5581">
        <v>0</v>
      </c>
      <c r="H57" s="5582">
        <v>2710.4161525663444</v>
      </c>
    </row>
    <row r="58" spans="2:8" s="5607" customFormat="1" ht="35" customHeight="1">
      <c r="B58" s="5383"/>
      <c r="C58" s="5385"/>
      <c r="D58" s="5385"/>
      <c r="E58" s="5579"/>
      <c r="F58" s="5580"/>
      <c r="G58" s="5567"/>
      <c r="H58" s="5568"/>
    </row>
    <row r="59" spans="2:8" s="5607" customFormat="1" ht="35" customHeight="1">
      <c r="B59" s="5383" t="s">
        <v>1175</v>
      </c>
      <c r="C59" s="5385"/>
      <c r="D59" s="5385"/>
      <c r="E59" s="5579"/>
      <c r="F59" s="5580"/>
      <c r="G59" s="5567"/>
      <c r="H59" s="5568"/>
    </row>
    <row r="60" spans="2:8" s="5607" customFormat="1" ht="35" customHeight="1">
      <c r="B60" s="5383" t="s">
        <v>1896</v>
      </c>
      <c r="C60" s="5385"/>
      <c r="D60" s="5385"/>
      <c r="E60" s="5579"/>
      <c r="F60" s="5580"/>
      <c r="G60" s="5567"/>
      <c r="H60" s="5568"/>
    </row>
    <row r="61" spans="2:8" s="5605" customFormat="1" ht="35" customHeight="1">
      <c r="B61" s="5564" t="s">
        <v>1945</v>
      </c>
      <c r="C61" s="5384"/>
      <c r="D61" s="5384"/>
      <c r="E61" s="5566"/>
      <c r="F61" s="5386"/>
      <c r="G61" s="5567"/>
      <c r="H61" s="5568"/>
    </row>
    <row r="62" spans="2:8" s="5605" customFormat="1" ht="35" customHeight="1">
      <c r="B62" s="5564" t="s">
        <v>2295</v>
      </c>
      <c r="C62" s="5384"/>
      <c r="D62" s="5384"/>
      <c r="E62" s="5566"/>
      <c r="F62" s="5386"/>
      <c r="G62" s="5567"/>
      <c r="H62" s="5568"/>
    </row>
    <row r="63" spans="2:8" s="5605" customFormat="1" ht="35" customHeight="1">
      <c r="B63" s="5564" t="s">
        <v>2296</v>
      </c>
      <c r="C63" s="5384" t="s">
        <v>331</v>
      </c>
      <c r="D63" s="5384" t="s">
        <v>288</v>
      </c>
      <c r="E63" s="5566">
        <v>0.02</v>
      </c>
      <c r="F63" s="5386">
        <v>2.7</v>
      </c>
      <c r="G63" s="5567">
        <v>0.21778392000000002</v>
      </c>
      <c r="H63" s="5568">
        <v>0.58801658400000001</v>
      </c>
    </row>
    <row r="64" spans="2:8" s="5607" customFormat="1" ht="35" customHeight="1">
      <c r="B64" s="5383" t="s">
        <v>1897</v>
      </c>
      <c r="C64" s="5385"/>
      <c r="D64" s="5385"/>
      <c r="E64" s="5579"/>
      <c r="F64" s="5580"/>
      <c r="G64" s="5567"/>
      <c r="H64" s="5568"/>
    </row>
    <row r="65" spans="2:8" s="5605" customFormat="1" ht="35" customHeight="1">
      <c r="B65" s="5564" t="s">
        <v>1945</v>
      </c>
      <c r="C65" s="5384"/>
      <c r="D65" s="5384"/>
      <c r="E65" s="5566"/>
      <c r="F65" s="5386"/>
      <c r="G65" s="5567"/>
      <c r="H65" s="5568"/>
    </row>
    <row r="66" spans="2:8" s="5605" customFormat="1" ht="35" customHeight="1">
      <c r="B66" s="5564" t="s">
        <v>2297</v>
      </c>
      <c r="C66" s="5384" t="s">
        <v>495</v>
      </c>
      <c r="D66" s="5384" t="s">
        <v>288</v>
      </c>
      <c r="E66" s="5566">
        <v>3.7499999999999999E-2</v>
      </c>
      <c r="F66" s="5386">
        <v>2.7</v>
      </c>
      <c r="G66" s="5567">
        <v>2.1948571533733303</v>
      </c>
      <c r="H66" s="5568">
        <v>5.9261143141079931</v>
      </c>
    </row>
    <row r="67" spans="2:8" s="5605" customFormat="1" ht="35" customHeight="1">
      <c r="B67" s="5564" t="s">
        <v>2298</v>
      </c>
      <c r="C67" s="5384" t="s">
        <v>495</v>
      </c>
      <c r="D67" s="5384" t="s">
        <v>288</v>
      </c>
      <c r="E67" s="5566">
        <v>2.5000000000000001E-2</v>
      </c>
      <c r="F67" s="5386">
        <v>2.7</v>
      </c>
      <c r="G67" s="5567">
        <v>0.54798712135154037</v>
      </c>
      <c r="H67" s="5568">
        <v>1.4795652276491591</v>
      </c>
    </row>
    <row r="68" spans="2:8" s="5607" customFormat="1" ht="35" customHeight="1">
      <c r="B68" s="5383" t="s">
        <v>1901</v>
      </c>
      <c r="C68" s="5385"/>
      <c r="D68" s="5385"/>
      <c r="E68" s="5579"/>
      <c r="F68" s="5580"/>
      <c r="G68" s="5567"/>
      <c r="H68" s="5568"/>
    </row>
    <row r="69" spans="2:8" s="5605" customFormat="1" ht="35" customHeight="1">
      <c r="B69" s="5383" t="s">
        <v>1946</v>
      </c>
      <c r="C69" s="5384"/>
      <c r="D69" s="5384"/>
      <c r="E69" s="5566"/>
      <c r="F69" s="5386"/>
      <c r="G69" s="5567"/>
      <c r="H69" s="5568"/>
    </row>
    <row r="70" spans="2:8" s="5605" customFormat="1" ht="35" customHeight="1">
      <c r="B70" s="5564" t="s">
        <v>2299</v>
      </c>
      <c r="C70" s="5384" t="s">
        <v>538</v>
      </c>
      <c r="D70" s="5384" t="s">
        <v>288</v>
      </c>
      <c r="E70" s="5566">
        <v>3.7499999999999999E-2</v>
      </c>
      <c r="F70" s="5386">
        <v>2.7</v>
      </c>
      <c r="G70" s="5567">
        <v>2.7909478999999999</v>
      </c>
      <c r="H70" s="5568">
        <v>7.5355593299999999</v>
      </c>
    </row>
    <row r="71" spans="2:8" s="5605" customFormat="1" ht="35" customHeight="1">
      <c r="B71" s="5564" t="s">
        <v>2300</v>
      </c>
      <c r="C71" s="5384"/>
      <c r="D71" s="5384" t="s">
        <v>288</v>
      </c>
      <c r="E71" s="5566">
        <v>2.5000000000000001E-2</v>
      </c>
      <c r="F71" s="5386">
        <v>2.7</v>
      </c>
      <c r="G71" s="5567">
        <v>3.9938497299999995</v>
      </c>
      <c r="H71" s="5568">
        <v>10.783394271000001</v>
      </c>
    </row>
    <row r="72" spans="2:8" s="5607" customFormat="1" ht="35" customHeight="1">
      <c r="B72" s="5383" t="s">
        <v>1902</v>
      </c>
      <c r="C72" s="5385"/>
      <c r="D72" s="5385"/>
      <c r="E72" s="5579"/>
      <c r="F72" s="5580"/>
      <c r="G72" s="5567"/>
      <c r="H72" s="5568"/>
    </row>
    <row r="73" spans="2:8" s="5605" customFormat="1" ht="35" customHeight="1">
      <c r="B73" s="5573" t="s">
        <v>2301</v>
      </c>
      <c r="C73" s="5384" t="s">
        <v>819</v>
      </c>
      <c r="D73" s="5384" t="s">
        <v>288</v>
      </c>
      <c r="E73" s="5566">
        <v>3.7499999999999999E-2</v>
      </c>
      <c r="F73" s="5386">
        <v>2.7</v>
      </c>
      <c r="G73" s="5567">
        <v>5.1430202099999995</v>
      </c>
      <c r="H73" s="5568">
        <v>13.886154567000002</v>
      </c>
    </row>
    <row r="74" spans="2:8" s="5607" customFormat="1" ht="35" customHeight="1">
      <c r="B74" s="5383" t="s">
        <v>1898</v>
      </c>
      <c r="C74" s="5385"/>
      <c r="D74" s="5385"/>
      <c r="E74" s="5579"/>
      <c r="F74" s="5580"/>
      <c r="G74" s="5567"/>
      <c r="H74" s="5568"/>
    </row>
    <row r="75" spans="2:8" s="5605" customFormat="1" ht="35" customHeight="1">
      <c r="B75" s="5564" t="s">
        <v>1820</v>
      </c>
      <c r="C75" s="5384"/>
      <c r="D75" s="5384" t="s">
        <v>288</v>
      </c>
      <c r="E75" s="5566">
        <v>0.03</v>
      </c>
      <c r="F75" s="5386">
        <v>2.7</v>
      </c>
      <c r="G75" s="5567">
        <v>0.65798419890316173</v>
      </c>
      <c r="H75" s="5568">
        <v>1.7765573370385366</v>
      </c>
    </row>
    <row r="76" spans="2:8" s="5607" customFormat="1" ht="35" customHeight="1">
      <c r="B76" s="5383" t="s">
        <v>1899</v>
      </c>
      <c r="C76" s="5385"/>
      <c r="D76" s="5385"/>
      <c r="E76" s="5579"/>
      <c r="F76" s="5580"/>
      <c r="G76" s="5567"/>
      <c r="H76" s="5568"/>
    </row>
    <row r="77" spans="2:8" s="5605" customFormat="1" ht="35" customHeight="1">
      <c r="B77" s="5564" t="s">
        <v>1821</v>
      </c>
      <c r="C77" s="5384"/>
      <c r="D77" s="5384" t="s">
        <v>288</v>
      </c>
      <c r="E77" s="5566" t="s">
        <v>912</v>
      </c>
      <c r="F77" s="5386">
        <v>2.7</v>
      </c>
      <c r="G77" s="5567">
        <v>29.707053329999997</v>
      </c>
      <c r="H77" s="5568">
        <v>80.209043991000001</v>
      </c>
    </row>
    <row r="78" spans="2:8" s="5607" customFormat="1" ht="35" customHeight="1">
      <c r="B78" s="5383" t="s">
        <v>1900</v>
      </c>
      <c r="C78" s="5385"/>
      <c r="D78" s="5385"/>
      <c r="E78" s="5579"/>
      <c r="F78" s="5580"/>
      <c r="G78" s="5567"/>
      <c r="H78" s="5568"/>
    </row>
    <row r="79" spans="2:8" s="5605" customFormat="1" ht="35" customHeight="1">
      <c r="B79" s="5564" t="s">
        <v>1822</v>
      </c>
      <c r="C79" s="5384"/>
      <c r="D79" s="5384" t="s">
        <v>289</v>
      </c>
      <c r="E79" s="5566" t="s">
        <v>1823</v>
      </c>
      <c r="F79" s="5386">
        <v>3.0011899999999998</v>
      </c>
      <c r="G79" s="5567">
        <v>5</v>
      </c>
      <c r="H79" s="5568">
        <v>15.005949999999999</v>
      </c>
    </row>
    <row r="80" spans="2:8" s="5607" customFormat="1" ht="35" customHeight="1">
      <c r="B80" s="5382" t="s">
        <v>333</v>
      </c>
      <c r="C80" s="5385"/>
      <c r="D80" s="5385"/>
      <c r="E80" s="5579"/>
      <c r="F80" s="5580"/>
      <c r="G80" s="5581">
        <v>0</v>
      </c>
      <c r="H80" s="5582">
        <v>137.19035562179567</v>
      </c>
    </row>
    <row r="81" spans="2:8" s="5607" customFormat="1" ht="35" customHeight="1">
      <c r="B81" s="5382" t="s">
        <v>248</v>
      </c>
      <c r="C81" s="5385"/>
      <c r="D81" s="5385"/>
      <c r="E81" s="5579"/>
      <c r="F81" s="5580"/>
      <c r="G81" s="5625">
        <v>0</v>
      </c>
      <c r="H81" s="5626">
        <v>2847.6065081881397</v>
      </c>
    </row>
    <row r="82" spans="2:8" s="5607" customFormat="1" ht="35" customHeight="1">
      <c r="B82" s="5583" t="s">
        <v>334</v>
      </c>
      <c r="C82" s="5584"/>
      <c r="D82" s="5584"/>
      <c r="E82" s="5585"/>
      <c r="F82" s="5586"/>
      <c r="G82" s="5581">
        <v>0</v>
      </c>
      <c r="H82" s="5582">
        <v>294.24046497179569</v>
      </c>
    </row>
    <row r="83" spans="2:8" s="5607" customFormat="1" ht="35" customHeight="1">
      <c r="B83" s="5382" t="s">
        <v>496</v>
      </c>
      <c r="C83" s="5385"/>
      <c r="D83" s="5385"/>
      <c r="E83" s="5579"/>
      <c r="F83" s="5580"/>
      <c r="G83" s="5581">
        <v>0</v>
      </c>
      <c r="H83" s="5582">
        <v>0</v>
      </c>
    </row>
    <row r="84" spans="2:8" s="5607" customFormat="1" ht="35" customHeight="1">
      <c r="B84" s="5382" t="s">
        <v>335</v>
      </c>
      <c r="C84" s="5385"/>
      <c r="D84" s="5385"/>
      <c r="E84" s="5579"/>
      <c r="F84" s="5580"/>
      <c r="G84" s="5581">
        <v>0</v>
      </c>
      <c r="H84" s="5582">
        <v>4489.2546123213442</v>
      </c>
    </row>
    <row r="85" spans="2:8" s="5607" customFormat="1" ht="35" customHeight="1">
      <c r="B85" s="5382" t="s">
        <v>336</v>
      </c>
      <c r="C85" s="5385"/>
      <c r="D85" s="5385"/>
      <c r="E85" s="5579"/>
      <c r="F85" s="5580"/>
      <c r="G85" s="5625">
        <v>0</v>
      </c>
      <c r="H85" s="5626">
        <v>4783.4950772931406</v>
      </c>
    </row>
    <row r="86" spans="2:8" s="5608" customFormat="1" ht="35" customHeight="1">
      <c r="B86" s="5587" t="s">
        <v>913</v>
      </c>
      <c r="C86" s="5588"/>
      <c r="D86" s="5588"/>
      <c r="E86" s="5589"/>
      <c r="F86" s="5590"/>
      <c r="G86" s="5567"/>
      <c r="H86" s="5568"/>
    </row>
    <row r="87" spans="2:8" s="5608" customFormat="1" ht="35" customHeight="1">
      <c r="B87" s="5591" t="s">
        <v>914</v>
      </c>
      <c r="C87" s="5592"/>
      <c r="D87" s="5592"/>
      <c r="E87" s="5593"/>
      <c r="F87" s="5594"/>
      <c r="G87" s="5567">
        <v>0</v>
      </c>
      <c r="H87" s="5568">
        <f>(SUM(H88:H90))/1000000</f>
        <v>1.0373779379000001E-4</v>
      </c>
    </row>
    <row r="88" spans="2:8" s="5609" customFormat="1" ht="35" customHeight="1">
      <c r="B88" s="5595" t="s">
        <v>744</v>
      </c>
      <c r="C88" s="5596"/>
      <c r="D88" s="5596"/>
      <c r="E88" s="5597"/>
      <c r="F88" s="5598"/>
      <c r="G88" s="5567">
        <v>0</v>
      </c>
      <c r="H88" s="5568">
        <v>0</v>
      </c>
    </row>
    <row r="89" spans="2:8" s="5609" customFormat="1" ht="35" customHeight="1">
      <c r="B89" s="5595" t="s">
        <v>745</v>
      </c>
      <c r="C89" s="5596"/>
      <c r="D89" s="5596"/>
      <c r="E89" s="5597"/>
      <c r="F89" s="5598"/>
      <c r="G89" s="5567">
        <v>0</v>
      </c>
      <c r="H89" s="5568">
        <v>0</v>
      </c>
    </row>
    <row r="90" spans="2:8" s="5609" customFormat="1" ht="35" customHeight="1" thickBot="1">
      <c r="B90" s="5599" t="s">
        <v>746</v>
      </c>
      <c r="C90" s="5600"/>
      <c r="D90" s="5600"/>
      <c r="E90" s="5601"/>
      <c r="F90" s="5602"/>
      <c r="G90" s="5603">
        <v>0</v>
      </c>
      <c r="H90" s="5604">
        <v>103.73779379000001</v>
      </c>
    </row>
    <row r="91" spans="2:8" ht="56.25" customHeight="1"/>
  </sheetData>
  <mergeCells count="4">
    <mergeCell ref="B1:H1"/>
    <mergeCell ref="B2:H2"/>
    <mergeCell ref="B3:H3"/>
    <mergeCell ref="G4:H4"/>
  </mergeCells>
  <printOptions horizontalCentered="1" verticalCentered="1"/>
  <pageMargins left="0" right="0" top="0.75" bottom="0.75" header="0.3" footer="0.3"/>
  <pageSetup scale="15" firstPageNumber="103" fitToWidth="0" orientation="landscape" useFirstPageNumber="1" r:id="rId1"/>
  <headerFooter scaleWithDoc="0" alignWithMargins="0">
    <oddFooter xml:space="preserve">&amp;C141
</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tabColor theme="9" tint="-0.249977111117893"/>
    <pageSetUpPr fitToPage="1"/>
  </sheetPr>
  <dimension ref="B1:V73"/>
  <sheetViews>
    <sheetView showGridLines="0" view="pageBreakPreview" topLeftCell="B1" zoomScale="40" zoomScaleNormal="100" zoomScaleSheetLayoutView="40" workbookViewId="0">
      <selection activeCell="B44" sqref="B44"/>
    </sheetView>
  </sheetViews>
  <sheetFormatPr defaultColWidth="9.46484375" defaultRowHeight="25.25" customHeight="1"/>
  <cols>
    <col min="1" max="1" width="9.46484375" style="1155"/>
    <col min="2" max="2" width="80.6640625" style="1155" customWidth="1"/>
    <col min="3" max="3" width="19.46484375" style="1214" hidden="1" customWidth="1"/>
    <col min="4" max="4" width="10.46484375" style="299" hidden="1" customWidth="1"/>
    <col min="5" max="5" width="19.46484375" style="1213" hidden="1" customWidth="1"/>
    <col min="6" max="6" width="9.46484375" style="299" hidden="1" customWidth="1"/>
    <col min="7" max="7" width="19.46484375" style="1155" hidden="1" customWidth="1"/>
    <col min="8" max="8" width="10" style="1214" hidden="1" customWidth="1"/>
    <col min="9" max="9" width="24.46484375" style="1155" hidden="1" customWidth="1"/>
    <col min="10" max="10" width="12.46484375" style="1155" hidden="1" customWidth="1"/>
    <col min="11" max="11" width="51.33203125" style="1160" hidden="1" customWidth="1"/>
    <col min="12" max="12" width="23.46484375" style="1155" hidden="1" customWidth="1"/>
    <col min="13" max="13" width="51.33203125" style="1155" bestFit="1" customWidth="1"/>
    <col min="14" max="14" width="23.46484375" style="1155" customWidth="1"/>
    <col min="15" max="15" width="51.33203125" style="1155" bestFit="1" customWidth="1"/>
    <col min="16" max="16" width="27.33203125" style="1155" customWidth="1"/>
    <col min="17" max="17" width="48" style="1155" bestFit="1" customWidth="1"/>
    <col min="18" max="18" width="29.33203125" style="297" customWidth="1"/>
    <col min="19" max="19" width="48" style="1155" bestFit="1" customWidth="1"/>
    <col min="20" max="20" width="26.33203125" style="297" customWidth="1"/>
    <col min="21" max="21" width="47.1328125" style="1155" customWidth="1"/>
    <col min="22" max="22" width="26.6640625" style="1155" customWidth="1"/>
    <col min="23" max="24" width="9.46484375" style="1155"/>
    <col min="25" max="25" width="24.33203125" style="1155" bestFit="1" customWidth="1"/>
    <col min="26" max="16384" width="9.46484375" style="1155"/>
  </cols>
  <sheetData>
    <row r="1" spans="2:22" ht="40.25" customHeight="1">
      <c r="B1" s="5908" t="s">
        <v>1392</v>
      </c>
      <c r="C1" s="5908"/>
      <c r="D1" s="5908"/>
      <c r="E1" s="5908"/>
      <c r="F1" s="5908"/>
      <c r="G1" s="5908"/>
      <c r="H1" s="5908"/>
      <c r="I1" s="5908"/>
      <c r="J1" s="5908"/>
      <c r="K1" s="5908"/>
      <c r="L1" s="5908"/>
      <c r="M1" s="5908"/>
      <c r="N1" s="5908"/>
      <c r="O1" s="5908"/>
      <c r="P1" s="5908"/>
      <c r="Q1" s="5908"/>
      <c r="R1" s="5908"/>
      <c r="S1" s="5908"/>
      <c r="T1" s="5908"/>
      <c r="U1" s="5908"/>
      <c r="V1" s="5908"/>
    </row>
    <row r="2" spans="2:22" ht="40.25" customHeight="1">
      <c r="B2" s="5908" t="s">
        <v>463</v>
      </c>
      <c r="C2" s="5908"/>
      <c r="D2" s="5908"/>
      <c r="E2" s="5908"/>
      <c r="F2" s="5908"/>
      <c r="G2" s="5908"/>
      <c r="H2" s="5908"/>
      <c r="I2" s="5908"/>
      <c r="J2" s="5908"/>
      <c r="K2" s="5908"/>
      <c r="L2" s="5908"/>
      <c r="M2" s="5908"/>
      <c r="N2" s="5908"/>
      <c r="O2" s="5908"/>
      <c r="P2" s="5908"/>
      <c r="Q2" s="5908"/>
      <c r="R2" s="5908"/>
      <c r="S2" s="5908"/>
      <c r="T2" s="5908"/>
      <c r="U2" s="5908"/>
      <c r="V2" s="5908"/>
    </row>
    <row r="3" spans="2:22" ht="40.25" customHeight="1">
      <c r="B3" s="5908" t="s">
        <v>1969</v>
      </c>
      <c r="C3" s="5908"/>
      <c r="D3" s="5908"/>
      <c r="E3" s="5908"/>
      <c r="F3" s="5908"/>
      <c r="G3" s="5908"/>
      <c r="H3" s="5908"/>
      <c r="I3" s="5908"/>
      <c r="J3" s="5908"/>
      <c r="K3" s="5908"/>
      <c r="L3" s="5908"/>
      <c r="M3" s="5908"/>
      <c r="N3" s="5908"/>
      <c r="O3" s="5908"/>
      <c r="P3" s="5908"/>
      <c r="Q3" s="5908"/>
      <c r="R3" s="5908"/>
      <c r="S3" s="5908"/>
      <c r="T3" s="5908"/>
      <c r="U3" s="5908"/>
      <c r="V3" s="5908"/>
    </row>
    <row r="4" spans="2:22" ht="25.25" customHeight="1" thickBot="1">
      <c r="B4" s="1156"/>
      <c r="C4" s="1157"/>
      <c r="D4" s="1158"/>
      <c r="E4" s="1159"/>
      <c r="F4" s="1158"/>
      <c r="G4" s="1156"/>
      <c r="H4" s="1157"/>
      <c r="I4" s="1156"/>
      <c r="J4" s="1156"/>
    </row>
    <row r="5" spans="2:22" ht="40.25" customHeight="1" thickBot="1">
      <c r="B5" s="1161"/>
      <c r="C5" s="5910">
        <v>2012</v>
      </c>
      <c r="D5" s="5913"/>
      <c r="E5" s="5914">
        <v>2013</v>
      </c>
      <c r="F5" s="5913"/>
      <c r="G5" s="5914">
        <v>2014</v>
      </c>
      <c r="H5" s="5909"/>
      <c r="I5" s="5915">
        <v>2015</v>
      </c>
      <c r="J5" s="5915"/>
      <c r="K5" s="5909">
        <v>2018</v>
      </c>
      <c r="L5" s="5911"/>
      <c r="M5" s="5909">
        <v>2019</v>
      </c>
      <c r="N5" s="5911"/>
      <c r="O5" s="5909">
        <v>2020</v>
      </c>
      <c r="P5" s="5911"/>
      <c r="Q5" s="5909">
        <v>2021</v>
      </c>
      <c r="R5" s="5911"/>
      <c r="S5" s="5909">
        <v>2022</v>
      </c>
      <c r="T5" s="5911"/>
      <c r="U5" s="5909">
        <v>2023</v>
      </c>
      <c r="V5" s="5910"/>
    </row>
    <row r="6" spans="2:22" ht="36" customHeight="1" thickBot="1">
      <c r="B6" s="5909" t="s">
        <v>330</v>
      </c>
      <c r="C6" s="5912"/>
      <c r="D6" s="5912"/>
      <c r="E6" s="5912"/>
      <c r="F6" s="5912"/>
      <c r="G6" s="5912"/>
      <c r="H6" s="5912"/>
      <c r="I6" s="5912"/>
      <c r="J6" s="5912"/>
      <c r="K6" s="5912"/>
      <c r="L6" s="5912"/>
      <c r="M6" s="5912"/>
      <c r="N6" s="5912"/>
      <c r="O6" s="5912"/>
      <c r="P6" s="5912"/>
      <c r="Q6" s="5912"/>
      <c r="R6" s="5912"/>
      <c r="S6" s="5912"/>
      <c r="T6" s="5912"/>
      <c r="U6" s="5912"/>
      <c r="V6" s="5910"/>
    </row>
    <row r="7" spans="2:22" ht="50" customHeight="1">
      <c r="B7" s="2656" t="s">
        <v>343</v>
      </c>
      <c r="C7" s="1173">
        <v>325162769.75627923</v>
      </c>
      <c r="D7" s="1163">
        <f t="shared" ref="D7:D14" si="0">+C7/$C$27</f>
        <v>0.29559753716463988</v>
      </c>
      <c r="E7" s="1162">
        <v>312668755.01861197</v>
      </c>
      <c r="F7" s="1163">
        <f t="shared" ref="F7:F14" si="1">+E7/$E$27</f>
        <v>0.24953976959559498</v>
      </c>
      <c r="G7" s="1162">
        <v>331123296.86264694</v>
      </c>
      <c r="H7" s="1164">
        <f t="shared" ref="H7:H14" si="2">+G7/$G$27</f>
        <v>0.24235686957334213</v>
      </c>
      <c r="I7" s="1165">
        <f>+[189]DEC2015!B607</f>
        <v>326925460.78001404</v>
      </c>
      <c r="J7" s="1166">
        <f t="shared" ref="J7:J14" si="3">I7/$I$27</f>
        <v>0.24572538038917544</v>
      </c>
      <c r="K7" s="2653">
        <v>302751877.40300602</v>
      </c>
      <c r="L7" s="1167">
        <f t="shared" ref="L7:L14" si="4">+K7/$K$27</f>
        <v>0.19155640462468093</v>
      </c>
      <c r="M7" s="4833">
        <v>318.46006622125151</v>
      </c>
      <c r="N7" s="1167">
        <f t="shared" ref="N7:N14" si="5">M7/$M$27</f>
        <v>0.19411845779008605</v>
      </c>
      <c r="O7" s="4833">
        <v>409.32716160121731</v>
      </c>
      <c r="P7" s="1166">
        <f t="shared" ref="P7:P14" si="6">O7/$O$27</f>
        <v>0.21761642835183539</v>
      </c>
      <c r="Q7" s="4833">
        <v>451.90415366826011</v>
      </c>
      <c r="R7" s="1166">
        <f t="shared" ref="R7:R14" si="7">Q7/$Q$27</f>
        <v>0.20782007936398431</v>
      </c>
      <c r="S7" s="4833">
        <v>448.12965985</v>
      </c>
      <c r="T7" s="1166">
        <f t="shared" ref="T7:T14" si="8">S7/$S$27</f>
        <v>0.20143563834022582</v>
      </c>
      <c r="U7" s="4833">
        <v>436.95886667606999</v>
      </c>
      <c r="V7" s="1166">
        <f>U7/$U$27</f>
        <v>0.16121467777645052</v>
      </c>
    </row>
    <row r="8" spans="2:22" ht="50" customHeight="1">
      <c r="B8" s="1172" t="s">
        <v>504</v>
      </c>
      <c r="C8" s="1173">
        <v>712240</v>
      </c>
      <c r="D8" s="1163">
        <f t="shared" si="0"/>
        <v>6.4747999910305665E-4</v>
      </c>
      <c r="E8" s="1162">
        <v>371700</v>
      </c>
      <c r="F8" s="1163">
        <f t="shared" si="1"/>
        <v>2.9665238649497091E-4</v>
      </c>
      <c r="G8" s="1162">
        <v>0</v>
      </c>
      <c r="H8" s="1164">
        <f t="shared" si="2"/>
        <v>0</v>
      </c>
      <c r="I8" s="1165">
        <f>+[189]DEC2015!B608</f>
        <v>0</v>
      </c>
      <c r="J8" s="1166">
        <f t="shared" si="3"/>
        <v>0</v>
      </c>
      <c r="K8" s="2652">
        <v>0</v>
      </c>
      <c r="L8" s="1167">
        <f t="shared" si="4"/>
        <v>0</v>
      </c>
      <c r="M8" s="4833">
        <v>0</v>
      </c>
      <c r="N8" s="1167">
        <f t="shared" si="5"/>
        <v>0</v>
      </c>
      <c r="O8" s="4833">
        <v>0</v>
      </c>
      <c r="P8" s="1166">
        <f t="shared" si="6"/>
        <v>0</v>
      </c>
      <c r="Q8" s="4833">
        <v>0</v>
      </c>
      <c r="R8" s="1166">
        <f t="shared" si="7"/>
        <v>0</v>
      </c>
      <c r="S8" s="4833">
        <v>0</v>
      </c>
      <c r="T8" s="1166">
        <f t="shared" si="8"/>
        <v>0</v>
      </c>
      <c r="U8" s="4833">
        <v>0</v>
      </c>
      <c r="V8" s="1166">
        <f t="shared" ref="V8:V27" si="9">U8/$U$27</f>
        <v>0</v>
      </c>
    </row>
    <row r="9" spans="2:22" ht="50" customHeight="1">
      <c r="B9" s="1172" t="s">
        <v>505</v>
      </c>
      <c r="C9" s="1173">
        <v>1053657.0753880001</v>
      </c>
      <c r="D9" s="1163">
        <f t="shared" si="0"/>
        <v>9.5785392877000962E-4</v>
      </c>
      <c r="E9" s="1162">
        <v>754088.59401499992</v>
      </c>
      <c r="F9" s="1163">
        <f t="shared" si="1"/>
        <v>6.0183530008928437E-4</v>
      </c>
      <c r="G9" s="1162">
        <v>425643.22534499998</v>
      </c>
      <c r="H9" s="1164">
        <f t="shared" si="2"/>
        <v>3.1153821137660864E-4</v>
      </c>
      <c r="I9" s="1165">
        <f>+[189]DEC2015!B609</f>
        <v>135673.82699000003</v>
      </c>
      <c r="J9" s="1166">
        <f t="shared" si="3"/>
        <v>1.0197585304745105E-4</v>
      </c>
      <c r="K9" s="2652">
        <v>0</v>
      </c>
      <c r="L9" s="1167">
        <f t="shared" si="4"/>
        <v>0</v>
      </c>
      <c r="M9" s="4833">
        <v>0</v>
      </c>
      <c r="N9" s="1167">
        <f t="shared" si="5"/>
        <v>0</v>
      </c>
      <c r="O9" s="4833">
        <v>0</v>
      </c>
      <c r="P9" s="1166">
        <f t="shared" si="6"/>
        <v>0</v>
      </c>
      <c r="Q9" s="4833">
        <v>0</v>
      </c>
      <c r="R9" s="1166">
        <f t="shared" si="7"/>
        <v>0</v>
      </c>
      <c r="S9" s="4833">
        <v>0</v>
      </c>
      <c r="T9" s="1166">
        <f t="shared" si="8"/>
        <v>0</v>
      </c>
      <c r="U9" s="4833">
        <v>0</v>
      </c>
      <c r="V9" s="1166">
        <f t="shared" si="9"/>
        <v>0</v>
      </c>
    </row>
    <row r="10" spans="2:22" ht="50" customHeight="1">
      <c r="B10" s="1172" t="s">
        <v>329</v>
      </c>
      <c r="C10" s="1173">
        <v>51235381.41300001</v>
      </c>
      <c r="D10" s="1163">
        <f t="shared" si="0"/>
        <v>4.6576834650306098E-2</v>
      </c>
      <c r="E10" s="1162">
        <v>51235381.41300001</v>
      </c>
      <c r="F10" s="1163">
        <f t="shared" si="1"/>
        <v>4.0890767202438873E-2</v>
      </c>
      <c r="G10" s="1162">
        <v>45673987.125</v>
      </c>
      <c r="H10" s="1164">
        <f t="shared" si="2"/>
        <v>3.3429857232726894E-2</v>
      </c>
      <c r="I10" s="1165">
        <f>+[189]DEC2015!B610</f>
        <v>35667701.549999997</v>
      </c>
      <c r="J10" s="1166">
        <f t="shared" si="3"/>
        <v>2.6808739552037761E-2</v>
      </c>
      <c r="K10" s="2652">
        <v>12365652.969000001</v>
      </c>
      <c r="L10" s="1167">
        <f t="shared" si="4"/>
        <v>7.8239647723969234E-3</v>
      </c>
      <c r="M10" s="4833">
        <v>4.2899535090000001</v>
      </c>
      <c r="N10" s="1167">
        <f t="shared" si="5"/>
        <v>2.6149563084612464E-3</v>
      </c>
      <c r="O10" s="4833">
        <v>84.708183807000012</v>
      </c>
      <c r="P10" s="1166">
        <f t="shared" si="6"/>
        <v>4.5034618128295983E-2</v>
      </c>
      <c r="Q10" s="4833">
        <v>80.868310199999996</v>
      </c>
      <c r="R10" s="1166">
        <f t="shared" si="7"/>
        <v>3.7189431669027141E-2</v>
      </c>
      <c r="S10" s="4833">
        <v>76.875134400000007</v>
      </c>
      <c r="T10" s="1166">
        <f t="shared" si="8"/>
        <v>3.4555605570802866E-2</v>
      </c>
      <c r="U10" s="4833">
        <v>77.521692599999994</v>
      </c>
      <c r="V10" s="1166">
        <f t="shared" si="9"/>
        <v>2.8601398544130928E-2</v>
      </c>
    </row>
    <row r="11" spans="2:22" ht="50" customHeight="1">
      <c r="B11" s="1172" t="s">
        <v>337</v>
      </c>
      <c r="C11" s="1173">
        <v>173243664.9537048</v>
      </c>
      <c r="D11" s="1163">
        <f t="shared" si="0"/>
        <v>0.15749158714595507</v>
      </c>
      <c r="E11" s="1162">
        <v>190815375.60784423</v>
      </c>
      <c r="F11" s="1163">
        <f t="shared" si="1"/>
        <v>0.15228904103847526</v>
      </c>
      <c r="G11" s="1162">
        <v>196442120.08625099</v>
      </c>
      <c r="H11" s="1164">
        <f t="shared" si="2"/>
        <v>0.14378057275807762</v>
      </c>
      <c r="I11" s="1165">
        <f>+[189]DEC2015!B611</f>
        <v>194089433.52141204</v>
      </c>
      <c r="J11" s="1166">
        <f t="shared" si="3"/>
        <v>0.1458824888333205</v>
      </c>
      <c r="K11" s="2652">
        <v>229127655.8508085</v>
      </c>
      <c r="L11" s="1167">
        <f t="shared" si="4"/>
        <v>0.14497307277284721</v>
      </c>
      <c r="M11" s="4833">
        <v>243.34312949303941</v>
      </c>
      <c r="N11" s="1167">
        <f t="shared" si="5"/>
        <v>0.14833066378308052</v>
      </c>
      <c r="O11" s="4833">
        <v>306.56116027152069</v>
      </c>
      <c r="P11" s="1166">
        <f t="shared" si="6"/>
        <v>0.16298147552367195</v>
      </c>
      <c r="Q11" s="4833">
        <v>423.77694983532098</v>
      </c>
      <c r="R11" s="1166">
        <f t="shared" si="7"/>
        <v>0.19488504062756357</v>
      </c>
      <c r="S11" s="4833">
        <v>445.69213951999996</v>
      </c>
      <c r="T11" s="1166">
        <f t="shared" si="8"/>
        <v>0.2003399655748811</v>
      </c>
      <c r="U11" s="4833">
        <v>500.10602983235424</v>
      </c>
      <c r="V11" s="1166">
        <f t="shared" si="9"/>
        <v>0.18451263631927195</v>
      </c>
    </row>
    <row r="12" spans="2:22" ht="50" customHeight="1">
      <c r="B12" s="1172" t="s">
        <v>338</v>
      </c>
      <c r="C12" s="1173">
        <v>41758043.886</v>
      </c>
      <c r="D12" s="1163">
        <f t="shared" si="0"/>
        <v>3.7961218434590424E-2</v>
      </c>
      <c r="E12" s="1162">
        <v>36136488.932999998</v>
      </c>
      <c r="F12" s="1163">
        <f t="shared" si="1"/>
        <v>2.8840397313757211E-2</v>
      </c>
      <c r="G12" s="1162">
        <v>30882221.973000001</v>
      </c>
      <c r="H12" s="1164">
        <f t="shared" si="2"/>
        <v>2.2603419070057189E-2</v>
      </c>
      <c r="I12" s="1165">
        <f>+[189]DEC2015!B612</f>
        <v>25409748.465</v>
      </c>
      <c r="J12" s="1166">
        <f t="shared" si="3"/>
        <v>1.9098604594020338E-2</v>
      </c>
      <c r="K12" s="2652">
        <v>11882365.631999999</v>
      </c>
      <c r="L12" s="1167">
        <f t="shared" si="4"/>
        <v>7.5181804269108541E-3</v>
      </c>
      <c r="M12" s="4833">
        <v>9.4283593920000008</v>
      </c>
      <c r="N12" s="1167">
        <f t="shared" si="5"/>
        <v>5.7470897572261415E-3</v>
      </c>
      <c r="O12" s="4833">
        <v>8.4239999999999995</v>
      </c>
      <c r="P12" s="1166">
        <f t="shared" si="6"/>
        <v>4.4785710903344298E-3</v>
      </c>
      <c r="Q12" s="4833">
        <v>7.9920000000000009</v>
      </c>
      <c r="R12" s="1166">
        <f t="shared" si="7"/>
        <v>3.6753326137741525E-3</v>
      </c>
      <c r="S12" s="4833">
        <v>7.56</v>
      </c>
      <c r="T12" s="1166">
        <f t="shared" si="8"/>
        <v>3.398242879888476E-3</v>
      </c>
      <c r="U12" s="4833">
        <v>7.128000000000001</v>
      </c>
      <c r="V12" s="1166">
        <f t="shared" si="9"/>
        <v>2.6298544573130915E-3</v>
      </c>
    </row>
    <row r="13" spans="2:22" ht="50" customHeight="1">
      <c r="B13" s="1172" t="s">
        <v>339</v>
      </c>
      <c r="C13" s="1173">
        <v>26265597.694511998</v>
      </c>
      <c r="D13" s="1163">
        <f t="shared" si="0"/>
        <v>2.3877413753347013E-2</v>
      </c>
      <c r="E13" s="1162">
        <v>24555468.382830001</v>
      </c>
      <c r="F13" s="1163">
        <f t="shared" si="1"/>
        <v>1.959762791839743E-2</v>
      </c>
      <c r="G13" s="1162">
        <v>19526099.382819001</v>
      </c>
      <c r="H13" s="1164">
        <f t="shared" si="2"/>
        <v>1.4291607888166736E-2</v>
      </c>
      <c r="I13" s="1165">
        <f>+[189]DEC2015!B613</f>
        <v>15357588.677991001</v>
      </c>
      <c r="J13" s="1166">
        <f t="shared" si="3"/>
        <v>1.154314904307549E-2</v>
      </c>
      <c r="K13" s="2652">
        <v>9205433.0788570009</v>
      </c>
      <c r="L13" s="1167">
        <f t="shared" si="4"/>
        <v>5.8244384105062717E-3</v>
      </c>
      <c r="M13" s="4833">
        <v>6.7545537902730013</v>
      </c>
      <c r="N13" s="1167">
        <f t="shared" si="5"/>
        <v>4.1172621119692438E-3</v>
      </c>
      <c r="O13" s="4833">
        <v>4.9358729396751011</v>
      </c>
      <c r="P13" s="1166">
        <f t="shared" si="6"/>
        <v>2.6241284251178687E-3</v>
      </c>
      <c r="Q13" s="4833">
        <v>4.7466339051869006</v>
      </c>
      <c r="R13" s="1166">
        <f t="shared" si="7"/>
        <v>2.1828651648372849E-3</v>
      </c>
      <c r="S13" s="4833">
        <v>2.9601134199999999</v>
      </c>
      <c r="T13" s="1166">
        <f t="shared" si="8"/>
        <v>1.3305799408964718E-3</v>
      </c>
      <c r="U13" s="4833">
        <v>2.1903968829200999</v>
      </c>
      <c r="V13" s="1166">
        <f t="shared" si="9"/>
        <v>8.0814043291696492E-4</v>
      </c>
    </row>
    <row r="14" spans="2:22" ht="50" customHeight="1">
      <c r="B14" s="1172" t="s">
        <v>340</v>
      </c>
      <c r="C14" s="1173">
        <v>34999438.767945997</v>
      </c>
      <c r="D14" s="1163">
        <f t="shared" si="0"/>
        <v>3.1817135490954121E-2</v>
      </c>
      <c r="E14" s="1162">
        <v>36149717.371048495</v>
      </c>
      <c r="F14" s="1163">
        <f t="shared" si="1"/>
        <v>2.8850954880926132E-2</v>
      </c>
      <c r="G14" s="1162">
        <v>32526188.504992001</v>
      </c>
      <c r="H14" s="1164">
        <f t="shared" si="2"/>
        <v>2.3806676545903703E-2</v>
      </c>
      <c r="I14" s="1165">
        <f>+[189]DEC2015!$B$615</f>
        <v>28342581.559949998</v>
      </c>
      <c r="J14" s="1166">
        <f t="shared" si="3"/>
        <v>2.1302995546487284E-2</v>
      </c>
      <c r="K14" s="2652">
        <v>19513958.910016999</v>
      </c>
      <c r="L14" s="1167">
        <f t="shared" si="4"/>
        <v>1.2346822886322748E-2</v>
      </c>
      <c r="M14" s="4833">
        <v>16.512019490736002</v>
      </c>
      <c r="N14" s="1167">
        <f t="shared" si="5"/>
        <v>1.0064959781533886E-2</v>
      </c>
      <c r="O14" s="4833">
        <v>14.830423760927999</v>
      </c>
      <c r="P14" s="1166">
        <f t="shared" si="6"/>
        <v>7.8845093913937504E-3</v>
      </c>
      <c r="Q14" s="4833">
        <v>12.711474870003</v>
      </c>
      <c r="R14" s="1166">
        <f t="shared" si="7"/>
        <v>5.8457079778394113E-3</v>
      </c>
      <c r="S14" s="4833">
        <v>10.39420911</v>
      </c>
      <c r="T14" s="1166">
        <f t="shared" si="8"/>
        <v>4.6722284523980735E-3</v>
      </c>
      <c r="U14" s="4833">
        <v>8.1978283100000002</v>
      </c>
      <c r="V14" s="1166">
        <f t="shared" si="9"/>
        <v>3.024564439020896E-3</v>
      </c>
    </row>
    <row r="15" spans="2:22" ht="50" customHeight="1">
      <c r="B15" s="1172" t="s">
        <v>1976</v>
      </c>
      <c r="C15" s="1173"/>
      <c r="D15" s="3116"/>
      <c r="E15" s="3115"/>
      <c r="F15" s="3116"/>
      <c r="G15" s="3115"/>
      <c r="H15" s="3117"/>
      <c r="I15" s="1165"/>
      <c r="J15" s="3118"/>
      <c r="K15" s="2652">
        <v>0</v>
      </c>
      <c r="L15" s="3119">
        <v>0</v>
      </c>
      <c r="M15" s="4833">
        <v>0</v>
      </c>
      <c r="N15" s="3119">
        <v>0</v>
      </c>
      <c r="O15" s="4833">
        <v>0</v>
      </c>
      <c r="P15" s="3118">
        <v>0</v>
      </c>
      <c r="Q15" s="4833">
        <v>0</v>
      </c>
      <c r="R15" s="3118">
        <v>0</v>
      </c>
      <c r="S15" s="4833">
        <v>0</v>
      </c>
      <c r="T15" s="3118">
        <v>0</v>
      </c>
      <c r="U15" s="4833">
        <v>2.53125</v>
      </c>
      <c r="V15" s="1166">
        <f t="shared" si="9"/>
        <v>9.3389717944356932E-4</v>
      </c>
    </row>
    <row r="16" spans="2:22" ht="50" customHeight="1">
      <c r="B16" s="1172" t="s">
        <v>341</v>
      </c>
      <c r="C16" s="1173">
        <v>13989582.607000001</v>
      </c>
      <c r="D16" s="1163">
        <f>+C16/$C$27</f>
        <v>1.2717588079625544E-2</v>
      </c>
      <c r="E16" s="1162">
        <v>8666666.6655000001</v>
      </c>
      <c r="F16" s="1163">
        <f>+E16/$E$27</f>
        <v>6.9168344075248508E-3</v>
      </c>
      <c r="G16" s="1162">
        <v>5875000</v>
      </c>
      <c r="H16" s="1164">
        <f>+G16/$G$27</f>
        <v>4.3000496257260025E-3</v>
      </c>
      <c r="I16" s="1165">
        <f>+[189]DEC2015!$B$617</f>
        <v>3083333.3310000002</v>
      </c>
      <c r="J16" s="1166">
        <f>I16/$I$27</f>
        <v>2.3175107066268487E-3</v>
      </c>
      <c r="K16" s="2652">
        <v>0</v>
      </c>
      <c r="L16" s="1167">
        <f t="shared" ref="L16:L26" si="10">+K16/$K$27</f>
        <v>0</v>
      </c>
      <c r="M16" s="4833">
        <v>0</v>
      </c>
      <c r="N16" s="1167">
        <f t="shared" ref="N16:N27" si="11">M16/$M$27</f>
        <v>0</v>
      </c>
      <c r="O16" s="4833">
        <v>0</v>
      </c>
      <c r="P16" s="1166">
        <f t="shared" ref="P16:P26" si="12">O16/$O$27</f>
        <v>0</v>
      </c>
      <c r="Q16" s="4833">
        <v>0</v>
      </c>
      <c r="R16" s="1166">
        <f t="shared" ref="R16:R26" si="13">Q16/$Q$27</f>
        <v>0</v>
      </c>
      <c r="S16" s="4833">
        <v>0</v>
      </c>
      <c r="T16" s="1166">
        <f>S16/$S$27</f>
        <v>0</v>
      </c>
      <c r="U16" s="4833">
        <v>0</v>
      </c>
      <c r="V16" s="1166">
        <f t="shared" si="9"/>
        <v>0</v>
      </c>
    </row>
    <row r="17" spans="2:22" ht="50" customHeight="1">
      <c r="B17" s="1172" t="s">
        <v>342</v>
      </c>
      <c r="C17" s="1173">
        <v>71407142.861000001</v>
      </c>
      <c r="D17" s="1163">
        <f>+C17/$C$27</f>
        <v>6.4914490614950193E-2</v>
      </c>
      <c r="E17" s="1162">
        <v>63500000</v>
      </c>
      <c r="F17" s="1163">
        <f>+E17/$E$27</f>
        <v>5.0679113646571572E-2</v>
      </c>
      <c r="G17" s="1162">
        <v>63500000</v>
      </c>
      <c r="H17" s="1164">
        <f>+G17/$G$27</f>
        <v>4.647713212486828E-2</v>
      </c>
      <c r="I17" s="1165">
        <v>0</v>
      </c>
      <c r="J17" s="1166">
        <f>I17/$I$27</f>
        <v>0</v>
      </c>
      <c r="K17" s="2652">
        <v>0</v>
      </c>
      <c r="L17" s="1167">
        <f t="shared" si="10"/>
        <v>0</v>
      </c>
      <c r="M17" s="4833">
        <v>0</v>
      </c>
      <c r="N17" s="1167">
        <f t="shared" si="11"/>
        <v>0</v>
      </c>
      <c r="O17" s="4833">
        <v>0</v>
      </c>
      <c r="P17" s="1166">
        <f t="shared" si="12"/>
        <v>0</v>
      </c>
      <c r="Q17" s="4833">
        <v>0</v>
      </c>
      <c r="R17" s="1166">
        <f t="shared" si="13"/>
        <v>0</v>
      </c>
      <c r="S17" s="4833">
        <v>0</v>
      </c>
      <c r="T17" s="1166">
        <f>S17/$S$27</f>
        <v>0</v>
      </c>
      <c r="U17" s="4833">
        <v>0</v>
      </c>
      <c r="V17" s="1166">
        <f t="shared" si="9"/>
        <v>0</v>
      </c>
    </row>
    <row r="18" spans="2:22" ht="93" customHeight="1">
      <c r="B18" s="2787" t="s">
        <v>539</v>
      </c>
      <c r="C18" s="1173"/>
      <c r="D18" s="1163"/>
      <c r="E18" s="1162"/>
      <c r="F18" s="1163"/>
      <c r="G18" s="1162">
        <v>40500000</v>
      </c>
      <c r="H18" s="1164">
        <f>+G18/$G$27</f>
        <v>2.9642895292238826E-2</v>
      </c>
      <c r="I18" s="1165">
        <f>+[189]DEC2015!$B$614</f>
        <v>37800000</v>
      </c>
      <c r="J18" s="1166">
        <f>I18/$I$27</f>
        <v>2.8411428576255636E-2</v>
      </c>
      <c r="K18" s="2652">
        <v>29700000.000000004</v>
      </c>
      <c r="L18" s="1167">
        <f t="shared" si="10"/>
        <v>1.8791709125489095E-2</v>
      </c>
      <c r="M18" s="4833">
        <v>27</v>
      </c>
      <c r="N18" s="1167">
        <f t="shared" si="11"/>
        <v>1.6457945332118903E-2</v>
      </c>
      <c r="O18" s="4833">
        <v>24.3</v>
      </c>
      <c r="P18" s="1166">
        <f t="shared" si="12"/>
        <v>1.2918955068272396E-2</v>
      </c>
      <c r="Q18" s="4833">
        <v>21.6</v>
      </c>
      <c r="R18" s="1166">
        <f t="shared" si="13"/>
        <v>9.933331388578789E-3</v>
      </c>
      <c r="S18" s="4833">
        <v>18.899999999999999</v>
      </c>
      <c r="T18" s="1166">
        <f>S18/$S$27</f>
        <v>8.4956071997211897E-3</v>
      </c>
      <c r="U18" s="4833">
        <v>16.200000000000003</v>
      </c>
      <c r="V18" s="1166">
        <f t="shared" si="9"/>
        <v>5.9769419484388443E-3</v>
      </c>
    </row>
    <row r="19" spans="2:22" ht="84.5" customHeight="1">
      <c r="B19" s="2787" t="s">
        <v>584</v>
      </c>
      <c r="C19" s="1173"/>
      <c r="D19" s="1163"/>
      <c r="E19" s="1162"/>
      <c r="F19" s="1163"/>
      <c r="G19" s="1162"/>
      <c r="H19" s="1164"/>
      <c r="I19" s="1169">
        <f>+[189]DEC2015!$B$616</f>
        <v>27000000</v>
      </c>
      <c r="J19" s="1170">
        <f>I19/$I$27</f>
        <v>2.029387755446831E-2</v>
      </c>
      <c r="K19" s="2651">
        <v>26205881.400000002</v>
      </c>
      <c r="L19" s="1171">
        <f t="shared" si="10"/>
        <v>1.6580919213665488E-2</v>
      </c>
      <c r="M19" s="4833">
        <v>79.205288400000001</v>
      </c>
      <c r="N19" s="1171">
        <f t="shared" si="11"/>
        <v>4.8279863203774497E-2</v>
      </c>
      <c r="O19" s="4833">
        <v>136.220650506</v>
      </c>
      <c r="P19" s="1166">
        <f t="shared" si="12"/>
        <v>7.242092441390334E-2</v>
      </c>
      <c r="Q19" s="4833">
        <v>264.73176896400003</v>
      </c>
      <c r="R19" s="1166">
        <f t="shared" si="13"/>
        <v>0.12174390695389303</v>
      </c>
      <c r="S19" s="4833">
        <v>261.82529455999997</v>
      </c>
      <c r="T19" s="1166">
        <f>S19/$S$27</f>
        <v>0.11769126230333636</v>
      </c>
      <c r="U19" s="4833">
        <v>567.06521396400001</v>
      </c>
      <c r="V19" s="1166">
        <f t="shared" si="9"/>
        <v>0.20921702869394321</v>
      </c>
    </row>
    <row r="20" spans="2:22" ht="50" customHeight="1">
      <c r="B20" s="1172" t="s">
        <v>735</v>
      </c>
      <c r="C20" s="1173"/>
      <c r="D20" s="1163"/>
      <c r="E20" s="1162"/>
      <c r="F20" s="1163"/>
      <c r="G20" s="1162"/>
      <c r="H20" s="1164"/>
      <c r="I20" s="1165"/>
      <c r="J20" s="1166"/>
      <c r="K20" s="1168"/>
      <c r="L20" s="1167">
        <f t="shared" si="10"/>
        <v>0</v>
      </c>
      <c r="M20" s="4833">
        <v>0</v>
      </c>
      <c r="N20" s="1167">
        <f t="shared" si="11"/>
        <v>0</v>
      </c>
      <c r="O20" s="4833">
        <v>0</v>
      </c>
      <c r="P20" s="1166">
        <f t="shared" si="12"/>
        <v>0</v>
      </c>
      <c r="Q20" s="4833">
        <v>0</v>
      </c>
      <c r="R20" s="1166">
        <f t="shared" si="13"/>
        <v>0</v>
      </c>
      <c r="S20" s="4833">
        <v>0</v>
      </c>
      <c r="T20" s="1166" t="s">
        <v>390</v>
      </c>
      <c r="U20" s="4833">
        <v>0</v>
      </c>
      <c r="V20" s="1166">
        <f t="shared" si="9"/>
        <v>0</v>
      </c>
    </row>
    <row r="21" spans="2:22" ht="50" customHeight="1">
      <c r="B21" s="1174" t="s">
        <v>1528</v>
      </c>
      <c r="C21" s="1173">
        <v>174976692.01100001</v>
      </c>
      <c r="D21" s="1163">
        <f>+C21/$C$27</f>
        <v>0.15906703974269643</v>
      </c>
      <c r="E21" s="1162">
        <v>179049019</v>
      </c>
      <c r="F21" s="1163">
        <f>+E21/$E$27</f>
        <v>0.14289835562532524</v>
      </c>
      <c r="G21" s="1162">
        <v>296611527.86799997</v>
      </c>
      <c r="H21" s="1164">
        <f>+G21/$G$27</f>
        <v>0.21709690032252102</v>
      </c>
      <c r="I21" s="1165">
        <f>[190]DECEMBER2015!$B$634</f>
        <v>309608191.41400003</v>
      </c>
      <c r="J21" s="1166">
        <f>I21/$I$27</f>
        <v>0.2327092861635594</v>
      </c>
      <c r="K21" s="1168">
        <v>629480441.61899996</v>
      </c>
      <c r="L21" s="1167">
        <f t="shared" si="10"/>
        <v>0.39828327808379343</v>
      </c>
      <c r="M21" s="4833">
        <v>686.79659081900002</v>
      </c>
      <c r="N21" s="1167">
        <f t="shared" si="11"/>
        <v>0.41863928688832358</v>
      </c>
      <c r="O21" s="4833">
        <v>648.82094581399986</v>
      </c>
      <c r="P21" s="1166">
        <f t="shared" si="12"/>
        <v>0.34494191960185444</v>
      </c>
      <c r="Q21" s="4833">
        <v>597.42566187400007</v>
      </c>
      <c r="R21" s="1166">
        <f t="shared" si="13"/>
        <v>0.27474199441830849</v>
      </c>
      <c r="S21" s="4833">
        <v>598.88644597000007</v>
      </c>
      <c r="T21" s="1166">
        <f t="shared" ref="T21:T27" si="14">S21/$S$27</f>
        <v>0.26920126995757504</v>
      </c>
      <c r="U21" s="4833">
        <v>736.40884644300013</v>
      </c>
      <c r="V21" s="1166">
        <f t="shared" si="9"/>
        <v>0.27169585959917447</v>
      </c>
    </row>
    <row r="22" spans="2:22" ht="50" customHeight="1">
      <c r="B22" s="1172" t="s">
        <v>731</v>
      </c>
      <c r="C22" s="1173">
        <v>121500000.00000001</v>
      </c>
      <c r="D22" s="1163">
        <f>+C22/$C$27</f>
        <v>0.11045268433536645</v>
      </c>
      <c r="E22" s="1162">
        <v>121500000.00000001</v>
      </c>
      <c r="F22" s="1163">
        <f>+E22/$E$27</f>
        <v>9.6968697764699949E-2</v>
      </c>
      <c r="G22" s="1162">
        <v>121500000.00000001</v>
      </c>
      <c r="H22" s="1164">
        <f>+G22/$G$27</f>
        <v>8.8928685876716485E-2</v>
      </c>
      <c r="I22" s="1165">
        <f>+[189]DEC2015!$B$621</f>
        <v>104142857.16600001</v>
      </c>
      <c r="J22" s="1166">
        <f>I22/$I$27</f>
        <v>7.8276384870343954E-2</v>
      </c>
      <c r="K22" s="1168">
        <v>52071428.663999982</v>
      </c>
      <c r="L22" s="1167">
        <f t="shared" si="10"/>
        <v>3.2946503070792686E-2</v>
      </c>
      <c r="M22" s="4833">
        <v>34.714285829999973</v>
      </c>
      <c r="N22" s="1167">
        <f t="shared" si="11"/>
        <v>2.1160215497544054E-2</v>
      </c>
      <c r="O22" s="4833">
        <v>17.357142995999972</v>
      </c>
      <c r="P22" s="1166">
        <f t="shared" si="12"/>
        <v>9.2278251225885819E-3</v>
      </c>
      <c r="Q22" s="4833">
        <v>0</v>
      </c>
      <c r="R22" s="1166">
        <f t="shared" si="13"/>
        <v>0</v>
      </c>
      <c r="S22" s="4833">
        <v>0</v>
      </c>
      <c r="T22" s="1166">
        <f t="shared" si="14"/>
        <v>0</v>
      </c>
      <c r="U22" s="4833">
        <v>0</v>
      </c>
      <c r="V22" s="1166">
        <f t="shared" si="9"/>
        <v>0</v>
      </c>
    </row>
    <row r="23" spans="2:22" ht="50" customHeight="1">
      <c r="B23" s="1172" t="s">
        <v>732</v>
      </c>
      <c r="C23" s="1173"/>
      <c r="D23" s="1163"/>
      <c r="E23" s="1162">
        <v>19440000</v>
      </c>
      <c r="F23" s="1163">
        <f>+E23/$E$27</f>
        <v>1.551499164235199E-2</v>
      </c>
      <c r="G23" s="1162">
        <v>15120000</v>
      </c>
      <c r="H23" s="1164">
        <f>+G23/$G$27</f>
        <v>1.1066680909102495E-2</v>
      </c>
      <c r="I23" s="1165">
        <f>+[189]DEC2015!$B$622</f>
        <v>10800000</v>
      </c>
      <c r="J23" s="1166">
        <f>I23/$I$27</f>
        <v>8.1175510217873243E-3</v>
      </c>
      <c r="K23" s="1168">
        <v>0</v>
      </c>
      <c r="L23" s="1167">
        <f t="shared" si="10"/>
        <v>0</v>
      </c>
      <c r="M23" s="4833">
        <v>0</v>
      </c>
      <c r="N23" s="1167">
        <f t="shared" si="11"/>
        <v>0</v>
      </c>
      <c r="O23" s="4833">
        <v>0</v>
      </c>
      <c r="P23" s="1166">
        <f t="shared" si="12"/>
        <v>0</v>
      </c>
      <c r="Q23" s="4833">
        <v>0</v>
      </c>
      <c r="R23" s="1166">
        <f t="shared" si="13"/>
        <v>0</v>
      </c>
      <c r="S23" s="4833">
        <v>0</v>
      </c>
      <c r="T23" s="1166">
        <f t="shared" si="14"/>
        <v>0</v>
      </c>
      <c r="U23" s="4833">
        <v>0</v>
      </c>
      <c r="V23" s="1166">
        <f t="shared" si="9"/>
        <v>0</v>
      </c>
    </row>
    <row r="24" spans="2:22" ht="50" customHeight="1">
      <c r="B24" s="1172" t="s">
        <v>733</v>
      </c>
      <c r="C24" s="1173"/>
      <c r="D24" s="1163"/>
      <c r="E24" s="1162"/>
      <c r="F24" s="1163"/>
      <c r="G24" s="1162"/>
      <c r="H24" s="1164"/>
      <c r="I24" s="1165">
        <f>+[189]DEC2015!$B$623</f>
        <v>4860000</v>
      </c>
      <c r="J24" s="1166">
        <f>I24/$I$27</f>
        <v>3.6528979598042959E-3</v>
      </c>
      <c r="K24" s="1168">
        <v>3240000</v>
      </c>
      <c r="L24" s="1167">
        <f t="shared" si="10"/>
        <v>2.0500046318715375E-3</v>
      </c>
      <c r="M24" s="4833">
        <v>2.7</v>
      </c>
      <c r="N24" s="1167">
        <f t="shared" si="11"/>
        <v>1.6457945332118903E-3</v>
      </c>
      <c r="O24" s="4833">
        <v>2.16</v>
      </c>
      <c r="P24" s="1166">
        <f t="shared" si="12"/>
        <v>1.148351561624213E-3</v>
      </c>
      <c r="Q24" s="4833">
        <v>1.62</v>
      </c>
      <c r="R24" s="1166">
        <f t="shared" si="13"/>
        <v>7.449998541434092E-4</v>
      </c>
      <c r="S24" s="4833">
        <v>1.08</v>
      </c>
      <c r="T24" s="1166">
        <f t="shared" si="14"/>
        <v>4.8546326855549663E-4</v>
      </c>
      <c r="U24" s="4833">
        <v>0.54</v>
      </c>
      <c r="V24" s="1166">
        <f t="shared" si="9"/>
        <v>1.9923139828129479E-4</v>
      </c>
    </row>
    <row r="25" spans="2:22" ht="50" customHeight="1">
      <c r="B25" s="1172" t="s">
        <v>734</v>
      </c>
      <c r="C25" s="1173"/>
      <c r="D25" s="1163"/>
      <c r="E25" s="1162"/>
      <c r="F25" s="1163"/>
      <c r="G25" s="1162"/>
      <c r="H25" s="1164"/>
      <c r="I25" s="1165"/>
      <c r="J25" s="1166"/>
      <c r="K25" s="1168">
        <v>8937000</v>
      </c>
      <c r="L25" s="1167">
        <f t="shared" si="10"/>
        <v>5.6545961095789904E-3</v>
      </c>
      <c r="M25" s="4833">
        <v>8.9369999999999994</v>
      </c>
      <c r="N25" s="1167">
        <f t="shared" si="11"/>
        <v>5.4475799049313565E-3</v>
      </c>
      <c r="O25" s="4833">
        <v>13.122</v>
      </c>
      <c r="P25" s="1166">
        <f t="shared" si="12"/>
        <v>6.9762357368670933E-3</v>
      </c>
      <c r="Q25" s="4833">
        <v>58.576500000000003</v>
      </c>
      <c r="R25" s="1166">
        <f t="shared" si="13"/>
        <v>2.6937953059402105E-2</v>
      </c>
      <c r="S25" s="4833">
        <v>89.113500000000002</v>
      </c>
      <c r="T25" s="1166">
        <f t="shared" si="14"/>
        <v>4.0056787946685414E-2</v>
      </c>
      <c r="U25" s="4833">
        <v>138.56399999999999</v>
      </c>
      <c r="V25" s="1166">
        <f t="shared" si="9"/>
        <v>5.1122776798980238E-2</v>
      </c>
    </row>
    <row r="26" spans="2:22" ht="50" customHeight="1" thickBot="1">
      <c r="B26" s="1172" t="str">
        <f>'[191]december 2013'!A502</f>
        <v>T.BILLS</v>
      </c>
      <c r="C26" s="1175">
        <v>63714323.889000006</v>
      </c>
      <c r="D26" s="1176">
        <f>+C26/$C$27</f>
        <v>5.7921136659695588E-2</v>
      </c>
      <c r="E26" s="1177">
        <v>135416573.98300001</v>
      </c>
      <c r="F26" s="1176">
        <f>+E26/$E$27</f>
        <v>0.10807546366163504</v>
      </c>
      <c r="G26" s="1162">
        <v>166557216.87700003</v>
      </c>
      <c r="H26" s="1164">
        <f>+G26/$G$27</f>
        <v>0.12190711456917593</v>
      </c>
      <c r="I26" s="1165">
        <f>+[189]DEC2015!$B$624</f>
        <v>207227952.41</v>
      </c>
      <c r="J26" s="1166">
        <f>I26/$I$27</f>
        <v>0.15575772933598986</v>
      </c>
      <c r="K26" s="1168">
        <v>246002538.32700005</v>
      </c>
      <c r="L26" s="1167">
        <f t="shared" si="10"/>
        <v>0.15565010587114367</v>
      </c>
      <c r="M26" s="4833">
        <v>202.40375761899998</v>
      </c>
      <c r="N26" s="1167">
        <f t="shared" si="11"/>
        <v>0.12337592510773876</v>
      </c>
      <c r="O26" s="4833">
        <v>210.18953815900002</v>
      </c>
      <c r="P26" s="1166">
        <f t="shared" si="12"/>
        <v>0.11174605758424062</v>
      </c>
      <c r="Q26" s="4833">
        <v>248.543616703</v>
      </c>
      <c r="R26" s="1166">
        <f t="shared" si="13"/>
        <v>0.1142993569086484</v>
      </c>
      <c r="S26" s="4833">
        <v>263.26262918000003</v>
      </c>
      <c r="T26" s="1166">
        <f t="shared" si="14"/>
        <v>0.11833734856503376</v>
      </c>
      <c r="U26" s="4833">
        <v>217.004027858</v>
      </c>
      <c r="V26" s="1166">
        <f t="shared" si="9"/>
        <v>8.0062992412634051E-2</v>
      </c>
    </row>
    <row r="27" spans="2:22" s="1188" customFormat="1" ht="50" customHeight="1" thickBot="1">
      <c r="B27" s="1178" t="str">
        <f>'[191]december 2013'!A503</f>
        <v>SUB TOTAL</v>
      </c>
      <c r="C27" s="1179">
        <v>1100018534.9148302</v>
      </c>
      <c r="D27" s="1180">
        <v>0.99999999999999989</v>
      </c>
      <c r="E27" s="1181">
        <f>'[191]december 2013'!D503</f>
        <v>1252981661.1008499</v>
      </c>
      <c r="F27" s="1182">
        <f t="shared" ref="F27:M27" si="15">SUM(F7:F26)</f>
        <v>0.94196050238428286</v>
      </c>
      <c r="G27" s="1181">
        <f t="shared" si="15"/>
        <v>1366263301.9050541</v>
      </c>
      <c r="H27" s="1182">
        <f t="shared" si="15"/>
        <v>1</v>
      </c>
      <c r="I27" s="1183">
        <f t="shared" si="15"/>
        <v>1330450522.7023573</v>
      </c>
      <c r="J27" s="1184">
        <f t="shared" si="15"/>
        <v>0.99999999999999989</v>
      </c>
      <c r="K27" s="1185">
        <f t="shared" si="15"/>
        <v>1580484233.8536887</v>
      </c>
      <c r="L27" s="1184">
        <f t="shared" si="15"/>
        <v>1</v>
      </c>
      <c r="M27" s="1186">
        <f t="shared" si="15"/>
        <v>1640.5450045642997</v>
      </c>
      <c r="N27" s="1184">
        <f t="shared" si="11"/>
        <v>1</v>
      </c>
      <c r="O27" s="1186">
        <f>SUM(O7:O26)</f>
        <v>1880.9570798553409</v>
      </c>
      <c r="P27" s="1187">
        <f>SUM(P7:P26)</f>
        <v>1.0000000000000002</v>
      </c>
      <c r="Q27" s="1186">
        <f>SUM(Q7:Q26)</f>
        <v>2174.4970700197709</v>
      </c>
      <c r="R27" s="1187">
        <f>SUM(R7:R26)</f>
        <v>1</v>
      </c>
      <c r="S27" s="1186">
        <f>SUM(S7:S26)</f>
        <v>2224.6791260099999</v>
      </c>
      <c r="T27" s="1187">
        <f t="shared" si="14"/>
        <v>1</v>
      </c>
      <c r="U27" s="1186">
        <f>SUM(U7:U26)</f>
        <v>2710.4161525663444</v>
      </c>
      <c r="V27" s="1187">
        <f t="shared" si="9"/>
        <v>1</v>
      </c>
    </row>
    <row r="28" spans="2:22" ht="62" customHeight="1" thickBot="1">
      <c r="B28" s="5909" t="str">
        <f>'[191]december 2013'!A505</f>
        <v>GOVERNMENT GUARANTEED</v>
      </c>
      <c r="C28" s="5912"/>
      <c r="D28" s="5912"/>
      <c r="E28" s="5912"/>
      <c r="F28" s="5912"/>
      <c r="G28" s="5912"/>
      <c r="H28" s="5912"/>
      <c r="I28" s="5912"/>
      <c r="J28" s="5912"/>
      <c r="K28" s="5912"/>
      <c r="L28" s="5912"/>
      <c r="M28" s="5912"/>
      <c r="N28" s="5912"/>
      <c r="O28" s="5912"/>
      <c r="P28" s="5912"/>
      <c r="Q28" s="5912"/>
      <c r="R28" s="5912"/>
      <c r="S28" s="5912"/>
      <c r="T28" s="5912"/>
      <c r="U28" s="5912"/>
      <c r="V28" s="5910"/>
    </row>
    <row r="29" spans="2:22" ht="50" customHeight="1">
      <c r="B29" s="2656" t="str">
        <f>'[191]december 2013'!A506</f>
        <v>CDB</v>
      </c>
      <c r="C29" s="1173">
        <v>56640178.341000013</v>
      </c>
      <c r="D29" s="1163">
        <v>0.84171778189891577</v>
      </c>
      <c r="E29" s="1162">
        <f>+'[191]december 2013'!D506</f>
        <v>56708979.444000006</v>
      </c>
      <c r="F29" s="1163">
        <f>+E29/$E$33</f>
        <v>0.94375286456095764</v>
      </c>
      <c r="G29" s="1162">
        <v>43986924.126000002</v>
      </c>
      <c r="H29" s="1164">
        <f>+G29/$G$33</f>
        <v>0.81334001670204992</v>
      </c>
      <c r="I29" s="1189">
        <v>38841429.798</v>
      </c>
      <c r="J29" s="1166">
        <f>+I29/$I$33</f>
        <v>0.78183816587449861</v>
      </c>
      <c r="K29" s="1190">
        <v>30704356.557000007</v>
      </c>
      <c r="L29" s="1167">
        <f>+K29/$K$33</f>
        <v>0.82728625450546389</v>
      </c>
      <c r="M29" s="4833">
        <v>43.592308973999998</v>
      </c>
      <c r="N29" s="1166">
        <f>M29/$M$33</f>
        <v>0.88723981620501879</v>
      </c>
      <c r="O29" s="4833">
        <v>44.026008867000002</v>
      </c>
      <c r="P29" s="1166">
        <f>O29/$O$33</f>
        <v>0.66418855899902429</v>
      </c>
      <c r="Q29" s="4833">
        <v>45.29818404000001</v>
      </c>
      <c r="R29" s="1166">
        <f>Q29/$Q$33</f>
        <v>0.39136771478602972</v>
      </c>
      <c r="S29" s="4833">
        <v>42.087979859999997</v>
      </c>
      <c r="T29" s="1166">
        <f>S29/$S$33</f>
        <v>0.31286266728179885</v>
      </c>
      <c r="U29" s="4833">
        <v>40.198804293757156</v>
      </c>
      <c r="V29" s="1166">
        <f>U29/$U$33</f>
        <v>0.29301479766242911</v>
      </c>
    </row>
    <row r="30" spans="2:22" ht="50" customHeight="1">
      <c r="B30" s="1172" t="str">
        <f>'[191]december 2013'!A507</f>
        <v>CDF</v>
      </c>
      <c r="C30" s="1173">
        <v>3358800</v>
      </c>
      <c r="D30" s="1163">
        <v>4.9914420622429193E-2</v>
      </c>
      <c r="E30" s="1162">
        <f>+'[191]december 2013'!D507</f>
        <v>3379823.0100000002</v>
      </c>
      <c r="F30" s="1163">
        <f>+E30/$E$33</f>
        <v>5.6247135439042376E-2</v>
      </c>
      <c r="G30" s="1162">
        <v>6209998.4151229998</v>
      </c>
      <c r="H30" s="1164">
        <f>+G30/$G$33</f>
        <v>0.11482594691567373</v>
      </c>
      <c r="I30" s="1189">
        <v>8868662.967735</v>
      </c>
      <c r="J30" s="1166">
        <f>+I30/$I$33</f>
        <v>0.1785170943632475</v>
      </c>
      <c r="K30" s="1190">
        <v>6410192.8384259995</v>
      </c>
      <c r="L30" s="1167">
        <f>+K30/$K$33</f>
        <v>0.17271374549453619</v>
      </c>
      <c r="M30" s="4833">
        <v>5.5401895656360001</v>
      </c>
      <c r="N30" s="1166">
        <f>M30/$M$33</f>
        <v>0.11276018379498119</v>
      </c>
      <c r="O30" s="4833">
        <v>4.6148979959999998</v>
      </c>
      <c r="P30" s="1166">
        <f>O30/$O$33</f>
        <v>6.9621628868299229E-2</v>
      </c>
      <c r="Q30" s="4833">
        <v>3.9290891130000007</v>
      </c>
      <c r="R30" s="1166">
        <f>Q30/$Q$33</f>
        <v>3.3946584392602029E-2</v>
      </c>
      <c r="S30" s="4833">
        <v>2.7513523499999999</v>
      </c>
      <c r="T30" s="1166">
        <f>S30/$S$33</f>
        <v>2.0452286798187169E-2</v>
      </c>
      <c r="U30" s="4833">
        <v>1.7765573370385366</v>
      </c>
      <c r="V30" s="1166">
        <f t="shared" ref="V30:V32" si="16">U30/$U$33</f>
        <v>1.2949578918915579E-2</v>
      </c>
    </row>
    <row r="31" spans="2:22" ht="78.5" customHeight="1">
      <c r="B31" s="2655" t="s">
        <v>584</v>
      </c>
      <c r="C31" s="1173">
        <v>7292196.3960000006</v>
      </c>
      <c r="D31" s="1163">
        <v>0.10836779747865495</v>
      </c>
      <c r="E31" s="1162">
        <f>'[191]december 2013'!D508</f>
        <v>0</v>
      </c>
      <c r="F31" s="1163"/>
      <c r="G31" s="1162">
        <v>3884916.8160000006</v>
      </c>
      <c r="H31" s="1164">
        <f>+G31/$G$33</f>
        <v>7.1834036382276381E-2</v>
      </c>
      <c r="I31" s="1189">
        <v>1969535.952</v>
      </c>
      <c r="J31" s="1166">
        <f>+I31/$I$33</f>
        <v>3.9644739762253911E-2</v>
      </c>
      <c r="K31" s="1168">
        <v>0</v>
      </c>
      <c r="L31" s="1167">
        <f>+K31/$K$33</f>
        <v>0</v>
      </c>
      <c r="M31" s="4833">
        <v>0</v>
      </c>
      <c r="N31" s="1166">
        <f>M31/$M$33</f>
        <v>0</v>
      </c>
      <c r="O31" s="4833">
        <v>17.644500000000001</v>
      </c>
      <c r="P31" s="1166">
        <f>O31/$O$33</f>
        <v>0.26618981213267662</v>
      </c>
      <c r="Q31" s="4833">
        <v>66.516009515999997</v>
      </c>
      <c r="R31" s="1166">
        <f>Q31/$Q$33</f>
        <v>0.57468570082136827</v>
      </c>
      <c r="S31" s="4833">
        <v>76.009231849999992</v>
      </c>
      <c r="T31" s="1166">
        <f>S31/$S$33</f>
        <v>0.56501763909159164</v>
      </c>
      <c r="U31" s="4833">
        <v>80.209043991000001</v>
      </c>
      <c r="V31" s="1166">
        <f t="shared" si="16"/>
        <v>0.5846551211815435</v>
      </c>
    </row>
    <row r="32" spans="2:22" s="2873" customFormat="1" ht="50" customHeight="1">
      <c r="B32" s="2865" t="s">
        <v>1535</v>
      </c>
      <c r="C32" s="2866"/>
      <c r="D32" s="2867"/>
      <c r="E32" s="2868"/>
      <c r="F32" s="2867"/>
      <c r="G32" s="2868"/>
      <c r="H32" s="2869"/>
      <c r="I32" s="2870"/>
      <c r="J32" s="2871"/>
      <c r="K32" s="298">
        <v>0</v>
      </c>
      <c r="L32" s="2872">
        <v>0</v>
      </c>
      <c r="M32" s="4833">
        <v>0</v>
      </c>
      <c r="N32" s="2871">
        <v>0</v>
      </c>
      <c r="O32" s="4833">
        <v>0</v>
      </c>
      <c r="P32" s="2871">
        <v>0</v>
      </c>
      <c r="Q32" s="4833">
        <v>0</v>
      </c>
      <c r="R32" s="2871">
        <v>0</v>
      </c>
      <c r="S32" s="4833">
        <v>13.67685</v>
      </c>
      <c r="T32" s="2871">
        <f>S32/$S$33</f>
        <v>0.10166740682842246</v>
      </c>
      <c r="U32" s="4833">
        <v>15.005949999999999</v>
      </c>
      <c r="V32" s="1166">
        <f t="shared" si="16"/>
        <v>0.1093805022371119</v>
      </c>
    </row>
    <row r="33" spans="2:22" ht="50" customHeight="1" thickBot="1">
      <c r="B33" s="1191" t="str">
        <f>'[191]december 2013'!A510</f>
        <v>SUB TOTAL</v>
      </c>
      <c r="C33" s="1192">
        <v>67291174.737000018</v>
      </c>
      <c r="D33" s="1193">
        <v>1</v>
      </c>
      <c r="E33" s="1192">
        <f>+E30+E29</f>
        <v>60088802.454000004</v>
      </c>
      <c r="F33" s="1194">
        <f>+F30+F29</f>
        <v>1</v>
      </c>
      <c r="G33" s="1192">
        <f>+G30+G29+G31</f>
        <v>54081839.357123002</v>
      </c>
      <c r="H33" s="1195">
        <f>+H29+H30+H31</f>
        <v>1</v>
      </c>
      <c r="I33" s="1196">
        <f>+I30+I29+I31</f>
        <v>49679628.717735</v>
      </c>
      <c r="J33" s="1197">
        <f>+J29+J30+J31</f>
        <v>1</v>
      </c>
      <c r="K33" s="1198">
        <f t="shared" ref="K33:P33" si="17">SUM(K29:K31)</f>
        <v>37114549.395426005</v>
      </c>
      <c r="L33" s="1199">
        <f t="shared" si="17"/>
        <v>1</v>
      </c>
      <c r="M33" s="1200">
        <f t="shared" si="17"/>
        <v>49.132498539635996</v>
      </c>
      <c r="N33" s="1197">
        <f t="shared" si="17"/>
        <v>1</v>
      </c>
      <c r="O33" s="1200">
        <f t="shared" si="17"/>
        <v>66.285406862999992</v>
      </c>
      <c r="P33" s="1197">
        <f t="shared" si="17"/>
        <v>1.0000000000000002</v>
      </c>
      <c r="Q33" s="1200">
        <f>SUM(Q29:Q31)</f>
        <v>115.74328266900001</v>
      </c>
      <c r="R33" s="1197">
        <f>SUM(R29:R31)</f>
        <v>1</v>
      </c>
      <c r="S33" s="1200">
        <f>SUM(S29:S32)</f>
        <v>134.52541405999997</v>
      </c>
      <c r="T33" s="1197">
        <f>S33/$S$33</f>
        <v>1</v>
      </c>
      <c r="U33" s="1200">
        <f>SUM(U29:U32)</f>
        <v>137.19035562179567</v>
      </c>
      <c r="V33" s="1197">
        <f>U33/$U$33</f>
        <v>1</v>
      </c>
    </row>
    <row r="34" spans="2:22" ht="56" customHeight="1" thickBot="1">
      <c r="B34" s="5909"/>
      <c r="C34" s="5912"/>
      <c r="D34" s="5912"/>
      <c r="E34" s="5912"/>
      <c r="F34" s="5912"/>
      <c r="G34" s="5912"/>
      <c r="H34" s="5912"/>
      <c r="I34" s="5912"/>
      <c r="J34" s="5912"/>
      <c r="K34" s="5912"/>
      <c r="L34" s="5912"/>
      <c r="M34" s="5912"/>
      <c r="N34" s="5912"/>
      <c r="O34" s="5912"/>
      <c r="P34" s="5912"/>
      <c r="Q34" s="5912"/>
      <c r="R34" s="5912"/>
      <c r="S34" s="5912"/>
      <c r="T34" s="5912"/>
      <c r="U34" s="5912"/>
      <c r="V34" s="5910"/>
    </row>
    <row r="35" spans="2:22" ht="60" customHeight="1" thickBot="1">
      <c r="B35" s="1201" t="str">
        <f>'[191]december 2013'!A516</f>
        <v>GRAND TOTAL</v>
      </c>
      <c r="C35" s="1202">
        <f>+C33+C27</f>
        <v>1167309709.6518302</v>
      </c>
      <c r="D35" s="1203"/>
      <c r="E35" s="1203">
        <f>+E33+E27</f>
        <v>1313070463.5548499</v>
      </c>
      <c r="F35" s="1204"/>
      <c r="G35" s="1203">
        <f>+G33+G27</f>
        <v>1420345141.262177</v>
      </c>
      <c r="H35" s="1205"/>
      <c r="I35" s="1206">
        <f>+I33+I27</f>
        <v>1380130151.4200923</v>
      </c>
      <c r="J35" s="1207"/>
      <c r="K35" s="1208">
        <f>+K33+K27</f>
        <v>1617598783.2491148</v>
      </c>
      <c r="L35" s="1209"/>
      <c r="M35" s="1210">
        <f>+M33+M27</f>
        <v>1689.6775031039356</v>
      </c>
      <c r="N35" s="1211"/>
      <c r="O35" s="1210">
        <f>+O33+O27</f>
        <v>1947.2424867183408</v>
      </c>
      <c r="P35" s="1211"/>
      <c r="Q35" s="1210">
        <f>+Q33+Q27</f>
        <v>2290.2403526887711</v>
      </c>
      <c r="R35" s="1211"/>
      <c r="S35" s="1210">
        <f>+S33+S27</f>
        <v>2359.2045400699999</v>
      </c>
      <c r="T35" s="1211"/>
      <c r="U35" s="1210">
        <f>+U33+U27</f>
        <v>2847.6065081881402</v>
      </c>
      <c r="V35" s="3023"/>
    </row>
    <row r="36" spans="2:22" ht="37.25" customHeight="1">
      <c r="B36" s="1212" t="s">
        <v>664</v>
      </c>
      <c r="C36" s="1213"/>
      <c r="R36" s="1215"/>
      <c r="T36" s="1215"/>
    </row>
    <row r="38" spans="2:22" ht="25.25" customHeight="1">
      <c r="C38" s="1213"/>
    </row>
    <row r="39" spans="2:22" ht="25.25" customHeight="1">
      <c r="C39" s="1213"/>
    </row>
    <row r="73" spans="2:2" ht="25.25" customHeight="1">
      <c r="B73" s="1155" t="s">
        <v>747</v>
      </c>
    </row>
  </sheetData>
  <mergeCells count="16">
    <mergeCell ref="B28:V28"/>
    <mergeCell ref="B34:V34"/>
    <mergeCell ref="B6:V6"/>
    <mergeCell ref="C5:D5"/>
    <mergeCell ref="E5:F5"/>
    <mergeCell ref="G5:H5"/>
    <mergeCell ref="I5:J5"/>
    <mergeCell ref="K5:L5"/>
    <mergeCell ref="B1:V1"/>
    <mergeCell ref="B2:V2"/>
    <mergeCell ref="B3:V3"/>
    <mergeCell ref="U5:V5"/>
    <mergeCell ref="S5:T5"/>
    <mergeCell ref="Q5:R5"/>
    <mergeCell ref="M5:N5"/>
    <mergeCell ref="O5:P5"/>
  </mergeCells>
  <printOptions horizontalCentered="1" verticalCentered="1"/>
  <pageMargins left="0.25" right="0.25" top="0.75" bottom="0.75" header="0.3" footer="0.3"/>
  <pageSetup scale="28" firstPageNumber="103" orientation="landscape" useFirstPageNumber="1" r:id="rId1"/>
  <headerFooter scaleWithDoc="0" alignWithMargins="0">
    <oddFooter xml:space="preserve">&amp;C142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tabColor theme="9" tint="-0.499984740745262"/>
    <pageSetUpPr fitToPage="1"/>
  </sheetPr>
  <dimension ref="A1:AJ78"/>
  <sheetViews>
    <sheetView showGridLines="0" view="pageBreakPreview" zoomScale="40" zoomScaleNormal="75" zoomScaleSheetLayoutView="40" workbookViewId="0">
      <selection activeCell="B44" sqref="B44"/>
    </sheetView>
  </sheetViews>
  <sheetFormatPr defaultColWidth="9.46484375" defaultRowHeight="30.75"/>
  <cols>
    <col min="1" max="1" width="9.46484375" style="279"/>
    <col min="2" max="2" width="61.6640625" style="279" customWidth="1"/>
    <col min="3" max="3" width="16.46484375" style="279" hidden="1" customWidth="1"/>
    <col min="4" max="4" width="18.46484375" style="279" hidden="1" customWidth="1"/>
    <col min="5" max="5" width="16.46484375" style="279" hidden="1" customWidth="1"/>
    <col min="6" max="6" width="21.46484375" style="279" hidden="1" customWidth="1"/>
    <col min="7" max="8" width="18" style="279" hidden="1" customWidth="1"/>
    <col min="9" max="14" width="18" style="280" hidden="1" customWidth="1"/>
    <col min="15" max="15" width="21.46484375" style="280" hidden="1" customWidth="1"/>
    <col min="16" max="16" width="18.46484375" style="280" hidden="1" customWidth="1"/>
    <col min="17" max="17" width="32.33203125" style="280" hidden="1" customWidth="1"/>
    <col min="18" max="18" width="28.6640625" style="280" hidden="1" customWidth="1"/>
    <col min="19" max="19" width="33.46484375" style="279" hidden="1" customWidth="1"/>
    <col min="20" max="20" width="30.6640625" style="279" hidden="1" customWidth="1"/>
    <col min="21" max="21" width="33.46484375" style="279" customWidth="1"/>
    <col min="22" max="22" width="30.33203125" style="279" customWidth="1"/>
    <col min="23" max="23" width="32.6640625" style="279" customWidth="1"/>
    <col min="24" max="24" width="31.33203125" style="279" customWidth="1"/>
    <col min="25" max="25" width="34.33203125" style="1503" customWidth="1"/>
    <col min="26" max="26" width="30.46484375" style="279" customWidth="1"/>
    <col min="27" max="27" width="35.46484375" style="279" customWidth="1"/>
    <col min="28" max="28" width="30.46484375" style="279" customWidth="1"/>
    <col min="29" max="29" width="33.33203125" style="279" customWidth="1"/>
    <col min="30" max="30" width="31.33203125" style="279" customWidth="1"/>
    <col min="31" max="31" width="32.33203125" style="279" customWidth="1"/>
    <col min="32" max="32" width="28.46484375" style="279" customWidth="1"/>
    <col min="33" max="35" width="9.46484375" style="279"/>
    <col min="36" max="36" width="22.33203125" style="279" bestFit="1" customWidth="1"/>
    <col min="37" max="16384" width="9.46484375" style="279"/>
  </cols>
  <sheetData>
    <row r="1" spans="1:36" ht="35" customHeight="1">
      <c r="B1" s="5861" t="s">
        <v>1845</v>
      </c>
      <c r="C1" s="5861"/>
      <c r="D1" s="5861"/>
      <c r="E1" s="5861"/>
      <c r="F1" s="5861"/>
      <c r="G1" s="5861"/>
      <c r="H1" s="5861"/>
      <c r="I1" s="5861"/>
      <c r="J1" s="5861"/>
      <c r="K1" s="5861"/>
      <c r="L1" s="5861"/>
      <c r="M1" s="5861"/>
      <c r="N1" s="5861"/>
      <c r="O1" s="5861"/>
      <c r="P1" s="5861"/>
      <c r="Q1" s="5861"/>
      <c r="R1" s="5861"/>
      <c r="S1" s="5861"/>
      <c r="T1" s="5861"/>
      <c r="U1" s="5861"/>
      <c r="V1" s="5861"/>
      <c r="W1" s="5861"/>
      <c r="X1" s="5861"/>
      <c r="Y1" s="5861"/>
      <c r="Z1" s="5861"/>
      <c r="AA1" s="5861"/>
      <c r="AB1" s="5861"/>
      <c r="AC1" s="5861"/>
      <c r="AD1" s="5861"/>
      <c r="AE1" s="5861"/>
      <c r="AF1" s="5861"/>
    </row>
    <row r="2" spans="1:36" ht="35" customHeight="1">
      <c r="B2" s="5861" t="s">
        <v>490</v>
      </c>
      <c r="C2" s="5861"/>
      <c r="D2" s="5861"/>
      <c r="E2" s="5861"/>
      <c r="F2" s="5861"/>
      <c r="G2" s="5861"/>
      <c r="H2" s="5861"/>
      <c r="I2" s="5861"/>
      <c r="J2" s="5861"/>
      <c r="K2" s="5861"/>
      <c r="L2" s="5861"/>
      <c r="M2" s="5861"/>
      <c r="N2" s="5861"/>
      <c r="O2" s="5861"/>
      <c r="P2" s="5861"/>
      <c r="Q2" s="5861"/>
      <c r="R2" s="5861"/>
      <c r="S2" s="5861"/>
      <c r="T2" s="5861"/>
      <c r="U2" s="5861"/>
      <c r="V2" s="5861"/>
      <c r="W2" s="5861"/>
      <c r="X2" s="5861"/>
      <c r="Y2" s="5861"/>
      <c r="Z2" s="5861"/>
      <c r="AA2" s="5861"/>
      <c r="AB2" s="5861"/>
      <c r="AC2" s="5861"/>
      <c r="AD2" s="5861"/>
      <c r="AE2" s="5861"/>
      <c r="AF2" s="5861"/>
    </row>
    <row r="3" spans="1:36" ht="35" customHeight="1">
      <c r="B3" s="5861" t="s">
        <v>483</v>
      </c>
      <c r="C3" s="5861"/>
      <c r="D3" s="5861"/>
      <c r="E3" s="5861"/>
      <c r="F3" s="5861"/>
      <c r="G3" s="5861"/>
      <c r="H3" s="5861"/>
      <c r="I3" s="5861"/>
      <c r="J3" s="5861"/>
      <c r="K3" s="5861"/>
      <c r="L3" s="5861"/>
      <c r="M3" s="5861"/>
      <c r="N3" s="5861"/>
      <c r="O3" s="5861"/>
      <c r="P3" s="5861"/>
      <c r="Q3" s="5861"/>
      <c r="R3" s="5861"/>
      <c r="S3" s="5861"/>
      <c r="T3" s="5861"/>
      <c r="U3" s="5861"/>
      <c r="V3" s="5861"/>
      <c r="W3" s="5861"/>
      <c r="X3" s="5861"/>
      <c r="Y3" s="5861"/>
      <c r="Z3" s="5861"/>
      <c r="AA3" s="5861"/>
      <c r="AB3" s="5861"/>
      <c r="AC3" s="5861"/>
      <c r="AD3" s="5861"/>
      <c r="AE3" s="5861"/>
      <c r="AF3" s="5861"/>
    </row>
    <row r="4" spans="1:36" ht="35" customHeight="1">
      <c r="B4" s="5861" t="s">
        <v>2331</v>
      </c>
      <c r="C4" s="5861"/>
      <c r="D4" s="5861"/>
      <c r="E4" s="5861"/>
      <c r="F4" s="5861"/>
      <c r="G4" s="5861"/>
      <c r="H4" s="5861"/>
      <c r="I4" s="5861"/>
      <c r="J4" s="5861"/>
      <c r="K4" s="5861"/>
      <c r="L4" s="5861"/>
      <c r="M4" s="5861"/>
      <c r="N4" s="5861"/>
      <c r="O4" s="5861"/>
      <c r="P4" s="5861"/>
      <c r="Q4" s="5861"/>
      <c r="R4" s="5861"/>
      <c r="S4" s="5861"/>
      <c r="T4" s="5861"/>
      <c r="U4" s="5861"/>
      <c r="V4" s="5861"/>
      <c r="W4" s="5861"/>
      <c r="X4" s="5861"/>
      <c r="Y4" s="5861"/>
      <c r="Z4" s="5861"/>
      <c r="AA4" s="5861"/>
      <c r="AB4" s="5861"/>
      <c r="AC4" s="5861"/>
      <c r="AD4" s="5861"/>
      <c r="AE4" s="5861"/>
      <c r="AF4" s="5861"/>
    </row>
    <row r="5" spans="1:36" ht="31.15" thickBot="1">
      <c r="Z5" s="1504"/>
    </row>
    <row r="6" spans="1:36" ht="31.15" thickBot="1">
      <c r="B6" s="3762"/>
      <c r="C6" s="5919">
        <v>2008</v>
      </c>
      <c r="D6" s="5920"/>
      <c r="E6" s="5920">
        <v>2009</v>
      </c>
      <c r="F6" s="5920"/>
      <c r="G6" s="5918">
        <v>2010</v>
      </c>
      <c r="H6" s="5918"/>
      <c r="I6" s="5918">
        <v>2011</v>
      </c>
      <c r="J6" s="5918"/>
      <c r="K6" s="5918">
        <v>2012</v>
      </c>
      <c r="L6" s="5916"/>
      <c r="M6" s="5918">
        <v>2013</v>
      </c>
      <c r="N6" s="5916"/>
      <c r="O6" s="5918">
        <v>2014</v>
      </c>
      <c r="P6" s="5921"/>
      <c r="Q6" s="5922">
        <v>2016</v>
      </c>
      <c r="R6" s="5922"/>
      <c r="S6" s="5923">
        <v>2017</v>
      </c>
      <c r="T6" s="5924"/>
      <c r="U6" s="5916">
        <v>2018</v>
      </c>
      <c r="V6" s="5917"/>
      <c r="W6" s="5916">
        <v>2019</v>
      </c>
      <c r="X6" s="5917"/>
      <c r="Y6" s="5916">
        <v>2020</v>
      </c>
      <c r="Z6" s="5917"/>
      <c r="AA6" s="5916">
        <v>2021</v>
      </c>
      <c r="AB6" s="5917"/>
      <c r="AC6" s="5916">
        <v>2022</v>
      </c>
      <c r="AD6" s="5917"/>
      <c r="AE6" s="5916">
        <v>2023</v>
      </c>
      <c r="AF6" s="5917"/>
    </row>
    <row r="7" spans="1:36" s="1512" customFormat="1" ht="90.5" customHeight="1" thickBot="1">
      <c r="B7" s="3763" t="s">
        <v>344</v>
      </c>
      <c r="C7" s="3759" t="s">
        <v>345</v>
      </c>
      <c r="D7" s="1505" t="s">
        <v>346</v>
      </c>
      <c r="E7" s="1505" t="s">
        <v>345</v>
      </c>
      <c r="F7" s="1505" t="s">
        <v>346</v>
      </c>
      <c r="G7" s="1506" t="s">
        <v>345</v>
      </c>
      <c r="H7" s="1506" t="s">
        <v>346</v>
      </c>
      <c r="I7" s="1506" t="s">
        <v>345</v>
      </c>
      <c r="J7" s="1506" t="s">
        <v>346</v>
      </c>
      <c r="K7" s="1505" t="s">
        <v>345</v>
      </c>
      <c r="L7" s="1507" t="s">
        <v>346</v>
      </c>
      <c r="M7" s="1505" t="s">
        <v>345</v>
      </c>
      <c r="N7" s="1506" t="s">
        <v>346</v>
      </c>
      <c r="O7" s="1505" t="s">
        <v>345</v>
      </c>
      <c r="P7" s="1508" t="s">
        <v>346</v>
      </c>
      <c r="Q7" s="1509" t="s">
        <v>345</v>
      </c>
      <c r="R7" s="2776" t="s">
        <v>346</v>
      </c>
      <c r="S7" s="2780" t="s">
        <v>345</v>
      </c>
      <c r="T7" s="1510" t="s">
        <v>346</v>
      </c>
      <c r="U7" s="1506" t="s">
        <v>345</v>
      </c>
      <c r="V7" s="1510" t="s">
        <v>346</v>
      </c>
      <c r="W7" s="1511" t="s">
        <v>345</v>
      </c>
      <c r="X7" s="1510" t="s">
        <v>346</v>
      </c>
      <c r="Y7" s="1511" t="s">
        <v>345</v>
      </c>
      <c r="Z7" s="1510" t="s">
        <v>346</v>
      </c>
      <c r="AA7" s="1511" t="s">
        <v>345</v>
      </c>
      <c r="AB7" s="1510" t="s">
        <v>346</v>
      </c>
      <c r="AC7" s="1511" t="s">
        <v>345</v>
      </c>
      <c r="AD7" s="1510" t="s">
        <v>346</v>
      </c>
      <c r="AE7" s="1511" t="s">
        <v>345</v>
      </c>
      <c r="AF7" s="1510" t="s">
        <v>346</v>
      </c>
    </row>
    <row r="8" spans="1:36" ht="10.5" customHeight="1">
      <c r="B8" s="3762"/>
      <c r="C8" s="3760"/>
      <c r="D8" s="1513"/>
      <c r="E8" s="1513"/>
      <c r="F8" s="1513"/>
      <c r="G8" s="1514"/>
      <c r="H8" s="1514"/>
      <c r="I8" s="1514"/>
      <c r="J8" s="1514"/>
      <c r="K8" s="1514"/>
      <c r="L8" s="1515"/>
      <c r="M8" s="1516"/>
      <c r="N8" s="1514"/>
      <c r="O8" s="1514"/>
      <c r="P8" s="1515"/>
      <c r="Q8" s="1517"/>
      <c r="R8" s="2777"/>
      <c r="S8" s="2781"/>
      <c r="T8" s="1518"/>
      <c r="U8" s="1514"/>
      <c r="V8" s="1518"/>
      <c r="W8" s="1519"/>
      <c r="X8" s="427"/>
      <c r="Y8" s="1519"/>
      <c r="Z8" s="427"/>
      <c r="AA8" s="1519"/>
      <c r="AB8" s="427"/>
      <c r="AC8" s="1519"/>
      <c r="AD8" s="427"/>
      <c r="AE8" s="1519"/>
      <c r="AF8" s="427"/>
    </row>
    <row r="9" spans="1:36" ht="4.5" customHeight="1">
      <c r="B9" s="3764"/>
      <c r="C9" s="3761"/>
      <c r="D9" s="296"/>
      <c r="E9" s="296"/>
      <c r="F9" s="296"/>
      <c r="G9" s="1520"/>
      <c r="H9" s="1520"/>
      <c r="I9" s="1216"/>
      <c r="J9" s="1520"/>
      <c r="K9" s="1216"/>
      <c r="L9" s="436"/>
      <c r="M9" s="1216"/>
      <c r="N9" s="1520"/>
      <c r="O9" s="1216"/>
      <c r="P9" s="436"/>
      <c r="Q9" s="428"/>
      <c r="R9" s="2778"/>
      <c r="S9" s="2782"/>
      <c r="T9" s="1521"/>
      <c r="U9" s="1520"/>
      <c r="V9" s="1521"/>
      <c r="W9" s="1522"/>
      <c r="X9" s="427"/>
      <c r="Y9" s="1522"/>
      <c r="Z9" s="427"/>
      <c r="AA9" s="1522"/>
      <c r="AB9" s="427"/>
      <c r="AC9" s="1522"/>
      <c r="AD9" s="427"/>
      <c r="AE9" s="1522"/>
      <c r="AF9" s="427"/>
    </row>
    <row r="10" spans="1:36" ht="70.25" customHeight="1">
      <c r="B10" s="2787" t="s">
        <v>347</v>
      </c>
      <c r="C10" s="2785">
        <v>11620.508</v>
      </c>
      <c r="D10" s="1527">
        <f t="shared" ref="D10:D25" si="0">C10/$C$26</f>
        <v>1.1827422307321431E-2</v>
      </c>
      <c r="E10" s="1528">
        <v>11022.018</v>
      </c>
      <c r="F10" s="1527">
        <f t="shared" ref="F10:F25" si="1">E10/$E$26</f>
        <v>1.0934510251645151E-2</v>
      </c>
      <c r="G10" s="1529">
        <v>10023</v>
      </c>
      <c r="H10" s="1530">
        <f>G10/G26</f>
        <v>9.3807927746627651E-3</v>
      </c>
      <c r="I10" s="1162">
        <v>9108.8889999999992</v>
      </c>
      <c r="J10" s="1530">
        <v>8.100992930944205E-3</v>
      </c>
      <c r="K10" s="1162">
        <v>28758.58</v>
      </c>
      <c r="L10" s="1531">
        <f>+K10/K$26</f>
        <v>2.4636642551319862E-2</v>
      </c>
      <c r="M10" s="1162">
        <v>30467.5</v>
      </c>
      <c r="N10" s="1531">
        <f>+M10/M$26</f>
        <v>2.3203249422117805E-2</v>
      </c>
      <c r="O10" s="1162">
        <v>28225.058000000001</v>
      </c>
      <c r="P10" s="1531">
        <f>+O10/O$26</f>
        <v>1.9856873623414512E-2</v>
      </c>
      <c r="Q10" s="1532">
        <v>3897.0410000000002</v>
      </c>
      <c r="R10" s="2779">
        <f>+Q10/Q$26</f>
        <v>2.7274259813340573E-3</v>
      </c>
      <c r="S10" s="2783">
        <v>3377.4360499999998</v>
      </c>
      <c r="T10" s="1533">
        <f>+S10/S$26</f>
        <v>2.0678093937856676E-3</v>
      </c>
      <c r="U10" s="4834">
        <v>2.85783E-3</v>
      </c>
      <c r="V10" s="1533">
        <f>+U10/U$26</f>
        <v>1.7667123106860257E-3</v>
      </c>
      <c r="W10" s="4834">
        <v>2.3382250560000004E-3</v>
      </c>
      <c r="X10" s="1533">
        <f>W10/$W$26</f>
        <v>1.3838291932659827E-3</v>
      </c>
      <c r="Y10" s="4834">
        <v>1.8186195600000004E-3</v>
      </c>
      <c r="Z10" s="1533">
        <f t="shared" ref="Z10:Z25" si="2">Y10/$Y$26</f>
        <v>9.339461173450941E-4</v>
      </c>
      <c r="AA10" s="4834">
        <v>1.299014064E-3</v>
      </c>
      <c r="AB10" s="1533">
        <f t="shared" ref="AB10:AB25" si="3">AA10/$AA$26</f>
        <v>5.6719552047879043E-4</v>
      </c>
      <c r="AC10" s="4834">
        <v>7.7899999999999996E-4</v>
      </c>
      <c r="AD10" s="1533">
        <f>AC10/$AC$26</f>
        <v>3.3019597703463666E-4</v>
      </c>
      <c r="AE10" s="4834">
        <v>2.5980000000000003E-4</v>
      </c>
      <c r="AF10" s="1533">
        <f>AE10/$AE$26</f>
        <v>9.1234516469561794E-5</v>
      </c>
      <c r="AJ10" s="279">
        <v>1000000</v>
      </c>
    </row>
    <row r="11" spans="1:36" ht="70.25" customHeight="1">
      <c r="B11" s="2787" t="s">
        <v>348</v>
      </c>
      <c r="C11" s="2645">
        <v>0</v>
      </c>
      <c r="D11" s="1527">
        <f t="shared" si="0"/>
        <v>0</v>
      </c>
      <c r="E11" s="1535"/>
      <c r="F11" s="1527">
        <f t="shared" si="1"/>
        <v>0</v>
      </c>
      <c r="G11" s="1536"/>
      <c r="H11" s="1530"/>
      <c r="I11" s="1537"/>
      <c r="J11" s="1530"/>
      <c r="K11" s="1162"/>
      <c r="L11" s="1531"/>
      <c r="M11" s="1162"/>
      <c r="N11" s="1530"/>
      <c r="O11" s="1162"/>
      <c r="P11" s="1531"/>
      <c r="Q11" s="1538">
        <v>0</v>
      </c>
      <c r="R11" s="2775">
        <v>0</v>
      </c>
      <c r="S11" s="2784">
        <v>0</v>
      </c>
      <c r="T11" s="1166">
        <v>0</v>
      </c>
      <c r="U11" s="4834">
        <v>0</v>
      </c>
      <c r="V11" s="1166">
        <v>0</v>
      </c>
      <c r="W11" s="4834">
        <v>0</v>
      </c>
      <c r="X11" s="1166">
        <v>0</v>
      </c>
      <c r="Y11" s="4834">
        <v>0</v>
      </c>
      <c r="Z11" s="1166">
        <v>0</v>
      </c>
      <c r="AA11" s="4834">
        <v>0</v>
      </c>
      <c r="AB11" s="1533">
        <f t="shared" si="3"/>
        <v>0</v>
      </c>
      <c r="AC11" s="4834">
        <v>0</v>
      </c>
      <c r="AD11" s="1533">
        <f>AC11/$AA$26</f>
        <v>0</v>
      </c>
      <c r="AE11" s="4834">
        <v>0</v>
      </c>
      <c r="AF11" s="1533">
        <f t="shared" ref="AF11:AF26" si="4">AE11/$AE$26</f>
        <v>0</v>
      </c>
    </row>
    <row r="12" spans="1:36" ht="70.25" customHeight="1">
      <c r="A12" s="427"/>
      <c r="B12" s="3765" t="s">
        <v>438</v>
      </c>
      <c r="C12" s="2785">
        <v>184341.77</v>
      </c>
      <c r="D12" s="1527">
        <f t="shared" si="0"/>
        <v>0.18762415228913543</v>
      </c>
      <c r="E12" s="1528">
        <v>171016</v>
      </c>
      <c r="F12" s="1527">
        <f t="shared" si="1"/>
        <v>0.16965824272790583</v>
      </c>
      <c r="G12" s="1529">
        <v>159661.348</v>
      </c>
      <c r="H12" s="1530">
        <f t="shared" ref="H12:H25" si="5">G12/$G$26</f>
        <v>0.14943130995822781</v>
      </c>
      <c r="I12" s="1162">
        <v>145636.88</v>
      </c>
      <c r="J12" s="1530">
        <v>0.12952219917980881</v>
      </c>
      <c r="K12" s="1162">
        <v>149244.76</v>
      </c>
      <c r="L12" s="1531">
        <f>+K12/K$26</f>
        <v>0.12785366331639184</v>
      </c>
      <c r="M12" s="1162">
        <v>159232.80000000002</v>
      </c>
      <c r="N12" s="1531">
        <f>+M12/M$26</f>
        <v>0.12126752685918439</v>
      </c>
      <c r="O12" s="1162">
        <v>129544.274</v>
      </c>
      <c r="P12" s="1531">
        <f>+O12/O$26</f>
        <v>9.1136899610799113E-2</v>
      </c>
      <c r="Q12" s="1532">
        <v>133396.981</v>
      </c>
      <c r="R12" s="2779">
        <f>+Q12/Q$26</f>
        <v>9.3360678476548123E-2</v>
      </c>
      <c r="S12" s="2783">
        <v>127323.2356</v>
      </c>
      <c r="T12" s="1533">
        <f>+S12/S$26</f>
        <v>7.7952677333702813E-2</v>
      </c>
      <c r="U12" s="4835">
        <v>0.11789932</v>
      </c>
      <c r="V12" s="1533">
        <f t="shared" ref="V12:V25" si="6">+U12/U$26</f>
        <v>7.2885434076033623E-2</v>
      </c>
      <c r="W12" s="4834">
        <v>0.13681667742244508</v>
      </c>
      <c r="X12" s="1533">
        <f t="shared" ref="X12:X24" si="7">W12/$W$26</f>
        <v>8.0972065480609728E-2</v>
      </c>
      <c r="Y12" s="4834">
        <v>0.14600473559514757</v>
      </c>
      <c r="Z12" s="1533">
        <f t="shared" si="2"/>
        <v>7.4980253661785692E-2</v>
      </c>
      <c r="AA12" s="4834">
        <v>0.20140013154166314</v>
      </c>
      <c r="AB12" s="1533">
        <f t="shared" si="3"/>
        <v>8.7938426226515806E-2</v>
      </c>
      <c r="AC12" s="4834">
        <v>0.18712799999999999</v>
      </c>
      <c r="AD12" s="1533">
        <f>AC12/$AC$26</f>
        <v>7.9318244917249675E-2</v>
      </c>
      <c r="AE12" s="4834">
        <v>0.18369801000000002</v>
      </c>
      <c r="AF12" s="1533">
        <f t="shared" si="4"/>
        <v>6.4509619394806497E-2</v>
      </c>
    </row>
    <row r="13" spans="1:36" ht="70.25" customHeight="1">
      <c r="B13" s="2786" t="s">
        <v>0</v>
      </c>
      <c r="C13" s="2785">
        <v>712.505</v>
      </c>
      <c r="D13" s="1527">
        <f t="shared" si="0"/>
        <v>7.2519183594022365E-4</v>
      </c>
      <c r="E13" s="1539">
        <v>781.12</v>
      </c>
      <c r="F13" s="1527">
        <f t="shared" si="1"/>
        <v>7.7491840856774689E-4</v>
      </c>
      <c r="G13" s="1536">
        <v>718.63300000000004</v>
      </c>
      <c r="H13" s="1530">
        <f t="shared" si="5"/>
        <v>6.7258777352431685E-4</v>
      </c>
      <c r="I13" s="1162">
        <v>938.38400000000001</v>
      </c>
      <c r="J13" s="1530">
        <v>8.3455206782200844E-4</v>
      </c>
      <c r="K13" s="1162">
        <v>3236.29</v>
      </c>
      <c r="L13" s="1531">
        <f t="shared" ref="L13:L25" si="8">+K13/K$26</f>
        <v>2.7724359103408771E-3</v>
      </c>
      <c r="M13" s="1162">
        <v>3985</v>
      </c>
      <c r="N13" s="1531">
        <f t="shared" ref="N13:N25" si="9">+M13/M$26</f>
        <v>3.03487154991842E-3</v>
      </c>
      <c r="O13" s="1162">
        <v>4312.4769999999999</v>
      </c>
      <c r="P13" s="1531">
        <f t="shared" ref="P13:P25" si="10">+O13/O$26</f>
        <v>3.0339108884340198E-3</v>
      </c>
      <c r="Q13" s="1532">
        <v>11155.434999999999</v>
      </c>
      <c r="R13" s="2779">
        <f t="shared" ref="R13:R25" si="11">+Q13/Q$26</f>
        <v>7.807365447805986E-3</v>
      </c>
      <c r="S13" s="2783">
        <v>13852.471729999999</v>
      </c>
      <c r="T13" s="1533">
        <f t="shared" ref="T13:T25" si="12">+S13/S$26</f>
        <v>8.4810698844895675E-3</v>
      </c>
      <c r="U13" s="4834">
        <v>1.5750129999999998E-2</v>
      </c>
      <c r="V13" s="1533">
        <f t="shared" si="6"/>
        <v>9.7367403120218101E-3</v>
      </c>
      <c r="W13" s="4834">
        <v>1.6306241891303429E-2</v>
      </c>
      <c r="X13" s="1533">
        <f t="shared" si="7"/>
        <v>9.650505413813508E-3</v>
      </c>
      <c r="Y13" s="4834">
        <v>1.682670445370435E-2</v>
      </c>
      <c r="Z13" s="1533">
        <f t="shared" si="2"/>
        <v>8.641298948885481E-3</v>
      </c>
      <c r="AA13" s="4834">
        <v>1.6252250111885403E-2</v>
      </c>
      <c r="AB13" s="1533">
        <f t="shared" si="3"/>
        <v>7.0963076664290227E-3</v>
      </c>
      <c r="AC13" s="4834">
        <v>1.5214999999999999E-2</v>
      </c>
      <c r="AD13" s="1533">
        <f>AC13/$AC$26</f>
        <v>6.4492064063953747E-3</v>
      </c>
      <c r="AE13" s="4834">
        <v>1.4965680291716616E-2</v>
      </c>
      <c r="AF13" s="1533">
        <f t="shared" si="4"/>
        <v>5.2555296576320852E-3</v>
      </c>
    </row>
    <row r="14" spans="1:36" ht="70.25" customHeight="1">
      <c r="B14" s="2786" t="s">
        <v>141</v>
      </c>
      <c r="C14" s="2785">
        <v>83446.180999999997</v>
      </c>
      <c r="D14" s="1527">
        <f t="shared" si="0"/>
        <v>8.493202040910619E-2</v>
      </c>
      <c r="E14" s="1535">
        <v>86567</v>
      </c>
      <c r="F14" s="1527">
        <f t="shared" si="1"/>
        <v>8.5879713583680031E-2</v>
      </c>
      <c r="G14" s="1529">
        <v>81525.459000000003</v>
      </c>
      <c r="H14" s="1530">
        <f t="shared" si="5"/>
        <v>7.6301849420160189E-2</v>
      </c>
      <c r="I14" s="1162">
        <v>77917.354999999996</v>
      </c>
      <c r="J14" s="1530">
        <v>6.9295821043913269E-2</v>
      </c>
      <c r="K14" s="1162">
        <v>3074.29</v>
      </c>
      <c r="L14" s="1531">
        <f t="shared" si="8"/>
        <v>2.6336552023464694E-3</v>
      </c>
      <c r="M14" s="1162">
        <v>2732.7</v>
      </c>
      <c r="N14" s="1531">
        <f t="shared" si="9"/>
        <v>2.0811526937169551E-3</v>
      </c>
      <c r="O14" s="1162">
        <v>2391.1190000000001</v>
      </c>
      <c r="P14" s="1531">
        <f t="shared" si="10"/>
        <v>1.6821984139605767E-3</v>
      </c>
      <c r="Q14" s="1532">
        <v>1707.942</v>
      </c>
      <c r="R14" s="1533">
        <f t="shared" si="11"/>
        <v>1.1953390753167987E-3</v>
      </c>
      <c r="S14" s="1534">
        <v>34182.260289999998</v>
      </c>
      <c r="T14" s="1533">
        <f t="shared" si="12"/>
        <v>2.0927827465005239E-2</v>
      </c>
      <c r="U14" s="4834">
        <v>3.3072489999999996E-2</v>
      </c>
      <c r="V14" s="1533">
        <f t="shared" si="6"/>
        <v>2.0445434202888368E-2</v>
      </c>
      <c r="W14" s="4834">
        <v>3.72024696751668E-3</v>
      </c>
      <c r="X14" s="1533">
        <f t="shared" si="7"/>
        <v>2.2017497189153485E-3</v>
      </c>
      <c r="Y14" s="4834">
        <v>2.9761642543485445E-2</v>
      </c>
      <c r="Z14" s="1533">
        <f t="shared" si="2"/>
        <v>1.5283994030780575E-2</v>
      </c>
      <c r="AA14" s="4834">
        <v>8.0469651168254955E-2</v>
      </c>
      <c r="AB14" s="1533">
        <f t="shared" si="3"/>
        <v>3.5135898018364392E-2</v>
      </c>
      <c r="AC14" s="4834">
        <v>9.7000000000000003E-2</v>
      </c>
      <c r="AD14" s="1533">
        <f t="shared" ref="AD14:AD25" si="13">AC14/$AC$26</f>
        <v>4.1115545279024085E-2</v>
      </c>
      <c r="AE14" s="4834">
        <v>0.11166345794522181</v>
      </c>
      <c r="AF14" s="1533">
        <f t="shared" si="4"/>
        <v>3.9213093121445566E-2</v>
      </c>
    </row>
    <row r="15" spans="1:36" ht="70.25" customHeight="1">
      <c r="B15" s="1172" t="s">
        <v>349</v>
      </c>
      <c r="C15" s="2785">
        <v>100329</v>
      </c>
      <c r="D15" s="1527">
        <f t="shared" si="0"/>
        <v>0.10211545421863243</v>
      </c>
      <c r="E15" s="1535">
        <v>101368</v>
      </c>
      <c r="F15" s="1527">
        <f t="shared" si="1"/>
        <v>0.1005632031438132</v>
      </c>
      <c r="G15" s="1529">
        <v>105550.132</v>
      </c>
      <c r="H15" s="1530">
        <f t="shared" si="5"/>
        <v>9.8787181046622874E-2</v>
      </c>
      <c r="I15" s="1162">
        <v>104332.11</v>
      </c>
      <c r="J15" s="1530">
        <v>9.2787790649385804E-2</v>
      </c>
      <c r="K15" s="1162">
        <v>125720.83</v>
      </c>
      <c r="L15" s="1531">
        <f t="shared" si="8"/>
        <v>0.10770139380891722</v>
      </c>
      <c r="M15" s="1162">
        <v>127058.00000000001</v>
      </c>
      <c r="N15" s="1531">
        <f t="shared" si="9"/>
        <v>9.6764042506784095E-2</v>
      </c>
      <c r="O15" s="1162">
        <v>115215.796</v>
      </c>
      <c r="P15" s="1531">
        <f t="shared" si="10"/>
        <v>8.1056538505363124E-2</v>
      </c>
      <c r="Q15" s="1532">
        <v>114360.52100000001</v>
      </c>
      <c r="R15" s="1533">
        <f t="shared" si="11"/>
        <v>8.0037612181729445E-2</v>
      </c>
      <c r="S15" s="1534">
        <v>115481.67376999999</v>
      </c>
      <c r="T15" s="1533">
        <f t="shared" si="12"/>
        <v>7.0702771657718863E-2</v>
      </c>
      <c r="U15" s="4834">
        <v>0.10871838</v>
      </c>
      <c r="V15" s="1533">
        <f t="shared" si="6"/>
        <v>6.7209771170378019E-2</v>
      </c>
      <c r="W15" s="4834">
        <v>0.11903038164376292</v>
      </c>
      <c r="X15" s="1533">
        <f t="shared" si="7"/>
        <v>7.0445621383432161E-2</v>
      </c>
      <c r="Y15" s="4834">
        <v>0.12253313094878518</v>
      </c>
      <c r="Z15" s="1533">
        <f t="shared" si="2"/>
        <v>6.2926487987270893E-2</v>
      </c>
      <c r="AA15" s="4834">
        <v>0.1175546478209222</v>
      </c>
      <c r="AB15" s="1533">
        <f t="shared" si="3"/>
        <v>5.1328520224157383E-2</v>
      </c>
      <c r="AC15" s="4834">
        <v>0.12067899999999999</v>
      </c>
      <c r="AD15" s="1533">
        <f t="shared" si="13"/>
        <v>5.1152400914714916E-2</v>
      </c>
      <c r="AE15" s="4834">
        <v>0.11318035191070205</v>
      </c>
      <c r="AF15" s="1533">
        <f t="shared" si="4"/>
        <v>3.9745783989329271E-2</v>
      </c>
    </row>
    <row r="16" spans="1:36" ht="70.25" customHeight="1">
      <c r="B16" s="1172" t="s">
        <v>350</v>
      </c>
      <c r="C16" s="2785">
        <v>0</v>
      </c>
      <c r="D16" s="1527">
        <f t="shared" si="0"/>
        <v>0</v>
      </c>
      <c r="E16" s="1535">
        <v>0</v>
      </c>
      <c r="F16" s="1527">
        <f t="shared" si="1"/>
        <v>0</v>
      </c>
      <c r="G16" s="1536">
        <v>0</v>
      </c>
      <c r="H16" s="1530">
        <f t="shared" si="5"/>
        <v>0</v>
      </c>
      <c r="I16" s="1162">
        <v>0</v>
      </c>
      <c r="J16" s="1530">
        <v>0</v>
      </c>
      <c r="K16" s="1162">
        <v>0</v>
      </c>
      <c r="L16" s="1531">
        <f t="shared" si="8"/>
        <v>0</v>
      </c>
      <c r="M16" s="1162">
        <v>0</v>
      </c>
      <c r="N16" s="1531">
        <f t="shared" si="9"/>
        <v>0</v>
      </c>
      <c r="O16" s="1162"/>
      <c r="P16" s="1531">
        <f t="shared" si="10"/>
        <v>0</v>
      </c>
      <c r="Q16" s="1532">
        <v>0</v>
      </c>
      <c r="R16" s="1533">
        <f t="shared" si="11"/>
        <v>0</v>
      </c>
      <c r="S16" s="1534">
        <v>0</v>
      </c>
      <c r="T16" s="1533">
        <f t="shared" si="12"/>
        <v>0</v>
      </c>
      <c r="U16" s="4834">
        <v>0</v>
      </c>
      <c r="V16" s="1533">
        <f t="shared" si="6"/>
        <v>0</v>
      </c>
      <c r="W16" s="4834">
        <v>0</v>
      </c>
      <c r="X16" s="1533">
        <f t="shared" si="7"/>
        <v>0</v>
      </c>
      <c r="Y16" s="4834">
        <v>0</v>
      </c>
      <c r="Z16" s="1533">
        <f t="shared" si="2"/>
        <v>0</v>
      </c>
      <c r="AA16" s="4834">
        <v>0</v>
      </c>
      <c r="AB16" s="1533">
        <f t="shared" si="3"/>
        <v>0</v>
      </c>
      <c r="AC16" s="4834">
        <v>0</v>
      </c>
      <c r="AD16" s="1533">
        <f t="shared" si="13"/>
        <v>0</v>
      </c>
      <c r="AE16" s="4834">
        <v>0</v>
      </c>
      <c r="AF16" s="1533">
        <f t="shared" si="4"/>
        <v>0</v>
      </c>
    </row>
    <row r="17" spans="2:32" ht="70.25" customHeight="1">
      <c r="B17" s="1172" t="s">
        <v>351</v>
      </c>
      <c r="C17" s="2785">
        <v>2779.7930000000001</v>
      </c>
      <c r="D17" s="1527">
        <f t="shared" si="0"/>
        <v>2.8292898845675221E-3</v>
      </c>
      <c r="E17" s="1535">
        <v>2883</v>
      </c>
      <c r="F17" s="1527">
        <f t="shared" si="1"/>
        <v>2.8601108304752332E-3</v>
      </c>
      <c r="G17" s="1529">
        <v>2566.7289999999998</v>
      </c>
      <c r="H17" s="1530">
        <f t="shared" si="5"/>
        <v>2.4022700646231052E-3</v>
      </c>
      <c r="I17" s="1162">
        <v>3655.9459999999999</v>
      </c>
      <c r="J17" s="1530">
        <v>3.2514165780166762E-3</v>
      </c>
      <c r="K17" s="1162">
        <v>2422.79</v>
      </c>
      <c r="L17" s="1531">
        <f t="shared" si="8"/>
        <v>2.0755340217393295E-3</v>
      </c>
      <c r="M17" s="1162">
        <v>5627.2</v>
      </c>
      <c r="N17" s="1531">
        <f t="shared" si="9"/>
        <v>4.2855280265247002E-3</v>
      </c>
      <c r="O17" s="1162">
        <v>5689.8940000000002</v>
      </c>
      <c r="P17" s="1531">
        <f t="shared" si="10"/>
        <v>4.0029503602304201E-3</v>
      </c>
      <c r="Q17" s="1532">
        <v>5279.701</v>
      </c>
      <c r="R17" s="1533">
        <f t="shared" si="11"/>
        <v>3.6951096180603189E-3</v>
      </c>
      <c r="S17" s="1534">
        <v>5593.0930500000004</v>
      </c>
      <c r="T17" s="1533">
        <f t="shared" si="12"/>
        <v>3.4243284485304562E-3</v>
      </c>
      <c r="U17" s="4834">
        <v>5.3938700000000003E-3</v>
      </c>
      <c r="V17" s="1533">
        <f t="shared" si="6"/>
        <v>3.334493840165452E-3</v>
      </c>
      <c r="W17" s="4834">
        <v>5.2272340139241898E-3</v>
      </c>
      <c r="X17" s="1533">
        <f t="shared" si="7"/>
        <v>3.0936282245113429E-3</v>
      </c>
      <c r="Y17" s="4834">
        <v>5.3029508820013607E-3</v>
      </c>
      <c r="Z17" s="1533">
        <f t="shared" si="2"/>
        <v>2.7233130532902175E-3</v>
      </c>
      <c r="AA17" s="4834">
        <v>1.3387437475074992E-2</v>
      </c>
      <c r="AB17" s="1533">
        <f t="shared" si="3"/>
        <v>5.8454290657721656E-3</v>
      </c>
      <c r="AC17" s="4834">
        <v>1.7236999999999999E-2</v>
      </c>
      <c r="AD17" s="1533">
        <f t="shared" si="13"/>
        <v>7.3062747832426606E-3</v>
      </c>
      <c r="AE17" s="4834">
        <v>2.3037450000000001E-2</v>
      </c>
      <c r="AF17" s="1533">
        <f t="shared" si="4"/>
        <v>8.0901101287209638E-3</v>
      </c>
    </row>
    <row r="18" spans="2:32" ht="70.25" customHeight="1">
      <c r="B18" s="1172" t="s">
        <v>352</v>
      </c>
      <c r="C18" s="2785">
        <f>55032+68035-339.11</f>
        <v>122727.89</v>
      </c>
      <c r="D18" s="1527">
        <f t="shared" si="0"/>
        <v>0.12491317797091925</v>
      </c>
      <c r="E18" s="1535">
        <f>47045+58141+207</f>
        <v>105393</v>
      </c>
      <c r="F18" s="1527">
        <f t="shared" si="1"/>
        <v>0.10455624722728972</v>
      </c>
      <c r="G18" s="1529">
        <f>36743.338+29611+137640.69</f>
        <v>203995.02799999999</v>
      </c>
      <c r="H18" s="1530">
        <f t="shared" si="5"/>
        <v>0.19092438239344792</v>
      </c>
      <c r="I18" s="1162">
        <v>274739.16399999999</v>
      </c>
      <c r="J18" s="1530">
        <v>0.24433935087116776</v>
      </c>
      <c r="K18" s="1162">
        <v>618627.91</v>
      </c>
      <c r="L18" s="1531">
        <f t="shared" si="8"/>
        <v>0.52996061317840004</v>
      </c>
      <c r="M18" s="1162">
        <v>779487.40000000014</v>
      </c>
      <c r="N18" s="1531">
        <f t="shared" si="9"/>
        <v>0.59363717284313167</v>
      </c>
      <c r="O18" s="1162">
        <v>906692.076</v>
      </c>
      <c r="P18" s="1531">
        <f t="shared" si="10"/>
        <v>0.63787539315183506</v>
      </c>
      <c r="Q18" s="1532">
        <v>922226.67659999989</v>
      </c>
      <c r="R18" s="1533">
        <f t="shared" si="11"/>
        <v>0.64543970628951575</v>
      </c>
      <c r="S18" s="1534">
        <v>1113689.76</v>
      </c>
      <c r="T18" s="1533">
        <f t="shared" si="12"/>
        <v>0.68184803898534385</v>
      </c>
      <c r="U18" s="4834">
        <v>1.11382822</v>
      </c>
      <c r="V18" s="1533">
        <f t="shared" si="6"/>
        <v>0.68856930897341795</v>
      </c>
      <c r="W18" s="4834">
        <v>1.0902469336860003</v>
      </c>
      <c r="X18" s="1533">
        <f t="shared" si="7"/>
        <v>0.64523965767622371</v>
      </c>
      <c r="Y18" s="4834">
        <v>1.121348059716091</v>
      </c>
      <c r="Z18" s="1533">
        <f t="shared" si="2"/>
        <v>0.57586462259555682</v>
      </c>
      <c r="AA18" s="4834">
        <v>1.2100579268219365</v>
      </c>
      <c r="AB18" s="1533">
        <f t="shared" si="3"/>
        <v>0.5283541222793523</v>
      </c>
      <c r="AC18" s="4834">
        <v>1.2523500000000001</v>
      </c>
      <c r="AD18" s="1533">
        <f t="shared" si="13"/>
        <v>0.53083559928026613</v>
      </c>
      <c r="AE18" s="4834">
        <v>1.3924277078533434</v>
      </c>
      <c r="AF18" s="1533">
        <f t="shared" si="4"/>
        <v>0.48898178847120871</v>
      </c>
    </row>
    <row r="19" spans="2:32" ht="70.25" customHeight="1">
      <c r="B19" s="2787" t="s">
        <v>353</v>
      </c>
      <c r="C19" s="2785">
        <v>13289.883</v>
      </c>
      <c r="D19" s="1527">
        <f t="shared" si="0"/>
        <v>1.352652213275804E-2</v>
      </c>
      <c r="E19" s="1535">
        <v>14759</v>
      </c>
      <c r="F19" s="1527">
        <f t="shared" si="1"/>
        <v>1.4641823013175154E-2</v>
      </c>
      <c r="G19" s="1529">
        <v>16341.812</v>
      </c>
      <c r="H19" s="1530">
        <f t="shared" si="5"/>
        <v>1.5294737297665097E-2</v>
      </c>
      <c r="I19" s="1162">
        <v>15972.718000000001</v>
      </c>
      <c r="J19" s="1530">
        <v>1.4205341135012763E-2</v>
      </c>
      <c r="K19" s="1162">
        <v>60649.130000000005</v>
      </c>
      <c r="L19" s="1531">
        <f t="shared" si="8"/>
        <v>5.1956353090400496E-2</v>
      </c>
      <c r="M19" s="1162">
        <v>57811.200000000004</v>
      </c>
      <c r="N19" s="1531">
        <f t="shared" si="9"/>
        <v>4.4027494641566821E-2</v>
      </c>
      <c r="O19" s="1162">
        <v>58860.337</v>
      </c>
      <c r="P19" s="1531">
        <f t="shared" si="10"/>
        <v>4.1409384286848559E-2</v>
      </c>
      <c r="Q19" s="1532">
        <v>51894.292999999998</v>
      </c>
      <c r="R19" s="1533">
        <f t="shared" si="11"/>
        <v>3.6319310731183503E-2</v>
      </c>
      <c r="S19" s="1534">
        <v>49366.161999999997</v>
      </c>
      <c r="T19" s="1533">
        <f t="shared" si="12"/>
        <v>3.0224055173078721E-2</v>
      </c>
      <c r="U19" s="4834">
        <v>4.5511360000000001E-2</v>
      </c>
      <c r="V19" s="1533">
        <f t="shared" si="6"/>
        <v>2.8135151491888447E-2</v>
      </c>
      <c r="W19" s="4834">
        <v>4.2095423061000004E-2</v>
      </c>
      <c r="X19" s="1533">
        <f t="shared" si="7"/>
        <v>2.4913288472901331E-2</v>
      </c>
      <c r="Y19" s="4834">
        <v>4.1003842200749999E-2</v>
      </c>
      <c r="Z19" s="1533">
        <f t="shared" si="2"/>
        <v>2.1057388835970383E-2</v>
      </c>
      <c r="AA19" s="4834">
        <v>4.2817310626517092E-2</v>
      </c>
      <c r="AB19" s="1533">
        <f t="shared" si="3"/>
        <v>1.8695553388796419E-2</v>
      </c>
      <c r="AC19" s="4834">
        <v>4.1672000000000001E-2</v>
      </c>
      <c r="AD19" s="1533">
        <f t="shared" si="13"/>
        <v>1.7663577349149397E-2</v>
      </c>
      <c r="AE19" s="4834">
        <v>4.0172278691249994E-2</v>
      </c>
      <c r="AF19" s="1533">
        <f t="shared" si="4"/>
        <v>1.4107384225853246E-2</v>
      </c>
    </row>
    <row r="20" spans="2:32" ht="70.25" customHeight="1">
      <c r="B20" s="2788" t="s">
        <v>354</v>
      </c>
      <c r="C20" s="2785">
        <v>11082.59</v>
      </c>
      <c r="D20" s="1527">
        <f t="shared" si="0"/>
        <v>1.1279926160620296E-2</v>
      </c>
      <c r="E20" s="1535">
        <f>9473+197.558</f>
        <v>9670.5580000000009</v>
      </c>
      <c r="F20" s="1527">
        <f t="shared" si="1"/>
        <v>9.5937799766003858E-3</v>
      </c>
      <c r="G20" s="1529">
        <v>6007.5780000000004</v>
      </c>
      <c r="H20" s="1530">
        <f t="shared" si="5"/>
        <v>5.6226523292051273E-3</v>
      </c>
      <c r="I20" s="1162">
        <v>4892</v>
      </c>
      <c r="J20" s="1530">
        <v>4.3507015419969493E-3</v>
      </c>
      <c r="K20" s="1162">
        <v>1281</v>
      </c>
      <c r="L20" s="1531">
        <f t="shared" si="8"/>
        <v>1.0973955984002249E-3</v>
      </c>
      <c r="M20" s="1162">
        <v>1224.0999999999999</v>
      </c>
      <c r="N20" s="1531">
        <f t="shared" si="9"/>
        <v>9.3224247534633316E-4</v>
      </c>
      <c r="O20" s="1162">
        <v>1166.0840000000001</v>
      </c>
      <c r="P20" s="1531">
        <f t="shared" si="10"/>
        <v>8.2036262325078978E-4</v>
      </c>
      <c r="Q20" s="1532">
        <v>1046.4580000000001</v>
      </c>
      <c r="R20" s="1533">
        <f t="shared" si="11"/>
        <v>7.3238560681678096E-4</v>
      </c>
      <c r="S20" s="1534">
        <v>984.75023999999996</v>
      </c>
      <c r="T20" s="1533">
        <f t="shared" si="12"/>
        <v>6.0290580388774222E-4</v>
      </c>
      <c r="U20" s="4834">
        <v>9.2188000000000003E-4</v>
      </c>
      <c r="V20" s="1533">
        <f t="shared" si="6"/>
        <v>5.6990679815637499E-4</v>
      </c>
      <c r="W20" s="4834">
        <v>8.5774577400000009E-4</v>
      </c>
      <c r="X20" s="1533">
        <f t="shared" si="7"/>
        <v>5.0763874906561859E-4</v>
      </c>
      <c r="Y20" s="4834">
        <v>7.9231775400000009E-4</v>
      </c>
      <c r="Z20" s="1540">
        <f t="shared" si="2"/>
        <v>4.0689218697938413E-4</v>
      </c>
      <c r="AA20" s="4834">
        <v>7.2565232400000003E-4</v>
      </c>
      <c r="AB20" s="1540">
        <f t="shared" si="3"/>
        <v>3.1684548997910146E-4</v>
      </c>
      <c r="AC20" s="4834">
        <v>6.5799999999999995E-4</v>
      </c>
      <c r="AD20" s="1533">
        <f t="shared" si="13"/>
        <v>2.7890751333606024E-4</v>
      </c>
      <c r="AE20" s="4834">
        <v>5.8801658400000007E-4</v>
      </c>
      <c r="AF20" s="1533">
        <f t="shared" si="4"/>
        <v>2.0649502970486322E-4</v>
      </c>
    </row>
    <row r="21" spans="2:32" ht="70.25" customHeight="1">
      <c r="B21" s="1172" t="s">
        <v>355</v>
      </c>
      <c r="C21" s="2785">
        <v>5709.982</v>
      </c>
      <c r="D21" s="1527">
        <f t="shared" si="0"/>
        <v>5.8116537143818366E-3</v>
      </c>
      <c r="E21" s="1535">
        <v>11843</v>
      </c>
      <c r="F21" s="1527">
        <f t="shared" si="1"/>
        <v>1.1748974181518622E-2</v>
      </c>
      <c r="G21" s="1529">
        <v>11693.61</v>
      </c>
      <c r="H21" s="1530">
        <f t="shared" si="5"/>
        <v>1.0944361189037639E-2</v>
      </c>
      <c r="I21" s="1162">
        <v>11117.349</v>
      </c>
      <c r="J21" s="1530">
        <v>9.8872173829146048E-3</v>
      </c>
      <c r="K21" s="1162">
        <v>71872.37000000001</v>
      </c>
      <c r="L21" s="1531">
        <f t="shared" si="8"/>
        <v>6.1570977739728638E-2</v>
      </c>
      <c r="M21" s="1162">
        <v>52574.2</v>
      </c>
      <c r="N21" s="1531">
        <f t="shared" si="9"/>
        <v>4.0039132707583684E-2</v>
      </c>
      <c r="O21" s="1162">
        <v>83657.963000000003</v>
      </c>
      <c r="P21" s="1531">
        <f t="shared" si="10"/>
        <v>5.8854993278783956E-2</v>
      </c>
      <c r="Q21" s="1532">
        <v>112617.59299999999</v>
      </c>
      <c r="R21" s="1533">
        <f t="shared" si="11"/>
        <v>7.8817787419610014E-2</v>
      </c>
      <c r="S21" s="1534">
        <v>67346.421740000005</v>
      </c>
      <c r="T21" s="1533">
        <f t="shared" si="12"/>
        <v>4.1232331700795141E-2</v>
      </c>
      <c r="U21" s="4834">
        <v>6.3130770000000003E-2</v>
      </c>
      <c r="V21" s="1533">
        <f t="shared" si="6"/>
        <v>3.902748188033859E-2</v>
      </c>
      <c r="W21" s="4834">
        <v>8.1314622565875017E-2</v>
      </c>
      <c r="X21" s="1533">
        <f t="shared" si="7"/>
        <v>4.8124344685006523E-2</v>
      </c>
      <c r="Y21" s="4834">
        <v>0.21857893637090975</v>
      </c>
      <c r="Z21" s="1533">
        <f t="shared" si="2"/>
        <v>0.1122504967212777</v>
      </c>
      <c r="AA21" s="4834">
        <v>0.30004583181187505</v>
      </c>
      <c r="AB21" s="1533">
        <f t="shared" si="3"/>
        <v>0.13101063064551091</v>
      </c>
      <c r="AC21" s="4834">
        <v>0.30147699999999999</v>
      </c>
      <c r="AD21" s="1533">
        <f t="shared" si="13"/>
        <v>0.12778753859880765</v>
      </c>
      <c r="AE21" s="4834">
        <v>0.30193040000000004</v>
      </c>
      <c r="AF21" s="1533">
        <f t="shared" si="4"/>
        <v>0.10602953830431633</v>
      </c>
    </row>
    <row r="22" spans="2:32" ht="70.25" customHeight="1">
      <c r="B22" s="1172" t="s">
        <v>356</v>
      </c>
      <c r="C22" s="2785">
        <v>104562.28200000001</v>
      </c>
      <c r="D22" s="1527">
        <f t="shared" si="0"/>
        <v>0.10642411387103165</v>
      </c>
      <c r="E22" s="1535">
        <v>86099</v>
      </c>
      <c r="F22" s="1527">
        <f t="shared" si="1"/>
        <v>8.5415429203290705E-2</v>
      </c>
      <c r="G22" s="1529">
        <v>67838.366999999998</v>
      </c>
      <c r="H22" s="1530">
        <f t="shared" si="5"/>
        <v>6.3491735308642216E-2</v>
      </c>
      <c r="I22" s="1162">
        <v>50110</v>
      </c>
      <c r="J22" s="1530">
        <v>4.4565342246416013E-2</v>
      </c>
      <c r="K22" s="1162">
        <v>6258.9</v>
      </c>
      <c r="L22" s="1531">
        <f t="shared" si="8"/>
        <v>5.3618183534950561E-3</v>
      </c>
      <c r="M22" s="1162">
        <v>4531.5</v>
      </c>
      <c r="N22" s="1531">
        <f t="shared" si="9"/>
        <v>3.4510716257102432E-3</v>
      </c>
      <c r="O22" s="1162">
        <v>3577.5010000000002</v>
      </c>
      <c r="P22" s="1531">
        <f t="shared" si="10"/>
        <v>2.5168410723775676E-3</v>
      </c>
      <c r="Q22" s="1532">
        <v>1669.501</v>
      </c>
      <c r="R22" s="1533">
        <f t="shared" si="11"/>
        <v>1.1684353342095168E-3</v>
      </c>
      <c r="S22" s="1534">
        <v>715.50135</v>
      </c>
      <c r="T22" s="1533">
        <f t="shared" si="12"/>
        <v>4.3806022997721212E-4</v>
      </c>
      <c r="U22" s="4834">
        <v>1.6412E-3</v>
      </c>
      <c r="V22" s="1533">
        <f t="shared" si="6"/>
        <v>1.0145908763984929E-3</v>
      </c>
      <c r="W22" s="4834">
        <v>2.9218199850000004E-3</v>
      </c>
      <c r="X22" s="1533">
        <f t="shared" si="7"/>
        <v>1.7292175457343897E-3</v>
      </c>
      <c r="Y22" s="4834">
        <v>1.0147255560000002E-2</v>
      </c>
      <c r="Z22" s="1533">
        <f t="shared" si="2"/>
        <v>5.2110898510133799E-3</v>
      </c>
      <c r="AA22" s="4834">
        <v>1.3698318186000001E-2</v>
      </c>
      <c r="AB22" s="1533">
        <f t="shared" si="3"/>
        <v>5.9811705881518086E-3</v>
      </c>
      <c r="AC22" s="4834">
        <v>1.3698E-2</v>
      </c>
      <c r="AD22" s="1533">
        <f t="shared" si="13"/>
        <v>5.8061931879595042E-3</v>
      </c>
      <c r="AE22" s="4834">
        <v>1.6229568186E-2</v>
      </c>
      <c r="AF22" s="1533">
        <f t="shared" si="4"/>
        <v>5.6993718474191418E-3</v>
      </c>
    </row>
    <row r="23" spans="2:32" ht="70.25" customHeight="1">
      <c r="B23" s="125" t="s">
        <v>357</v>
      </c>
      <c r="C23" s="1526">
        <f>71749.568+28086+7642.417</f>
        <v>107477.985</v>
      </c>
      <c r="D23" s="1527">
        <f t="shared" si="0"/>
        <v>0.10939173376370105</v>
      </c>
      <c r="E23" s="1535">
        <f>65880.2+28192+7752</f>
        <v>101824.2</v>
      </c>
      <c r="F23" s="1527">
        <f t="shared" si="1"/>
        <v>0.1010157812086286</v>
      </c>
      <c r="G23" s="1529">
        <f>56600.178+26715.077</f>
        <v>83315.255000000005</v>
      </c>
      <c r="H23" s="1530">
        <f t="shared" si="5"/>
        <v>7.7976967187786683E-2</v>
      </c>
      <c r="I23" s="1162">
        <v>80168.566999999995</v>
      </c>
      <c r="J23" s="1530">
        <v>7.1297937053676555E-2</v>
      </c>
      <c r="K23" s="1162">
        <v>81062.92</v>
      </c>
      <c r="L23" s="1531">
        <f t="shared" si="8"/>
        <v>6.9444255738852115E-2</v>
      </c>
      <c r="M23" s="1162">
        <v>76737</v>
      </c>
      <c r="N23" s="1531">
        <f t="shared" si="9"/>
        <v>5.8440887861001205E-2</v>
      </c>
      <c r="O23" s="1162">
        <v>69825.148000000001</v>
      </c>
      <c r="P23" s="1531">
        <f t="shared" si="10"/>
        <v>4.9123340670273012E-2</v>
      </c>
      <c r="Q23" s="1532">
        <v>58125.58600000001</v>
      </c>
      <c r="R23" s="1533">
        <f t="shared" si="11"/>
        <v>4.0680411993783784E-2</v>
      </c>
      <c r="S23" s="2789">
        <v>55732.685270000002</v>
      </c>
      <c r="T23" s="1533">
        <f t="shared" si="12"/>
        <v>3.4121910359251988E-2</v>
      </c>
      <c r="U23" s="4835">
        <v>5.5915670000000001E-2</v>
      </c>
      <c r="V23" s="1533">
        <f t="shared" si="6"/>
        <v>3.4567102504087815E-2</v>
      </c>
      <c r="W23" s="4834">
        <v>7.9226525239942502E-2</v>
      </c>
      <c r="X23" s="1533">
        <f t="shared" si="7"/>
        <v>4.6888548314340119E-2</v>
      </c>
      <c r="Y23" s="4834">
        <v>9.8348393610935322E-2</v>
      </c>
      <c r="Z23" s="1533">
        <f t="shared" si="2"/>
        <v>5.0506495355224314E-2</v>
      </c>
      <c r="AA23" s="4834">
        <v>0.13189885263967788</v>
      </c>
      <c r="AB23" s="1533">
        <f t="shared" si="3"/>
        <v>5.7591707778090209E-2</v>
      </c>
      <c r="AC23" s="4834">
        <v>0.13386300000000001</v>
      </c>
      <c r="AD23" s="1533">
        <f t="shared" si="13"/>
        <v>5.6740724099855679E-2</v>
      </c>
      <c r="AE23" s="4834">
        <v>0.12846386908579158</v>
      </c>
      <c r="AF23" s="1533">
        <f t="shared" si="4"/>
        <v>4.5112929098734718E-2</v>
      </c>
    </row>
    <row r="24" spans="2:32" ht="70.25" customHeight="1">
      <c r="B24" s="1172" t="s">
        <v>358</v>
      </c>
      <c r="C24" s="2785">
        <v>109767.17600000001</v>
      </c>
      <c r="D24" s="1527">
        <f t="shared" si="0"/>
        <v>0.11172168600839806</v>
      </c>
      <c r="E24" s="1535">
        <v>107525</v>
      </c>
      <c r="F24" s="1527">
        <f t="shared" si="1"/>
        <v>0.10667132051572996</v>
      </c>
      <c r="G24" s="1529">
        <v>101271.637</v>
      </c>
      <c r="H24" s="1530">
        <f t="shared" si="5"/>
        <v>9.4782823570574715E-2</v>
      </c>
      <c r="I24" s="1162">
        <v>94923</v>
      </c>
      <c r="J24" s="1530">
        <v>8.4419796089733531E-2</v>
      </c>
      <c r="K24" s="1537">
        <v>12432.61</v>
      </c>
      <c r="L24" s="1531">
        <f t="shared" si="8"/>
        <v>1.0650656901347869E-2</v>
      </c>
      <c r="M24" s="1537">
        <v>9533</v>
      </c>
      <c r="N24" s="1531">
        <f t="shared" si="9"/>
        <v>7.2600829323393465E-3</v>
      </c>
      <c r="O24" s="1537">
        <v>10896.985000000001</v>
      </c>
      <c r="P24" s="1531">
        <f t="shared" si="10"/>
        <v>7.6662394819965859E-3</v>
      </c>
      <c r="Q24" s="1532">
        <v>8608.7200000000012</v>
      </c>
      <c r="R24" s="1533">
        <f t="shared" si="11"/>
        <v>6.0249934742873188E-3</v>
      </c>
      <c r="S24" s="2789">
        <v>42683.482109999997</v>
      </c>
      <c r="T24" s="1533">
        <f t="shared" si="12"/>
        <v>2.6132635514013802E-2</v>
      </c>
      <c r="U24" s="4834">
        <v>4.9145419999999995E-2</v>
      </c>
      <c r="V24" s="1533">
        <f t="shared" si="6"/>
        <v>3.038172967875458E-2</v>
      </c>
      <c r="W24" s="4834">
        <v>6.4360817517636004E-2</v>
      </c>
      <c r="X24" s="1533">
        <f t="shared" si="7"/>
        <v>3.8090592671918298E-2</v>
      </c>
      <c r="Y24" s="4834">
        <v>8.7391770805643212E-2</v>
      </c>
      <c r="Z24" s="1533">
        <f t="shared" si="2"/>
        <v>4.487975760683164E-2</v>
      </c>
      <c r="AA24" s="4834">
        <v>0.11432274867061487</v>
      </c>
      <c r="AB24" s="1533">
        <f t="shared" si="3"/>
        <v>4.991735865824725E-2</v>
      </c>
      <c r="AC24" s="4834">
        <v>0.124199</v>
      </c>
      <c r="AD24" s="1533">
        <f t="shared" si="13"/>
        <v>5.26444289495826E-2</v>
      </c>
      <c r="AE24" s="4834">
        <v>0.1428627461813827</v>
      </c>
      <c r="AF24" s="1533">
        <f t="shared" si="4"/>
        <v>5.0169413277029194E-2</v>
      </c>
    </row>
    <row r="25" spans="2:32" ht="70.25" customHeight="1" thickBot="1">
      <c r="B25" s="1541" t="s">
        <v>141</v>
      </c>
      <c r="C25" s="1542">
        <v>124658</v>
      </c>
      <c r="D25" s="1543">
        <f t="shared" si="0"/>
        <v>0.12687765543348664</v>
      </c>
      <c r="E25" s="1544">
        <f>51223+28890+48162+68977</f>
        <v>197252</v>
      </c>
      <c r="F25" s="1543">
        <f t="shared" si="1"/>
        <v>0.19568594572767975</v>
      </c>
      <c r="G25" s="1545">
        <f>176200.627+32837.93+6339.358+2573.3</f>
        <v>217951.215</v>
      </c>
      <c r="H25" s="1546">
        <f t="shared" si="5"/>
        <v>0.20398634968581969</v>
      </c>
      <c r="I25" s="1547">
        <v>250904</v>
      </c>
      <c r="J25" s="1546">
        <v>0.22314154122919105</v>
      </c>
      <c r="K25" s="1548">
        <v>2666.84</v>
      </c>
      <c r="L25" s="1549">
        <f t="shared" si="8"/>
        <v>2.2846045883197939E-3</v>
      </c>
      <c r="M25" s="1548">
        <v>2068.8000000000002</v>
      </c>
      <c r="N25" s="1549">
        <f t="shared" si="9"/>
        <v>1.5755438550743358E-3</v>
      </c>
      <c r="O25" s="1548">
        <v>1370.3589999999999</v>
      </c>
      <c r="P25" s="1550">
        <f t="shared" si="10"/>
        <v>9.6407403243276544E-4</v>
      </c>
      <c r="Q25" s="1551">
        <v>2848.2939999999999</v>
      </c>
      <c r="R25" s="1552">
        <f t="shared" si="11"/>
        <v>1.9934383697984975E-3</v>
      </c>
      <c r="S25" s="2789">
        <v>3011.19</v>
      </c>
      <c r="T25" s="1552">
        <f t="shared" si="12"/>
        <v>1.8435780504188865E-3</v>
      </c>
      <c r="U25" s="4836">
        <v>3.8112900000000002E-3</v>
      </c>
      <c r="V25" s="1533">
        <f t="shared" si="6"/>
        <v>2.3561418847847992E-3</v>
      </c>
      <c r="W25" s="4834">
        <v>4.5214608279530159E-2</v>
      </c>
      <c r="X25" s="1533">
        <f>W25/$W$26</f>
        <v>2.6759312470261903E-2</v>
      </c>
      <c r="Y25" s="4834">
        <v>4.7384126716887874E-2</v>
      </c>
      <c r="Z25" s="1533">
        <f t="shared" si="2"/>
        <v>2.4333963047788489E-2</v>
      </c>
      <c r="AA25" s="4834">
        <v>4.6310570849348899E-2</v>
      </c>
      <c r="AB25" s="1533">
        <f t="shared" si="3"/>
        <v>2.0220834450154459E-2</v>
      </c>
      <c r="AC25" s="4834">
        <v>5.3249999999999999E-2</v>
      </c>
      <c r="AD25" s="1533">
        <f t="shared" si="13"/>
        <v>2.2571162743381775E-2</v>
      </c>
      <c r="AE25" s="4834">
        <v>0.37812714000000003</v>
      </c>
      <c r="AF25" s="1533">
        <f t="shared" si="4"/>
        <v>0.13278770893732986</v>
      </c>
    </row>
    <row r="26" spans="2:32" s="286" customFormat="1" ht="70.25" customHeight="1" thickBot="1">
      <c r="B26" s="1553" t="s">
        <v>394</v>
      </c>
      <c r="C26" s="1554">
        <f t="shared" ref="C26:I26" si="14">SUM(C10:C25)</f>
        <v>982505.54499999993</v>
      </c>
      <c r="D26" s="1555">
        <f t="shared" si="14"/>
        <v>1.0000000000000002</v>
      </c>
      <c r="E26" s="1554">
        <f t="shared" si="14"/>
        <v>1008002.8959999999</v>
      </c>
      <c r="F26" s="1555">
        <f t="shared" si="14"/>
        <v>1.0000000000000002</v>
      </c>
      <c r="G26" s="1556">
        <f t="shared" si="14"/>
        <v>1068459.8029999998</v>
      </c>
      <c r="H26" s="1557">
        <f t="shared" si="14"/>
        <v>1</v>
      </c>
      <c r="I26" s="1558">
        <f t="shared" si="14"/>
        <v>1124416.362</v>
      </c>
      <c r="J26" s="1557">
        <f>SUM(J10:J25)</f>
        <v>1</v>
      </c>
      <c r="K26" s="1559">
        <f>SUM(K10:K25)</f>
        <v>1167309.2200000002</v>
      </c>
      <c r="L26" s="1560">
        <f>SUM(L10:L25)</f>
        <v>0.99999999999999989</v>
      </c>
      <c r="M26" s="1559">
        <f>SUM(M10:M25)</f>
        <v>1313070.4000000001</v>
      </c>
      <c r="N26" s="1560">
        <f>SUM(N10:N25)</f>
        <v>0.99999999999999989</v>
      </c>
      <c r="O26" s="1559">
        <v>1421425.071</v>
      </c>
      <c r="P26" s="1561">
        <f t="shared" ref="P26:U26" si="15">SUM(P10:P25)</f>
        <v>1.0000000000000002</v>
      </c>
      <c r="Q26" s="1562">
        <f t="shared" si="15"/>
        <v>1428834.7426</v>
      </c>
      <c r="R26" s="1563">
        <f t="shared" si="15"/>
        <v>0.99999999999999989</v>
      </c>
      <c r="S26" s="2790">
        <f t="shared" si="15"/>
        <v>1633340.1232</v>
      </c>
      <c r="T26" s="1563">
        <f>SUM(T10:T25)</f>
        <v>0.99999999999999989</v>
      </c>
      <c r="U26" s="1185">
        <f t="shared" si="15"/>
        <v>1.6175978299999996</v>
      </c>
      <c r="V26" s="1563">
        <f>SUM(V10:V25)</f>
        <v>1.0000000000000004</v>
      </c>
      <c r="W26" s="4739">
        <f>SUM(W8:W25)</f>
        <v>1.6896775031039364</v>
      </c>
      <c r="X26" s="1563">
        <f>SUM(X10:X25)</f>
        <v>0.99999999999999978</v>
      </c>
      <c r="Y26" s="4739">
        <f>SUM(Y8:Y25)</f>
        <v>1.9472424867183409</v>
      </c>
      <c r="Z26" s="1563">
        <f>SUM(Z10:Z25)</f>
        <v>1.0000000000000002</v>
      </c>
      <c r="AA26" s="4739">
        <f>SUM(AA8:AA25)</f>
        <v>2.2902403441117709</v>
      </c>
      <c r="AB26" s="1563">
        <f>SUM(AB10:AB25)</f>
        <v>1</v>
      </c>
      <c r="AC26" s="4739">
        <f>SUM(AC8:AC25)</f>
        <v>2.3592049999999998</v>
      </c>
      <c r="AD26" s="1563">
        <f>SUM(AD10:AD25)</f>
        <v>1</v>
      </c>
      <c r="AE26" s="4739">
        <f>SUM(AE8:AE25)</f>
        <v>2.8476064767294083</v>
      </c>
      <c r="AF26" s="1563">
        <f t="shared" si="4"/>
        <v>1</v>
      </c>
    </row>
    <row r="27" spans="2:32" ht="66" customHeight="1">
      <c r="B27" s="2774" t="s">
        <v>664</v>
      </c>
      <c r="G27" s="1503"/>
      <c r="I27" s="1523"/>
      <c r="Z27" s="1524" t="s">
        <v>390</v>
      </c>
    </row>
    <row r="28" spans="2:32">
      <c r="D28" s="1503"/>
      <c r="F28" s="1503"/>
    </row>
    <row r="29" spans="2:32">
      <c r="C29" s="1503"/>
    </row>
    <row r="31" spans="2:32">
      <c r="F31" s="1525"/>
    </row>
    <row r="35" spans="6:6">
      <c r="F35" s="1525"/>
    </row>
    <row r="78" spans="2:2">
      <c r="B78" s="279" t="s">
        <v>747</v>
      </c>
    </row>
  </sheetData>
  <mergeCells count="19">
    <mergeCell ref="Q6:R6"/>
    <mergeCell ref="S6:T6"/>
    <mergeCell ref="U6:V6"/>
    <mergeCell ref="B1:AF1"/>
    <mergeCell ref="B2:AF2"/>
    <mergeCell ref="B3:AF3"/>
    <mergeCell ref="B4:AF4"/>
    <mergeCell ref="AE6:AF6"/>
    <mergeCell ref="W6:X6"/>
    <mergeCell ref="M6:N6"/>
    <mergeCell ref="AC6:AD6"/>
    <mergeCell ref="AA6:AB6"/>
    <mergeCell ref="C6:D6"/>
    <mergeCell ref="E6:F6"/>
    <mergeCell ref="G6:H6"/>
    <mergeCell ref="I6:J6"/>
    <mergeCell ref="K6:L6"/>
    <mergeCell ref="Y6:Z6"/>
    <mergeCell ref="O6:P6"/>
  </mergeCells>
  <printOptions horizontalCentered="1" verticalCentered="1"/>
  <pageMargins left="0.25" right="0.25" top="0.75" bottom="0.75" header="0.3" footer="0.3"/>
  <pageSetup scale="29" firstPageNumber="103" orientation="landscape" useFirstPageNumber="1" r:id="rId1"/>
  <headerFooter scaleWithDoc="0" alignWithMargins="0">
    <oddFooter xml:space="preserve">&amp;C143
</oddFooter>
  </headerFooter>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tabColor rgb="FFC00000"/>
    <pageSetUpPr fitToPage="1"/>
  </sheetPr>
  <dimension ref="B1:AF79"/>
  <sheetViews>
    <sheetView view="pageBreakPreview" topLeftCell="Q1" zoomScale="80" zoomScaleNormal="100" zoomScaleSheetLayoutView="80" workbookViewId="0">
      <selection activeCell="AC2" sqref="AC2"/>
    </sheetView>
  </sheetViews>
  <sheetFormatPr defaultColWidth="9.46484375" defaultRowHeight="17.649999999999999"/>
  <cols>
    <col min="1" max="1" width="9.46484375" style="3"/>
    <col min="2" max="2" width="42.46484375" style="3" bestFit="1" customWidth="1"/>
    <col min="3" max="8" width="0" style="3" hidden="1" customWidth="1"/>
    <col min="9" max="9" width="12.46484375" style="3" hidden="1" customWidth="1"/>
    <col min="10" max="13" width="13.46484375" style="3" hidden="1" customWidth="1"/>
    <col min="14" max="15" width="15.46484375" style="3" hidden="1" customWidth="1"/>
    <col min="16" max="16" width="14.46484375" style="3" hidden="1" customWidth="1"/>
    <col min="17" max="27" width="14.46484375" style="3" customWidth="1"/>
    <col min="28" max="28" width="19.46484375" style="3" customWidth="1"/>
    <col min="29" max="29" width="18.46484375" style="3" customWidth="1"/>
    <col min="30" max="30" width="11.46484375" style="3" customWidth="1"/>
    <col min="31" max="32" width="12.46484375" style="3" bestFit="1" customWidth="1"/>
    <col min="33" max="16384" width="9.46484375" style="3"/>
  </cols>
  <sheetData>
    <row r="1" spans="2:32">
      <c r="B1" s="80" t="s">
        <v>698</v>
      </c>
      <c r="C1" s="80"/>
      <c r="D1" s="80"/>
      <c r="E1" s="80"/>
      <c r="F1" s="80"/>
      <c r="G1" s="80"/>
      <c r="H1" s="80"/>
      <c r="I1" s="80"/>
      <c r="J1" s="80"/>
      <c r="K1" s="80"/>
      <c r="L1" s="80"/>
      <c r="M1" s="80"/>
      <c r="N1" s="80"/>
      <c r="O1" s="80"/>
      <c r="P1" s="80"/>
      <c r="Q1" s="80"/>
      <c r="R1" s="80"/>
      <c r="S1" s="80"/>
      <c r="T1" s="80"/>
      <c r="U1" s="80"/>
      <c r="V1" s="80"/>
      <c r="W1" s="80"/>
      <c r="X1" s="80"/>
      <c r="Y1" s="80"/>
      <c r="Z1" s="80"/>
      <c r="AA1" s="80"/>
      <c r="AB1" s="80"/>
      <c r="AC1" s="80"/>
    </row>
    <row r="2" spans="2:32">
      <c r="B2" s="80" t="s">
        <v>81</v>
      </c>
      <c r="C2" s="80"/>
      <c r="D2" s="80"/>
      <c r="E2" s="80"/>
      <c r="F2" s="80"/>
      <c r="G2" s="80"/>
      <c r="H2" s="80"/>
      <c r="I2" s="80"/>
      <c r="J2" s="80"/>
      <c r="K2" s="80"/>
      <c r="L2" s="80"/>
      <c r="M2" s="80"/>
      <c r="N2" s="80"/>
      <c r="O2" s="80"/>
      <c r="P2" s="80"/>
      <c r="Q2" s="80"/>
      <c r="R2" s="80"/>
      <c r="S2" s="80"/>
      <c r="T2" s="80"/>
      <c r="U2" s="80"/>
      <c r="V2" s="80"/>
      <c r="W2" s="80"/>
      <c r="X2" s="80"/>
      <c r="Y2" s="80"/>
      <c r="Z2" s="80"/>
      <c r="AA2" s="80"/>
      <c r="AB2" s="80"/>
      <c r="AC2" s="80"/>
    </row>
    <row r="3" spans="2:32">
      <c r="B3" s="80" t="s">
        <v>513</v>
      </c>
      <c r="C3" s="80"/>
      <c r="D3" s="80"/>
      <c r="E3" s="80"/>
      <c r="F3" s="80"/>
      <c r="G3" s="80"/>
      <c r="H3" s="80"/>
      <c r="I3" s="80"/>
      <c r="J3" s="80"/>
      <c r="K3" s="80"/>
      <c r="L3" s="80"/>
      <c r="M3" s="80"/>
      <c r="N3" s="80"/>
      <c r="O3" s="80"/>
      <c r="P3" s="80"/>
      <c r="Q3" s="80"/>
      <c r="R3" s="80"/>
      <c r="S3" s="80"/>
      <c r="T3" s="80"/>
      <c r="U3" s="80"/>
      <c r="V3" s="80"/>
      <c r="W3" s="80"/>
      <c r="X3" s="80"/>
      <c r="Y3" s="80"/>
      <c r="Z3" s="80"/>
      <c r="AA3" s="80"/>
      <c r="AB3" s="80"/>
      <c r="AC3" s="80"/>
    </row>
    <row r="4" spans="2:32">
      <c r="B4" s="5925" t="s">
        <v>824</v>
      </c>
      <c r="C4" s="5925"/>
      <c r="D4" s="5925"/>
      <c r="E4" s="5925"/>
      <c r="F4" s="5925"/>
      <c r="G4" s="5925"/>
      <c r="H4" s="5925"/>
      <c r="I4" s="5925"/>
      <c r="J4" s="5925"/>
      <c r="K4" s="5925"/>
      <c r="L4" s="5925"/>
      <c r="M4" s="5925"/>
      <c r="N4" s="5925"/>
      <c r="O4" s="5925"/>
      <c r="P4" s="5925"/>
      <c r="Q4" s="5925"/>
      <c r="R4" s="5925"/>
      <c r="S4" s="5925"/>
      <c r="T4" s="5925"/>
      <c r="U4" s="5925"/>
      <c r="V4" s="5925"/>
      <c r="W4" s="5925"/>
      <c r="X4" s="5925"/>
      <c r="Y4" s="5925"/>
      <c r="Z4" s="5925"/>
      <c r="AA4" s="5925"/>
      <c r="AB4" s="5925"/>
      <c r="AC4" s="5925"/>
    </row>
    <row r="5" spans="2:32" ht="18" thickBot="1">
      <c r="B5" s="9"/>
      <c r="C5" s="9"/>
      <c r="D5" s="9"/>
      <c r="E5" s="9"/>
      <c r="F5" s="9"/>
      <c r="G5" s="9"/>
      <c r="H5" s="9"/>
      <c r="I5" s="9"/>
      <c r="J5" s="9"/>
      <c r="K5" s="9"/>
      <c r="L5" s="9"/>
      <c r="M5" s="9"/>
      <c r="N5" s="9"/>
      <c r="O5" s="9"/>
      <c r="P5" s="9"/>
      <c r="Q5" s="17"/>
      <c r="R5" s="17"/>
      <c r="S5" s="18"/>
      <c r="T5" s="18"/>
      <c r="U5" s="18"/>
      <c r="V5" s="18"/>
      <c r="W5" s="18"/>
      <c r="X5" s="19"/>
      <c r="Y5" s="19"/>
      <c r="Z5" s="19"/>
      <c r="AA5" s="19"/>
      <c r="AB5" s="20"/>
      <c r="AC5" s="20"/>
    </row>
    <row r="6" spans="2:32" s="7" customFormat="1" ht="21.75" customHeight="1" thickBot="1">
      <c r="B6" s="21"/>
      <c r="C6" s="22" t="s">
        <v>391</v>
      </c>
      <c r="D6" s="22" t="s">
        <v>75</v>
      </c>
      <c r="E6" s="22" t="s">
        <v>76</v>
      </c>
      <c r="F6" s="22" t="s">
        <v>77</v>
      </c>
      <c r="G6" s="22" t="s">
        <v>82</v>
      </c>
      <c r="H6" s="22" t="s">
        <v>83</v>
      </c>
      <c r="I6" s="14">
        <v>2001</v>
      </c>
      <c r="J6" s="14">
        <v>2002</v>
      </c>
      <c r="K6" s="14">
        <v>2003</v>
      </c>
      <c r="L6" s="14">
        <v>2004</v>
      </c>
      <c r="M6" s="14">
        <v>2005</v>
      </c>
      <c r="N6" s="14">
        <v>2006</v>
      </c>
      <c r="O6" s="14">
        <v>2007</v>
      </c>
      <c r="P6" s="14">
        <v>2008</v>
      </c>
      <c r="Q6" s="14">
        <v>2009</v>
      </c>
      <c r="R6" s="14">
        <v>2010</v>
      </c>
      <c r="S6" s="14">
        <v>2011</v>
      </c>
      <c r="T6" s="14">
        <v>2012</v>
      </c>
      <c r="U6" s="14">
        <v>2013</v>
      </c>
      <c r="V6" s="14">
        <v>2014</v>
      </c>
      <c r="W6" s="14">
        <v>2015</v>
      </c>
      <c r="X6" s="14">
        <v>2016</v>
      </c>
      <c r="Y6" s="14" t="s">
        <v>751</v>
      </c>
      <c r="Z6" s="14" t="s">
        <v>787</v>
      </c>
      <c r="AA6" s="14" t="s">
        <v>788</v>
      </c>
      <c r="AB6" s="14" t="s">
        <v>821</v>
      </c>
      <c r="AC6" s="23" t="s">
        <v>820</v>
      </c>
    </row>
    <row r="7" spans="2:32">
      <c r="B7" s="24"/>
      <c r="C7" s="25"/>
      <c r="D7" s="25"/>
      <c r="E7" s="25"/>
      <c r="F7" s="25"/>
      <c r="G7" s="25"/>
      <c r="H7" s="25"/>
      <c r="I7" s="10"/>
      <c r="J7" s="10"/>
      <c r="K7" s="10"/>
      <c r="L7" s="10"/>
      <c r="M7" s="10"/>
      <c r="N7" s="10"/>
      <c r="O7" s="10"/>
      <c r="P7" s="10"/>
      <c r="Q7" s="10"/>
      <c r="R7" s="10"/>
      <c r="S7" s="10"/>
      <c r="T7" s="10"/>
      <c r="U7" s="10"/>
      <c r="V7" s="10"/>
      <c r="W7" s="10"/>
      <c r="X7" s="10"/>
      <c r="Y7" s="10"/>
      <c r="Z7" s="10"/>
      <c r="AA7" s="10"/>
      <c r="AB7" s="10"/>
      <c r="AC7" s="26"/>
    </row>
    <row r="8" spans="2:32" s="7" customFormat="1" ht="20" customHeight="1">
      <c r="B8" s="27" t="s">
        <v>84</v>
      </c>
      <c r="C8" s="28">
        <v>46.5</v>
      </c>
      <c r="D8" s="28">
        <v>45.4</v>
      </c>
      <c r="E8" s="28">
        <v>45.088999999999999</v>
      </c>
      <c r="F8" s="28">
        <v>20.504000000000001</v>
      </c>
      <c r="G8" s="28">
        <v>21</v>
      </c>
      <c r="H8" s="28">
        <v>26.178000000000001</v>
      </c>
      <c r="I8" s="15">
        <v>35.284999999999997</v>
      </c>
      <c r="J8" s="15">
        <v>30.181999999999999</v>
      </c>
      <c r="K8" s="15">
        <v>29.352</v>
      </c>
      <c r="L8" s="15">
        <v>28.498000000000001</v>
      </c>
      <c r="M8" s="15">
        <v>26.515999999999998</v>
      </c>
      <c r="N8" s="29">
        <v>25.943000000000001</v>
      </c>
      <c r="O8" s="29">
        <v>30.670999999999999</v>
      </c>
      <c r="P8" s="29">
        <v>36.79</v>
      </c>
      <c r="Q8" s="29">
        <v>36.75</v>
      </c>
      <c r="R8" s="29">
        <v>33.061</v>
      </c>
      <c r="S8" s="29">
        <v>27.35</v>
      </c>
      <c r="T8" s="29">
        <v>28.36</v>
      </c>
      <c r="U8" s="29">
        <v>27.128</v>
      </c>
      <c r="V8" s="29">
        <f>'[192]Credit by sector'!$AD$10/1000</f>
        <v>22.763999999999999</v>
      </c>
      <c r="W8" s="30">
        <v>18.396000000000001</v>
      </c>
      <c r="X8" s="31">
        <v>11.138</v>
      </c>
      <c r="Y8" s="31">
        <f>10414/1000</f>
        <v>10.414</v>
      </c>
      <c r="Z8" s="31">
        <f>9275/1000</f>
        <v>9.2750000000000004</v>
      </c>
      <c r="AA8" s="31">
        <f>6728/1000</f>
        <v>6.7279999999999998</v>
      </c>
      <c r="AB8" s="32">
        <f>AA8/Z8-1</f>
        <v>-0.27460916442048522</v>
      </c>
      <c r="AC8" s="33">
        <f>AA8/$AA$46</f>
        <v>1.9750761129398308E-3</v>
      </c>
      <c r="AD8" s="34">
        <f>AA8-Z8</f>
        <v>-2.5470000000000006</v>
      </c>
      <c r="AE8" s="34"/>
    </row>
    <row r="9" spans="2:32" s="7" customFormat="1" ht="20" customHeight="1">
      <c r="B9" s="27"/>
      <c r="C9" s="28"/>
      <c r="D9" s="28"/>
      <c r="E9" s="28"/>
      <c r="F9" s="28"/>
      <c r="G9" s="28"/>
      <c r="H9" s="28"/>
      <c r="I9" s="15"/>
      <c r="J9" s="15"/>
      <c r="K9" s="15"/>
      <c r="L9" s="15"/>
      <c r="M9" s="15"/>
      <c r="N9" s="29"/>
      <c r="O9" s="29"/>
      <c r="P9" s="29"/>
      <c r="Q9" s="29"/>
      <c r="R9" s="29"/>
      <c r="S9" s="29"/>
      <c r="T9" s="29"/>
      <c r="U9" s="29"/>
      <c r="V9" s="29"/>
      <c r="W9" s="29"/>
      <c r="X9" s="29"/>
      <c r="Y9" s="29"/>
      <c r="Z9" s="29"/>
      <c r="AA9" s="31"/>
      <c r="AB9" s="32"/>
      <c r="AC9" s="33"/>
      <c r="AD9" s="34"/>
      <c r="AE9" s="34"/>
    </row>
    <row r="10" spans="2:32" s="7" customFormat="1" ht="20" customHeight="1">
      <c r="B10" s="27" t="s">
        <v>85</v>
      </c>
      <c r="C10" s="28" t="s">
        <v>395</v>
      </c>
      <c r="D10" s="28" t="s">
        <v>395</v>
      </c>
      <c r="E10" s="28">
        <v>1.6140000000000001</v>
      </c>
      <c r="F10" s="28">
        <v>1.2609999999999999</v>
      </c>
      <c r="G10" s="28">
        <v>2.722</v>
      </c>
      <c r="H10" s="28">
        <v>3.8559999999999999</v>
      </c>
      <c r="I10" s="15">
        <v>5.843</v>
      </c>
      <c r="J10" s="15">
        <v>4.7290000000000001</v>
      </c>
      <c r="K10" s="15">
        <v>5.157</v>
      </c>
      <c r="L10" s="15">
        <v>4.8730000000000002</v>
      </c>
      <c r="M10" s="15">
        <v>5.0069999999999997</v>
      </c>
      <c r="N10" s="29">
        <v>4.5179999999999998</v>
      </c>
      <c r="O10" s="29">
        <v>5.2240000000000002</v>
      </c>
      <c r="P10" s="29">
        <v>6.29</v>
      </c>
      <c r="Q10" s="29">
        <v>7.71</v>
      </c>
      <c r="R10" s="29">
        <v>8.2650000000000006</v>
      </c>
      <c r="S10" s="29">
        <v>7.5119999999999996</v>
      </c>
      <c r="T10" s="29">
        <v>8.0839999999999996</v>
      </c>
      <c r="U10" s="29">
        <v>8.1709999999999994</v>
      </c>
      <c r="V10" s="29">
        <f>'[192]Credit by sector'!$AD$18/1000</f>
        <v>3.0960000000000001</v>
      </c>
      <c r="W10" s="29">
        <v>2.375</v>
      </c>
      <c r="X10" s="29">
        <v>2.7869999999999999</v>
      </c>
      <c r="Y10" s="29">
        <f>2209/1000</f>
        <v>2.2090000000000001</v>
      </c>
      <c r="Z10" s="29">
        <f>516/1000</f>
        <v>0.51600000000000001</v>
      </c>
      <c r="AA10" s="29">
        <f>487/1000</f>
        <v>0.48699999999999999</v>
      </c>
      <c r="AB10" s="32">
        <f>AA10/Z10-1</f>
        <v>-5.6201550387596999E-2</v>
      </c>
      <c r="AC10" s="67">
        <f>AA10/$AA$46</f>
        <v>1.4296404087421187E-4</v>
      </c>
      <c r="AD10" s="34">
        <f t="shared" ref="AD10:AD46" si="0">AA10-Z10</f>
        <v>-2.9000000000000026E-2</v>
      </c>
      <c r="AE10" s="34"/>
    </row>
    <row r="11" spans="2:32" s="7" customFormat="1" ht="20" customHeight="1">
      <c r="B11" s="27"/>
      <c r="C11" s="28"/>
      <c r="D11" s="28"/>
      <c r="E11" s="28"/>
      <c r="F11" s="28"/>
      <c r="G11" s="28"/>
      <c r="H11" s="28"/>
      <c r="I11" s="15"/>
      <c r="J11" s="15"/>
      <c r="K11" s="15"/>
      <c r="L11" s="15"/>
      <c r="M11" s="15"/>
      <c r="N11" s="29"/>
      <c r="O11" s="29"/>
      <c r="P11" s="29"/>
      <c r="Q11" s="29"/>
      <c r="R11" s="29"/>
      <c r="S11" s="29"/>
      <c r="T11" s="29"/>
      <c r="U11" s="29"/>
      <c r="V11" s="29"/>
      <c r="W11" s="29"/>
      <c r="X11" s="29"/>
      <c r="Y11" s="29"/>
      <c r="Z11" s="29"/>
      <c r="AA11" s="29"/>
      <c r="AB11" s="32"/>
      <c r="AC11" s="33"/>
      <c r="AD11" s="34"/>
      <c r="AE11" s="34"/>
    </row>
    <row r="12" spans="2:32" s="7" customFormat="1" ht="20" customHeight="1">
      <c r="B12" s="27" t="s">
        <v>86</v>
      </c>
      <c r="C12" s="28" t="s">
        <v>395</v>
      </c>
      <c r="D12" s="28" t="s">
        <v>395</v>
      </c>
      <c r="E12" s="28">
        <v>2.137</v>
      </c>
      <c r="F12" s="28">
        <v>2.008</v>
      </c>
      <c r="G12" s="28">
        <v>1.712</v>
      </c>
      <c r="H12" s="28">
        <v>0.95899999999999996</v>
      </c>
      <c r="I12" s="15">
        <v>1.2450000000000001</v>
      </c>
      <c r="J12" s="15" t="s">
        <v>395</v>
      </c>
      <c r="K12" s="15">
        <v>3.919</v>
      </c>
      <c r="L12" s="15">
        <v>3.6680000000000001</v>
      </c>
      <c r="M12" s="15">
        <v>4.9619999999999997</v>
      </c>
      <c r="N12" s="29">
        <v>8.4789999999999992</v>
      </c>
      <c r="O12" s="29">
        <v>7.5549999999999997</v>
      </c>
      <c r="P12" s="29">
        <v>12.92</v>
      </c>
      <c r="Q12" s="29">
        <v>24.41</v>
      </c>
      <c r="R12" s="29">
        <v>25.802</v>
      </c>
      <c r="S12" s="29">
        <v>25.638000000000002</v>
      </c>
      <c r="T12" s="29">
        <v>24.315999999999999</v>
      </c>
      <c r="U12" s="29">
        <v>23.12</v>
      </c>
      <c r="V12" s="29">
        <f>'[192]Credit by sector'!$AD$20/1000</f>
        <v>29.497</v>
      </c>
      <c r="W12" s="29">
        <v>28.937999999999999</v>
      </c>
      <c r="X12" s="29">
        <v>25.216000000000001</v>
      </c>
      <c r="Y12" s="29">
        <f>5286/1000</f>
        <v>5.2859999999999996</v>
      </c>
      <c r="Z12" s="29">
        <f>4489/1000</f>
        <v>4.4889999999999999</v>
      </c>
      <c r="AA12" s="29">
        <f>3985/1000</f>
        <v>3.9849999999999999</v>
      </c>
      <c r="AB12" s="32">
        <f>AA12/Z12-1</f>
        <v>-0.11227444865226111</v>
      </c>
      <c r="AC12" s="33">
        <f>AA12/$AA$46</f>
        <v>1.1698392256339514E-3</v>
      </c>
      <c r="AD12" s="34">
        <f t="shared" si="0"/>
        <v>-0.504</v>
      </c>
      <c r="AE12" s="34"/>
    </row>
    <row r="13" spans="2:32" s="7" customFormat="1" ht="20" customHeight="1">
      <c r="B13" s="27"/>
      <c r="C13" s="28"/>
      <c r="D13" s="28"/>
      <c r="E13" s="28"/>
      <c r="F13" s="28"/>
      <c r="G13" s="28"/>
      <c r="H13" s="28"/>
      <c r="I13" s="15"/>
      <c r="J13" s="15"/>
      <c r="K13" s="15"/>
      <c r="L13" s="15"/>
      <c r="M13" s="15"/>
      <c r="N13" s="29"/>
      <c r="O13" s="29"/>
      <c r="P13" s="29"/>
      <c r="Q13" s="29"/>
      <c r="R13" s="29"/>
      <c r="S13" s="29"/>
      <c r="T13" s="29"/>
      <c r="U13" s="29"/>
      <c r="V13" s="29"/>
      <c r="W13" s="29"/>
      <c r="X13" s="29"/>
      <c r="Y13" s="29"/>
      <c r="Z13" s="29"/>
      <c r="AA13" s="29"/>
      <c r="AB13" s="32"/>
      <c r="AC13" s="33"/>
      <c r="AD13" s="34"/>
      <c r="AE13" s="34"/>
    </row>
    <row r="14" spans="2:32" s="7" customFormat="1" ht="20" customHeight="1">
      <c r="B14" s="27" t="s">
        <v>392</v>
      </c>
      <c r="C14" s="28">
        <v>33.299999999999997</v>
      </c>
      <c r="D14" s="28">
        <v>39.1</v>
      </c>
      <c r="E14" s="28">
        <v>50.997999999999998</v>
      </c>
      <c r="F14" s="28">
        <v>51.372999999999998</v>
      </c>
      <c r="G14" s="28">
        <v>51.289000000000001</v>
      </c>
      <c r="H14" s="28">
        <v>45.515000000000001</v>
      </c>
      <c r="I14" s="15">
        <v>52.567</v>
      </c>
      <c r="J14" s="15">
        <v>56.87</v>
      </c>
      <c r="K14" s="15">
        <v>50.317999999999998</v>
      </c>
      <c r="L14" s="15">
        <v>46.896000000000001</v>
      </c>
      <c r="M14" s="15">
        <v>54.941000000000003</v>
      </c>
      <c r="N14" s="29">
        <v>58.808999999999997</v>
      </c>
      <c r="O14" s="29">
        <v>54.706000000000003</v>
      </c>
      <c r="P14" s="29">
        <v>72.75</v>
      </c>
      <c r="Q14" s="29">
        <v>70.150000000000006</v>
      </c>
      <c r="R14" s="29">
        <v>72.085999999999999</v>
      </c>
      <c r="S14" s="29">
        <v>77.617000000000004</v>
      </c>
      <c r="T14" s="29">
        <v>82.763000000000005</v>
      </c>
      <c r="U14" s="29">
        <v>73.578999999999994</v>
      </c>
      <c r="V14" s="29">
        <f>'[192]Credit by sector'!$AD$22/1000</f>
        <v>68.733000000000004</v>
      </c>
      <c r="W14" s="29">
        <v>66.149000000000001</v>
      </c>
      <c r="X14" s="29">
        <f>67785/1000</f>
        <v>67.784999999999997</v>
      </c>
      <c r="Y14" s="29">
        <f>59947/1000</f>
        <v>59.947000000000003</v>
      </c>
      <c r="Z14" s="29">
        <f>68490/1000</f>
        <v>68.489999999999995</v>
      </c>
      <c r="AA14" s="29">
        <f>77795/1000</f>
        <v>77.795000000000002</v>
      </c>
      <c r="AB14" s="32">
        <f>AA14/Z14-1</f>
        <v>0.13585924952547823</v>
      </c>
      <c r="AC14" s="33">
        <f>AA14/$AA$46</f>
        <v>2.283755145751399E-2</v>
      </c>
      <c r="AD14" s="34">
        <f t="shared" si="0"/>
        <v>9.3050000000000068</v>
      </c>
      <c r="AE14" s="35"/>
    </row>
    <row r="15" spans="2:32" s="7" customFormat="1" ht="20" customHeight="1">
      <c r="B15" s="27"/>
      <c r="C15" s="28"/>
      <c r="D15" s="28"/>
      <c r="E15" s="28"/>
      <c r="F15" s="28"/>
      <c r="G15" s="28"/>
      <c r="H15" s="28"/>
      <c r="I15" s="15"/>
      <c r="J15" s="15"/>
      <c r="K15" s="15"/>
      <c r="L15" s="15"/>
      <c r="M15" s="15"/>
      <c r="N15" s="29"/>
      <c r="O15" s="29"/>
      <c r="P15" s="29"/>
      <c r="Q15" s="29"/>
      <c r="R15" s="29"/>
      <c r="S15" s="29"/>
      <c r="T15" s="29"/>
      <c r="U15" s="29"/>
      <c r="V15" s="29"/>
      <c r="W15" s="29"/>
      <c r="X15" s="29"/>
      <c r="Y15" s="29"/>
      <c r="Z15" s="29"/>
      <c r="AA15" s="29"/>
      <c r="AB15" s="32"/>
      <c r="AC15" s="33"/>
      <c r="AD15" s="34"/>
      <c r="AE15" s="34"/>
    </row>
    <row r="16" spans="2:32" s="7" customFormat="1" ht="20" customHeight="1">
      <c r="B16" s="27" t="s">
        <v>87</v>
      </c>
      <c r="C16" s="28">
        <v>18.3</v>
      </c>
      <c r="D16" s="28">
        <v>21.2</v>
      </c>
      <c r="E16" s="28">
        <v>18.72</v>
      </c>
      <c r="F16" s="28">
        <v>18.568999999999999</v>
      </c>
      <c r="G16" s="28">
        <v>15.9</v>
      </c>
      <c r="H16" s="28">
        <v>20.225999999999999</v>
      </c>
      <c r="I16" s="15">
        <v>31.350999999999999</v>
      </c>
      <c r="J16" s="15">
        <v>37.521999999999998</v>
      </c>
      <c r="K16" s="15">
        <v>22.343</v>
      </c>
      <c r="L16" s="15">
        <v>21.713000000000001</v>
      </c>
      <c r="M16" s="15">
        <v>20.661000000000001</v>
      </c>
      <c r="N16" s="29">
        <v>42.494999999999997</v>
      </c>
      <c r="O16" s="29">
        <v>114.345</v>
      </c>
      <c r="P16" s="29">
        <v>122.28</v>
      </c>
      <c r="Q16" s="29">
        <v>122.681</v>
      </c>
      <c r="R16" s="29">
        <v>105.14700000000001</v>
      </c>
      <c r="S16" s="29">
        <v>85.286000000000001</v>
      </c>
      <c r="T16" s="29">
        <v>63.652999999999999</v>
      </c>
      <c r="U16" s="29">
        <v>54.512999999999998</v>
      </c>
      <c r="V16" s="29">
        <f>'[192]Credit by sector'!$AD$32/1000</f>
        <v>58.137</v>
      </c>
      <c r="W16" s="29">
        <v>53.847999999999999</v>
      </c>
      <c r="X16" s="29">
        <f>32960/1000</f>
        <v>32.96</v>
      </c>
      <c r="Y16" s="29">
        <f>26541/1000</f>
        <v>26.541</v>
      </c>
      <c r="Z16" s="29">
        <f>42519/1000</f>
        <v>42.518999999999998</v>
      </c>
      <c r="AA16" s="29">
        <f>36822/1000</f>
        <v>36.822000000000003</v>
      </c>
      <c r="AB16" s="32">
        <f>AA16/Z16-1</f>
        <v>-0.13398715868200084</v>
      </c>
      <c r="AC16" s="33">
        <f>AA16/$AA$46</f>
        <v>1.080949058125304E-2</v>
      </c>
      <c r="AD16" s="34">
        <f t="shared" si="0"/>
        <v>-5.6969999999999956</v>
      </c>
      <c r="AE16" s="35"/>
      <c r="AF16" s="7" t="s">
        <v>390</v>
      </c>
    </row>
    <row r="17" spans="2:31" s="7" customFormat="1" ht="20" customHeight="1">
      <c r="B17" s="27"/>
      <c r="C17" s="28"/>
      <c r="D17" s="28"/>
      <c r="E17" s="28"/>
      <c r="F17" s="28"/>
      <c r="G17" s="28"/>
      <c r="H17" s="28"/>
      <c r="I17" s="15"/>
      <c r="J17" s="15"/>
      <c r="K17" s="15"/>
      <c r="L17" s="15"/>
      <c r="M17" s="15"/>
      <c r="N17" s="29"/>
      <c r="O17" s="29"/>
      <c r="P17" s="29"/>
      <c r="Q17" s="29"/>
      <c r="R17" s="29"/>
      <c r="S17" s="29"/>
      <c r="T17" s="29"/>
      <c r="U17" s="29"/>
      <c r="V17" s="29"/>
      <c r="W17" s="29"/>
      <c r="X17" s="29"/>
      <c r="Y17" s="29"/>
      <c r="Z17" s="29"/>
      <c r="AA17" s="29"/>
      <c r="AB17" s="32"/>
      <c r="AC17" s="33"/>
      <c r="AD17" s="34"/>
      <c r="AE17" s="34"/>
    </row>
    <row r="18" spans="2:31" s="7" customFormat="1" ht="20" customHeight="1">
      <c r="B18" s="27" t="s">
        <v>88</v>
      </c>
      <c r="C18" s="28">
        <v>40</v>
      </c>
      <c r="D18" s="28">
        <v>39.200000000000003</v>
      </c>
      <c r="E18" s="28">
        <v>49.261000000000003</v>
      </c>
      <c r="F18" s="28">
        <v>59.284999999999997</v>
      </c>
      <c r="G18" s="28">
        <v>66.471999999999994</v>
      </c>
      <c r="H18" s="28">
        <v>84.537000000000006</v>
      </c>
      <c r="I18" s="15">
        <v>99.927999999999997</v>
      </c>
      <c r="J18" s="15">
        <v>110.9</v>
      </c>
      <c r="K18" s="15">
        <v>101.419</v>
      </c>
      <c r="L18" s="15">
        <v>108.482</v>
      </c>
      <c r="M18" s="15">
        <v>121.765</v>
      </c>
      <c r="N18" s="29">
        <v>166.39400000000001</v>
      </c>
      <c r="O18" s="29">
        <v>243.96600000000001</v>
      </c>
      <c r="P18" s="29">
        <v>310.64</v>
      </c>
      <c r="Q18" s="29">
        <v>429.59500000000003</v>
      </c>
      <c r="R18" s="29">
        <v>371.24599999999998</v>
      </c>
      <c r="S18" s="29">
        <v>401.78500000000003</v>
      </c>
      <c r="T18" s="29">
        <v>366.24700000000001</v>
      </c>
      <c r="U18" s="29">
        <v>366.74599999999998</v>
      </c>
      <c r="V18" s="29">
        <f>'[192]Credit by sector'!$AD$34/1000</f>
        <v>314.56200000000001</v>
      </c>
      <c r="W18" s="29">
        <v>277.08300000000003</v>
      </c>
      <c r="X18" s="31">
        <f>232383/1000</f>
        <v>232.38300000000001</v>
      </c>
      <c r="Y18" s="31">
        <f>216853/1000</f>
        <v>216.85300000000001</v>
      </c>
      <c r="Z18" s="31">
        <f>199307/1000</f>
        <v>199.30699999999999</v>
      </c>
      <c r="AA18" s="29">
        <f>149790/1000</f>
        <v>149.79</v>
      </c>
      <c r="AB18" s="32">
        <f>AA18/Z18-1</f>
        <v>-0.24844586492195453</v>
      </c>
      <c r="AC18" s="33">
        <f>AA18/$AA$46</f>
        <v>4.3972451093528125E-2</v>
      </c>
      <c r="AD18" s="34">
        <f t="shared" si="0"/>
        <v>-49.516999999999996</v>
      </c>
      <c r="AE18" s="36"/>
    </row>
    <row r="19" spans="2:31" s="7" customFormat="1" ht="20" customHeight="1">
      <c r="B19" s="27"/>
      <c r="C19" s="28"/>
      <c r="D19" s="28"/>
      <c r="E19" s="28"/>
      <c r="F19" s="28"/>
      <c r="G19" s="28"/>
      <c r="H19" s="28"/>
      <c r="I19" s="15"/>
      <c r="J19" s="15"/>
      <c r="K19" s="15"/>
      <c r="L19" s="15"/>
      <c r="M19" s="15"/>
      <c r="N19" s="29"/>
      <c r="O19" s="29"/>
      <c r="P19" s="29"/>
      <c r="Q19" s="29"/>
      <c r="R19" s="29"/>
      <c r="S19" s="29"/>
      <c r="T19" s="29"/>
      <c r="U19" s="29"/>
      <c r="V19" s="29"/>
      <c r="W19" s="29"/>
      <c r="X19" s="37"/>
      <c r="Y19" s="37"/>
      <c r="Z19" s="37"/>
      <c r="AA19" s="31"/>
      <c r="AB19" s="32"/>
      <c r="AC19" s="33"/>
      <c r="AD19" s="34"/>
      <c r="AE19" s="34"/>
    </row>
    <row r="20" spans="2:31" s="7" customFormat="1" ht="20" customHeight="1">
      <c r="B20" s="27" t="s">
        <v>89</v>
      </c>
      <c r="C20" s="28">
        <v>167.1</v>
      </c>
      <c r="D20" s="28">
        <v>178.8</v>
      </c>
      <c r="E20" s="28">
        <v>180.79</v>
      </c>
      <c r="F20" s="28">
        <v>178.584</v>
      </c>
      <c r="G20" s="28">
        <v>195.4</v>
      </c>
      <c r="H20" s="28">
        <v>200.34700000000001</v>
      </c>
      <c r="I20" s="15">
        <v>198.92099999999999</v>
      </c>
      <c r="J20" s="15">
        <v>214.05</v>
      </c>
      <c r="K20" s="15">
        <v>197.78800000000001</v>
      </c>
      <c r="L20" s="15">
        <v>195.16300000000001</v>
      </c>
      <c r="M20" s="15">
        <v>227.71700000000001</v>
      </c>
      <c r="N20" s="29">
        <v>236.185</v>
      </c>
      <c r="O20" s="29">
        <v>239.37899999999999</v>
      </c>
      <c r="P20" s="29">
        <v>253.6</v>
      </c>
      <c r="Q20" s="29">
        <v>290.64600000000002</v>
      </c>
      <c r="R20" s="29">
        <v>314.99099999999999</v>
      </c>
      <c r="S20" s="29">
        <v>310.79000000000002</v>
      </c>
      <c r="T20" s="29">
        <v>322.63099999999997</v>
      </c>
      <c r="U20" s="29">
        <v>311.62</v>
      </c>
      <c r="V20" s="29">
        <f>'[192]Credit by sector'!$AD$36/1000</f>
        <v>291.26100000000002</v>
      </c>
      <c r="W20" s="29">
        <v>287.274</v>
      </c>
      <c r="X20" s="29">
        <f>288066/1000</f>
        <v>288.06599999999997</v>
      </c>
      <c r="Y20" s="29">
        <f>255490/1000</f>
        <v>255.49</v>
      </c>
      <c r="Z20" s="38">
        <v>253.3</v>
      </c>
      <c r="AA20" s="29">
        <f>266433/1000</f>
        <v>266.43299999999999</v>
      </c>
      <c r="AB20" s="32">
        <f>AA20/Z20-1</f>
        <v>5.1847611527832571E-2</v>
      </c>
      <c r="AC20" s="33">
        <f>AA20/$AA$46</f>
        <v>7.8214247027184589E-2</v>
      </c>
      <c r="AD20" s="34">
        <f t="shared" si="0"/>
        <v>13.132999999999981</v>
      </c>
      <c r="AE20" s="36"/>
    </row>
    <row r="21" spans="2:31" s="7" customFormat="1" ht="20" customHeight="1">
      <c r="B21" s="27"/>
      <c r="C21" s="28"/>
      <c r="D21" s="28"/>
      <c r="E21" s="28"/>
      <c r="F21" s="28"/>
      <c r="G21" s="28"/>
      <c r="H21" s="28"/>
      <c r="I21" s="15"/>
      <c r="J21" s="15"/>
      <c r="K21" s="15"/>
      <c r="L21" s="15"/>
      <c r="M21" s="15"/>
      <c r="N21" s="29"/>
      <c r="O21" s="29"/>
      <c r="P21" s="29"/>
      <c r="Q21" s="29"/>
      <c r="R21" s="29"/>
      <c r="S21" s="29"/>
      <c r="T21" s="29"/>
      <c r="U21" s="29"/>
      <c r="V21" s="29"/>
      <c r="W21" s="29"/>
      <c r="X21" s="29"/>
      <c r="Y21" s="29"/>
      <c r="Z21" s="29"/>
      <c r="AA21" s="29"/>
      <c r="AB21" s="32"/>
      <c r="AC21" s="33"/>
      <c r="AD21" s="34"/>
      <c r="AE21" s="34"/>
    </row>
    <row r="22" spans="2:31" s="7" customFormat="1" ht="20" customHeight="1">
      <c r="B22" s="27" t="s">
        <v>90</v>
      </c>
      <c r="C22" s="28">
        <v>130.30000000000001</v>
      </c>
      <c r="D22" s="28">
        <v>145.6</v>
      </c>
      <c r="E22" s="28">
        <v>125.194</v>
      </c>
      <c r="F22" s="28">
        <v>118.673</v>
      </c>
      <c r="G22" s="28">
        <v>146.5</v>
      </c>
      <c r="H22" s="28">
        <v>139.95099999999999</v>
      </c>
      <c r="I22" s="15">
        <v>152.845</v>
      </c>
      <c r="J22" s="15">
        <v>190.2</v>
      </c>
      <c r="K22" s="15">
        <v>176.02699999999999</v>
      </c>
      <c r="L22" s="15">
        <v>204.09100000000001</v>
      </c>
      <c r="M22" s="15">
        <v>270.90100000000001</v>
      </c>
      <c r="N22" s="29">
        <v>473.68799999999999</v>
      </c>
      <c r="O22" s="29">
        <v>756.03899999999999</v>
      </c>
      <c r="P22" s="29">
        <v>851.7</v>
      </c>
      <c r="Q22" s="29">
        <v>737.19799999999998</v>
      </c>
      <c r="R22" s="29">
        <v>761.79899999999998</v>
      </c>
      <c r="S22" s="29">
        <v>779.149</v>
      </c>
      <c r="T22" s="29">
        <v>773.97500000000002</v>
      </c>
      <c r="U22" s="29">
        <v>696.673</v>
      </c>
      <c r="V22" s="29">
        <f>'[192]Credit by sector'!$AD$38/1000</f>
        <v>576.88900000000001</v>
      </c>
      <c r="W22" s="29">
        <v>395.01600000000002</v>
      </c>
      <c r="X22" s="29">
        <f>351892/1000</f>
        <v>351.892</v>
      </c>
      <c r="Y22" s="29">
        <f>308380/1000</f>
        <v>308.38</v>
      </c>
      <c r="Z22" s="29">
        <f>304613/1000</f>
        <v>304.613</v>
      </c>
      <c r="AA22" s="29">
        <f>265915/1000</f>
        <v>265.91500000000002</v>
      </c>
      <c r="AB22" s="32">
        <f>AA22/Z22-1</f>
        <v>-0.12703988339302652</v>
      </c>
      <c r="AC22" s="33">
        <f>AA22/$AA$46</f>
        <v>7.8062182605885128E-2</v>
      </c>
      <c r="AD22" s="34">
        <f t="shared" si="0"/>
        <v>-38.697999999999979</v>
      </c>
      <c r="AE22" s="36"/>
    </row>
    <row r="23" spans="2:31" s="7" customFormat="1" ht="20" customHeight="1">
      <c r="B23" s="27"/>
      <c r="C23" s="28"/>
      <c r="D23" s="28"/>
      <c r="E23" s="28"/>
      <c r="F23" s="28"/>
      <c r="G23" s="28"/>
      <c r="H23" s="28"/>
      <c r="I23" s="15"/>
      <c r="J23" s="15"/>
      <c r="K23" s="15"/>
      <c r="L23" s="15"/>
      <c r="M23" s="15"/>
      <c r="N23" s="29"/>
      <c r="O23" s="29"/>
      <c r="P23" s="29"/>
      <c r="Q23" s="29"/>
      <c r="R23" s="29"/>
      <c r="S23" s="29"/>
      <c r="T23" s="29"/>
      <c r="U23" s="29"/>
      <c r="V23" s="29"/>
      <c r="W23" s="29"/>
      <c r="X23" s="29"/>
      <c r="Y23" s="29"/>
      <c r="Z23" s="29"/>
      <c r="AA23" s="29"/>
      <c r="AB23" s="32"/>
      <c r="AC23" s="33"/>
      <c r="AD23" s="34"/>
      <c r="AE23" s="34"/>
    </row>
    <row r="24" spans="2:31" s="7" customFormat="1" ht="20" customHeight="1">
      <c r="B24" s="27" t="s">
        <v>91</v>
      </c>
      <c r="C24" s="28">
        <v>9.6999999999999993</v>
      </c>
      <c r="D24" s="28">
        <v>11.5</v>
      </c>
      <c r="E24" s="28">
        <v>8.9550000000000001</v>
      </c>
      <c r="F24" s="28">
        <v>15.109</v>
      </c>
      <c r="G24" s="28">
        <v>16.600000000000001</v>
      </c>
      <c r="H24" s="28">
        <v>15.265000000000001</v>
      </c>
      <c r="I24" s="15">
        <v>19.763000000000002</v>
      </c>
      <c r="J24" s="15">
        <v>21.992000000000001</v>
      </c>
      <c r="K24" s="15">
        <v>22.736999999999998</v>
      </c>
      <c r="L24" s="15">
        <v>19.254999999999999</v>
      </c>
      <c r="M24" s="15">
        <v>22.867999999999999</v>
      </c>
      <c r="N24" s="29">
        <v>32.341000000000001</v>
      </c>
      <c r="O24" s="29">
        <v>37.880000000000003</v>
      </c>
      <c r="P24" s="29">
        <v>31.85</v>
      </c>
      <c r="Q24" s="29">
        <v>29.084</v>
      </c>
      <c r="R24" s="29">
        <v>33.92</v>
      </c>
      <c r="S24" s="29">
        <v>38.045000000000002</v>
      </c>
      <c r="T24" s="29">
        <v>33.979999999999997</v>
      </c>
      <c r="U24" s="29">
        <v>32.173000000000002</v>
      </c>
      <c r="V24" s="29">
        <f>'[192]Credit by sector'!$AD$40/1000</f>
        <v>32.780999999999999</v>
      </c>
      <c r="W24" s="29">
        <v>30.672999999999998</v>
      </c>
      <c r="X24" s="29">
        <v>24.239000000000001</v>
      </c>
      <c r="Y24" s="29">
        <f>14029/1000</f>
        <v>14.029</v>
      </c>
      <c r="Z24" s="29">
        <f>13907/1000</f>
        <v>13.907</v>
      </c>
      <c r="AA24" s="29">
        <f>14967/1000</f>
        <v>14.967000000000001</v>
      </c>
      <c r="AB24" s="32">
        <f>AA24/Z24-1</f>
        <v>7.6220608326742045E-2</v>
      </c>
      <c r="AC24" s="33">
        <f>AA24/$AA$46</f>
        <v>4.3937223814462609E-3</v>
      </c>
      <c r="AD24" s="34">
        <f t="shared" si="0"/>
        <v>1.0600000000000005</v>
      </c>
      <c r="AE24" s="34"/>
    </row>
    <row r="25" spans="2:31" s="7" customFormat="1" ht="20" customHeight="1">
      <c r="B25" s="27"/>
      <c r="C25" s="28"/>
      <c r="D25" s="28"/>
      <c r="E25" s="28"/>
      <c r="F25" s="28"/>
      <c r="G25" s="28"/>
      <c r="H25" s="28"/>
      <c r="I25" s="15"/>
      <c r="J25" s="15"/>
      <c r="K25" s="15"/>
      <c r="L25" s="15"/>
      <c r="M25" s="15"/>
      <c r="N25" s="29"/>
      <c r="O25" s="29"/>
      <c r="P25" s="29"/>
      <c r="Q25" s="29"/>
      <c r="R25" s="29"/>
      <c r="S25" s="29"/>
      <c r="T25" s="29"/>
      <c r="U25" s="29"/>
      <c r="V25" s="29"/>
      <c r="W25" s="29"/>
      <c r="X25" s="29"/>
      <c r="Y25" s="29"/>
      <c r="Z25" s="29"/>
      <c r="AA25" s="29"/>
      <c r="AB25" s="32"/>
      <c r="AC25" s="33"/>
      <c r="AD25" s="34"/>
      <c r="AE25" s="34"/>
    </row>
    <row r="26" spans="2:31" s="7" customFormat="1" ht="20" customHeight="1">
      <c r="B26" s="27" t="s">
        <v>92</v>
      </c>
      <c r="C26" s="28">
        <v>54.6</v>
      </c>
      <c r="D26" s="28">
        <v>42.6</v>
      </c>
      <c r="E26" s="28">
        <v>43.771000000000001</v>
      </c>
      <c r="F26" s="28">
        <v>39.509</v>
      </c>
      <c r="G26" s="28">
        <v>48.2</v>
      </c>
      <c r="H26" s="28">
        <v>55.796999999999997</v>
      </c>
      <c r="I26" s="15">
        <v>48.954999999999998</v>
      </c>
      <c r="J26" s="15">
        <v>33.210999999999999</v>
      </c>
      <c r="K26" s="15">
        <v>22.97</v>
      </c>
      <c r="L26" s="15">
        <v>24.029</v>
      </c>
      <c r="M26" s="15">
        <v>50.152999999999999</v>
      </c>
      <c r="N26" s="29">
        <v>88.822000000000003</v>
      </c>
      <c r="O26" s="29">
        <v>112.367</v>
      </c>
      <c r="P26" s="29">
        <v>116.67</v>
      </c>
      <c r="Q26" s="29">
        <v>113.014</v>
      </c>
      <c r="R26" s="29">
        <v>105.676</v>
      </c>
      <c r="S26" s="29">
        <v>92.64</v>
      </c>
      <c r="T26" s="29">
        <v>87.980999999999995</v>
      </c>
      <c r="U26" s="29">
        <v>80.277000000000001</v>
      </c>
      <c r="V26" s="29">
        <f>'[192]Credit by sector'!$AD$42/1000</f>
        <v>78.698999999999998</v>
      </c>
      <c r="W26" s="29">
        <v>66.426000000000002</v>
      </c>
      <c r="X26" s="29">
        <f>64130/1000</f>
        <v>64.13</v>
      </c>
      <c r="Y26" s="29">
        <f>62647/1000</f>
        <v>62.646999999999998</v>
      </c>
      <c r="Z26" s="29">
        <f>57038/1000</f>
        <v>57.037999999999997</v>
      </c>
      <c r="AA26" s="29">
        <f>59820/1000</f>
        <v>59.82</v>
      </c>
      <c r="AB26" s="32">
        <f>AA26/Z26-1</f>
        <v>4.8774501209719823E-2</v>
      </c>
      <c r="AC26" s="33">
        <f>AA26/$AA$46</f>
        <v>1.7560798614158841E-2</v>
      </c>
      <c r="AD26" s="34">
        <f t="shared" si="0"/>
        <v>2.7820000000000036</v>
      </c>
      <c r="AE26" s="36"/>
    </row>
    <row r="27" spans="2:31" s="7" customFormat="1" ht="20" customHeight="1">
      <c r="B27" s="27"/>
      <c r="C27" s="28"/>
      <c r="D27" s="28"/>
      <c r="E27" s="28"/>
      <c r="F27" s="28"/>
      <c r="G27" s="28"/>
      <c r="H27" s="28"/>
      <c r="I27" s="15"/>
      <c r="J27" s="15"/>
      <c r="K27" s="15"/>
      <c r="L27" s="15"/>
      <c r="M27" s="15"/>
      <c r="N27" s="29"/>
      <c r="O27" s="29"/>
      <c r="P27" s="29"/>
      <c r="Q27" s="29"/>
      <c r="R27" s="29"/>
      <c r="S27" s="29"/>
      <c r="T27" s="29"/>
      <c r="U27" s="29"/>
      <c r="V27" s="29"/>
      <c r="W27" s="29"/>
      <c r="X27" s="29"/>
      <c r="Y27" s="29"/>
      <c r="Z27" s="29"/>
      <c r="AA27" s="29"/>
      <c r="AB27" s="32"/>
      <c r="AC27" s="33"/>
      <c r="AD27" s="34"/>
      <c r="AE27" s="34"/>
    </row>
    <row r="28" spans="2:31" s="7" customFormat="1" ht="20" customHeight="1">
      <c r="B28" s="27" t="s">
        <v>93</v>
      </c>
      <c r="C28" s="28" t="s">
        <v>395</v>
      </c>
      <c r="D28" s="28">
        <v>12.7</v>
      </c>
      <c r="E28" s="28">
        <v>8.8049999999999997</v>
      </c>
      <c r="F28" s="28">
        <v>11.954000000000001</v>
      </c>
      <c r="G28" s="28">
        <v>12.07</v>
      </c>
      <c r="H28" s="28">
        <v>12.454000000000001</v>
      </c>
      <c r="I28" s="15">
        <v>9.5030000000000001</v>
      </c>
      <c r="J28" s="15">
        <v>15.226000000000001</v>
      </c>
      <c r="K28" s="15">
        <v>26.899000000000001</v>
      </c>
      <c r="L28" s="15">
        <v>17.196000000000002</v>
      </c>
      <c r="M28" s="15">
        <v>43.093000000000004</v>
      </c>
      <c r="N28" s="29">
        <v>42.003999999999998</v>
      </c>
      <c r="O28" s="29">
        <v>37.767000000000003</v>
      </c>
      <c r="P28" s="29">
        <v>38.25</v>
      </c>
      <c r="Q28" s="29">
        <v>78.061000000000007</v>
      </c>
      <c r="R28" s="29">
        <v>70.628</v>
      </c>
      <c r="S28" s="29">
        <v>25.460999999999999</v>
      </c>
      <c r="T28" s="29">
        <v>40.140999999999998</v>
      </c>
      <c r="U28" s="29">
        <v>30.695</v>
      </c>
      <c r="V28" s="29">
        <f>'[192]Credit by sector'!$AD$44/1000</f>
        <v>12.926</v>
      </c>
      <c r="W28" s="29">
        <v>56.02</v>
      </c>
      <c r="X28" s="29">
        <v>17.204000000000001</v>
      </c>
      <c r="Y28" s="29">
        <v>8.1999999999999993</v>
      </c>
      <c r="Z28" s="29">
        <f>35953/1000</f>
        <v>35.953000000000003</v>
      </c>
      <c r="AA28" s="29">
        <f>34346/1000</f>
        <v>34.345999999999997</v>
      </c>
      <c r="AB28" s="32">
        <f>AA28/Z28-1</f>
        <v>-4.4697243623619931E-2</v>
      </c>
      <c r="AC28" s="33">
        <f>AA28/$AA$46</f>
        <v>1.0082634389867928E-2</v>
      </c>
      <c r="AD28" s="34">
        <f t="shared" si="0"/>
        <v>-1.6070000000000064</v>
      </c>
      <c r="AE28" s="35"/>
    </row>
    <row r="29" spans="2:31" s="7" customFormat="1" ht="20" customHeight="1">
      <c r="B29" s="27"/>
      <c r="C29" s="28"/>
      <c r="D29" s="28"/>
      <c r="E29" s="28"/>
      <c r="F29" s="28"/>
      <c r="G29" s="28"/>
      <c r="H29" s="28"/>
      <c r="I29" s="15"/>
      <c r="J29" s="15"/>
      <c r="K29" s="15"/>
      <c r="L29" s="15"/>
      <c r="M29" s="15"/>
      <c r="N29" s="29"/>
      <c r="O29" s="29"/>
      <c r="P29" s="29"/>
      <c r="Q29" s="29"/>
      <c r="R29" s="29"/>
      <c r="S29" s="29"/>
      <c r="T29" s="29"/>
      <c r="U29" s="29"/>
      <c r="V29" s="29"/>
      <c r="W29" s="29"/>
      <c r="X29" s="29"/>
      <c r="Y29" s="29"/>
      <c r="Z29" s="29"/>
      <c r="AA29" s="29"/>
      <c r="AB29" s="32"/>
      <c r="AC29" s="33"/>
      <c r="AD29" s="34"/>
      <c r="AE29" s="34"/>
    </row>
    <row r="30" spans="2:31" s="7" customFormat="1" ht="20" customHeight="1">
      <c r="B30" s="27" t="s">
        <v>94</v>
      </c>
      <c r="C30" s="28">
        <v>66</v>
      </c>
      <c r="D30" s="28">
        <v>73.099999999999994</v>
      </c>
      <c r="E30" s="28">
        <v>93.554000000000002</v>
      </c>
      <c r="F30" s="28">
        <v>93.748999999999995</v>
      </c>
      <c r="G30" s="28">
        <v>125.8</v>
      </c>
      <c r="H30" s="28">
        <v>119.023</v>
      </c>
      <c r="I30" s="15">
        <v>134.44800000000001</v>
      </c>
      <c r="J30" s="15">
        <v>135.89099999999999</v>
      </c>
      <c r="K30" s="15">
        <v>124.97499999999999</v>
      </c>
      <c r="L30" s="15">
        <v>168.21799999999999</v>
      </c>
      <c r="M30" s="15">
        <v>218.535</v>
      </c>
      <c r="N30" s="29">
        <v>369.995</v>
      </c>
      <c r="O30" s="29">
        <v>505.72699999999998</v>
      </c>
      <c r="P30" s="29">
        <v>594.19000000000005</v>
      </c>
      <c r="Q30" s="29">
        <v>705.72</v>
      </c>
      <c r="R30" s="29">
        <v>705.29499999999996</v>
      </c>
      <c r="S30" s="29">
        <v>740.73599999999999</v>
      </c>
      <c r="T30" s="29">
        <v>807.96199999999999</v>
      </c>
      <c r="U30" s="29">
        <v>895.84400000000005</v>
      </c>
      <c r="V30" s="29">
        <f>'[192]Credit by sector'!$AD$46/1000</f>
        <v>612.23099999999999</v>
      </c>
      <c r="W30" s="29">
        <v>566.71699999999998</v>
      </c>
      <c r="X30" s="29">
        <f>565630/1000</f>
        <v>565.63</v>
      </c>
      <c r="Y30" s="29">
        <f>381008/1000</f>
        <v>381.00799999999998</v>
      </c>
      <c r="Z30" s="29">
        <f>324963/1000</f>
        <v>324.96300000000002</v>
      </c>
      <c r="AA30" s="29">
        <f>318567/1000</f>
        <v>318.56700000000001</v>
      </c>
      <c r="AB30" s="32">
        <f>AA30/Z30-1</f>
        <v>-1.9682240747408208E-2</v>
      </c>
      <c r="AC30" s="33">
        <f>AA30/$AA$46</f>
        <v>9.3518738417197239E-2</v>
      </c>
      <c r="AD30" s="34">
        <f t="shared" si="0"/>
        <v>-6.396000000000015</v>
      </c>
      <c r="AE30" s="36"/>
    </row>
    <row r="31" spans="2:31" s="7" customFormat="1" ht="20" customHeight="1">
      <c r="B31" s="27"/>
      <c r="C31" s="28"/>
      <c r="D31" s="28"/>
      <c r="E31" s="28"/>
      <c r="F31" s="28"/>
      <c r="G31" s="28"/>
      <c r="H31" s="28"/>
      <c r="I31" s="15"/>
      <c r="J31" s="15"/>
      <c r="K31" s="15"/>
      <c r="L31" s="15"/>
      <c r="M31" s="15"/>
      <c r="N31" s="29"/>
      <c r="O31" s="29"/>
      <c r="P31" s="29"/>
      <c r="Q31" s="29"/>
      <c r="R31" s="29"/>
      <c r="S31" s="29"/>
      <c r="T31" s="29"/>
      <c r="U31" s="29"/>
      <c r="V31" s="29"/>
      <c r="W31" s="29"/>
      <c r="X31" s="29"/>
      <c r="Y31" s="29"/>
      <c r="Z31" s="29"/>
      <c r="AA31" s="29"/>
      <c r="AB31" s="32"/>
      <c r="AC31" s="33"/>
      <c r="AD31" s="34"/>
      <c r="AE31" s="34"/>
    </row>
    <row r="32" spans="2:31" s="7" customFormat="1" ht="20" customHeight="1">
      <c r="B32" s="27" t="s">
        <v>95</v>
      </c>
      <c r="C32" s="28">
        <v>50</v>
      </c>
      <c r="D32" s="28">
        <v>54</v>
      </c>
      <c r="E32" s="28">
        <v>66.186000000000007</v>
      </c>
      <c r="F32" s="28">
        <v>108.45699999999999</v>
      </c>
      <c r="G32" s="28">
        <v>115.2</v>
      </c>
      <c r="H32" s="28">
        <v>124.22799999999999</v>
      </c>
      <c r="I32" s="15">
        <v>125.48399999999999</v>
      </c>
      <c r="J32" s="15">
        <v>112.331</v>
      </c>
      <c r="K32" s="15">
        <v>67.480999999999995</v>
      </c>
      <c r="L32" s="15">
        <v>102.48699999999999</v>
      </c>
      <c r="M32" s="15">
        <v>149.916</v>
      </c>
      <c r="N32" s="29">
        <v>154.85300000000001</v>
      </c>
      <c r="O32" s="29">
        <v>215.73400000000001</v>
      </c>
      <c r="P32" s="29">
        <v>202.47</v>
      </c>
      <c r="Q32" s="29">
        <v>158.41999999999999</v>
      </c>
      <c r="R32" s="29">
        <v>136.107</v>
      </c>
      <c r="S32" s="29">
        <v>133.935</v>
      </c>
      <c r="T32" s="29">
        <v>237.59700000000001</v>
      </c>
      <c r="U32" s="29">
        <v>242.047</v>
      </c>
      <c r="V32" s="29">
        <f>'[192]Credit by sector'!$AD$48/1000</f>
        <v>221.46799999999999</v>
      </c>
      <c r="W32" s="29">
        <v>199.999</v>
      </c>
      <c r="X32" s="29">
        <f>184122/1000</f>
        <v>184.12200000000001</v>
      </c>
      <c r="Y32" s="29">
        <v>218.5</v>
      </c>
      <c r="Z32" s="29">
        <f>264852/1000</f>
        <v>264.85199999999998</v>
      </c>
      <c r="AA32" s="29">
        <f>250493/1000</f>
        <v>250.49299999999999</v>
      </c>
      <c r="AB32" s="32">
        <f>AA32/Z32-1</f>
        <v>-5.4215184329361232E-2</v>
      </c>
      <c r="AC32" s="33">
        <f>AA32/$AA$46</f>
        <v>7.3534890124648783E-2</v>
      </c>
      <c r="AD32" s="34">
        <f t="shared" si="0"/>
        <v>-14.35899999999998</v>
      </c>
      <c r="AE32" s="35"/>
    </row>
    <row r="33" spans="2:32" s="7" customFormat="1" ht="20" customHeight="1">
      <c r="B33" s="27"/>
      <c r="C33" s="28"/>
      <c r="D33" s="28"/>
      <c r="E33" s="28"/>
      <c r="F33" s="28"/>
      <c r="G33" s="28"/>
      <c r="H33" s="28"/>
      <c r="I33" s="15"/>
      <c r="J33" s="15"/>
      <c r="K33" s="15"/>
      <c r="L33" s="15"/>
      <c r="M33" s="15"/>
      <c r="N33" s="29"/>
      <c r="O33" s="29"/>
      <c r="P33" s="29"/>
      <c r="Q33" s="29"/>
      <c r="R33" s="29"/>
      <c r="S33" s="29"/>
      <c r="T33" s="29"/>
      <c r="U33" s="29"/>
      <c r="V33" s="29"/>
      <c r="W33" s="29"/>
      <c r="X33" s="29"/>
      <c r="Y33" s="29"/>
      <c r="Z33" s="29"/>
      <c r="AA33" s="29"/>
      <c r="AB33" s="32"/>
      <c r="AC33" s="33"/>
      <c r="AD33" s="34"/>
      <c r="AE33" s="34"/>
    </row>
    <row r="34" spans="2:32" s="7" customFormat="1" ht="20" customHeight="1">
      <c r="B34" s="27" t="s">
        <v>96</v>
      </c>
      <c r="C34" s="28">
        <v>432.8</v>
      </c>
      <c r="D34" s="28">
        <v>532.4</v>
      </c>
      <c r="E34" s="28">
        <v>612.21400000000006</v>
      </c>
      <c r="F34" s="28">
        <v>703.10599999999999</v>
      </c>
      <c r="G34" s="28">
        <v>741.62800000000004</v>
      </c>
      <c r="H34" s="28">
        <v>801.18</v>
      </c>
      <c r="I34" s="15">
        <v>793.09400000000005</v>
      </c>
      <c r="J34" s="15">
        <v>758.11800000000005</v>
      </c>
      <c r="K34" s="15">
        <v>799.923</v>
      </c>
      <c r="L34" s="15">
        <v>863.14700000000005</v>
      </c>
      <c r="M34" s="15">
        <v>957.54499999999996</v>
      </c>
      <c r="N34" s="29">
        <v>1028.2070000000001</v>
      </c>
      <c r="O34" s="29">
        <v>1149.4380000000001</v>
      </c>
      <c r="P34" s="29">
        <f>P36+P42+P44</f>
        <v>1164.1099999999999</v>
      </c>
      <c r="Q34" s="29">
        <f t="shared" ref="Q34:AA34" si="1">Q36+Q42+Q44</f>
        <v>1110.98</v>
      </c>
      <c r="R34" s="29">
        <f t="shared" si="1"/>
        <v>1260.7570000000001</v>
      </c>
      <c r="S34" s="29">
        <f t="shared" si="1"/>
        <v>1311.9949999999999</v>
      </c>
      <c r="T34" s="29">
        <f t="shared" si="1"/>
        <v>1556.6439999999998</v>
      </c>
      <c r="U34" s="29">
        <f t="shared" si="1"/>
        <v>1567.9690000000001</v>
      </c>
      <c r="V34" s="29">
        <f t="shared" si="1"/>
        <v>1782.346</v>
      </c>
      <c r="W34" s="29">
        <f t="shared" si="1"/>
        <v>1774.81</v>
      </c>
      <c r="X34" s="29">
        <f t="shared" si="1"/>
        <v>1738.078</v>
      </c>
      <c r="Y34" s="29">
        <f t="shared" si="1"/>
        <v>1897.221</v>
      </c>
      <c r="Z34" s="29">
        <f>Z36+Z42+Z44</f>
        <v>1869.472</v>
      </c>
      <c r="AA34" s="29">
        <f t="shared" si="1"/>
        <v>1920.3029999999999</v>
      </c>
      <c r="AB34" s="32">
        <f>AA34/Z34-1</f>
        <v>2.7190030126153175E-2</v>
      </c>
      <c r="AC34" s="33">
        <f>AA34/$AA$46</f>
        <v>0.5637254139278679</v>
      </c>
      <c r="AD34" s="34">
        <f t="shared" si="0"/>
        <v>50.830999999999904</v>
      </c>
      <c r="AE34" s="39"/>
    </row>
    <row r="35" spans="2:32" s="7" customFormat="1" ht="20" customHeight="1">
      <c r="B35" s="27"/>
      <c r="C35" s="28"/>
      <c r="D35" s="28"/>
      <c r="E35" s="28"/>
      <c r="F35" s="28"/>
      <c r="G35" s="28"/>
      <c r="H35" s="28"/>
      <c r="I35" s="15"/>
      <c r="J35" s="15"/>
      <c r="K35" s="15"/>
      <c r="L35" s="15"/>
      <c r="M35" s="15"/>
      <c r="N35" s="29"/>
      <c r="O35" s="29"/>
      <c r="P35" s="29"/>
      <c r="Q35" s="29"/>
      <c r="R35" s="29"/>
      <c r="S35" s="29"/>
      <c r="T35" s="29"/>
      <c r="U35" s="29"/>
      <c r="V35" s="29"/>
      <c r="W35" s="29"/>
      <c r="X35" s="29"/>
      <c r="Y35" s="29"/>
      <c r="Z35" s="29"/>
      <c r="AA35" s="29"/>
      <c r="AB35" s="32"/>
      <c r="AC35" s="33"/>
      <c r="AD35" s="34"/>
      <c r="AE35" s="34"/>
    </row>
    <row r="36" spans="2:32" s="7" customFormat="1" ht="20" customHeight="1">
      <c r="B36" s="40" t="s">
        <v>480</v>
      </c>
      <c r="C36" s="28">
        <v>260.10000000000002</v>
      </c>
      <c r="D36" s="28">
        <v>293.3</v>
      </c>
      <c r="E36" s="28">
        <v>280.5</v>
      </c>
      <c r="F36" s="28">
        <v>303.3</v>
      </c>
      <c r="G36" s="28">
        <v>337.7</v>
      </c>
      <c r="H36" s="28">
        <v>378.29199999999997</v>
      </c>
      <c r="I36" s="15">
        <v>319.50599999999997</v>
      </c>
      <c r="J36" s="15">
        <v>325.69499999999999</v>
      </c>
      <c r="K36" s="15">
        <v>343.83100000000002</v>
      </c>
      <c r="L36" s="15">
        <v>413.38400000000001</v>
      </c>
      <c r="M36" s="15">
        <v>464.95</v>
      </c>
      <c r="N36" s="29">
        <v>503.28899999999999</v>
      </c>
      <c r="O36" s="29">
        <v>513.10199999999998</v>
      </c>
      <c r="P36" s="29">
        <f>SUM(P38:P40)</f>
        <v>575.82999999999993</v>
      </c>
      <c r="Q36" s="29">
        <f t="shared" ref="Q36:AA36" si="2">SUM(Q38:Q40)</f>
        <v>602.39</v>
      </c>
      <c r="R36" s="29">
        <f t="shared" si="2"/>
        <v>619.69600000000003</v>
      </c>
      <c r="S36" s="29">
        <f t="shared" si="2"/>
        <v>649.88799999999992</v>
      </c>
      <c r="T36" s="29">
        <f t="shared" si="2"/>
        <v>896.25299999999993</v>
      </c>
      <c r="U36" s="29">
        <f t="shared" si="2"/>
        <v>913.721</v>
      </c>
      <c r="V36" s="29">
        <f t="shared" si="2"/>
        <v>1018.629</v>
      </c>
      <c r="W36" s="29">
        <f t="shared" si="2"/>
        <v>1010.4590000000001</v>
      </c>
      <c r="X36" s="29">
        <f t="shared" si="2"/>
        <v>963.3599999999999</v>
      </c>
      <c r="Y36" s="29">
        <f t="shared" si="2"/>
        <v>1330.877</v>
      </c>
      <c r="Z36" s="29">
        <f t="shared" si="2"/>
        <v>1326.925</v>
      </c>
      <c r="AA36" s="29">
        <f t="shared" si="2"/>
        <v>1044.7629999999999</v>
      </c>
      <c r="AB36" s="32">
        <f>AA36/Z36-1</f>
        <v>-0.21264351790794511</v>
      </c>
      <c r="AC36" s="33">
        <f>AA36/$AA$46</f>
        <v>0.30670131465269862</v>
      </c>
      <c r="AD36" s="34">
        <f t="shared" si="0"/>
        <v>-282.16200000000003</v>
      </c>
      <c r="AE36" s="35"/>
    </row>
    <row r="37" spans="2:32" s="7" customFormat="1" ht="20" customHeight="1">
      <c r="B37" s="40"/>
      <c r="C37" s="28"/>
      <c r="D37" s="28"/>
      <c r="E37" s="28"/>
      <c r="F37" s="28"/>
      <c r="G37" s="28"/>
      <c r="H37" s="28"/>
      <c r="I37" s="15"/>
      <c r="J37" s="15"/>
      <c r="K37" s="15"/>
      <c r="L37" s="15"/>
      <c r="M37" s="15"/>
      <c r="N37" s="29"/>
      <c r="O37" s="29"/>
      <c r="P37" s="29"/>
      <c r="Q37" s="29"/>
      <c r="R37" s="29"/>
      <c r="S37" s="29"/>
      <c r="T37" s="29"/>
      <c r="U37" s="29"/>
      <c r="V37" s="29"/>
      <c r="W37" s="29"/>
      <c r="X37" s="29"/>
      <c r="Y37" s="29"/>
      <c r="Z37" s="29"/>
      <c r="AA37" s="29"/>
      <c r="AB37" s="32"/>
      <c r="AC37" s="33"/>
      <c r="AD37" s="34"/>
      <c r="AE37" s="34"/>
    </row>
    <row r="38" spans="2:32" s="7" customFormat="1" ht="20" customHeight="1">
      <c r="B38" s="27" t="s">
        <v>272</v>
      </c>
      <c r="C38" s="28"/>
      <c r="D38" s="28">
        <v>139.9</v>
      </c>
      <c r="E38" s="28">
        <v>158.702</v>
      </c>
      <c r="F38" s="28">
        <v>165.11799999999999</v>
      </c>
      <c r="G38" s="28">
        <v>183.626</v>
      </c>
      <c r="H38" s="28">
        <v>239.768</v>
      </c>
      <c r="I38" s="15">
        <v>169.68600000000001</v>
      </c>
      <c r="J38" s="15">
        <v>177.31</v>
      </c>
      <c r="K38" s="15">
        <v>179.84399999999999</v>
      </c>
      <c r="L38" s="15">
        <v>219.16499999999999</v>
      </c>
      <c r="M38" s="15">
        <v>220.03299999999999</v>
      </c>
      <c r="N38" s="29">
        <v>237.60499999999999</v>
      </c>
      <c r="O38" s="29">
        <v>294.46300000000002</v>
      </c>
      <c r="P38" s="29">
        <v>313.99</v>
      </c>
      <c r="Q38" s="29">
        <v>334.11</v>
      </c>
      <c r="R38" s="29">
        <v>333.35</v>
      </c>
      <c r="S38" s="29">
        <v>350.524</v>
      </c>
      <c r="T38" s="29">
        <v>528.03399999999999</v>
      </c>
      <c r="U38" s="29">
        <v>544.40300000000002</v>
      </c>
      <c r="V38" s="29">
        <f>'[192]Credit by sector'!$AD$52/1000</f>
        <v>645.37900000000002</v>
      </c>
      <c r="W38" s="29">
        <v>633.72900000000004</v>
      </c>
      <c r="X38" s="31">
        <f>605185/1000</f>
        <v>605.18499999999995</v>
      </c>
      <c r="Y38" s="31">
        <f>969254/1000</f>
        <v>969.25400000000002</v>
      </c>
      <c r="Z38" s="31">
        <f>960715/1000</f>
        <v>960.71500000000003</v>
      </c>
      <c r="AA38" s="29">
        <f>645706/1000</f>
        <v>645.70600000000002</v>
      </c>
      <c r="AB38" s="32">
        <f>AA38/Z38-1</f>
        <v>-0.32789016513742364</v>
      </c>
      <c r="AC38" s="33">
        <f>AA38/$AA$46</f>
        <v>0.18955387880230773</v>
      </c>
      <c r="AD38" s="34">
        <f t="shared" si="0"/>
        <v>-315.00900000000001</v>
      </c>
      <c r="AE38" s="36"/>
    </row>
    <row r="39" spans="2:32" s="7" customFormat="1" ht="20" customHeight="1">
      <c r="B39" s="27"/>
      <c r="C39" s="28"/>
      <c r="D39" s="28"/>
      <c r="E39" s="28"/>
      <c r="F39" s="28"/>
      <c r="G39" s="28"/>
      <c r="H39" s="28"/>
      <c r="I39" s="15"/>
      <c r="J39" s="15"/>
      <c r="K39" s="15"/>
      <c r="L39" s="15"/>
      <c r="M39" s="15"/>
      <c r="N39" s="29"/>
      <c r="O39" s="29"/>
      <c r="P39" s="29"/>
      <c r="Q39" s="29"/>
      <c r="R39" s="29"/>
      <c r="S39" s="29"/>
      <c r="T39" s="29"/>
      <c r="U39" s="29"/>
      <c r="V39" s="29"/>
      <c r="W39" s="29"/>
      <c r="X39" s="31"/>
      <c r="Y39" s="31"/>
      <c r="Z39" s="31"/>
      <c r="AA39" s="31"/>
      <c r="AB39" s="32"/>
      <c r="AC39" s="33"/>
      <c r="AD39" s="34"/>
      <c r="AE39" s="34"/>
    </row>
    <row r="40" spans="2:32" s="7" customFormat="1" ht="20" customHeight="1">
      <c r="B40" s="27" t="s">
        <v>273</v>
      </c>
      <c r="C40" s="28"/>
      <c r="D40" s="28">
        <v>153.4</v>
      </c>
      <c r="E40" s="28">
        <v>121.8</v>
      </c>
      <c r="F40" s="28">
        <v>138.19999999999999</v>
      </c>
      <c r="G40" s="28">
        <v>154.1</v>
      </c>
      <c r="H40" s="28">
        <v>138.524</v>
      </c>
      <c r="I40" s="15">
        <v>149.82</v>
      </c>
      <c r="J40" s="15">
        <v>148.38</v>
      </c>
      <c r="K40" s="15">
        <v>163.98699999999999</v>
      </c>
      <c r="L40" s="15">
        <v>194.21899999999999</v>
      </c>
      <c r="M40" s="15">
        <v>244.917</v>
      </c>
      <c r="N40" s="29">
        <v>265.68400000000003</v>
      </c>
      <c r="O40" s="29">
        <v>218.63900000000001</v>
      </c>
      <c r="P40" s="29">
        <v>261.83999999999997</v>
      </c>
      <c r="Q40" s="29">
        <v>268.27999999999997</v>
      </c>
      <c r="R40" s="29">
        <v>286.346</v>
      </c>
      <c r="S40" s="29">
        <v>299.36399999999998</v>
      </c>
      <c r="T40" s="29">
        <v>368.21899999999999</v>
      </c>
      <c r="U40" s="29">
        <v>369.31799999999998</v>
      </c>
      <c r="V40" s="29">
        <f>'[192]Credit by sector'!$AD$53/1000</f>
        <v>373.25</v>
      </c>
      <c r="W40" s="29">
        <v>376.73</v>
      </c>
      <c r="X40" s="31">
        <f>358175/1000</f>
        <v>358.17500000000001</v>
      </c>
      <c r="Y40" s="31">
        <f>361623/1000</f>
        <v>361.62299999999999</v>
      </c>
      <c r="Z40" s="31">
        <f>366210/1000</f>
        <v>366.21</v>
      </c>
      <c r="AA40" s="31">
        <f>399057/1000</f>
        <v>399.05700000000002</v>
      </c>
      <c r="AB40" s="32">
        <f>AA40/Z40-1</f>
        <v>8.9694437617760414E-2</v>
      </c>
      <c r="AC40" s="33">
        <f>AA40/$AA$46</f>
        <v>0.1171474358503909</v>
      </c>
      <c r="AD40" s="34">
        <f t="shared" si="0"/>
        <v>32.847000000000037</v>
      </c>
      <c r="AE40" s="35"/>
    </row>
    <row r="41" spans="2:32" s="7" customFormat="1" ht="20" customHeight="1">
      <c r="B41" s="27"/>
      <c r="C41" s="28"/>
      <c r="D41" s="28"/>
      <c r="E41" s="28"/>
      <c r="F41" s="28"/>
      <c r="G41" s="28"/>
      <c r="H41" s="28"/>
      <c r="I41" s="15"/>
      <c r="J41" s="15"/>
      <c r="K41" s="15"/>
      <c r="L41" s="15"/>
      <c r="M41" s="15"/>
      <c r="N41" s="29"/>
      <c r="O41" s="29"/>
      <c r="P41" s="29"/>
      <c r="Q41" s="29"/>
      <c r="R41" s="29"/>
      <c r="S41" s="29"/>
      <c r="T41" s="29"/>
      <c r="U41" s="29"/>
      <c r="V41" s="29"/>
      <c r="W41" s="29"/>
      <c r="X41" s="31"/>
      <c r="Y41" s="31"/>
      <c r="Z41" s="31"/>
      <c r="AA41" s="31"/>
      <c r="AB41" s="32"/>
      <c r="AC41" s="33"/>
      <c r="AD41" s="34"/>
      <c r="AE41" s="34"/>
    </row>
    <row r="42" spans="2:32" s="7" customFormat="1" ht="20" customHeight="1">
      <c r="B42" s="27" t="s">
        <v>481</v>
      </c>
      <c r="C42" s="28">
        <v>51.7</v>
      </c>
      <c r="D42" s="28">
        <v>63.1</v>
      </c>
      <c r="E42" s="28">
        <v>76.599999999999994</v>
      </c>
      <c r="F42" s="28">
        <v>127.7</v>
      </c>
      <c r="G42" s="28">
        <v>99.4</v>
      </c>
      <c r="H42" s="28">
        <v>103.76</v>
      </c>
      <c r="I42" s="15">
        <v>90.066999999999993</v>
      </c>
      <c r="J42" s="15">
        <v>63.86</v>
      </c>
      <c r="K42" s="15">
        <v>64.754999999999995</v>
      </c>
      <c r="L42" s="15">
        <v>80.512</v>
      </c>
      <c r="M42" s="15">
        <v>109.669</v>
      </c>
      <c r="N42" s="29">
        <v>138.89599999999999</v>
      </c>
      <c r="O42" s="29">
        <v>187.887</v>
      </c>
      <c r="P42" s="29">
        <v>199.2</v>
      </c>
      <c r="Q42" s="29">
        <v>168.3</v>
      </c>
      <c r="R42" s="29">
        <v>153.166</v>
      </c>
      <c r="S42" s="29">
        <v>137.16900000000001</v>
      </c>
      <c r="T42" s="29">
        <v>128.13800000000001</v>
      </c>
      <c r="U42" s="29">
        <v>112.83</v>
      </c>
      <c r="V42" s="29">
        <f>'[192]Credit by sector'!$AD$54/1000</f>
        <v>108.008</v>
      </c>
      <c r="W42" s="29">
        <v>91.721999999999994</v>
      </c>
      <c r="X42" s="31">
        <f>94334/1000</f>
        <v>94.334000000000003</v>
      </c>
      <c r="Y42" s="31">
        <f>96931/1000</f>
        <v>96.930999999999997</v>
      </c>
      <c r="Z42" s="31">
        <f>102477/1000</f>
        <v>102.477</v>
      </c>
      <c r="AA42" s="31">
        <f>118988/1000</f>
        <v>118.988</v>
      </c>
      <c r="AB42" s="32">
        <f>AA42/Z42-1</f>
        <v>0.1611190803790119</v>
      </c>
      <c r="AC42" s="33">
        <f>AA42/AA46</f>
        <v>3.4930195678728383E-2</v>
      </c>
      <c r="AD42" s="34">
        <f t="shared" si="0"/>
        <v>16.510999999999996</v>
      </c>
      <c r="AE42" s="35"/>
    </row>
    <row r="43" spans="2:32" s="7" customFormat="1" ht="20" customHeight="1">
      <c r="B43" s="27"/>
      <c r="C43" s="28"/>
      <c r="D43" s="28"/>
      <c r="E43" s="28"/>
      <c r="F43" s="28"/>
      <c r="G43" s="28"/>
      <c r="H43" s="28"/>
      <c r="I43" s="15"/>
      <c r="J43" s="15"/>
      <c r="K43" s="15"/>
      <c r="L43" s="15"/>
      <c r="M43" s="15"/>
      <c r="N43" s="29"/>
      <c r="O43" s="29"/>
      <c r="P43" s="29"/>
      <c r="Q43" s="29"/>
      <c r="R43" s="29"/>
      <c r="S43" s="29"/>
      <c r="T43" s="29"/>
      <c r="U43" s="29"/>
      <c r="V43" s="29"/>
      <c r="W43" s="29"/>
      <c r="X43" s="29"/>
      <c r="Y43" s="29"/>
      <c r="Z43" s="29"/>
      <c r="AA43" s="31"/>
      <c r="AB43" s="32"/>
      <c r="AC43" s="33"/>
      <c r="AD43" s="34"/>
      <c r="AE43" s="34"/>
    </row>
    <row r="44" spans="2:32" s="7" customFormat="1" ht="20" customHeight="1">
      <c r="B44" s="27" t="s">
        <v>482</v>
      </c>
      <c r="C44" s="28">
        <v>121</v>
      </c>
      <c r="D44" s="28">
        <v>176</v>
      </c>
      <c r="E44" s="28">
        <v>255.1</v>
      </c>
      <c r="F44" s="28">
        <v>272.10000000000002</v>
      </c>
      <c r="G44" s="28">
        <v>304.5</v>
      </c>
      <c r="H44" s="28">
        <v>319.10000000000002</v>
      </c>
      <c r="I44" s="15">
        <v>383.52100000000002</v>
      </c>
      <c r="J44" s="15">
        <v>368.56200000000001</v>
      </c>
      <c r="K44" s="15">
        <v>391.33699999999999</v>
      </c>
      <c r="L44" s="15">
        <v>369.25099999999998</v>
      </c>
      <c r="M44" s="15">
        <v>382.92599999999999</v>
      </c>
      <c r="N44" s="29">
        <v>386.02199999999999</v>
      </c>
      <c r="O44" s="29">
        <v>448.44900000000001</v>
      </c>
      <c r="P44" s="29">
        <v>389.08</v>
      </c>
      <c r="Q44" s="29">
        <v>340.29</v>
      </c>
      <c r="R44" s="29">
        <v>487.89499999999998</v>
      </c>
      <c r="S44" s="29">
        <v>524.93799999999999</v>
      </c>
      <c r="T44" s="29">
        <v>532.25300000000004</v>
      </c>
      <c r="U44" s="29">
        <v>541.41800000000001</v>
      </c>
      <c r="V44" s="29">
        <f>'[192]Credit by sector'!$AD$55/1000</f>
        <v>655.70899999999995</v>
      </c>
      <c r="W44" s="29">
        <v>672.62900000000002</v>
      </c>
      <c r="X44" s="29">
        <f>680384/1000</f>
        <v>680.38400000000001</v>
      </c>
      <c r="Y44" s="29">
        <f>469413/1000</f>
        <v>469.41300000000001</v>
      </c>
      <c r="Z44" s="29">
        <f>440070/1000</f>
        <v>440.07</v>
      </c>
      <c r="AA44" s="29">
        <f>756552/1000</f>
        <v>756.55200000000002</v>
      </c>
      <c r="AB44" s="32">
        <f>AA44/Z44-1</f>
        <v>0.71916286045401878</v>
      </c>
      <c r="AC44" s="33">
        <f>AA44/AA46</f>
        <v>0.22209390359644096</v>
      </c>
      <c r="AD44" s="34">
        <f t="shared" si="0"/>
        <v>316.48200000000003</v>
      </c>
      <c r="AE44" s="36"/>
    </row>
    <row r="45" spans="2:32" s="7" customFormat="1" ht="20" customHeight="1">
      <c r="B45" s="27"/>
      <c r="C45" s="28"/>
      <c r="D45" s="28"/>
      <c r="E45" s="28"/>
      <c r="F45" s="28"/>
      <c r="G45" s="28"/>
      <c r="H45" s="28"/>
      <c r="I45" s="15"/>
      <c r="J45" s="15"/>
      <c r="K45" s="15"/>
      <c r="L45" s="15"/>
      <c r="M45" s="15"/>
      <c r="N45" s="29"/>
      <c r="O45" s="29"/>
      <c r="P45" s="29"/>
      <c r="Q45" s="29"/>
      <c r="R45" s="29"/>
      <c r="S45" s="29"/>
      <c r="T45" s="29"/>
      <c r="U45" s="29"/>
      <c r="V45" s="29"/>
      <c r="W45" s="29"/>
      <c r="X45" s="29"/>
      <c r="Y45" s="29"/>
      <c r="Z45" s="29"/>
      <c r="AA45" s="29"/>
      <c r="AB45" s="32"/>
      <c r="AC45" s="33"/>
      <c r="AD45" s="34"/>
      <c r="AE45" s="34"/>
    </row>
    <row r="46" spans="2:32" s="13" customFormat="1" ht="20" customHeight="1">
      <c r="B46" s="41" t="s">
        <v>394</v>
      </c>
      <c r="C46" s="42">
        <v>1065.0999999999999</v>
      </c>
      <c r="D46" s="42">
        <v>1195.5999999999999</v>
      </c>
      <c r="E46" s="42">
        <v>1307.288</v>
      </c>
      <c r="F46" s="42">
        <v>1422.1410000000001</v>
      </c>
      <c r="G46" s="42">
        <v>1560.4930000000002</v>
      </c>
      <c r="H46" s="42">
        <v>1649.5160000000001</v>
      </c>
      <c r="I46" s="43">
        <v>1709.2320000000002</v>
      </c>
      <c r="J46" s="43">
        <v>1721.2139999999999</v>
      </c>
      <c r="K46" s="44">
        <f t="shared" ref="K46:X46" si="3">K34+K32+K30+K28+K26+K24+K22+K20+K18+K16+K14+K12+K10+K8</f>
        <v>1651.3080000000004</v>
      </c>
      <c r="L46" s="44">
        <f t="shared" si="3"/>
        <v>1807.7160000000001</v>
      </c>
      <c r="M46" s="44">
        <f t="shared" si="3"/>
        <v>2174.5800000000004</v>
      </c>
      <c r="N46" s="45">
        <f t="shared" si="3"/>
        <v>2732.7330000000006</v>
      </c>
      <c r="O46" s="45">
        <f t="shared" si="3"/>
        <v>3510.7979999999998</v>
      </c>
      <c r="P46" s="45">
        <f t="shared" si="3"/>
        <v>3814.5099999999998</v>
      </c>
      <c r="Q46" s="45">
        <f>Q34+Q32+Q30+Q28+Q26+Q24+Q22+Q20+Q18+Q16+Q14+Q12+Q10+Q8</f>
        <v>3914.4189999999999</v>
      </c>
      <c r="R46" s="45">
        <f t="shared" si="3"/>
        <v>4004.78</v>
      </c>
      <c r="S46" s="45">
        <f t="shared" si="3"/>
        <v>4057.9389999999994</v>
      </c>
      <c r="T46" s="45">
        <f t="shared" si="3"/>
        <v>4434.3339999999989</v>
      </c>
      <c r="U46" s="45">
        <f t="shared" si="3"/>
        <v>4410.5549999999994</v>
      </c>
      <c r="V46" s="45">
        <f t="shared" si="3"/>
        <v>4105.3900000000003</v>
      </c>
      <c r="W46" s="45">
        <f t="shared" si="3"/>
        <v>3823.7239999999997</v>
      </c>
      <c r="X46" s="45">
        <f t="shared" si="3"/>
        <v>3605.6299999999992</v>
      </c>
      <c r="Y46" s="45">
        <f>Y34+Y32+Y30+Y28+Y26+Y24+Y22+Y20+Y18+Y16+Y14+Y12+Y10+Y8</f>
        <v>3466.7249999999999</v>
      </c>
      <c r="Z46" s="45">
        <f>Z34+Z32+Z30+Z28+Z26+Z24+Z22+Z20+Z18+Z16+Z14+Z12+Z10+Z8</f>
        <v>3448.694</v>
      </c>
      <c r="AA46" s="45">
        <f>AA34+AA32+AA30+AA28+AA26+AA24+AA22+AA20+AA18+AA16+AA14+AA12+AA10+AA8</f>
        <v>3406.4510000000005</v>
      </c>
      <c r="AB46" s="46">
        <f>AA46/Z46-1</f>
        <v>-1.2248984688116527E-2</v>
      </c>
      <c r="AC46" s="47">
        <f>AC34+AC32+AC30+AC28+AC26+AC24+AC22+AC20+AC18+AC16+AC14+AC12+AC10+AC8</f>
        <v>0.99999999999999978</v>
      </c>
      <c r="AD46" s="48">
        <f t="shared" si="0"/>
        <v>-42.242999999999483</v>
      </c>
      <c r="AE46" s="48"/>
    </row>
    <row r="47" spans="2:32" s="7" customFormat="1" ht="20" customHeight="1" thickBot="1">
      <c r="B47" s="49" t="s">
        <v>397</v>
      </c>
      <c r="C47" s="50"/>
      <c r="D47" s="51">
        <v>0.12252370669420731</v>
      </c>
      <c r="E47" s="52">
        <v>9.341585814653719E-2</v>
      </c>
      <c r="F47" s="52">
        <v>8.7855927691526281E-2</v>
      </c>
      <c r="G47" s="52">
        <v>9.7284305845904306E-2</v>
      </c>
      <c r="H47" s="52">
        <v>5.7047997011200779E-2</v>
      </c>
      <c r="I47" s="53">
        <v>3.620213444428555E-2</v>
      </c>
      <c r="J47" s="53">
        <v>7.0101659692771712E-3</v>
      </c>
      <c r="K47" s="53">
        <f>K46/J46-1</f>
        <v>-4.0614357075877572E-2</v>
      </c>
      <c r="L47" s="53">
        <f>L46/K46-1</f>
        <v>9.471764201469357E-2</v>
      </c>
      <c r="M47" s="53">
        <f t="shared" ref="M47:V47" si="4">M46/L46-1</f>
        <v>0.20294338269949486</v>
      </c>
      <c r="N47" s="54">
        <f t="shared" si="4"/>
        <v>0.25667163314295172</v>
      </c>
      <c r="O47" s="54">
        <f t="shared" si="4"/>
        <v>0.28472046116470184</v>
      </c>
      <c r="P47" s="54">
        <f t="shared" si="4"/>
        <v>8.6507967704208655E-2</v>
      </c>
      <c r="Q47" s="54">
        <f t="shared" si="4"/>
        <v>2.6191830667634974E-2</v>
      </c>
      <c r="R47" s="54">
        <f t="shared" si="4"/>
        <v>2.3084140967024824E-2</v>
      </c>
      <c r="S47" s="54">
        <f t="shared" si="4"/>
        <v>1.3273887704193355E-2</v>
      </c>
      <c r="T47" s="54">
        <f t="shared" si="4"/>
        <v>9.2755213915240997E-2</v>
      </c>
      <c r="U47" s="54">
        <f t="shared" si="4"/>
        <v>-5.3624738235774627E-3</v>
      </c>
      <c r="V47" s="54">
        <f t="shared" si="4"/>
        <v>-6.9189705150485392E-2</v>
      </c>
      <c r="W47" s="54">
        <f>W46/V46-1</f>
        <v>-6.8608828881056461E-2</v>
      </c>
      <c r="X47" s="54">
        <f>X46/W46-1</f>
        <v>-5.7037066482832022E-2</v>
      </c>
      <c r="Y47" s="54">
        <f>Y46/X46-1</f>
        <v>-3.8524474225031247E-2</v>
      </c>
      <c r="Z47" s="54">
        <f>Z46/Y46-1</f>
        <v>-5.2011624804390033E-3</v>
      </c>
      <c r="AA47" s="54">
        <f>AA46/Z46-1</f>
        <v>-1.2248984688116527E-2</v>
      </c>
      <c r="AB47" s="54" t="s">
        <v>390</v>
      </c>
      <c r="AC47" s="55"/>
      <c r="AD47" s="7" t="s">
        <v>390</v>
      </c>
      <c r="AE47" s="16" t="s">
        <v>390</v>
      </c>
      <c r="AF47" s="16" t="s">
        <v>390</v>
      </c>
    </row>
    <row r="48" spans="2:32" s="7" customFormat="1" ht="20" customHeight="1">
      <c r="B48" s="4" t="s">
        <v>97</v>
      </c>
      <c r="C48" s="13"/>
      <c r="D48" s="56"/>
      <c r="E48" s="57"/>
      <c r="F48" s="57"/>
      <c r="G48" s="57"/>
      <c r="H48" s="57"/>
      <c r="I48" s="58"/>
      <c r="J48" s="58"/>
      <c r="K48" s="58"/>
      <c r="L48" s="58"/>
      <c r="M48" s="58"/>
      <c r="N48" s="59"/>
      <c r="O48" s="59"/>
      <c r="P48" s="59"/>
      <c r="Q48" s="59"/>
      <c r="R48" s="59"/>
      <c r="S48" s="59"/>
      <c r="T48" s="59"/>
      <c r="U48" s="60"/>
      <c r="V48" s="60"/>
      <c r="W48" s="60"/>
      <c r="X48" s="60"/>
      <c r="Y48" s="60"/>
      <c r="Z48" s="60"/>
      <c r="AA48" s="60"/>
      <c r="AB48" s="59"/>
      <c r="AC48" s="59"/>
      <c r="AD48" s="61" t="s">
        <v>390</v>
      </c>
      <c r="AE48" s="61" t="s">
        <v>390</v>
      </c>
      <c r="AF48" s="61" t="s">
        <v>390</v>
      </c>
    </row>
    <row r="49" spans="2:29">
      <c r="B49" s="12" t="s">
        <v>785</v>
      </c>
      <c r="H49" s="8"/>
      <c r="I49" s="6"/>
      <c r="J49" s="6"/>
      <c r="K49" s="6"/>
      <c r="L49" s="62"/>
      <c r="M49" s="62"/>
      <c r="N49" s="62"/>
      <c r="O49" s="62"/>
      <c r="P49" s="62"/>
      <c r="Q49" s="62"/>
      <c r="R49" s="62"/>
      <c r="S49" s="62"/>
      <c r="T49" s="62"/>
      <c r="U49" s="62"/>
      <c r="V49" s="62"/>
      <c r="W49" s="62"/>
      <c r="X49" s="62" t="s">
        <v>390</v>
      </c>
      <c r="Y49" s="62"/>
      <c r="Z49" s="62"/>
      <c r="AA49" s="62"/>
      <c r="AB49" s="6"/>
      <c r="AC49" s="6"/>
    </row>
    <row r="50" spans="2:29" hidden="1">
      <c r="B50" s="4" t="s">
        <v>313</v>
      </c>
      <c r="L50" s="62"/>
      <c r="M50" s="62"/>
      <c r="N50" s="62"/>
      <c r="O50" s="62"/>
      <c r="P50" s="62"/>
      <c r="Q50" s="62"/>
      <c r="R50" s="62"/>
      <c r="S50" s="62"/>
      <c r="T50" s="62"/>
      <c r="U50" s="62"/>
      <c r="V50" s="62"/>
      <c r="W50" s="62"/>
      <c r="X50" s="62"/>
      <c r="Y50" s="62"/>
      <c r="Z50" s="62"/>
      <c r="AA50" s="62"/>
      <c r="AB50" s="63"/>
      <c r="AC50" s="63"/>
    </row>
    <row r="51" spans="2:29" hidden="1">
      <c r="B51" s="64"/>
      <c r="H51" s="8"/>
      <c r="I51" s="6"/>
      <c r="J51" s="6"/>
      <c r="K51" s="6"/>
      <c r="L51" s="65"/>
      <c r="M51" s="65"/>
      <c r="N51" s="65"/>
      <c r="O51" s="65"/>
      <c r="P51" s="65"/>
      <c r="Q51" s="65"/>
      <c r="R51" s="65"/>
      <c r="S51" s="65"/>
      <c r="T51" s="65"/>
      <c r="U51" s="65"/>
      <c r="V51" s="65"/>
      <c r="W51" s="65"/>
      <c r="X51" s="65"/>
      <c r="Y51" s="65"/>
      <c r="Z51" s="65"/>
      <c r="AA51" s="65"/>
      <c r="AB51" s="6"/>
      <c r="AC51" s="6"/>
    </row>
    <row r="53" spans="2:29">
      <c r="B53" s="11"/>
      <c r="C53" s="11" t="e">
        <f t="shared" ref="C53:N53" si="5">C46-#REF!</f>
        <v>#REF!</v>
      </c>
      <c r="D53" s="11" t="e">
        <f t="shared" si="5"/>
        <v>#REF!</v>
      </c>
      <c r="E53" s="11" t="e">
        <f t="shared" si="5"/>
        <v>#REF!</v>
      </c>
      <c r="F53" s="11" t="e">
        <f t="shared" si="5"/>
        <v>#REF!</v>
      </c>
      <c r="G53" s="11" t="e">
        <f t="shared" si="5"/>
        <v>#REF!</v>
      </c>
      <c r="H53" s="11" t="e">
        <f t="shared" si="5"/>
        <v>#REF!</v>
      </c>
      <c r="I53" s="11" t="e">
        <f t="shared" si="5"/>
        <v>#REF!</v>
      </c>
      <c r="J53" s="11" t="e">
        <f t="shared" si="5"/>
        <v>#REF!</v>
      </c>
      <c r="K53" s="11" t="e">
        <f t="shared" si="5"/>
        <v>#REF!</v>
      </c>
      <c r="L53" s="11" t="e">
        <f t="shared" si="5"/>
        <v>#REF!</v>
      </c>
      <c r="M53" s="11" t="e">
        <f t="shared" si="5"/>
        <v>#REF!</v>
      </c>
      <c r="N53" s="11" t="e">
        <f t="shared" si="5"/>
        <v>#REF!</v>
      </c>
      <c r="O53" s="11">
        <f>O46-N46</f>
        <v>778.06499999999915</v>
      </c>
      <c r="P53" s="11"/>
      <c r="Q53" s="11"/>
      <c r="R53" s="11"/>
      <c r="S53" s="11"/>
      <c r="T53" s="11"/>
      <c r="U53" s="11"/>
      <c r="V53" s="11"/>
      <c r="W53" s="11"/>
      <c r="X53" s="11"/>
      <c r="Y53" s="11" t="s">
        <v>390</v>
      </c>
      <c r="Z53" s="11"/>
      <c r="AA53" s="11"/>
    </row>
    <row r="54" spans="2:29">
      <c r="N54" s="66"/>
      <c r="O54" s="66"/>
    </row>
    <row r="79" spans="2:2">
      <c r="B79" s="3" t="s">
        <v>747</v>
      </c>
    </row>
  </sheetData>
  <mergeCells count="1">
    <mergeCell ref="B4:AC4"/>
  </mergeCells>
  <printOptions horizontalCentered="1" verticalCentered="1"/>
  <pageMargins left="0" right="0" top="0" bottom="0" header="0" footer="0.35"/>
  <pageSetup scale="57" orientation="landscape" useFirstPageNumber="1" r:id="rId1"/>
  <headerFooter scaleWithDoc="0" alignWithMargins="0">
    <oddFooter>&amp;C134</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B0F0"/>
    <pageSetUpPr fitToPage="1"/>
  </sheetPr>
  <dimension ref="B1:L204"/>
  <sheetViews>
    <sheetView showGridLines="0" view="pageBreakPreview" zoomScale="20" zoomScaleNormal="100" zoomScaleSheetLayoutView="20" workbookViewId="0">
      <pane xSplit="2" ySplit="5" topLeftCell="C20" activePane="bottomRight" state="frozen"/>
      <selection activeCell="B44" sqref="B44"/>
      <selection pane="topRight" activeCell="B44" sqref="B44"/>
      <selection pane="bottomLeft" activeCell="B44" sqref="B44"/>
      <selection pane="bottomRight" activeCell="B44" sqref="B44"/>
    </sheetView>
  </sheetViews>
  <sheetFormatPr defaultColWidth="9.46484375" defaultRowHeight="37.9"/>
  <cols>
    <col min="1" max="1" width="4.46484375" style="1221" customWidth="1"/>
    <col min="2" max="2" width="255.6640625" style="1619" bestFit="1" customWidth="1"/>
    <col min="3" max="8" width="42.6640625" style="1221" customWidth="1"/>
    <col min="9" max="9" width="40" style="1221" customWidth="1"/>
    <col min="10" max="10" width="36.6640625" style="1222" customWidth="1"/>
    <col min="11" max="151" width="9.46484375" style="1221"/>
    <col min="152" max="152" width="47" style="1221" customWidth="1"/>
    <col min="153" max="164" width="13.46484375" style="1221" customWidth="1"/>
    <col min="165" max="165" width="1.46484375" style="1221" customWidth="1"/>
    <col min="166" max="167" width="12.46484375" style="1221" customWidth="1"/>
    <col min="168" max="168" width="1.46484375" style="1221" customWidth="1"/>
    <col min="169" max="169" width="12.46484375" style="1221" bestFit="1" customWidth="1"/>
    <col min="170" max="171" width="10.46484375" style="1221" customWidth="1"/>
    <col min="172" max="407" width="9.46484375" style="1221"/>
    <col min="408" max="408" width="47" style="1221" customWidth="1"/>
    <col min="409" max="420" width="13.46484375" style="1221" customWidth="1"/>
    <col min="421" max="421" width="1.46484375" style="1221" customWidth="1"/>
    <col min="422" max="423" width="12.46484375" style="1221" customWidth="1"/>
    <col min="424" max="424" width="1.46484375" style="1221" customWidth="1"/>
    <col min="425" max="425" width="12.46484375" style="1221" bestFit="1" customWidth="1"/>
    <col min="426" max="427" width="10.46484375" style="1221" customWidth="1"/>
    <col min="428" max="663" width="9.46484375" style="1221"/>
    <col min="664" max="664" width="47" style="1221" customWidth="1"/>
    <col min="665" max="676" width="13.46484375" style="1221" customWidth="1"/>
    <col min="677" max="677" width="1.46484375" style="1221" customWidth="1"/>
    <col min="678" max="679" width="12.46484375" style="1221" customWidth="1"/>
    <col min="680" max="680" width="1.46484375" style="1221" customWidth="1"/>
    <col min="681" max="681" width="12.46484375" style="1221" bestFit="1" customWidth="1"/>
    <col min="682" max="683" width="10.46484375" style="1221" customWidth="1"/>
    <col min="684" max="919" width="9.46484375" style="1221"/>
    <col min="920" max="920" width="47" style="1221" customWidth="1"/>
    <col min="921" max="932" width="13.46484375" style="1221" customWidth="1"/>
    <col min="933" max="933" width="1.46484375" style="1221" customWidth="1"/>
    <col min="934" max="935" width="12.46484375" style="1221" customWidth="1"/>
    <col min="936" max="936" width="1.46484375" style="1221" customWidth="1"/>
    <col min="937" max="937" width="12.46484375" style="1221" bestFit="1" customWidth="1"/>
    <col min="938" max="939" width="10.46484375" style="1221" customWidth="1"/>
    <col min="940" max="1175" width="9.46484375" style="1221"/>
    <col min="1176" max="1176" width="47" style="1221" customWidth="1"/>
    <col min="1177" max="1188" width="13.46484375" style="1221" customWidth="1"/>
    <col min="1189" max="1189" width="1.46484375" style="1221" customWidth="1"/>
    <col min="1190" max="1191" width="12.46484375" style="1221" customWidth="1"/>
    <col min="1192" max="1192" width="1.46484375" style="1221" customWidth="1"/>
    <col min="1193" max="1193" width="12.46484375" style="1221" bestFit="1" customWidth="1"/>
    <col min="1194" max="1195" width="10.46484375" style="1221" customWidth="1"/>
    <col min="1196" max="1431" width="9.46484375" style="1221"/>
    <col min="1432" max="1432" width="47" style="1221" customWidth="1"/>
    <col min="1433" max="1444" width="13.46484375" style="1221" customWidth="1"/>
    <col min="1445" max="1445" width="1.46484375" style="1221" customWidth="1"/>
    <col min="1446" max="1447" width="12.46484375" style="1221" customWidth="1"/>
    <col min="1448" max="1448" width="1.46484375" style="1221" customWidth="1"/>
    <col min="1449" max="1449" width="12.46484375" style="1221" bestFit="1" customWidth="1"/>
    <col min="1450" max="1451" width="10.46484375" style="1221" customWidth="1"/>
    <col min="1452" max="1687" width="9.46484375" style="1221"/>
    <col min="1688" max="1688" width="47" style="1221" customWidth="1"/>
    <col min="1689" max="1700" width="13.46484375" style="1221" customWidth="1"/>
    <col min="1701" max="1701" width="1.46484375" style="1221" customWidth="1"/>
    <col min="1702" max="1703" width="12.46484375" style="1221" customWidth="1"/>
    <col min="1704" max="1704" width="1.46484375" style="1221" customWidth="1"/>
    <col min="1705" max="1705" width="12.46484375" style="1221" bestFit="1" customWidth="1"/>
    <col min="1706" max="1707" width="10.46484375" style="1221" customWidth="1"/>
    <col min="1708" max="1943" width="9.46484375" style="1221"/>
    <col min="1944" max="1944" width="47" style="1221" customWidth="1"/>
    <col min="1945" max="1956" width="13.46484375" style="1221" customWidth="1"/>
    <col min="1957" max="1957" width="1.46484375" style="1221" customWidth="1"/>
    <col min="1958" max="1959" width="12.46484375" style="1221" customWidth="1"/>
    <col min="1960" max="1960" width="1.46484375" style="1221" customWidth="1"/>
    <col min="1961" max="1961" width="12.46484375" style="1221" bestFit="1" customWidth="1"/>
    <col min="1962" max="1963" width="10.46484375" style="1221" customWidth="1"/>
    <col min="1964" max="2199" width="9.46484375" style="1221"/>
    <col min="2200" max="2200" width="47" style="1221" customWidth="1"/>
    <col min="2201" max="2212" width="13.46484375" style="1221" customWidth="1"/>
    <col min="2213" max="2213" width="1.46484375" style="1221" customWidth="1"/>
    <col min="2214" max="2215" width="12.46484375" style="1221" customWidth="1"/>
    <col min="2216" max="2216" width="1.46484375" style="1221" customWidth="1"/>
    <col min="2217" max="2217" width="12.46484375" style="1221" bestFit="1" customWidth="1"/>
    <col min="2218" max="2219" width="10.46484375" style="1221" customWidth="1"/>
    <col min="2220" max="2455" width="9.46484375" style="1221"/>
    <col min="2456" max="2456" width="47" style="1221" customWidth="1"/>
    <col min="2457" max="2468" width="13.46484375" style="1221" customWidth="1"/>
    <col min="2469" max="2469" width="1.46484375" style="1221" customWidth="1"/>
    <col min="2470" max="2471" width="12.46484375" style="1221" customWidth="1"/>
    <col min="2472" max="2472" width="1.46484375" style="1221" customWidth="1"/>
    <col min="2473" max="2473" width="12.46484375" style="1221" bestFit="1" customWidth="1"/>
    <col min="2474" max="2475" width="10.46484375" style="1221" customWidth="1"/>
    <col min="2476" max="2711" width="9.46484375" style="1221"/>
    <col min="2712" max="2712" width="47" style="1221" customWidth="1"/>
    <col min="2713" max="2724" width="13.46484375" style="1221" customWidth="1"/>
    <col min="2725" max="2725" width="1.46484375" style="1221" customWidth="1"/>
    <col min="2726" max="2727" width="12.46484375" style="1221" customWidth="1"/>
    <col min="2728" max="2728" width="1.46484375" style="1221" customWidth="1"/>
    <col min="2729" max="2729" width="12.46484375" style="1221" bestFit="1" customWidth="1"/>
    <col min="2730" max="2731" width="10.46484375" style="1221" customWidth="1"/>
    <col min="2732" max="2967" width="9.46484375" style="1221"/>
    <col min="2968" max="2968" width="47" style="1221" customWidth="1"/>
    <col min="2969" max="2980" width="13.46484375" style="1221" customWidth="1"/>
    <col min="2981" max="2981" width="1.46484375" style="1221" customWidth="1"/>
    <col min="2982" max="2983" width="12.46484375" style="1221" customWidth="1"/>
    <col min="2984" max="2984" width="1.46484375" style="1221" customWidth="1"/>
    <col min="2985" max="2985" width="12.46484375" style="1221" bestFit="1" customWidth="1"/>
    <col min="2986" max="2987" width="10.46484375" style="1221" customWidth="1"/>
    <col min="2988" max="3223" width="9.46484375" style="1221"/>
    <col min="3224" max="3224" width="47" style="1221" customWidth="1"/>
    <col min="3225" max="3236" width="13.46484375" style="1221" customWidth="1"/>
    <col min="3237" max="3237" width="1.46484375" style="1221" customWidth="1"/>
    <col min="3238" max="3239" width="12.46484375" style="1221" customWidth="1"/>
    <col min="3240" max="3240" width="1.46484375" style="1221" customWidth="1"/>
    <col min="3241" max="3241" width="12.46484375" style="1221" bestFit="1" customWidth="1"/>
    <col min="3242" max="3243" width="10.46484375" style="1221" customWidth="1"/>
    <col min="3244" max="3479" width="9.46484375" style="1221"/>
    <col min="3480" max="3480" width="47" style="1221" customWidth="1"/>
    <col min="3481" max="3492" width="13.46484375" style="1221" customWidth="1"/>
    <col min="3493" max="3493" width="1.46484375" style="1221" customWidth="1"/>
    <col min="3494" max="3495" width="12.46484375" style="1221" customWidth="1"/>
    <col min="3496" max="3496" width="1.46484375" style="1221" customWidth="1"/>
    <col min="3497" max="3497" width="12.46484375" style="1221" bestFit="1" customWidth="1"/>
    <col min="3498" max="3499" width="10.46484375" style="1221" customWidth="1"/>
    <col min="3500" max="3735" width="9.46484375" style="1221"/>
    <col min="3736" max="3736" width="47" style="1221" customWidth="1"/>
    <col min="3737" max="3748" width="13.46484375" style="1221" customWidth="1"/>
    <col min="3749" max="3749" width="1.46484375" style="1221" customWidth="1"/>
    <col min="3750" max="3751" width="12.46484375" style="1221" customWidth="1"/>
    <col min="3752" max="3752" width="1.46484375" style="1221" customWidth="1"/>
    <col min="3753" max="3753" width="12.46484375" style="1221" bestFit="1" customWidth="1"/>
    <col min="3754" max="3755" width="10.46484375" style="1221" customWidth="1"/>
    <col min="3756" max="3991" width="9.46484375" style="1221"/>
    <col min="3992" max="3992" width="47" style="1221" customWidth="1"/>
    <col min="3993" max="4004" width="13.46484375" style="1221" customWidth="1"/>
    <col min="4005" max="4005" width="1.46484375" style="1221" customWidth="1"/>
    <col min="4006" max="4007" width="12.46484375" style="1221" customWidth="1"/>
    <col min="4008" max="4008" width="1.46484375" style="1221" customWidth="1"/>
    <col min="4009" max="4009" width="12.46484375" style="1221" bestFit="1" customWidth="1"/>
    <col min="4010" max="4011" width="10.46484375" style="1221" customWidth="1"/>
    <col min="4012" max="4247" width="9.46484375" style="1221"/>
    <col min="4248" max="4248" width="47" style="1221" customWidth="1"/>
    <col min="4249" max="4260" width="13.46484375" style="1221" customWidth="1"/>
    <col min="4261" max="4261" width="1.46484375" style="1221" customWidth="1"/>
    <col min="4262" max="4263" width="12.46484375" style="1221" customWidth="1"/>
    <col min="4264" max="4264" width="1.46484375" style="1221" customWidth="1"/>
    <col min="4265" max="4265" width="12.46484375" style="1221" bestFit="1" customWidth="1"/>
    <col min="4266" max="4267" width="10.46484375" style="1221" customWidth="1"/>
    <col min="4268" max="4503" width="9.46484375" style="1221"/>
    <col min="4504" max="4504" width="47" style="1221" customWidth="1"/>
    <col min="4505" max="4516" width="13.46484375" style="1221" customWidth="1"/>
    <col min="4517" max="4517" width="1.46484375" style="1221" customWidth="1"/>
    <col min="4518" max="4519" width="12.46484375" style="1221" customWidth="1"/>
    <col min="4520" max="4520" width="1.46484375" style="1221" customWidth="1"/>
    <col min="4521" max="4521" width="12.46484375" style="1221" bestFit="1" customWidth="1"/>
    <col min="4522" max="4523" width="10.46484375" style="1221" customWidth="1"/>
    <col min="4524" max="4759" width="9.46484375" style="1221"/>
    <col min="4760" max="4760" width="47" style="1221" customWidth="1"/>
    <col min="4761" max="4772" width="13.46484375" style="1221" customWidth="1"/>
    <col min="4773" max="4773" width="1.46484375" style="1221" customWidth="1"/>
    <col min="4774" max="4775" width="12.46484375" style="1221" customWidth="1"/>
    <col min="4776" max="4776" width="1.46484375" style="1221" customWidth="1"/>
    <col min="4777" max="4777" width="12.46484375" style="1221" bestFit="1" customWidth="1"/>
    <col min="4778" max="4779" width="10.46484375" style="1221" customWidth="1"/>
    <col min="4780" max="5015" width="9.46484375" style="1221"/>
    <col min="5016" max="5016" width="47" style="1221" customWidth="1"/>
    <col min="5017" max="5028" width="13.46484375" style="1221" customWidth="1"/>
    <col min="5029" max="5029" width="1.46484375" style="1221" customWidth="1"/>
    <col min="5030" max="5031" width="12.46484375" style="1221" customWidth="1"/>
    <col min="5032" max="5032" width="1.46484375" style="1221" customWidth="1"/>
    <col min="5033" max="5033" width="12.46484375" style="1221" bestFit="1" customWidth="1"/>
    <col min="5034" max="5035" width="10.46484375" style="1221" customWidth="1"/>
    <col min="5036" max="5271" width="9.46484375" style="1221"/>
    <col min="5272" max="5272" width="47" style="1221" customWidth="1"/>
    <col min="5273" max="5284" width="13.46484375" style="1221" customWidth="1"/>
    <col min="5285" max="5285" width="1.46484375" style="1221" customWidth="1"/>
    <col min="5286" max="5287" width="12.46484375" style="1221" customWidth="1"/>
    <col min="5288" max="5288" width="1.46484375" style="1221" customWidth="1"/>
    <col min="5289" max="5289" width="12.46484375" style="1221" bestFit="1" customWidth="1"/>
    <col min="5290" max="5291" width="10.46484375" style="1221" customWidth="1"/>
    <col min="5292" max="5527" width="9.46484375" style="1221"/>
    <col min="5528" max="5528" width="47" style="1221" customWidth="1"/>
    <col min="5529" max="5540" width="13.46484375" style="1221" customWidth="1"/>
    <col min="5541" max="5541" width="1.46484375" style="1221" customWidth="1"/>
    <col min="5542" max="5543" width="12.46484375" style="1221" customWidth="1"/>
    <col min="5544" max="5544" width="1.46484375" style="1221" customWidth="1"/>
    <col min="5545" max="5545" width="12.46484375" style="1221" bestFit="1" customWidth="1"/>
    <col min="5546" max="5547" width="10.46484375" style="1221" customWidth="1"/>
    <col min="5548" max="5783" width="9.46484375" style="1221"/>
    <col min="5784" max="5784" width="47" style="1221" customWidth="1"/>
    <col min="5785" max="5796" width="13.46484375" style="1221" customWidth="1"/>
    <col min="5797" max="5797" width="1.46484375" style="1221" customWidth="1"/>
    <col min="5798" max="5799" width="12.46484375" style="1221" customWidth="1"/>
    <col min="5800" max="5800" width="1.46484375" style="1221" customWidth="1"/>
    <col min="5801" max="5801" width="12.46484375" style="1221" bestFit="1" customWidth="1"/>
    <col min="5802" max="5803" width="10.46484375" style="1221" customWidth="1"/>
    <col min="5804" max="6039" width="9.46484375" style="1221"/>
    <col min="6040" max="6040" width="47" style="1221" customWidth="1"/>
    <col min="6041" max="6052" width="13.46484375" style="1221" customWidth="1"/>
    <col min="6053" max="6053" width="1.46484375" style="1221" customWidth="1"/>
    <col min="6054" max="6055" width="12.46484375" style="1221" customWidth="1"/>
    <col min="6056" max="6056" width="1.46484375" style="1221" customWidth="1"/>
    <col min="6057" max="6057" width="12.46484375" style="1221" bestFit="1" customWidth="1"/>
    <col min="6058" max="6059" width="10.46484375" style="1221" customWidth="1"/>
    <col min="6060" max="6295" width="9.46484375" style="1221"/>
    <col min="6296" max="6296" width="47" style="1221" customWidth="1"/>
    <col min="6297" max="6308" width="13.46484375" style="1221" customWidth="1"/>
    <col min="6309" max="6309" width="1.46484375" style="1221" customWidth="1"/>
    <col min="6310" max="6311" width="12.46484375" style="1221" customWidth="1"/>
    <col min="6312" max="6312" width="1.46484375" style="1221" customWidth="1"/>
    <col min="6313" max="6313" width="12.46484375" style="1221" bestFit="1" customWidth="1"/>
    <col min="6314" max="6315" width="10.46484375" style="1221" customWidth="1"/>
    <col min="6316" max="6551" width="9.46484375" style="1221"/>
    <col min="6552" max="6552" width="47" style="1221" customWidth="1"/>
    <col min="6553" max="6564" width="13.46484375" style="1221" customWidth="1"/>
    <col min="6565" max="6565" width="1.46484375" style="1221" customWidth="1"/>
    <col min="6566" max="6567" width="12.46484375" style="1221" customWidth="1"/>
    <col min="6568" max="6568" width="1.46484375" style="1221" customWidth="1"/>
    <col min="6569" max="6569" width="12.46484375" style="1221" bestFit="1" customWidth="1"/>
    <col min="6570" max="6571" width="10.46484375" style="1221" customWidth="1"/>
    <col min="6572" max="6807" width="9.46484375" style="1221"/>
    <col min="6808" max="6808" width="47" style="1221" customWidth="1"/>
    <col min="6809" max="6820" width="13.46484375" style="1221" customWidth="1"/>
    <col min="6821" max="6821" width="1.46484375" style="1221" customWidth="1"/>
    <col min="6822" max="6823" width="12.46484375" style="1221" customWidth="1"/>
    <col min="6824" max="6824" width="1.46484375" style="1221" customWidth="1"/>
    <col min="6825" max="6825" width="12.46484375" style="1221" bestFit="1" customWidth="1"/>
    <col min="6826" max="6827" width="10.46484375" style="1221" customWidth="1"/>
    <col min="6828" max="7063" width="9.46484375" style="1221"/>
    <col min="7064" max="7064" width="47" style="1221" customWidth="1"/>
    <col min="7065" max="7076" width="13.46484375" style="1221" customWidth="1"/>
    <col min="7077" max="7077" width="1.46484375" style="1221" customWidth="1"/>
    <col min="7078" max="7079" width="12.46484375" style="1221" customWidth="1"/>
    <col min="7080" max="7080" width="1.46484375" style="1221" customWidth="1"/>
    <col min="7081" max="7081" width="12.46484375" style="1221" bestFit="1" customWidth="1"/>
    <col min="7082" max="7083" width="10.46484375" style="1221" customWidth="1"/>
    <col min="7084" max="7319" width="9.46484375" style="1221"/>
    <col min="7320" max="7320" width="47" style="1221" customWidth="1"/>
    <col min="7321" max="7332" width="13.46484375" style="1221" customWidth="1"/>
    <col min="7333" max="7333" width="1.46484375" style="1221" customWidth="1"/>
    <col min="7334" max="7335" width="12.46484375" style="1221" customWidth="1"/>
    <col min="7336" max="7336" width="1.46484375" style="1221" customWidth="1"/>
    <col min="7337" max="7337" width="12.46484375" style="1221" bestFit="1" customWidth="1"/>
    <col min="7338" max="7339" width="10.46484375" style="1221" customWidth="1"/>
    <col min="7340" max="7575" width="9.46484375" style="1221"/>
    <col min="7576" max="7576" width="47" style="1221" customWidth="1"/>
    <col min="7577" max="7588" width="13.46484375" style="1221" customWidth="1"/>
    <col min="7589" max="7589" width="1.46484375" style="1221" customWidth="1"/>
    <col min="7590" max="7591" width="12.46484375" style="1221" customWidth="1"/>
    <col min="7592" max="7592" width="1.46484375" style="1221" customWidth="1"/>
    <col min="7593" max="7593" width="12.46484375" style="1221" bestFit="1" customWidth="1"/>
    <col min="7594" max="7595" width="10.46484375" style="1221" customWidth="1"/>
    <col min="7596" max="7831" width="9.46484375" style="1221"/>
    <col min="7832" max="7832" width="47" style="1221" customWidth="1"/>
    <col min="7833" max="7844" width="13.46484375" style="1221" customWidth="1"/>
    <col min="7845" max="7845" width="1.46484375" style="1221" customWidth="1"/>
    <col min="7846" max="7847" width="12.46484375" style="1221" customWidth="1"/>
    <col min="7848" max="7848" width="1.46484375" style="1221" customWidth="1"/>
    <col min="7849" max="7849" width="12.46484375" style="1221" bestFit="1" customWidth="1"/>
    <col min="7850" max="7851" width="10.46484375" style="1221" customWidth="1"/>
    <col min="7852" max="8087" width="9.46484375" style="1221"/>
    <col min="8088" max="8088" width="47" style="1221" customWidth="1"/>
    <col min="8089" max="8100" width="13.46484375" style="1221" customWidth="1"/>
    <col min="8101" max="8101" width="1.46484375" style="1221" customWidth="1"/>
    <col min="8102" max="8103" width="12.46484375" style="1221" customWidth="1"/>
    <col min="8104" max="8104" width="1.46484375" style="1221" customWidth="1"/>
    <col min="8105" max="8105" width="12.46484375" style="1221" bestFit="1" customWidth="1"/>
    <col min="8106" max="8107" width="10.46484375" style="1221" customWidth="1"/>
    <col min="8108" max="8343" width="9.46484375" style="1221"/>
    <col min="8344" max="8344" width="47" style="1221" customWidth="1"/>
    <col min="8345" max="8356" width="13.46484375" style="1221" customWidth="1"/>
    <col min="8357" max="8357" width="1.46484375" style="1221" customWidth="1"/>
    <col min="8358" max="8359" width="12.46484375" style="1221" customWidth="1"/>
    <col min="8360" max="8360" width="1.46484375" style="1221" customWidth="1"/>
    <col min="8361" max="8361" width="12.46484375" style="1221" bestFit="1" customWidth="1"/>
    <col min="8362" max="8363" width="10.46484375" style="1221" customWidth="1"/>
    <col min="8364" max="8599" width="9.46484375" style="1221"/>
    <col min="8600" max="8600" width="47" style="1221" customWidth="1"/>
    <col min="8601" max="8612" width="13.46484375" style="1221" customWidth="1"/>
    <col min="8613" max="8613" width="1.46484375" style="1221" customWidth="1"/>
    <col min="8614" max="8615" width="12.46484375" style="1221" customWidth="1"/>
    <col min="8616" max="8616" width="1.46484375" style="1221" customWidth="1"/>
    <col min="8617" max="8617" width="12.46484375" style="1221" bestFit="1" customWidth="1"/>
    <col min="8618" max="8619" width="10.46484375" style="1221" customWidth="1"/>
    <col min="8620" max="8855" width="9.46484375" style="1221"/>
    <col min="8856" max="8856" width="47" style="1221" customWidth="1"/>
    <col min="8857" max="8868" width="13.46484375" style="1221" customWidth="1"/>
    <col min="8869" max="8869" width="1.46484375" style="1221" customWidth="1"/>
    <col min="8870" max="8871" width="12.46484375" style="1221" customWidth="1"/>
    <col min="8872" max="8872" width="1.46484375" style="1221" customWidth="1"/>
    <col min="8873" max="8873" width="12.46484375" style="1221" bestFit="1" customWidth="1"/>
    <col min="8874" max="8875" width="10.46484375" style="1221" customWidth="1"/>
    <col min="8876" max="9111" width="9.46484375" style="1221"/>
    <col min="9112" max="9112" width="47" style="1221" customWidth="1"/>
    <col min="9113" max="9124" width="13.46484375" style="1221" customWidth="1"/>
    <col min="9125" max="9125" width="1.46484375" style="1221" customWidth="1"/>
    <col min="9126" max="9127" width="12.46484375" style="1221" customWidth="1"/>
    <col min="9128" max="9128" width="1.46484375" style="1221" customWidth="1"/>
    <col min="9129" max="9129" width="12.46484375" style="1221" bestFit="1" customWidth="1"/>
    <col min="9130" max="9131" width="10.46484375" style="1221" customWidth="1"/>
    <col min="9132" max="9367" width="9.46484375" style="1221"/>
    <col min="9368" max="9368" width="47" style="1221" customWidth="1"/>
    <col min="9369" max="9380" width="13.46484375" style="1221" customWidth="1"/>
    <col min="9381" max="9381" width="1.46484375" style="1221" customWidth="1"/>
    <col min="9382" max="9383" width="12.46484375" style="1221" customWidth="1"/>
    <col min="9384" max="9384" width="1.46484375" style="1221" customWidth="1"/>
    <col min="9385" max="9385" width="12.46484375" style="1221" bestFit="1" customWidth="1"/>
    <col min="9386" max="9387" width="10.46484375" style="1221" customWidth="1"/>
    <col min="9388" max="9623" width="9.46484375" style="1221"/>
    <col min="9624" max="9624" width="47" style="1221" customWidth="1"/>
    <col min="9625" max="9636" width="13.46484375" style="1221" customWidth="1"/>
    <col min="9637" max="9637" width="1.46484375" style="1221" customWidth="1"/>
    <col min="9638" max="9639" width="12.46484375" style="1221" customWidth="1"/>
    <col min="9640" max="9640" width="1.46484375" style="1221" customWidth="1"/>
    <col min="9641" max="9641" width="12.46484375" style="1221" bestFit="1" customWidth="1"/>
    <col min="9642" max="9643" width="10.46484375" style="1221" customWidth="1"/>
    <col min="9644" max="9879" width="9.46484375" style="1221"/>
    <col min="9880" max="9880" width="47" style="1221" customWidth="1"/>
    <col min="9881" max="9892" width="13.46484375" style="1221" customWidth="1"/>
    <col min="9893" max="9893" width="1.46484375" style="1221" customWidth="1"/>
    <col min="9894" max="9895" width="12.46484375" style="1221" customWidth="1"/>
    <col min="9896" max="9896" width="1.46484375" style="1221" customWidth="1"/>
    <col min="9897" max="9897" width="12.46484375" style="1221" bestFit="1" customWidth="1"/>
    <col min="9898" max="9899" width="10.46484375" style="1221" customWidth="1"/>
    <col min="9900" max="10135" width="9.46484375" style="1221"/>
    <col min="10136" max="10136" width="47" style="1221" customWidth="1"/>
    <col min="10137" max="10148" width="13.46484375" style="1221" customWidth="1"/>
    <col min="10149" max="10149" width="1.46484375" style="1221" customWidth="1"/>
    <col min="10150" max="10151" width="12.46484375" style="1221" customWidth="1"/>
    <col min="10152" max="10152" width="1.46484375" style="1221" customWidth="1"/>
    <col min="10153" max="10153" width="12.46484375" style="1221" bestFit="1" customWidth="1"/>
    <col min="10154" max="10155" width="10.46484375" style="1221" customWidth="1"/>
    <col min="10156" max="10391" width="9.46484375" style="1221"/>
    <col min="10392" max="10392" width="47" style="1221" customWidth="1"/>
    <col min="10393" max="10404" width="13.46484375" style="1221" customWidth="1"/>
    <col min="10405" max="10405" width="1.46484375" style="1221" customWidth="1"/>
    <col min="10406" max="10407" width="12.46484375" style="1221" customWidth="1"/>
    <col min="10408" max="10408" width="1.46484375" style="1221" customWidth="1"/>
    <col min="10409" max="10409" width="12.46484375" style="1221" bestFit="1" customWidth="1"/>
    <col min="10410" max="10411" width="10.46484375" style="1221" customWidth="1"/>
    <col min="10412" max="10647" width="9.46484375" style="1221"/>
    <col min="10648" max="10648" width="47" style="1221" customWidth="1"/>
    <col min="10649" max="10660" width="13.46484375" style="1221" customWidth="1"/>
    <col min="10661" max="10661" width="1.46484375" style="1221" customWidth="1"/>
    <col min="10662" max="10663" width="12.46484375" style="1221" customWidth="1"/>
    <col min="10664" max="10664" width="1.46484375" style="1221" customWidth="1"/>
    <col min="10665" max="10665" width="12.46484375" style="1221" bestFit="1" customWidth="1"/>
    <col min="10666" max="10667" width="10.46484375" style="1221" customWidth="1"/>
    <col min="10668" max="10903" width="9.46484375" style="1221"/>
    <col min="10904" max="10904" width="47" style="1221" customWidth="1"/>
    <col min="10905" max="10916" width="13.46484375" style="1221" customWidth="1"/>
    <col min="10917" max="10917" width="1.46484375" style="1221" customWidth="1"/>
    <col min="10918" max="10919" width="12.46484375" style="1221" customWidth="1"/>
    <col min="10920" max="10920" width="1.46484375" style="1221" customWidth="1"/>
    <col min="10921" max="10921" width="12.46484375" style="1221" bestFit="1" customWidth="1"/>
    <col min="10922" max="10923" width="10.46484375" style="1221" customWidth="1"/>
    <col min="10924" max="11159" width="9.46484375" style="1221"/>
    <col min="11160" max="11160" width="47" style="1221" customWidth="1"/>
    <col min="11161" max="11172" width="13.46484375" style="1221" customWidth="1"/>
    <col min="11173" max="11173" width="1.46484375" style="1221" customWidth="1"/>
    <col min="11174" max="11175" width="12.46484375" style="1221" customWidth="1"/>
    <col min="11176" max="11176" width="1.46484375" style="1221" customWidth="1"/>
    <col min="11177" max="11177" width="12.46484375" style="1221" bestFit="1" customWidth="1"/>
    <col min="11178" max="11179" width="10.46484375" style="1221" customWidth="1"/>
    <col min="11180" max="11415" width="9.46484375" style="1221"/>
    <col min="11416" max="11416" width="47" style="1221" customWidth="1"/>
    <col min="11417" max="11428" width="13.46484375" style="1221" customWidth="1"/>
    <col min="11429" max="11429" width="1.46484375" style="1221" customWidth="1"/>
    <col min="11430" max="11431" width="12.46484375" style="1221" customWidth="1"/>
    <col min="11432" max="11432" width="1.46484375" style="1221" customWidth="1"/>
    <col min="11433" max="11433" width="12.46484375" style="1221" bestFit="1" customWidth="1"/>
    <col min="11434" max="11435" width="10.46484375" style="1221" customWidth="1"/>
    <col min="11436" max="11671" width="9.46484375" style="1221"/>
    <col min="11672" max="11672" width="47" style="1221" customWidth="1"/>
    <col min="11673" max="11684" width="13.46484375" style="1221" customWidth="1"/>
    <col min="11685" max="11685" width="1.46484375" style="1221" customWidth="1"/>
    <col min="11686" max="11687" width="12.46484375" style="1221" customWidth="1"/>
    <col min="11688" max="11688" width="1.46484375" style="1221" customWidth="1"/>
    <col min="11689" max="11689" width="12.46484375" style="1221" bestFit="1" customWidth="1"/>
    <col min="11690" max="11691" width="10.46484375" style="1221" customWidth="1"/>
    <col min="11692" max="11927" width="9.46484375" style="1221"/>
    <col min="11928" max="11928" width="47" style="1221" customWidth="1"/>
    <col min="11929" max="11940" width="13.46484375" style="1221" customWidth="1"/>
    <col min="11941" max="11941" width="1.46484375" style="1221" customWidth="1"/>
    <col min="11942" max="11943" width="12.46484375" style="1221" customWidth="1"/>
    <col min="11944" max="11944" width="1.46484375" style="1221" customWidth="1"/>
    <col min="11945" max="11945" width="12.46484375" style="1221" bestFit="1" customWidth="1"/>
    <col min="11946" max="11947" width="10.46484375" style="1221" customWidth="1"/>
    <col min="11948" max="12183" width="9.46484375" style="1221"/>
    <col min="12184" max="12184" width="47" style="1221" customWidth="1"/>
    <col min="12185" max="12196" width="13.46484375" style="1221" customWidth="1"/>
    <col min="12197" max="12197" width="1.46484375" style="1221" customWidth="1"/>
    <col min="12198" max="12199" width="12.46484375" style="1221" customWidth="1"/>
    <col min="12200" max="12200" width="1.46484375" style="1221" customWidth="1"/>
    <col min="12201" max="12201" width="12.46484375" style="1221" bestFit="1" customWidth="1"/>
    <col min="12202" max="12203" width="10.46484375" style="1221" customWidth="1"/>
    <col min="12204" max="12439" width="9.46484375" style="1221"/>
    <col min="12440" max="12440" width="47" style="1221" customWidth="1"/>
    <col min="12441" max="12452" width="13.46484375" style="1221" customWidth="1"/>
    <col min="12453" max="12453" width="1.46484375" style="1221" customWidth="1"/>
    <col min="12454" max="12455" width="12.46484375" style="1221" customWidth="1"/>
    <col min="12456" max="12456" width="1.46484375" style="1221" customWidth="1"/>
    <col min="12457" max="12457" width="12.46484375" style="1221" bestFit="1" customWidth="1"/>
    <col min="12458" max="12459" width="10.46484375" style="1221" customWidth="1"/>
    <col min="12460" max="12695" width="9.46484375" style="1221"/>
    <col min="12696" max="12696" width="47" style="1221" customWidth="1"/>
    <col min="12697" max="12708" width="13.46484375" style="1221" customWidth="1"/>
    <col min="12709" max="12709" width="1.46484375" style="1221" customWidth="1"/>
    <col min="12710" max="12711" width="12.46484375" style="1221" customWidth="1"/>
    <col min="12712" max="12712" width="1.46484375" style="1221" customWidth="1"/>
    <col min="12713" max="12713" width="12.46484375" style="1221" bestFit="1" customWidth="1"/>
    <col min="12714" max="12715" width="10.46484375" style="1221" customWidth="1"/>
    <col min="12716" max="12951" width="9.46484375" style="1221"/>
    <col min="12952" max="12952" width="47" style="1221" customWidth="1"/>
    <col min="12953" max="12964" width="13.46484375" style="1221" customWidth="1"/>
    <col min="12965" max="12965" width="1.46484375" style="1221" customWidth="1"/>
    <col min="12966" max="12967" width="12.46484375" style="1221" customWidth="1"/>
    <col min="12968" max="12968" width="1.46484375" style="1221" customWidth="1"/>
    <col min="12969" max="12969" width="12.46484375" style="1221" bestFit="1" customWidth="1"/>
    <col min="12970" max="12971" width="10.46484375" style="1221" customWidth="1"/>
    <col min="12972" max="13207" width="9.46484375" style="1221"/>
    <col min="13208" max="13208" width="47" style="1221" customWidth="1"/>
    <col min="13209" max="13220" width="13.46484375" style="1221" customWidth="1"/>
    <col min="13221" max="13221" width="1.46484375" style="1221" customWidth="1"/>
    <col min="13222" max="13223" width="12.46484375" style="1221" customWidth="1"/>
    <col min="13224" max="13224" width="1.46484375" style="1221" customWidth="1"/>
    <col min="13225" max="13225" width="12.46484375" style="1221" bestFit="1" customWidth="1"/>
    <col min="13226" max="13227" width="10.46484375" style="1221" customWidth="1"/>
    <col min="13228" max="13463" width="9.46484375" style="1221"/>
    <col min="13464" max="13464" width="47" style="1221" customWidth="1"/>
    <col min="13465" max="13476" width="13.46484375" style="1221" customWidth="1"/>
    <col min="13477" max="13477" width="1.46484375" style="1221" customWidth="1"/>
    <col min="13478" max="13479" width="12.46484375" style="1221" customWidth="1"/>
    <col min="13480" max="13480" width="1.46484375" style="1221" customWidth="1"/>
    <col min="13481" max="13481" width="12.46484375" style="1221" bestFit="1" customWidth="1"/>
    <col min="13482" max="13483" width="10.46484375" style="1221" customWidth="1"/>
    <col min="13484" max="13719" width="9.46484375" style="1221"/>
    <col min="13720" max="13720" width="47" style="1221" customWidth="1"/>
    <col min="13721" max="13732" width="13.46484375" style="1221" customWidth="1"/>
    <col min="13733" max="13733" width="1.46484375" style="1221" customWidth="1"/>
    <col min="13734" max="13735" width="12.46484375" style="1221" customWidth="1"/>
    <col min="13736" max="13736" width="1.46484375" style="1221" customWidth="1"/>
    <col min="13737" max="13737" width="12.46484375" style="1221" bestFit="1" customWidth="1"/>
    <col min="13738" max="13739" width="10.46484375" style="1221" customWidth="1"/>
    <col min="13740" max="13975" width="9.46484375" style="1221"/>
    <col min="13976" max="13976" width="47" style="1221" customWidth="1"/>
    <col min="13977" max="13988" width="13.46484375" style="1221" customWidth="1"/>
    <col min="13989" max="13989" width="1.46484375" style="1221" customWidth="1"/>
    <col min="13990" max="13991" width="12.46484375" style="1221" customWidth="1"/>
    <col min="13992" max="13992" width="1.46484375" style="1221" customWidth="1"/>
    <col min="13993" max="13993" width="12.46484375" style="1221" bestFit="1" customWidth="1"/>
    <col min="13994" max="13995" width="10.46484375" style="1221" customWidth="1"/>
    <col min="13996" max="14231" width="9.46484375" style="1221"/>
    <col min="14232" max="14232" width="47" style="1221" customWidth="1"/>
    <col min="14233" max="14244" width="13.46484375" style="1221" customWidth="1"/>
    <col min="14245" max="14245" width="1.46484375" style="1221" customWidth="1"/>
    <col min="14246" max="14247" width="12.46484375" style="1221" customWidth="1"/>
    <col min="14248" max="14248" width="1.46484375" style="1221" customWidth="1"/>
    <col min="14249" max="14249" width="12.46484375" style="1221" bestFit="1" customWidth="1"/>
    <col min="14250" max="14251" width="10.46484375" style="1221" customWidth="1"/>
    <col min="14252" max="14487" width="9.46484375" style="1221"/>
    <col min="14488" max="14488" width="47" style="1221" customWidth="1"/>
    <col min="14489" max="14500" width="13.46484375" style="1221" customWidth="1"/>
    <col min="14501" max="14501" width="1.46484375" style="1221" customWidth="1"/>
    <col min="14502" max="14503" width="12.46484375" style="1221" customWidth="1"/>
    <col min="14504" max="14504" width="1.46484375" style="1221" customWidth="1"/>
    <col min="14505" max="14505" width="12.46484375" style="1221" bestFit="1" customWidth="1"/>
    <col min="14506" max="14507" width="10.46484375" style="1221" customWidth="1"/>
    <col min="14508" max="14743" width="9.46484375" style="1221"/>
    <col min="14744" max="14744" width="47" style="1221" customWidth="1"/>
    <col min="14745" max="14756" width="13.46484375" style="1221" customWidth="1"/>
    <col min="14757" max="14757" width="1.46484375" style="1221" customWidth="1"/>
    <col min="14758" max="14759" width="12.46484375" style="1221" customWidth="1"/>
    <col min="14760" max="14760" width="1.46484375" style="1221" customWidth="1"/>
    <col min="14761" max="14761" width="12.46484375" style="1221" bestFit="1" customWidth="1"/>
    <col min="14762" max="14763" width="10.46484375" style="1221" customWidth="1"/>
    <col min="14764" max="14999" width="9.46484375" style="1221"/>
    <col min="15000" max="15000" width="47" style="1221" customWidth="1"/>
    <col min="15001" max="15012" width="13.46484375" style="1221" customWidth="1"/>
    <col min="15013" max="15013" width="1.46484375" style="1221" customWidth="1"/>
    <col min="15014" max="15015" width="12.46484375" style="1221" customWidth="1"/>
    <col min="15016" max="15016" width="1.46484375" style="1221" customWidth="1"/>
    <col min="15017" max="15017" width="12.46484375" style="1221" bestFit="1" customWidth="1"/>
    <col min="15018" max="15019" width="10.46484375" style="1221" customWidth="1"/>
    <col min="15020" max="15255" width="9.46484375" style="1221"/>
    <col min="15256" max="15256" width="47" style="1221" customWidth="1"/>
    <col min="15257" max="15268" width="13.46484375" style="1221" customWidth="1"/>
    <col min="15269" max="15269" width="1.46484375" style="1221" customWidth="1"/>
    <col min="15270" max="15271" width="12.46484375" style="1221" customWidth="1"/>
    <col min="15272" max="15272" width="1.46484375" style="1221" customWidth="1"/>
    <col min="15273" max="15273" width="12.46484375" style="1221" bestFit="1" customWidth="1"/>
    <col min="15274" max="15275" width="10.46484375" style="1221" customWidth="1"/>
    <col min="15276" max="15511" width="9.46484375" style="1221"/>
    <col min="15512" max="15512" width="47" style="1221" customWidth="1"/>
    <col min="15513" max="15524" width="13.46484375" style="1221" customWidth="1"/>
    <col min="15525" max="15525" width="1.46484375" style="1221" customWidth="1"/>
    <col min="15526" max="15527" width="12.46484375" style="1221" customWidth="1"/>
    <col min="15528" max="15528" width="1.46484375" style="1221" customWidth="1"/>
    <col min="15529" max="15529" width="12.46484375" style="1221" bestFit="1" customWidth="1"/>
    <col min="15530" max="15531" width="10.46484375" style="1221" customWidth="1"/>
    <col min="15532" max="15767" width="9.46484375" style="1221"/>
    <col min="15768" max="15768" width="47" style="1221" customWidth="1"/>
    <col min="15769" max="15780" width="13.46484375" style="1221" customWidth="1"/>
    <col min="15781" max="15781" width="1.46484375" style="1221" customWidth="1"/>
    <col min="15782" max="15783" width="12.46484375" style="1221" customWidth="1"/>
    <col min="15784" max="15784" width="1.46484375" style="1221" customWidth="1"/>
    <col min="15785" max="15785" width="12.46484375" style="1221" bestFit="1" customWidth="1"/>
    <col min="15786" max="15787" width="10.46484375" style="1221" customWidth="1"/>
    <col min="15788" max="16023" width="9.46484375" style="1221"/>
    <col min="16024" max="16024" width="47" style="1221" customWidth="1"/>
    <col min="16025" max="16036" width="13.46484375" style="1221" customWidth="1"/>
    <col min="16037" max="16037" width="1.46484375" style="1221" customWidth="1"/>
    <col min="16038" max="16039" width="12.46484375" style="1221" customWidth="1"/>
    <col min="16040" max="16040" width="1.46484375" style="1221" customWidth="1"/>
    <col min="16041" max="16041" width="12.46484375" style="1221" bestFit="1" customWidth="1"/>
    <col min="16042" max="16043" width="10.46484375" style="1221" customWidth="1"/>
    <col min="16044" max="16384" width="9.46484375" style="1221"/>
  </cols>
  <sheetData>
    <row r="1" spans="2:12" ht="42" customHeight="1">
      <c r="B1" s="5926" t="s">
        <v>1846</v>
      </c>
      <c r="C1" s="5926"/>
      <c r="D1" s="5926"/>
      <c r="E1" s="5926"/>
      <c r="F1" s="5926"/>
      <c r="G1" s="5926"/>
      <c r="H1" s="5926"/>
      <c r="I1" s="5926"/>
      <c r="J1" s="5926"/>
      <c r="K1" s="1220"/>
      <c r="L1" s="1220"/>
    </row>
    <row r="2" spans="2:12" ht="42" customHeight="1">
      <c r="B2" s="5926" t="s">
        <v>2362</v>
      </c>
      <c r="C2" s="5926"/>
      <c r="D2" s="5926"/>
      <c r="E2" s="5926"/>
      <c r="F2" s="5926"/>
      <c r="G2" s="5926"/>
      <c r="H2" s="5926"/>
      <c r="I2" s="5926"/>
      <c r="J2" s="5926"/>
    </row>
    <row r="3" spans="2:12" ht="42" customHeight="1">
      <c r="B3" s="5926" t="s">
        <v>1048</v>
      </c>
      <c r="C3" s="5926"/>
      <c r="D3" s="5926"/>
      <c r="E3" s="5926"/>
      <c r="F3" s="5926"/>
      <c r="G3" s="5926"/>
      <c r="H3" s="5926"/>
      <c r="I3" s="5926"/>
      <c r="J3" s="5926"/>
    </row>
    <row r="4" spans="2:12" ht="30" customHeight="1" thickBot="1">
      <c r="B4" s="1969"/>
    </row>
    <row r="5" spans="2:12" s="1222" customFormat="1" ht="45" customHeight="1" thickBot="1">
      <c r="B5" s="1229" t="s">
        <v>418</v>
      </c>
      <c r="C5" s="1968">
        <v>2016</v>
      </c>
      <c r="D5" s="1968">
        <v>2017</v>
      </c>
      <c r="E5" s="1968">
        <v>2018</v>
      </c>
      <c r="F5" s="1968">
        <v>2019</v>
      </c>
      <c r="G5" s="1968">
        <v>2020</v>
      </c>
      <c r="H5" s="1968">
        <v>2021</v>
      </c>
      <c r="I5" s="2984">
        <v>2022</v>
      </c>
      <c r="J5" s="3255" t="s">
        <v>1959</v>
      </c>
    </row>
    <row r="6" spans="2:12" s="1224" customFormat="1" ht="45" customHeight="1">
      <c r="B6" s="1970" t="s">
        <v>1425</v>
      </c>
      <c r="C6" s="4837">
        <v>325.04744469999997</v>
      </c>
      <c r="D6" s="4837">
        <v>594.72802999999999</v>
      </c>
      <c r="E6" s="4837">
        <v>833.74205000000006</v>
      </c>
      <c r="F6" s="4837">
        <v>951.7916113</v>
      </c>
      <c r="G6" s="4837">
        <v>1070.4860249999999</v>
      </c>
      <c r="H6" s="4837">
        <v>1474.4892970000001</v>
      </c>
      <c r="I6" s="4837">
        <v>1587.99</v>
      </c>
      <c r="J6" s="4838">
        <v>2421.1999999999998</v>
      </c>
    </row>
    <row r="7" spans="2:12" ht="45" customHeight="1">
      <c r="B7" s="1971" t="s">
        <v>1426</v>
      </c>
      <c r="C7" s="4839">
        <v>780.81844469999999</v>
      </c>
      <c r="D7" s="4839">
        <v>830.40003000000002</v>
      </c>
      <c r="E7" s="4839">
        <v>742.48305000000005</v>
      </c>
      <c r="F7" s="4839">
        <v>683.17761129999997</v>
      </c>
      <c r="G7" s="4839">
        <v>605.72202500000003</v>
      </c>
      <c r="H7" s="4839">
        <v>946.96529699999996</v>
      </c>
      <c r="I7" s="4839">
        <v>837.02</v>
      </c>
      <c r="J7" s="4840">
        <v>1004.03</v>
      </c>
    </row>
    <row r="8" spans="2:12" ht="45" customHeight="1">
      <c r="B8" s="1972" t="s">
        <v>1427</v>
      </c>
      <c r="C8" s="4839">
        <v>780.82584889999998</v>
      </c>
      <c r="D8" s="4839">
        <v>852.88374999999996</v>
      </c>
      <c r="E8" s="4839">
        <v>742.53459999999995</v>
      </c>
      <c r="F8" s="4839">
        <v>683.31746499999997</v>
      </c>
      <c r="G8" s="4839">
        <v>732.28349710000009</v>
      </c>
      <c r="H8" s="4841">
        <v>1074.9629219999999</v>
      </c>
      <c r="I8" s="4839">
        <v>961.00590499999998</v>
      </c>
      <c r="J8" s="4840">
        <v>1056.8499999999999</v>
      </c>
    </row>
    <row r="9" spans="2:12" ht="45" customHeight="1">
      <c r="B9" s="1972" t="s">
        <v>1428</v>
      </c>
      <c r="C9" s="4839">
        <v>7.4041899999999997E-3</v>
      </c>
      <c r="D9" s="4839">
        <v>22.483720000000002</v>
      </c>
      <c r="E9" s="4839">
        <v>5.1540000000000002E-2</v>
      </c>
      <c r="F9" s="4839">
        <v>0.13985371000000002</v>
      </c>
      <c r="G9" s="4839">
        <v>126.5614721</v>
      </c>
      <c r="H9" s="4839">
        <v>127.99762489999999</v>
      </c>
      <c r="I9" s="4839">
        <v>123.99</v>
      </c>
      <c r="J9" s="3106">
        <v>52.83</v>
      </c>
    </row>
    <row r="10" spans="2:12" ht="45" customHeight="1">
      <c r="B10" s="1971" t="s">
        <v>1429</v>
      </c>
      <c r="C10" s="4839">
        <v>-455.77100000000002</v>
      </c>
      <c r="D10" s="4839">
        <v>-235.672</v>
      </c>
      <c r="E10" s="4839">
        <v>91.259</v>
      </c>
      <c r="F10" s="4839">
        <v>268.61399999999998</v>
      </c>
      <c r="G10" s="4839">
        <v>464.76400000000001</v>
      </c>
      <c r="H10" s="4839">
        <v>527.524</v>
      </c>
      <c r="I10" s="4839">
        <v>750.97400000000005</v>
      </c>
      <c r="J10" s="4840">
        <v>1417.17</v>
      </c>
    </row>
    <row r="11" spans="2:12" ht="45" customHeight="1">
      <c r="B11" s="1972" t="s">
        <v>1430</v>
      </c>
      <c r="C11" s="4841">
        <v>1373.4290000000001</v>
      </c>
      <c r="D11" s="4841">
        <v>1529.117</v>
      </c>
      <c r="E11" s="4841">
        <v>1892.2560000000001</v>
      </c>
      <c r="F11" s="4841">
        <v>2067.607</v>
      </c>
      <c r="G11" s="4841">
        <v>1817.751</v>
      </c>
      <c r="H11" s="4841">
        <v>1909.0989999999999</v>
      </c>
      <c r="I11" s="4841">
        <v>2343.5</v>
      </c>
      <c r="J11" s="4840">
        <v>3002.21</v>
      </c>
    </row>
    <row r="12" spans="2:12" ht="45" customHeight="1">
      <c r="B12" s="1237" t="s">
        <v>1431</v>
      </c>
      <c r="C12" s="4841">
        <v>1829.2</v>
      </c>
      <c r="D12" s="4841">
        <v>1764.789</v>
      </c>
      <c r="E12" s="4841">
        <v>1800.9970000000001</v>
      </c>
      <c r="F12" s="4841">
        <v>1798.9929999999999</v>
      </c>
      <c r="G12" s="4841">
        <v>1352.9870000000001</v>
      </c>
      <c r="H12" s="4841">
        <v>1381.575</v>
      </c>
      <c r="I12" s="4841">
        <v>1592.49</v>
      </c>
      <c r="J12" s="4840">
        <v>1585.05</v>
      </c>
    </row>
    <row r="13" spans="2:12" ht="45" customHeight="1">
      <c r="B13" s="1973"/>
      <c r="C13" s="4839"/>
      <c r="D13" s="4839"/>
      <c r="E13" s="4839"/>
      <c r="F13" s="4839"/>
      <c r="G13" s="4839"/>
      <c r="H13" s="4839"/>
      <c r="I13" s="4839"/>
      <c r="J13" s="3106"/>
    </row>
    <row r="14" spans="2:12" s="1224" customFormat="1" ht="45" customHeight="1">
      <c r="B14" s="1974" t="s">
        <v>1432</v>
      </c>
      <c r="C14" s="4842">
        <v>2938.3983157000002</v>
      </c>
      <c r="D14" s="4842">
        <v>2720.59411</v>
      </c>
      <c r="E14" s="4842">
        <v>2610.4966099999997</v>
      </c>
      <c r="F14" s="4842">
        <v>2624.3819530000001</v>
      </c>
      <c r="G14" s="4842">
        <v>2051.882779</v>
      </c>
      <c r="H14" s="4842">
        <v>2112.0008315</v>
      </c>
      <c r="I14" s="4842">
        <v>2143.9299999999998</v>
      </c>
      <c r="J14" s="4843">
        <v>1722.6</v>
      </c>
    </row>
    <row r="15" spans="2:12" ht="45" customHeight="1">
      <c r="B15" s="1973"/>
      <c r="C15" s="4841" t="s">
        <v>1019</v>
      </c>
      <c r="D15" s="4841" t="s">
        <v>1019</v>
      </c>
      <c r="E15" s="4841" t="s">
        <v>1019</v>
      </c>
      <c r="F15" s="4841" t="s">
        <v>1019</v>
      </c>
      <c r="G15" s="4841" t="s">
        <v>1019</v>
      </c>
      <c r="H15" s="4841" t="s">
        <v>1019</v>
      </c>
      <c r="I15" s="4841" t="s">
        <v>1019</v>
      </c>
      <c r="J15" s="4843"/>
    </row>
    <row r="16" spans="2:12" s="1224" customFormat="1" ht="45" customHeight="1">
      <c r="B16" s="1975" t="s">
        <v>1433</v>
      </c>
      <c r="C16" s="4842">
        <v>3115.11721343</v>
      </c>
      <c r="D16" s="4842">
        <v>3010.3461499999999</v>
      </c>
      <c r="E16" s="4842">
        <v>2939.43523</v>
      </c>
      <c r="F16" s="4842">
        <v>2942.4448865600002</v>
      </c>
      <c r="G16" s="4842">
        <v>3068.1045952499999</v>
      </c>
      <c r="H16" s="4842">
        <v>2977.9433935400002</v>
      </c>
      <c r="I16" s="4842">
        <v>2955.9</v>
      </c>
      <c r="J16" s="4843">
        <v>2767.92</v>
      </c>
    </row>
    <row r="17" spans="2:10" ht="45" customHeight="1">
      <c r="B17" s="1973"/>
      <c r="C17" s="4839"/>
      <c r="D17" s="4839"/>
      <c r="E17" s="4839"/>
      <c r="F17" s="4839"/>
      <c r="G17" s="4839"/>
      <c r="H17" s="4839"/>
      <c r="I17" s="4839"/>
      <c r="J17" s="3106"/>
    </row>
    <row r="18" spans="2:10" ht="45" customHeight="1">
      <c r="B18" s="1245" t="s">
        <v>1434</v>
      </c>
      <c r="C18" s="4839">
        <v>-178.86478657000001</v>
      </c>
      <c r="D18" s="4839">
        <v>-216.35685000000001</v>
      </c>
      <c r="E18" s="4839">
        <v>-252.88377</v>
      </c>
      <c r="F18" s="4839">
        <v>-180.19511344</v>
      </c>
      <c r="G18" s="4839">
        <v>-135.48640474999999</v>
      </c>
      <c r="H18" s="4839">
        <v>-248.66560646000002</v>
      </c>
      <c r="I18" s="4839">
        <v>-323.56</v>
      </c>
      <c r="J18" s="3106">
        <v>-600.94000000000005</v>
      </c>
    </row>
    <row r="19" spans="2:10" ht="45" customHeight="1">
      <c r="B19" s="1972" t="s">
        <v>1354</v>
      </c>
      <c r="C19" s="4839">
        <v>208.11921343</v>
      </c>
      <c r="D19" s="4839">
        <v>196.48314999999999</v>
      </c>
      <c r="E19" s="4839">
        <v>213.69223000000002</v>
      </c>
      <c r="F19" s="4839">
        <v>255.53288656000001</v>
      </c>
      <c r="G19" s="4839">
        <v>300.81159525000004</v>
      </c>
      <c r="H19" s="4839">
        <v>253.39439353999998</v>
      </c>
      <c r="I19" s="4839">
        <v>201.79</v>
      </c>
      <c r="J19" s="3106">
        <v>-43.35</v>
      </c>
    </row>
    <row r="20" spans="2:10" ht="45" customHeight="1">
      <c r="B20" s="1237" t="s">
        <v>1355</v>
      </c>
      <c r="C20" s="4839">
        <v>-3.1360000000000001</v>
      </c>
      <c r="D20" s="4839">
        <v>-4.7409999999999997</v>
      </c>
      <c r="E20" s="4839">
        <v>-3.0630000000000002</v>
      </c>
      <c r="F20" s="4839">
        <v>-3.3460000000000001</v>
      </c>
      <c r="G20" s="4839">
        <v>-1.71</v>
      </c>
      <c r="H20" s="4839">
        <v>11.933</v>
      </c>
      <c r="I20" s="4839">
        <v>2.44</v>
      </c>
      <c r="J20" s="3106">
        <v>55.41</v>
      </c>
    </row>
    <row r="21" spans="2:10" ht="45" customHeight="1">
      <c r="B21" s="1237" t="s">
        <v>1356</v>
      </c>
      <c r="C21" s="4839">
        <v>-383.84800000000001</v>
      </c>
      <c r="D21" s="4839">
        <v>-408.09899999999999</v>
      </c>
      <c r="E21" s="4839">
        <v>-463.51299999999998</v>
      </c>
      <c r="F21" s="4839">
        <v>-432.38200000000001</v>
      </c>
      <c r="G21" s="4839">
        <v>-391.54500000000002</v>
      </c>
      <c r="H21" s="4839">
        <v>-480.714</v>
      </c>
      <c r="I21" s="4839">
        <v>-511.98</v>
      </c>
      <c r="J21" s="3106">
        <v>-602.4</v>
      </c>
    </row>
    <row r="22" spans="2:10" s="1224" customFormat="1" ht="45" customHeight="1">
      <c r="B22" s="1976" t="s">
        <v>1357</v>
      </c>
      <c r="C22" s="4839" t="s">
        <v>1019</v>
      </c>
      <c r="D22" s="4839" t="s">
        <v>1019</v>
      </c>
      <c r="E22" s="4839" t="s">
        <v>1019</v>
      </c>
      <c r="F22" s="4839" t="s">
        <v>1019</v>
      </c>
      <c r="G22" s="4839">
        <v>-43.042999999999999</v>
      </c>
      <c r="H22" s="4839">
        <v>-33.279000000000003</v>
      </c>
      <c r="I22" s="4839">
        <v>-15.81</v>
      </c>
      <c r="J22" s="3106">
        <v>-10.77</v>
      </c>
    </row>
    <row r="23" spans="2:10" s="1224" customFormat="1" ht="45" customHeight="1">
      <c r="B23" s="1970" t="s">
        <v>1435</v>
      </c>
      <c r="C23" s="4837">
        <v>370.49799999999999</v>
      </c>
      <c r="D23" s="4837">
        <v>391.44241999999997</v>
      </c>
      <c r="E23" s="4837">
        <v>384.84300000000002</v>
      </c>
      <c r="F23" s="4837">
        <v>394.84774016</v>
      </c>
      <c r="G23" s="4837">
        <v>530.72475589999999</v>
      </c>
      <c r="H23" s="4837">
        <v>467.9997181</v>
      </c>
      <c r="I23" s="4837">
        <v>570.28</v>
      </c>
      <c r="J23" s="3107">
        <v>415.44</v>
      </c>
    </row>
    <row r="24" spans="2:10" s="1224" customFormat="1" ht="46.15">
      <c r="B24" s="1245" t="s">
        <v>1436</v>
      </c>
      <c r="C24" s="4839">
        <v>0</v>
      </c>
      <c r="D24" s="4839">
        <v>22.441419999999997</v>
      </c>
      <c r="E24" s="4839">
        <v>0</v>
      </c>
      <c r="F24" s="4839">
        <v>7.5740160000000001E-2</v>
      </c>
      <c r="G24" s="4839">
        <v>126.4767559</v>
      </c>
      <c r="H24" s="4839">
        <v>127.91271809999999</v>
      </c>
      <c r="I24" s="4839">
        <v>123.91</v>
      </c>
      <c r="J24" s="3106">
        <v>52.73</v>
      </c>
    </row>
    <row r="25" spans="2:10" ht="45" customHeight="1">
      <c r="B25" s="1971" t="s">
        <v>1437</v>
      </c>
      <c r="C25" s="4844">
        <v>0</v>
      </c>
      <c r="D25" s="4844">
        <v>22.441419999999997</v>
      </c>
      <c r="E25" s="4844">
        <v>0</v>
      </c>
      <c r="F25" s="4844">
        <v>7.5740160000000001E-2</v>
      </c>
      <c r="G25" s="4844">
        <v>72.293755849999997</v>
      </c>
      <c r="H25" s="4844">
        <v>73.592468049999994</v>
      </c>
      <c r="I25" s="4844">
        <v>71.099999999999994</v>
      </c>
      <c r="J25" s="3106">
        <v>0</v>
      </c>
    </row>
    <row r="26" spans="2:10" ht="46.15">
      <c r="B26" s="1973" t="s">
        <v>1438</v>
      </c>
      <c r="C26" s="4839">
        <v>0</v>
      </c>
      <c r="D26" s="4839">
        <v>22.441419999999997</v>
      </c>
      <c r="E26" s="4839">
        <v>0</v>
      </c>
      <c r="F26" s="4839">
        <v>7.5740160000000001E-2</v>
      </c>
      <c r="G26" s="4839">
        <v>72.293755849999997</v>
      </c>
      <c r="H26" s="4839">
        <v>73.592468049999994</v>
      </c>
      <c r="I26" s="4839">
        <v>71.099190879999995</v>
      </c>
      <c r="J26" s="3106">
        <v>0</v>
      </c>
    </row>
    <row r="27" spans="2:10" ht="45" customHeight="1">
      <c r="B27" s="1972" t="s">
        <v>1441</v>
      </c>
      <c r="C27" s="4839">
        <v>0</v>
      </c>
      <c r="D27" s="4839">
        <v>0</v>
      </c>
      <c r="E27" s="4839">
        <v>0</v>
      </c>
      <c r="F27" s="4839">
        <v>0</v>
      </c>
      <c r="G27" s="4839">
        <v>0</v>
      </c>
      <c r="H27" s="4839">
        <v>0</v>
      </c>
      <c r="I27" s="4839">
        <v>0</v>
      </c>
      <c r="J27" s="3106">
        <v>0</v>
      </c>
    </row>
    <row r="28" spans="2:10" ht="45" customHeight="1">
      <c r="B28" s="1977" t="s">
        <v>1439</v>
      </c>
      <c r="C28" s="4839">
        <v>0</v>
      </c>
      <c r="D28" s="4839">
        <v>22.441419999999997</v>
      </c>
      <c r="E28" s="4839">
        <v>0</v>
      </c>
      <c r="F28" s="4839">
        <v>7.5740160000000001E-2</v>
      </c>
      <c r="G28" s="4839">
        <v>72.293755849999997</v>
      </c>
      <c r="H28" s="4839">
        <v>73.592468049999994</v>
      </c>
      <c r="I28" s="4839">
        <v>71.099190879999995</v>
      </c>
      <c r="J28" s="3106">
        <v>0</v>
      </c>
    </row>
    <row r="29" spans="2:10" ht="45" customHeight="1">
      <c r="B29" s="1977" t="s">
        <v>1440</v>
      </c>
      <c r="C29" s="4839">
        <v>0</v>
      </c>
      <c r="D29" s="4839">
        <v>0</v>
      </c>
      <c r="E29" s="4839">
        <v>0</v>
      </c>
      <c r="F29" s="4839">
        <v>0</v>
      </c>
      <c r="G29" s="4839">
        <v>0</v>
      </c>
      <c r="H29" s="4839">
        <v>0</v>
      </c>
      <c r="I29" s="4839">
        <v>0</v>
      </c>
      <c r="J29" s="3106">
        <v>0</v>
      </c>
    </row>
    <row r="30" spans="2:10" ht="45" customHeight="1">
      <c r="B30" s="1977" t="s">
        <v>1442</v>
      </c>
      <c r="C30" s="4839">
        <v>0</v>
      </c>
      <c r="D30" s="4839">
        <v>0</v>
      </c>
      <c r="E30" s="4839">
        <v>0</v>
      </c>
      <c r="F30" s="4839">
        <v>0</v>
      </c>
      <c r="G30" s="4839">
        <v>0</v>
      </c>
      <c r="H30" s="4839">
        <v>0</v>
      </c>
      <c r="I30" s="4839">
        <v>0</v>
      </c>
      <c r="J30" s="3106">
        <v>0</v>
      </c>
    </row>
    <row r="31" spans="2:10" ht="46.15">
      <c r="B31" s="1977" t="s">
        <v>1443</v>
      </c>
      <c r="C31" s="4839">
        <v>0</v>
      </c>
      <c r="D31" s="4839">
        <v>0</v>
      </c>
      <c r="E31" s="4839">
        <v>0</v>
      </c>
      <c r="F31" s="4839">
        <v>0</v>
      </c>
      <c r="G31" s="4839">
        <v>54.183</v>
      </c>
      <c r="H31" s="4839">
        <v>54.320250000000001</v>
      </c>
      <c r="I31" s="4839">
        <v>52.81</v>
      </c>
      <c r="J31" s="3106">
        <v>52.73</v>
      </c>
    </row>
    <row r="32" spans="2:10" ht="54" customHeight="1">
      <c r="B32" s="1976" t="s">
        <v>1444</v>
      </c>
      <c r="C32" s="4839">
        <v>0</v>
      </c>
      <c r="D32" s="4839">
        <v>0</v>
      </c>
      <c r="E32" s="4839">
        <v>0</v>
      </c>
      <c r="F32" s="4839">
        <v>0</v>
      </c>
      <c r="G32" s="4839">
        <v>0</v>
      </c>
      <c r="H32" s="4839">
        <v>0</v>
      </c>
      <c r="I32" s="4839">
        <v>0</v>
      </c>
      <c r="J32" s="3106">
        <v>0</v>
      </c>
    </row>
    <row r="33" spans="2:10" ht="45" customHeight="1">
      <c r="B33" s="1237" t="s">
        <v>1445</v>
      </c>
      <c r="C33" s="4839">
        <v>0</v>
      </c>
      <c r="D33" s="4839">
        <v>0</v>
      </c>
      <c r="E33" s="4839">
        <v>0</v>
      </c>
      <c r="F33" s="4839">
        <v>0</v>
      </c>
      <c r="G33" s="4839">
        <v>0</v>
      </c>
      <c r="H33" s="4839">
        <v>0</v>
      </c>
      <c r="I33" s="4839">
        <v>0</v>
      </c>
      <c r="J33" s="3106">
        <v>0</v>
      </c>
    </row>
    <row r="34" spans="2:10" ht="45" customHeight="1">
      <c r="B34" s="1977" t="s">
        <v>1446</v>
      </c>
      <c r="C34" s="4839">
        <v>0</v>
      </c>
      <c r="D34" s="4839">
        <v>0</v>
      </c>
      <c r="E34" s="4839">
        <v>0</v>
      </c>
      <c r="F34" s="4839">
        <v>0</v>
      </c>
      <c r="G34" s="4839">
        <v>0</v>
      </c>
      <c r="H34" s="4839">
        <v>0</v>
      </c>
      <c r="I34" s="4839">
        <v>0</v>
      </c>
      <c r="J34" s="3106">
        <v>0</v>
      </c>
    </row>
    <row r="35" spans="2:10" ht="45" customHeight="1">
      <c r="B35" s="1973" t="s">
        <v>1447</v>
      </c>
      <c r="C35" s="4839">
        <v>370.49799999999999</v>
      </c>
      <c r="D35" s="4839">
        <v>369.00099999999998</v>
      </c>
      <c r="E35" s="4839">
        <v>384.84300000000002</v>
      </c>
      <c r="F35" s="4839">
        <v>394.77199999999999</v>
      </c>
      <c r="G35" s="4839">
        <v>404.24799999999999</v>
      </c>
      <c r="H35" s="4839">
        <v>340.08699999999999</v>
      </c>
      <c r="I35" s="4839">
        <v>446.37</v>
      </c>
      <c r="J35" s="3106">
        <v>362.71</v>
      </c>
    </row>
    <row r="36" spans="2:10" ht="45" customHeight="1">
      <c r="B36" s="2663" t="s">
        <v>1270</v>
      </c>
      <c r="C36" s="4839">
        <v>370.495</v>
      </c>
      <c r="D36" s="4839">
        <v>369.00099999999998</v>
      </c>
      <c r="E36" s="4839">
        <v>384.65199999999999</v>
      </c>
      <c r="F36" s="4839">
        <v>394.601</v>
      </c>
      <c r="G36" s="4839">
        <v>371.101</v>
      </c>
      <c r="H36" s="4839">
        <v>318.12200000000001</v>
      </c>
      <c r="I36" s="4839">
        <v>420.06400000000002</v>
      </c>
      <c r="J36" s="3106">
        <v>270.97000000000003</v>
      </c>
    </row>
    <row r="37" spans="2:10" ht="75" customHeight="1">
      <c r="B37" s="1979" t="s">
        <v>1271</v>
      </c>
      <c r="C37" s="4839">
        <v>145.06899999999999</v>
      </c>
      <c r="D37" s="4839">
        <v>175.17500000000001</v>
      </c>
      <c r="E37" s="4839">
        <v>198.90199999999999</v>
      </c>
      <c r="F37" s="4839">
        <v>226.71799999999999</v>
      </c>
      <c r="G37" s="4839">
        <v>223.59299999999999</v>
      </c>
      <c r="H37" s="4839">
        <v>222.16399999999999</v>
      </c>
      <c r="I37" s="4839">
        <v>200.24299999999999</v>
      </c>
      <c r="J37" s="3106">
        <v>156.13</v>
      </c>
    </row>
    <row r="38" spans="2:10" ht="45" customHeight="1">
      <c r="B38" s="1978" t="s">
        <v>1272</v>
      </c>
      <c r="C38" s="4839">
        <v>225.42599999999999</v>
      </c>
      <c r="D38" s="4839">
        <v>193.82599999999999</v>
      </c>
      <c r="E38" s="4839">
        <v>185.75</v>
      </c>
      <c r="F38" s="4839">
        <v>167.88300000000001</v>
      </c>
      <c r="G38" s="4839">
        <v>146.33099999999999</v>
      </c>
      <c r="H38" s="4839">
        <v>94.781000000000006</v>
      </c>
      <c r="I38" s="4839">
        <v>218.64400000000001</v>
      </c>
      <c r="J38" s="3106">
        <v>113.67</v>
      </c>
    </row>
    <row r="39" spans="2:10" ht="45" customHeight="1">
      <c r="B39" s="1973" t="s">
        <v>1453</v>
      </c>
      <c r="C39" s="4839" t="s">
        <v>1019</v>
      </c>
      <c r="D39" s="4839" t="s">
        <v>1019</v>
      </c>
      <c r="E39" s="4839" t="s">
        <v>1019</v>
      </c>
      <c r="F39" s="4839" t="s">
        <v>1019</v>
      </c>
      <c r="G39" s="4839">
        <v>43.704000000000001</v>
      </c>
      <c r="H39" s="4839">
        <v>15.215</v>
      </c>
      <c r="I39" s="4839">
        <v>16.791</v>
      </c>
      <c r="J39" s="3106">
        <v>16.57</v>
      </c>
    </row>
    <row r="40" spans="2:10" ht="45" customHeight="1">
      <c r="B40" s="1973" t="s">
        <v>1450</v>
      </c>
      <c r="C40" s="4839" t="s">
        <v>1019</v>
      </c>
      <c r="D40" s="4839" t="s">
        <v>1019</v>
      </c>
      <c r="E40" s="4839" t="s">
        <v>1019</v>
      </c>
      <c r="F40" s="4839" t="s">
        <v>1019</v>
      </c>
      <c r="G40" s="4839">
        <v>102.627</v>
      </c>
      <c r="H40" s="4839">
        <v>79.566000000000003</v>
      </c>
      <c r="I40" s="4839">
        <v>201.85300000000001</v>
      </c>
      <c r="J40" s="3106">
        <v>97.1</v>
      </c>
    </row>
    <row r="41" spans="2:10" ht="45" customHeight="1">
      <c r="B41" s="1973" t="s">
        <v>1451</v>
      </c>
      <c r="C41" s="4839" t="s">
        <v>1019</v>
      </c>
      <c r="D41" s="4839" t="s">
        <v>1019</v>
      </c>
      <c r="E41" s="4839" t="s">
        <v>1019</v>
      </c>
      <c r="F41" s="4839" t="s">
        <v>1019</v>
      </c>
      <c r="G41" s="4839">
        <v>0</v>
      </c>
      <c r="H41" s="4839">
        <v>0</v>
      </c>
      <c r="I41" s="4839">
        <v>0</v>
      </c>
      <c r="J41" s="3106">
        <v>0</v>
      </c>
    </row>
    <row r="42" spans="2:10" ht="45" customHeight="1">
      <c r="B42" s="1973" t="s">
        <v>1452</v>
      </c>
      <c r="C42" s="4839" t="s">
        <v>1019</v>
      </c>
      <c r="D42" s="4839" t="s">
        <v>1019</v>
      </c>
      <c r="E42" s="4839" t="s">
        <v>1019</v>
      </c>
      <c r="F42" s="4839" t="s">
        <v>1019</v>
      </c>
      <c r="G42" s="4839">
        <v>0</v>
      </c>
      <c r="H42" s="4839">
        <v>0</v>
      </c>
      <c r="I42" s="4839">
        <v>0</v>
      </c>
      <c r="J42" s="3106">
        <v>0</v>
      </c>
    </row>
    <row r="43" spans="2:10" ht="45" customHeight="1">
      <c r="B43" s="1973" t="s">
        <v>1454</v>
      </c>
      <c r="C43" s="4839" t="s">
        <v>1019</v>
      </c>
      <c r="D43" s="4839" t="s">
        <v>1019</v>
      </c>
      <c r="E43" s="4839" t="s">
        <v>1019</v>
      </c>
      <c r="F43" s="4839" t="s">
        <v>1019</v>
      </c>
      <c r="G43" s="4839">
        <v>1.177</v>
      </c>
      <c r="H43" s="4839">
        <v>1.177</v>
      </c>
      <c r="I43" s="4839">
        <v>1.177</v>
      </c>
      <c r="J43" s="3106">
        <v>1.18</v>
      </c>
    </row>
    <row r="44" spans="2:10" ht="45" customHeight="1">
      <c r="B44" s="1977" t="s">
        <v>1449</v>
      </c>
      <c r="C44" s="4839" t="s">
        <v>1019</v>
      </c>
      <c r="D44" s="4839" t="s">
        <v>1019</v>
      </c>
      <c r="E44" s="4839" t="s">
        <v>1019</v>
      </c>
      <c r="F44" s="4839" t="s">
        <v>1019</v>
      </c>
      <c r="G44" s="4839">
        <v>0</v>
      </c>
      <c r="H44" s="4839">
        <v>0</v>
      </c>
      <c r="I44" s="4839">
        <v>0</v>
      </c>
      <c r="J44" s="3106">
        <v>0</v>
      </c>
    </row>
    <row r="45" spans="2:10" ht="45" customHeight="1">
      <c r="B45" s="1973" t="s">
        <v>1448</v>
      </c>
      <c r="C45" s="4839">
        <v>3.0000000000000001E-3</v>
      </c>
      <c r="D45" s="4839">
        <v>0</v>
      </c>
      <c r="E45" s="4839">
        <v>0.191</v>
      </c>
      <c r="F45" s="4839">
        <v>0.17100000000000001</v>
      </c>
      <c r="G45" s="4839">
        <v>20.257999999999999</v>
      </c>
      <c r="H45" s="4839">
        <v>21.939</v>
      </c>
      <c r="I45" s="4839">
        <v>21.55</v>
      </c>
      <c r="J45" s="3106">
        <v>76.510000000000005</v>
      </c>
    </row>
    <row r="46" spans="2:10" ht="80.75" customHeight="1">
      <c r="B46" s="1979" t="s">
        <v>1271</v>
      </c>
      <c r="C46" s="4839">
        <v>3.0000000000000001E-3</v>
      </c>
      <c r="D46" s="4839">
        <v>0</v>
      </c>
      <c r="E46" s="4839">
        <v>0.191</v>
      </c>
      <c r="F46" s="4839">
        <v>0.17100000000000001</v>
      </c>
      <c r="G46" s="4839">
        <v>0.223</v>
      </c>
      <c r="H46" s="4839">
        <v>1.4730000000000001</v>
      </c>
      <c r="I46" s="4839">
        <v>1.085</v>
      </c>
      <c r="J46" s="3106">
        <v>1.93</v>
      </c>
    </row>
    <row r="47" spans="2:10" ht="45" customHeight="1">
      <c r="B47" s="1978" t="s">
        <v>1272</v>
      </c>
      <c r="C47" s="4839">
        <v>0</v>
      </c>
      <c r="D47" s="4839">
        <v>0</v>
      </c>
      <c r="E47" s="4839">
        <v>0</v>
      </c>
      <c r="F47" s="4839">
        <v>0</v>
      </c>
      <c r="G47" s="4839">
        <v>20.035</v>
      </c>
      <c r="H47" s="4839">
        <v>20.466000000000001</v>
      </c>
      <c r="I47" s="4839">
        <v>20.465</v>
      </c>
      <c r="J47" s="3106">
        <v>74.58</v>
      </c>
    </row>
    <row r="48" spans="2:10" ht="45" customHeight="1">
      <c r="B48" s="1976" t="s">
        <v>1273</v>
      </c>
      <c r="C48" s="4839" t="s">
        <v>1019</v>
      </c>
      <c r="D48" s="4839" t="s">
        <v>1019</v>
      </c>
      <c r="E48" s="4839" t="s">
        <v>1019</v>
      </c>
      <c r="F48" s="4839" t="s">
        <v>1019</v>
      </c>
      <c r="G48" s="4839">
        <v>0</v>
      </c>
      <c r="H48" s="4839">
        <v>0</v>
      </c>
      <c r="I48" s="4839">
        <v>0</v>
      </c>
      <c r="J48" s="3106">
        <v>0</v>
      </c>
    </row>
    <row r="49" spans="2:10" s="1224" customFormat="1" ht="45" customHeight="1">
      <c r="B49" s="1976" t="s">
        <v>1274</v>
      </c>
      <c r="C49" s="4839" t="s">
        <v>1019</v>
      </c>
      <c r="D49" s="4839" t="s">
        <v>1019</v>
      </c>
      <c r="E49" s="4839" t="s">
        <v>1019</v>
      </c>
      <c r="F49" s="4839" t="s">
        <v>1019</v>
      </c>
      <c r="G49" s="4839">
        <v>20.035</v>
      </c>
      <c r="H49" s="4839">
        <v>20.466000000000001</v>
      </c>
      <c r="I49" s="4839">
        <v>20.465</v>
      </c>
      <c r="J49" s="3106">
        <v>0</v>
      </c>
    </row>
    <row r="50" spans="2:10" s="1224" customFormat="1" ht="64.25" customHeight="1">
      <c r="B50" s="1980" t="s">
        <v>1275</v>
      </c>
      <c r="C50" s="4839" t="s">
        <v>1019</v>
      </c>
      <c r="D50" s="4839" t="s">
        <v>1019</v>
      </c>
      <c r="E50" s="4839" t="s">
        <v>1019</v>
      </c>
      <c r="F50" s="4839" t="s">
        <v>1019</v>
      </c>
      <c r="G50" s="4839">
        <v>0</v>
      </c>
      <c r="H50" s="4839">
        <v>0</v>
      </c>
      <c r="I50" s="4839">
        <v>0</v>
      </c>
      <c r="J50" s="3106">
        <v>0</v>
      </c>
    </row>
    <row r="51" spans="2:10" s="1224" customFormat="1" ht="45" customHeight="1">
      <c r="B51" s="1976" t="s">
        <v>1276</v>
      </c>
      <c r="C51" s="4839" t="s">
        <v>1019</v>
      </c>
      <c r="D51" s="4839" t="s">
        <v>1019</v>
      </c>
      <c r="E51" s="4839" t="s">
        <v>1019</v>
      </c>
      <c r="F51" s="4839" t="s">
        <v>1019</v>
      </c>
      <c r="G51" s="4839">
        <v>0</v>
      </c>
      <c r="H51" s="4839">
        <v>0</v>
      </c>
      <c r="I51" s="4839">
        <v>0</v>
      </c>
      <c r="J51" s="3106">
        <v>0</v>
      </c>
    </row>
    <row r="52" spans="2:10" s="1224" customFormat="1" ht="45" customHeight="1">
      <c r="B52" s="1976" t="s">
        <v>1277</v>
      </c>
      <c r="C52" s="4839" t="s">
        <v>1019</v>
      </c>
      <c r="D52" s="4839" t="s">
        <v>1019</v>
      </c>
      <c r="E52" s="4839" t="s">
        <v>1019</v>
      </c>
      <c r="F52" s="4839" t="s">
        <v>1019</v>
      </c>
      <c r="G52" s="4839">
        <v>0</v>
      </c>
      <c r="H52" s="4839">
        <v>0</v>
      </c>
      <c r="I52" s="4839">
        <v>0</v>
      </c>
      <c r="J52" s="3106">
        <v>0</v>
      </c>
    </row>
    <row r="53" spans="2:10" s="1224" customFormat="1" ht="45" customHeight="1">
      <c r="B53" s="1976" t="s">
        <v>1278</v>
      </c>
      <c r="C53" s="4839" t="s">
        <v>1019</v>
      </c>
      <c r="D53" s="4839" t="s">
        <v>1019</v>
      </c>
      <c r="E53" s="4839" t="s">
        <v>1019</v>
      </c>
      <c r="F53" s="4839" t="s">
        <v>1019</v>
      </c>
      <c r="G53" s="4839">
        <v>0</v>
      </c>
      <c r="H53" s="4839">
        <v>0</v>
      </c>
      <c r="I53" s="4839">
        <v>0</v>
      </c>
      <c r="J53" s="3106">
        <v>0</v>
      </c>
    </row>
    <row r="54" spans="2:10" ht="33.5" customHeight="1" thickBot="1">
      <c r="B54" s="1981"/>
      <c r="C54" s="1227"/>
      <c r="D54" s="1227"/>
      <c r="E54" s="1227"/>
      <c r="F54" s="1227"/>
      <c r="G54" s="1227"/>
      <c r="H54" s="1227"/>
      <c r="I54" s="1227"/>
      <c r="J54" s="3268"/>
    </row>
    <row r="55" spans="2:10" ht="40.25" customHeight="1">
      <c r="B55" s="2279" t="s">
        <v>72</v>
      </c>
      <c r="I55" s="1225"/>
    </row>
    <row r="56" spans="2:10" s="1224" customFormat="1" ht="40.25" customHeight="1">
      <c r="B56" s="2280" t="s">
        <v>2347</v>
      </c>
      <c r="I56" s="1223"/>
      <c r="J56" s="3105"/>
    </row>
    <row r="57" spans="2:10" s="1224" customFormat="1" ht="40.25" customHeight="1">
      <c r="B57" s="1982"/>
      <c r="I57" s="1223"/>
      <c r="J57" s="3105"/>
    </row>
    <row r="58" spans="2:10" s="1224" customFormat="1" ht="40.25" customHeight="1">
      <c r="B58" s="1982"/>
      <c r="I58" s="1223"/>
      <c r="J58" s="3105"/>
    </row>
    <row r="59" spans="2:10" s="1224" customFormat="1" ht="40.25" customHeight="1">
      <c r="B59" s="1982"/>
      <c r="I59" s="1223"/>
      <c r="J59" s="3105"/>
    </row>
    <row r="60" spans="2:10" s="1224" customFormat="1" ht="40.25" customHeight="1">
      <c r="B60" s="1982"/>
      <c r="I60" s="1223"/>
      <c r="J60" s="3105"/>
    </row>
    <row r="61" spans="2:10" s="1224" customFormat="1" ht="40.25" customHeight="1">
      <c r="B61" s="1982"/>
      <c r="I61" s="1223"/>
      <c r="J61" s="3105"/>
    </row>
    <row r="62" spans="2:10" s="1224" customFormat="1" ht="40.25" customHeight="1">
      <c r="B62" s="1982"/>
      <c r="I62" s="1223"/>
      <c r="J62" s="3105"/>
    </row>
    <row r="63" spans="2:10" s="1224" customFormat="1" ht="68.25" customHeight="1">
      <c r="B63" s="1982"/>
      <c r="I63" s="1223"/>
      <c r="J63" s="3105"/>
    </row>
    <row r="64" spans="2:10" s="1224" customFormat="1" ht="40.25" customHeight="1">
      <c r="B64" s="1982"/>
      <c r="I64" s="1223"/>
      <c r="J64" s="3105"/>
    </row>
    <row r="65" spans="2:10" s="1224" customFormat="1" ht="40.25" customHeight="1">
      <c r="B65" s="1982"/>
      <c r="I65" s="1223"/>
      <c r="J65" s="3105"/>
    </row>
    <row r="66" spans="2:10" s="1224" customFormat="1" ht="40.25" customHeight="1">
      <c r="B66" s="1982"/>
      <c r="I66" s="1223"/>
      <c r="J66" s="3105"/>
    </row>
    <row r="136" spans="9:9" ht="35" customHeight="1">
      <c r="I136" s="1226"/>
    </row>
    <row r="137" spans="9:9" ht="35" customHeight="1">
      <c r="I137" s="1226"/>
    </row>
    <row r="138" spans="9:9" ht="35" customHeight="1">
      <c r="I138" s="1226"/>
    </row>
    <row r="139" spans="9:9" ht="35" customHeight="1">
      <c r="I139" s="1226"/>
    </row>
    <row r="140" spans="9:9" ht="35" customHeight="1">
      <c r="I140" s="1226"/>
    </row>
    <row r="141" spans="9:9" ht="35" customHeight="1">
      <c r="I141" s="1226"/>
    </row>
    <row r="142" spans="9:9" ht="35" customHeight="1">
      <c r="I142" s="1226"/>
    </row>
    <row r="143" spans="9:9" ht="35" customHeight="1">
      <c r="I143" s="1226"/>
    </row>
    <row r="144" spans="9:9" ht="35" customHeight="1">
      <c r="I144" s="1226"/>
    </row>
    <row r="145" spans="2:10" ht="35" customHeight="1">
      <c r="I145" s="1226"/>
    </row>
    <row r="146" spans="2:10" ht="35" customHeight="1">
      <c r="I146" s="1226"/>
    </row>
    <row r="147" spans="2:10" ht="35" customHeight="1">
      <c r="I147" s="1225"/>
    </row>
    <row r="148" spans="2:10" ht="35" customHeight="1">
      <c r="I148" s="1225"/>
    </row>
    <row r="149" spans="2:10" ht="35" customHeight="1">
      <c r="I149" s="1225"/>
    </row>
    <row r="150" spans="2:10" s="1224" customFormat="1" ht="35" customHeight="1">
      <c r="B150" s="1982"/>
      <c r="I150" s="1223"/>
      <c r="J150" s="3105"/>
    </row>
    <row r="151" spans="2:10" ht="35" customHeight="1">
      <c r="I151" s="1225"/>
    </row>
    <row r="152" spans="2:10" ht="35" customHeight="1">
      <c r="I152" s="1225"/>
    </row>
    <row r="153" spans="2:10" ht="35" customHeight="1">
      <c r="I153" s="1225"/>
    </row>
    <row r="154" spans="2:10" ht="35" customHeight="1">
      <c r="I154" s="1226"/>
    </row>
    <row r="155" spans="2:10" ht="35" customHeight="1">
      <c r="I155" s="1226"/>
    </row>
    <row r="156" spans="2:10" ht="35" customHeight="1">
      <c r="I156" s="1226"/>
    </row>
    <row r="157" spans="2:10" ht="35" customHeight="1">
      <c r="I157" s="1226"/>
    </row>
    <row r="158" spans="2:10" ht="35" customHeight="1">
      <c r="I158" s="1226"/>
    </row>
    <row r="159" spans="2:10" ht="35" customHeight="1">
      <c r="I159" s="1226"/>
    </row>
    <row r="160" spans="2:10" ht="69.5" customHeight="1">
      <c r="I160" s="1226"/>
    </row>
    <row r="161" spans="2:10" ht="35" customHeight="1">
      <c r="I161" s="1226"/>
    </row>
    <row r="162" spans="2:10" ht="71" customHeight="1">
      <c r="I162" s="1226"/>
    </row>
    <row r="163" spans="2:10" ht="65" customHeight="1">
      <c r="I163" s="1226"/>
    </row>
    <row r="164" spans="2:10" ht="69.5" customHeight="1">
      <c r="I164" s="1226"/>
    </row>
    <row r="165" spans="2:10" ht="35" customHeight="1">
      <c r="I165" s="1226"/>
    </row>
    <row r="166" spans="2:10" ht="35" customHeight="1">
      <c r="I166" s="1226"/>
    </row>
    <row r="167" spans="2:10" ht="35" customHeight="1">
      <c r="I167" s="1226"/>
    </row>
    <row r="168" spans="2:10" ht="35" customHeight="1">
      <c r="I168" s="1226"/>
    </row>
    <row r="169" spans="2:10" ht="35" customHeight="1">
      <c r="I169" s="1226"/>
    </row>
    <row r="170" spans="2:10" s="1224" customFormat="1" ht="35" customHeight="1">
      <c r="B170" s="1982"/>
      <c r="I170" s="1223"/>
      <c r="J170" s="3105"/>
    </row>
    <row r="171" spans="2:10" s="1224" customFormat="1" ht="35" customHeight="1">
      <c r="B171" s="1982"/>
      <c r="I171" s="1223"/>
      <c r="J171" s="3105"/>
    </row>
    <row r="172" spans="2:10" s="1224" customFormat="1" ht="35" customHeight="1">
      <c r="B172" s="1982"/>
      <c r="I172" s="1223"/>
      <c r="J172" s="3105"/>
    </row>
    <row r="173" spans="2:10" s="1224" customFormat="1" ht="35" customHeight="1">
      <c r="B173" s="1982"/>
      <c r="I173" s="1223"/>
      <c r="J173" s="3105"/>
    </row>
    <row r="174" spans="2:10" ht="35" customHeight="1">
      <c r="I174" s="1226"/>
    </row>
    <row r="175" spans="2:10" s="1224" customFormat="1" ht="35" customHeight="1">
      <c r="B175" s="1982"/>
      <c r="I175" s="1223"/>
      <c r="J175" s="3105"/>
    </row>
    <row r="176" spans="2:10" s="1224" customFormat="1" ht="35" customHeight="1">
      <c r="B176" s="1982"/>
      <c r="I176" s="1223"/>
      <c r="J176" s="3105"/>
    </row>
    <row r="177" spans="2:10" s="1224" customFormat="1" ht="35" customHeight="1">
      <c r="B177" s="1982"/>
      <c r="I177" s="1223"/>
      <c r="J177" s="3105"/>
    </row>
    <row r="178" spans="2:10" s="1224" customFormat="1" ht="35" customHeight="1">
      <c r="B178" s="1982"/>
      <c r="I178" s="1223"/>
      <c r="J178" s="3105"/>
    </row>
    <row r="179" spans="2:10" ht="35" customHeight="1">
      <c r="I179" s="1226"/>
    </row>
    <row r="180" spans="2:10" ht="35" customHeight="1">
      <c r="I180" s="1226"/>
    </row>
    <row r="181" spans="2:10" ht="35" customHeight="1">
      <c r="I181" s="1226"/>
    </row>
    <row r="182" spans="2:10" ht="35" customHeight="1">
      <c r="I182" s="1226"/>
    </row>
    <row r="183" spans="2:10" ht="35" customHeight="1">
      <c r="I183" s="1226"/>
    </row>
    <row r="184" spans="2:10" ht="35" customHeight="1">
      <c r="I184" s="1226"/>
    </row>
    <row r="185" spans="2:10" ht="78.5" customHeight="1">
      <c r="I185" s="1226"/>
    </row>
    <row r="186" spans="2:10" ht="35" customHeight="1">
      <c r="I186" s="1226"/>
    </row>
    <row r="187" spans="2:10" s="1224" customFormat="1" ht="35" customHeight="1">
      <c r="B187" s="1982"/>
      <c r="I187" s="1223"/>
      <c r="J187" s="3105"/>
    </row>
    <row r="188" spans="2:10" s="1224" customFormat="1" ht="35" customHeight="1">
      <c r="B188" s="1982"/>
      <c r="I188" s="1223"/>
      <c r="J188" s="3105"/>
    </row>
    <row r="189" spans="2:10" s="1224" customFormat="1" ht="35" customHeight="1">
      <c r="B189" s="1982"/>
      <c r="I189" s="1223"/>
      <c r="J189" s="3105"/>
    </row>
    <row r="190" spans="2:10" s="1224" customFormat="1" ht="35" customHeight="1">
      <c r="B190" s="1982"/>
      <c r="I190" s="1223"/>
      <c r="J190" s="3105"/>
    </row>
    <row r="191" spans="2:10" s="1224" customFormat="1" ht="35" customHeight="1">
      <c r="B191" s="1982"/>
      <c r="I191" s="1223"/>
      <c r="J191" s="3105"/>
    </row>
    <row r="192" spans="2:10" s="1224" customFormat="1" ht="35" customHeight="1">
      <c r="B192" s="1982"/>
      <c r="I192" s="1223"/>
      <c r="J192" s="3105"/>
    </row>
    <row r="193" spans="2:10" s="1224" customFormat="1" ht="35" customHeight="1">
      <c r="B193" s="1982"/>
      <c r="I193" s="1223"/>
      <c r="J193" s="3105"/>
    </row>
    <row r="194" spans="2:10" s="1224" customFormat="1" ht="35" customHeight="1">
      <c r="B194" s="1982"/>
      <c r="I194" s="1223"/>
      <c r="J194" s="3105"/>
    </row>
    <row r="195" spans="2:10" s="1224" customFormat="1" ht="35" customHeight="1">
      <c r="B195" s="1982"/>
      <c r="I195" s="1223"/>
      <c r="J195" s="3105"/>
    </row>
    <row r="196" spans="2:10" s="1224" customFormat="1" ht="35" customHeight="1">
      <c r="B196" s="1982"/>
      <c r="I196" s="1223"/>
      <c r="J196" s="3105"/>
    </row>
    <row r="197" spans="2:10" s="1224" customFormat="1" ht="35" customHeight="1">
      <c r="B197" s="1982"/>
      <c r="I197" s="1223"/>
      <c r="J197" s="3105"/>
    </row>
    <row r="198" spans="2:10" s="1224" customFormat="1" ht="35" customHeight="1">
      <c r="B198" s="1982"/>
      <c r="J198" s="3105"/>
    </row>
    <row r="199" spans="2:10" s="1224" customFormat="1" ht="35" customHeight="1">
      <c r="B199" s="1982"/>
      <c r="J199" s="3105"/>
    </row>
    <row r="200" spans="2:10" s="1224" customFormat="1" ht="35" customHeight="1">
      <c r="B200" s="1982"/>
      <c r="J200" s="3105"/>
    </row>
    <row r="201" spans="2:10" s="1224" customFormat="1">
      <c r="B201" s="1983" t="s">
        <v>390</v>
      </c>
      <c r="J201" s="3105"/>
    </row>
    <row r="202" spans="2:10">
      <c r="B202" s="1984"/>
    </row>
    <row r="203" spans="2:10">
      <c r="B203" s="1984"/>
    </row>
    <row r="204" spans="2:10">
      <c r="B204" s="1983"/>
    </row>
  </sheetData>
  <mergeCells count="3">
    <mergeCell ref="B1:J1"/>
    <mergeCell ref="B2:J2"/>
    <mergeCell ref="B3:J3"/>
  </mergeCells>
  <printOptions horizontalCentered="1" verticalCentered="1"/>
  <pageMargins left="0.25" right="0.25" top="0.75" bottom="0.75" header="0.3" footer="0.3"/>
  <pageSetup scale="20" firstPageNumber="103" orientation="landscape" useFirstPageNumber="1" r:id="rId1"/>
  <headerFooter scaleWithDoc="0" alignWithMargins="0">
    <oddFooter xml:space="preserve">&amp;C144
</oddFooter>
  </headerFooter>
  <rowBreaks count="1" manualBreakCount="1">
    <brk id="132" max="14"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B0F0"/>
    <pageSetUpPr fitToPage="1"/>
  </sheetPr>
  <dimension ref="B1:J83"/>
  <sheetViews>
    <sheetView view="pageBreakPreview" zoomScale="30" zoomScaleNormal="60" zoomScaleSheetLayoutView="30" workbookViewId="0">
      <pane xSplit="2" ySplit="5" topLeftCell="D13" activePane="bottomRight" state="frozen"/>
      <selection activeCell="B44" sqref="B44"/>
      <selection pane="topRight" activeCell="B44" sqref="B44"/>
      <selection pane="bottomLeft" activeCell="B44" sqref="B44"/>
      <selection pane="bottomRight" activeCell="B44" sqref="B44"/>
    </sheetView>
  </sheetViews>
  <sheetFormatPr defaultColWidth="8.6640625" defaultRowHeight="33"/>
  <cols>
    <col min="1" max="1" width="2.46484375" style="211" customWidth="1"/>
    <col min="2" max="2" width="223.6640625" style="211" bestFit="1" customWidth="1"/>
    <col min="3" max="7" width="51.6640625" style="211" customWidth="1"/>
    <col min="8" max="8" width="44.33203125" style="211" customWidth="1"/>
    <col min="9" max="9" width="41.46484375" style="211" customWidth="1"/>
    <col min="10" max="10" width="39.33203125" style="356" customWidth="1"/>
    <col min="11" max="16384" width="8.6640625" style="211"/>
  </cols>
  <sheetData>
    <row r="1" spans="2:10" ht="35.75" customHeight="1">
      <c r="B1" s="5927" t="s">
        <v>1847</v>
      </c>
      <c r="C1" s="5927"/>
      <c r="D1" s="5927"/>
      <c r="E1" s="5927"/>
      <c r="F1" s="5927"/>
      <c r="G1" s="5927"/>
      <c r="H1" s="5927"/>
      <c r="I1" s="5927"/>
      <c r="J1" s="5927"/>
    </row>
    <row r="2" spans="2:10" ht="35.75" customHeight="1">
      <c r="B2" s="5927" t="s">
        <v>2363</v>
      </c>
      <c r="C2" s="5927"/>
      <c r="D2" s="5927"/>
      <c r="E2" s="5927"/>
      <c r="F2" s="5927"/>
      <c r="G2" s="5927"/>
      <c r="H2" s="5927"/>
      <c r="I2" s="5927"/>
      <c r="J2" s="5927"/>
    </row>
    <row r="3" spans="2:10" ht="38.75" customHeight="1">
      <c r="B3" s="5927" t="s">
        <v>1048</v>
      </c>
      <c r="C3" s="5927"/>
      <c r="D3" s="5927"/>
      <c r="E3" s="5927"/>
      <c r="F3" s="5927"/>
      <c r="G3" s="5927"/>
      <c r="H3" s="5927"/>
      <c r="I3" s="5927"/>
      <c r="J3" s="5927"/>
    </row>
    <row r="4" spans="2:10" ht="16.25" customHeight="1" thickBot="1">
      <c r="B4" s="4897"/>
      <c r="C4" s="4897"/>
      <c r="D4" s="4897"/>
      <c r="E4" s="4897"/>
      <c r="F4" s="4897"/>
      <c r="G4" s="4897"/>
      <c r="H4" s="4897"/>
      <c r="I4" s="4897"/>
      <c r="J4" s="4897"/>
    </row>
    <row r="5" spans="2:10" ht="36" customHeight="1" thickBot="1">
      <c r="B5" s="1229" t="s">
        <v>418</v>
      </c>
      <c r="C5" s="1230">
        <v>2016</v>
      </c>
      <c r="D5" s="1230">
        <v>2017</v>
      </c>
      <c r="E5" s="1230">
        <v>2018</v>
      </c>
      <c r="F5" s="1230">
        <v>2019</v>
      </c>
      <c r="G5" s="1230">
        <v>2020</v>
      </c>
      <c r="H5" s="1230">
        <v>2021</v>
      </c>
      <c r="I5" s="1230">
        <v>2022</v>
      </c>
      <c r="J5" s="3269" t="s">
        <v>1959</v>
      </c>
    </row>
    <row r="6" spans="2:10" ht="39" customHeight="1">
      <c r="B6" s="1231" t="s">
        <v>1279</v>
      </c>
      <c r="C6" s="1228">
        <v>0</v>
      </c>
      <c r="D6" s="1228">
        <v>0</v>
      </c>
      <c r="E6" s="1228">
        <v>0</v>
      </c>
      <c r="F6" s="1228">
        <v>0</v>
      </c>
      <c r="G6" s="1228">
        <v>0</v>
      </c>
      <c r="H6" s="1228">
        <v>0</v>
      </c>
      <c r="I6" s="1228">
        <v>0</v>
      </c>
      <c r="J6" s="3270">
        <v>0.01</v>
      </c>
    </row>
    <row r="7" spans="2:10" ht="39" customHeight="1">
      <c r="B7" s="1232" t="s">
        <v>1280</v>
      </c>
      <c r="C7" s="1228">
        <v>0</v>
      </c>
      <c r="D7" s="1228">
        <v>0</v>
      </c>
      <c r="E7" s="1228">
        <v>0</v>
      </c>
      <c r="F7" s="1228">
        <v>0</v>
      </c>
      <c r="G7" s="1228">
        <v>0</v>
      </c>
      <c r="H7" s="1228">
        <v>0</v>
      </c>
      <c r="I7" s="1228">
        <v>0</v>
      </c>
      <c r="J7" s="3271">
        <v>0.01</v>
      </c>
    </row>
    <row r="8" spans="2:10" ht="39" customHeight="1">
      <c r="B8" s="1232" t="s">
        <v>1281</v>
      </c>
      <c r="C8" s="1228">
        <v>0</v>
      </c>
      <c r="D8" s="1228">
        <v>0</v>
      </c>
      <c r="E8" s="1228">
        <v>0</v>
      </c>
      <c r="F8" s="1228">
        <v>0</v>
      </c>
      <c r="G8" s="1228">
        <v>0.52600000000000002</v>
      </c>
      <c r="H8" s="1228">
        <v>0</v>
      </c>
      <c r="I8" s="1228">
        <v>0.52600000000000002</v>
      </c>
      <c r="J8" s="3271">
        <v>0</v>
      </c>
    </row>
    <row r="9" spans="2:10" ht="39" customHeight="1">
      <c r="B9" s="1232" t="s">
        <v>1276</v>
      </c>
      <c r="C9" s="1228" t="s">
        <v>1019</v>
      </c>
      <c r="D9" s="1228" t="s">
        <v>1019</v>
      </c>
      <c r="E9" s="1228" t="s">
        <v>1019</v>
      </c>
      <c r="F9" s="1228" t="s">
        <v>1019</v>
      </c>
      <c r="G9" s="1228">
        <v>0</v>
      </c>
      <c r="H9" s="1228">
        <v>0</v>
      </c>
      <c r="I9" s="1228">
        <v>0</v>
      </c>
      <c r="J9" s="3271">
        <v>0</v>
      </c>
    </row>
    <row r="10" spans="2:10" ht="39" customHeight="1">
      <c r="B10" s="1232" t="s">
        <v>1277</v>
      </c>
      <c r="C10" s="1228" t="s">
        <v>1019</v>
      </c>
      <c r="D10" s="1228" t="s">
        <v>1019</v>
      </c>
      <c r="E10" s="1228" t="s">
        <v>1019</v>
      </c>
      <c r="F10" s="1228" t="s">
        <v>1019</v>
      </c>
      <c r="G10" s="1228">
        <v>0</v>
      </c>
      <c r="H10" s="1228">
        <v>0</v>
      </c>
      <c r="I10" s="1228">
        <v>0</v>
      </c>
      <c r="J10" s="3271">
        <v>0</v>
      </c>
    </row>
    <row r="11" spans="2:10" ht="39" customHeight="1">
      <c r="B11" s="1232" t="s">
        <v>1278</v>
      </c>
      <c r="C11" s="1228" t="s">
        <v>1019</v>
      </c>
      <c r="D11" s="1228" t="s">
        <v>1019</v>
      </c>
      <c r="E11" s="1228" t="s">
        <v>1019</v>
      </c>
      <c r="F11" s="1228" t="s">
        <v>1019</v>
      </c>
      <c r="G11" s="1228">
        <v>0</v>
      </c>
      <c r="H11" s="1228">
        <v>0</v>
      </c>
      <c r="I11" s="1228">
        <v>0</v>
      </c>
      <c r="J11" s="3271">
        <v>0</v>
      </c>
    </row>
    <row r="12" spans="2:10" ht="39" customHeight="1">
      <c r="B12" s="1232" t="s">
        <v>1282</v>
      </c>
      <c r="C12" s="1228" t="s">
        <v>1019</v>
      </c>
      <c r="D12" s="1228" t="s">
        <v>1019</v>
      </c>
      <c r="E12" s="1228" t="s">
        <v>1019</v>
      </c>
      <c r="F12" s="1228" t="s">
        <v>1019</v>
      </c>
      <c r="G12" s="1228">
        <v>12.888999999999999</v>
      </c>
      <c r="H12" s="1228">
        <v>2.5999999999999999E-2</v>
      </c>
      <c r="I12" s="1228">
        <v>4.76</v>
      </c>
      <c r="J12" s="3271">
        <v>15.05</v>
      </c>
    </row>
    <row r="13" spans="2:10" ht="39" customHeight="1">
      <c r="B13" s="1232" t="s">
        <v>1280</v>
      </c>
      <c r="C13" s="1228" t="s">
        <v>1019</v>
      </c>
      <c r="D13" s="1228" t="s">
        <v>1019</v>
      </c>
      <c r="E13" s="1228" t="s">
        <v>1019</v>
      </c>
      <c r="F13" s="1228" t="s">
        <v>1019</v>
      </c>
      <c r="G13" s="1228">
        <v>12.888999999999999</v>
      </c>
      <c r="H13" s="1228">
        <v>2.5999999999999999E-2</v>
      </c>
      <c r="I13" s="1228">
        <v>4.76</v>
      </c>
      <c r="J13" s="3271">
        <v>15.05</v>
      </c>
    </row>
    <row r="14" spans="2:10" ht="39" customHeight="1">
      <c r="B14" s="1233" t="s">
        <v>1281</v>
      </c>
      <c r="C14" s="1228" t="s">
        <v>1019</v>
      </c>
      <c r="D14" s="1228" t="s">
        <v>1019</v>
      </c>
      <c r="E14" s="1228" t="s">
        <v>1019</v>
      </c>
      <c r="F14" s="1228" t="s">
        <v>1019</v>
      </c>
      <c r="G14" s="1228">
        <v>0</v>
      </c>
      <c r="H14" s="1228">
        <v>0</v>
      </c>
      <c r="I14" s="1228">
        <v>0</v>
      </c>
      <c r="J14" s="3271">
        <v>0.17</v>
      </c>
    </row>
    <row r="15" spans="2:10" ht="39" customHeight="1">
      <c r="B15" s="1234" t="s">
        <v>1276</v>
      </c>
      <c r="C15" s="1228" t="s">
        <v>1019</v>
      </c>
      <c r="D15" s="1228" t="s">
        <v>1019</v>
      </c>
      <c r="E15" s="1228" t="s">
        <v>1019</v>
      </c>
      <c r="F15" s="1228" t="s">
        <v>1019</v>
      </c>
      <c r="G15" s="1228">
        <v>0</v>
      </c>
      <c r="H15" s="1228">
        <v>0</v>
      </c>
      <c r="I15" s="1228">
        <v>0</v>
      </c>
      <c r="J15" s="3271">
        <v>0</v>
      </c>
    </row>
    <row r="16" spans="2:10" ht="39" customHeight="1">
      <c r="B16" s="1234" t="s">
        <v>1277</v>
      </c>
      <c r="C16" s="1228" t="s">
        <v>1019</v>
      </c>
      <c r="D16" s="1228" t="s">
        <v>1019</v>
      </c>
      <c r="E16" s="1228" t="s">
        <v>1019</v>
      </c>
      <c r="F16" s="1228" t="s">
        <v>1019</v>
      </c>
      <c r="G16" s="1228">
        <v>0</v>
      </c>
      <c r="H16" s="1228">
        <v>0</v>
      </c>
      <c r="I16" s="1228">
        <v>0</v>
      </c>
      <c r="J16" s="3271">
        <v>0</v>
      </c>
    </row>
    <row r="17" spans="2:10" ht="39" customHeight="1">
      <c r="B17" s="1234" t="s">
        <v>1278</v>
      </c>
      <c r="C17" s="1228" t="s">
        <v>1019</v>
      </c>
      <c r="D17" s="1228" t="s">
        <v>1019</v>
      </c>
      <c r="E17" s="1228" t="s">
        <v>1019</v>
      </c>
      <c r="F17" s="1228" t="s">
        <v>1019</v>
      </c>
      <c r="G17" s="1228">
        <v>0</v>
      </c>
      <c r="H17" s="1228">
        <v>0</v>
      </c>
      <c r="I17" s="1228">
        <v>0</v>
      </c>
      <c r="J17" s="3271">
        <v>0</v>
      </c>
    </row>
    <row r="18" spans="2:10" s="1218" customFormat="1" ht="39" customHeight="1">
      <c r="B18" s="1235" t="s">
        <v>1283</v>
      </c>
      <c r="C18" s="1228">
        <v>549.36278657000003</v>
      </c>
      <c r="D18" s="1228">
        <v>607.79926999999998</v>
      </c>
      <c r="E18" s="1228">
        <v>637.72676999999999</v>
      </c>
      <c r="F18" s="1228">
        <v>575.04285360000006</v>
      </c>
      <c r="G18" s="1228">
        <v>666.21116065000001</v>
      </c>
      <c r="H18" s="1228">
        <v>716.66532455999993</v>
      </c>
      <c r="I18" s="1228">
        <v>893.84</v>
      </c>
      <c r="J18" s="3272">
        <v>1016.38</v>
      </c>
    </row>
    <row r="19" spans="2:10" s="1218" customFormat="1" ht="39" customHeight="1">
      <c r="B19" s="1236" t="s">
        <v>1284</v>
      </c>
      <c r="C19" s="1228">
        <v>162.37578657</v>
      </c>
      <c r="D19" s="1228">
        <v>194.95927</v>
      </c>
      <c r="E19" s="1228">
        <v>170.95976999999999</v>
      </c>
      <c r="F19" s="1228">
        <v>139.1438536</v>
      </c>
      <c r="G19" s="1228">
        <v>196.76616065000002</v>
      </c>
      <c r="H19" s="1228">
        <v>192.64032456000001</v>
      </c>
      <c r="I19" s="1228">
        <v>342.18</v>
      </c>
      <c r="J19" s="3106">
        <v>367.04</v>
      </c>
    </row>
    <row r="20" spans="2:10" s="1218" customFormat="1" ht="39" customHeight="1">
      <c r="B20" s="1236" t="s">
        <v>1285</v>
      </c>
      <c r="C20" s="1228">
        <v>125.227</v>
      </c>
      <c r="D20" s="1228">
        <v>194.49100000000001</v>
      </c>
      <c r="E20" s="1228">
        <v>167.99199999999999</v>
      </c>
      <c r="F20" s="1228">
        <v>137.48500000000001</v>
      </c>
      <c r="G20" s="1228">
        <v>196.518</v>
      </c>
      <c r="H20" s="1228">
        <v>192.60300000000001</v>
      </c>
      <c r="I20" s="1228">
        <v>339.94</v>
      </c>
      <c r="J20" s="3106">
        <v>274.54000000000002</v>
      </c>
    </row>
    <row r="21" spans="2:10" s="1218" customFormat="1" ht="39" customHeight="1">
      <c r="B21" s="1237" t="s">
        <v>1286</v>
      </c>
      <c r="C21" s="1228">
        <v>125.227</v>
      </c>
      <c r="D21" s="1228">
        <v>194.49100000000001</v>
      </c>
      <c r="E21" s="1228">
        <v>167.99199999999999</v>
      </c>
      <c r="F21" s="1228">
        <v>137.48500000000001</v>
      </c>
      <c r="G21" s="1228">
        <v>196.30799999999999</v>
      </c>
      <c r="H21" s="1228">
        <v>192.37799999999999</v>
      </c>
      <c r="I21" s="1228">
        <v>338.8</v>
      </c>
      <c r="J21" s="3106">
        <v>274.08999999999997</v>
      </c>
    </row>
    <row r="22" spans="2:10" s="1218" customFormat="1" ht="39" customHeight="1">
      <c r="B22" s="1238" t="s">
        <v>1287</v>
      </c>
      <c r="C22" s="1228" t="s">
        <v>1019</v>
      </c>
      <c r="D22" s="1228" t="s">
        <v>1019</v>
      </c>
      <c r="E22" s="1228" t="s">
        <v>1019</v>
      </c>
      <c r="F22" s="1228" t="s">
        <v>1019</v>
      </c>
      <c r="G22" s="1228">
        <v>0</v>
      </c>
      <c r="H22" s="1228">
        <v>0</v>
      </c>
      <c r="I22" s="1228">
        <v>0</v>
      </c>
      <c r="J22" s="3106">
        <v>0</v>
      </c>
    </row>
    <row r="23" spans="2:10" s="1218" customFormat="1" ht="39" customHeight="1">
      <c r="B23" s="1238" t="s">
        <v>1276</v>
      </c>
      <c r="C23" s="1239" t="s">
        <v>1019</v>
      </c>
      <c r="D23" s="1240" t="s">
        <v>1019</v>
      </c>
      <c r="E23" s="1240" t="s">
        <v>1019</v>
      </c>
      <c r="F23" s="1240" t="s">
        <v>1019</v>
      </c>
      <c r="G23" s="1240">
        <v>0</v>
      </c>
      <c r="H23" s="1240">
        <v>0</v>
      </c>
      <c r="I23" s="1240">
        <v>0</v>
      </c>
      <c r="J23" s="3106">
        <v>0</v>
      </c>
    </row>
    <row r="24" spans="2:10" s="1218" customFormat="1" ht="39" customHeight="1">
      <c r="B24" s="1238" t="s">
        <v>1288</v>
      </c>
      <c r="C24" s="1240" t="s">
        <v>1019</v>
      </c>
      <c r="D24" s="1240" t="s">
        <v>1019</v>
      </c>
      <c r="E24" s="1240" t="s">
        <v>1019</v>
      </c>
      <c r="F24" s="1240" t="s">
        <v>1019</v>
      </c>
      <c r="G24" s="1240">
        <v>0.21</v>
      </c>
      <c r="H24" s="1240">
        <v>0.22500000000000001</v>
      </c>
      <c r="I24" s="1240">
        <v>3.1E-2</v>
      </c>
      <c r="J24" s="3106">
        <v>0</v>
      </c>
    </row>
    <row r="25" spans="2:10" s="1218" customFormat="1" ht="39" customHeight="1">
      <c r="B25" s="1241" t="s">
        <v>1289</v>
      </c>
      <c r="C25" s="1240" t="s">
        <v>1019</v>
      </c>
      <c r="D25" s="1240" t="s">
        <v>1019</v>
      </c>
      <c r="E25" s="1239" t="s">
        <v>1019</v>
      </c>
      <c r="F25" s="1228" t="s">
        <v>1019</v>
      </c>
      <c r="G25" s="1228">
        <v>0</v>
      </c>
      <c r="H25" s="1228">
        <v>0</v>
      </c>
      <c r="I25" s="1228">
        <v>1.1200000000000001</v>
      </c>
      <c r="J25" s="3106">
        <v>1.1599999999999999</v>
      </c>
    </row>
    <row r="26" spans="2:10" s="1217" customFormat="1" ht="39" customHeight="1">
      <c r="B26" s="1242" t="s">
        <v>1290</v>
      </c>
      <c r="C26" s="1228">
        <v>37.148786569999999</v>
      </c>
      <c r="D26" s="1228">
        <v>0.46826999999999996</v>
      </c>
      <c r="E26" s="1228">
        <v>2.9677699999999998</v>
      </c>
      <c r="F26" s="1228">
        <v>1.6588535999999998</v>
      </c>
      <c r="G26" s="1228">
        <v>0.24816065000000001</v>
      </c>
      <c r="H26" s="1228">
        <v>3.732456E-2</v>
      </c>
      <c r="I26" s="1228">
        <v>2.23708931</v>
      </c>
      <c r="J26" s="3106">
        <v>92.5</v>
      </c>
    </row>
    <row r="27" spans="2:10" s="1218" customFormat="1" ht="39" customHeight="1">
      <c r="B27" s="1235" t="s">
        <v>1291</v>
      </c>
      <c r="C27" s="1228">
        <v>35.081365579999996</v>
      </c>
      <c r="D27" s="1228">
        <v>6.6E-4</v>
      </c>
      <c r="E27" s="1228">
        <v>1.08551</v>
      </c>
      <c r="F27" s="1228">
        <v>1.5164571800000002</v>
      </c>
      <c r="G27" s="1228">
        <v>6.8679000000000006E-4</v>
      </c>
      <c r="H27" s="1228">
        <v>6.8679000000000006E-4</v>
      </c>
      <c r="I27" s="1228">
        <v>6.9066000000000006E-4</v>
      </c>
      <c r="J27" s="3106">
        <v>92.5</v>
      </c>
    </row>
    <row r="28" spans="2:10" s="1217" customFormat="1" ht="39" customHeight="1">
      <c r="B28" s="1235" t="s">
        <v>1292</v>
      </c>
      <c r="C28" s="1228">
        <v>0</v>
      </c>
      <c r="D28" s="1228">
        <v>0</v>
      </c>
      <c r="E28" s="1228">
        <v>0</v>
      </c>
      <c r="F28" s="1228">
        <v>0</v>
      </c>
      <c r="G28" s="1228">
        <v>0</v>
      </c>
      <c r="H28" s="1228">
        <v>0</v>
      </c>
      <c r="I28" s="1228">
        <v>0</v>
      </c>
      <c r="J28" s="3106">
        <v>0</v>
      </c>
    </row>
    <row r="29" spans="2:10" s="1217" customFormat="1" ht="39" customHeight="1">
      <c r="B29" s="1235" t="s">
        <v>1293</v>
      </c>
      <c r="C29" s="1228">
        <v>0</v>
      </c>
      <c r="D29" s="1228">
        <v>0</v>
      </c>
      <c r="E29" s="1228">
        <v>0</v>
      </c>
      <c r="F29" s="1228">
        <v>0</v>
      </c>
      <c r="G29" s="1228">
        <v>0</v>
      </c>
      <c r="H29" s="1228">
        <v>0</v>
      </c>
      <c r="I29" s="1228">
        <v>0</v>
      </c>
      <c r="J29" s="3106">
        <v>0</v>
      </c>
    </row>
    <row r="30" spans="2:10" s="1217" customFormat="1" ht="39" customHeight="1">
      <c r="B30" s="1235" t="s">
        <v>1294</v>
      </c>
      <c r="C30" s="1228">
        <v>2.0667794499999999</v>
      </c>
      <c r="D30" s="1228">
        <v>0</v>
      </c>
      <c r="E30" s="1228">
        <v>1.75308</v>
      </c>
      <c r="F30" s="1228">
        <v>0</v>
      </c>
      <c r="G30" s="1228">
        <v>0</v>
      </c>
      <c r="H30" s="1228">
        <v>0</v>
      </c>
      <c r="I30" s="1228">
        <v>0</v>
      </c>
      <c r="J30" s="3106">
        <v>0</v>
      </c>
    </row>
    <row r="31" spans="2:10" s="1217" customFormat="1" ht="39" customHeight="1">
      <c r="B31" s="1235" t="s">
        <v>1295</v>
      </c>
      <c r="C31" s="1228" t="s">
        <v>1019</v>
      </c>
      <c r="D31" s="1228" t="s">
        <v>1019</v>
      </c>
      <c r="E31" s="1228" t="s">
        <v>1019</v>
      </c>
      <c r="F31" s="1228" t="s">
        <v>1019</v>
      </c>
      <c r="G31" s="1228" t="s">
        <v>1019</v>
      </c>
      <c r="H31" s="1228" t="s">
        <v>1019</v>
      </c>
      <c r="I31" s="1228"/>
      <c r="J31" s="3106"/>
    </row>
    <row r="32" spans="2:10" s="1217" customFormat="1" ht="39" customHeight="1">
      <c r="B32" s="1235" t="s">
        <v>1296</v>
      </c>
      <c r="C32" s="1228" t="s">
        <v>1019</v>
      </c>
      <c r="D32" s="1228" t="s">
        <v>1019</v>
      </c>
      <c r="E32" s="1228" t="s">
        <v>1019</v>
      </c>
      <c r="F32" s="1228" t="s">
        <v>1019</v>
      </c>
      <c r="G32" s="1228" t="s">
        <v>1019</v>
      </c>
      <c r="H32" s="1228" t="s">
        <v>1019</v>
      </c>
      <c r="I32" s="1228"/>
      <c r="J32" s="3106"/>
    </row>
    <row r="33" spans="2:10" s="1217" customFormat="1" ht="39" customHeight="1">
      <c r="B33" s="1235" t="s">
        <v>1297</v>
      </c>
      <c r="C33" s="1228">
        <v>0</v>
      </c>
      <c r="D33" s="1228">
        <v>0</v>
      </c>
      <c r="E33" s="1228">
        <v>0</v>
      </c>
      <c r="F33" s="1228">
        <v>0</v>
      </c>
      <c r="G33" s="1228">
        <v>0</v>
      </c>
      <c r="H33" s="1228">
        <v>0</v>
      </c>
      <c r="I33" s="1228">
        <v>0</v>
      </c>
      <c r="J33" s="3106">
        <v>0</v>
      </c>
    </row>
    <row r="34" spans="2:10" s="1217" customFormat="1" ht="39" customHeight="1">
      <c r="B34" s="1242" t="s">
        <v>1298</v>
      </c>
      <c r="C34" s="1228">
        <v>0</v>
      </c>
      <c r="D34" s="1228">
        <v>0</v>
      </c>
      <c r="E34" s="1228">
        <v>0</v>
      </c>
      <c r="F34" s="1228">
        <v>0</v>
      </c>
      <c r="G34" s="1228">
        <v>0</v>
      </c>
      <c r="H34" s="1228">
        <v>0</v>
      </c>
      <c r="I34" s="1228">
        <v>0</v>
      </c>
      <c r="J34" s="3106">
        <v>0</v>
      </c>
    </row>
    <row r="35" spans="2:10" s="1217" customFormat="1" ht="39" customHeight="1">
      <c r="B35" s="1242" t="s">
        <v>1299</v>
      </c>
      <c r="C35" s="1228">
        <v>0</v>
      </c>
      <c r="D35" s="1228">
        <v>0</v>
      </c>
      <c r="E35" s="1228">
        <v>0</v>
      </c>
      <c r="F35" s="1228">
        <v>0</v>
      </c>
      <c r="G35" s="1228">
        <v>0</v>
      </c>
      <c r="H35" s="1228">
        <v>0</v>
      </c>
      <c r="I35" s="1228">
        <v>0</v>
      </c>
      <c r="J35" s="3106">
        <v>0</v>
      </c>
    </row>
    <row r="36" spans="2:10" s="1217" customFormat="1" ht="39" customHeight="1">
      <c r="B36" s="1242" t="s">
        <v>1300</v>
      </c>
      <c r="C36" s="1228">
        <v>6.4154000000000001E-4</v>
      </c>
      <c r="D36" s="1228">
        <v>0.46761000000000003</v>
      </c>
      <c r="E36" s="1228">
        <v>0.12916999999999998</v>
      </c>
      <c r="F36" s="1228">
        <v>0.14239642</v>
      </c>
      <c r="G36" s="1228">
        <v>0.24747385999999999</v>
      </c>
      <c r="H36" s="1228">
        <v>3.663777E-2</v>
      </c>
      <c r="I36" s="1228">
        <v>2.2363986499999999</v>
      </c>
      <c r="J36" s="3106">
        <v>0</v>
      </c>
    </row>
    <row r="37" spans="2:10" s="1217" customFormat="1" ht="39" customHeight="1">
      <c r="B37" s="1235" t="s">
        <v>1301</v>
      </c>
      <c r="C37" s="1228" t="s">
        <v>1019</v>
      </c>
      <c r="D37" s="1228" t="s">
        <v>1019</v>
      </c>
      <c r="E37" s="1228" t="s">
        <v>1019</v>
      </c>
      <c r="F37" s="1228" t="s">
        <v>1019</v>
      </c>
      <c r="G37" s="1228" t="s">
        <v>1019</v>
      </c>
      <c r="H37" s="1228" t="s">
        <v>1019</v>
      </c>
      <c r="I37" s="1228"/>
      <c r="J37" s="3106"/>
    </row>
    <row r="38" spans="2:10" s="1217" customFormat="1" ht="39" customHeight="1">
      <c r="B38" s="1235" t="s">
        <v>1302</v>
      </c>
      <c r="C38" s="1228" t="s">
        <v>1019</v>
      </c>
      <c r="D38" s="1228" t="s">
        <v>1019</v>
      </c>
      <c r="E38" s="1228" t="s">
        <v>1019</v>
      </c>
      <c r="F38" s="1228" t="s">
        <v>1019</v>
      </c>
      <c r="G38" s="1228" t="s">
        <v>1019</v>
      </c>
      <c r="H38" s="1228" t="s">
        <v>1019</v>
      </c>
      <c r="I38" s="1228"/>
      <c r="J38" s="3106"/>
    </row>
    <row r="39" spans="2:10" s="1217" customFormat="1" ht="39" customHeight="1">
      <c r="B39" s="1235" t="s">
        <v>1303</v>
      </c>
      <c r="C39" s="1228" t="s">
        <v>1019</v>
      </c>
      <c r="D39" s="1228" t="s">
        <v>1019</v>
      </c>
      <c r="E39" s="1228" t="s">
        <v>1019</v>
      </c>
      <c r="F39" s="1228" t="s">
        <v>1019</v>
      </c>
      <c r="G39" s="1228" t="s">
        <v>1019</v>
      </c>
      <c r="H39" s="1228" t="s">
        <v>1019</v>
      </c>
      <c r="I39" s="1228"/>
      <c r="J39" s="3106"/>
    </row>
    <row r="40" spans="2:10" s="1217" customFormat="1" ht="39" customHeight="1">
      <c r="B40" s="1235" t="s">
        <v>1304</v>
      </c>
      <c r="C40" s="1228">
        <v>3.1389999999999998</v>
      </c>
      <c r="D40" s="1228">
        <v>4.7409999999999997</v>
      </c>
      <c r="E40" s="1228">
        <v>3.254</v>
      </c>
      <c r="F40" s="1228">
        <v>3.5169999999999999</v>
      </c>
      <c r="G40" s="1228">
        <v>21.968</v>
      </c>
      <c r="H40" s="1228">
        <v>10.006</v>
      </c>
      <c r="I40" s="1228">
        <v>19.11</v>
      </c>
      <c r="J40" s="3106">
        <v>21.11</v>
      </c>
    </row>
    <row r="41" spans="2:10" s="1217" customFormat="1" ht="39" customHeight="1">
      <c r="B41" s="1235" t="s">
        <v>1285</v>
      </c>
      <c r="C41" s="1228">
        <v>3.1389999999999998</v>
      </c>
      <c r="D41" s="1228">
        <v>4.7409999999999997</v>
      </c>
      <c r="E41" s="1228">
        <v>3.254</v>
      </c>
      <c r="F41" s="1228">
        <v>3.5169999999999999</v>
      </c>
      <c r="G41" s="1228">
        <v>21.968</v>
      </c>
      <c r="H41" s="1228">
        <v>10.006</v>
      </c>
      <c r="I41" s="1228">
        <v>19.11</v>
      </c>
      <c r="J41" s="3106">
        <v>21.11</v>
      </c>
    </row>
    <row r="42" spans="2:10" s="1217" customFormat="1" ht="39" customHeight="1">
      <c r="B42" s="1242" t="s">
        <v>1286</v>
      </c>
      <c r="C42" s="1228">
        <v>3.1389999999999998</v>
      </c>
      <c r="D42" s="1228">
        <v>4.7409999999999997</v>
      </c>
      <c r="E42" s="1228">
        <v>3.254</v>
      </c>
      <c r="F42" s="1228">
        <v>3.5169999999999999</v>
      </c>
      <c r="G42" s="1228">
        <v>21.968</v>
      </c>
      <c r="H42" s="1228">
        <v>10.006</v>
      </c>
      <c r="I42" s="1228">
        <v>19.09</v>
      </c>
      <c r="J42" s="3106">
        <v>21.11</v>
      </c>
    </row>
    <row r="43" spans="2:10" s="1217" customFormat="1" ht="39" customHeight="1">
      <c r="B43" s="1243" t="s">
        <v>1287</v>
      </c>
      <c r="C43" s="1228" t="s">
        <v>1019</v>
      </c>
      <c r="D43" s="1228" t="s">
        <v>1019</v>
      </c>
      <c r="E43" s="1228" t="s">
        <v>1019</v>
      </c>
      <c r="F43" s="1228" t="s">
        <v>1019</v>
      </c>
      <c r="G43" s="1228">
        <v>0</v>
      </c>
      <c r="H43" s="1228">
        <v>0</v>
      </c>
      <c r="I43" s="1228">
        <v>0</v>
      </c>
      <c r="J43" s="3106">
        <v>0</v>
      </c>
    </row>
    <row r="44" spans="2:10" s="1217" customFormat="1" ht="39" customHeight="1">
      <c r="B44" s="1242" t="s">
        <v>1276</v>
      </c>
      <c r="C44" s="1228" t="s">
        <v>1019</v>
      </c>
      <c r="D44" s="1228" t="s">
        <v>1019</v>
      </c>
      <c r="E44" s="1228" t="s">
        <v>1019</v>
      </c>
      <c r="F44" s="1228" t="s">
        <v>1019</v>
      </c>
      <c r="G44" s="1228">
        <v>0</v>
      </c>
      <c r="H44" s="1228">
        <v>0</v>
      </c>
      <c r="I44" s="1228">
        <v>0</v>
      </c>
      <c r="J44" s="3106">
        <v>0</v>
      </c>
    </row>
    <row r="45" spans="2:10" s="1217" customFormat="1" ht="39" customHeight="1">
      <c r="B45" s="1242" t="s">
        <v>1288</v>
      </c>
      <c r="C45" s="1228" t="s">
        <v>1019</v>
      </c>
      <c r="D45" s="1228" t="s">
        <v>1019</v>
      </c>
      <c r="E45" s="1228" t="s">
        <v>1019</v>
      </c>
      <c r="F45" s="1228" t="s">
        <v>1019</v>
      </c>
      <c r="G45" s="1228">
        <v>0</v>
      </c>
      <c r="H45" s="1228">
        <v>0</v>
      </c>
      <c r="I45" s="1228">
        <v>0</v>
      </c>
      <c r="J45" s="3106">
        <v>0</v>
      </c>
    </row>
    <row r="46" spans="2:10" s="1217" customFormat="1" ht="39" customHeight="1">
      <c r="B46" s="1242" t="s">
        <v>1289</v>
      </c>
      <c r="C46" s="1228" t="s">
        <v>1019</v>
      </c>
      <c r="D46" s="1228" t="s">
        <v>1019</v>
      </c>
      <c r="E46" s="1228" t="s">
        <v>1019</v>
      </c>
      <c r="F46" s="1228" t="s">
        <v>1019</v>
      </c>
      <c r="G46" s="1228">
        <v>0</v>
      </c>
      <c r="H46" s="1228">
        <v>0</v>
      </c>
      <c r="I46" s="1228">
        <v>0.02</v>
      </c>
      <c r="J46" s="3106">
        <v>0</v>
      </c>
    </row>
    <row r="47" spans="2:10" s="1217" customFormat="1" ht="39" customHeight="1">
      <c r="B47" s="1242" t="s">
        <v>1290</v>
      </c>
      <c r="C47" s="1228" t="s">
        <v>1019</v>
      </c>
      <c r="D47" s="1228" t="s">
        <v>1019</v>
      </c>
      <c r="E47" s="1228" t="s">
        <v>1019</v>
      </c>
      <c r="F47" s="1228" t="s">
        <v>1019</v>
      </c>
      <c r="G47" s="1228">
        <v>0</v>
      </c>
      <c r="H47" s="1228">
        <v>0</v>
      </c>
      <c r="I47" s="1228">
        <v>0</v>
      </c>
      <c r="J47" s="3106">
        <v>0</v>
      </c>
    </row>
    <row r="48" spans="2:10" s="1217" customFormat="1" ht="39" customHeight="1">
      <c r="B48" s="1242" t="s">
        <v>1305</v>
      </c>
      <c r="C48" s="1228">
        <v>0</v>
      </c>
      <c r="D48" s="1228">
        <v>0</v>
      </c>
      <c r="E48" s="1228">
        <v>0</v>
      </c>
      <c r="F48" s="1228">
        <v>0</v>
      </c>
      <c r="G48" s="1228">
        <v>0</v>
      </c>
      <c r="H48" s="1228">
        <v>0</v>
      </c>
      <c r="I48" s="1228">
        <v>0</v>
      </c>
      <c r="J48" s="3106">
        <v>0</v>
      </c>
    </row>
    <row r="49" spans="2:10" s="1217" customFormat="1" ht="39" customHeight="1">
      <c r="B49" s="1243" t="s">
        <v>1306</v>
      </c>
      <c r="C49" s="1228">
        <v>0</v>
      </c>
      <c r="D49" s="1228">
        <v>0</v>
      </c>
      <c r="E49" s="1228">
        <v>0</v>
      </c>
      <c r="F49" s="1228">
        <v>0</v>
      </c>
      <c r="G49" s="1228">
        <v>0</v>
      </c>
      <c r="H49" s="1228">
        <v>0</v>
      </c>
      <c r="I49" s="1228">
        <v>0</v>
      </c>
      <c r="J49" s="3106">
        <v>0</v>
      </c>
    </row>
    <row r="50" spans="2:10" s="1217" customFormat="1" ht="39" customHeight="1">
      <c r="B50" s="1242" t="s">
        <v>1307</v>
      </c>
      <c r="C50" s="1228">
        <v>383.84800000000001</v>
      </c>
      <c r="D50" s="1228">
        <v>408.09899999999999</v>
      </c>
      <c r="E50" s="1228">
        <v>463.51299999999998</v>
      </c>
      <c r="F50" s="1228">
        <v>432.38200000000001</v>
      </c>
      <c r="G50" s="1228">
        <v>391.54500000000002</v>
      </c>
      <c r="H50" s="1228">
        <v>480.714</v>
      </c>
      <c r="I50" s="1228">
        <v>511.98</v>
      </c>
      <c r="J50" s="3106">
        <v>602.41</v>
      </c>
    </row>
    <row r="51" spans="2:10" s="1217" customFormat="1" ht="39" customHeight="1">
      <c r="B51" s="1242" t="s">
        <v>1286</v>
      </c>
      <c r="C51" s="1228">
        <v>383.84800000000001</v>
      </c>
      <c r="D51" s="1228">
        <v>408.09899999999999</v>
      </c>
      <c r="E51" s="1228">
        <v>463.51299999999998</v>
      </c>
      <c r="F51" s="1228">
        <v>432.38200000000001</v>
      </c>
      <c r="G51" s="1228">
        <v>339.774</v>
      </c>
      <c r="H51" s="1228">
        <v>434.60599999999999</v>
      </c>
      <c r="I51" s="1228">
        <v>474.62</v>
      </c>
      <c r="J51" s="3106">
        <v>575.71</v>
      </c>
    </row>
    <row r="52" spans="2:10" s="1217" customFormat="1" ht="39" customHeight="1">
      <c r="B52" s="1242" t="s">
        <v>1287</v>
      </c>
      <c r="C52" s="1228" t="s">
        <v>1019</v>
      </c>
      <c r="D52" s="1228" t="s">
        <v>1019</v>
      </c>
      <c r="E52" s="1228" t="s">
        <v>1019</v>
      </c>
      <c r="F52" s="1228" t="s">
        <v>1019</v>
      </c>
      <c r="G52" s="1228">
        <v>51.231999999999999</v>
      </c>
      <c r="H52" s="1228">
        <v>46.107999999999997</v>
      </c>
      <c r="I52" s="1228">
        <v>35.86</v>
      </c>
      <c r="J52" s="3106">
        <v>25.62</v>
      </c>
    </row>
    <row r="53" spans="2:10" s="1217" customFormat="1" ht="39" customHeight="1">
      <c r="B53" s="1242" t="s">
        <v>1276</v>
      </c>
      <c r="C53" s="1228" t="s">
        <v>1019</v>
      </c>
      <c r="D53" s="1228" t="s">
        <v>1019</v>
      </c>
      <c r="E53" s="1228" t="s">
        <v>1019</v>
      </c>
      <c r="F53" s="1228" t="s">
        <v>1019</v>
      </c>
      <c r="G53" s="1228">
        <v>0</v>
      </c>
      <c r="H53" s="1228">
        <v>0</v>
      </c>
      <c r="I53" s="1228">
        <v>0</v>
      </c>
      <c r="J53" s="3106">
        <v>0</v>
      </c>
    </row>
    <row r="54" spans="2:10" s="1217" customFormat="1" ht="39" customHeight="1">
      <c r="B54" s="1242" t="s">
        <v>1288</v>
      </c>
      <c r="C54" s="1244" t="s">
        <v>1019</v>
      </c>
      <c r="D54" s="1244" t="s">
        <v>1019</v>
      </c>
      <c r="E54" s="1244" t="s">
        <v>1019</v>
      </c>
      <c r="F54" s="1244" t="s">
        <v>1019</v>
      </c>
      <c r="G54" s="1244">
        <v>0.53900000000000003</v>
      </c>
      <c r="H54" s="1244">
        <v>0</v>
      </c>
      <c r="I54" s="1244">
        <v>0.53700000000000003</v>
      </c>
      <c r="J54" s="3106">
        <v>0</v>
      </c>
    </row>
    <row r="55" spans="2:10" s="1217" customFormat="1" ht="39" customHeight="1">
      <c r="B55" s="1245" t="s">
        <v>1366</v>
      </c>
      <c r="C55" s="1246" t="s">
        <v>1019</v>
      </c>
      <c r="D55" s="1246" t="s">
        <v>1019</v>
      </c>
      <c r="E55" s="1246" t="s">
        <v>1019</v>
      </c>
      <c r="F55" s="1246" t="s">
        <v>1019</v>
      </c>
      <c r="G55" s="1246">
        <v>0</v>
      </c>
      <c r="H55" s="1246">
        <v>0</v>
      </c>
      <c r="I55" s="1246">
        <v>0</v>
      </c>
      <c r="J55" s="3106">
        <v>0</v>
      </c>
    </row>
    <row r="56" spans="2:10" s="1217" customFormat="1" ht="39" customHeight="1">
      <c r="B56" s="1242" t="s">
        <v>1308</v>
      </c>
      <c r="C56" s="1228" t="s">
        <v>1019</v>
      </c>
      <c r="D56" s="1228" t="s">
        <v>1019</v>
      </c>
      <c r="E56" s="1228" t="s">
        <v>1019</v>
      </c>
      <c r="F56" s="1228" t="s">
        <v>1019</v>
      </c>
      <c r="G56" s="1228">
        <v>55.932000000000002</v>
      </c>
      <c r="H56" s="1228">
        <v>33.305</v>
      </c>
      <c r="I56" s="1228">
        <v>20.57</v>
      </c>
      <c r="J56" s="3106">
        <v>25.82</v>
      </c>
    </row>
    <row r="57" spans="2:10" s="1217" customFormat="1" ht="39" customHeight="1">
      <c r="B57" s="1242" t="s">
        <v>1286</v>
      </c>
      <c r="C57" s="1228" t="s">
        <v>1019</v>
      </c>
      <c r="D57" s="1228" t="s">
        <v>1019</v>
      </c>
      <c r="E57" s="1228" t="s">
        <v>1019</v>
      </c>
      <c r="F57" s="1228" t="s">
        <v>1019</v>
      </c>
      <c r="G57" s="1228">
        <v>55.932000000000002</v>
      </c>
      <c r="H57" s="1228">
        <v>33.305</v>
      </c>
      <c r="I57" s="1228">
        <v>20.57</v>
      </c>
      <c r="J57" s="3106">
        <v>25.82</v>
      </c>
    </row>
    <row r="58" spans="2:10" s="1217" customFormat="1" ht="39" customHeight="1">
      <c r="B58" s="1242" t="s">
        <v>1287</v>
      </c>
      <c r="C58" s="1228" t="s">
        <v>1019</v>
      </c>
      <c r="D58" s="1228" t="s">
        <v>1019</v>
      </c>
      <c r="E58" s="1228" t="s">
        <v>1019</v>
      </c>
      <c r="F58" s="1228" t="s">
        <v>1019</v>
      </c>
      <c r="G58" s="1228">
        <v>0</v>
      </c>
      <c r="H58" s="1228">
        <v>0</v>
      </c>
      <c r="I58" s="1228">
        <v>0</v>
      </c>
      <c r="J58" s="3106">
        <v>0</v>
      </c>
    </row>
    <row r="59" spans="2:10" s="1217" customFormat="1" ht="39" customHeight="1">
      <c r="B59" s="1242" t="s">
        <v>1276</v>
      </c>
      <c r="C59" s="1228" t="s">
        <v>1019</v>
      </c>
      <c r="D59" s="1228" t="s">
        <v>1019</v>
      </c>
      <c r="E59" s="1228" t="s">
        <v>1019</v>
      </c>
      <c r="F59" s="1228" t="s">
        <v>1019</v>
      </c>
      <c r="G59" s="1228">
        <v>0</v>
      </c>
      <c r="H59" s="1228">
        <v>0</v>
      </c>
      <c r="I59" s="1228">
        <v>0</v>
      </c>
      <c r="J59" s="3106">
        <v>0</v>
      </c>
    </row>
    <row r="60" spans="2:10" s="1217" customFormat="1" ht="39" customHeight="1">
      <c r="B60" s="1242" t="s">
        <v>1288</v>
      </c>
      <c r="C60" s="1228" t="s">
        <v>1019</v>
      </c>
      <c r="D60" s="1228" t="s">
        <v>1019</v>
      </c>
      <c r="E60" s="1228" t="s">
        <v>1019</v>
      </c>
      <c r="F60" s="1228" t="s">
        <v>1019</v>
      </c>
      <c r="G60" s="1228">
        <v>0</v>
      </c>
      <c r="H60" s="1228">
        <v>0</v>
      </c>
      <c r="I60" s="1228">
        <v>0</v>
      </c>
      <c r="J60" s="3106">
        <v>0</v>
      </c>
    </row>
    <row r="61" spans="2:10" s="1217" customFormat="1" ht="39" customHeight="1" thickBot="1">
      <c r="B61" s="2052" t="s">
        <v>1289</v>
      </c>
      <c r="C61" s="2053" t="s">
        <v>1019</v>
      </c>
      <c r="D61" s="2053" t="s">
        <v>1019</v>
      </c>
      <c r="E61" s="2053" t="s">
        <v>1019</v>
      </c>
      <c r="F61" s="2053" t="s">
        <v>1019</v>
      </c>
      <c r="G61" s="2053">
        <v>0</v>
      </c>
      <c r="H61" s="2053">
        <v>0</v>
      </c>
      <c r="I61" s="2053">
        <v>0</v>
      </c>
      <c r="J61" s="3268">
        <v>0</v>
      </c>
    </row>
    <row r="62" spans="2:10" s="1217" customFormat="1" ht="43.15">
      <c r="B62" s="2279" t="s">
        <v>72</v>
      </c>
      <c r="I62" s="1219"/>
      <c r="J62" s="3108"/>
    </row>
    <row r="63" spans="2:10" s="1217" customFormat="1" ht="42.4">
      <c r="B63" s="2280" t="s">
        <v>2347</v>
      </c>
      <c r="I63" s="1219"/>
      <c r="J63" s="3108"/>
    </row>
    <row r="64" spans="2:10" s="1217" customFormat="1">
      <c r="I64" s="1219"/>
      <c r="J64" s="3108"/>
    </row>
    <row r="65" spans="9:10" s="1217" customFormat="1">
      <c r="I65" s="1219"/>
      <c r="J65" s="3108"/>
    </row>
    <row r="66" spans="9:10" s="1217" customFormat="1">
      <c r="I66" s="1219"/>
      <c r="J66" s="3108"/>
    </row>
    <row r="67" spans="9:10" s="1217" customFormat="1">
      <c r="I67" s="1219"/>
      <c r="J67" s="3108"/>
    </row>
    <row r="68" spans="9:10" s="1217" customFormat="1">
      <c r="I68" s="1219"/>
      <c r="J68" s="3108"/>
    </row>
    <row r="69" spans="9:10" s="1217" customFormat="1" ht="16.5" customHeight="1">
      <c r="I69" s="1219"/>
      <c r="J69" s="3108"/>
    </row>
    <row r="70" spans="9:10" s="1217" customFormat="1">
      <c r="I70" s="1219"/>
      <c r="J70" s="3108"/>
    </row>
    <row r="71" spans="9:10" s="1217" customFormat="1">
      <c r="I71" s="1219"/>
      <c r="J71" s="3108"/>
    </row>
    <row r="72" spans="9:10" s="1217" customFormat="1">
      <c r="I72" s="1219"/>
      <c r="J72" s="3108"/>
    </row>
    <row r="73" spans="9:10" s="1217" customFormat="1">
      <c r="I73" s="1219"/>
      <c r="J73" s="3108"/>
    </row>
    <row r="74" spans="9:10" s="1217" customFormat="1">
      <c r="I74" s="1219"/>
      <c r="J74" s="3108"/>
    </row>
    <row r="75" spans="9:10" s="1217" customFormat="1">
      <c r="I75" s="1219"/>
      <c r="J75" s="3108"/>
    </row>
    <row r="76" spans="9:10" s="1217" customFormat="1" ht="18.75" customHeight="1">
      <c r="I76" s="1219"/>
      <c r="J76" s="3108"/>
    </row>
    <row r="77" spans="9:10" s="1217" customFormat="1">
      <c r="I77" s="1219"/>
      <c r="J77" s="3108"/>
    </row>
    <row r="78" spans="9:10" s="1217" customFormat="1">
      <c r="I78" s="1219"/>
      <c r="J78" s="3108"/>
    </row>
    <row r="79" spans="9:10" s="1217" customFormat="1">
      <c r="I79" s="1219"/>
      <c r="J79" s="3108"/>
    </row>
    <row r="80" spans="9:10" s="1217" customFormat="1">
      <c r="I80" s="1219"/>
      <c r="J80" s="3108"/>
    </row>
    <row r="81" spans="9:10" s="1217" customFormat="1">
      <c r="I81" s="1219"/>
      <c r="J81" s="3108"/>
    </row>
    <row r="82" spans="9:10" s="1217" customFormat="1">
      <c r="I82" s="1219"/>
      <c r="J82" s="3108"/>
    </row>
    <row r="83" spans="9:10" s="1217" customFormat="1">
      <c r="I83" s="1219"/>
      <c r="J83" s="3108"/>
    </row>
  </sheetData>
  <mergeCells count="3">
    <mergeCell ref="B1:J1"/>
    <mergeCell ref="B2:J2"/>
    <mergeCell ref="B3:J3"/>
  </mergeCells>
  <printOptions horizontalCentered="1" verticalCentered="1"/>
  <pageMargins left="0.25" right="0.25" top="0.75" bottom="0.75" header="0.3" footer="0.3"/>
  <pageSetup scale="21" firstPageNumber="103" orientation="landscape" useFirstPageNumber="1" r:id="rId1"/>
  <headerFooter scaleWithDoc="0" alignWithMargins="0">
    <oddFooter xml:space="preserve">&amp;C145
</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B0F0"/>
    <pageSetUpPr fitToPage="1"/>
  </sheetPr>
  <dimension ref="A1:J100"/>
  <sheetViews>
    <sheetView view="pageBreakPreview" zoomScale="30" zoomScaleNormal="40" zoomScaleSheetLayoutView="30" workbookViewId="0">
      <pane xSplit="2" ySplit="5" topLeftCell="C6" activePane="bottomRight" state="frozen"/>
      <selection activeCell="B44" sqref="B44"/>
      <selection pane="topRight" activeCell="B44" sqref="B44"/>
      <selection pane="bottomLeft" activeCell="B44" sqref="B44"/>
      <selection pane="bottomRight" activeCell="B44" sqref="B44"/>
    </sheetView>
  </sheetViews>
  <sheetFormatPr defaultColWidth="8.6640625" defaultRowHeight="46.15"/>
  <cols>
    <col min="1" max="1" width="9.33203125" style="1247" hidden="1" customWidth="1"/>
    <col min="2" max="2" width="220.6640625" style="2308" customWidth="1"/>
    <col min="3" max="7" width="37.33203125" style="1247" customWidth="1"/>
    <col min="8" max="8" width="38.46484375" style="1247" customWidth="1"/>
    <col min="9" max="9" width="37" style="1247" customWidth="1"/>
    <col min="10" max="10" width="37" style="3113" customWidth="1"/>
    <col min="11" max="16384" width="8.6640625" style="1247"/>
  </cols>
  <sheetData>
    <row r="1" spans="2:10">
      <c r="B1" s="5928" t="s">
        <v>1848</v>
      </c>
      <c r="C1" s="5928"/>
      <c r="D1" s="5928"/>
      <c r="E1" s="5928"/>
      <c r="F1" s="5928"/>
      <c r="G1" s="5928"/>
      <c r="H1" s="5928"/>
      <c r="I1" s="5928"/>
    </row>
    <row r="2" spans="2:10">
      <c r="B2" s="5928" t="s">
        <v>1074</v>
      </c>
      <c r="C2" s="5928"/>
      <c r="D2" s="5928"/>
      <c r="E2" s="5928"/>
      <c r="F2" s="5928"/>
      <c r="G2" s="5928"/>
      <c r="H2" s="5928"/>
      <c r="I2" s="5928"/>
    </row>
    <row r="3" spans="2:10">
      <c r="B3" s="5928" t="s">
        <v>1048</v>
      </c>
      <c r="C3" s="5928"/>
      <c r="D3" s="5928"/>
      <c r="E3" s="5928"/>
      <c r="F3" s="5928"/>
      <c r="G3" s="5928"/>
      <c r="H3" s="5928"/>
      <c r="I3" s="5928"/>
    </row>
    <row r="4" spans="2:10" ht="14.55" customHeight="1" thickBot="1">
      <c r="B4" s="4825"/>
      <c r="C4" s="4825"/>
      <c r="D4" s="4825"/>
      <c r="E4" s="4825"/>
      <c r="F4" s="4825"/>
      <c r="G4" s="4825"/>
      <c r="H4" s="4825"/>
      <c r="I4" s="4825"/>
    </row>
    <row r="5" spans="2:10" ht="47" customHeight="1" thickBot="1">
      <c r="B5" s="2295" t="s">
        <v>418</v>
      </c>
      <c r="C5" s="1564">
        <v>2016</v>
      </c>
      <c r="D5" s="1565">
        <v>2017</v>
      </c>
      <c r="E5" s="1565">
        <v>2018</v>
      </c>
      <c r="F5" s="1565">
        <v>2019</v>
      </c>
      <c r="G5" s="1565">
        <v>2020</v>
      </c>
      <c r="H5" s="2514">
        <v>2021</v>
      </c>
      <c r="I5" s="2988">
        <v>2022</v>
      </c>
      <c r="J5" s="3273" t="s">
        <v>1959</v>
      </c>
    </row>
    <row r="6" spans="2:10" ht="50" customHeight="1">
      <c r="B6" s="2296" t="s">
        <v>1309</v>
      </c>
      <c r="C6" s="1568">
        <v>3293.982</v>
      </c>
      <c r="D6" s="1568">
        <v>3226.703</v>
      </c>
      <c r="E6" s="1568">
        <v>3192.319</v>
      </c>
      <c r="F6" s="1568">
        <v>3122.64</v>
      </c>
      <c r="G6" s="1568">
        <v>3203.5909999999999</v>
      </c>
      <c r="H6" s="2515">
        <v>3226.6089999999999</v>
      </c>
      <c r="I6" s="2989">
        <v>3279.46</v>
      </c>
      <c r="J6" s="3274">
        <v>3368.87</v>
      </c>
    </row>
    <row r="7" spans="2:10" ht="50" customHeight="1">
      <c r="B7" s="2297" t="s">
        <v>1310</v>
      </c>
      <c r="C7" s="1568">
        <v>17.981000000000002</v>
      </c>
      <c r="D7" s="1568">
        <v>11.968999999999999</v>
      </c>
      <c r="E7" s="1568">
        <v>45.942999999999998</v>
      </c>
      <c r="F7" s="1568">
        <v>45.478999999999999</v>
      </c>
      <c r="G7" s="1568">
        <v>10.039999999999999</v>
      </c>
      <c r="H7" s="2101">
        <v>9.8520000000000003</v>
      </c>
      <c r="I7" s="2986">
        <v>9.516</v>
      </c>
      <c r="J7" s="3275">
        <v>20.149999999999999</v>
      </c>
    </row>
    <row r="8" spans="2:10" ht="66.5" customHeight="1">
      <c r="B8" s="2298" t="s">
        <v>941</v>
      </c>
      <c r="C8" s="1568" t="s">
        <v>1019</v>
      </c>
      <c r="D8" s="1568" t="s">
        <v>1019</v>
      </c>
      <c r="E8" s="1568" t="s">
        <v>1019</v>
      </c>
      <c r="F8" s="1568" t="s">
        <v>1019</v>
      </c>
      <c r="G8" s="1568">
        <v>0</v>
      </c>
      <c r="H8" s="2101">
        <v>0</v>
      </c>
      <c r="I8" s="2986">
        <v>0</v>
      </c>
      <c r="J8" s="3275">
        <v>0</v>
      </c>
    </row>
    <row r="9" spans="2:10" ht="50" customHeight="1">
      <c r="B9" s="2299" t="s">
        <v>1285</v>
      </c>
      <c r="C9" s="1568" t="s">
        <v>1019</v>
      </c>
      <c r="D9" s="1568" t="s">
        <v>1019</v>
      </c>
      <c r="E9" s="1568" t="s">
        <v>1019</v>
      </c>
      <c r="F9" s="1568" t="s">
        <v>1019</v>
      </c>
      <c r="G9" s="1568">
        <v>0</v>
      </c>
      <c r="H9" s="2101">
        <v>0</v>
      </c>
      <c r="I9" s="2986">
        <v>0</v>
      </c>
      <c r="J9" s="3275">
        <v>0</v>
      </c>
    </row>
    <row r="10" spans="2:10" ht="94.5" customHeight="1">
      <c r="B10" s="2298" t="s">
        <v>1280</v>
      </c>
      <c r="C10" s="1568" t="s">
        <v>1019</v>
      </c>
      <c r="D10" s="1568" t="s">
        <v>1019</v>
      </c>
      <c r="E10" s="1568" t="s">
        <v>1019</v>
      </c>
      <c r="F10" s="1568" t="s">
        <v>1019</v>
      </c>
      <c r="G10" s="1568">
        <v>0</v>
      </c>
      <c r="H10" s="2101">
        <v>0</v>
      </c>
      <c r="I10" s="2986">
        <v>0</v>
      </c>
      <c r="J10" s="3275">
        <v>0</v>
      </c>
    </row>
    <row r="11" spans="2:10" ht="50" customHeight="1">
      <c r="B11" s="2299" t="s">
        <v>1281</v>
      </c>
      <c r="C11" s="1568" t="s">
        <v>1019</v>
      </c>
      <c r="D11" s="1568" t="s">
        <v>1019</v>
      </c>
      <c r="E11" s="1568" t="s">
        <v>1019</v>
      </c>
      <c r="F11" s="1568" t="s">
        <v>1019</v>
      </c>
      <c r="G11" s="1568">
        <v>0</v>
      </c>
      <c r="H11" s="2101">
        <v>0</v>
      </c>
      <c r="I11" s="2986">
        <v>0</v>
      </c>
      <c r="J11" s="3275">
        <v>0</v>
      </c>
    </row>
    <row r="12" spans="2:10" ht="50" customHeight="1">
      <c r="B12" s="2299" t="s">
        <v>1276</v>
      </c>
      <c r="C12" s="1568" t="s">
        <v>1019</v>
      </c>
      <c r="D12" s="1568" t="s">
        <v>1019</v>
      </c>
      <c r="E12" s="1568" t="s">
        <v>1019</v>
      </c>
      <c r="F12" s="1568" t="s">
        <v>1019</v>
      </c>
      <c r="G12" s="1568">
        <v>0</v>
      </c>
      <c r="H12" s="2101">
        <v>0</v>
      </c>
      <c r="I12" s="2986">
        <v>0</v>
      </c>
      <c r="J12" s="3275">
        <v>0</v>
      </c>
    </row>
    <row r="13" spans="2:10" ht="50" customHeight="1">
      <c r="B13" s="2299" t="s">
        <v>1277</v>
      </c>
      <c r="C13" s="1568" t="s">
        <v>1019</v>
      </c>
      <c r="D13" s="1568" t="s">
        <v>1019</v>
      </c>
      <c r="E13" s="1568" t="s">
        <v>1019</v>
      </c>
      <c r="F13" s="1568" t="s">
        <v>1019</v>
      </c>
      <c r="G13" s="1568">
        <v>0</v>
      </c>
      <c r="H13" s="2101">
        <v>0</v>
      </c>
      <c r="I13" s="2986">
        <v>0</v>
      </c>
      <c r="J13" s="3275">
        <v>0</v>
      </c>
    </row>
    <row r="14" spans="2:10" ht="50" customHeight="1">
      <c r="B14" s="2297" t="s">
        <v>1278</v>
      </c>
      <c r="C14" s="1568" t="s">
        <v>1019</v>
      </c>
      <c r="D14" s="1568" t="s">
        <v>1019</v>
      </c>
      <c r="E14" s="1568" t="s">
        <v>1019</v>
      </c>
      <c r="F14" s="1568" t="s">
        <v>1019</v>
      </c>
      <c r="G14" s="1568">
        <v>0</v>
      </c>
      <c r="H14" s="2101">
        <v>0</v>
      </c>
      <c r="I14" s="2986">
        <v>0</v>
      </c>
      <c r="J14" s="3275">
        <v>0</v>
      </c>
    </row>
    <row r="15" spans="2:10" ht="71" customHeight="1">
      <c r="B15" s="2298" t="s">
        <v>946</v>
      </c>
      <c r="C15" s="1568">
        <v>17.981000000000002</v>
      </c>
      <c r="D15" s="1568">
        <v>11.968999999999999</v>
      </c>
      <c r="E15" s="1568">
        <v>45.942999999999998</v>
      </c>
      <c r="F15" s="1568">
        <v>45.478999999999999</v>
      </c>
      <c r="G15" s="1568">
        <v>10.039999999999999</v>
      </c>
      <c r="H15" s="2101">
        <v>9.8520000000000003</v>
      </c>
      <c r="I15" s="2986">
        <v>9.516</v>
      </c>
      <c r="J15" s="3275">
        <v>20.149999999999999</v>
      </c>
    </row>
    <row r="16" spans="2:10" ht="50" customHeight="1">
      <c r="B16" s="2299" t="s">
        <v>1285</v>
      </c>
      <c r="C16" s="1568">
        <v>17.981000000000002</v>
      </c>
      <c r="D16" s="1568">
        <v>11.968999999999999</v>
      </c>
      <c r="E16" s="1568">
        <v>45.942999999999998</v>
      </c>
      <c r="F16" s="1568">
        <v>45.478999999999999</v>
      </c>
      <c r="G16" s="1568">
        <v>10.039999999999999</v>
      </c>
      <c r="H16" s="2101">
        <v>9.8520000000000003</v>
      </c>
      <c r="I16" s="2986">
        <v>2.7530000000000001</v>
      </c>
      <c r="J16" s="3275">
        <v>20.149999999999999</v>
      </c>
    </row>
    <row r="17" spans="2:10" ht="90.75" customHeight="1">
      <c r="B17" s="2298" t="s">
        <v>1280</v>
      </c>
      <c r="C17" s="1568">
        <v>10.959</v>
      </c>
      <c r="D17" s="1568">
        <v>5.0830000000000002</v>
      </c>
      <c r="E17" s="1568">
        <v>32.811</v>
      </c>
      <c r="F17" s="1568">
        <v>32.048999999999999</v>
      </c>
      <c r="G17" s="1568">
        <v>3.2770000000000001</v>
      </c>
      <c r="H17" s="2101">
        <v>4.0999999999999996</v>
      </c>
      <c r="I17" s="2986">
        <v>2.75</v>
      </c>
      <c r="J17" s="3275">
        <v>1.83</v>
      </c>
    </row>
    <row r="18" spans="2:10" ht="50" customHeight="1">
      <c r="B18" s="2299" t="s">
        <v>1281</v>
      </c>
      <c r="C18" s="1568">
        <v>7.0220000000000002</v>
      </c>
      <c r="D18" s="1568">
        <v>6.8860000000000001</v>
      </c>
      <c r="E18" s="1568">
        <v>13.132</v>
      </c>
      <c r="F18" s="1568">
        <v>13.43</v>
      </c>
      <c r="G18" s="1568">
        <v>6.6769999999999996</v>
      </c>
      <c r="H18" s="2101">
        <v>5.7009999999999996</v>
      </c>
      <c r="I18" s="2986">
        <v>6.73</v>
      </c>
      <c r="J18" s="3275">
        <v>18.32</v>
      </c>
    </row>
    <row r="19" spans="2:10" ht="50" customHeight="1">
      <c r="B19" s="2299" t="s">
        <v>1276</v>
      </c>
      <c r="C19" s="1568" t="s">
        <v>1019</v>
      </c>
      <c r="D19" s="1568" t="s">
        <v>1019</v>
      </c>
      <c r="E19" s="1568" t="s">
        <v>1019</v>
      </c>
      <c r="F19" s="1568" t="s">
        <v>1019</v>
      </c>
      <c r="G19" s="1568">
        <v>0</v>
      </c>
      <c r="H19" s="2101">
        <v>0</v>
      </c>
      <c r="I19" s="2986">
        <v>0</v>
      </c>
      <c r="J19" s="3275">
        <v>0</v>
      </c>
    </row>
    <row r="20" spans="2:10" ht="50" customHeight="1">
      <c r="B20" s="2299" t="s">
        <v>1277</v>
      </c>
      <c r="C20" s="1568" t="s">
        <v>1019</v>
      </c>
      <c r="D20" s="1568" t="s">
        <v>1019</v>
      </c>
      <c r="E20" s="1568" t="s">
        <v>1019</v>
      </c>
      <c r="F20" s="1568" t="s">
        <v>1019</v>
      </c>
      <c r="G20" s="1568">
        <v>0</v>
      </c>
      <c r="H20" s="2101">
        <v>0</v>
      </c>
      <c r="I20" s="2986">
        <v>0</v>
      </c>
      <c r="J20" s="3275">
        <v>0</v>
      </c>
    </row>
    <row r="21" spans="2:10" ht="30" customHeight="1">
      <c r="B21" s="2300" t="s">
        <v>1278</v>
      </c>
      <c r="C21" s="1568" t="s">
        <v>1019</v>
      </c>
      <c r="D21" s="1568" t="s">
        <v>1019</v>
      </c>
      <c r="E21" s="1568" t="s">
        <v>1019</v>
      </c>
      <c r="F21" s="1568" t="s">
        <v>1019</v>
      </c>
      <c r="G21" s="1568">
        <v>0</v>
      </c>
      <c r="H21" s="2101">
        <v>0</v>
      </c>
      <c r="I21" s="2986">
        <v>0</v>
      </c>
      <c r="J21" s="3275">
        <v>0</v>
      </c>
    </row>
    <row r="22" spans="2:10" ht="50" customHeight="1">
      <c r="B22" s="2301" t="s">
        <v>1311</v>
      </c>
      <c r="C22" s="1568" t="s">
        <v>1019</v>
      </c>
      <c r="D22" s="1568" t="s">
        <v>1019</v>
      </c>
      <c r="E22" s="1568" t="s">
        <v>1019</v>
      </c>
      <c r="F22" s="1568" t="s">
        <v>1019</v>
      </c>
      <c r="G22" s="1568">
        <v>8.5999999999999993E-2</v>
      </c>
      <c r="H22" s="2101">
        <v>5.0999999999999997E-2</v>
      </c>
      <c r="I22" s="2986">
        <v>3.1E-2</v>
      </c>
      <c r="J22" s="3275">
        <v>0</v>
      </c>
    </row>
    <row r="23" spans="2:10" ht="68" customHeight="1">
      <c r="B23" s="2302" t="s">
        <v>1312</v>
      </c>
      <c r="C23" s="1568" t="s">
        <v>1019</v>
      </c>
      <c r="D23" s="1568" t="s">
        <v>1019</v>
      </c>
      <c r="E23" s="1568" t="s">
        <v>1019</v>
      </c>
      <c r="F23" s="1568" t="s">
        <v>1019</v>
      </c>
      <c r="G23" s="1568" t="s">
        <v>1019</v>
      </c>
      <c r="H23" s="2101" t="s">
        <v>1019</v>
      </c>
      <c r="I23" s="2986"/>
      <c r="J23" s="3275"/>
    </row>
    <row r="24" spans="2:10" ht="75.75" customHeight="1">
      <c r="B24" s="2302" t="s">
        <v>1280</v>
      </c>
      <c r="C24" s="1568" t="s">
        <v>1019</v>
      </c>
      <c r="D24" s="1568" t="s">
        <v>1019</v>
      </c>
      <c r="E24" s="1568" t="s">
        <v>1019</v>
      </c>
      <c r="F24" s="1568" t="s">
        <v>1019</v>
      </c>
      <c r="G24" s="1568" t="s">
        <v>1019</v>
      </c>
      <c r="H24" s="2101" t="s">
        <v>1019</v>
      </c>
      <c r="I24" s="2986"/>
      <c r="J24" s="3275"/>
    </row>
    <row r="25" spans="2:10" ht="50" customHeight="1">
      <c r="B25" s="2297" t="s">
        <v>1281</v>
      </c>
      <c r="C25" s="1568" t="s">
        <v>1019</v>
      </c>
      <c r="D25" s="1568" t="s">
        <v>1019</v>
      </c>
      <c r="E25" s="1568" t="s">
        <v>1019</v>
      </c>
      <c r="F25" s="1568" t="s">
        <v>1019</v>
      </c>
      <c r="G25" s="1568" t="s">
        <v>1019</v>
      </c>
      <c r="H25" s="2101" t="s">
        <v>1019</v>
      </c>
      <c r="I25" s="2986"/>
      <c r="J25" s="3275"/>
    </row>
    <row r="26" spans="2:10" ht="50" customHeight="1">
      <c r="B26" s="2297" t="s">
        <v>1313</v>
      </c>
      <c r="C26" s="1568" t="s">
        <v>1019</v>
      </c>
      <c r="D26" s="1568" t="s">
        <v>1019</v>
      </c>
      <c r="E26" s="1568" t="s">
        <v>1019</v>
      </c>
      <c r="F26" s="1568" t="s">
        <v>1019</v>
      </c>
      <c r="G26" s="1568" t="s">
        <v>1019</v>
      </c>
      <c r="H26" s="2101" t="s">
        <v>1019</v>
      </c>
      <c r="I26" s="2986"/>
      <c r="J26" s="3275"/>
    </row>
    <row r="27" spans="2:10" ht="63.5" customHeight="1">
      <c r="B27" s="2297" t="s">
        <v>1314</v>
      </c>
      <c r="C27" s="1568">
        <v>44.865000000000002</v>
      </c>
      <c r="D27" s="1568">
        <v>37.932000000000002</v>
      </c>
      <c r="E27" s="1568">
        <v>35.600999999999999</v>
      </c>
      <c r="F27" s="1568">
        <v>24.361999999999998</v>
      </c>
      <c r="G27" s="1568">
        <v>11.368</v>
      </c>
      <c r="H27" s="2101">
        <v>38.04</v>
      </c>
      <c r="I27" s="2986">
        <v>39.252000000000002</v>
      </c>
      <c r="J27" s="3275">
        <v>31.7</v>
      </c>
    </row>
    <row r="28" spans="2:10" ht="88.25" customHeight="1">
      <c r="B28" s="2303" t="s">
        <v>1280</v>
      </c>
      <c r="C28" s="1568">
        <v>44.865000000000002</v>
      </c>
      <c r="D28" s="1568">
        <v>37.932000000000002</v>
      </c>
      <c r="E28" s="1568">
        <v>35.600999999999999</v>
      </c>
      <c r="F28" s="1568">
        <v>24.361999999999998</v>
      </c>
      <c r="G28" s="1568">
        <v>11.368</v>
      </c>
      <c r="H28" s="2101">
        <v>38.04</v>
      </c>
      <c r="I28" s="2986">
        <v>39.252000000000002</v>
      </c>
      <c r="J28" s="3275">
        <v>31.7</v>
      </c>
    </row>
    <row r="29" spans="2:10" ht="50" customHeight="1">
      <c r="B29" s="2296" t="s">
        <v>1281</v>
      </c>
      <c r="C29" s="1568">
        <v>0</v>
      </c>
      <c r="D29" s="1568">
        <v>0</v>
      </c>
      <c r="E29" s="1568">
        <v>0</v>
      </c>
      <c r="F29" s="1568">
        <v>0</v>
      </c>
      <c r="G29" s="1568">
        <v>0</v>
      </c>
      <c r="H29" s="2101">
        <v>0</v>
      </c>
      <c r="I29" s="2986">
        <v>0</v>
      </c>
      <c r="J29" s="3275">
        <v>0</v>
      </c>
    </row>
    <row r="30" spans="2:10" ht="50" customHeight="1">
      <c r="B30" s="2297" t="s">
        <v>1276</v>
      </c>
      <c r="C30" s="1568" t="s">
        <v>1019</v>
      </c>
      <c r="D30" s="1568" t="s">
        <v>1019</v>
      </c>
      <c r="E30" s="1568" t="s">
        <v>1019</v>
      </c>
      <c r="F30" s="1568" t="s">
        <v>1019</v>
      </c>
      <c r="G30" s="1568">
        <v>0</v>
      </c>
      <c r="H30" s="2101">
        <v>0</v>
      </c>
      <c r="I30" s="2986">
        <v>0</v>
      </c>
      <c r="J30" s="3275">
        <v>0</v>
      </c>
    </row>
    <row r="31" spans="2:10" ht="74.75" customHeight="1">
      <c r="B31" s="2298" t="s">
        <v>1277</v>
      </c>
      <c r="C31" s="1568" t="s">
        <v>1019</v>
      </c>
      <c r="D31" s="1568" t="s">
        <v>1019</v>
      </c>
      <c r="E31" s="1568" t="s">
        <v>1019</v>
      </c>
      <c r="F31" s="1568" t="s">
        <v>1019</v>
      </c>
      <c r="G31" s="1568">
        <v>0</v>
      </c>
      <c r="H31" s="2101">
        <v>0</v>
      </c>
      <c r="I31" s="2986">
        <v>0</v>
      </c>
      <c r="J31" s="3275">
        <v>0</v>
      </c>
    </row>
    <row r="32" spans="2:10" ht="50" customHeight="1">
      <c r="B32" s="2299" t="s">
        <v>1278</v>
      </c>
      <c r="C32" s="1568" t="s">
        <v>1019</v>
      </c>
      <c r="D32" s="1568" t="s">
        <v>1019</v>
      </c>
      <c r="E32" s="1568" t="s">
        <v>1019</v>
      </c>
      <c r="F32" s="1568" t="s">
        <v>1019</v>
      </c>
      <c r="G32" s="1568">
        <v>0</v>
      </c>
      <c r="H32" s="2101">
        <v>0</v>
      </c>
      <c r="I32" s="2986">
        <v>0</v>
      </c>
      <c r="J32" s="3275">
        <v>0</v>
      </c>
    </row>
    <row r="33" spans="2:10" ht="50" customHeight="1">
      <c r="B33" s="2299" t="s">
        <v>1315</v>
      </c>
      <c r="C33" s="1568">
        <v>3231.136</v>
      </c>
      <c r="D33" s="1568">
        <v>3176.8020000000001</v>
      </c>
      <c r="E33" s="1568">
        <v>3110.7750000000001</v>
      </c>
      <c r="F33" s="1568">
        <v>3052.799</v>
      </c>
      <c r="G33" s="1568">
        <v>3182.183</v>
      </c>
      <c r="H33" s="2101">
        <v>3178.7170000000001</v>
      </c>
      <c r="I33" s="2986">
        <v>3230.69</v>
      </c>
      <c r="J33" s="3239">
        <v>3317.02</v>
      </c>
    </row>
    <row r="34" spans="2:10" ht="50" customHeight="1">
      <c r="B34" s="2299" t="s">
        <v>1316</v>
      </c>
      <c r="C34" s="1568">
        <v>1683.5419999999999</v>
      </c>
      <c r="D34" s="1568">
        <v>1871.3869999999999</v>
      </c>
      <c r="E34" s="1568">
        <v>1841.902</v>
      </c>
      <c r="F34" s="1568">
        <v>1876.3240000000001</v>
      </c>
      <c r="G34" s="1568">
        <v>1965.9829999999999</v>
      </c>
      <c r="H34" s="2101">
        <v>1942.5239999999999</v>
      </c>
      <c r="I34" s="2986">
        <v>1956.25</v>
      </c>
      <c r="J34" s="3239">
        <v>2046.86</v>
      </c>
    </row>
    <row r="35" spans="2:10" ht="80" customHeight="1">
      <c r="B35" s="2302" t="s">
        <v>1280</v>
      </c>
      <c r="C35" s="1568">
        <v>1683.5419999999999</v>
      </c>
      <c r="D35" s="1568">
        <v>1871.3869999999999</v>
      </c>
      <c r="E35" s="1568">
        <v>1841.902</v>
      </c>
      <c r="F35" s="1568">
        <v>1876.3240000000001</v>
      </c>
      <c r="G35" s="1568">
        <v>1965.9829999999999</v>
      </c>
      <c r="H35" s="2101">
        <v>1942.5239999999999</v>
      </c>
      <c r="I35" s="2986">
        <v>1956.25</v>
      </c>
      <c r="J35" s="3239">
        <v>2046.86</v>
      </c>
    </row>
    <row r="36" spans="2:10" ht="48.4">
      <c r="B36" s="2304" t="s">
        <v>1276</v>
      </c>
      <c r="C36" s="1568" t="s">
        <v>1019</v>
      </c>
      <c r="D36" s="1568" t="s">
        <v>1019</v>
      </c>
      <c r="E36" s="1568" t="s">
        <v>1019</v>
      </c>
      <c r="F36" s="1568" t="s">
        <v>1019</v>
      </c>
      <c r="G36" s="1568">
        <v>0</v>
      </c>
      <c r="H36" s="2101">
        <v>0</v>
      </c>
      <c r="I36" s="2986">
        <v>0</v>
      </c>
      <c r="J36" s="3275">
        <v>0</v>
      </c>
    </row>
    <row r="37" spans="2:10" ht="65" customHeight="1">
      <c r="B37" s="2298" t="s">
        <v>1317</v>
      </c>
      <c r="C37" s="1568" t="s">
        <v>1019</v>
      </c>
      <c r="D37" s="1568" t="s">
        <v>1019</v>
      </c>
      <c r="E37" s="1568" t="s">
        <v>1019</v>
      </c>
      <c r="F37" s="1568" t="s">
        <v>1019</v>
      </c>
      <c r="G37" s="1568">
        <v>0</v>
      </c>
      <c r="H37" s="2101">
        <v>0</v>
      </c>
      <c r="I37" s="2986">
        <v>0</v>
      </c>
      <c r="J37" s="3275">
        <v>0</v>
      </c>
    </row>
    <row r="38" spans="2:10" ht="50" customHeight="1">
      <c r="B38" s="2299" t="s">
        <v>1318</v>
      </c>
      <c r="C38" s="1568" t="s">
        <v>1019</v>
      </c>
      <c r="D38" s="1568" t="s">
        <v>1019</v>
      </c>
      <c r="E38" s="1568" t="s">
        <v>1019</v>
      </c>
      <c r="F38" s="1568" t="s">
        <v>1019</v>
      </c>
      <c r="G38" s="1568">
        <v>0</v>
      </c>
      <c r="H38" s="2101">
        <v>0</v>
      </c>
      <c r="I38" s="2986">
        <v>0</v>
      </c>
      <c r="J38" s="3275">
        <v>0</v>
      </c>
    </row>
    <row r="39" spans="2:10" ht="50" customHeight="1">
      <c r="B39" s="2299" t="s">
        <v>1269</v>
      </c>
      <c r="C39" s="1568" t="s">
        <v>1019</v>
      </c>
      <c r="D39" s="1568" t="s">
        <v>1019</v>
      </c>
      <c r="E39" s="1568" t="s">
        <v>1019</v>
      </c>
      <c r="F39" s="1568" t="s">
        <v>1019</v>
      </c>
      <c r="G39" s="1568" t="s">
        <v>1019</v>
      </c>
      <c r="H39" s="2101" t="s">
        <v>1019</v>
      </c>
      <c r="I39" s="2986"/>
      <c r="J39" s="3275"/>
    </row>
    <row r="40" spans="2:10" ht="50" customHeight="1">
      <c r="B40" s="2299" t="s">
        <v>1319</v>
      </c>
      <c r="C40" s="1568" t="s">
        <v>1019</v>
      </c>
      <c r="D40" s="1568" t="s">
        <v>1019</v>
      </c>
      <c r="E40" s="1568" t="s">
        <v>1019</v>
      </c>
      <c r="F40" s="1568" t="s">
        <v>1019</v>
      </c>
      <c r="G40" s="1568">
        <v>8.1850000000000005</v>
      </c>
      <c r="H40" s="2101">
        <v>9.6940000000000008</v>
      </c>
      <c r="I40" s="2986">
        <v>12.212</v>
      </c>
      <c r="J40" s="3275">
        <v>10.69</v>
      </c>
    </row>
    <row r="41" spans="2:10" ht="83.25" customHeight="1">
      <c r="B41" s="2298" t="s">
        <v>1280</v>
      </c>
      <c r="C41" s="1568" t="s">
        <v>1019</v>
      </c>
      <c r="D41" s="1568" t="s">
        <v>1019</v>
      </c>
      <c r="E41" s="1568" t="s">
        <v>1019</v>
      </c>
      <c r="F41" s="1568" t="s">
        <v>1019</v>
      </c>
      <c r="G41" s="1568">
        <v>8.1850000000000005</v>
      </c>
      <c r="H41" s="2101">
        <v>9.6940000000000008</v>
      </c>
      <c r="I41" s="2986">
        <v>12.212</v>
      </c>
      <c r="J41" s="3275">
        <v>10.69</v>
      </c>
    </row>
    <row r="42" spans="2:10" ht="50" customHeight="1">
      <c r="B42" s="2297" t="s">
        <v>1281</v>
      </c>
      <c r="C42" s="1568" t="s">
        <v>1019</v>
      </c>
      <c r="D42" s="1568" t="s">
        <v>1019</v>
      </c>
      <c r="E42" s="1568" t="s">
        <v>1019</v>
      </c>
      <c r="F42" s="1568" t="s">
        <v>1019</v>
      </c>
      <c r="G42" s="1568">
        <v>0</v>
      </c>
      <c r="H42" s="2101">
        <v>0</v>
      </c>
      <c r="I42" s="2986">
        <v>0</v>
      </c>
      <c r="J42" s="3275">
        <v>0</v>
      </c>
    </row>
    <row r="43" spans="2:10" ht="71" customHeight="1">
      <c r="B43" s="2305" t="s">
        <v>1276</v>
      </c>
      <c r="C43" s="2098" t="s">
        <v>1019</v>
      </c>
      <c r="D43" s="2098" t="s">
        <v>1019</v>
      </c>
      <c r="E43" s="2098" t="s">
        <v>1019</v>
      </c>
      <c r="F43" s="2098" t="s">
        <v>1019</v>
      </c>
      <c r="G43" s="2098">
        <v>0</v>
      </c>
      <c r="H43" s="2101">
        <v>0</v>
      </c>
      <c r="I43" s="2986">
        <v>0</v>
      </c>
      <c r="J43" s="3275">
        <v>0</v>
      </c>
    </row>
    <row r="44" spans="2:10" ht="50" customHeight="1">
      <c r="B44" s="2299" t="s">
        <v>1317</v>
      </c>
      <c r="C44" s="1568" t="s">
        <v>1019</v>
      </c>
      <c r="D44" s="1568" t="s">
        <v>1019</v>
      </c>
      <c r="E44" s="1568" t="s">
        <v>1019</v>
      </c>
      <c r="F44" s="1568" t="s">
        <v>1019</v>
      </c>
      <c r="G44" s="1568">
        <v>0</v>
      </c>
      <c r="H44" s="2101">
        <v>0</v>
      </c>
      <c r="I44" s="2986">
        <v>0</v>
      </c>
      <c r="J44" s="3275">
        <v>0</v>
      </c>
    </row>
    <row r="45" spans="2:10" ht="50" customHeight="1">
      <c r="B45" s="2299" t="s">
        <v>1318</v>
      </c>
      <c r="C45" s="1568" t="s">
        <v>1019</v>
      </c>
      <c r="D45" s="1568" t="s">
        <v>1019</v>
      </c>
      <c r="E45" s="1568" t="s">
        <v>1019</v>
      </c>
      <c r="F45" s="1568" t="s">
        <v>1019</v>
      </c>
      <c r="G45" s="1568">
        <v>0</v>
      </c>
      <c r="H45" s="2101">
        <v>0</v>
      </c>
      <c r="I45" s="2986">
        <v>0</v>
      </c>
      <c r="J45" s="3275">
        <v>0</v>
      </c>
    </row>
    <row r="46" spans="2:10" ht="50" customHeight="1">
      <c r="B46" s="2299" t="s">
        <v>1320</v>
      </c>
      <c r="C46" s="1568">
        <v>1547.5940000000001</v>
      </c>
      <c r="D46" s="1568">
        <v>1305.415</v>
      </c>
      <c r="E46" s="1568">
        <v>1268.873</v>
      </c>
      <c r="F46" s="1568">
        <v>1176.4749999999999</v>
      </c>
      <c r="G46" s="1568">
        <v>1208.0150000000001</v>
      </c>
      <c r="H46" s="2101">
        <v>1226.499</v>
      </c>
      <c r="I46" s="2986">
        <v>1262.23</v>
      </c>
      <c r="J46" s="3239">
        <v>1259.48</v>
      </c>
    </row>
    <row r="47" spans="2:10" ht="50" customHeight="1">
      <c r="B47" s="2299" t="s">
        <v>1285</v>
      </c>
      <c r="C47" s="1568">
        <v>1547.5940000000001</v>
      </c>
      <c r="D47" s="1568">
        <v>1305.415</v>
      </c>
      <c r="E47" s="1568">
        <v>1268.873</v>
      </c>
      <c r="F47" s="1568">
        <v>1176.4749999999999</v>
      </c>
      <c r="G47" s="1568">
        <v>1208.0150000000001</v>
      </c>
      <c r="H47" s="2101">
        <v>1226.499</v>
      </c>
      <c r="I47" s="2986">
        <v>1262.23</v>
      </c>
      <c r="J47" s="3239">
        <v>1259.48</v>
      </c>
    </row>
    <row r="48" spans="2:10" s="1248" customFormat="1" ht="69.5" customHeight="1">
      <c r="B48" s="2306" t="s">
        <v>1280</v>
      </c>
      <c r="C48" s="2099">
        <v>1544.0889999999999</v>
      </c>
      <c r="D48" s="2099">
        <v>1302.3510000000001</v>
      </c>
      <c r="E48" s="2099">
        <v>1266.049</v>
      </c>
      <c r="F48" s="2099">
        <v>1173.6510000000001</v>
      </c>
      <c r="G48" s="2099">
        <v>1204.3130000000001</v>
      </c>
      <c r="H48" s="2516">
        <v>1223.2049999999999</v>
      </c>
      <c r="I48" s="2987">
        <v>1259.7370000000001</v>
      </c>
      <c r="J48" s="3239">
        <v>1256.68</v>
      </c>
    </row>
    <row r="49" spans="2:10" ht="50" customHeight="1">
      <c r="B49" s="2307" t="s">
        <v>1281</v>
      </c>
      <c r="C49" s="1568">
        <v>3.5049999999999999</v>
      </c>
      <c r="D49" s="1568">
        <v>3.0640000000000001</v>
      </c>
      <c r="E49" s="1568">
        <v>2.8239999999999998</v>
      </c>
      <c r="F49" s="1568">
        <v>2.8239999999999998</v>
      </c>
      <c r="G49" s="1568">
        <v>1.41</v>
      </c>
      <c r="H49" s="2101">
        <v>1.4159999999999999</v>
      </c>
      <c r="I49" s="2986">
        <v>1.37</v>
      </c>
      <c r="J49" s="3275">
        <v>1.43</v>
      </c>
    </row>
    <row r="50" spans="2:10" ht="37.25" customHeight="1">
      <c r="B50" s="2299" t="s">
        <v>1276</v>
      </c>
      <c r="C50" s="1568" t="s">
        <v>1019</v>
      </c>
      <c r="D50" s="1568" t="s">
        <v>1019</v>
      </c>
      <c r="E50" s="1568" t="s">
        <v>1019</v>
      </c>
      <c r="F50" s="1568" t="s">
        <v>1019</v>
      </c>
      <c r="G50" s="1568">
        <v>1.1339999999999999</v>
      </c>
      <c r="H50" s="2101">
        <v>0</v>
      </c>
      <c r="I50" s="2986">
        <v>0</v>
      </c>
      <c r="J50" s="3275">
        <v>0</v>
      </c>
    </row>
    <row r="51" spans="2:10" ht="48.4">
      <c r="B51" s="2304" t="s">
        <v>1317</v>
      </c>
      <c r="C51" s="2100" t="s">
        <v>1019</v>
      </c>
      <c r="D51" s="2100" t="s">
        <v>1019</v>
      </c>
      <c r="E51" s="2100" t="s">
        <v>1019</v>
      </c>
      <c r="F51" s="2100" t="s">
        <v>1019</v>
      </c>
      <c r="G51" s="2100">
        <v>1.1579999999999999</v>
      </c>
      <c r="H51" s="2517">
        <v>1.8779999999999999</v>
      </c>
      <c r="I51" s="2985">
        <v>1.147</v>
      </c>
      <c r="J51" s="3275">
        <v>1.37</v>
      </c>
    </row>
    <row r="52" spans="2:10" ht="48.4">
      <c r="B52" s="2304" t="s">
        <v>1318</v>
      </c>
      <c r="C52" s="2100" t="s">
        <v>1019</v>
      </c>
      <c r="D52" s="2100" t="s">
        <v>1019</v>
      </c>
      <c r="E52" s="2100" t="s">
        <v>1019</v>
      </c>
      <c r="F52" s="2100" t="s">
        <v>1019</v>
      </c>
      <c r="G52" s="2100">
        <v>0</v>
      </c>
      <c r="H52" s="2517">
        <v>0</v>
      </c>
      <c r="I52" s="2985">
        <v>0</v>
      </c>
      <c r="J52" s="3275">
        <v>0</v>
      </c>
    </row>
    <row r="53" spans="2:10" ht="48.4">
      <c r="B53" s="2304" t="s">
        <v>1312</v>
      </c>
      <c r="C53" s="2100" t="s">
        <v>1019</v>
      </c>
      <c r="D53" s="2100" t="s">
        <v>1019</v>
      </c>
      <c r="E53" s="2100" t="s">
        <v>1019</v>
      </c>
      <c r="F53" s="2100" t="s">
        <v>1019</v>
      </c>
      <c r="G53" s="2100" t="s">
        <v>1019</v>
      </c>
      <c r="H53" s="2517" t="s">
        <v>1019</v>
      </c>
      <c r="I53" s="2985"/>
      <c r="J53" s="3275"/>
    </row>
    <row r="54" spans="2:10" s="2119" customFormat="1" ht="47.25" thickBot="1">
      <c r="B54" s="3936" t="s">
        <v>1321</v>
      </c>
      <c r="C54" s="3937">
        <v>-176.71889773000001</v>
      </c>
      <c r="D54" s="3937">
        <v>-289.75203999999997</v>
      </c>
      <c r="E54" s="3937">
        <v>-328.93862000000001</v>
      </c>
      <c r="F54" s="3937">
        <v>-318.06293355999998</v>
      </c>
      <c r="G54" s="3937">
        <v>-1017.8468162500001</v>
      </c>
      <c r="H54" s="3938">
        <v>-865.94256203999998</v>
      </c>
      <c r="I54" s="3939">
        <v>-817.45</v>
      </c>
      <c r="J54" s="3940">
        <v>-1045.32</v>
      </c>
    </row>
    <row r="55" spans="2:10">
      <c r="B55" s="2279" t="s">
        <v>72</v>
      </c>
    </row>
    <row r="56" spans="2:10">
      <c r="B56" s="2280" t="s">
        <v>2347</v>
      </c>
      <c r="C56" s="1249"/>
      <c r="D56" s="1249"/>
      <c r="E56" s="1249"/>
      <c r="F56" s="1249"/>
      <c r="G56" s="1249"/>
      <c r="H56" s="1249"/>
    </row>
    <row r="61" spans="2:10" ht="72.5" customHeight="1"/>
    <row r="63" spans="2:10" ht="63.5" customHeight="1"/>
    <row r="64" spans="2:10" ht="66" customHeight="1"/>
    <row r="65" ht="73.25" customHeight="1"/>
    <row r="66" ht="26.75" customHeight="1"/>
    <row r="86" ht="72" customHeight="1"/>
    <row r="87" ht="38.75" customHeight="1"/>
    <row r="88" ht="38.75" customHeight="1"/>
    <row r="89" ht="38.75" customHeight="1"/>
    <row r="90" ht="38.75" customHeight="1"/>
    <row r="92" ht="38.75" customHeight="1"/>
    <row r="93" ht="38.75" customHeight="1"/>
    <row r="94" ht="38.75" customHeight="1"/>
    <row r="95" ht="38.75" customHeight="1"/>
    <row r="96" ht="38.75" customHeight="1"/>
    <row r="97" ht="38.75" customHeight="1"/>
    <row r="98" ht="38.75" customHeight="1"/>
    <row r="100" hidden="1"/>
  </sheetData>
  <mergeCells count="3">
    <mergeCell ref="B1:I1"/>
    <mergeCell ref="B2:I2"/>
    <mergeCell ref="B3:I3"/>
  </mergeCells>
  <printOptions horizontalCentered="1" verticalCentered="1"/>
  <pageMargins left="0.25" right="0.25" top="0.75" bottom="0.75" header="0.3" footer="0.3"/>
  <pageSetup scale="16" firstPageNumber="103" orientation="landscape" useFirstPageNumber="1" r:id="rId1"/>
  <headerFooter scaleWithDoc="0" alignWithMargins="0">
    <oddFooter xml:space="preserve">&amp;C146
</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B0F0"/>
    <pageSetUpPr fitToPage="1"/>
  </sheetPr>
  <dimension ref="B1:J60"/>
  <sheetViews>
    <sheetView showGridLines="0" view="pageBreakPreview" zoomScale="20" zoomScaleNormal="50" zoomScaleSheetLayoutView="20" workbookViewId="0">
      <pane xSplit="2" ySplit="5" topLeftCell="C6" activePane="bottomRight" state="frozen"/>
      <selection activeCell="B44" sqref="B44"/>
      <selection pane="topRight" activeCell="B44" sqref="B44"/>
      <selection pane="bottomLeft" activeCell="B44" sqref="B44"/>
      <selection pane="bottomRight" activeCell="B44" sqref="B44"/>
    </sheetView>
  </sheetViews>
  <sheetFormatPr defaultColWidth="9.33203125" defaultRowHeight="48.4"/>
  <cols>
    <col min="1" max="1" width="9.33203125" style="1566"/>
    <col min="2" max="2" width="255.6640625" style="2280" customWidth="1"/>
    <col min="3" max="9" width="54" style="1566" customWidth="1"/>
    <col min="10" max="10" width="54" style="3114" customWidth="1"/>
    <col min="11" max="16384" width="9.33203125" style="1566"/>
  </cols>
  <sheetData>
    <row r="1" spans="2:10">
      <c r="B1" s="5929" t="s">
        <v>1849</v>
      </c>
      <c r="C1" s="5929"/>
      <c r="D1" s="5929"/>
      <c r="E1" s="5929"/>
      <c r="F1" s="5929"/>
      <c r="G1" s="5929"/>
      <c r="H1" s="5929"/>
      <c r="I1" s="5929"/>
    </row>
    <row r="2" spans="2:10">
      <c r="B2" s="5929" t="s">
        <v>1074</v>
      </c>
      <c r="C2" s="5929"/>
      <c r="D2" s="5929"/>
      <c r="E2" s="5929"/>
      <c r="F2" s="5929"/>
      <c r="G2" s="5929"/>
      <c r="H2" s="5929"/>
      <c r="I2" s="5929"/>
    </row>
    <row r="3" spans="2:10">
      <c r="B3" s="5929" t="s">
        <v>1048</v>
      </c>
      <c r="C3" s="5929"/>
      <c r="D3" s="5929"/>
      <c r="E3" s="5929"/>
      <c r="F3" s="5929"/>
      <c r="G3" s="5929"/>
      <c r="H3" s="5929"/>
      <c r="I3" s="5929"/>
    </row>
    <row r="4" spans="2:10" ht="19.25" customHeight="1" thickBot="1">
      <c r="B4" s="4898"/>
      <c r="C4" s="4898"/>
      <c r="D4" s="4898"/>
      <c r="E4" s="4898"/>
      <c r="F4" s="4898"/>
      <c r="G4" s="4898"/>
      <c r="H4" s="4898"/>
      <c r="I4" s="4898"/>
    </row>
    <row r="5" spans="2:10" ht="48.75" thickBot="1">
      <c r="B5" s="2275" t="s">
        <v>418</v>
      </c>
      <c r="C5" s="1564">
        <v>2016</v>
      </c>
      <c r="D5" s="1565">
        <v>2017</v>
      </c>
      <c r="E5" s="1565">
        <v>2018</v>
      </c>
      <c r="F5" s="1565">
        <v>2019</v>
      </c>
      <c r="G5" s="1565">
        <v>2020</v>
      </c>
      <c r="H5" s="2519">
        <v>2021</v>
      </c>
      <c r="I5" s="2988">
        <v>2022</v>
      </c>
      <c r="J5" s="3273" t="s">
        <v>1959</v>
      </c>
    </row>
    <row r="6" spans="2:10" s="2671" customFormat="1" ht="50" customHeight="1">
      <c r="B6" s="2685" t="s">
        <v>1322</v>
      </c>
      <c r="C6" s="2670">
        <v>3263.4457603999999</v>
      </c>
      <c r="D6" s="2670">
        <v>3315.3221400000002</v>
      </c>
      <c r="E6" s="2670">
        <v>3444.23866</v>
      </c>
      <c r="F6" s="2670">
        <v>3576.1735643000002</v>
      </c>
      <c r="G6" s="2670">
        <v>3122.3688040000002</v>
      </c>
      <c r="H6" s="2670">
        <v>3586.4901285000001</v>
      </c>
      <c r="I6" s="2680">
        <v>3726.97</v>
      </c>
      <c r="J6" s="3276">
        <v>4143.8</v>
      </c>
    </row>
    <row r="7" spans="2:10" ht="50" customHeight="1">
      <c r="B7" s="2276" t="s">
        <v>1323</v>
      </c>
      <c r="C7" s="1568">
        <v>901.44776039999999</v>
      </c>
      <c r="D7" s="1568">
        <v>968.67813999999998</v>
      </c>
      <c r="E7" s="1568">
        <v>1073.51666</v>
      </c>
      <c r="F7" s="1568">
        <v>1130.9775643</v>
      </c>
      <c r="G7" s="1568">
        <v>983.79880400000002</v>
      </c>
      <c r="H7" s="1568">
        <v>1376.4421285000001</v>
      </c>
      <c r="I7" s="2986">
        <v>1455.74</v>
      </c>
      <c r="J7" s="3239">
        <v>1608.54</v>
      </c>
    </row>
    <row r="8" spans="2:10" ht="50" customHeight="1">
      <c r="B8" s="2686" t="s">
        <v>1324</v>
      </c>
      <c r="C8" s="1568">
        <v>165.7637604</v>
      </c>
      <c r="D8" s="1568">
        <v>159.62314000000001</v>
      </c>
      <c r="E8" s="1568">
        <v>163.37066000000002</v>
      </c>
      <c r="F8" s="1568">
        <v>155.00856429999999</v>
      </c>
      <c r="G8" s="1568">
        <v>155.49580399999999</v>
      </c>
      <c r="H8" s="1568">
        <v>173.86412849999999</v>
      </c>
      <c r="I8" s="2986">
        <v>179.75</v>
      </c>
      <c r="J8" s="3277">
        <v>177.58</v>
      </c>
    </row>
    <row r="9" spans="2:10" ht="50" customHeight="1">
      <c r="B9" s="2676" t="s">
        <v>1325</v>
      </c>
      <c r="C9" s="1568">
        <v>245.64376039999999</v>
      </c>
      <c r="D9" s="1568">
        <v>240.80214000000001</v>
      </c>
      <c r="E9" s="1568">
        <v>239.57465999999999</v>
      </c>
      <c r="F9" s="1568">
        <v>242.10156430000001</v>
      </c>
      <c r="G9" s="1568">
        <v>234.33180400000001</v>
      </c>
      <c r="H9" s="1568">
        <v>251.02212849999998</v>
      </c>
      <c r="I9" s="2986">
        <v>254.83328539999999</v>
      </c>
      <c r="J9" s="3277">
        <v>265.57</v>
      </c>
    </row>
    <row r="10" spans="2:10" ht="50" customHeight="1">
      <c r="B10" s="2676" t="s">
        <v>1326</v>
      </c>
      <c r="C10" s="1568">
        <v>245.64376039999999</v>
      </c>
      <c r="D10" s="1568">
        <v>240.80214000000001</v>
      </c>
      <c r="E10" s="1568">
        <v>239.57465999999999</v>
      </c>
      <c r="F10" s="1568">
        <v>242.10156430000001</v>
      </c>
      <c r="G10" s="1568">
        <v>234.33180400000001</v>
      </c>
      <c r="H10" s="1568">
        <v>251.02212849999998</v>
      </c>
      <c r="I10" s="2986">
        <v>254.83328539999999</v>
      </c>
      <c r="J10" s="3277">
        <v>265.57</v>
      </c>
    </row>
    <row r="11" spans="2:10" ht="50" customHeight="1">
      <c r="B11" s="2276" t="s">
        <v>1327</v>
      </c>
      <c r="C11" s="1568" t="s">
        <v>1019</v>
      </c>
      <c r="D11" s="1568" t="s">
        <v>1019</v>
      </c>
      <c r="E11" s="1568" t="s">
        <v>1019</v>
      </c>
      <c r="F11" s="1568" t="s">
        <v>1019</v>
      </c>
      <c r="G11" s="1568" t="s">
        <v>1019</v>
      </c>
      <c r="H11" s="1568" t="s">
        <v>1019</v>
      </c>
      <c r="I11" s="2986"/>
      <c r="J11" s="3277"/>
    </row>
    <row r="12" spans="2:10" ht="50" customHeight="1">
      <c r="B12" s="2276" t="s">
        <v>1328</v>
      </c>
      <c r="C12" s="1568">
        <v>79.88</v>
      </c>
      <c r="D12" s="1568">
        <v>81.179000000000002</v>
      </c>
      <c r="E12" s="1568">
        <v>76.203999999999994</v>
      </c>
      <c r="F12" s="1568">
        <v>87.093000000000004</v>
      </c>
      <c r="G12" s="1568">
        <v>78.835999999999999</v>
      </c>
      <c r="H12" s="1568">
        <v>77.158000000000001</v>
      </c>
      <c r="I12" s="2986">
        <v>75.084999999999994</v>
      </c>
      <c r="J12" s="3277">
        <v>87.99</v>
      </c>
    </row>
    <row r="13" spans="2:10" ht="50" customHeight="1">
      <c r="B13" s="2276" t="s">
        <v>1186</v>
      </c>
      <c r="C13" s="1568">
        <v>735.68399999999997</v>
      </c>
      <c r="D13" s="1568">
        <v>809.05499999999995</v>
      </c>
      <c r="E13" s="1568">
        <v>910.14599999999996</v>
      </c>
      <c r="F13" s="1568">
        <v>975.96900000000005</v>
      </c>
      <c r="G13" s="1568">
        <v>828.303</v>
      </c>
      <c r="H13" s="1568">
        <v>1202.578</v>
      </c>
      <c r="I13" s="2986">
        <v>1275.99</v>
      </c>
      <c r="J13" s="3239">
        <v>1430.97</v>
      </c>
    </row>
    <row r="14" spans="2:10" ht="50" customHeight="1">
      <c r="B14" s="2270" t="s">
        <v>1329</v>
      </c>
      <c r="C14" s="1568">
        <v>119.414</v>
      </c>
      <c r="D14" s="1568">
        <v>142.17400000000001</v>
      </c>
      <c r="E14" s="1568">
        <v>167.065</v>
      </c>
      <c r="F14" s="1568">
        <v>220.875</v>
      </c>
      <c r="G14" s="1568">
        <v>98.602999999999994</v>
      </c>
      <c r="H14" s="1568">
        <v>65.417000000000002</v>
      </c>
      <c r="I14" s="2986">
        <v>90.637</v>
      </c>
      <c r="J14" s="3277">
        <v>112.9</v>
      </c>
    </row>
    <row r="15" spans="2:10" ht="69.5" customHeight="1">
      <c r="B15" s="2272" t="s">
        <v>1330</v>
      </c>
      <c r="C15" s="1568">
        <v>119.414</v>
      </c>
      <c r="D15" s="1568">
        <v>142.17400000000001</v>
      </c>
      <c r="E15" s="1568">
        <v>167.065</v>
      </c>
      <c r="F15" s="1568">
        <v>220.875</v>
      </c>
      <c r="G15" s="1568">
        <v>98.602999999999994</v>
      </c>
      <c r="H15" s="1568">
        <v>65.417000000000002</v>
      </c>
      <c r="I15" s="2986">
        <v>90.637</v>
      </c>
      <c r="J15" s="3277">
        <v>112.9</v>
      </c>
    </row>
    <row r="16" spans="2:10" ht="50" customHeight="1">
      <c r="B16" s="2276" t="s">
        <v>1312</v>
      </c>
      <c r="C16" s="1568" t="s">
        <v>1019</v>
      </c>
      <c r="D16" s="1568" t="s">
        <v>1019</v>
      </c>
      <c r="E16" s="1568" t="s">
        <v>1019</v>
      </c>
      <c r="F16" s="1568" t="s">
        <v>1019</v>
      </c>
      <c r="G16" s="1568" t="s">
        <v>1019</v>
      </c>
      <c r="H16" s="1568" t="s">
        <v>1019</v>
      </c>
      <c r="I16" s="2986"/>
      <c r="J16" s="3277"/>
    </row>
    <row r="17" spans="2:10" ht="63.5" customHeight="1">
      <c r="B17" s="2272" t="s">
        <v>1331</v>
      </c>
      <c r="C17" s="1568" t="s">
        <v>1019</v>
      </c>
      <c r="D17" s="1568" t="s">
        <v>1019</v>
      </c>
      <c r="E17" s="1568" t="s">
        <v>1019</v>
      </c>
      <c r="F17" s="1568" t="s">
        <v>1019</v>
      </c>
      <c r="G17" s="1568">
        <v>8.6370000000000005</v>
      </c>
      <c r="H17" s="1568">
        <v>6.6260000000000003</v>
      </c>
      <c r="I17" s="2986">
        <v>9.4629999999999992</v>
      </c>
      <c r="J17" s="3277">
        <v>5.52</v>
      </c>
    </row>
    <row r="18" spans="2:10" ht="68.75" customHeight="1">
      <c r="B18" s="2272" t="s">
        <v>1330</v>
      </c>
      <c r="C18" s="1568" t="s">
        <v>1019</v>
      </c>
      <c r="D18" s="1568" t="s">
        <v>1019</v>
      </c>
      <c r="E18" s="1568" t="s">
        <v>1019</v>
      </c>
      <c r="F18" s="1568" t="s">
        <v>1019</v>
      </c>
      <c r="G18" s="1568">
        <v>8.6370000000000005</v>
      </c>
      <c r="H18" s="1568">
        <v>6.6260000000000003</v>
      </c>
      <c r="I18" s="2986">
        <v>9.4629999999999992</v>
      </c>
      <c r="J18" s="3277">
        <v>5.52</v>
      </c>
    </row>
    <row r="19" spans="2:10" ht="70.25" customHeight="1">
      <c r="B19" s="2272" t="s">
        <v>1312</v>
      </c>
      <c r="C19" s="1568">
        <v>0</v>
      </c>
      <c r="D19" s="1568">
        <v>0</v>
      </c>
      <c r="E19" s="1568">
        <v>0</v>
      </c>
      <c r="F19" s="1568">
        <v>0</v>
      </c>
      <c r="G19" s="1568">
        <v>0</v>
      </c>
      <c r="H19" s="1568">
        <v>0</v>
      </c>
      <c r="I19" s="2986">
        <v>0</v>
      </c>
      <c r="J19" s="3277">
        <v>0</v>
      </c>
    </row>
    <row r="20" spans="2:10" s="1567" customFormat="1">
      <c r="B20" s="2274" t="s">
        <v>1332</v>
      </c>
      <c r="C20" s="2099">
        <v>41.710999999999999</v>
      </c>
      <c r="D20" s="2099">
        <v>58.713999999999999</v>
      </c>
      <c r="E20" s="2099">
        <v>57.457000000000001</v>
      </c>
      <c r="F20" s="2099">
        <v>76.058999999999997</v>
      </c>
      <c r="G20" s="2099">
        <v>18.311</v>
      </c>
      <c r="H20" s="2099">
        <v>32.875</v>
      </c>
      <c r="I20" s="2987">
        <v>48.654000000000003</v>
      </c>
      <c r="J20" s="3278">
        <v>59.57</v>
      </c>
    </row>
    <row r="21" spans="2:10">
      <c r="B21" s="2277" t="s">
        <v>1330</v>
      </c>
      <c r="C21" s="1568">
        <v>41.710999999999999</v>
      </c>
      <c r="D21" s="1568">
        <v>58.713999999999999</v>
      </c>
      <c r="E21" s="1568">
        <v>57.457000000000001</v>
      </c>
      <c r="F21" s="1568">
        <v>76.058999999999997</v>
      </c>
      <c r="G21" s="1568">
        <v>18.311</v>
      </c>
      <c r="H21" s="1568">
        <v>32.875</v>
      </c>
      <c r="I21" s="2986">
        <v>48.654000000000003</v>
      </c>
      <c r="J21" s="3277">
        <v>59.57</v>
      </c>
    </row>
    <row r="22" spans="2:10">
      <c r="B22" s="2278" t="s">
        <v>1312</v>
      </c>
      <c r="C22" s="1568">
        <v>0</v>
      </c>
      <c r="D22" s="1568">
        <v>0</v>
      </c>
      <c r="E22" s="1568">
        <v>0</v>
      </c>
      <c r="F22" s="1568">
        <v>0</v>
      </c>
      <c r="G22" s="1568">
        <v>0</v>
      </c>
      <c r="H22" s="1568">
        <v>0</v>
      </c>
      <c r="I22" s="2986"/>
      <c r="J22" s="3277"/>
    </row>
    <row r="23" spans="2:10" ht="92.25" customHeight="1">
      <c r="B23" s="2272" t="s">
        <v>1333</v>
      </c>
      <c r="C23" s="1568">
        <v>566.16600000000005</v>
      </c>
      <c r="D23" s="1568">
        <v>603.18499999999995</v>
      </c>
      <c r="E23" s="1568">
        <v>673.92499999999995</v>
      </c>
      <c r="F23" s="1568">
        <v>659.98099999999999</v>
      </c>
      <c r="G23" s="1568">
        <v>702.75199999999995</v>
      </c>
      <c r="H23" s="1568">
        <v>1097.6600000000001</v>
      </c>
      <c r="I23" s="2986">
        <v>1127.24</v>
      </c>
      <c r="J23" s="3239">
        <v>1252.98</v>
      </c>
    </row>
    <row r="24" spans="2:10" ht="50" customHeight="1">
      <c r="B24" s="2271" t="s">
        <v>954</v>
      </c>
      <c r="C24" s="1568">
        <v>188.029</v>
      </c>
      <c r="D24" s="1568">
        <v>185.44200000000001</v>
      </c>
      <c r="E24" s="1568">
        <v>209.39</v>
      </c>
      <c r="F24" s="1568">
        <v>179.17599999999999</v>
      </c>
      <c r="G24" s="1568">
        <v>174.137</v>
      </c>
      <c r="H24" s="1568">
        <v>433.43099999999998</v>
      </c>
      <c r="I24" s="2986">
        <v>433.47</v>
      </c>
      <c r="J24" s="3277">
        <v>474.95</v>
      </c>
    </row>
    <row r="25" spans="2:10" ht="50" customHeight="1">
      <c r="B25" s="2271" t="s">
        <v>1334</v>
      </c>
      <c r="C25" s="1568" t="s">
        <v>1019</v>
      </c>
      <c r="D25" s="1568" t="s">
        <v>1019</v>
      </c>
      <c r="E25" s="1568" t="s">
        <v>1019</v>
      </c>
      <c r="F25" s="1568" t="s">
        <v>1019</v>
      </c>
      <c r="G25" s="1568">
        <v>43.613999999999997</v>
      </c>
      <c r="H25" s="1568">
        <v>35.219000000000001</v>
      </c>
      <c r="I25" s="2986">
        <v>28.42</v>
      </c>
      <c r="J25" s="3277">
        <v>24.03</v>
      </c>
    </row>
    <row r="26" spans="2:10" ht="50" customHeight="1">
      <c r="B26" s="2271" t="s">
        <v>1335</v>
      </c>
      <c r="C26" s="1568">
        <v>378.137</v>
      </c>
      <c r="D26" s="1568">
        <v>417.74299999999999</v>
      </c>
      <c r="E26" s="1568">
        <v>464.53500000000003</v>
      </c>
      <c r="F26" s="1568">
        <v>480.80500000000001</v>
      </c>
      <c r="G26" s="1568">
        <v>485.00099999999998</v>
      </c>
      <c r="H26" s="1568">
        <v>629.01</v>
      </c>
      <c r="I26" s="2986">
        <v>665.25800000000004</v>
      </c>
      <c r="J26" s="3277">
        <v>754</v>
      </c>
    </row>
    <row r="27" spans="2:10" ht="27" customHeight="1">
      <c r="B27" s="2271" t="s">
        <v>1330</v>
      </c>
      <c r="C27" s="1568">
        <v>378.137</v>
      </c>
      <c r="D27" s="1568">
        <v>417.74299999999999</v>
      </c>
      <c r="E27" s="1568">
        <v>464.53500000000003</v>
      </c>
      <c r="F27" s="1568">
        <v>480.80500000000001</v>
      </c>
      <c r="G27" s="1568">
        <v>485.00099999999998</v>
      </c>
      <c r="H27" s="1568">
        <v>629.01</v>
      </c>
      <c r="I27" s="2986"/>
      <c r="J27" s="3277"/>
    </row>
    <row r="28" spans="2:10" ht="50" customHeight="1">
      <c r="B28" s="2270" t="s">
        <v>1312</v>
      </c>
      <c r="C28" s="1568" t="s">
        <v>1019</v>
      </c>
      <c r="D28" s="1568" t="s">
        <v>1019</v>
      </c>
      <c r="E28" s="1568" t="s">
        <v>1019</v>
      </c>
      <c r="F28" s="1568" t="s">
        <v>1019</v>
      </c>
      <c r="G28" s="1568" t="s">
        <v>1019</v>
      </c>
      <c r="H28" s="1568" t="s">
        <v>1019</v>
      </c>
      <c r="I28" s="2986"/>
      <c r="J28" s="3277"/>
    </row>
    <row r="29" spans="2:10" s="2671" customFormat="1" ht="50" customHeight="1">
      <c r="B29" s="2675" t="s">
        <v>1336</v>
      </c>
      <c r="C29" s="2670">
        <v>2361.998</v>
      </c>
      <c r="D29" s="2670">
        <v>2346.6439999999998</v>
      </c>
      <c r="E29" s="2670">
        <v>2370.7220000000002</v>
      </c>
      <c r="F29" s="2670">
        <v>2445.1959999999999</v>
      </c>
      <c r="G29" s="2670">
        <v>2138.5700000000002</v>
      </c>
      <c r="H29" s="2670">
        <v>2210.0479999999998</v>
      </c>
      <c r="I29" s="2680">
        <v>2271.2199999999998</v>
      </c>
      <c r="J29" s="3276">
        <v>2535.25</v>
      </c>
    </row>
    <row r="30" spans="2:10" ht="50" customHeight="1">
      <c r="B30" s="2270" t="s">
        <v>1337</v>
      </c>
      <c r="C30" s="1568">
        <v>2018.0920000000001</v>
      </c>
      <c r="D30" s="1568">
        <v>1991.9490000000001</v>
      </c>
      <c r="E30" s="1568">
        <v>1987.393</v>
      </c>
      <c r="F30" s="1568">
        <v>2034.4179999999999</v>
      </c>
      <c r="G30" s="1568">
        <v>1766.2650000000001</v>
      </c>
      <c r="H30" s="1568">
        <v>1738.529</v>
      </c>
      <c r="I30" s="2986">
        <v>1784.5119999999999</v>
      </c>
      <c r="J30" s="3239">
        <v>1917.35</v>
      </c>
    </row>
    <row r="31" spans="2:10" ht="50" customHeight="1">
      <c r="B31" s="2676" t="s">
        <v>1338</v>
      </c>
      <c r="C31" s="1568">
        <v>162.803</v>
      </c>
      <c r="D31" s="1568">
        <v>132.99799999999999</v>
      </c>
      <c r="E31" s="1568">
        <v>133.30799999999999</v>
      </c>
      <c r="F31" s="1568">
        <v>146.70400000000001</v>
      </c>
      <c r="G31" s="1568">
        <v>26.419</v>
      </c>
      <c r="H31" s="1568">
        <v>24.815999999999999</v>
      </c>
      <c r="I31" s="2986">
        <v>25.202999999999999</v>
      </c>
      <c r="J31" s="3277">
        <v>38.909999999999997</v>
      </c>
    </row>
    <row r="32" spans="2:10" ht="39.5" customHeight="1">
      <c r="B32" s="2678" t="s">
        <v>1339</v>
      </c>
      <c r="C32" s="1568">
        <v>30.949000000000002</v>
      </c>
      <c r="D32" s="1568">
        <v>29.78</v>
      </c>
      <c r="E32" s="1568">
        <v>31.228999999999999</v>
      </c>
      <c r="F32" s="1568">
        <v>19.827999999999999</v>
      </c>
      <c r="G32" s="1568">
        <v>4.8819999999999997</v>
      </c>
      <c r="H32" s="1568">
        <v>4.234</v>
      </c>
      <c r="I32" s="2986">
        <v>3.7690000000000001</v>
      </c>
      <c r="J32" s="3277">
        <v>3.78</v>
      </c>
    </row>
    <row r="33" spans="2:10" ht="50" customHeight="1">
      <c r="B33" s="2678" t="s">
        <v>1340</v>
      </c>
      <c r="C33" s="1568">
        <v>128.709</v>
      </c>
      <c r="D33" s="1568">
        <v>100.26900000000001</v>
      </c>
      <c r="E33" s="1568">
        <v>99.120999999999995</v>
      </c>
      <c r="F33" s="1568">
        <v>126.627</v>
      </c>
      <c r="G33" s="1568">
        <v>21.536999999999999</v>
      </c>
      <c r="H33" s="1568">
        <v>20.582000000000001</v>
      </c>
      <c r="I33" s="2986">
        <v>21.434000000000001</v>
      </c>
      <c r="J33" s="3277">
        <v>35.130000000000003</v>
      </c>
    </row>
    <row r="34" spans="2:10" ht="50" customHeight="1">
      <c r="B34" s="2678" t="s">
        <v>1341</v>
      </c>
      <c r="C34" s="1568" t="s">
        <v>1019</v>
      </c>
      <c r="D34" s="1568" t="s">
        <v>1019</v>
      </c>
      <c r="E34" s="1568" t="s">
        <v>1019</v>
      </c>
      <c r="F34" s="1568" t="s">
        <v>1019</v>
      </c>
      <c r="G34" s="1568">
        <v>0</v>
      </c>
      <c r="H34" s="1568">
        <v>0</v>
      </c>
      <c r="I34" s="2986">
        <v>0</v>
      </c>
      <c r="J34" s="3277">
        <v>0</v>
      </c>
    </row>
    <row r="35" spans="2:10" s="2674" customFormat="1" ht="62" customHeight="1">
      <c r="B35" s="2672" t="s">
        <v>1342</v>
      </c>
      <c r="C35" s="2673">
        <v>71.164000000000001</v>
      </c>
      <c r="D35" s="2673">
        <v>90.29</v>
      </c>
      <c r="E35" s="2673">
        <v>75.022000000000006</v>
      </c>
      <c r="F35" s="2673">
        <v>59.790999999999997</v>
      </c>
      <c r="G35" s="2673">
        <v>15.102</v>
      </c>
      <c r="H35" s="2673">
        <v>22.922999999999998</v>
      </c>
      <c r="I35" s="2990">
        <v>23.34</v>
      </c>
      <c r="J35" s="3279">
        <v>39.409999999999997</v>
      </c>
    </row>
    <row r="36" spans="2:10" ht="50" customHeight="1">
      <c r="B36" s="2271" t="s">
        <v>1330</v>
      </c>
      <c r="C36" s="1568" t="s">
        <v>1019</v>
      </c>
      <c r="D36" s="1568" t="s">
        <v>1019</v>
      </c>
      <c r="E36" s="1568" t="s">
        <v>1019</v>
      </c>
      <c r="F36" s="1568" t="s">
        <v>1019</v>
      </c>
      <c r="G36" s="1568">
        <v>15.102</v>
      </c>
      <c r="H36" s="1568">
        <v>22.922999999999998</v>
      </c>
      <c r="I36" s="2986">
        <v>23.335999999999999</v>
      </c>
      <c r="J36" s="3277">
        <v>39.409999999999997</v>
      </c>
    </row>
    <row r="37" spans="2:10" ht="44" customHeight="1">
      <c r="B37" s="2676" t="s">
        <v>1339</v>
      </c>
      <c r="C37" s="1568">
        <v>1.526</v>
      </c>
      <c r="D37" s="1568">
        <v>5.7279999999999998</v>
      </c>
      <c r="E37" s="1568">
        <v>7.4589999999999996</v>
      </c>
      <c r="F37" s="1568">
        <v>8.7319999999999993</v>
      </c>
      <c r="G37" s="1568">
        <v>15.102</v>
      </c>
      <c r="H37" s="1568">
        <v>22.922999999999998</v>
      </c>
      <c r="I37" s="2986">
        <v>23.335999999999999</v>
      </c>
      <c r="J37" s="3277">
        <v>39.409999999999997</v>
      </c>
    </row>
    <row r="38" spans="2:10" ht="50" customHeight="1">
      <c r="B38" s="2676" t="s">
        <v>1340</v>
      </c>
      <c r="C38" s="1568">
        <v>69.638000000000005</v>
      </c>
      <c r="D38" s="1568">
        <v>84.561999999999998</v>
      </c>
      <c r="E38" s="1568">
        <v>67.563000000000002</v>
      </c>
      <c r="F38" s="1568">
        <v>51.058999999999997</v>
      </c>
      <c r="G38" s="1568">
        <v>0</v>
      </c>
      <c r="H38" s="1568">
        <v>0</v>
      </c>
      <c r="I38" s="2986">
        <v>0</v>
      </c>
      <c r="J38" s="3277">
        <v>0</v>
      </c>
    </row>
    <row r="39" spans="2:10" ht="50" customHeight="1">
      <c r="B39" s="2676" t="s">
        <v>1341</v>
      </c>
      <c r="C39" s="1568" t="s">
        <v>1019</v>
      </c>
      <c r="D39" s="1568" t="s">
        <v>1019</v>
      </c>
      <c r="E39" s="1568" t="s">
        <v>1019</v>
      </c>
      <c r="F39" s="1568" t="s">
        <v>1019</v>
      </c>
      <c r="G39" s="1568">
        <v>0</v>
      </c>
      <c r="H39" s="1568">
        <v>0</v>
      </c>
      <c r="I39" s="2986">
        <v>0</v>
      </c>
      <c r="J39" s="3277">
        <v>0</v>
      </c>
    </row>
    <row r="40" spans="2:10" ht="72" customHeight="1">
      <c r="B40" s="2273" t="s">
        <v>1312</v>
      </c>
      <c r="C40" s="1568" t="s">
        <v>1019</v>
      </c>
      <c r="D40" s="1568" t="s">
        <v>1019</v>
      </c>
      <c r="E40" s="1568" t="s">
        <v>1019</v>
      </c>
      <c r="F40" s="1568" t="s">
        <v>1019</v>
      </c>
      <c r="G40" s="1568">
        <v>0</v>
      </c>
      <c r="H40" s="1568">
        <v>0</v>
      </c>
      <c r="I40" s="2986">
        <v>0</v>
      </c>
      <c r="J40" s="3277">
        <v>0</v>
      </c>
    </row>
    <row r="41" spans="2:10" s="2671" customFormat="1" ht="66" customHeight="1">
      <c r="B41" s="2684" t="s">
        <v>1343</v>
      </c>
      <c r="C41" s="2670" t="s">
        <v>1019</v>
      </c>
      <c r="D41" s="2670" t="s">
        <v>1019</v>
      </c>
      <c r="E41" s="2670" t="s">
        <v>1019</v>
      </c>
      <c r="F41" s="2670" t="s">
        <v>1019</v>
      </c>
      <c r="G41" s="2670">
        <v>13.935</v>
      </c>
      <c r="H41" s="2670">
        <v>23.776</v>
      </c>
      <c r="I41" s="2680">
        <v>22.568000000000001</v>
      </c>
      <c r="J41" s="3280">
        <v>24.71</v>
      </c>
    </row>
    <row r="42" spans="2:10" ht="50" customHeight="1">
      <c r="B42" s="2676" t="s">
        <v>1339</v>
      </c>
      <c r="C42" s="1568" t="s">
        <v>1019</v>
      </c>
      <c r="D42" s="1568" t="s">
        <v>1019</v>
      </c>
      <c r="E42" s="1568" t="s">
        <v>1019</v>
      </c>
      <c r="F42" s="1568" t="s">
        <v>1019</v>
      </c>
      <c r="G42" s="1568">
        <v>0</v>
      </c>
      <c r="H42" s="1568">
        <v>0</v>
      </c>
      <c r="I42" s="2986">
        <v>0</v>
      </c>
      <c r="J42" s="3277">
        <v>0</v>
      </c>
    </row>
    <row r="43" spans="2:10" ht="68" customHeight="1">
      <c r="B43" s="2682" t="s">
        <v>1340</v>
      </c>
      <c r="C43" s="1568" t="s">
        <v>1019</v>
      </c>
      <c r="D43" s="1568" t="s">
        <v>1019</v>
      </c>
      <c r="E43" s="1568" t="s">
        <v>1019</v>
      </c>
      <c r="F43" s="1568" t="s">
        <v>1019</v>
      </c>
      <c r="G43" s="1568">
        <v>13.935</v>
      </c>
      <c r="H43" s="1568">
        <v>23.776</v>
      </c>
      <c r="I43" s="2986">
        <v>22.568000000000001</v>
      </c>
      <c r="J43" s="3277">
        <v>24.71</v>
      </c>
    </row>
    <row r="44" spans="2:10" ht="49.5" customHeight="1">
      <c r="B44" s="2676" t="s">
        <v>1341</v>
      </c>
      <c r="C44" s="1568" t="s">
        <v>1019</v>
      </c>
      <c r="D44" s="1568" t="s">
        <v>1019</v>
      </c>
      <c r="E44" s="1568" t="s">
        <v>1019</v>
      </c>
      <c r="F44" s="1568" t="s">
        <v>1019</v>
      </c>
      <c r="G44" s="1568">
        <v>0</v>
      </c>
      <c r="H44" s="1568">
        <v>0</v>
      </c>
      <c r="I44" s="2986">
        <v>0</v>
      </c>
      <c r="J44" s="3277">
        <v>0</v>
      </c>
    </row>
    <row r="45" spans="2:10" s="2671" customFormat="1" ht="42" customHeight="1">
      <c r="B45" s="2681" t="s">
        <v>1344</v>
      </c>
      <c r="C45" s="2680">
        <v>1784.125</v>
      </c>
      <c r="D45" s="2680">
        <v>1768.6610000000001</v>
      </c>
      <c r="E45" s="2680">
        <v>1779.0630000000001</v>
      </c>
      <c r="F45" s="2680">
        <v>1827.923</v>
      </c>
      <c r="G45" s="2680">
        <v>1710.809</v>
      </c>
      <c r="H45" s="2680">
        <v>1667.0139999999999</v>
      </c>
      <c r="I45" s="2680">
        <v>1713.405</v>
      </c>
      <c r="J45" s="3276">
        <v>1814.32</v>
      </c>
    </row>
    <row r="46" spans="2:10" ht="50" customHeight="1">
      <c r="B46" s="2677" t="s">
        <v>1345</v>
      </c>
      <c r="C46" s="1568">
        <v>1491.5450000000001</v>
      </c>
      <c r="D46" s="1568">
        <v>1576.796</v>
      </c>
      <c r="E46" s="1568">
        <v>1623.538</v>
      </c>
      <c r="F46" s="1568">
        <v>1689.057</v>
      </c>
      <c r="G46" s="1568">
        <v>1599.68</v>
      </c>
      <c r="H46" s="1568">
        <v>1556.123</v>
      </c>
      <c r="I46" s="2986">
        <v>1604.126</v>
      </c>
      <c r="J46" s="3239">
        <v>1719.11</v>
      </c>
    </row>
    <row r="47" spans="2:10" ht="78.75" customHeight="1">
      <c r="B47" s="2683" t="s">
        <v>1346</v>
      </c>
      <c r="C47" s="1568" t="s">
        <v>1019</v>
      </c>
      <c r="D47" s="1568" t="s">
        <v>1019</v>
      </c>
      <c r="E47" s="1568" t="s">
        <v>1019</v>
      </c>
      <c r="F47" s="1568" t="s">
        <v>1019</v>
      </c>
      <c r="G47" s="1568">
        <v>11.018000000000001</v>
      </c>
      <c r="H47" s="1568">
        <v>13.042999999999999</v>
      </c>
      <c r="I47" s="2986">
        <v>15.541</v>
      </c>
      <c r="J47" s="3277">
        <v>13.57</v>
      </c>
    </row>
    <row r="48" spans="2:10" ht="59" customHeight="1">
      <c r="B48" s="2677" t="s">
        <v>1347</v>
      </c>
      <c r="C48" s="1568">
        <v>62.09</v>
      </c>
      <c r="D48" s="1568">
        <v>17.753</v>
      </c>
      <c r="E48" s="1568">
        <v>19.399999999999999</v>
      </c>
      <c r="F48" s="1568">
        <v>18.263999999999999</v>
      </c>
      <c r="G48" s="1568">
        <v>9.1210000000000004</v>
      </c>
      <c r="H48" s="1568">
        <v>7.8739999999999997</v>
      </c>
      <c r="I48" s="2986">
        <v>9.8179999999999996</v>
      </c>
      <c r="J48" s="3277">
        <v>9.1199999999999992</v>
      </c>
    </row>
    <row r="49" spans="2:10" ht="59" customHeight="1">
      <c r="B49" s="2677" t="s">
        <v>1348</v>
      </c>
      <c r="C49" s="1568">
        <v>165.75399999999999</v>
      </c>
      <c r="D49" s="1568">
        <v>122.47799999999999</v>
      </c>
      <c r="E49" s="1568">
        <v>105.649</v>
      </c>
      <c r="F49" s="1568">
        <v>89.905000000000001</v>
      </c>
      <c r="G49" s="1568">
        <v>67.120999999999995</v>
      </c>
      <c r="H49" s="1568">
        <v>56.008000000000003</v>
      </c>
      <c r="I49" s="2986">
        <v>48.552999999999997</v>
      </c>
      <c r="J49" s="3277">
        <v>39.69</v>
      </c>
    </row>
    <row r="50" spans="2:10" ht="95" customHeight="1">
      <c r="B50" s="2683" t="s">
        <v>1349</v>
      </c>
      <c r="C50" s="1568" t="s">
        <v>1019</v>
      </c>
      <c r="D50" s="1568" t="s">
        <v>1019</v>
      </c>
      <c r="E50" s="1568" t="s">
        <v>1019</v>
      </c>
      <c r="F50" s="1568" t="s">
        <v>1019</v>
      </c>
      <c r="G50" s="1568">
        <v>0.94099999999999995</v>
      </c>
      <c r="H50" s="1568">
        <v>1.6259999999999999</v>
      </c>
      <c r="I50" s="2986">
        <v>1.488</v>
      </c>
      <c r="J50" s="3277">
        <v>2.0099999999999998</v>
      </c>
    </row>
    <row r="51" spans="2:10" ht="78.75" customHeight="1">
      <c r="B51" s="2683" t="s">
        <v>1350</v>
      </c>
      <c r="C51" s="1568">
        <v>64.736000000000004</v>
      </c>
      <c r="D51" s="1568">
        <v>51.634</v>
      </c>
      <c r="E51" s="1568">
        <v>30.475999999999999</v>
      </c>
      <c r="F51" s="1568">
        <v>30.696999999999999</v>
      </c>
      <c r="G51" s="1568">
        <v>22.928000000000001</v>
      </c>
      <c r="H51" s="1568">
        <v>32.340000000000003</v>
      </c>
      <c r="I51" s="2986">
        <v>33.878999999999998</v>
      </c>
      <c r="J51" s="3277">
        <v>30.82</v>
      </c>
    </row>
    <row r="52" spans="2:10" s="2671" customFormat="1" ht="59" customHeight="1">
      <c r="B52" s="2518" t="s">
        <v>1351</v>
      </c>
      <c r="C52" s="2670">
        <v>343.90600000000001</v>
      </c>
      <c r="D52" s="2670">
        <v>354.69499999999999</v>
      </c>
      <c r="E52" s="2670">
        <v>383.32900000000001</v>
      </c>
      <c r="F52" s="2670">
        <v>410.77800000000002</v>
      </c>
      <c r="G52" s="2670">
        <v>372.30500000000001</v>
      </c>
      <c r="H52" s="2670">
        <v>471.51900000000001</v>
      </c>
      <c r="I52" s="2680">
        <v>486.71</v>
      </c>
      <c r="J52" s="3280">
        <v>617.91</v>
      </c>
    </row>
    <row r="53" spans="2:10" ht="59" customHeight="1">
      <c r="B53" s="2677" t="s">
        <v>954</v>
      </c>
      <c r="C53" s="1568">
        <v>53.749000000000002</v>
      </c>
      <c r="D53" s="1568">
        <v>54.683</v>
      </c>
      <c r="E53" s="1568">
        <v>53.280999999999999</v>
      </c>
      <c r="F53" s="1568">
        <v>46.466999999999999</v>
      </c>
      <c r="G53" s="1568">
        <v>36.231000000000002</v>
      </c>
      <c r="H53" s="1568">
        <v>35.585000000000001</v>
      </c>
      <c r="I53" s="2986">
        <v>34.950000000000003</v>
      </c>
      <c r="J53" s="3277">
        <v>59.03</v>
      </c>
    </row>
    <row r="54" spans="2:10" ht="59" customHeight="1">
      <c r="B54" s="2677" t="s">
        <v>1335</v>
      </c>
      <c r="C54" s="1568">
        <v>203.834</v>
      </c>
      <c r="D54" s="1568">
        <v>209.887</v>
      </c>
      <c r="E54" s="1568">
        <v>221.64099999999999</v>
      </c>
      <c r="F54" s="1568">
        <v>224.00800000000001</v>
      </c>
      <c r="G54" s="1568">
        <v>223.54900000000001</v>
      </c>
      <c r="H54" s="1568">
        <v>306.59500000000003</v>
      </c>
      <c r="I54" s="2986">
        <v>313.137</v>
      </c>
      <c r="J54" s="3277">
        <v>348.3</v>
      </c>
    </row>
    <row r="55" spans="2:10" ht="59" customHeight="1">
      <c r="B55" s="2677" t="s">
        <v>1352</v>
      </c>
      <c r="C55" s="1568">
        <v>60.579000000000001</v>
      </c>
      <c r="D55" s="1568">
        <v>56.052</v>
      </c>
      <c r="E55" s="1568">
        <v>35.220999999999997</v>
      </c>
      <c r="F55" s="1568">
        <v>42.927</v>
      </c>
      <c r="G55" s="1568">
        <v>41.186</v>
      </c>
      <c r="H55" s="1568">
        <v>11.663</v>
      </c>
      <c r="I55" s="2986">
        <v>15.05</v>
      </c>
      <c r="J55" s="3277">
        <v>9.67</v>
      </c>
    </row>
    <row r="56" spans="2:10" ht="59" customHeight="1">
      <c r="B56" s="2677" t="s">
        <v>1334</v>
      </c>
      <c r="C56" s="1568" t="s">
        <v>1019</v>
      </c>
      <c r="D56" s="1568" t="s">
        <v>1019</v>
      </c>
      <c r="E56" s="1568" t="s">
        <v>1019</v>
      </c>
      <c r="F56" s="1568" t="s">
        <v>1019</v>
      </c>
      <c r="G56" s="1568">
        <v>11.614000000000001</v>
      </c>
      <c r="H56" s="1568">
        <v>16.288</v>
      </c>
      <c r="I56" s="2986">
        <v>10.9</v>
      </c>
      <c r="J56" s="3277">
        <v>12.08</v>
      </c>
    </row>
    <row r="57" spans="2:10" ht="59" customHeight="1">
      <c r="B57" s="2677" t="s">
        <v>941</v>
      </c>
      <c r="C57" s="1568" t="s">
        <v>1019</v>
      </c>
      <c r="D57" s="1568" t="s">
        <v>1019</v>
      </c>
      <c r="E57" s="1568" t="s">
        <v>1019</v>
      </c>
      <c r="F57" s="1568" t="s">
        <v>1019</v>
      </c>
      <c r="G57" s="1568">
        <v>6.9029999999999996</v>
      </c>
      <c r="H57" s="1568">
        <v>6.2E-2</v>
      </c>
      <c r="I57" s="2986">
        <v>13.739000000000001</v>
      </c>
      <c r="J57" s="3277">
        <v>0.26</v>
      </c>
    </row>
    <row r="58" spans="2:10" ht="59" customHeight="1" thickBot="1">
      <c r="B58" s="2679" t="s">
        <v>1353</v>
      </c>
      <c r="C58" s="2102">
        <v>25.553000000000001</v>
      </c>
      <c r="D58" s="2102">
        <v>33.875</v>
      </c>
      <c r="E58" s="2102">
        <v>72.864000000000004</v>
      </c>
      <c r="F58" s="2102">
        <v>97.372</v>
      </c>
      <c r="G58" s="2102">
        <v>52.822000000000003</v>
      </c>
      <c r="H58" s="2520">
        <v>101.32599999999999</v>
      </c>
      <c r="I58" s="2991">
        <v>98.944000000000003</v>
      </c>
      <c r="J58" s="3281">
        <v>188.57</v>
      </c>
    </row>
    <row r="59" spans="2:10">
      <c r="B59" s="2279" t="s">
        <v>72</v>
      </c>
    </row>
    <row r="60" spans="2:10">
      <c r="B60" s="2280" t="s">
        <v>2347</v>
      </c>
    </row>
  </sheetData>
  <mergeCells count="3">
    <mergeCell ref="B3:I3"/>
    <mergeCell ref="B2:I2"/>
    <mergeCell ref="B1:I1"/>
  </mergeCells>
  <printOptions horizontalCentered="1" verticalCentered="1"/>
  <pageMargins left="0.25" right="0.25" top="0.75" bottom="0.75" header="0.3" footer="0.3"/>
  <pageSetup scale="15" firstPageNumber="103" orientation="landscape" useFirstPageNumber="1" r:id="rId1"/>
  <headerFooter scaleWithDoc="0" alignWithMargins="0">
    <oddFooter xml:space="preserve">&amp;C147
</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B0F0"/>
    <pageSetUpPr fitToPage="1"/>
  </sheetPr>
  <dimension ref="A2:L83"/>
  <sheetViews>
    <sheetView showGridLines="0" view="pageBreakPreview" topLeftCell="B1" zoomScale="30" zoomScaleNormal="100" zoomScaleSheetLayoutView="30" workbookViewId="0">
      <pane xSplit="1" topLeftCell="C1" activePane="topRight" state="frozen"/>
      <selection activeCell="B44" sqref="B44"/>
      <selection pane="topRight" activeCell="D14" sqref="D14"/>
    </sheetView>
  </sheetViews>
  <sheetFormatPr defaultColWidth="23.6640625" defaultRowHeight="36"/>
  <cols>
    <col min="1" max="1" width="9.33203125" style="2486" hidden="1" customWidth="1"/>
    <col min="2" max="2" width="179.46484375" style="2486" customWidth="1"/>
    <col min="3" max="8" width="42.46484375" style="2486" customWidth="1"/>
    <col min="9" max="9" width="42.46484375" style="953" customWidth="1"/>
    <col min="10" max="10" width="7.6640625" style="2486" customWidth="1"/>
    <col min="11" max="16384" width="23.6640625" style="2486"/>
  </cols>
  <sheetData>
    <row r="2" spans="2:12" ht="20.55" customHeight="1"/>
    <row r="3" spans="2:12">
      <c r="B3" s="5930" t="s">
        <v>1850</v>
      </c>
      <c r="C3" s="5930"/>
      <c r="D3" s="5930"/>
      <c r="E3" s="5930"/>
      <c r="F3" s="5930"/>
      <c r="G3" s="5930"/>
      <c r="H3" s="5930"/>
      <c r="I3" s="5930"/>
    </row>
    <row r="4" spans="2:12">
      <c r="B4" s="5931" t="s">
        <v>1496</v>
      </c>
      <c r="C4" s="5931"/>
      <c r="D4" s="5931"/>
      <c r="E4" s="5931"/>
      <c r="F4" s="5931"/>
      <c r="G4" s="5931"/>
      <c r="H4" s="5931"/>
      <c r="I4" s="5931"/>
    </row>
    <row r="5" spans="2:12">
      <c r="B5" s="5931" t="s">
        <v>1048</v>
      </c>
      <c r="C5" s="5931"/>
      <c r="D5" s="5931"/>
      <c r="E5" s="5931"/>
      <c r="F5" s="5931"/>
      <c r="G5" s="5931"/>
      <c r="H5" s="5931"/>
      <c r="I5" s="5931"/>
    </row>
    <row r="6" spans="2:12" ht="58.25" customHeight="1" thickBot="1"/>
    <row r="7" spans="2:12" ht="36.4" thickBot="1">
      <c r="B7" s="3766"/>
      <c r="C7" s="5244">
        <v>2017</v>
      </c>
      <c r="D7" s="5231">
        <v>2018</v>
      </c>
      <c r="E7" s="5238">
        <v>2019</v>
      </c>
      <c r="F7" s="5231">
        <v>2020</v>
      </c>
      <c r="G7" s="5234">
        <v>2021</v>
      </c>
      <c r="H7" s="5231">
        <v>2022</v>
      </c>
      <c r="I7" s="5227" t="s">
        <v>1959</v>
      </c>
    </row>
    <row r="8" spans="2:12" ht="31.25" customHeight="1">
      <c r="B8" s="3767" t="s">
        <v>1367</v>
      </c>
      <c r="C8" s="5245">
        <v>594.72802999999999</v>
      </c>
      <c r="D8" s="3768">
        <v>833.74205000000006</v>
      </c>
      <c r="E8" s="5239">
        <v>951.7916113</v>
      </c>
      <c r="F8" s="3768">
        <v>1070.4860249999999</v>
      </c>
      <c r="G8" s="5223">
        <v>1474.4892970000001</v>
      </c>
      <c r="H8" s="3768">
        <v>1587.99</v>
      </c>
      <c r="I8" s="5228">
        <v>2421.1999999999998</v>
      </c>
    </row>
    <row r="9" spans="2:12" ht="31.25" customHeight="1">
      <c r="B9" s="3767" t="s">
        <v>1368</v>
      </c>
      <c r="C9" s="5245">
        <v>2382.0007500000002</v>
      </c>
      <c r="D9" s="3768">
        <v>2634.7906000000003</v>
      </c>
      <c r="E9" s="5239">
        <v>2750.9244650000001</v>
      </c>
      <c r="F9" s="3768">
        <v>2550.0344971</v>
      </c>
      <c r="G9" s="5223">
        <v>2984.0619219999999</v>
      </c>
      <c r="H9" s="3768">
        <f>SUM(H10:H11)</f>
        <v>3304.465905</v>
      </c>
      <c r="I9" s="5225">
        <f>SUM(I10:I11)</f>
        <v>4059.06</v>
      </c>
    </row>
    <row r="10" spans="2:12" ht="31.25" customHeight="1">
      <c r="B10" s="3769" t="s">
        <v>1212</v>
      </c>
      <c r="C10" s="5246">
        <v>852.88374999999996</v>
      </c>
      <c r="D10" s="3770">
        <v>742.53459999999995</v>
      </c>
      <c r="E10" s="5240">
        <v>683.31746499999997</v>
      </c>
      <c r="F10" s="3770">
        <v>732.28349710000009</v>
      </c>
      <c r="G10" s="5224">
        <v>1074.9629219999999</v>
      </c>
      <c r="H10" s="3770">
        <v>961.00590499999998</v>
      </c>
      <c r="I10" s="5229">
        <v>1056.8499999999999</v>
      </c>
    </row>
    <row r="11" spans="2:12" ht="31.25" customHeight="1">
      <c r="B11" s="3769" t="s">
        <v>1369</v>
      </c>
      <c r="C11" s="5246">
        <v>1529.117</v>
      </c>
      <c r="D11" s="3770">
        <v>1892.2560000000001</v>
      </c>
      <c r="E11" s="5240">
        <v>2067.607</v>
      </c>
      <c r="F11" s="3770">
        <v>1817.751</v>
      </c>
      <c r="G11" s="5224">
        <v>1909.0989999999999</v>
      </c>
      <c r="H11" s="3770">
        <v>2343.46</v>
      </c>
      <c r="I11" s="5229">
        <v>3002.21</v>
      </c>
      <c r="K11" s="3771"/>
      <c r="L11" s="4431"/>
    </row>
    <row r="12" spans="2:12" ht="31.25" customHeight="1">
      <c r="B12" s="3767" t="s">
        <v>1370</v>
      </c>
      <c r="C12" s="5245">
        <v>1787.2727199999999</v>
      </c>
      <c r="D12" s="3768">
        <v>1801.04854</v>
      </c>
      <c r="E12" s="5239">
        <v>1799.1328537099998</v>
      </c>
      <c r="F12" s="3768">
        <v>1479.5484721</v>
      </c>
      <c r="G12" s="5223">
        <v>1509.5726248999999</v>
      </c>
      <c r="H12" s="3768">
        <f>SUM(H13:H14)</f>
        <v>1716.4754631999999</v>
      </c>
      <c r="I12" s="5225">
        <f>SUM(I13:I14)</f>
        <v>1637.8799999999999</v>
      </c>
      <c r="K12" s="3771"/>
      <c r="L12" s="4431"/>
    </row>
    <row r="13" spans="2:12" ht="31.25" customHeight="1">
      <c r="B13" s="3769" t="s">
        <v>1212</v>
      </c>
      <c r="C13" s="5246">
        <v>22.483720000000002</v>
      </c>
      <c r="D13" s="3770">
        <v>5.1540000000000002E-2</v>
      </c>
      <c r="E13" s="5240">
        <v>0.13985371000000002</v>
      </c>
      <c r="F13" s="3770">
        <v>126.5614721</v>
      </c>
      <c r="G13" s="5224">
        <v>127.99762489999999</v>
      </c>
      <c r="H13" s="3770">
        <v>123.9894632</v>
      </c>
      <c r="I13" s="5229">
        <v>52.83</v>
      </c>
      <c r="K13" s="3771"/>
      <c r="L13" s="4432"/>
    </row>
    <row r="14" spans="2:12" ht="31.25" customHeight="1">
      <c r="B14" s="3769" t="s">
        <v>1369</v>
      </c>
      <c r="C14" s="5246">
        <v>1764.789</v>
      </c>
      <c r="D14" s="3770">
        <v>1800.9970000000001</v>
      </c>
      <c r="E14" s="5240">
        <v>1798.9929999999999</v>
      </c>
      <c r="F14" s="3770">
        <v>1352.9870000000001</v>
      </c>
      <c r="G14" s="5224">
        <v>1381.575</v>
      </c>
      <c r="H14" s="3770">
        <v>1592.4859999999999</v>
      </c>
      <c r="I14" s="5229">
        <v>1585.05</v>
      </c>
      <c r="K14" s="3771"/>
      <c r="L14" s="4432"/>
    </row>
    <row r="15" spans="2:12">
      <c r="B15" s="3769"/>
      <c r="C15" s="5246"/>
      <c r="D15" s="3770"/>
      <c r="E15" s="5240"/>
      <c r="F15" s="3770"/>
      <c r="G15" s="5224"/>
      <c r="H15" s="3770"/>
      <c r="I15" s="5229"/>
      <c r="K15" s="3771"/>
      <c r="L15" s="4431"/>
    </row>
    <row r="16" spans="2:12">
      <c r="B16" s="3774" t="s">
        <v>1371</v>
      </c>
      <c r="C16" s="5245">
        <v>2720.59411</v>
      </c>
      <c r="D16" s="3768">
        <v>2610.4966099999997</v>
      </c>
      <c r="E16" s="5239">
        <v>2624.3819530000001</v>
      </c>
      <c r="F16" s="3768">
        <v>2051.882779</v>
      </c>
      <c r="G16" s="5223">
        <v>2112.0008315</v>
      </c>
      <c r="H16" s="3768">
        <v>2138.98</v>
      </c>
      <c r="I16" s="5225">
        <v>1722.6</v>
      </c>
      <c r="K16" s="3771"/>
      <c r="L16" s="4432"/>
    </row>
    <row r="17" spans="2:12">
      <c r="B17" s="3775"/>
      <c r="C17" s="5246" t="s">
        <v>1019</v>
      </c>
      <c r="D17" s="3770" t="s">
        <v>1019</v>
      </c>
      <c r="E17" s="5240" t="s">
        <v>1019</v>
      </c>
      <c r="F17" s="3770" t="s">
        <v>1019</v>
      </c>
      <c r="G17" s="5224" t="s">
        <v>1019</v>
      </c>
      <c r="H17" s="3770"/>
      <c r="I17" s="5229"/>
      <c r="K17" s="3771"/>
      <c r="L17" s="4432"/>
    </row>
    <row r="18" spans="2:12" ht="41" customHeight="1">
      <c r="B18" s="3776" t="s">
        <v>1372</v>
      </c>
      <c r="C18" s="5245">
        <v>3010.3461499999999</v>
      </c>
      <c r="D18" s="3768">
        <v>2939.43523</v>
      </c>
      <c r="E18" s="5239">
        <v>2942.4448865600002</v>
      </c>
      <c r="F18" s="3768">
        <v>3068.1045952499999</v>
      </c>
      <c r="G18" s="5223">
        <v>2977.9433935400002</v>
      </c>
      <c r="H18" s="3768">
        <v>2955.9</v>
      </c>
      <c r="I18" s="5225">
        <v>2767.92</v>
      </c>
    </row>
    <row r="19" spans="2:12" ht="41" customHeight="1">
      <c r="B19" s="3777" t="s">
        <v>1373</v>
      </c>
      <c r="C19" s="5247">
        <v>-600.94000000000005</v>
      </c>
      <c r="D19" s="5226">
        <v>-600.94000000000005</v>
      </c>
      <c r="E19" s="5241">
        <v>-600.94000000000005</v>
      </c>
      <c r="F19" s="5226">
        <v>-600.94000000000005</v>
      </c>
      <c r="G19" s="5235">
        <v>-600.94000000000005</v>
      </c>
      <c r="H19" s="5226">
        <v>-600.94000000000005</v>
      </c>
      <c r="I19" s="5225">
        <v>-600.94000000000005</v>
      </c>
    </row>
    <row r="20" spans="2:12">
      <c r="B20" s="3778" t="s">
        <v>1374</v>
      </c>
      <c r="C20" s="5245">
        <v>391.44241999999997</v>
      </c>
      <c r="D20" s="3768">
        <v>384.84300000000002</v>
      </c>
      <c r="E20" s="5239">
        <v>394.84774016</v>
      </c>
      <c r="F20" s="3768">
        <v>530.72475589999999</v>
      </c>
      <c r="G20" s="5223">
        <v>467.9997181</v>
      </c>
      <c r="H20" s="3768">
        <v>570.29999999999995</v>
      </c>
      <c r="I20" s="5225">
        <v>415.44</v>
      </c>
    </row>
    <row r="21" spans="2:12">
      <c r="B21" s="3779" t="s">
        <v>1375</v>
      </c>
      <c r="C21" s="5246">
        <v>22.441419999999997</v>
      </c>
      <c r="D21" s="3770">
        <v>0</v>
      </c>
      <c r="E21" s="5240">
        <v>7.5740160000000001E-2</v>
      </c>
      <c r="F21" s="3770">
        <v>126.4767559</v>
      </c>
      <c r="G21" s="5224">
        <v>127.91271809999999</v>
      </c>
      <c r="H21" s="3770">
        <v>123.9077521</v>
      </c>
      <c r="I21" s="5229">
        <v>52.73</v>
      </c>
    </row>
    <row r="22" spans="2:12">
      <c r="B22" s="3779" t="s">
        <v>1376</v>
      </c>
      <c r="C22" s="5246">
        <v>369.00099999999998</v>
      </c>
      <c r="D22" s="3770">
        <v>384.84300000000002</v>
      </c>
      <c r="E22" s="5240">
        <v>394.77199999999999</v>
      </c>
      <c r="F22" s="3770">
        <v>404.24799999999999</v>
      </c>
      <c r="G22" s="5224">
        <v>340.08699999999999</v>
      </c>
      <c r="H22" s="3770">
        <v>446.4</v>
      </c>
      <c r="I22" s="5229">
        <v>362.71</v>
      </c>
    </row>
    <row r="23" spans="2:12">
      <c r="B23" s="3780" t="s">
        <v>1377</v>
      </c>
      <c r="C23" s="5246">
        <v>607.79926999999998</v>
      </c>
      <c r="D23" s="3770">
        <v>637.72676999999999</v>
      </c>
      <c r="E23" s="5240">
        <v>575.04285360000006</v>
      </c>
      <c r="F23" s="3770">
        <v>666.21116065000001</v>
      </c>
      <c r="G23" s="5224">
        <v>716.66532455999993</v>
      </c>
      <c r="H23" s="3770">
        <v>893.84</v>
      </c>
      <c r="I23" s="5229">
        <v>1016.38</v>
      </c>
    </row>
    <row r="24" spans="2:12">
      <c r="B24" s="3781" t="s">
        <v>1378</v>
      </c>
      <c r="C24" s="5246">
        <v>3226.703</v>
      </c>
      <c r="D24" s="3770">
        <v>3192.319</v>
      </c>
      <c r="E24" s="5240">
        <v>3122.64</v>
      </c>
      <c r="F24" s="3770">
        <v>3203.5909999999999</v>
      </c>
      <c r="G24" s="5224">
        <v>3226.6089999999999</v>
      </c>
      <c r="H24" s="3770">
        <v>3279.46</v>
      </c>
      <c r="I24" s="5229">
        <v>3368.87</v>
      </c>
    </row>
    <row r="25" spans="2:12">
      <c r="B25" s="3780" t="s">
        <v>1379</v>
      </c>
      <c r="C25" s="5246">
        <v>11.968999999999999</v>
      </c>
      <c r="D25" s="3770">
        <v>45.942999999999998</v>
      </c>
      <c r="E25" s="5240">
        <v>45.478999999999999</v>
      </c>
      <c r="F25" s="3770">
        <v>10.039999999999999</v>
      </c>
      <c r="G25" s="5224">
        <v>9.8520000000000003</v>
      </c>
      <c r="H25" s="3770">
        <v>9.516</v>
      </c>
      <c r="I25" s="5229">
        <v>20.149999999999999</v>
      </c>
    </row>
    <row r="26" spans="2:12">
      <c r="B26" s="3780" t="s">
        <v>1380</v>
      </c>
      <c r="C26" s="5246">
        <v>37.932000000000002</v>
      </c>
      <c r="D26" s="3770">
        <v>35.600999999999999</v>
      </c>
      <c r="E26" s="5240">
        <v>24.361999999999998</v>
      </c>
      <c r="F26" s="3770">
        <v>11.368</v>
      </c>
      <c r="G26" s="5224">
        <v>38.04</v>
      </c>
      <c r="H26" s="3770">
        <v>39.252000000000002</v>
      </c>
      <c r="I26" s="5229">
        <v>31.7</v>
      </c>
    </row>
    <row r="27" spans="2:12">
      <c r="B27" s="3780" t="s">
        <v>1381</v>
      </c>
      <c r="C27" s="5246">
        <v>3176.8020000000001</v>
      </c>
      <c r="D27" s="3770">
        <v>3110.7750000000001</v>
      </c>
      <c r="E27" s="5240">
        <v>3052.799</v>
      </c>
      <c r="F27" s="3770">
        <v>3182.183</v>
      </c>
      <c r="G27" s="5224">
        <v>3178.7170000000001</v>
      </c>
      <c r="H27" s="3770">
        <v>3230.69</v>
      </c>
      <c r="I27" s="5229">
        <v>3317.02</v>
      </c>
    </row>
    <row r="28" spans="2:12">
      <c r="B28" s="3782" t="s">
        <v>1382</v>
      </c>
      <c r="C28" s="5246">
        <v>1305.415</v>
      </c>
      <c r="D28" s="3770">
        <v>1268.873</v>
      </c>
      <c r="E28" s="5240">
        <v>1176.4749999999999</v>
      </c>
      <c r="F28" s="3770">
        <v>1208.0150000000001</v>
      </c>
      <c r="G28" s="5224">
        <v>1226.499</v>
      </c>
      <c r="H28" s="3770">
        <v>1262.2</v>
      </c>
      <c r="I28" s="5229">
        <v>1259.48</v>
      </c>
    </row>
    <row r="29" spans="2:12" ht="72">
      <c r="B29" s="3782" t="s">
        <v>1383</v>
      </c>
      <c r="C29" s="5246">
        <v>1871.3869999999999</v>
      </c>
      <c r="D29" s="3770">
        <v>1841.902</v>
      </c>
      <c r="E29" s="5240">
        <v>1876.3240000000001</v>
      </c>
      <c r="F29" s="3770">
        <v>1974.1679999999999</v>
      </c>
      <c r="G29" s="5224">
        <v>1952.2180000000001</v>
      </c>
      <c r="H29" s="3770">
        <v>1968.46</v>
      </c>
      <c r="I29" s="5229">
        <v>2046.86</v>
      </c>
    </row>
    <row r="30" spans="2:12">
      <c r="B30" s="3775"/>
      <c r="C30" s="5246" t="s">
        <v>1019</v>
      </c>
      <c r="D30" s="3770" t="s">
        <v>1019</v>
      </c>
      <c r="E30" s="5240" t="s">
        <v>1019</v>
      </c>
      <c r="F30" s="3770" t="s">
        <v>1019</v>
      </c>
      <c r="G30" s="5224" t="s">
        <v>1019</v>
      </c>
      <c r="H30" s="3770"/>
      <c r="I30" s="5229"/>
    </row>
    <row r="31" spans="2:12">
      <c r="B31" s="3783" t="s">
        <v>1321</v>
      </c>
      <c r="C31" s="5247">
        <v>-289.75203999999997</v>
      </c>
      <c r="D31" s="5226">
        <v>-328.93862000000001</v>
      </c>
      <c r="E31" s="5241">
        <v>-318.06293355999998</v>
      </c>
      <c r="F31" s="5226">
        <v>-1017.8468162500001</v>
      </c>
      <c r="G31" s="5235">
        <v>-865.94256203999998</v>
      </c>
      <c r="H31" s="5226">
        <v>-817.45</v>
      </c>
      <c r="I31" s="5225">
        <v>-1045.32</v>
      </c>
    </row>
    <row r="32" spans="2:12">
      <c r="B32" s="3784" t="s">
        <v>1019</v>
      </c>
      <c r="C32" s="5246" t="s">
        <v>1019</v>
      </c>
      <c r="D32" s="3770" t="s">
        <v>1019</v>
      </c>
      <c r="E32" s="5240" t="s">
        <v>1019</v>
      </c>
      <c r="F32" s="3770" t="s">
        <v>1019</v>
      </c>
      <c r="G32" s="5224" t="s">
        <v>1019</v>
      </c>
      <c r="H32" s="3770"/>
      <c r="I32" s="5229"/>
    </row>
    <row r="33" spans="2:9">
      <c r="B33" s="3785" t="s">
        <v>1384</v>
      </c>
      <c r="C33" s="5245">
        <v>3315.3221400000002</v>
      </c>
      <c r="D33" s="3768">
        <v>3444.23866</v>
      </c>
      <c r="E33" s="5239">
        <v>3576.1735643000002</v>
      </c>
      <c r="F33" s="3768">
        <v>3122.3688040000002</v>
      </c>
      <c r="G33" s="5223">
        <v>3586.4901285000001</v>
      </c>
      <c r="H33" s="3768">
        <v>3726.97</v>
      </c>
      <c r="I33" s="5225">
        <v>4143.8</v>
      </c>
    </row>
    <row r="34" spans="2:9">
      <c r="B34" s="3777" t="s">
        <v>1385</v>
      </c>
      <c r="C34" s="5245">
        <v>968.67813999999998</v>
      </c>
      <c r="D34" s="3768">
        <v>1073.51666</v>
      </c>
      <c r="E34" s="5239">
        <v>1130.9775643</v>
      </c>
      <c r="F34" s="3768">
        <v>983.79880400000002</v>
      </c>
      <c r="G34" s="5223">
        <v>1376.4421285000001</v>
      </c>
      <c r="H34" s="3768">
        <v>1455.74</v>
      </c>
      <c r="I34" s="5225">
        <v>1608.54</v>
      </c>
    </row>
    <row r="35" spans="2:9">
      <c r="B35" s="3780" t="s">
        <v>1386</v>
      </c>
      <c r="C35" s="5246">
        <v>159.62314000000001</v>
      </c>
      <c r="D35" s="3770">
        <v>163.37066000000002</v>
      </c>
      <c r="E35" s="5240">
        <v>155.00856429999999</v>
      </c>
      <c r="F35" s="3770">
        <v>155.49580399999999</v>
      </c>
      <c r="G35" s="5224">
        <v>173.86412849999999</v>
      </c>
      <c r="H35" s="3770">
        <v>179.74828539999999</v>
      </c>
      <c r="I35" s="5229">
        <v>177.58</v>
      </c>
    </row>
    <row r="36" spans="2:9">
      <c r="B36" s="3779" t="s">
        <v>1387</v>
      </c>
      <c r="C36" s="5246">
        <v>240.80214000000001</v>
      </c>
      <c r="D36" s="3770">
        <v>239.57465999999999</v>
      </c>
      <c r="E36" s="5240">
        <v>242.10156430000001</v>
      </c>
      <c r="F36" s="3770">
        <v>234.33180400000001</v>
      </c>
      <c r="G36" s="5224">
        <v>251.02212849999998</v>
      </c>
      <c r="H36" s="3770">
        <v>254.83328539999999</v>
      </c>
      <c r="I36" s="5229">
        <v>265.57</v>
      </c>
    </row>
    <row r="37" spans="2:9">
      <c r="B37" s="3782" t="s">
        <v>1388</v>
      </c>
      <c r="C37" s="5246">
        <v>81.179000000000002</v>
      </c>
      <c r="D37" s="3770">
        <v>76.203999999999994</v>
      </c>
      <c r="E37" s="5240">
        <v>87.093000000000004</v>
      </c>
      <c r="F37" s="3770">
        <v>78.835999999999999</v>
      </c>
      <c r="G37" s="5224">
        <v>77.158000000000001</v>
      </c>
      <c r="H37" s="3770">
        <v>75.084999999999994</v>
      </c>
      <c r="I37" s="5229">
        <v>87.99</v>
      </c>
    </row>
    <row r="38" spans="2:9">
      <c r="B38" s="3780" t="s">
        <v>1389</v>
      </c>
      <c r="C38" s="5246">
        <v>809.05499999999995</v>
      </c>
      <c r="D38" s="3770">
        <v>910.14599999999996</v>
      </c>
      <c r="E38" s="5240">
        <v>975.96900000000005</v>
      </c>
      <c r="F38" s="3770">
        <v>828.303</v>
      </c>
      <c r="G38" s="5224">
        <v>1202.578</v>
      </c>
      <c r="H38" s="3770">
        <v>1275.99</v>
      </c>
      <c r="I38" s="5229">
        <v>1430.97</v>
      </c>
    </row>
    <row r="39" spans="2:9">
      <c r="B39" s="3777" t="s">
        <v>1390</v>
      </c>
      <c r="C39" s="5245">
        <v>2346.6439999999998</v>
      </c>
      <c r="D39" s="3768">
        <v>2370.7220000000002</v>
      </c>
      <c r="E39" s="5239">
        <v>2445.1959999999999</v>
      </c>
      <c r="F39" s="3768">
        <v>2138.5700000000002</v>
      </c>
      <c r="G39" s="5223">
        <v>2210.0479999999998</v>
      </c>
      <c r="H39" s="3768">
        <v>2271.2199999999998</v>
      </c>
      <c r="I39" s="5225">
        <v>2535.25</v>
      </c>
    </row>
    <row r="40" spans="2:9">
      <c r="B40" s="3780" t="s">
        <v>1391</v>
      </c>
      <c r="C40" s="5246">
        <v>1991.9490000000001</v>
      </c>
      <c r="D40" s="3770">
        <v>1987.393</v>
      </c>
      <c r="E40" s="5240">
        <v>2034.4179999999999</v>
      </c>
      <c r="F40" s="3770">
        <v>1766.2650000000001</v>
      </c>
      <c r="G40" s="5224">
        <v>1738.529</v>
      </c>
      <c r="H40" s="3770">
        <v>1784.5119999999999</v>
      </c>
      <c r="I40" s="5229">
        <v>1917.35</v>
      </c>
    </row>
    <row r="41" spans="2:9">
      <c r="B41" s="3780" t="s">
        <v>1351</v>
      </c>
      <c r="C41" s="5246">
        <v>354.69499999999999</v>
      </c>
      <c r="D41" s="3770">
        <v>383.32900000000001</v>
      </c>
      <c r="E41" s="5240">
        <v>410.77800000000002</v>
      </c>
      <c r="F41" s="3770">
        <v>372.30500000000001</v>
      </c>
      <c r="G41" s="5224">
        <v>471.51900000000001</v>
      </c>
      <c r="H41" s="3770">
        <v>486.71</v>
      </c>
      <c r="I41" s="5229">
        <v>617.91</v>
      </c>
    </row>
    <row r="42" spans="2:9">
      <c r="B42" s="3784"/>
      <c r="C42" s="5248"/>
      <c r="D42" s="3786"/>
      <c r="E42" s="5242"/>
      <c r="F42" s="3786"/>
      <c r="G42" s="5236"/>
      <c r="H42" s="5232"/>
      <c r="I42" s="5229"/>
    </row>
    <row r="43" spans="2:9" ht="36.4" thickBot="1">
      <c r="B43" s="3787"/>
      <c r="C43" s="5249"/>
      <c r="D43" s="3788"/>
      <c r="E43" s="5243"/>
      <c r="F43" s="3788"/>
      <c r="G43" s="5237"/>
      <c r="H43" s="5233"/>
      <c r="I43" s="5230"/>
    </row>
    <row r="44" spans="2:9" ht="36.4">
      <c r="B44" s="197" t="s">
        <v>72</v>
      </c>
      <c r="C44" s="3789"/>
      <c r="D44" s="3789"/>
      <c r="E44" s="3789"/>
      <c r="F44" s="3789"/>
      <c r="G44" s="3789"/>
      <c r="I44" s="4435"/>
    </row>
    <row r="45" spans="2:9">
      <c r="B45" s="153" t="s">
        <v>2347</v>
      </c>
      <c r="C45" s="3789"/>
      <c r="D45" s="3789"/>
      <c r="E45" s="3789"/>
      <c r="F45" s="3789"/>
      <c r="G45" s="3789"/>
    </row>
    <row r="46" spans="2:9">
      <c r="B46" s="3789"/>
      <c r="C46" s="3789"/>
      <c r="D46" s="3789"/>
      <c r="E46" s="3789"/>
      <c r="F46" s="3789"/>
      <c r="G46" s="3789"/>
    </row>
    <row r="48" spans="2:9">
      <c r="B48" s="3790"/>
    </row>
    <row r="50" spans="2:2">
      <c r="B50" s="3772"/>
    </row>
    <row r="51" spans="2:2">
      <c r="B51" s="3772"/>
    </row>
    <row r="52" spans="2:2">
      <c r="B52" s="3773"/>
    </row>
    <row r="53" spans="2:2">
      <c r="B53" s="3773"/>
    </row>
    <row r="54" spans="2:2">
      <c r="B54" s="3772"/>
    </row>
    <row r="55" spans="2:2">
      <c r="B55" s="3773"/>
    </row>
    <row r="56" spans="2:2">
      <c r="B56" s="3773"/>
    </row>
    <row r="57" spans="2:2">
      <c r="B57" s="3773"/>
    </row>
    <row r="58" spans="2:2">
      <c r="B58" s="3791"/>
    </row>
    <row r="59" spans="2:2">
      <c r="B59" s="3792"/>
    </row>
    <row r="60" spans="2:2">
      <c r="B60" s="3793"/>
    </row>
    <row r="61" spans="2:2">
      <c r="B61" s="3794"/>
    </row>
    <row r="62" spans="2:2">
      <c r="B62" s="3795"/>
    </row>
    <row r="63" spans="2:2">
      <c r="B63" s="3796"/>
    </row>
    <row r="64" spans="2:2">
      <c r="B64" s="3796"/>
    </row>
    <row r="65" spans="2:2">
      <c r="B65" s="3797"/>
    </row>
    <row r="66" spans="2:2">
      <c r="B66" s="3798"/>
    </row>
    <row r="67" spans="2:2">
      <c r="B67" s="3797"/>
    </row>
    <row r="68" spans="2:2">
      <c r="B68" s="3797"/>
    </row>
    <row r="69" spans="2:2">
      <c r="B69" s="3797"/>
    </row>
    <row r="70" spans="2:2">
      <c r="B70" s="3796"/>
    </row>
    <row r="71" spans="2:2">
      <c r="B71" s="3796"/>
    </row>
    <row r="72" spans="2:2">
      <c r="B72" s="3792"/>
    </row>
    <row r="73" spans="2:2">
      <c r="B73" s="3793"/>
    </row>
    <row r="74" spans="2:2">
      <c r="B74" s="3799"/>
    </row>
    <row r="75" spans="2:2">
      <c r="B75" s="3800"/>
    </row>
    <row r="76" spans="2:2">
      <c r="B76" s="3794"/>
    </row>
    <row r="77" spans="2:2">
      <c r="B77" s="3797"/>
    </row>
    <row r="78" spans="2:2">
      <c r="B78" s="3796"/>
    </row>
    <row r="79" spans="2:2">
      <c r="B79" s="3796"/>
    </row>
    <row r="80" spans="2:2">
      <c r="B80" s="3797"/>
    </row>
    <row r="81" spans="2:2">
      <c r="B81" s="3794"/>
    </row>
    <row r="82" spans="2:2">
      <c r="B82" s="3797"/>
    </row>
    <row r="83" spans="2:2">
      <c r="B83" s="3797"/>
    </row>
  </sheetData>
  <mergeCells count="3">
    <mergeCell ref="B3:I3"/>
    <mergeCell ref="B4:I4"/>
    <mergeCell ref="B5:I5"/>
  </mergeCells>
  <printOptions horizontalCentered="1" verticalCentered="1"/>
  <pageMargins left="0.25" right="0.25" top="0.75" bottom="0.75" header="0.3" footer="0.3"/>
  <pageSetup scale="28" firstPageNumber="103" orientation="landscape" useFirstPageNumber="1" r:id="rId1"/>
  <headerFooter scaleWithDoc="0" alignWithMargins="0">
    <oddFooter xml:space="preserve">&amp;C148
</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6">
    <tabColor rgb="FF00B0F0"/>
    <pageSetUpPr fitToPage="1"/>
  </sheetPr>
  <dimension ref="B1:P88"/>
  <sheetViews>
    <sheetView showGridLines="0" view="pageBreakPreview" zoomScale="40" zoomScaleNormal="100" zoomScaleSheetLayoutView="40" workbookViewId="0">
      <pane xSplit="2" ySplit="6" topLeftCell="C7" activePane="bottomRight" state="frozen"/>
      <selection activeCell="B44" sqref="B44"/>
      <selection pane="topRight" activeCell="B44" sqref="B44"/>
      <selection pane="bottomLeft" activeCell="B44" sqref="B44"/>
      <selection pane="bottomRight" activeCell="B44" sqref="B44"/>
    </sheetView>
  </sheetViews>
  <sheetFormatPr defaultColWidth="9.46484375" defaultRowHeight="12" customHeight="1"/>
  <cols>
    <col min="1" max="1" width="6.46484375" style="1570" customWidth="1"/>
    <col min="2" max="2" width="107" style="1602" customWidth="1"/>
    <col min="3" max="6" width="30.33203125" style="1574" customWidth="1"/>
    <col min="7" max="9" width="27.33203125" style="1570" customWidth="1"/>
    <col min="10" max="14" width="26.6640625" style="1570" customWidth="1"/>
    <col min="15" max="16384" width="9.46484375" style="1570"/>
  </cols>
  <sheetData>
    <row r="1" spans="2:16" ht="25.15">
      <c r="B1" s="5932" t="s">
        <v>1393</v>
      </c>
      <c r="C1" s="5932"/>
      <c r="D1" s="5932"/>
      <c r="E1" s="5932"/>
      <c r="F1" s="5932"/>
      <c r="G1" s="5932"/>
      <c r="H1" s="5932"/>
      <c r="I1" s="5932"/>
      <c r="J1" s="5932"/>
      <c r="K1" s="5932"/>
      <c r="L1" s="5932"/>
      <c r="M1" s="5932"/>
      <c r="N1" s="5932"/>
      <c r="O1" s="1569"/>
      <c r="P1" s="1569"/>
    </row>
    <row r="2" spans="2:16" ht="25.15">
      <c r="B2" s="5933" t="s">
        <v>2364</v>
      </c>
      <c r="C2" s="5933"/>
      <c r="D2" s="5933"/>
      <c r="E2" s="5933"/>
      <c r="F2" s="5933"/>
      <c r="G2" s="5933"/>
      <c r="H2" s="5933"/>
      <c r="I2" s="5933"/>
      <c r="J2" s="5933"/>
      <c r="K2" s="5933"/>
      <c r="L2" s="5933"/>
      <c r="M2" s="5933"/>
      <c r="N2" s="5933"/>
    </row>
    <row r="3" spans="2:16" ht="25.15">
      <c r="B3" s="5933" t="s">
        <v>1048</v>
      </c>
      <c r="C3" s="5933"/>
      <c r="D3" s="5933"/>
      <c r="E3" s="5933"/>
      <c r="F3" s="5933"/>
      <c r="G3" s="5933"/>
      <c r="H3" s="5933"/>
      <c r="I3" s="5933"/>
      <c r="J3" s="5933"/>
      <c r="K3" s="5933"/>
      <c r="L3" s="5933"/>
      <c r="M3" s="5933"/>
      <c r="N3" s="5933"/>
    </row>
    <row r="4" spans="2:16" ht="7.25" customHeight="1" thickBot="1">
      <c r="B4" s="1585"/>
    </row>
    <row r="5" spans="2:16" ht="33.5" customHeight="1" thickBot="1">
      <c r="B5" s="1586"/>
      <c r="C5" s="1575">
        <v>44276</v>
      </c>
      <c r="D5" s="1575">
        <v>44368</v>
      </c>
      <c r="E5" s="1575">
        <v>44460</v>
      </c>
      <c r="F5" s="2521">
        <v>44551</v>
      </c>
      <c r="G5" s="2521">
        <v>44642</v>
      </c>
      <c r="H5" s="2521">
        <v>44734</v>
      </c>
      <c r="I5" s="2521">
        <v>44826</v>
      </c>
      <c r="J5" s="3282" t="s">
        <v>2348</v>
      </c>
      <c r="K5" s="3286" t="s">
        <v>2349</v>
      </c>
      <c r="L5" s="3286" t="s">
        <v>2350</v>
      </c>
      <c r="M5" s="3286" t="s">
        <v>2351</v>
      </c>
      <c r="N5" s="3287" t="s">
        <v>2352</v>
      </c>
    </row>
    <row r="6" spans="2:16" ht="13.5" customHeight="1">
      <c r="B6" s="1587"/>
      <c r="C6" s="1576"/>
      <c r="D6" s="1576"/>
      <c r="E6" s="1576"/>
      <c r="F6" s="2522"/>
      <c r="G6" s="2522"/>
      <c r="H6" s="2522"/>
      <c r="I6" s="2522"/>
      <c r="J6" s="3283"/>
      <c r="K6" s="3288"/>
      <c r="L6" s="2992"/>
      <c r="M6" s="2992"/>
      <c r="N6" s="3289"/>
    </row>
    <row r="7" spans="2:16" s="1571" customFormat="1" ht="6" customHeight="1">
      <c r="B7" s="1588"/>
      <c r="C7" s="1577"/>
      <c r="D7" s="1577"/>
      <c r="E7" s="1577"/>
      <c r="F7" s="2523"/>
      <c r="G7" s="2523"/>
      <c r="H7" s="2523"/>
      <c r="I7" s="2523"/>
      <c r="J7" s="3284"/>
      <c r="K7" s="2993"/>
      <c r="L7" s="2993"/>
      <c r="M7" s="2993"/>
      <c r="N7" s="3290"/>
    </row>
    <row r="8" spans="2:16" s="1571" customFormat="1" ht="30">
      <c r="B8" s="1588" t="s">
        <v>934</v>
      </c>
      <c r="C8" s="1577">
        <v>4245.7089999999998</v>
      </c>
      <c r="D8" s="1577">
        <v>4358.2629999999999</v>
      </c>
      <c r="E8" s="1577">
        <v>4440.96</v>
      </c>
      <c r="F8" s="2523">
        <v>4527.9939999999997</v>
      </c>
      <c r="G8" s="2523">
        <v>4656.576</v>
      </c>
      <c r="H8" s="2523">
        <v>4749.0140000000001</v>
      </c>
      <c r="I8" s="2523">
        <v>4746.6390000000001</v>
      </c>
      <c r="J8" s="3284">
        <v>4838.6000000000004</v>
      </c>
      <c r="K8" s="3291">
        <v>5133.53</v>
      </c>
      <c r="L8" s="3291">
        <v>5160.51</v>
      </c>
      <c r="M8" s="3291">
        <v>5276.21</v>
      </c>
      <c r="N8" s="3292">
        <v>5262.27</v>
      </c>
    </row>
    <row r="9" spans="2:16" ht="30.75">
      <c r="B9" s="1589" t="s">
        <v>591</v>
      </c>
      <c r="C9" s="1578">
        <v>211.18700000000001</v>
      </c>
      <c r="D9" s="1578">
        <v>198.708</v>
      </c>
      <c r="E9" s="1578">
        <v>195.036</v>
      </c>
      <c r="F9" s="2524">
        <v>202.38399999999999</v>
      </c>
      <c r="G9" s="2524">
        <v>215.83</v>
      </c>
      <c r="H9" s="2524">
        <v>268.887</v>
      </c>
      <c r="I9" s="2524">
        <v>252.89599999999999</v>
      </c>
      <c r="J9" s="3285">
        <v>357.87</v>
      </c>
      <c r="K9" s="3293">
        <v>368.74</v>
      </c>
      <c r="L9" s="3293">
        <v>320.82</v>
      </c>
      <c r="M9" s="3293">
        <v>344.16</v>
      </c>
      <c r="N9" s="3294">
        <v>295.17</v>
      </c>
    </row>
    <row r="10" spans="2:16" ht="24" customHeight="1">
      <c r="B10" s="1590" t="s">
        <v>935</v>
      </c>
      <c r="C10" s="1578">
        <v>203.05500000000001</v>
      </c>
      <c r="D10" s="1578">
        <v>195.18299999999999</v>
      </c>
      <c r="E10" s="1578">
        <v>187.672</v>
      </c>
      <c r="F10" s="2524">
        <v>192.37799999999999</v>
      </c>
      <c r="G10" s="2524">
        <v>205.364</v>
      </c>
      <c r="H10" s="2524">
        <v>258.33199999999999</v>
      </c>
      <c r="I10" s="2524">
        <v>240.62100000000001</v>
      </c>
      <c r="J10" s="3285">
        <v>338.8</v>
      </c>
      <c r="K10" s="3293">
        <v>348.96</v>
      </c>
      <c r="L10" s="3293">
        <v>303.31</v>
      </c>
      <c r="M10" s="3293">
        <v>322.02</v>
      </c>
      <c r="N10" s="3294">
        <v>274.06</v>
      </c>
    </row>
    <row r="11" spans="2:16" ht="24" customHeight="1">
      <c r="B11" s="1590" t="s">
        <v>936</v>
      </c>
      <c r="C11" s="1578">
        <v>8.1319999999999997</v>
      </c>
      <c r="D11" s="1578">
        <v>3.5249999999999999</v>
      </c>
      <c r="E11" s="1578">
        <v>7.3639999999999999</v>
      </c>
      <c r="F11" s="2524">
        <v>10.006</v>
      </c>
      <c r="G11" s="2524">
        <v>10.465999999999999</v>
      </c>
      <c r="H11" s="2524">
        <v>10.555</v>
      </c>
      <c r="I11" s="2524">
        <v>12.275</v>
      </c>
      <c r="J11" s="3285">
        <v>19.09</v>
      </c>
      <c r="K11" s="3293">
        <v>19.78</v>
      </c>
      <c r="L11" s="3293">
        <v>17.510000000000002</v>
      </c>
      <c r="M11" s="3293">
        <v>22.13</v>
      </c>
      <c r="N11" s="3294">
        <v>21.11</v>
      </c>
    </row>
    <row r="12" spans="2:16" ht="24" customHeight="1">
      <c r="B12" s="1589" t="s">
        <v>937</v>
      </c>
      <c r="C12" s="1578">
        <v>384.64299999999997</v>
      </c>
      <c r="D12" s="1578">
        <v>389.13</v>
      </c>
      <c r="E12" s="1578">
        <v>422.60599999999999</v>
      </c>
      <c r="F12" s="2524">
        <v>434.60599999999999</v>
      </c>
      <c r="G12" s="2524">
        <v>397.52</v>
      </c>
      <c r="H12" s="2524">
        <v>432.37099999999998</v>
      </c>
      <c r="I12" s="2524">
        <v>460.88</v>
      </c>
      <c r="J12" s="3285">
        <v>474.62</v>
      </c>
      <c r="K12" s="3293">
        <v>500.99</v>
      </c>
      <c r="L12" s="3293">
        <v>515.49</v>
      </c>
      <c r="M12" s="3293">
        <v>558.34</v>
      </c>
      <c r="N12" s="3294">
        <v>575.71</v>
      </c>
    </row>
    <row r="13" spans="2:16" ht="24" customHeight="1">
      <c r="B13" s="1589" t="s">
        <v>938</v>
      </c>
      <c r="C13" s="1578">
        <v>150.148</v>
      </c>
      <c r="D13" s="1578">
        <v>174.46600000000001</v>
      </c>
      <c r="E13" s="1578">
        <v>202.62299999999999</v>
      </c>
      <c r="F13" s="2524">
        <v>211.678</v>
      </c>
      <c r="G13" s="2524">
        <v>195.114</v>
      </c>
      <c r="H13" s="2524">
        <v>217.07400000000001</v>
      </c>
      <c r="I13" s="2524">
        <v>231.47300000000001</v>
      </c>
      <c r="J13" s="3285">
        <v>206.32</v>
      </c>
      <c r="K13" s="3293">
        <v>227.65</v>
      </c>
      <c r="L13" s="3293">
        <v>251.45</v>
      </c>
      <c r="M13" s="3293">
        <v>261.92</v>
      </c>
      <c r="N13" s="3294">
        <v>314.70999999999998</v>
      </c>
    </row>
    <row r="14" spans="2:16" ht="24" customHeight="1">
      <c r="B14" s="1590" t="s">
        <v>939</v>
      </c>
      <c r="C14" s="1578">
        <v>61.982999999999997</v>
      </c>
      <c r="D14" s="1578">
        <v>24.898</v>
      </c>
      <c r="E14" s="1578">
        <v>23.257999999999999</v>
      </c>
      <c r="F14" s="2524">
        <v>33.29</v>
      </c>
      <c r="G14" s="2524">
        <v>25.919</v>
      </c>
      <c r="H14" s="2524">
        <v>16.38</v>
      </c>
      <c r="I14" s="2524">
        <v>23.059000000000001</v>
      </c>
      <c r="J14" s="3285">
        <v>20.55</v>
      </c>
      <c r="K14" s="3293">
        <v>17.149999999999999</v>
      </c>
      <c r="L14" s="3293">
        <v>21.09</v>
      </c>
      <c r="M14" s="3293">
        <v>28.62</v>
      </c>
      <c r="N14" s="3294">
        <v>25.78</v>
      </c>
    </row>
    <row r="15" spans="2:16" ht="24" customHeight="1">
      <c r="B15" s="1590" t="s">
        <v>940</v>
      </c>
      <c r="C15" s="1578">
        <v>88.165000000000006</v>
      </c>
      <c r="D15" s="1578">
        <v>149.56800000000001</v>
      </c>
      <c r="E15" s="1578">
        <v>179.36500000000001</v>
      </c>
      <c r="F15" s="2524">
        <v>178.38800000000001</v>
      </c>
      <c r="G15" s="2524">
        <v>169.19499999999999</v>
      </c>
      <c r="H15" s="2524">
        <v>200.69399999999999</v>
      </c>
      <c r="I15" s="2524">
        <v>208.41399999999999</v>
      </c>
      <c r="J15" s="3285">
        <v>185.76900000000001</v>
      </c>
      <c r="K15" s="3293">
        <v>210.49</v>
      </c>
      <c r="L15" s="3293">
        <v>230.36</v>
      </c>
      <c r="M15" s="3293">
        <v>233.3</v>
      </c>
      <c r="N15" s="3294">
        <v>288.94</v>
      </c>
    </row>
    <row r="16" spans="2:16" ht="24" customHeight="1">
      <c r="B16" s="1589" t="s">
        <v>941</v>
      </c>
      <c r="C16" s="1578">
        <v>22.835999999999999</v>
      </c>
      <c r="D16" s="1578">
        <v>31.922999999999998</v>
      </c>
      <c r="E16" s="1578">
        <v>31.516999999999999</v>
      </c>
      <c r="F16" s="2524">
        <v>32.850999999999999</v>
      </c>
      <c r="G16" s="2524">
        <v>36.917999999999999</v>
      </c>
      <c r="H16" s="2524">
        <v>32.579000000000001</v>
      </c>
      <c r="I16" s="2524">
        <v>49.634</v>
      </c>
      <c r="J16" s="3285">
        <v>48.826000000000001</v>
      </c>
      <c r="K16" s="3293">
        <v>47.45</v>
      </c>
      <c r="L16" s="3293">
        <v>50.32</v>
      </c>
      <c r="M16" s="3293">
        <v>49.67</v>
      </c>
      <c r="N16" s="3294">
        <v>48</v>
      </c>
    </row>
    <row r="17" spans="2:14" ht="24" customHeight="1">
      <c r="B17" s="1589" t="s">
        <v>942</v>
      </c>
      <c r="C17" s="1578">
        <v>335.49200000000002</v>
      </c>
      <c r="D17" s="1578">
        <v>333.50900000000001</v>
      </c>
      <c r="E17" s="1578">
        <v>339.541</v>
      </c>
      <c r="F17" s="2524">
        <v>307.85700000000003</v>
      </c>
      <c r="G17" s="2524">
        <v>318.57799999999997</v>
      </c>
      <c r="H17" s="2524">
        <v>313.82400000000001</v>
      </c>
      <c r="I17" s="2524">
        <v>317.29199999999997</v>
      </c>
      <c r="J17" s="3285">
        <v>308.12099999999998</v>
      </c>
      <c r="K17" s="3293">
        <v>313.23</v>
      </c>
      <c r="L17" s="3293">
        <v>316.33</v>
      </c>
      <c r="M17" s="3293">
        <v>330.72</v>
      </c>
      <c r="N17" s="3294">
        <v>289.57</v>
      </c>
    </row>
    <row r="18" spans="2:14" ht="24" customHeight="1">
      <c r="B18" s="1589" t="s">
        <v>943</v>
      </c>
      <c r="C18" s="1578">
        <v>8.8539999999999992</v>
      </c>
      <c r="D18" s="1578">
        <v>8.9410000000000007</v>
      </c>
      <c r="E18" s="1578">
        <v>9.1010000000000009</v>
      </c>
      <c r="F18" s="2524">
        <v>9.5640000000000001</v>
      </c>
      <c r="G18" s="2524">
        <v>10.185</v>
      </c>
      <c r="H18" s="2524">
        <v>10.81</v>
      </c>
      <c r="I18" s="2524">
        <v>0</v>
      </c>
      <c r="J18" s="3285">
        <v>0</v>
      </c>
      <c r="K18" s="3293">
        <v>0</v>
      </c>
      <c r="L18" s="3293">
        <v>0</v>
      </c>
      <c r="M18" s="3293">
        <v>0</v>
      </c>
      <c r="N18" s="3294">
        <v>0</v>
      </c>
    </row>
    <row r="19" spans="2:14" ht="24" customHeight="1">
      <c r="B19" s="1590" t="s">
        <v>944</v>
      </c>
      <c r="C19" s="1578">
        <v>258.82100000000003</v>
      </c>
      <c r="D19" s="1578">
        <v>263.76900000000001</v>
      </c>
      <c r="E19" s="1578">
        <v>264.13600000000002</v>
      </c>
      <c r="F19" s="2524">
        <v>239.489</v>
      </c>
      <c r="G19" s="2524">
        <v>252.352</v>
      </c>
      <c r="H19" s="2524">
        <v>252.96299999999999</v>
      </c>
      <c r="I19" s="2524">
        <v>252.583</v>
      </c>
      <c r="J19" s="3285">
        <v>244.61699999999999</v>
      </c>
      <c r="K19" s="3293">
        <v>275.14</v>
      </c>
      <c r="L19" s="3293">
        <v>278.37</v>
      </c>
      <c r="M19" s="3293">
        <v>261.87</v>
      </c>
      <c r="N19" s="3294">
        <v>256.39</v>
      </c>
    </row>
    <row r="20" spans="2:14" ht="24" customHeight="1">
      <c r="B20" s="1590" t="s">
        <v>945</v>
      </c>
      <c r="C20" s="1578">
        <v>76.671000000000006</v>
      </c>
      <c r="D20" s="1578">
        <v>69.739999999999995</v>
      </c>
      <c r="E20" s="1578">
        <v>75.405000000000001</v>
      </c>
      <c r="F20" s="2524">
        <v>68.367999999999995</v>
      </c>
      <c r="G20" s="2524">
        <v>66.225999999999999</v>
      </c>
      <c r="H20" s="2524">
        <v>60.860999999999997</v>
      </c>
      <c r="I20" s="2524">
        <v>64.709000000000003</v>
      </c>
      <c r="J20" s="3285">
        <v>63.503999999999998</v>
      </c>
      <c r="K20" s="3293">
        <v>38.090000000000003</v>
      </c>
      <c r="L20" s="3293">
        <v>37.96</v>
      </c>
      <c r="M20" s="3293">
        <v>68.849999999999994</v>
      </c>
      <c r="N20" s="3294">
        <v>33.18</v>
      </c>
    </row>
    <row r="21" spans="2:14" ht="24" customHeight="1">
      <c r="B21" s="1589" t="s">
        <v>946</v>
      </c>
      <c r="C21" s="1578">
        <v>155.565</v>
      </c>
      <c r="D21" s="1578">
        <v>182.97800000000001</v>
      </c>
      <c r="E21" s="1578">
        <v>120.913</v>
      </c>
      <c r="F21" s="2524">
        <v>104.342</v>
      </c>
      <c r="G21" s="2524">
        <v>123.821</v>
      </c>
      <c r="H21" s="2524">
        <v>135.209</v>
      </c>
      <c r="I21" s="2524">
        <v>143.85900000000001</v>
      </c>
      <c r="J21" s="3285">
        <v>133.99600000000001</v>
      </c>
      <c r="K21" s="3293">
        <v>148.47</v>
      </c>
      <c r="L21" s="3293">
        <v>156.18</v>
      </c>
      <c r="M21" s="3293">
        <v>163.5</v>
      </c>
      <c r="N21" s="3294">
        <v>164.86</v>
      </c>
    </row>
    <row r="22" spans="2:14" ht="24" customHeight="1">
      <c r="B22" s="1589" t="s">
        <v>943</v>
      </c>
      <c r="C22" s="1578">
        <v>0</v>
      </c>
      <c r="D22" s="1578">
        <v>1E-3</v>
      </c>
      <c r="E22" s="1578">
        <v>2E-3</v>
      </c>
      <c r="F22" s="2524">
        <v>2E-3</v>
      </c>
      <c r="G22" s="2524">
        <v>2E-3</v>
      </c>
      <c r="H22" s="2524">
        <v>2E-3</v>
      </c>
      <c r="I22" s="2524">
        <v>0</v>
      </c>
      <c r="J22" s="3285">
        <v>0</v>
      </c>
      <c r="K22" s="3293">
        <v>0</v>
      </c>
      <c r="L22" s="3293">
        <v>0</v>
      </c>
      <c r="M22" s="3293">
        <v>0</v>
      </c>
      <c r="N22" s="3294">
        <v>0</v>
      </c>
    </row>
    <row r="23" spans="2:14" ht="24" customHeight="1">
      <c r="B23" s="1590" t="s">
        <v>947</v>
      </c>
      <c r="C23" s="1578">
        <v>107.52200000000001</v>
      </c>
      <c r="D23" s="1578">
        <v>108.235</v>
      </c>
      <c r="E23" s="1578">
        <v>74.125</v>
      </c>
      <c r="F23" s="2524">
        <v>74.298000000000002</v>
      </c>
      <c r="G23" s="2524">
        <v>76.027000000000001</v>
      </c>
      <c r="H23" s="2524">
        <v>86.796000000000006</v>
      </c>
      <c r="I23" s="2524">
        <v>89.241</v>
      </c>
      <c r="J23" s="3285">
        <v>87.950999999999993</v>
      </c>
      <c r="K23" s="3293">
        <v>104.2</v>
      </c>
      <c r="L23" s="3293">
        <v>96.42</v>
      </c>
      <c r="M23" s="3293">
        <v>105.05</v>
      </c>
      <c r="N23" s="3294">
        <v>101.04</v>
      </c>
    </row>
    <row r="24" spans="2:14" ht="24" customHeight="1">
      <c r="B24" s="1590" t="s">
        <v>948</v>
      </c>
      <c r="C24" s="1578">
        <v>4.3849999999999998</v>
      </c>
      <c r="D24" s="1578">
        <v>2.927</v>
      </c>
      <c r="E24" s="1578">
        <v>3.0569999999999999</v>
      </c>
      <c r="F24" s="2524">
        <v>0.77500000000000002</v>
      </c>
      <c r="G24" s="2524">
        <v>1.71</v>
      </c>
      <c r="H24" s="2524">
        <v>1.0029999999999999</v>
      </c>
      <c r="I24" s="2524">
        <v>2.9660000000000002</v>
      </c>
      <c r="J24" s="3285">
        <v>4.8550000000000004</v>
      </c>
      <c r="K24" s="3293">
        <v>4.96</v>
      </c>
      <c r="L24" s="3293">
        <v>2.21</v>
      </c>
      <c r="M24" s="3293">
        <v>1.49</v>
      </c>
      <c r="N24" s="3294">
        <v>1.57</v>
      </c>
    </row>
    <row r="25" spans="2:14" ht="24" customHeight="1">
      <c r="B25" s="1590" t="s">
        <v>949</v>
      </c>
      <c r="C25" s="1578">
        <v>34.130000000000003</v>
      </c>
      <c r="D25" s="1578">
        <v>60.53</v>
      </c>
      <c r="E25" s="1578">
        <v>33.354999999999997</v>
      </c>
      <c r="F25" s="2524">
        <v>19.501000000000001</v>
      </c>
      <c r="G25" s="2524">
        <v>32.667000000000002</v>
      </c>
      <c r="H25" s="2524">
        <v>27.33</v>
      </c>
      <c r="I25" s="2524">
        <v>28.632000000000001</v>
      </c>
      <c r="J25" s="3285">
        <v>22.654</v>
      </c>
      <c r="K25" s="3293">
        <v>20.07</v>
      </c>
      <c r="L25" s="3293">
        <v>35.33</v>
      </c>
      <c r="M25" s="3293">
        <v>40.42</v>
      </c>
      <c r="N25" s="3294">
        <v>46.77</v>
      </c>
    </row>
    <row r="26" spans="2:14" ht="24" customHeight="1">
      <c r="B26" s="1590" t="s">
        <v>950</v>
      </c>
      <c r="C26" s="1578">
        <v>9.5280000000000005</v>
      </c>
      <c r="D26" s="1578">
        <v>11.286</v>
      </c>
      <c r="E26" s="1578">
        <v>10.375999999999999</v>
      </c>
      <c r="F26" s="2524">
        <v>9.7680000000000007</v>
      </c>
      <c r="G26" s="2524">
        <v>13.417</v>
      </c>
      <c r="H26" s="2524">
        <v>20.079999999999998</v>
      </c>
      <c r="I26" s="2524">
        <v>23.02</v>
      </c>
      <c r="J26" s="3285">
        <v>18.536000000000001</v>
      </c>
      <c r="K26" s="3293">
        <v>19.239999999999998</v>
      </c>
      <c r="L26" s="3293">
        <v>22.22</v>
      </c>
      <c r="M26" s="3293">
        <v>16.54</v>
      </c>
      <c r="N26" s="3294">
        <v>15.48</v>
      </c>
    </row>
    <row r="27" spans="2:14" ht="24" customHeight="1">
      <c r="B27" s="1589" t="s">
        <v>951</v>
      </c>
      <c r="C27" s="1578">
        <v>837.79700000000003</v>
      </c>
      <c r="D27" s="1578">
        <v>872.81799999999998</v>
      </c>
      <c r="E27" s="1578">
        <v>913.83500000000004</v>
      </c>
      <c r="F27" s="2524">
        <v>1007.5650000000001</v>
      </c>
      <c r="G27" s="2524">
        <v>1125.4829999999999</v>
      </c>
      <c r="H27" s="2524">
        <v>1092.761</v>
      </c>
      <c r="I27" s="2524">
        <v>1039.22</v>
      </c>
      <c r="J27" s="3285">
        <v>1039.9000000000001</v>
      </c>
      <c r="K27" s="3293">
        <v>1194.81</v>
      </c>
      <c r="L27" s="3293">
        <v>1181.99</v>
      </c>
      <c r="M27" s="3293">
        <v>1179.4000000000001</v>
      </c>
      <c r="N27" s="3294">
        <v>1164.95</v>
      </c>
    </row>
    <row r="28" spans="2:14" ht="24" customHeight="1">
      <c r="B28" s="1589" t="s">
        <v>943</v>
      </c>
      <c r="C28" s="1578">
        <v>0</v>
      </c>
      <c r="D28" s="1578">
        <v>0</v>
      </c>
      <c r="E28" s="1578">
        <v>0</v>
      </c>
      <c r="F28" s="2524">
        <v>0</v>
      </c>
      <c r="G28" s="2524">
        <v>0</v>
      </c>
      <c r="H28" s="2524">
        <v>0</v>
      </c>
      <c r="I28" s="2524">
        <v>0</v>
      </c>
      <c r="J28" s="3285">
        <v>0</v>
      </c>
      <c r="K28" s="3293">
        <v>0</v>
      </c>
      <c r="L28" s="3293">
        <v>0</v>
      </c>
      <c r="M28" s="3293">
        <v>0</v>
      </c>
      <c r="N28" s="3294">
        <v>0</v>
      </c>
    </row>
    <row r="29" spans="2:14" ht="24" customHeight="1">
      <c r="B29" s="1590" t="s">
        <v>952</v>
      </c>
      <c r="C29" s="1578">
        <v>837.279</v>
      </c>
      <c r="D29" s="1578">
        <v>872.16899999999998</v>
      </c>
      <c r="E29" s="1578">
        <v>906.46500000000003</v>
      </c>
      <c r="F29" s="2524">
        <v>999.48599999999999</v>
      </c>
      <c r="G29" s="2524">
        <v>1111.9110000000001</v>
      </c>
      <c r="H29" s="2524">
        <v>1075.6559999999999</v>
      </c>
      <c r="I29" s="2524">
        <v>1028.8710000000001</v>
      </c>
      <c r="J29" s="3285">
        <v>1028.8</v>
      </c>
      <c r="K29" s="3293">
        <v>1183.42</v>
      </c>
      <c r="L29" s="3293">
        <v>1170.6500000000001</v>
      </c>
      <c r="M29" s="3293">
        <v>1166.73</v>
      </c>
      <c r="N29" s="3294">
        <v>1154.47</v>
      </c>
    </row>
    <row r="30" spans="2:14" ht="24" customHeight="1">
      <c r="B30" s="1589" t="s">
        <v>953</v>
      </c>
      <c r="C30" s="1578">
        <v>0.51800000000000002</v>
      </c>
      <c r="D30" s="1578">
        <v>0.64900000000000002</v>
      </c>
      <c r="E30" s="1578">
        <v>7.37</v>
      </c>
      <c r="F30" s="2524">
        <v>8.0790000000000006</v>
      </c>
      <c r="G30" s="2524">
        <v>13.571999999999999</v>
      </c>
      <c r="H30" s="2524">
        <v>17.105</v>
      </c>
      <c r="I30" s="2524">
        <v>10.349</v>
      </c>
      <c r="J30" s="3285">
        <v>11.124000000000001</v>
      </c>
      <c r="K30" s="3293">
        <v>11.38</v>
      </c>
      <c r="L30" s="3293">
        <v>11.34</v>
      </c>
      <c r="M30" s="3293">
        <v>12.67</v>
      </c>
      <c r="N30" s="3294">
        <v>10.48</v>
      </c>
    </row>
    <row r="31" spans="2:14" ht="24" customHeight="1">
      <c r="B31" s="1589" t="s">
        <v>954</v>
      </c>
      <c r="C31" s="1578">
        <v>2074.5079999999998</v>
      </c>
      <c r="D31" s="1578">
        <v>2106.1039999999998</v>
      </c>
      <c r="E31" s="1578">
        <v>2149.1570000000002</v>
      </c>
      <c r="F31" s="2524">
        <v>2159.5320000000002</v>
      </c>
      <c r="G31" s="2524">
        <v>2177.4110000000001</v>
      </c>
      <c r="H31" s="2524">
        <v>2193.4090000000001</v>
      </c>
      <c r="I31" s="2524">
        <v>2191.9229999999998</v>
      </c>
      <c r="J31" s="3285">
        <v>2211.6</v>
      </c>
      <c r="K31" s="3293">
        <v>2260.44</v>
      </c>
      <c r="L31" s="3293">
        <v>2302.9299999999998</v>
      </c>
      <c r="M31" s="3293">
        <v>2331.17</v>
      </c>
      <c r="N31" s="3294">
        <v>2356.5700000000002</v>
      </c>
    </row>
    <row r="32" spans="2:14" ht="30.75">
      <c r="B32" s="1589" t="s">
        <v>955</v>
      </c>
      <c r="C32" s="1578">
        <v>73.533000000000001</v>
      </c>
      <c r="D32" s="1578">
        <v>68.626999999999995</v>
      </c>
      <c r="E32" s="1578">
        <v>65.731999999999999</v>
      </c>
      <c r="F32" s="2524">
        <v>67.179000000000002</v>
      </c>
      <c r="G32" s="2524">
        <v>65.900999999999996</v>
      </c>
      <c r="H32" s="2524">
        <v>62.9</v>
      </c>
      <c r="I32" s="2524">
        <v>59.462000000000003</v>
      </c>
      <c r="J32" s="3285">
        <v>57.31</v>
      </c>
      <c r="K32" s="3293">
        <v>71.760000000000005</v>
      </c>
      <c r="L32" s="3293">
        <v>65.010000000000005</v>
      </c>
      <c r="M32" s="3293">
        <v>57.34</v>
      </c>
      <c r="N32" s="3294">
        <v>52.74</v>
      </c>
    </row>
    <row r="33" spans="2:14" s="1571" customFormat="1" ht="30">
      <c r="B33" s="1588" t="s">
        <v>956</v>
      </c>
      <c r="C33" s="1577">
        <v>401.57900000000001</v>
      </c>
      <c r="D33" s="1577">
        <v>408.56900000000002</v>
      </c>
      <c r="E33" s="1577">
        <v>423.673</v>
      </c>
      <c r="F33" s="2523">
        <v>417.93</v>
      </c>
      <c r="G33" s="2523">
        <v>501.61099999999999</v>
      </c>
      <c r="H33" s="2523">
        <v>481.48500000000001</v>
      </c>
      <c r="I33" s="2523">
        <v>332.27800000000002</v>
      </c>
      <c r="J33" s="3284">
        <v>331.95400000000001</v>
      </c>
      <c r="K33" s="3291">
        <v>332.95</v>
      </c>
      <c r="L33" s="3291">
        <v>340.26</v>
      </c>
      <c r="M33" s="3291">
        <v>329.96</v>
      </c>
      <c r="N33" s="3292">
        <v>343.68</v>
      </c>
    </row>
    <row r="34" spans="2:14" s="1571" customFormat="1" ht="33.5" customHeight="1">
      <c r="B34" s="2669" t="s">
        <v>1177</v>
      </c>
      <c r="C34" s="1577">
        <v>108.518</v>
      </c>
      <c r="D34" s="1577">
        <v>107.736</v>
      </c>
      <c r="E34" s="1577">
        <v>109.045</v>
      </c>
      <c r="F34" s="2523">
        <v>107.554</v>
      </c>
      <c r="G34" s="2523">
        <v>208.29599999999999</v>
      </c>
      <c r="H34" s="2523">
        <v>201.935</v>
      </c>
      <c r="I34" s="2523">
        <v>55.567</v>
      </c>
      <c r="J34" s="3284">
        <v>53.83</v>
      </c>
      <c r="K34" s="3291">
        <v>78.97</v>
      </c>
      <c r="L34" s="3291">
        <v>68.34</v>
      </c>
      <c r="M34" s="3291">
        <v>67.489999999999995</v>
      </c>
      <c r="N34" s="3292">
        <v>70.540000000000006</v>
      </c>
    </row>
    <row r="35" spans="2:14" ht="30.75">
      <c r="B35" s="1591" t="s">
        <v>1178</v>
      </c>
      <c r="C35" s="1578">
        <v>0</v>
      </c>
      <c r="D35" s="1578">
        <v>0</v>
      </c>
      <c r="E35" s="1578">
        <v>0</v>
      </c>
      <c r="F35" s="2524">
        <v>0</v>
      </c>
      <c r="G35" s="2524">
        <v>1.6E-2</v>
      </c>
      <c r="H35" s="2524">
        <v>0</v>
      </c>
      <c r="I35" s="2524">
        <v>0</v>
      </c>
      <c r="J35" s="3285">
        <v>0</v>
      </c>
      <c r="K35" s="3293">
        <v>0</v>
      </c>
      <c r="L35" s="3293">
        <v>0</v>
      </c>
      <c r="M35" s="3293">
        <v>0</v>
      </c>
      <c r="N35" s="3294">
        <v>0</v>
      </c>
    </row>
    <row r="36" spans="2:14" ht="23" customHeight="1">
      <c r="B36" s="1589" t="s">
        <v>1179</v>
      </c>
      <c r="C36" s="1578">
        <v>0</v>
      </c>
      <c r="D36" s="1578">
        <v>0</v>
      </c>
      <c r="E36" s="1578">
        <v>0</v>
      </c>
      <c r="F36" s="2524">
        <v>0</v>
      </c>
      <c r="G36" s="2524">
        <v>0</v>
      </c>
      <c r="H36" s="2524">
        <v>0</v>
      </c>
      <c r="I36" s="2524">
        <v>0</v>
      </c>
      <c r="J36" s="3285">
        <v>0</v>
      </c>
      <c r="K36" s="3293">
        <v>0</v>
      </c>
      <c r="L36" s="3293">
        <v>0</v>
      </c>
      <c r="M36" s="3293">
        <v>0</v>
      </c>
      <c r="N36" s="3294">
        <v>0</v>
      </c>
    </row>
    <row r="37" spans="2:14" ht="24" customHeight="1">
      <c r="B37" s="1590" t="s">
        <v>1180</v>
      </c>
      <c r="C37" s="1578">
        <v>0</v>
      </c>
      <c r="D37" s="1578">
        <v>0</v>
      </c>
      <c r="E37" s="1578">
        <v>0</v>
      </c>
      <c r="F37" s="2524">
        <v>0</v>
      </c>
      <c r="G37" s="2524">
        <v>1.6E-2</v>
      </c>
      <c r="H37" s="2524">
        <v>0</v>
      </c>
      <c r="I37" s="2524">
        <v>0</v>
      </c>
      <c r="J37" s="3285">
        <v>0</v>
      </c>
      <c r="K37" s="3293">
        <v>0</v>
      </c>
      <c r="L37" s="3293">
        <v>0</v>
      </c>
      <c r="M37" s="3293">
        <v>0</v>
      </c>
      <c r="N37" s="3294">
        <v>0</v>
      </c>
    </row>
    <row r="38" spans="2:14" ht="24" customHeight="1">
      <c r="B38" s="1592" t="s">
        <v>937</v>
      </c>
      <c r="C38" s="1578">
        <v>0</v>
      </c>
      <c r="D38" s="1578">
        <v>0</v>
      </c>
      <c r="E38" s="1578">
        <v>0</v>
      </c>
      <c r="F38" s="2524">
        <v>0</v>
      </c>
      <c r="G38" s="2524">
        <v>0</v>
      </c>
      <c r="H38" s="2524">
        <v>0</v>
      </c>
      <c r="I38" s="2524">
        <v>0</v>
      </c>
      <c r="J38" s="3285">
        <v>0</v>
      </c>
      <c r="K38" s="3076">
        <v>0</v>
      </c>
      <c r="L38" s="3076">
        <v>0</v>
      </c>
      <c r="M38" s="3076">
        <v>0</v>
      </c>
      <c r="N38" s="3295">
        <v>0</v>
      </c>
    </row>
    <row r="39" spans="2:14" ht="24" customHeight="1">
      <c r="B39" s="1592" t="s">
        <v>938</v>
      </c>
      <c r="C39" s="1578">
        <v>0.23200000000000001</v>
      </c>
      <c r="D39" s="1578">
        <v>0.23300000000000001</v>
      </c>
      <c r="E39" s="1578">
        <v>0.24299999999999999</v>
      </c>
      <c r="F39" s="2524">
        <v>0.25700000000000001</v>
      </c>
      <c r="G39" s="2524">
        <v>0.255</v>
      </c>
      <c r="H39" s="2524">
        <v>0.27800000000000002</v>
      </c>
      <c r="I39" s="2524">
        <v>0.27300000000000002</v>
      </c>
      <c r="J39" s="3285">
        <v>0.28100000000000003</v>
      </c>
      <c r="K39" s="3076">
        <v>0.31</v>
      </c>
      <c r="L39" s="3076">
        <v>0.32</v>
      </c>
      <c r="M39" s="3076">
        <v>0.34</v>
      </c>
      <c r="N39" s="3295">
        <v>0.36</v>
      </c>
    </row>
    <row r="40" spans="2:14" ht="24" customHeight="1">
      <c r="B40" s="1590" t="s">
        <v>1181</v>
      </c>
      <c r="C40" s="1578">
        <v>1E-3</v>
      </c>
      <c r="D40" s="1578">
        <v>1E-3</v>
      </c>
      <c r="E40" s="1578">
        <v>0</v>
      </c>
      <c r="F40" s="2524">
        <v>1E-3</v>
      </c>
      <c r="G40" s="2524">
        <v>0</v>
      </c>
      <c r="H40" s="2524">
        <v>0</v>
      </c>
      <c r="I40" s="2524">
        <v>0</v>
      </c>
      <c r="J40" s="3285">
        <v>0</v>
      </c>
      <c r="K40" s="3076">
        <v>0</v>
      </c>
      <c r="L40" s="3076">
        <v>0</v>
      </c>
      <c r="M40" s="3076">
        <v>0</v>
      </c>
      <c r="N40" s="3295">
        <v>0</v>
      </c>
    </row>
    <row r="41" spans="2:14" ht="24" customHeight="1">
      <c r="B41" s="1590" t="s">
        <v>1182</v>
      </c>
      <c r="C41" s="1578">
        <v>0.23100000000000001</v>
      </c>
      <c r="D41" s="1578">
        <v>0.23200000000000001</v>
      </c>
      <c r="E41" s="1578">
        <v>0.24299999999999999</v>
      </c>
      <c r="F41" s="2524">
        <v>0.25600000000000001</v>
      </c>
      <c r="G41" s="2524">
        <v>0.255</v>
      </c>
      <c r="H41" s="2524">
        <v>0.27800000000000002</v>
      </c>
      <c r="I41" s="2524">
        <v>0.27300000000000002</v>
      </c>
      <c r="J41" s="3285">
        <v>0.28100000000000003</v>
      </c>
      <c r="K41" s="3076">
        <v>0.31</v>
      </c>
      <c r="L41" s="3076">
        <v>0.32</v>
      </c>
      <c r="M41" s="3076">
        <v>0.34</v>
      </c>
      <c r="N41" s="3295">
        <v>0.36</v>
      </c>
    </row>
    <row r="42" spans="2:14" ht="24" customHeight="1">
      <c r="B42" s="1592" t="s">
        <v>941</v>
      </c>
      <c r="C42" s="1578">
        <v>0</v>
      </c>
      <c r="D42" s="1578">
        <v>0</v>
      </c>
      <c r="E42" s="1578">
        <v>0</v>
      </c>
      <c r="F42" s="2524">
        <v>0</v>
      </c>
      <c r="G42" s="2524">
        <v>0</v>
      </c>
      <c r="H42" s="2524">
        <v>0</v>
      </c>
      <c r="I42" s="2524">
        <v>0</v>
      </c>
      <c r="J42" s="3285">
        <v>0</v>
      </c>
      <c r="K42" s="3076">
        <v>0</v>
      </c>
      <c r="L42" s="3076">
        <v>0</v>
      </c>
      <c r="M42" s="3076">
        <v>0</v>
      </c>
      <c r="N42" s="3295">
        <v>0</v>
      </c>
    </row>
    <row r="43" spans="2:14" ht="24" customHeight="1">
      <c r="B43" s="1592" t="s">
        <v>942</v>
      </c>
      <c r="C43" s="1578">
        <v>4.8000000000000001E-2</v>
      </c>
      <c r="D43" s="1578">
        <v>0.05</v>
      </c>
      <c r="E43" s="1578">
        <v>5.1999999999999998E-2</v>
      </c>
      <c r="F43" s="2524">
        <v>5.3999999999999999E-2</v>
      </c>
      <c r="G43" s="2524">
        <v>0.30299999999999999</v>
      </c>
      <c r="H43" s="2524">
        <v>0.12</v>
      </c>
      <c r="I43" s="2524">
        <v>9.9000000000000005E-2</v>
      </c>
      <c r="J43" s="3285">
        <v>9.0999999999999998E-2</v>
      </c>
      <c r="K43" s="3076">
        <v>0.13</v>
      </c>
      <c r="L43" s="3076">
        <v>0.13</v>
      </c>
      <c r="M43" s="3076">
        <v>0.13</v>
      </c>
      <c r="N43" s="3295">
        <v>0.12</v>
      </c>
    </row>
    <row r="44" spans="2:14" ht="24" customHeight="1">
      <c r="B44" s="1590" t="s">
        <v>943</v>
      </c>
      <c r="C44" s="1578">
        <v>0</v>
      </c>
      <c r="D44" s="1578">
        <v>0</v>
      </c>
      <c r="E44" s="1578">
        <v>0</v>
      </c>
      <c r="F44" s="2524">
        <v>0</v>
      </c>
      <c r="G44" s="2524">
        <v>0.246</v>
      </c>
      <c r="H44" s="2524">
        <v>6.2E-2</v>
      </c>
      <c r="I44" s="2524">
        <v>4.5999999999999999E-2</v>
      </c>
      <c r="J44" s="3285">
        <v>4.5999999999999999E-2</v>
      </c>
      <c r="K44" s="3076">
        <v>0.05</v>
      </c>
      <c r="L44" s="3076">
        <v>0.05</v>
      </c>
      <c r="M44" s="3076">
        <v>0.05</v>
      </c>
      <c r="N44" s="3295">
        <v>0.05</v>
      </c>
    </row>
    <row r="45" spans="2:14" ht="24" customHeight="1">
      <c r="B45" s="1590" t="s">
        <v>944</v>
      </c>
      <c r="C45" s="1578">
        <v>0</v>
      </c>
      <c r="D45" s="1578">
        <v>0</v>
      </c>
      <c r="E45" s="1578">
        <v>0</v>
      </c>
      <c r="F45" s="2524">
        <v>0</v>
      </c>
      <c r="G45" s="2524">
        <v>0</v>
      </c>
      <c r="H45" s="2524">
        <v>0</v>
      </c>
      <c r="I45" s="2524">
        <v>0</v>
      </c>
      <c r="J45" s="3285">
        <v>0</v>
      </c>
      <c r="K45" s="3076">
        <v>0</v>
      </c>
      <c r="L45" s="3076">
        <v>0</v>
      </c>
      <c r="M45" s="3076">
        <v>0</v>
      </c>
      <c r="N45" s="3295">
        <v>0</v>
      </c>
    </row>
    <row r="46" spans="2:14" ht="24" customHeight="1">
      <c r="B46" s="1590" t="s">
        <v>945</v>
      </c>
      <c r="C46" s="1578">
        <v>4.8000000000000001E-2</v>
      </c>
      <c r="D46" s="1578">
        <v>0.05</v>
      </c>
      <c r="E46" s="1578">
        <v>5.1999999999999998E-2</v>
      </c>
      <c r="F46" s="2524">
        <v>5.3999999999999999E-2</v>
      </c>
      <c r="G46" s="2524">
        <v>0.30299999999999999</v>
      </c>
      <c r="H46" s="2524">
        <v>0.12</v>
      </c>
      <c r="I46" s="2524">
        <v>9.9000000000000005E-2</v>
      </c>
      <c r="J46" s="3285">
        <v>9.0999999999999998E-2</v>
      </c>
      <c r="K46" s="3076">
        <v>0.13</v>
      </c>
      <c r="L46" s="3076">
        <v>0.13</v>
      </c>
      <c r="M46" s="3076">
        <v>0.12</v>
      </c>
      <c r="N46" s="3295">
        <v>0.12</v>
      </c>
    </row>
    <row r="47" spans="2:14" ht="24" customHeight="1">
      <c r="B47" s="1592" t="s">
        <v>946</v>
      </c>
      <c r="C47" s="1578">
        <v>17.710999999999999</v>
      </c>
      <c r="D47" s="1578">
        <v>18.010000000000002</v>
      </c>
      <c r="E47" s="1578">
        <v>18.245999999999999</v>
      </c>
      <c r="F47" s="2524">
        <v>17.428999999999998</v>
      </c>
      <c r="G47" s="2524">
        <v>144.19</v>
      </c>
      <c r="H47" s="2524">
        <v>142.214</v>
      </c>
      <c r="I47" s="2524">
        <v>21.303000000000001</v>
      </c>
      <c r="J47" s="3285">
        <v>21.501999999999999</v>
      </c>
      <c r="K47" s="3076">
        <v>22.33</v>
      </c>
      <c r="L47" s="3076">
        <v>19.079999999999998</v>
      </c>
      <c r="M47" s="3076">
        <v>20.65</v>
      </c>
      <c r="N47" s="3295">
        <v>20.02</v>
      </c>
    </row>
    <row r="48" spans="2:14" ht="24" customHeight="1">
      <c r="B48" s="1592" t="s">
        <v>943</v>
      </c>
      <c r="C48" s="1578">
        <v>0</v>
      </c>
      <c r="D48" s="1578">
        <v>0</v>
      </c>
      <c r="E48" s="1578">
        <v>0</v>
      </c>
      <c r="F48" s="2524">
        <v>0</v>
      </c>
      <c r="G48" s="2524">
        <v>6.1909999999999998</v>
      </c>
      <c r="H48" s="2524">
        <v>1.696</v>
      </c>
      <c r="I48" s="2524">
        <v>1.198</v>
      </c>
      <c r="J48" s="3285">
        <v>0</v>
      </c>
      <c r="K48" s="3076">
        <v>3.41</v>
      </c>
      <c r="L48" s="3076">
        <v>3.84</v>
      </c>
      <c r="M48" s="3076">
        <v>4.38</v>
      </c>
      <c r="N48" s="3295">
        <v>3.09</v>
      </c>
    </row>
    <row r="49" spans="2:14" ht="24" customHeight="1">
      <c r="B49" s="1590" t="s">
        <v>947</v>
      </c>
      <c r="C49" s="1578">
        <v>5.48</v>
      </c>
      <c r="D49" s="1578">
        <v>5.8380000000000001</v>
      </c>
      <c r="E49" s="1578">
        <v>6.61</v>
      </c>
      <c r="F49" s="2524">
        <v>6.5090000000000003</v>
      </c>
      <c r="G49" s="2524">
        <v>8.8970000000000002</v>
      </c>
      <c r="H49" s="2524">
        <v>12.901999999999999</v>
      </c>
      <c r="I49" s="2524">
        <v>8.843</v>
      </c>
      <c r="J49" s="3285">
        <v>9.4</v>
      </c>
      <c r="K49" s="3076">
        <v>8.3800000000000008</v>
      </c>
      <c r="L49" s="3076">
        <v>8.83</v>
      </c>
      <c r="M49" s="3076">
        <v>9.44</v>
      </c>
      <c r="N49" s="3295">
        <v>8.24</v>
      </c>
    </row>
    <row r="50" spans="2:14" ht="24" customHeight="1">
      <c r="B50" s="1590" t="s">
        <v>948</v>
      </c>
      <c r="C50" s="1578">
        <v>1.99</v>
      </c>
      <c r="D50" s="1578">
        <v>1.9890000000000001</v>
      </c>
      <c r="E50" s="1578">
        <v>1.823</v>
      </c>
      <c r="F50" s="2524">
        <v>0.65200000000000002</v>
      </c>
      <c r="G50" s="2524">
        <v>1.1559999999999999</v>
      </c>
      <c r="H50" s="2524">
        <v>1.06</v>
      </c>
      <c r="I50" s="2524">
        <v>2.9820000000000002</v>
      </c>
      <c r="J50" s="3285">
        <v>3.8969999999999998</v>
      </c>
      <c r="K50" s="3076">
        <v>5.13</v>
      </c>
      <c r="L50" s="3076">
        <v>2.42</v>
      </c>
      <c r="M50" s="3076">
        <v>3.31</v>
      </c>
      <c r="N50" s="3295">
        <v>2.83</v>
      </c>
    </row>
    <row r="51" spans="2:14" ht="24" customHeight="1">
      <c r="B51" s="1592" t="s">
        <v>949</v>
      </c>
      <c r="C51" s="1578">
        <v>0</v>
      </c>
      <c r="D51" s="1578">
        <v>0</v>
      </c>
      <c r="E51" s="1578">
        <v>0</v>
      </c>
      <c r="F51" s="2524">
        <v>0</v>
      </c>
      <c r="G51" s="2524">
        <v>123.996</v>
      </c>
      <c r="H51" s="2524">
        <v>117.05500000000001</v>
      </c>
      <c r="I51" s="2524">
        <v>1.294</v>
      </c>
      <c r="J51" s="3285">
        <v>0.60699999999999998</v>
      </c>
      <c r="K51" s="3076">
        <v>1.24</v>
      </c>
      <c r="L51" s="3076">
        <v>1.19</v>
      </c>
      <c r="M51" s="3076">
        <v>1.38</v>
      </c>
      <c r="N51" s="3295">
        <v>2.04</v>
      </c>
    </row>
    <row r="52" spans="2:14" ht="24" customHeight="1">
      <c r="B52" s="1592" t="s">
        <v>950</v>
      </c>
      <c r="C52" s="1578">
        <v>10.241</v>
      </c>
      <c r="D52" s="1578">
        <v>10.183</v>
      </c>
      <c r="E52" s="1578">
        <v>9.8130000000000006</v>
      </c>
      <c r="F52" s="2524">
        <v>10.268000000000001</v>
      </c>
      <c r="G52" s="2524">
        <v>10.141</v>
      </c>
      <c r="H52" s="2524">
        <v>11.196999999999999</v>
      </c>
      <c r="I52" s="2524">
        <v>8.1839999999999993</v>
      </c>
      <c r="J52" s="3285">
        <v>7.6509999999999998</v>
      </c>
      <c r="K52" s="3076">
        <v>7.58</v>
      </c>
      <c r="L52" s="3076">
        <v>6.63</v>
      </c>
      <c r="M52" s="3076">
        <v>6.52</v>
      </c>
      <c r="N52" s="3295">
        <v>6.92</v>
      </c>
    </row>
    <row r="53" spans="2:14" ht="24" customHeight="1">
      <c r="B53" s="1592" t="s">
        <v>951</v>
      </c>
      <c r="C53" s="1578">
        <v>45.447000000000003</v>
      </c>
      <c r="D53" s="1578">
        <v>45.161999999999999</v>
      </c>
      <c r="E53" s="1578">
        <v>50.564999999999998</v>
      </c>
      <c r="F53" s="2524">
        <v>52.302</v>
      </c>
      <c r="G53" s="2524">
        <v>31.367999999999999</v>
      </c>
      <c r="H53" s="2524">
        <v>31.93</v>
      </c>
      <c r="I53" s="2524">
        <v>14.243</v>
      </c>
      <c r="J53" s="3285">
        <v>13.093999999999999</v>
      </c>
      <c r="K53" s="3076">
        <v>15.09</v>
      </c>
      <c r="L53" s="3076">
        <v>9.74</v>
      </c>
      <c r="M53" s="3076">
        <v>8.94</v>
      </c>
      <c r="N53" s="3295">
        <v>13.4</v>
      </c>
    </row>
    <row r="54" spans="2:14" ht="24" customHeight="1">
      <c r="B54" s="1592" t="s">
        <v>943</v>
      </c>
      <c r="C54" s="1578">
        <v>0</v>
      </c>
      <c r="D54" s="1578">
        <v>0</v>
      </c>
      <c r="E54" s="1578">
        <v>0</v>
      </c>
      <c r="F54" s="2524">
        <v>0</v>
      </c>
      <c r="G54" s="2524">
        <v>0</v>
      </c>
      <c r="H54" s="2524">
        <v>0</v>
      </c>
      <c r="I54" s="2524">
        <v>0</v>
      </c>
      <c r="J54" s="3285">
        <v>0</v>
      </c>
      <c r="K54" s="3076">
        <v>0</v>
      </c>
      <c r="L54" s="3076">
        <v>0</v>
      </c>
      <c r="M54" s="3076">
        <v>0</v>
      </c>
      <c r="N54" s="3295">
        <v>0</v>
      </c>
    </row>
    <row r="55" spans="2:14" ht="24" customHeight="1">
      <c r="B55" s="1590" t="s">
        <v>952</v>
      </c>
      <c r="C55" s="1578">
        <v>31.478999999999999</v>
      </c>
      <c r="D55" s="1578">
        <v>31.792000000000002</v>
      </c>
      <c r="E55" s="1578">
        <v>31.756</v>
      </c>
      <c r="F55" s="2524">
        <v>32.347999999999999</v>
      </c>
      <c r="G55" s="2524">
        <v>15.061</v>
      </c>
      <c r="H55" s="2524">
        <v>14.105</v>
      </c>
      <c r="I55" s="2524">
        <v>14.243</v>
      </c>
      <c r="J55" s="3285">
        <v>13.093999999999999</v>
      </c>
      <c r="K55" s="3076">
        <v>15.09</v>
      </c>
      <c r="L55" s="3076">
        <v>9.74</v>
      </c>
      <c r="M55" s="3076">
        <v>8.94</v>
      </c>
      <c r="N55" s="3295">
        <v>13.4</v>
      </c>
    </row>
    <row r="56" spans="2:14" ht="24" customHeight="1">
      <c r="B56" s="1590" t="s">
        <v>953</v>
      </c>
      <c r="C56" s="1578">
        <v>13.968</v>
      </c>
      <c r="D56" s="1578">
        <v>13.37</v>
      </c>
      <c r="E56" s="1578">
        <v>18.809000000000001</v>
      </c>
      <c r="F56" s="2524">
        <v>19.954000000000001</v>
      </c>
      <c r="G56" s="2524">
        <v>16.306999999999999</v>
      </c>
      <c r="H56" s="2524">
        <v>17.824999999999999</v>
      </c>
      <c r="I56" s="2524">
        <v>0</v>
      </c>
      <c r="J56" s="3285">
        <v>0</v>
      </c>
      <c r="K56" s="3076">
        <v>0</v>
      </c>
      <c r="L56" s="3076">
        <v>0</v>
      </c>
      <c r="M56" s="3076">
        <v>0</v>
      </c>
      <c r="N56" s="3295">
        <v>0</v>
      </c>
    </row>
    <row r="57" spans="2:14" ht="24" customHeight="1">
      <c r="B57" s="1592" t="s">
        <v>954</v>
      </c>
      <c r="C57" s="1578">
        <v>26.603999999999999</v>
      </c>
      <c r="D57" s="1578">
        <v>26.62</v>
      </c>
      <c r="E57" s="1578">
        <v>23.853000000000002</v>
      </c>
      <c r="F57" s="2524">
        <v>23.006</v>
      </c>
      <c r="G57" s="2524">
        <v>19.489000000000001</v>
      </c>
      <c r="H57" s="2524">
        <v>17.954999999999998</v>
      </c>
      <c r="I57" s="2524">
        <v>11.407999999999999</v>
      </c>
      <c r="J57" s="3285">
        <v>11.419</v>
      </c>
      <c r="K57" s="3076">
        <v>13.53</v>
      </c>
      <c r="L57" s="3076">
        <v>13.31</v>
      </c>
      <c r="M57" s="3076">
        <v>13.47</v>
      </c>
      <c r="N57" s="3295">
        <v>13.63</v>
      </c>
    </row>
    <row r="58" spans="2:14" ht="24" customHeight="1">
      <c r="B58" s="1590" t="s">
        <v>955</v>
      </c>
      <c r="C58" s="1578">
        <v>18.475999999999999</v>
      </c>
      <c r="D58" s="1578">
        <v>17.661000000000001</v>
      </c>
      <c r="E58" s="1578">
        <v>16.085999999999999</v>
      </c>
      <c r="F58" s="2524">
        <v>14.506</v>
      </c>
      <c r="G58" s="2524">
        <v>12.675000000000001</v>
      </c>
      <c r="H58" s="2524">
        <v>9.4380000000000006</v>
      </c>
      <c r="I58" s="2524">
        <v>8.2409999999999997</v>
      </c>
      <c r="J58" s="3285">
        <v>7.4429999999999996</v>
      </c>
      <c r="K58" s="3076">
        <v>0</v>
      </c>
      <c r="L58" s="3076">
        <v>0</v>
      </c>
      <c r="M58" s="3076">
        <v>0</v>
      </c>
      <c r="N58" s="3295">
        <v>0</v>
      </c>
    </row>
    <row r="59" spans="2:14" s="1571" customFormat="1" ht="24" customHeight="1">
      <c r="B59" s="1593" t="s">
        <v>957</v>
      </c>
      <c r="C59" s="1577">
        <v>69.153999999999996</v>
      </c>
      <c r="D59" s="1577">
        <v>72.570999999999998</v>
      </c>
      <c r="E59" s="1577">
        <v>60.131999999999998</v>
      </c>
      <c r="F59" s="2523">
        <v>63.228000000000002</v>
      </c>
      <c r="G59" s="2523">
        <v>45.756999999999998</v>
      </c>
      <c r="H59" s="2523">
        <v>44.009</v>
      </c>
      <c r="I59" s="2523">
        <v>43.935000000000002</v>
      </c>
      <c r="J59" s="3284">
        <v>44.485999999999997</v>
      </c>
      <c r="K59" s="3077">
        <v>30.11</v>
      </c>
      <c r="L59" s="3077">
        <v>34.9</v>
      </c>
      <c r="M59" s="3077">
        <v>36.44</v>
      </c>
      <c r="N59" s="3296">
        <v>37.409999999999997</v>
      </c>
    </row>
    <row r="60" spans="2:14" ht="24" customHeight="1">
      <c r="B60" s="1590" t="s">
        <v>958</v>
      </c>
      <c r="C60" s="1578">
        <v>6.9000000000000006E-2</v>
      </c>
      <c r="D60" s="1578">
        <v>0.123</v>
      </c>
      <c r="E60" s="1578">
        <v>0.21099999999999999</v>
      </c>
      <c r="F60" s="2524">
        <v>1.4E-2</v>
      </c>
      <c r="G60" s="2524">
        <v>0.17399999999999999</v>
      </c>
      <c r="H60" s="2524">
        <v>0.14599999999999999</v>
      </c>
      <c r="I60" s="2524">
        <v>2.5999999999999999E-2</v>
      </c>
      <c r="J60" s="3285">
        <v>0.13400000000000001</v>
      </c>
      <c r="K60" s="3076">
        <v>0.11</v>
      </c>
      <c r="L60" s="3076">
        <v>7.0000000000000007E-2</v>
      </c>
      <c r="M60" s="3076">
        <v>7.0000000000000007E-2</v>
      </c>
      <c r="N60" s="3295">
        <v>0.01</v>
      </c>
    </row>
    <row r="61" spans="2:14" ht="30.75">
      <c r="B61" s="1590" t="s">
        <v>959</v>
      </c>
      <c r="C61" s="1578">
        <v>28.297000000000001</v>
      </c>
      <c r="D61" s="1578">
        <v>30.585000000000001</v>
      </c>
      <c r="E61" s="1578">
        <v>26.553000000000001</v>
      </c>
      <c r="F61" s="2524">
        <v>27.359000000000002</v>
      </c>
      <c r="G61" s="2524">
        <v>23.356000000000002</v>
      </c>
      <c r="H61" s="2524">
        <v>22.986000000000001</v>
      </c>
      <c r="I61" s="2524">
        <v>23.292000000000002</v>
      </c>
      <c r="J61" s="3285">
        <v>23.376999999999999</v>
      </c>
      <c r="K61" s="3076">
        <v>11.9</v>
      </c>
      <c r="L61" s="3076">
        <v>11.31</v>
      </c>
      <c r="M61" s="3076">
        <v>13.53</v>
      </c>
      <c r="N61" s="3295">
        <v>12.48</v>
      </c>
    </row>
    <row r="62" spans="2:14" ht="23" customHeight="1">
      <c r="B62" s="1594" t="s">
        <v>943</v>
      </c>
      <c r="C62" s="1578">
        <v>0</v>
      </c>
      <c r="D62" s="1578">
        <v>0</v>
      </c>
      <c r="E62" s="1578">
        <v>0</v>
      </c>
      <c r="F62" s="2524">
        <v>0</v>
      </c>
      <c r="G62" s="2524">
        <v>0</v>
      </c>
      <c r="H62" s="2524">
        <v>0</v>
      </c>
      <c r="I62" s="2524">
        <v>0</v>
      </c>
      <c r="J62" s="3285">
        <v>0</v>
      </c>
      <c r="K62" s="3076">
        <v>0</v>
      </c>
      <c r="L62" s="3076">
        <v>0</v>
      </c>
      <c r="M62" s="3076">
        <v>0</v>
      </c>
      <c r="N62" s="3295">
        <v>0</v>
      </c>
    </row>
    <row r="63" spans="2:14" ht="24" customHeight="1">
      <c r="B63" s="1589" t="s">
        <v>960</v>
      </c>
      <c r="C63" s="1578">
        <v>23.655000000000001</v>
      </c>
      <c r="D63" s="1578">
        <v>23.550999999999998</v>
      </c>
      <c r="E63" s="1578">
        <v>18.838999999999999</v>
      </c>
      <c r="F63" s="2524">
        <v>21.963999999999999</v>
      </c>
      <c r="G63" s="2524">
        <v>10.503</v>
      </c>
      <c r="H63" s="2524">
        <v>9.18</v>
      </c>
      <c r="I63" s="2524">
        <v>8.827</v>
      </c>
      <c r="J63" s="3285">
        <v>8.2899999999999991</v>
      </c>
      <c r="K63" s="3076">
        <v>5.03</v>
      </c>
      <c r="L63" s="3076">
        <v>9.27</v>
      </c>
      <c r="M63" s="3076">
        <v>7.6</v>
      </c>
      <c r="N63" s="3295">
        <v>9.06</v>
      </c>
    </row>
    <row r="64" spans="2:14" ht="24" customHeight="1">
      <c r="B64" s="1589" t="s">
        <v>943</v>
      </c>
      <c r="C64" s="1578">
        <v>0</v>
      </c>
      <c r="D64" s="1578">
        <v>0</v>
      </c>
      <c r="E64" s="1578">
        <v>0</v>
      </c>
      <c r="F64" s="2524">
        <v>0</v>
      </c>
      <c r="G64" s="2524">
        <v>0</v>
      </c>
      <c r="H64" s="2524">
        <v>0</v>
      </c>
      <c r="I64" s="2524">
        <v>0</v>
      </c>
      <c r="J64" s="3285">
        <v>0</v>
      </c>
      <c r="K64" s="3076">
        <v>0</v>
      </c>
      <c r="L64" s="3076">
        <v>0</v>
      </c>
      <c r="M64" s="3076">
        <v>0</v>
      </c>
      <c r="N64" s="3295">
        <v>0</v>
      </c>
    </row>
    <row r="65" spans="2:14" ht="24" customHeight="1">
      <c r="B65" s="1589" t="s">
        <v>961</v>
      </c>
      <c r="C65" s="1578">
        <v>16.934999999999999</v>
      </c>
      <c r="D65" s="1578">
        <v>17.923999999999999</v>
      </c>
      <c r="E65" s="1578">
        <v>14.529</v>
      </c>
      <c r="F65" s="2524">
        <v>13.891</v>
      </c>
      <c r="G65" s="2524">
        <v>11.724</v>
      </c>
      <c r="H65" s="2524">
        <v>11.696999999999999</v>
      </c>
      <c r="I65" s="2524">
        <v>11.79</v>
      </c>
      <c r="J65" s="3285">
        <v>12.685</v>
      </c>
      <c r="K65" s="3076">
        <v>13.06</v>
      </c>
      <c r="L65" s="3076">
        <v>14.25</v>
      </c>
      <c r="M65" s="3076">
        <v>15.24</v>
      </c>
      <c r="N65" s="3295">
        <v>15.87</v>
      </c>
    </row>
    <row r="66" spans="2:14" ht="24" customHeight="1">
      <c r="B66" s="1589" t="s">
        <v>962</v>
      </c>
      <c r="C66" s="1578">
        <v>0.19700000000000001</v>
      </c>
      <c r="D66" s="1578">
        <v>0.38800000000000001</v>
      </c>
      <c r="E66" s="1578">
        <v>0</v>
      </c>
      <c r="F66" s="2524">
        <v>0</v>
      </c>
      <c r="G66" s="2524">
        <v>0</v>
      </c>
      <c r="H66" s="2524">
        <v>0</v>
      </c>
      <c r="I66" s="2524">
        <v>0</v>
      </c>
      <c r="J66" s="3285">
        <v>0</v>
      </c>
      <c r="K66" s="3076">
        <v>0</v>
      </c>
      <c r="L66" s="3076">
        <v>0</v>
      </c>
      <c r="M66" s="3076">
        <v>0</v>
      </c>
      <c r="N66" s="3295">
        <v>0</v>
      </c>
    </row>
    <row r="67" spans="2:14" s="1571" customFormat="1" ht="30" customHeight="1">
      <c r="B67" s="1595" t="s">
        <v>963</v>
      </c>
      <c r="C67" s="1577">
        <v>223.90600000000001</v>
      </c>
      <c r="D67" s="1577">
        <v>228.262</v>
      </c>
      <c r="E67" s="1577">
        <v>254.49600000000001</v>
      </c>
      <c r="F67" s="2523">
        <v>247.148</v>
      </c>
      <c r="G67" s="2523">
        <v>247.55799999999999</v>
      </c>
      <c r="H67" s="2523">
        <v>235.541</v>
      </c>
      <c r="I67" s="2523">
        <v>232.77600000000001</v>
      </c>
      <c r="J67" s="3284">
        <v>233.63800000000001</v>
      </c>
      <c r="K67" s="3077">
        <v>223.86</v>
      </c>
      <c r="L67" s="3077">
        <v>237.02</v>
      </c>
      <c r="M67" s="3077">
        <v>226.03</v>
      </c>
      <c r="N67" s="3296">
        <v>235.73</v>
      </c>
    </row>
    <row r="68" spans="2:14" ht="24" customHeight="1">
      <c r="B68" s="1589" t="s">
        <v>958</v>
      </c>
      <c r="C68" s="1578">
        <v>0.499</v>
      </c>
      <c r="D68" s="1578">
        <v>1.0629999999999999</v>
      </c>
      <c r="E68" s="1578">
        <v>1.3120000000000001</v>
      </c>
      <c r="F68" s="2524">
        <v>0.97699999999999998</v>
      </c>
      <c r="G68" s="2524">
        <v>1.4570000000000001</v>
      </c>
      <c r="H68" s="2524">
        <v>1.371</v>
      </c>
      <c r="I68" s="2524">
        <v>1.615</v>
      </c>
      <c r="J68" s="3285">
        <v>1.784</v>
      </c>
      <c r="K68" s="3076">
        <v>1.73</v>
      </c>
      <c r="L68" s="3076">
        <v>1.86</v>
      </c>
      <c r="M68" s="3076">
        <v>1.39</v>
      </c>
      <c r="N68" s="3295">
        <v>2.0099999999999998</v>
      </c>
    </row>
    <row r="69" spans="2:14" ht="24" customHeight="1">
      <c r="B69" s="1589" t="s">
        <v>959</v>
      </c>
      <c r="C69" s="1578">
        <v>2.8149999999999999</v>
      </c>
      <c r="D69" s="1578">
        <v>4.12</v>
      </c>
      <c r="E69" s="1578">
        <v>3.613</v>
      </c>
      <c r="F69" s="2524">
        <v>3.5379999999999998</v>
      </c>
      <c r="G69" s="2524">
        <v>2.286</v>
      </c>
      <c r="H69" s="2524">
        <v>2.75</v>
      </c>
      <c r="I69" s="2524">
        <v>2.5760000000000001</v>
      </c>
      <c r="J69" s="3285">
        <v>1.861</v>
      </c>
      <c r="K69" s="3076">
        <v>2.41</v>
      </c>
      <c r="L69" s="3076">
        <v>1.89</v>
      </c>
      <c r="M69" s="3076">
        <v>3.2</v>
      </c>
      <c r="N69" s="3295">
        <v>3.79</v>
      </c>
    </row>
    <row r="70" spans="2:14" ht="30.75">
      <c r="B70" s="1589" t="s">
        <v>943</v>
      </c>
      <c r="C70" s="1578">
        <v>0</v>
      </c>
      <c r="D70" s="1578">
        <v>0</v>
      </c>
      <c r="E70" s="1578">
        <v>0</v>
      </c>
      <c r="F70" s="2524">
        <v>0</v>
      </c>
      <c r="G70" s="2524">
        <v>0</v>
      </c>
      <c r="H70" s="2524">
        <v>0</v>
      </c>
      <c r="I70" s="2524">
        <v>0</v>
      </c>
      <c r="J70" s="3285">
        <v>0</v>
      </c>
      <c r="K70" s="3076">
        <v>0</v>
      </c>
      <c r="L70" s="3076">
        <v>0</v>
      </c>
      <c r="M70" s="3076">
        <v>0</v>
      </c>
      <c r="N70" s="3295">
        <v>0</v>
      </c>
    </row>
    <row r="71" spans="2:14" ht="23" customHeight="1">
      <c r="B71" s="1594" t="s">
        <v>960</v>
      </c>
      <c r="C71" s="1578">
        <v>18.225000000000001</v>
      </c>
      <c r="D71" s="1578">
        <v>17.934999999999999</v>
      </c>
      <c r="E71" s="1578">
        <v>39.265000000000001</v>
      </c>
      <c r="F71" s="2524">
        <v>29.077000000000002</v>
      </c>
      <c r="G71" s="2524">
        <v>29.454000000000001</v>
      </c>
      <c r="H71" s="2524">
        <v>21.103999999999999</v>
      </c>
      <c r="I71" s="2524">
        <v>19.605</v>
      </c>
      <c r="J71" s="3285">
        <v>21.744</v>
      </c>
      <c r="K71" s="3076">
        <v>5.83</v>
      </c>
      <c r="L71" s="3076">
        <v>18.760000000000002</v>
      </c>
      <c r="M71" s="3076">
        <v>9.5500000000000007</v>
      </c>
      <c r="N71" s="3295">
        <v>16.03</v>
      </c>
    </row>
    <row r="72" spans="2:14" ht="24" customHeight="1">
      <c r="B72" s="1589" t="s">
        <v>943</v>
      </c>
      <c r="C72" s="1578">
        <v>0</v>
      </c>
      <c r="D72" s="1578">
        <v>0</v>
      </c>
      <c r="E72" s="1578">
        <v>0</v>
      </c>
      <c r="F72" s="2524">
        <v>0</v>
      </c>
      <c r="G72" s="2524">
        <v>0</v>
      </c>
      <c r="H72" s="2524">
        <v>0</v>
      </c>
      <c r="I72" s="2524">
        <v>0</v>
      </c>
      <c r="J72" s="3285">
        <v>0</v>
      </c>
      <c r="K72" s="3076">
        <v>0</v>
      </c>
      <c r="L72" s="3076">
        <v>0</v>
      </c>
      <c r="M72" s="3076">
        <v>0</v>
      </c>
      <c r="N72" s="3295">
        <v>0</v>
      </c>
    </row>
    <row r="73" spans="2:14" ht="24" customHeight="1">
      <c r="B73" s="1589" t="s">
        <v>961</v>
      </c>
      <c r="C73" s="1578">
        <v>202.36699999999999</v>
      </c>
      <c r="D73" s="1578">
        <v>205.14400000000001</v>
      </c>
      <c r="E73" s="1578">
        <v>210.25</v>
      </c>
      <c r="F73" s="2524">
        <v>213.54</v>
      </c>
      <c r="G73" s="2524">
        <v>214.33699999999999</v>
      </c>
      <c r="H73" s="2524">
        <v>210.268</v>
      </c>
      <c r="I73" s="2524">
        <v>208.94200000000001</v>
      </c>
      <c r="J73" s="3285">
        <v>208.21600000000001</v>
      </c>
      <c r="K73" s="3076">
        <v>213.87</v>
      </c>
      <c r="L73" s="3076">
        <v>214.49</v>
      </c>
      <c r="M73" s="3076">
        <v>211.88</v>
      </c>
      <c r="N73" s="3295">
        <v>213.89</v>
      </c>
    </row>
    <row r="74" spans="2:14" ht="24" customHeight="1">
      <c r="B74" s="1589" t="s">
        <v>962</v>
      </c>
      <c r="C74" s="1578">
        <v>0</v>
      </c>
      <c r="D74" s="1578">
        <v>0</v>
      </c>
      <c r="E74" s="1578">
        <v>5.6000000000000001E-2</v>
      </c>
      <c r="F74" s="2524">
        <v>1.6E-2</v>
      </c>
      <c r="G74" s="2524">
        <v>2.4E-2</v>
      </c>
      <c r="H74" s="2524">
        <v>4.8000000000000001E-2</v>
      </c>
      <c r="I74" s="2524">
        <v>3.7999999999999999E-2</v>
      </c>
      <c r="J74" s="3285">
        <v>3.3000000000000002E-2</v>
      </c>
      <c r="K74" s="3076">
        <v>0.02</v>
      </c>
      <c r="L74" s="3076">
        <v>0.01</v>
      </c>
      <c r="M74" s="3076">
        <v>0.01</v>
      </c>
      <c r="N74" s="3295">
        <v>0.01</v>
      </c>
    </row>
    <row r="75" spans="2:14" s="1571" customFormat="1" ht="37.25" customHeight="1" thickBot="1">
      <c r="B75" s="1596" t="s">
        <v>336</v>
      </c>
      <c r="C75" s="1579">
        <f>C8+C33</f>
        <v>4647.2879999999996</v>
      </c>
      <c r="D75" s="1579">
        <f>D8+D33</f>
        <v>4766.8320000000003</v>
      </c>
      <c r="E75" s="1579">
        <f t="shared" ref="E75:N75" si="0">E8+E33</f>
        <v>4864.6329999999998</v>
      </c>
      <c r="F75" s="1579">
        <f t="shared" si="0"/>
        <v>4945.924</v>
      </c>
      <c r="G75" s="1579">
        <f t="shared" si="0"/>
        <v>5158.1869999999999</v>
      </c>
      <c r="H75" s="1579">
        <f t="shared" si="0"/>
        <v>5230.4989999999998</v>
      </c>
      <c r="I75" s="1579">
        <f t="shared" si="0"/>
        <v>5078.9170000000004</v>
      </c>
      <c r="J75" s="1579">
        <f t="shared" si="0"/>
        <v>5170.5540000000001</v>
      </c>
      <c r="K75" s="1579">
        <f t="shared" si="0"/>
        <v>5466.48</v>
      </c>
      <c r="L75" s="1579">
        <f t="shared" si="0"/>
        <v>5500.77</v>
      </c>
      <c r="M75" s="1579">
        <f t="shared" si="0"/>
        <v>5606.17</v>
      </c>
      <c r="N75" s="1579">
        <f t="shared" si="0"/>
        <v>5605.9500000000007</v>
      </c>
    </row>
    <row r="76" spans="2:14" ht="24" customHeight="1">
      <c r="B76" s="1597" t="s">
        <v>72</v>
      </c>
      <c r="C76" s="1580"/>
      <c r="D76" s="1580"/>
      <c r="E76" s="1580"/>
      <c r="F76" s="1581"/>
    </row>
    <row r="77" spans="2:14" ht="24" customHeight="1">
      <c r="B77" s="1598" t="s">
        <v>2347</v>
      </c>
      <c r="C77" s="1581"/>
      <c r="D77" s="1581"/>
      <c r="E77" s="1581"/>
      <c r="F77" s="1581"/>
    </row>
    <row r="78" spans="2:14" ht="30.75">
      <c r="B78" s="1598"/>
      <c r="C78" s="1581"/>
      <c r="D78" s="1581"/>
      <c r="E78" s="1581"/>
      <c r="F78" s="1581"/>
    </row>
    <row r="79" spans="2:14" s="1571" customFormat="1" ht="30">
      <c r="B79" s="1599"/>
      <c r="C79" s="1582"/>
      <c r="D79" s="1582"/>
      <c r="E79" s="1582"/>
      <c r="F79" s="1582"/>
    </row>
    <row r="80" spans="2:14" ht="31.25" customHeight="1">
      <c r="B80" s="1600"/>
      <c r="C80" s="1583"/>
      <c r="D80" s="1583"/>
      <c r="E80" s="1583"/>
      <c r="F80" s="1583"/>
    </row>
    <row r="81" spans="2:6" ht="20" hidden="1" customHeight="1">
      <c r="B81" s="1600"/>
      <c r="C81" s="1583"/>
      <c r="D81" s="1583"/>
      <c r="E81" s="1583"/>
      <c r="F81" s="1583"/>
    </row>
    <row r="82" spans="2:6" ht="30" customHeight="1">
      <c r="B82" s="1600"/>
      <c r="C82" s="1583"/>
      <c r="D82" s="1583"/>
      <c r="E82" s="1583"/>
      <c r="F82" s="1583"/>
    </row>
    <row r="83" spans="2:6" ht="12" customHeight="1">
      <c r="B83" s="1601"/>
      <c r="C83" s="1583"/>
      <c r="D83" s="1583"/>
      <c r="E83" s="1583"/>
      <c r="F83" s="1583"/>
    </row>
    <row r="88" spans="2:6" ht="12" customHeight="1">
      <c r="C88" s="1584"/>
      <c r="D88" s="1584"/>
      <c r="E88" s="1584"/>
      <c r="F88" s="1584"/>
    </row>
  </sheetData>
  <mergeCells count="3">
    <mergeCell ref="B1:N1"/>
    <mergeCell ref="B2:N2"/>
    <mergeCell ref="B3:N3"/>
  </mergeCells>
  <printOptions horizontalCentered="1" verticalCentered="1"/>
  <pageMargins left="0.25" right="0.25" top="0.75" bottom="0.75" header="0.3" footer="0.3"/>
  <pageSetup scale="27" firstPageNumber="103" orientation="landscape" useFirstPageNumber="1" r:id="rId1"/>
  <headerFooter scaleWithDoc="0" alignWithMargins="0">
    <oddFooter xml:space="preserve">&amp;C149
</oddFooter>
  </headerFooter>
  <rowBreaks count="1" manualBreakCount="1">
    <brk id="77" max="10"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7">
    <tabColor rgb="FF00B0F0"/>
    <pageSetUpPr fitToPage="1"/>
  </sheetPr>
  <dimension ref="B1:N55"/>
  <sheetViews>
    <sheetView showGridLines="0" view="pageBreakPreview" zoomScale="30" zoomScaleNormal="100" zoomScaleSheetLayoutView="30" workbookViewId="0">
      <pane xSplit="2" ySplit="5" topLeftCell="C25" activePane="bottomRight" state="frozen"/>
      <selection activeCell="B44" sqref="B44"/>
      <selection pane="topRight" activeCell="B44" sqref="B44"/>
      <selection pane="bottomLeft" activeCell="B44" sqref="B44"/>
      <selection pane="bottomRight" activeCell="B44" sqref="B44"/>
    </sheetView>
  </sheetViews>
  <sheetFormatPr defaultColWidth="9.46484375" defaultRowHeight="12" customHeight="1"/>
  <cols>
    <col min="1" max="1" width="3.46484375" style="1217" customWidth="1"/>
    <col min="2" max="2" width="100.6640625" style="1217" customWidth="1"/>
    <col min="3" max="9" width="27.6640625" style="1217" customWidth="1"/>
    <col min="10" max="10" width="32.6640625" style="1217" customWidth="1"/>
    <col min="11" max="14" width="28.33203125" style="3108" customWidth="1"/>
    <col min="15" max="16384" width="9.46484375" style="1217"/>
  </cols>
  <sheetData>
    <row r="1" spans="2:14" ht="33">
      <c r="B1" s="5934" t="s">
        <v>1851</v>
      </c>
      <c r="C1" s="5934"/>
      <c r="D1" s="5934"/>
      <c r="E1" s="5934"/>
      <c r="F1" s="5934"/>
      <c r="G1" s="5934"/>
      <c r="H1" s="5934"/>
      <c r="I1" s="5934"/>
      <c r="J1" s="5934"/>
      <c r="K1" s="5934"/>
      <c r="L1" s="5934"/>
      <c r="M1" s="5934"/>
      <c r="N1" s="5934"/>
    </row>
    <row r="2" spans="2:14" ht="33">
      <c r="B2" s="5935" t="s">
        <v>1365</v>
      </c>
      <c r="C2" s="5935"/>
      <c r="D2" s="5935"/>
      <c r="E2" s="5935"/>
      <c r="F2" s="5935"/>
      <c r="G2" s="5935"/>
      <c r="H2" s="5935"/>
      <c r="I2" s="5935"/>
      <c r="J2" s="5935"/>
      <c r="K2" s="5935"/>
      <c r="L2" s="5935"/>
      <c r="M2" s="5935"/>
      <c r="N2" s="5935"/>
    </row>
    <row r="3" spans="2:14" ht="27" customHeight="1">
      <c r="B3" s="5936" t="s">
        <v>1048</v>
      </c>
      <c r="C3" s="5936"/>
      <c r="D3" s="5936"/>
      <c r="E3" s="5936"/>
      <c r="F3" s="5936"/>
      <c r="G3" s="5936"/>
      <c r="H3" s="5936"/>
      <c r="I3" s="5936"/>
      <c r="J3" s="5936"/>
      <c r="K3" s="5936"/>
      <c r="L3" s="5936"/>
      <c r="M3" s="5936"/>
      <c r="N3" s="5936"/>
    </row>
    <row r="4" spans="2:14" ht="11" customHeight="1" thickBot="1">
      <c r="B4" s="4899"/>
      <c r="C4" s="4899"/>
      <c r="D4" s="4899"/>
      <c r="E4" s="4899"/>
      <c r="F4" s="4899"/>
      <c r="G4" s="4899"/>
      <c r="H4" s="4899"/>
      <c r="I4" s="4899"/>
      <c r="J4" s="4899"/>
      <c r="K4" s="4899"/>
      <c r="L4" s="4899"/>
      <c r="M4" s="4899"/>
      <c r="N4" s="4899"/>
    </row>
    <row r="5" spans="2:14" ht="33.4" thickBot="1">
      <c r="B5" s="2875" t="s">
        <v>933</v>
      </c>
      <c r="C5" s="2876">
        <v>44276</v>
      </c>
      <c r="D5" s="2876">
        <v>44368</v>
      </c>
      <c r="E5" s="2876">
        <v>44460</v>
      </c>
      <c r="F5" s="2877">
        <v>44551</v>
      </c>
      <c r="G5" s="2878">
        <v>44642</v>
      </c>
      <c r="H5" s="2878">
        <v>44734</v>
      </c>
      <c r="I5" s="2878">
        <v>44826</v>
      </c>
      <c r="J5" s="2994" t="s">
        <v>2348</v>
      </c>
      <c r="K5" s="2994" t="s">
        <v>2355</v>
      </c>
      <c r="L5" s="2878" t="s">
        <v>2354</v>
      </c>
      <c r="M5" s="2994" t="s">
        <v>2351</v>
      </c>
      <c r="N5" s="3297" t="s">
        <v>2353</v>
      </c>
    </row>
    <row r="6" spans="2:14" s="1218" customFormat="1" ht="37.25" customHeight="1">
      <c r="B6" s="2879" t="s">
        <v>964</v>
      </c>
      <c r="C6" s="2880">
        <v>4647.2889999999998</v>
      </c>
      <c r="D6" s="2880">
        <v>4766.8320000000003</v>
      </c>
      <c r="E6" s="2880">
        <v>4864.6329999999998</v>
      </c>
      <c r="F6" s="2881">
        <v>4945.924</v>
      </c>
      <c r="G6" s="2880">
        <v>5158.1869999999999</v>
      </c>
      <c r="H6" s="2880">
        <v>5230.4989999999998</v>
      </c>
      <c r="I6" s="2880">
        <v>5078.9170000000004</v>
      </c>
      <c r="J6" s="2995">
        <v>5170.5200000000004</v>
      </c>
      <c r="K6" s="2995">
        <v>5466.48</v>
      </c>
      <c r="L6" s="2995">
        <v>5500.78</v>
      </c>
      <c r="M6" s="2995">
        <v>5606.17</v>
      </c>
      <c r="N6" s="3298">
        <v>5605.95</v>
      </c>
    </row>
    <row r="7" spans="2:14" ht="30" customHeight="1">
      <c r="B7" s="2882" t="s">
        <v>965</v>
      </c>
      <c r="C7" s="2884">
        <v>10.606</v>
      </c>
      <c r="D7" s="2884">
        <v>13.085000000000001</v>
      </c>
      <c r="E7" s="2884">
        <v>10.365</v>
      </c>
      <c r="F7" s="2885">
        <v>18.861000000000001</v>
      </c>
      <c r="G7" s="2884">
        <v>7.7249999999999996</v>
      </c>
      <c r="H7" s="2884">
        <v>13.941000000000001</v>
      </c>
      <c r="I7" s="2884">
        <v>9.0090000000000003</v>
      </c>
      <c r="J7" s="2996">
        <v>7.55</v>
      </c>
      <c r="K7" s="3941">
        <v>43.25</v>
      </c>
      <c r="L7" s="3942">
        <v>28.91</v>
      </c>
      <c r="M7" s="3942">
        <v>43.02</v>
      </c>
      <c r="N7" s="3943">
        <v>37.82</v>
      </c>
    </row>
    <row r="8" spans="2:14" ht="30" customHeight="1">
      <c r="B8" s="2882" t="s">
        <v>966</v>
      </c>
      <c r="C8" s="2884">
        <v>8.3000000000000004E-2</v>
      </c>
      <c r="D8" s="2884">
        <v>8.3000000000000004E-2</v>
      </c>
      <c r="E8" s="2884">
        <v>8.5000000000000006E-2</v>
      </c>
      <c r="F8" s="2885">
        <v>8.4000000000000005E-2</v>
      </c>
      <c r="G8" s="2884">
        <v>8.4000000000000005E-2</v>
      </c>
      <c r="H8" s="2884">
        <v>8.3000000000000004E-2</v>
      </c>
      <c r="I8" s="2884">
        <v>8.2000000000000003E-2</v>
      </c>
      <c r="J8" s="2996">
        <v>8.2000000000000003E-2</v>
      </c>
      <c r="K8" s="3942">
        <v>0.1</v>
      </c>
      <c r="L8" s="3942">
        <v>0.1</v>
      </c>
      <c r="M8" s="3942">
        <v>0.1</v>
      </c>
      <c r="N8" s="3943">
        <v>0.1</v>
      </c>
    </row>
    <row r="9" spans="2:14" ht="30" customHeight="1">
      <c r="B9" s="2882" t="s">
        <v>967</v>
      </c>
      <c r="C9" s="2884">
        <v>15.034000000000001</v>
      </c>
      <c r="D9" s="2884">
        <v>24.771000000000001</v>
      </c>
      <c r="E9" s="2884">
        <v>10.839</v>
      </c>
      <c r="F9" s="2885">
        <v>11.14</v>
      </c>
      <c r="G9" s="2884">
        <v>0.93899999999999995</v>
      </c>
      <c r="H9" s="2884">
        <v>24.401</v>
      </c>
      <c r="I9" s="2884">
        <v>18.670000000000002</v>
      </c>
      <c r="J9" s="2996">
        <v>17.850000000000001</v>
      </c>
      <c r="K9" s="3942">
        <v>16.89</v>
      </c>
      <c r="L9" s="3942">
        <v>14.85</v>
      </c>
      <c r="M9" s="3942">
        <v>40.49</v>
      </c>
      <c r="N9" s="3943">
        <v>36.85</v>
      </c>
    </row>
    <row r="10" spans="2:14" ht="30" customHeight="1">
      <c r="B10" s="2882" t="s">
        <v>968</v>
      </c>
      <c r="C10" s="2884">
        <v>453.608</v>
      </c>
      <c r="D10" s="2884">
        <v>446.88099999999997</v>
      </c>
      <c r="E10" s="2884">
        <v>398.572</v>
      </c>
      <c r="F10" s="2885">
        <v>553.72900000000004</v>
      </c>
      <c r="G10" s="2884">
        <v>508.678</v>
      </c>
      <c r="H10" s="2884">
        <v>462.87799999999999</v>
      </c>
      <c r="I10" s="2884">
        <v>590.80600000000004</v>
      </c>
      <c r="J10" s="2996">
        <v>655.10599999999999</v>
      </c>
      <c r="K10" s="3942">
        <v>718.96</v>
      </c>
      <c r="L10" s="3942">
        <v>790.73</v>
      </c>
      <c r="M10" s="3942">
        <v>808.44</v>
      </c>
      <c r="N10" s="3943">
        <v>702.09</v>
      </c>
    </row>
    <row r="11" spans="2:14" ht="30" customHeight="1">
      <c r="B11" s="2882" t="s">
        <v>969</v>
      </c>
      <c r="C11" s="2884">
        <v>289.803</v>
      </c>
      <c r="D11" s="2884">
        <v>257.88099999999997</v>
      </c>
      <c r="E11" s="2884">
        <v>272.584</v>
      </c>
      <c r="F11" s="2885">
        <v>303.00200000000001</v>
      </c>
      <c r="G11" s="2884">
        <v>293.65899999999999</v>
      </c>
      <c r="H11" s="2884">
        <v>296.88499999999999</v>
      </c>
      <c r="I11" s="2884">
        <v>296.38400000000001</v>
      </c>
      <c r="J11" s="2996">
        <v>359.351</v>
      </c>
      <c r="K11" s="3942">
        <v>335.91</v>
      </c>
      <c r="L11" s="3942">
        <v>372.85</v>
      </c>
      <c r="M11" s="3942">
        <v>363.83</v>
      </c>
      <c r="N11" s="3943">
        <v>417.98</v>
      </c>
    </row>
    <row r="12" spans="2:14" ht="30" customHeight="1">
      <c r="B12" s="2882" t="s">
        <v>970</v>
      </c>
      <c r="C12" s="2884">
        <v>20.335999999999999</v>
      </c>
      <c r="D12" s="2884">
        <v>16.173999999999999</v>
      </c>
      <c r="E12" s="2884">
        <v>30.757999999999999</v>
      </c>
      <c r="F12" s="2885">
        <v>42.593000000000004</v>
      </c>
      <c r="G12" s="2884">
        <v>120.6</v>
      </c>
      <c r="H12" s="2884">
        <v>398.33300000000003</v>
      </c>
      <c r="I12" s="2884">
        <v>92.706000000000003</v>
      </c>
      <c r="J12" s="2996">
        <v>157.369</v>
      </c>
      <c r="K12" s="3942">
        <v>154.97</v>
      </c>
      <c r="L12" s="3942">
        <v>50.73</v>
      </c>
      <c r="M12" s="3942">
        <v>44.87</v>
      </c>
      <c r="N12" s="3943">
        <v>61.98</v>
      </c>
    </row>
    <row r="13" spans="2:14" ht="30" customHeight="1">
      <c r="B13" s="2882" t="s">
        <v>971</v>
      </c>
      <c r="C13" s="2884">
        <v>4.8360000000000003</v>
      </c>
      <c r="D13" s="2884">
        <v>4.8559999999999999</v>
      </c>
      <c r="E13" s="2884">
        <v>0.874</v>
      </c>
      <c r="F13" s="2885">
        <v>0.876</v>
      </c>
      <c r="G13" s="2884">
        <v>0.879</v>
      </c>
      <c r="H13" s="2884">
        <v>0.88200000000000001</v>
      </c>
      <c r="I13" s="2884">
        <v>0</v>
      </c>
      <c r="J13" s="2996">
        <v>0</v>
      </c>
      <c r="K13" s="2996">
        <v>0</v>
      </c>
      <c r="L13" s="2996">
        <v>0</v>
      </c>
      <c r="M13" s="2996">
        <v>0</v>
      </c>
      <c r="N13" s="3944">
        <v>0</v>
      </c>
    </row>
    <row r="14" spans="2:14" ht="30" customHeight="1">
      <c r="B14" s="2882" t="s">
        <v>972</v>
      </c>
      <c r="C14" s="2884">
        <v>58.405000000000001</v>
      </c>
      <c r="D14" s="2884">
        <v>58.631999999999998</v>
      </c>
      <c r="E14" s="2884">
        <v>52.03</v>
      </c>
      <c r="F14" s="2885">
        <v>52.177</v>
      </c>
      <c r="G14" s="2884">
        <v>45.640999999999998</v>
      </c>
      <c r="H14" s="2884">
        <v>45.692999999999998</v>
      </c>
      <c r="I14" s="2884">
        <v>39.276000000000003</v>
      </c>
      <c r="J14" s="2996">
        <v>39.25</v>
      </c>
      <c r="K14" s="3942">
        <v>32.9</v>
      </c>
      <c r="L14" s="3942">
        <v>32.76</v>
      </c>
      <c r="M14" s="3942">
        <v>26.51</v>
      </c>
      <c r="N14" s="3943">
        <v>26.29</v>
      </c>
    </row>
    <row r="15" spans="2:14" ht="30" customHeight="1">
      <c r="B15" s="2882" t="s">
        <v>973</v>
      </c>
      <c r="C15" s="2884">
        <v>0</v>
      </c>
      <c r="D15" s="2884">
        <v>0</v>
      </c>
      <c r="E15" s="2884">
        <v>0</v>
      </c>
      <c r="F15" s="2885">
        <v>0</v>
      </c>
      <c r="G15" s="2884">
        <v>0</v>
      </c>
      <c r="H15" s="2884">
        <v>0</v>
      </c>
      <c r="I15" s="2884">
        <v>0</v>
      </c>
      <c r="J15" s="2996">
        <v>0</v>
      </c>
      <c r="K15" s="3942">
        <v>0</v>
      </c>
      <c r="L15" s="3942">
        <v>0</v>
      </c>
      <c r="M15" s="3942">
        <v>0</v>
      </c>
      <c r="N15" s="3943">
        <v>0</v>
      </c>
    </row>
    <row r="16" spans="2:14" ht="30" customHeight="1">
      <c r="B16" s="2882" t="s">
        <v>974</v>
      </c>
      <c r="C16" s="2884">
        <v>0</v>
      </c>
      <c r="D16" s="2884">
        <v>0</v>
      </c>
      <c r="E16" s="2884">
        <v>0</v>
      </c>
      <c r="F16" s="2885">
        <v>0</v>
      </c>
      <c r="G16" s="2884">
        <v>0</v>
      </c>
      <c r="H16" s="2884">
        <v>0</v>
      </c>
      <c r="I16" s="2884">
        <v>0</v>
      </c>
      <c r="J16" s="2996">
        <v>0</v>
      </c>
      <c r="K16" s="3942">
        <v>0</v>
      </c>
      <c r="L16" s="3942">
        <v>0</v>
      </c>
      <c r="M16" s="3942">
        <v>0</v>
      </c>
      <c r="N16" s="3943">
        <v>0</v>
      </c>
    </row>
    <row r="17" spans="2:14" ht="30" customHeight="1">
      <c r="B17" s="2882" t="s">
        <v>975</v>
      </c>
      <c r="C17" s="2884">
        <v>285.10300000000001</v>
      </c>
      <c r="D17" s="2884">
        <v>285.10300000000001</v>
      </c>
      <c r="E17" s="2884">
        <v>285.10300000000001</v>
      </c>
      <c r="F17" s="2885">
        <v>285.10300000000001</v>
      </c>
      <c r="G17" s="2884">
        <v>285.10300000000001</v>
      </c>
      <c r="H17" s="2884">
        <v>285.10300000000001</v>
      </c>
      <c r="I17" s="2884">
        <v>285.10300000000001</v>
      </c>
      <c r="J17" s="2996">
        <v>285.10300000000001</v>
      </c>
      <c r="K17" s="3942">
        <v>285.10000000000002</v>
      </c>
      <c r="L17" s="3942">
        <v>285.10000000000002</v>
      </c>
      <c r="M17" s="3942">
        <v>285.10000000000002</v>
      </c>
      <c r="N17" s="3943">
        <v>285.10000000000002</v>
      </c>
    </row>
    <row r="18" spans="2:14" ht="30" customHeight="1">
      <c r="B18" s="2882" t="s">
        <v>976</v>
      </c>
      <c r="C18" s="2884">
        <v>209.9</v>
      </c>
      <c r="D18" s="2884">
        <v>211.721</v>
      </c>
      <c r="E18" s="2884">
        <v>213.88900000000001</v>
      </c>
      <c r="F18" s="2885">
        <v>208.38900000000001</v>
      </c>
      <c r="G18" s="2884">
        <v>186.83600000000001</v>
      </c>
      <c r="H18" s="2884">
        <v>164.5</v>
      </c>
      <c r="I18" s="2884">
        <v>169.98</v>
      </c>
      <c r="J18" s="2996">
        <v>198.57</v>
      </c>
      <c r="K18" s="3942">
        <v>204.97</v>
      </c>
      <c r="L18" s="3942">
        <v>203.93</v>
      </c>
      <c r="M18" s="3942">
        <v>199.86</v>
      </c>
      <c r="N18" s="3943">
        <v>242.35</v>
      </c>
    </row>
    <row r="19" spans="2:14" ht="30" customHeight="1">
      <c r="B19" s="2882" t="s">
        <v>977</v>
      </c>
      <c r="C19" s="2884">
        <v>-87.652000000000001</v>
      </c>
      <c r="D19" s="2884">
        <v>-64.474000000000004</v>
      </c>
      <c r="E19" s="2884">
        <v>-57.933999999999997</v>
      </c>
      <c r="F19" s="2885">
        <v>-24.218</v>
      </c>
      <c r="G19" s="2884">
        <v>-17.329999999999998</v>
      </c>
      <c r="H19" s="2884">
        <v>-14.228</v>
      </c>
      <c r="I19" s="2884">
        <v>-13.754</v>
      </c>
      <c r="J19" s="2996">
        <v>-8.09</v>
      </c>
      <c r="K19" s="3942">
        <v>3.46</v>
      </c>
      <c r="L19" s="3942">
        <v>41.77</v>
      </c>
      <c r="M19" s="3942">
        <v>57.92</v>
      </c>
      <c r="N19" s="3943">
        <v>59.94</v>
      </c>
    </row>
    <row r="20" spans="2:14" ht="30" customHeight="1">
      <c r="B20" s="2882" t="s">
        <v>978</v>
      </c>
      <c r="C20" s="2884">
        <v>90.472999999999999</v>
      </c>
      <c r="D20" s="2884">
        <v>92.093000000000004</v>
      </c>
      <c r="E20" s="2884">
        <v>87.671999999999997</v>
      </c>
      <c r="F20" s="2885">
        <v>85.222999999999999</v>
      </c>
      <c r="G20" s="2884">
        <v>64.760999999999996</v>
      </c>
      <c r="H20" s="2884">
        <v>64.027000000000001</v>
      </c>
      <c r="I20" s="2884">
        <v>66.334999999999994</v>
      </c>
      <c r="J20" s="2996">
        <v>57.48</v>
      </c>
      <c r="K20" s="3942">
        <v>62.55</v>
      </c>
      <c r="L20" s="3942">
        <v>57.29</v>
      </c>
      <c r="M20" s="3942">
        <v>49.79</v>
      </c>
      <c r="N20" s="3943">
        <v>49.46</v>
      </c>
    </row>
    <row r="21" spans="2:14" s="1218" customFormat="1" ht="30" customHeight="1">
      <c r="B21" s="2879" t="s">
        <v>979</v>
      </c>
      <c r="C21" s="2880">
        <v>286.846</v>
      </c>
      <c r="D21" s="2880">
        <v>290.12599999999998</v>
      </c>
      <c r="E21" s="2880">
        <v>377.62900000000002</v>
      </c>
      <c r="F21" s="2881">
        <v>461.52699999999999</v>
      </c>
      <c r="G21" s="2880">
        <v>324.59300000000002</v>
      </c>
      <c r="H21" s="2880">
        <v>419.47500000000002</v>
      </c>
      <c r="I21" s="2880">
        <v>379.82600000000002</v>
      </c>
      <c r="J21" s="2995">
        <v>426.73</v>
      </c>
      <c r="K21" s="3945">
        <v>367.82</v>
      </c>
      <c r="L21" s="3945">
        <v>373.93</v>
      </c>
      <c r="M21" s="3945">
        <v>331.24</v>
      </c>
      <c r="N21" s="3946">
        <v>461.75</v>
      </c>
    </row>
    <row r="22" spans="2:14" ht="30" customHeight="1">
      <c r="B22" s="2883" t="s">
        <v>980</v>
      </c>
      <c r="C22" s="2884">
        <v>7.7309999999999999</v>
      </c>
      <c r="D22" s="2884">
        <v>6.641</v>
      </c>
      <c r="E22" s="2884">
        <v>11.629</v>
      </c>
      <c r="F22" s="2885">
        <v>9.08</v>
      </c>
      <c r="G22" s="2884">
        <v>13.055999999999999</v>
      </c>
      <c r="H22" s="2884">
        <v>7.8049999999999997</v>
      </c>
      <c r="I22" s="2884">
        <v>26.192</v>
      </c>
      <c r="J22" s="2996">
        <v>28.27</v>
      </c>
      <c r="K22" s="3942">
        <v>29.32</v>
      </c>
      <c r="L22" s="3942">
        <v>29.03</v>
      </c>
      <c r="M22" s="3942">
        <v>32.96</v>
      </c>
      <c r="N22" s="3943">
        <v>34.96</v>
      </c>
    </row>
    <row r="23" spans="2:14" ht="30" customHeight="1">
      <c r="B23" s="2883" t="s">
        <v>981</v>
      </c>
      <c r="C23" s="2884">
        <v>4.4400000000000004</v>
      </c>
      <c r="D23" s="2884">
        <v>10.159000000000001</v>
      </c>
      <c r="E23" s="2884">
        <v>9.6769999999999996</v>
      </c>
      <c r="F23" s="2885">
        <v>6.5060000000000002</v>
      </c>
      <c r="G23" s="2884">
        <v>12.305999999999999</v>
      </c>
      <c r="H23" s="2884">
        <v>19.233000000000001</v>
      </c>
      <c r="I23" s="2884">
        <v>11.292999999999999</v>
      </c>
      <c r="J23" s="2996">
        <v>18.55</v>
      </c>
      <c r="K23" s="3942">
        <v>25.3</v>
      </c>
      <c r="L23" s="3942">
        <v>25.51</v>
      </c>
      <c r="M23" s="3942">
        <v>7.46</v>
      </c>
      <c r="N23" s="3943">
        <v>25.5</v>
      </c>
    </row>
    <row r="24" spans="2:14" ht="30" customHeight="1">
      <c r="B24" s="2883" t="s">
        <v>982</v>
      </c>
      <c r="C24" s="2884">
        <v>160.232</v>
      </c>
      <c r="D24" s="2884">
        <v>151.83600000000001</v>
      </c>
      <c r="E24" s="2884">
        <v>230.96</v>
      </c>
      <c r="F24" s="2885">
        <v>321.69600000000003</v>
      </c>
      <c r="G24" s="2884">
        <v>155.36500000000001</v>
      </c>
      <c r="H24" s="2884">
        <v>257.68</v>
      </c>
      <c r="I24" s="2884">
        <v>213.40100000000001</v>
      </c>
      <c r="J24" s="2996">
        <v>256.39</v>
      </c>
      <c r="K24" s="3942">
        <v>180.12</v>
      </c>
      <c r="L24" s="3942">
        <v>206.48</v>
      </c>
      <c r="M24" s="3942">
        <v>185.12</v>
      </c>
      <c r="N24" s="3943">
        <v>298</v>
      </c>
    </row>
    <row r="25" spans="2:14" ht="30" customHeight="1">
      <c r="B25" s="2883" t="s">
        <v>983</v>
      </c>
      <c r="C25" s="2884">
        <v>1.165</v>
      </c>
      <c r="D25" s="2884">
        <v>1.159</v>
      </c>
      <c r="E25" s="2884">
        <v>1.1339999999999999</v>
      </c>
      <c r="F25" s="2885">
        <v>1.1220000000000001</v>
      </c>
      <c r="G25" s="2884">
        <v>1.123</v>
      </c>
      <c r="H25" s="2884">
        <v>1.123</v>
      </c>
      <c r="I25" s="2884">
        <v>1.123</v>
      </c>
      <c r="J25" s="2996">
        <v>1.123</v>
      </c>
      <c r="K25" s="3942">
        <v>1.1200000000000001</v>
      </c>
      <c r="L25" s="3942">
        <v>1.1200000000000001</v>
      </c>
      <c r="M25" s="3942">
        <v>1.1200000000000001</v>
      </c>
      <c r="N25" s="3943">
        <v>1.19</v>
      </c>
    </row>
    <row r="26" spans="2:14" ht="30" customHeight="1">
      <c r="B26" s="2883" t="s">
        <v>984</v>
      </c>
      <c r="C26" s="2884">
        <v>57.408999999999999</v>
      </c>
      <c r="D26" s="2884">
        <v>64.128</v>
      </c>
      <c r="E26" s="2884">
        <v>67.307000000000002</v>
      </c>
      <c r="F26" s="2885">
        <v>65.555000000000007</v>
      </c>
      <c r="G26" s="2884">
        <v>84.042000000000002</v>
      </c>
      <c r="H26" s="2884">
        <v>74.78</v>
      </c>
      <c r="I26" s="2884">
        <v>67.231999999999999</v>
      </c>
      <c r="J26" s="2996">
        <v>60.540999999999997</v>
      </c>
      <c r="K26" s="3942">
        <v>81.5</v>
      </c>
      <c r="L26" s="3942">
        <v>76.7</v>
      </c>
      <c r="M26" s="3942">
        <v>68.319999999999993</v>
      </c>
      <c r="N26" s="3943">
        <v>73.77</v>
      </c>
    </row>
    <row r="27" spans="2:14" ht="30" customHeight="1">
      <c r="B27" s="2883" t="s">
        <v>985</v>
      </c>
      <c r="C27" s="2884">
        <v>55.869</v>
      </c>
      <c r="D27" s="2884">
        <v>56.203000000000003</v>
      </c>
      <c r="E27" s="2884">
        <v>56.921999999999997</v>
      </c>
      <c r="F27" s="2885">
        <v>57.567999999999998</v>
      </c>
      <c r="G27" s="2884">
        <v>58.701000000000001</v>
      </c>
      <c r="H27" s="2884">
        <v>58.853999999999999</v>
      </c>
      <c r="I27" s="2884">
        <v>60.585000000000001</v>
      </c>
      <c r="J27" s="2996">
        <v>61.856000000000002</v>
      </c>
      <c r="K27" s="3942">
        <v>50.46</v>
      </c>
      <c r="L27" s="3942">
        <v>35.1</v>
      </c>
      <c r="M27" s="3942">
        <v>36.26</v>
      </c>
      <c r="N27" s="3943">
        <v>28.36</v>
      </c>
    </row>
    <row r="28" spans="2:14" s="1218" customFormat="1" ht="32.25">
      <c r="B28" s="2879" t="s">
        <v>986</v>
      </c>
      <c r="C28" s="2880">
        <v>6284.67</v>
      </c>
      <c r="D28" s="2880">
        <v>6403.7640000000001</v>
      </c>
      <c r="E28" s="2880">
        <v>6547.0990000000002</v>
      </c>
      <c r="F28" s="2881">
        <v>6944.41</v>
      </c>
      <c r="G28" s="2880">
        <v>6980.3549999999996</v>
      </c>
      <c r="H28" s="2880">
        <v>7393.4449999999997</v>
      </c>
      <c r="I28" s="2880">
        <v>7013.3379999999997</v>
      </c>
      <c r="J28" s="2995">
        <v>7366.87</v>
      </c>
      <c r="K28" s="3945">
        <v>7693.38</v>
      </c>
      <c r="L28" s="3945">
        <v>7753.73</v>
      </c>
      <c r="M28" s="3945">
        <v>7857.33</v>
      </c>
      <c r="N28" s="3946">
        <v>7987.65</v>
      </c>
    </row>
    <row r="29" spans="2:14" ht="30" customHeight="1">
      <c r="B29" s="2882" t="s">
        <v>987</v>
      </c>
      <c r="C29" s="2884">
        <v>74.480999999999995</v>
      </c>
      <c r="D29" s="2884">
        <v>69.289000000000001</v>
      </c>
      <c r="E29" s="2884">
        <v>69.23</v>
      </c>
      <c r="F29" s="2885">
        <v>88.305000000000007</v>
      </c>
      <c r="G29" s="2884">
        <v>76.622</v>
      </c>
      <c r="H29" s="2884">
        <v>82.311000000000007</v>
      </c>
      <c r="I29" s="2884">
        <v>73.114999999999995</v>
      </c>
      <c r="J29" s="2996">
        <v>90.034000000000006</v>
      </c>
      <c r="K29" s="3942">
        <v>73.62</v>
      </c>
      <c r="L29" s="3942">
        <v>76.39</v>
      </c>
      <c r="M29" s="3942">
        <v>74.819999999999993</v>
      </c>
      <c r="N29" s="3943">
        <v>102.48</v>
      </c>
    </row>
    <row r="30" spans="2:14" ht="30" customHeight="1">
      <c r="B30" s="2883" t="s">
        <v>1183</v>
      </c>
      <c r="C30" s="2884">
        <v>68.024000000000001</v>
      </c>
      <c r="D30" s="2884">
        <v>63.63</v>
      </c>
      <c r="E30" s="2884">
        <v>62.908000000000001</v>
      </c>
      <c r="F30" s="2885">
        <v>77.158000000000001</v>
      </c>
      <c r="G30" s="2884">
        <v>67.724000000000004</v>
      </c>
      <c r="H30" s="2884">
        <v>74.59</v>
      </c>
      <c r="I30" s="2884">
        <v>67.195999999999998</v>
      </c>
      <c r="J30" s="2996">
        <v>75.084999999999994</v>
      </c>
      <c r="K30" s="3942">
        <v>64.44</v>
      </c>
      <c r="L30" s="3942">
        <v>68.91</v>
      </c>
      <c r="M30" s="3942">
        <v>68.25</v>
      </c>
      <c r="N30" s="3943">
        <v>87.99</v>
      </c>
    </row>
    <row r="31" spans="2:14" ht="30" customHeight="1">
      <c r="B31" s="2883" t="s">
        <v>1184</v>
      </c>
      <c r="C31" s="2884">
        <v>6.4569999999999999</v>
      </c>
      <c r="D31" s="2884">
        <v>5.6580000000000004</v>
      </c>
      <c r="E31" s="2884">
        <v>6.3220000000000001</v>
      </c>
      <c r="F31" s="2885">
        <v>11.147</v>
      </c>
      <c r="G31" s="2884">
        <v>8.8979999999999997</v>
      </c>
      <c r="H31" s="2884">
        <v>7.7210000000000001</v>
      </c>
      <c r="I31" s="2884">
        <v>5.9189999999999996</v>
      </c>
      <c r="J31" s="2996">
        <v>14.95</v>
      </c>
      <c r="K31" s="3942">
        <v>9.18</v>
      </c>
      <c r="L31" s="3942">
        <v>7.48</v>
      </c>
      <c r="M31" s="3942">
        <v>6.57</v>
      </c>
      <c r="N31" s="3943">
        <v>14.49</v>
      </c>
    </row>
    <row r="32" spans="2:14" ht="30" customHeight="1">
      <c r="B32" s="2882" t="s">
        <v>988</v>
      </c>
      <c r="C32" s="2884">
        <v>521.33299999999997</v>
      </c>
      <c r="D32" s="2884">
        <v>600.21500000000003</v>
      </c>
      <c r="E32" s="2884">
        <v>681.28800000000001</v>
      </c>
      <c r="F32" s="2885">
        <v>804.73699999999997</v>
      </c>
      <c r="G32" s="2884">
        <v>913.95100000000002</v>
      </c>
      <c r="H32" s="2884">
        <v>822.12300000000005</v>
      </c>
      <c r="I32" s="2884">
        <v>764.07100000000003</v>
      </c>
      <c r="J32" s="2996">
        <v>663.95</v>
      </c>
      <c r="K32" s="3942">
        <v>725.72</v>
      </c>
      <c r="L32" s="3942">
        <v>689.44</v>
      </c>
      <c r="M32" s="3942">
        <v>807.06</v>
      </c>
      <c r="N32" s="3943">
        <v>630.57000000000005</v>
      </c>
    </row>
    <row r="33" spans="2:14" ht="30" customHeight="1">
      <c r="B33" s="2882" t="s">
        <v>989</v>
      </c>
      <c r="C33" s="2884">
        <v>7.399</v>
      </c>
      <c r="D33" s="2884">
        <v>22.991</v>
      </c>
      <c r="E33" s="2884">
        <v>14.097</v>
      </c>
      <c r="F33" s="2885">
        <v>1.0249999999999999</v>
      </c>
      <c r="G33" s="2884">
        <v>8.266</v>
      </c>
      <c r="H33" s="2884">
        <v>14.853999999999999</v>
      </c>
      <c r="I33" s="2884">
        <v>3.7949999999999999</v>
      </c>
      <c r="J33" s="2996">
        <v>8.4819999999999993</v>
      </c>
      <c r="K33" s="3942">
        <v>11.82</v>
      </c>
      <c r="L33" s="3942">
        <v>6.29</v>
      </c>
      <c r="M33" s="3942">
        <v>3.12</v>
      </c>
      <c r="N33" s="3943">
        <v>8.07</v>
      </c>
    </row>
    <row r="34" spans="2:14" ht="30" customHeight="1">
      <c r="B34" s="2882" t="s">
        <v>990</v>
      </c>
      <c r="C34" s="2884">
        <v>8.7490000000000006</v>
      </c>
      <c r="D34" s="2884">
        <v>16.257000000000001</v>
      </c>
      <c r="E34" s="2884">
        <v>13.51</v>
      </c>
      <c r="F34" s="2885">
        <v>13.952999999999999</v>
      </c>
      <c r="G34" s="2884">
        <v>0.82499999999999996</v>
      </c>
      <c r="H34" s="2884">
        <v>1.2E-2</v>
      </c>
      <c r="I34" s="2884">
        <v>6.8000000000000005E-2</v>
      </c>
      <c r="J34" s="2996">
        <v>6.8000000000000005E-2</v>
      </c>
      <c r="K34" s="3942">
        <v>7.0000000000000007E-2</v>
      </c>
      <c r="L34" s="3942">
        <v>0.09</v>
      </c>
      <c r="M34" s="3942">
        <v>0</v>
      </c>
      <c r="N34" s="3943">
        <v>34.01</v>
      </c>
    </row>
    <row r="35" spans="2:14" ht="66">
      <c r="B35" s="2882" t="s">
        <v>991</v>
      </c>
      <c r="C35" s="2884">
        <v>62.439</v>
      </c>
      <c r="D35" s="2884">
        <v>74.488</v>
      </c>
      <c r="E35" s="2884">
        <v>73.498000000000005</v>
      </c>
      <c r="F35" s="2885">
        <v>113.28</v>
      </c>
      <c r="G35" s="2884">
        <v>116.343</v>
      </c>
      <c r="H35" s="2884">
        <v>283.529</v>
      </c>
      <c r="I35" s="2884">
        <v>215.286</v>
      </c>
      <c r="J35" s="2996">
        <v>308.62099999999998</v>
      </c>
      <c r="K35" s="3942">
        <v>345.72</v>
      </c>
      <c r="L35" s="3942">
        <v>444.17</v>
      </c>
      <c r="M35" s="3942">
        <v>511.4</v>
      </c>
      <c r="N35" s="3943">
        <v>591.17999999999995</v>
      </c>
    </row>
    <row r="36" spans="2:14" ht="30" customHeight="1">
      <c r="B36" s="2882" t="s">
        <v>992</v>
      </c>
      <c r="C36" s="2884">
        <v>28.632999999999999</v>
      </c>
      <c r="D36" s="2884">
        <v>24.635999999999999</v>
      </c>
      <c r="E36" s="2884">
        <v>28.297000000000001</v>
      </c>
      <c r="F36" s="2885">
        <v>28.298999999999999</v>
      </c>
      <c r="G36" s="2884">
        <v>22.96</v>
      </c>
      <c r="H36" s="2884">
        <v>23.55</v>
      </c>
      <c r="I36" s="2884">
        <v>24.686</v>
      </c>
      <c r="J36" s="2996">
        <v>100.55</v>
      </c>
      <c r="K36" s="3942">
        <v>95.05</v>
      </c>
      <c r="L36" s="3942">
        <v>147.53</v>
      </c>
      <c r="M36" s="3942">
        <v>83.73</v>
      </c>
      <c r="N36" s="3943">
        <v>85.38</v>
      </c>
    </row>
    <row r="37" spans="2:14" ht="66">
      <c r="B37" s="2882" t="s">
        <v>993</v>
      </c>
      <c r="C37" s="2884">
        <v>418.93299999999999</v>
      </c>
      <c r="D37" s="2884">
        <v>282.41000000000003</v>
      </c>
      <c r="E37" s="2884">
        <v>311.76600000000002</v>
      </c>
      <c r="F37" s="2885">
        <v>257.83999999999997</v>
      </c>
      <c r="G37" s="2884">
        <v>275.85700000000003</v>
      </c>
      <c r="H37" s="2884">
        <v>289.22199999999998</v>
      </c>
      <c r="I37" s="2884">
        <v>326.54399999999998</v>
      </c>
      <c r="J37" s="2996">
        <v>292.08800000000002</v>
      </c>
      <c r="K37" s="3942">
        <v>446.92</v>
      </c>
      <c r="L37" s="3941">
        <v>337.06</v>
      </c>
      <c r="M37" s="3942">
        <v>461.47</v>
      </c>
      <c r="N37" s="3943">
        <v>598.38</v>
      </c>
    </row>
    <row r="38" spans="2:14" ht="99">
      <c r="B38" s="2882" t="s">
        <v>1189</v>
      </c>
      <c r="C38" s="2884">
        <v>3626.0680000000002</v>
      </c>
      <c r="D38" s="2884">
        <v>3580.703</v>
      </c>
      <c r="E38" s="2884">
        <v>3559.6239999999998</v>
      </c>
      <c r="F38" s="2885">
        <v>3556.5349999999999</v>
      </c>
      <c r="G38" s="2884">
        <v>3534.866</v>
      </c>
      <c r="H38" s="2884">
        <v>3530.0610000000001</v>
      </c>
      <c r="I38" s="2884">
        <v>3549.9119999999998</v>
      </c>
      <c r="J38" s="2996">
        <v>3592.172</v>
      </c>
      <c r="K38" s="3942">
        <v>3640.5</v>
      </c>
      <c r="L38" s="3941">
        <v>3756.26</v>
      </c>
      <c r="M38" s="3942">
        <v>3760.39</v>
      </c>
      <c r="N38" s="3943">
        <v>3690.7</v>
      </c>
    </row>
    <row r="39" spans="2:14" ht="30" customHeight="1">
      <c r="B39" s="2882" t="s">
        <v>1185</v>
      </c>
      <c r="C39" s="2884">
        <v>-164.38300000000001</v>
      </c>
      <c r="D39" s="2884">
        <v>-161.98400000000001</v>
      </c>
      <c r="E39" s="2884">
        <v>-176.66200000000001</v>
      </c>
      <c r="F39" s="2885">
        <v>-189.85499999999999</v>
      </c>
      <c r="G39" s="2884">
        <v>-203.92699999999999</v>
      </c>
      <c r="H39" s="2884">
        <v>-207.01499999999999</v>
      </c>
      <c r="I39" s="2884">
        <v>-181.60900000000001</v>
      </c>
      <c r="J39" s="2996">
        <v>168.4</v>
      </c>
      <c r="K39" s="3942">
        <v>186.47</v>
      </c>
      <c r="L39" s="3941">
        <v>187.77</v>
      </c>
      <c r="M39" s="3942">
        <v>194.51</v>
      </c>
      <c r="N39" s="3943">
        <v>176.71</v>
      </c>
    </row>
    <row r="40" spans="2:14" ht="25.25" customHeight="1">
      <c r="B40" s="2882" t="s">
        <v>994</v>
      </c>
      <c r="C40" s="2884">
        <v>1308.279</v>
      </c>
      <c r="D40" s="2884">
        <v>1384.4359999999999</v>
      </c>
      <c r="E40" s="2884">
        <v>1401.261</v>
      </c>
      <c r="F40" s="2885">
        <v>1476.252</v>
      </c>
      <c r="G40" s="2884">
        <v>1466.287</v>
      </c>
      <c r="H40" s="2884">
        <v>1582.056</v>
      </c>
      <c r="I40" s="2884">
        <v>1648.8979999999999</v>
      </c>
      <c r="J40" s="2996">
        <v>1794.0540000000001</v>
      </c>
      <c r="K40" s="3942">
        <v>1882.39</v>
      </c>
      <c r="L40" s="3941">
        <v>1862.29</v>
      </c>
      <c r="M40" s="3942">
        <v>1735.5</v>
      </c>
      <c r="N40" s="3943">
        <v>1777.76</v>
      </c>
    </row>
    <row r="41" spans="2:14" ht="33">
      <c r="B41" s="2882" t="s">
        <v>995</v>
      </c>
      <c r="C41" s="2884">
        <v>0</v>
      </c>
      <c r="D41" s="2884">
        <v>0</v>
      </c>
      <c r="E41" s="2884">
        <v>0</v>
      </c>
      <c r="F41" s="2885">
        <v>0</v>
      </c>
      <c r="G41" s="2884">
        <v>0</v>
      </c>
      <c r="H41" s="2884">
        <v>0</v>
      </c>
      <c r="I41" s="2884">
        <v>0</v>
      </c>
      <c r="J41" s="2996">
        <v>0</v>
      </c>
      <c r="K41" s="3942">
        <v>0</v>
      </c>
      <c r="L41" s="3941">
        <v>0</v>
      </c>
      <c r="M41" s="3942">
        <v>0</v>
      </c>
      <c r="N41" s="3943">
        <v>0</v>
      </c>
    </row>
    <row r="42" spans="2:14" ht="33">
      <c r="B42" s="2882" t="s">
        <v>996</v>
      </c>
      <c r="C42" s="2884">
        <v>142.83699999999999</v>
      </c>
      <c r="D42" s="2884">
        <v>147.303</v>
      </c>
      <c r="E42" s="2884">
        <v>144.745</v>
      </c>
      <c r="F42" s="2885">
        <v>142.452</v>
      </c>
      <c r="G42" s="2884">
        <v>141.09</v>
      </c>
      <c r="H42" s="2884">
        <v>136.34</v>
      </c>
      <c r="I42" s="2884">
        <v>136.39099999999999</v>
      </c>
      <c r="J42" s="2996">
        <v>157.1</v>
      </c>
      <c r="K42" s="3942">
        <v>168.51</v>
      </c>
      <c r="L42" s="3941">
        <v>170.15</v>
      </c>
      <c r="M42" s="3942">
        <v>170.74</v>
      </c>
      <c r="N42" s="3943">
        <v>171.92</v>
      </c>
    </row>
    <row r="43" spans="2:14" s="1218" customFormat="1" ht="32.25">
      <c r="B43" s="2879" t="s">
        <v>997</v>
      </c>
      <c r="C43" s="2880">
        <v>249.90299999999999</v>
      </c>
      <c r="D43" s="2880">
        <v>363.02100000000002</v>
      </c>
      <c r="E43" s="2880">
        <v>426.44499999999999</v>
      </c>
      <c r="F43" s="2881">
        <v>651.58699999999999</v>
      </c>
      <c r="G43" s="2880">
        <v>627.21500000000003</v>
      </c>
      <c r="H43" s="2880">
        <v>836.40200000000004</v>
      </c>
      <c r="I43" s="2880">
        <v>452.18099999999998</v>
      </c>
      <c r="J43" s="2995">
        <v>528.20000000000005</v>
      </c>
      <c r="K43" s="3945">
        <v>489.52</v>
      </c>
      <c r="L43" s="3947">
        <v>451.84</v>
      </c>
      <c r="M43" s="3945">
        <v>443.61</v>
      </c>
      <c r="N43" s="3946">
        <v>473.91</v>
      </c>
    </row>
    <row r="44" spans="2:14" ht="30" customHeight="1">
      <c r="B44" s="2886" t="s">
        <v>998</v>
      </c>
      <c r="C44" s="2884">
        <v>0.161</v>
      </c>
      <c r="D44" s="2884">
        <v>0.11700000000000001</v>
      </c>
      <c r="E44" s="2884">
        <v>0.128</v>
      </c>
      <c r="F44" s="2885">
        <v>5.0999999999999997E-2</v>
      </c>
      <c r="G44" s="2884">
        <v>0.01</v>
      </c>
      <c r="H44" s="2884">
        <v>7.6999999999999999E-2</v>
      </c>
      <c r="I44" s="2884">
        <v>0.13200000000000001</v>
      </c>
      <c r="J44" s="2996">
        <v>3.1E-2</v>
      </c>
      <c r="K44" s="3942">
        <v>0.16</v>
      </c>
      <c r="L44" s="3941">
        <v>0.1</v>
      </c>
      <c r="M44" s="3942">
        <v>0.09</v>
      </c>
      <c r="N44" s="3943">
        <v>0</v>
      </c>
    </row>
    <row r="45" spans="2:14" ht="30" customHeight="1">
      <c r="B45" s="2886" t="s">
        <v>999</v>
      </c>
      <c r="C45" s="2884">
        <v>0</v>
      </c>
      <c r="D45" s="2884">
        <v>0</v>
      </c>
      <c r="E45" s="2884">
        <v>0</v>
      </c>
      <c r="F45" s="2885">
        <v>0</v>
      </c>
      <c r="G45" s="2884">
        <v>0</v>
      </c>
      <c r="H45" s="2884">
        <v>0</v>
      </c>
      <c r="I45" s="2884">
        <v>0</v>
      </c>
      <c r="J45" s="2996">
        <v>0</v>
      </c>
      <c r="K45" s="3942">
        <v>0</v>
      </c>
      <c r="L45" s="3941">
        <v>0</v>
      </c>
      <c r="M45" s="3942">
        <v>0</v>
      </c>
      <c r="N45" s="3943">
        <v>0</v>
      </c>
    </row>
    <row r="46" spans="2:14" ht="30" customHeight="1">
      <c r="B46" s="2886" t="s">
        <v>1000</v>
      </c>
      <c r="C46" s="2884">
        <v>0</v>
      </c>
      <c r="D46" s="2884">
        <v>0</v>
      </c>
      <c r="E46" s="2884">
        <v>0</v>
      </c>
      <c r="F46" s="2885">
        <v>0</v>
      </c>
      <c r="G46" s="2884">
        <v>0</v>
      </c>
      <c r="H46" s="2884">
        <v>0</v>
      </c>
      <c r="I46" s="2884">
        <v>0</v>
      </c>
      <c r="J46" s="2996">
        <v>0</v>
      </c>
      <c r="K46" s="3942">
        <v>0</v>
      </c>
      <c r="L46" s="3941">
        <v>0</v>
      </c>
      <c r="M46" s="3942">
        <v>0</v>
      </c>
      <c r="N46" s="3943">
        <v>0</v>
      </c>
    </row>
    <row r="47" spans="2:14" ht="30" customHeight="1">
      <c r="B47" s="2886" t="s">
        <v>1001</v>
      </c>
      <c r="C47" s="2884">
        <v>163.81200000000001</v>
      </c>
      <c r="D47" s="2884">
        <v>267.488</v>
      </c>
      <c r="E47" s="2884">
        <v>317.10899999999998</v>
      </c>
      <c r="F47" s="2885">
        <v>531.76</v>
      </c>
      <c r="G47" s="2884">
        <v>542.24300000000005</v>
      </c>
      <c r="H47" s="2884">
        <v>752.8</v>
      </c>
      <c r="I47" s="2884">
        <v>383.47899999999998</v>
      </c>
      <c r="J47" s="2996">
        <v>478.37</v>
      </c>
      <c r="K47" s="3942">
        <v>410.03</v>
      </c>
      <c r="L47" s="3941">
        <v>356.04</v>
      </c>
      <c r="M47" s="3942">
        <v>346.84</v>
      </c>
      <c r="N47" s="3943">
        <v>420.67</v>
      </c>
    </row>
    <row r="48" spans="2:14" ht="30" customHeight="1">
      <c r="B48" s="2886" t="s">
        <v>1002</v>
      </c>
      <c r="C48" s="2884">
        <v>2.3519999999999999</v>
      </c>
      <c r="D48" s="2884">
        <v>2.4569999999999999</v>
      </c>
      <c r="E48" s="2884">
        <v>2.71</v>
      </c>
      <c r="F48" s="2885">
        <v>3.08</v>
      </c>
      <c r="G48" s="2884">
        <v>2.7080000000000002</v>
      </c>
      <c r="H48" s="2884">
        <v>2.9649999999999999</v>
      </c>
      <c r="I48" s="2884">
        <v>1.85</v>
      </c>
      <c r="J48" s="2996">
        <v>2.3330000000000002</v>
      </c>
      <c r="K48" s="3942">
        <v>2.14</v>
      </c>
      <c r="L48" s="3941">
        <v>1.19</v>
      </c>
      <c r="M48" s="3942">
        <v>2.21</v>
      </c>
      <c r="N48" s="3943">
        <v>2.57</v>
      </c>
    </row>
    <row r="49" spans="2:14" ht="30" customHeight="1">
      <c r="B49" s="2886" t="s">
        <v>1003</v>
      </c>
      <c r="C49" s="2884">
        <v>78.116</v>
      </c>
      <c r="D49" s="2884">
        <v>87.491</v>
      </c>
      <c r="E49" s="2884">
        <v>101.023</v>
      </c>
      <c r="F49" s="2885">
        <v>111.236</v>
      </c>
      <c r="G49" s="2884">
        <v>76.787999999999997</v>
      </c>
      <c r="H49" s="2884">
        <v>75.088999999999999</v>
      </c>
      <c r="I49" s="2884">
        <v>61.243000000000002</v>
      </c>
      <c r="J49" s="2996">
        <v>41.1</v>
      </c>
      <c r="K49" s="3942">
        <v>54.22</v>
      </c>
      <c r="L49" s="3941">
        <v>49.18</v>
      </c>
      <c r="M49" s="3942">
        <v>57.4</v>
      </c>
      <c r="N49" s="3943">
        <v>43.91</v>
      </c>
    </row>
    <row r="50" spans="2:14" ht="30" customHeight="1">
      <c r="B50" s="2886" t="s">
        <v>1004</v>
      </c>
      <c r="C50" s="2884">
        <v>5.4619999999999997</v>
      </c>
      <c r="D50" s="2884">
        <v>5.468</v>
      </c>
      <c r="E50" s="2884">
        <v>5.4749999999999996</v>
      </c>
      <c r="F50" s="2885">
        <v>5.46</v>
      </c>
      <c r="G50" s="2884">
        <v>5.4660000000000002</v>
      </c>
      <c r="H50" s="2884">
        <v>5.4710000000000001</v>
      </c>
      <c r="I50" s="2884">
        <v>5.4770000000000003</v>
      </c>
      <c r="J50" s="2996">
        <v>5.9859999999999998</v>
      </c>
      <c r="K50" s="3942">
        <v>22.97</v>
      </c>
      <c r="L50" s="3941">
        <v>45.33</v>
      </c>
      <c r="M50" s="3942">
        <v>37.07</v>
      </c>
      <c r="N50" s="3943">
        <v>6.76</v>
      </c>
    </row>
    <row r="51" spans="2:14" ht="30" customHeight="1" thickBot="1">
      <c r="B51" s="2887" t="s">
        <v>1005</v>
      </c>
      <c r="C51" s="3948">
        <v>6284.67</v>
      </c>
      <c r="D51" s="3948">
        <v>6403.7640000000001</v>
      </c>
      <c r="E51" s="3948">
        <v>6547.0990000000002</v>
      </c>
      <c r="F51" s="3949">
        <v>6944.41</v>
      </c>
      <c r="G51" s="3950">
        <v>6980.3549999999996</v>
      </c>
      <c r="H51" s="3950">
        <v>7393.4449999999997</v>
      </c>
      <c r="I51" s="3950">
        <v>7013.3379999999997</v>
      </c>
      <c r="J51" s="3951">
        <v>7366.87</v>
      </c>
      <c r="K51" s="3951">
        <v>7693.38</v>
      </c>
      <c r="L51" s="3951">
        <v>7753.73</v>
      </c>
      <c r="M51" s="3951">
        <v>7857.33</v>
      </c>
      <c r="N51" s="3952">
        <v>7987.65</v>
      </c>
    </row>
    <row r="52" spans="2:14" ht="33.75">
      <c r="B52" s="2888" t="s">
        <v>72</v>
      </c>
      <c r="M52" s="3109"/>
    </row>
    <row r="53" spans="2:14" ht="33.75">
      <c r="B53" s="2888" t="s">
        <v>2365</v>
      </c>
    </row>
    <row r="54" spans="2:14" ht="33"/>
    <row r="55" spans="2:14" ht="33"/>
  </sheetData>
  <mergeCells count="3">
    <mergeCell ref="B1:N1"/>
    <mergeCell ref="B2:N2"/>
    <mergeCell ref="B3:N3"/>
  </mergeCells>
  <printOptions horizontalCentered="1" verticalCentered="1"/>
  <pageMargins left="0.25" right="0.25" top="0.75" bottom="0.75" header="0.3" footer="0.3"/>
  <pageSetup scale="29" firstPageNumber="103" orientation="landscape" useFirstPageNumber="1" r:id="rId1"/>
  <headerFooter scaleWithDoc="0" alignWithMargins="0">
    <oddFooter xml:space="preserve">&amp;C150
</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B0F0"/>
    <pageSetUpPr fitToPage="1"/>
  </sheetPr>
  <dimension ref="B1:K42"/>
  <sheetViews>
    <sheetView showGridLines="0" view="pageBreakPreview" zoomScale="20" zoomScaleNormal="100" zoomScaleSheetLayoutView="20" workbookViewId="0">
      <pane xSplit="2" ySplit="5" topLeftCell="C26" activePane="bottomRight" state="frozen"/>
      <selection activeCell="B44" sqref="B44"/>
      <selection pane="topRight" activeCell="B44" sqref="B44"/>
      <selection pane="bottomLeft" activeCell="B44" sqref="B44"/>
      <selection pane="bottomRight" activeCell="B44" sqref="B44"/>
    </sheetView>
  </sheetViews>
  <sheetFormatPr defaultColWidth="9.46484375" defaultRowHeight="46.15"/>
  <cols>
    <col min="1" max="1" width="5.46484375" style="1605" customWidth="1"/>
    <col min="2" max="2" width="248.6640625" style="1617" bestFit="1" customWidth="1"/>
    <col min="3" max="9" width="40.6640625" style="1605" customWidth="1"/>
    <col min="10" max="10" width="7.6640625" style="1605" customWidth="1"/>
    <col min="11" max="16384" width="9.46484375" style="1605"/>
  </cols>
  <sheetData>
    <row r="1" spans="2:11">
      <c r="B1" s="5937" t="s">
        <v>1394</v>
      </c>
      <c r="C1" s="5937"/>
      <c r="D1" s="5937"/>
      <c r="E1" s="5937"/>
      <c r="F1" s="5937"/>
      <c r="G1" s="5937"/>
      <c r="H1" s="5937"/>
      <c r="I1" s="5937"/>
      <c r="J1" s="3801">
        <v>1000</v>
      </c>
      <c r="K1" s="1604"/>
    </row>
    <row r="2" spans="2:11">
      <c r="B2" s="5938" t="s">
        <v>1057</v>
      </c>
      <c r="C2" s="5938"/>
      <c r="D2" s="5938"/>
      <c r="E2" s="5938"/>
      <c r="F2" s="5938"/>
      <c r="G2" s="5938"/>
      <c r="H2" s="5938"/>
      <c r="I2" s="5938"/>
      <c r="J2" s="1606"/>
      <c r="K2" s="1606"/>
    </row>
    <row r="3" spans="2:11">
      <c r="B3" s="5938" t="s">
        <v>1048</v>
      </c>
      <c r="C3" s="5938"/>
      <c r="D3" s="5938"/>
      <c r="E3" s="5938"/>
      <c r="F3" s="5938"/>
      <c r="G3" s="5938"/>
      <c r="H3" s="5938"/>
      <c r="I3" s="5938"/>
      <c r="J3" s="1606"/>
      <c r="K3" s="1606"/>
    </row>
    <row r="4" spans="2:11" ht="46.5" thickBot="1">
      <c r="B4" s="5939" t="s">
        <v>1069</v>
      </c>
      <c r="C4" s="5939"/>
      <c r="D4" s="5939"/>
      <c r="E4" s="5939"/>
      <c r="F4" s="5939"/>
      <c r="G4" s="5939"/>
      <c r="H4" s="5939"/>
      <c r="I4" s="5939"/>
    </row>
    <row r="5" spans="2:11" ht="46.5" thickBot="1">
      <c r="B5" s="1613"/>
      <c r="C5" s="1607">
        <v>2017</v>
      </c>
      <c r="D5" s="1607">
        <v>2018</v>
      </c>
      <c r="E5" s="1607">
        <v>2019</v>
      </c>
      <c r="F5" s="1607">
        <v>2020</v>
      </c>
      <c r="G5" s="2525">
        <v>2021</v>
      </c>
      <c r="H5" s="3249" t="s">
        <v>1958</v>
      </c>
      <c r="I5" s="3255" t="s">
        <v>1959</v>
      </c>
    </row>
    <row r="6" spans="2:11" ht="51.4">
      <c r="B6" s="1614" t="s">
        <v>1006</v>
      </c>
      <c r="C6" s="1608">
        <v>682.72400000000005</v>
      </c>
      <c r="D6" s="1608">
        <v>601.04600000000005</v>
      </c>
      <c r="E6" s="1608">
        <v>545.19799999999998</v>
      </c>
      <c r="F6" s="1608">
        <v>565.20299999999997</v>
      </c>
      <c r="G6" s="2526">
        <v>881.81100000000004</v>
      </c>
      <c r="H6" s="3250">
        <v>738.952</v>
      </c>
      <c r="I6" s="3256">
        <v>718.46</v>
      </c>
    </row>
    <row r="7" spans="2:11" ht="51.4">
      <c r="B7" s="1614" t="s">
        <v>1007</v>
      </c>
      <c r="C7" s="1608">
        <v>81.179000000000002</v>
      </c>
      <c r="D7" s="1608">
        <v>76.203999999999994</v>
      </c>
      <c r="E7" s="1608">
        <v>87.093000000000004</v>
      </c>
      <c r="F7" s="1608">
        <v>78.835999999999999</v>
      </c>
      <c r="G7" s="2527">
        <v>77.158000000000001</v>
      </c>
      <c r="H7" s="3250">
        <v>75.084999999999994</v>
      </c>
      <c r="I7" s="3256">
        <v>87.988</v>
      </c>
    </row>
    <row r="8" spans="2:11" ht="51.4">
      <c r="B8" s="1614" t="s">
        <v>1008</v>
      </c>
      <c r="C8" s="1608">
        <v>601.58699999999999</v>
      </c>
      <c r="D8" s="1608">
        <v>524.89300000000003</v>
      </c>
      <c r="E8" s="1608">
        <v>458.16899999999998</v>
      </c>
      <c r="F8" s="1608">
        <v>486.45100000000002</v>
      </c>
      <c r="G8" s="2527">
        <v>804.73699999999997</v>
      </c>
      <c r="H8" s="3250">
        <v>663.94899999999996</v>
      </c>
      <c r="I8" s="3256">
        <v>630.57100000000003</v>
      </c>
    </row>
    <row r="9" spans="2:11" ht="51.4">
      <c r="B9" s="1614" t="s">
        <v>1009</v>
      </c>
      <c r="C9" s="1609">
        <v>4.2000000000000003E-2</v>
      </c>
      <c r="D9" s="1609">
        <v>5.0999999999999997E-2</v>
      </c>
      <c r="E9" s="1609">
        <v>6.4000000000000001E-2</v>
      </c>
      <c r="F9" s="1609">
        <v>8.4000000000000005E-2</v>
      </c>
      <c r="G9" s="2528">
        <v>8.4000000000000005E-2</v>
      </c>
      <c r="H9" s="3251">
        <v>8.2000000000000003E-2</v>
      </c>
      <c r="I9" s="3256">
        <v>9.9000000000000005E-2</v>
      </c>
    </row>
    <row r="10" spans="2:11" ht="51.4">
      <c r="B10" s="1614"/>
      <c r="C10" s="1610"/>
      <c r="D10" s="1610"/>
      <c r="E10" s="1610"/>
      <c r="F10" s="1610"/>
      <c r="G10" s="2529" t="s">
        <v>390</v>
      </c>
      <c r="H10" s="3252"/>
      <c r="I10" s="3256"/>
    </row>
    <row r="11" spans="2:11" ht="51.4">
      <c r="B11" s="1614" t="s">
        <v>1010</v>
      </c>
      <c r="C11" s="1608">
        <v>4152.4350000000004</v>
      </c>
      <c r="D11" s="1608">
        <v>4273.0050000000001</v>
      </c>
      <c r="E11" s="1608">
        <v>4348.857</v>
      </c>
      <c r="F11" s="1608">
        <v>4516.8530000000001</v>
      </c>
      <c r="G11" s="2527">
        <v>4945.924</v>
      </c>
      <c r="H11" s="3250">
        <v>5170.5190000000002</v>
      </c>
      <c r="I11" s="3256">
        <v>5605.95</v>
      </c>
    </row>
    <row r="12" spans="2:11" ht="51.4">
      <c r="B12" s="1614"/>
      <c r="C12" s="1608"/>
      <c r="D12" s="1608"/>
      <c r="E12" s="1608"/>
      <c r="F12" s="1608"/>
      <c r="G12" s="2527"/>
      <c r="H12" s="3250"/>
      <c r="I12" s="3256"/>
    </row>
    <row r="13" spans="2:11" ht="51.4">
      <c r="B13" s="1614" t="s">
        <v>1011</v>
      </c>
      <c r="C13" s="1608">
        <v>16.441534000000001</v>
      </c>
      <c r="D13" s="1608">
        <v>14.06612</v>
      </c>
      <c r="E13" s="1608">
        <v>12.536581</v>
      </c>
      <c r="F13" s="1608">
        <v>12.513203000000001</v>
      </c>
      <c r="G13" s="2527">
        <v>17.829045000000001</v>
      </c>
      <c r="H13" s="3250">
        <v>14.291641</v>
      </c>
      <c r="I13" s="3256">
        <v>12.816026000000001</v>
      </c>
    </row>
    <row r="14" spans="2:11" ht="51.4">
      <c r="B14" s="1614"/>
      <c r="C14" s="1608"/>
      <c r="D14" s="1608"/>
      <c r="E14" s="1608"/>
      <c r="F14" s="1608"/>
      <c r="G14" s="2527"/>
      <c r="H14" s="3250"/>
      <c r="I14" s="3256"/>
    </row>
    <row r="15" spans="2:11" ht="51.4">
      <c r="B15" s="1614" t="s">
        <v>1204</v>
      </c>
      <c r="C15" s="1608">
        <v>913.28399999999999</v>
      </c>
      <c r="D15" s="1608">
        <v>1117.979</v>
      </c>
      <c r="E15" s="1608">
        <v>1240.9659999999999</v>
      </c>
      <c r="F15" s="1608">
        <v>1470.4970000000001</v>
      </c>
      <c r="G15" s="2527">
        <v>1813.44</v>
      </c>
      <c r="H15" s="3250">
        <v>2035.261</v>
      </c>
      <c r="I15" s="3256">
        <v>2535.7620000000002</v>
      </c>
    </row>
    <row r="16" spans="2:11" ht="51.4">
      <c r="B16" s="1614" t="s">
        <v>1012</v>
      </c>
      <c r="C16" s="1608">
        <v>2215.1060000000002</v>
      </c>
      <c r="D16" s="1608">
        <v>2492.6619999999998</v>
      </c>
      <c r="E16" s="1608">
        <v>2607.8809999999999</v>
      </c>
      <c r="F16" s="1608">
        <v>2365.3670000000002</v>
      </c>
      <c r="G16" s="2527">
        <v>2731.7089999999998</v>
      </c>
      <c r="H16" s="3250">
        <v>3214.7190000000001</v>
      </c>
      <c r="I16" s="3256">
        <v>3755.7260000000001</v>
      </c>
    </row>
    <row r="17" spans="2:9" ht="51.4">
      <c r="B17" s="1614" t="s">
        <v>1827</v>
      </c>
      <c r="C17" s="1608">
        <v>1301.8219999999999</v>
      </c>
      <c r="D17" s="1608">
        <v>1374.683</v>
      </c>
      <c r="E17" s="1608">
        <v>1366.915</v>
      </c>
      <c r="F17" s="1608">
        <v>894.87</v>
      </c>
      <c r="G17" s="2527">
        <v>918.26900000000001</v>
      </c>
      <c r="H17" s="3250">
        <v>1179.4580000000001</v>
      </c>
      <c r="I17" s="3256">
        <v>1219.9639999999999</v>
      </c>
    </row>
    <row r="18" spans="2:9" ht="51.4">
      <c r="B18" s="1614"/>
      <c r="C18" s="1608"/>
      <c r="D18" s="1608"/>
      <c r="E18" s="2558" t="s">
        <v>390</v>
      </c>
      <c r="F18" s="2558" t="s">
        <v>390</v>
      </c>
      <c r="G18" s="2558" t="s">
        <v>390</v>
      </c>
      <c r="H18" s="3250"/>
      <c r="I18" s="3256"/>
    </row>
    <row r="19" spans="2:9" ht="51.4">
      <c r="B19" s="1614" t="s">
        <v>1013</v>
      </c>
      <c r="C19" s="1608">
        <v>6038.1890000000003</v>
      </c>
      <c r="D19" s="1608">
        <v>6320.3770000000004</v>
      </c>
      <c r="E19" s="1608">
        <v>6456.973</v>
      </c>
      <c r="F19" s="1608">
        <v>6272.1210000000001</v>
      </c>
      <c r="G19" s="2527">
        <v>6944.41</v>
      </c>
      <c r="H19" s="3250">
        <v>7366.8689999999997</v>
      </c>
      <c r="I19" s="3256">
        <v>7987.65</v>
      </c>
    </row>
    <row r="20" spans="2:9" ht="51.4">
      <c r="B20" s="1614" t="s">
        <v>1014</v>
      </c>
      <c r="C20" s="1608">
        <v>25.33</v>
      </c>
      <c r="D20" s="1608">
        <v>24.366</v>
      </c>
      <c r="E20" s="1608">
        <v>42.756</v>
      </c>
      <c r="F20" s="1608">
        <v>207.571</v>
      </c>
      <c r="G20" s="2527">
        <v>95.034999999999997</v>
      </c>
      <c r="H20" s="3250">
        <v>98.966999999999999</v>
      </c>
      <c r="I20" s="3256">
        <v>121.85899999999999</v>
      </c>
    </row>
    <row r="21" spans="2:9" ht="51.4">
      <c r="B21" s="1614"/>
      <c r="C21" s="1611"/>
      <c r="D21" s="1611"/>
      <c r="E21" s="1611"/>
      <c r="F21" s="1611"/>
      <c r="G21" s="2530"/>
      <c r="H21" s="3253"/>
      <c r="I21" s="3256"/>
    </row>
    <row r="22" spans="2:9" ht="51.4">
      <c r="B22" s="1614" t="s">
        <v>1015</v>
      </c>
      <c r="C22" s="1608">
        <v>36.997058000000003</v>
      </c>
      <c r="D22" s="1608">
        <v>39.726913000000003</v>
      </c>
      <c r="E22" s="1608">
        <v>40.744931999999999</v>
      </c>
      <c r="F22" s="1608">
        <v>37.712394000000003</v>
      </c>
      <c r="G22" s="2527">
        <v>39.336804999999998</v>
      </c>
      <c r="H22" s="3250">
        <v>43.637521</v>
      </c>
      <c r="I22" s="3256">
        <v>47.019160999999997</v>
      </c>
    </row>
    <row r="23" spans="2:9" ht="51.4">
      <c r="B23" s="1614" t="s">
        <v>1016</v>
      </c>
      <c r="C23" s="1608">
        <v>36.573991999999997</v>
      </c>
      <c r="D23" s="1608">
        <v>39.338579000000003</v>
      </c>
      <c r="E23" s="1608">
        <v>40.076922000000003</v>
      </c>
      <c r="F23" s="1608">
        <v>36.984586</v>
      </c>
      <c r="G23" s="2527">
        <v>38.492759</v>
      </c>
      <c r="H23" s="3250">
        <v>42.790295</v>
      </c>
      <c r="I23" s="3256">
        <v>45.941096999999999</v>
      </c>
    </row>
    <row r="24" spans="2:9" ht="51.4">
      <c r="B24" s="1614"/>
      <c r="C24" s="1608"/>
      <c r="D24" s="1608"/>
      <c r="E24" s="1608"/>
      <c r="F24" s="1608"/>
      <c r="G24" s="2527"/>
      <c r="H24" s="3250"/>
      <c r="I24" s="3256"/>
    </row>
    <row r="25" spans="2:9" ht="51.4">
      <c r="B25" s="1614" t="s">
        <v>1017</v>
      </c>
      <c r="C25" s="1608">
        <v>53.344748000000003</v>
      </c>
      <c r="D25" s="1608">
        <v>58.335106000000003</v>
      </c>
      <c r="E25" s="1608">
        <v>59.967044000000001</v>
      </c>
      <c r="F25" s="1608">
        <v>52.367589000000002</v>
      </c>
      <c r="G25" s="2527">
        <v>55.231520000000003</v>
      </c>
      <c r="H25" s="3250">
        <v>62.174010000000003</v>
      </c>
      <c r="I25" s="3256">
        <v>66.995352999999994</v>
      </c>
    </row>
    <row r="26" spans="2:9" ht="51.4">
      <c r="B26" s="1614" t="s">
        <v>1018</v>
      </c>
      <c r="C26" s="1608">
        <v>52.734744999999997</v>
      </c>
      <c r="D26" s="1608">
        <v>57.764875000000004</v>
      </c>
      <c r="E26" s="1608">
        <v>58.983888999999998</v>
      </c>
      <c r="F26" s="1608">
        <v>51.356951000000002</v>
      </c>
      <c r="G26" s="2527">
        <v>54.046422999999997</v>
      </c>
      <c r="H26" s="3250">
        <v>60.966897000000003</v>
      </c>
      <c r="I26" s="3256">
        <v>65.459271000000001</v>
      </c>
    </row>
    <row r="27" spans="2:9" ht="51.4">
      <c r="B27" s="1614"/>
      <c r="C27" s="1608"/>
      <c r="D27" s="1608"/>
      <c r="E27" s="1608"/>
      <c r="F27" s="1608"/>
      <c r="G27" s="2527"/>
      <c r="H27" s="3250"/>
      <c r="I27" s="3256"/>
    </row>
    <row r="28" spans="2:9" ht="116" customHeight="1">
      <c r="B28" s="1615" t="s">
        <v>1205</v>
      </c>
      <c r="C28" s="1608">
        <v>21.993938</v>
      </c>
      <c r="D28" s="1608">
        <v>26.163765000000001</v>
      </c>
      <c r="E28" s="1608">
        <v>28.535451999999999</v>
      </c>
      <c r="F28" s="1608">
        <v>32.555785999999998</v>
      </c>
      <c r="G28" s="2527">
        <v>36.665343</v>
      </c>
      <c r="H28" s="3250">
        <v>39.362799000000003</v>
      </c>
      <c r="I28" s="3256">
        <v>45.233404</v>
      </c>
    </row>
    <row r="29" spans="2:9" ht="102" customHeight="1">
      <c r="B29" s="1615" t="s">
        <v>1206</v>
      </c>
      <c r="C29" s="1608">
        <v>21.383935000000001</v>
      </c>
      <c r="D29" s="1608">
        <v>25.593533999999998</v>
      </c>
      <c r="E29" s="1608">
        <v>27.552296999999999</v>
      </c>
      <c r="F29" s="1608">
        <v>31.545148999999999</v>
      </c>
      <c r="G29" s="2527">
        <v>35.480246000000001</v>
      </c>
      <c r="H29" s="3250">
        <v>38.155686000000003</v>
      </c>
      <c r="I29" s="3256">
        <v>43.697322</v>
      </c>
    </row>
    <row r="30" spans="2:9" ht="51.4">
      <c r="B30" s="1614"/>
      <c r="C30" s="1608"/>
      <c r="D30" s="1608"/>
      <c r="E30" s="1608"/>
      <c r="F30" s="1608"/>
      <c r="G30" s="2527"/>
      <c r="H30" s="3250"/>
      <c r="I30" s="3256"/>
    </row>
    <row r="31" spans="2:9" ht="51.4">
      <c r="B31" s="1615" t="s">
        <v>1207</v>
      </c>
      <c r="C31" s="1608">
        <v>40.612423999999997</v>
      </c>
      <c r="D31" s="1608">
        <v>44.135972000000002</v>
      </c>
      <c r="E31" s="1608">
        <v>45.626049999999999</v>
      </c>
      <c r="F31" s="1608">
        <v>43.708205</v>
      </c>
      <c r="G31" s="2527">
        <v>46.582863000000003</v>
      </c>
      <c r="H31" s="3250">
        <v>50.625678999999998</v>
      </c>
      <c r="I31" s="3256">
        <v>55.021583999999997</v>
      </c>
    </row>
    <row r="32" spans="2:9" ht="90.75">
      <c r="B32" s="1615" t="s">
        <v>1208</v>
      </c>
      <c r="C32" s="1608">
        <v>40.148015999999998</v>
      </c>
      <c r="D32" s="1608">
        <v>43.704538999999997</v>
      </c>
      <c r="E32" s="1608">
        <v>44.878014999999998</v>
      </c>
      <c r="F32" s="1608">
        <v>42.864685000000001</v>
      </c>
      <c r="G32" s="2527">
        <v>45.583339000000002</v>
      </c>
      <c r="H32" s="3250">
        <v>49.642778</v>
      </c>
      <c r="I32" s="3256">
        <v>53.760038999999999</v>
      </c>
    </row>
    <row r="33" spans="2:9" ht="51.4">
      <c r="B33" s="1614"/>
      <c r="C33" s="1608"/>
      <c r="D33" s="1608"/>
      <c r="E33" s="1608"/>
      <c r="F33" s="1608"/>
      <c r="G33" s="2527"/>
      <c r="H33" s="3250"/>
      <c r="I33" s="3256"/>
    </row>
    <row r="34" spans="2:9" ht="51.4">
      <c r="B34" s="1614" t="s">
        <v>1209</v>
      </c>
      <c r="C34" s="1608">
        <v>5669.2539999999999</v>
      </c>
      <c r="D34" s="1608">
        <v>5934.0810000000001</v>
      </c>
      <c r="E34" s="1608">
        <v>6028.982</v>
      </c>
      <c r="F34" s="1608">
        <v>5510.9639999999999</v>
      </c>
      <c r="G34" s="2527">
        <v>6295.4009999999998</v>
      </c>
      <c r="H34" s="3250">
        <v>6728.570999999999</v>
      </c>
      <c r="I34" s="3256">
        <v>7595.3</v>
      </c>
    </row>
    <row r="35" spans="2:9" ht="51.4">
      <c r="B35" s="1614"/>
      <c r="C35" s="1608"/>
      <c r="D35" s="1608"/>
      <c r="E35" s="1608"/>
      <c r="F35" s="1608"/>
      <c r="G35" s="2527"/>
      <c r="H35" s="3250"/>
      <c r="I35" s="3256"/>
    </row>
    <row r="36" spans="2:9" ht="51.4">
      <c r="B36" s="1614" t="s">
        <v>1210</v>
      </c>
      <c r="C36" s="2646">
        <v>39.072265999999999</v>
      </c>
      <c r="D36" s="2646">
        <v>42.005864000000003</v>
      </c>
      <c r="E36" s="2646">
        <v>43.255744</v>
      </c>
      <c r="F36" s="2646">
        <v>42.921111000000003</v>
      </c>
      <c r="G36" s="2647">
        <v>43</v>
      </c>
      <c r="H36" s="3254">
        <v>47.777143000000002</v>
      </c>
      <c r="I36" s="3257">
        <v>49.448228999999998</v>
      </c>
    </row>
    <row r="37" spans="2:9" ht="51.4">
      <c r="B37" s="1614"/>
      <c r="C37" s="1610"/>
      <c r="D37" s="1610"/>
      <c r="E37" s="1610"/>
      <c r="F37" s="1610"/>
      <c r="G37" s="2529"/>
      <c r="H37" s="3252"/>
      <c r="I37" s="3258"/>
    </row>
    <row r="38" spans="2:9" ht="51.4">
      <c r="B38" s="1614" t="s">
        <v>1211</v>
      </c>
      <c r="C38" s="1608">
        <v>3466.7379999999998</v>
      </c>
      <c r="D38" s="1608">
        <v>3448.7179999999998</v>
      </c>
      <c r="E38" s="1608">
        <v>3406.4989999999998</v>
      </c>
      <c r="F38" s="1608">
        <v>3542.8110000000001</v>
      </c>
      <c r="G38" s="2527">
        <v>3556.5349999999999</v>
      </c>
      <c r="H38" s="3250">
        <v>3592.172</v>
      </c>
      <c r="I38" s="3256">
        <v>3690.703</v>
      </c>
    </row>
    <row r="39" spans="2:9" ht="51.4">
      <c r="B39" s="1614"/>
      <c r="C39" s="1610"/>
      <c r="D39" s="1610"/>
      <c r="E39" s="1610"/>
      <c r="F39" s="1610"/>
      <c r="G39" s="2529"/>
      <c r="H39" s="3252"/>
      <c r="I39" s="3258"/>
    </row>
    <row r="40" spans="2:9" ht="51.75" thickBot="1">
      <c r="B40" s="1616" t="s">
        <v>1020</v>
      </c>
      <c r="C40" s="1612">
        <v>83.486869999999996</v>
      </c>
      <c r="D40" s="1612">
        <v>80.709429999999998</v>
      </c>
      <c r="E40" s="1612">
        <v>78.330904000000004</v>
      </c>
      <c r="F40" s="1612">
        <v>78.435383999999999</v>
      </c>
      <c r="G40" s="2531">
        <v>71.908404000000004</v>
      </c>
      <c r="H40" s="2531">
        <v>69.474108999999999</v>
      </c>
      <c r="I40" s="2532">
        <v>65.835460999999995</v>
      </c>
    </row>
    <row r="41" spans="2:9">
      <c r="B41" s="2888" t="s">
        <v>72</v>
      </c>
    </row>
    <row r="42" spans="2:9">
      <c r="B42" s="2888" t="s">
        <v>2356</v>
      </c>
    </row>
  </sheetData>
  <mergeCells count="4">
    <mergeCell ref="B1:I1"/>
    <mergeCell ref="B2:I2"/>
    <mergeCell ref="B3:I3"/>
    <mergeCell ref="B4:I4"/>
  </mergeCells>
  <printOptions horizontalCentered="1" verticalCentered="1"/>
  <pageMargins left="0.25" right="0.25" top="0.75" bottom="0.75" header="0.3" footer="0.3"/>
  <pageSetup scale="22" firstPageNumber="103" orientation="landscape" useFirstPageNumber="1" r:id="rId1"/>
  <headerFooter scaleWithDoc="0" alignWithMargins="0">
    <oddFooter xml:space="preserve">&amp;C151
</oddFooter>
  </headerFooter>
  <colBreaks count="1" manualBreakCount="1">
    <brk id="17" max="40" man="1"/>
  </col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B0F0"/>
    <pageSetUpPr fitToPage="1"/>
  </sheetPr>
  <dimension ref="A1:Q66"/>
  <sheetViews>
    <sheetView showGridLines="0" view="pageBreakPreview" zoomScale="40" zoomScaleNormal="100" zoomScaleSheetLayoutView="40" workbookViewId="0">
      <pane xSplit="1" ySplit="4" topLeftCell="B32" activePane="bottomRight" state="frozen"/>
      <selection activeCell="B44" sqref="B44"/>
      <selection pane="topRight" activeCell="B44" sqref="B44"/>
      <selection pane="bottomLeft" activeCell="B44" sqref="B44"/>
      <selection pane="bottomRight" activeCell="B44" sqref="B44"/>
    </sheetView>
  </sheetViews>
  <sheetFormatPr defaultColWidth="9.46484375" defaultRowHeight="40.5"/>
  <cols>
    <col min="1" max="1" width="153.46484375" style="1631" customWidth="1"/>
    <col min="2" max="7" width="31.46484375" style="1630" customWidth="1"/>
    <col min="8" max="8" width="31.46484375" style="1619" customWidth="1"/>
    <col min="9" max="9" width="29.33203125" style="1619" customWidth="1"/>
    <col min="10" max="16384" width="9.46484375" style="1619"/>
  </cols>
  <sheetData>
    <row r="1" spans="1:14" ht="39.75">
      <c r="A1" s="5940" t="s">
        <v>1852</v>
      </c>
      <c r="B1" s="5940"/>
      <c r="C1" s="5940"/>
      <c r="D1" s="5940"/>
      <c r="E1" s="5940"/>
      <c r="F1" s="5940"/>
      <c r="G1" s="5940"/>
      <c r="H1" s="5940"/>
      <c r="I1" s="1618"/>
      <c r="J1" s="1618"/>
      <c r="K1" s="1618"/>
      <c r="L1" s="1618"/>
      <c r="M1" s="1618"/>
      <c r="N1" s="1618"/>
    </row>
    <row r="2" spans="1:14" ht="39.75">
      <c r="A2" s="5864" t="s">
        <v>1075</v>
      </c>
      <c r="B2" s="5864"/>
      <c r="C2" s="5864"/>
      <c r="D2" s="5864"/>
      <c r="E2" s="5864"/>
      <c r="F2" s="5864"/>
      <c r="G2" s="5864"/>
      <c r="H2" s="5864"/>
      <c r="I2" s="1264"/>
      <c r="J2" s="1264"/>
      <c r="K2" s="1264"/>
      <c r="L2" s="1264"/>
      <c r="M2" s="1264"/>
      <c r="N2" s="1264"/>
    </row>
    <row r="3" spans="1:14" ht="13.25" customHeight="1" thickBot="1">
      <c r="A3" s="1627"/>
      <c r="B3" s="1628"/>
      <c r="C3" s="1628"/>
      <c r="D3" s="1628"/>
      <c r="E3" s="1628"/>
      <c r="F3" s="1628"/>
      <c r="G3" s="1628"/>
    </row>
    <row r="4" spans="1:14" ht="40.9" thickBot="1">
      <c r="A4" s="1621"/>
      <c r="B4" s="1622">
        <v>2016</v>
      </c>
      <c r="C4" s="1622">
        <v>2017</v>
      </c>
      <c r="D4" s="1622">
        <v>2018</v>
      </c>
      <c r="E4" s="1622">
        <v>2019</v>
      </c>
      <c r="F4" s="1622">
        <v>2020</v>
      </c>
      <c r="G4" s="2533">
        <v>2021</v>
      </c>
      <c r="H4" s="2997" t="s">
        <v>1958</v>
      </c>
      <c r="I4" s="3102" t="s">
        <v>1959</v>
      </c>
    </row>
    <row r="5" spans="1:14" s="1982" customFormat="1" ht="35.75" customHeight="1">
      <c r="A5" s="1989" t="s">
        <v>1212</v>
      </c>
      <c r="B5" s="1991"/>
      <c r="C5" s="1991"/>
      <c r="D5" s="1991"/>
      <c r="E5" s="1991"/>
      <c r="F5" s="1991"/>
      <c r="G5" s="2534"/>
      <c r="H5" s="2998"/>
      <c r="I5" s="3103"/>
    </row>
    <row r="6" spans="1:14" ht="31.25" customHeight="1">
      <c r="A6" s="1623"/>
      <c r="B6" s="1624"/>
      <c r="C6" s="1624"/>
      <c r="D6" s="1624"/>
      <c r="E6" s="1624"/>
      <c r="F6" s="1624"/>
      <c r="G6" s="2535"/>
      <c r="H6" s="2648"/>
      <c r="I6" s="3103"/>
    </row>
    <row r="7" spans="1:14" ht="43.25" customHeight="1">
      <c r="A7" s="2668" t="s">
        <v>1213</v>
      </c>
      <c r="B7" s="1624">
        <v>6.5</v>
      </c>
      <c r="C7" s="1624">
        <v>6.5</v>
      </c>
      <c r="D7" s="1624">
        <v>6.5</v>
      </c>
      <c r="E7" s="1624">
        <v>6.5</v>
      </c>
      <c r="F7" s="1624">
        <v>2</v>
      </c>
      <c r="G7" s="2535">
        <v>2</v>
      </c>
      <c r="H7" s="2648">
        <v>2</v>
      </c>
      <c r="I7" s="3103">
        <v>2</v>
      </c>
    </row>
    <row r="8" spans="1:14" ht="48" customHeight="1">
      <c r="A8" s="2668" t="s">
        <v>1214</v>
      </c>
      <c r="B8" s="1624">
        <v>0</v>
      </c>
      <c r="C8" s="1624">
        <v>0</v>
      </c>
      <c r="D8" s="1624">
        <v>0</v>
      </c>
      <c r="E8" s="1624">
        <v>0</v>
      </c>
      <c r="F8" s="1624">
        <v>0</v>
      </c>
      <c r="G8" s="2535">
        <v>0</v>
      </c>
      <c r="H8" s="2648">
        <v>0</v>
      </c>
      <c r="I8" s="3103">
        <v>0</v>
      </c>
    </row>
    <row r="9" spans="1:14" ht="31.25" customHeight="1">
      <c r="A9" s="1623"/>
      <c r="B9" s="1624"/>
      <c r="C9" s="1624"/>
      <c r="D9" s="1624"/>
      <c r="E9" s="1624"/>
      <c r="F9" s="1624"/>
      <c r="G9" s="2535"/>
      <c r="H9" s="2648"/>
      <c r="I9" s="3103"/>
    </row>
    <row r="10" spans="1:14" s="1982" customFormat="1" ht="31.25" customHeight="1">
      <c r="A10" s="1989" t="s">
        <v>1215</v>
      </c>
      <c r="B10" s="1990"/>
      <c r="C10" s="1990"/>
      <c r="D10" s="1990"/>
      <c r="E10" s="1990"/>
      <c r="F10" s="1990"/>
      <c r="G10" s="2536"/>
      <c r="H10" s="2999"/>
      <c r="I10" s="3103"/>
    </row>
    <row r="11" spans="1:14" ht="31.25" customHeight="1">
      <c r="A11" s="1623"/>
      <c r="B11" s="1624"/>
      <c r="C11" s="1624"/>
      <c r="D11" s="1624"/>
      <c r="E11" s="1624"/>
      <c r="F11" s="1624"/>
      <c r="G11" s="2535"/>
      <c r="H11" s="2648"/>
      <c r="I11" s="3103"/>
    </row>
    <row r="12" spans="1:14" ht="31.25" customHeight="1">
      <c r="A12" s="2668" t="s">
        <v>1216</v>
      </c>
      <c r="B12" s="1624"/>
      <c r="C12" s="1624"/>
      <c r="D12" s="1624"/>
      <c r="E12" s="1624"/>
      <c r="F12" s="1624"/>
      <c r="G12" s="2535"/>
      <c r="H12" s="2648"/>
      <c r="I12" s="3103"/>
    </row>
    <row r="13" spans="1:14" ht="31.25" customHeight="1">
      <c r="A13" s="1623"/>
      <c r="B13" s="1624"/>
      <c r="C13" s="1624"/>
      <c r="D13" s="1624"/>
      <c r="E13" s="1624"/>
      <c r="F13" s="1624"/>
      <c r="G13" s="2535"/>
      <c r="H13" s="2648"/>
      <c r="I13" s="3103"/>
    </row>
    <row r="14" spans="1:14" ht="43.25" customHeight="1">
      <c r="A14" s="1623" t="s">
        <v>1455</v>
      </c>
      <c r="B14" s="1624"/>
      <c r="C14" s="1624"/>
      <c r="D14" s="1624"/>
      <c r="E14" s="1624"/>
      <c r="F14" s="1624"/>
      <c r="G14" s="2535"/>
      <c r="H14" s="2648"/>
      <c r="I14" s="3103"/>
    </row>
    <row r="15" spans="1:14" ht="43.25" customHeight="1">
      <c r="A15" s="1623" t="s">
        <v>1467</v>
      </c>
      <c r="B15" s="1624">
        <v>1.6202289999999999</v>
      </c>
      <c r="C15" s="1624">
        <v>1.476291</v>
      </c>
      <c r="D15" s="1624">
        <v>1.4351160000000001</v>
      </c>
      <c r="E15" s="1624">
        <v>1.4229229999999999</v>
      </c>
      <c r="F15" s="1624">
        <v>1.426153</v>
      </c>
      <c r="G15" s="2535">
        <v>1.112544</v>
      </c>
      <c r="H15" s="2648">
        <v>1.087834</v>
      </c>
      <c r="I15" s="3103">
        <v>1.1399999999999999</v>
      </c>
    </row>
    <row r="16" spans="1:14" ht="43.25" customHeight="1">
      <c r="A16" s="1623" t="s">
        <v>1468</v>
      </c>
      <c r="B16" s="1624">
        <v>0.272785</v>
      </c>
      <c r="C16" s="1624">
        <v>0.22335199999999999</v>
      </c>
      <c r="D16" s="1624">
        <v>0.25203399999999998</v>
      </c>
      <c r="E16" s="1624">
        <v>0.21421200000000001</v>
      </c>
      <c r="F16" s="1624">
        <v>0.203485</v>
      </c>
      <c r="G16" s="2535">
        <v>0.168823</v>
      </c>
      <c r="H16" s="2648">
        <v>0.232489</v>
      </c>
      <c r="I16" s="3103">
        <v>0.28999999999999998</v>
      </c>
    </row>
    <row r="17" spans="1:9" ht="43.25" customHeight="1">
      <c r="A17" s="1623" t="s">
        <v>1469</v>
      </c>
      <c r="B17" s="1624">
        <v>2.4032969999999998</v>
      </c>
      <c r="C17" s="1624">
        <v>2.3695520000000001</v>
      </c>
      <c r="D17" s="1624">
        <v>2.3648530000000001</v>
      </c>
      <c r="E17" s="1624">
        <v>2.3530730000000002</v>
      </c>
      <c r="F17" s="1624">
        <v>2.3449719999999998</v>
      </c>
      <c r="G17" s="2535">
        <v>2.1075689999999998</v>
      </c>
      <c r="H17" s="2648">
        <v>2.0819459999999999</v>
      </c>
      <c r="I17" s="3103">
        <v>2.08</v>
      </c>
    </row>
    <row r="18" spans="1:9" ht="43.25" customHeight="1">
      <c r="A18" s="1623" t="s">
        <v>1470</v>
      </c>
      <c r="B18" s="1624">
        <v>1.8234360000000001</v>
      </c>
      <c r="C18" s="1624">
        <v>1.62585</v>
      </c>
      <c r="D18" s="1624">
        <v>1.431656</v>
      </c>
      <c r="E18" s="1624">
        <v>1.5143660000000001</v>
      </c>
      <c r="F18" s="1624">
        <v>1.6407639999999999</v>
      </c>
      <c r="G18" s="2535">
        <v>1.3489409999999999</v>
      </c>
      <c r="H18" s="2648">
        <v>1.173271</v>
      </c>
      <c r="I18" s="3103">
        <v>1.37</v>
      </c>
    </row>
    <row r="19" spans="1:9" ht="31.25" customHeight="1">
      <c r="A19" s="1623"/>
      <c r="B19" s="1624"/>
      <c r="C19" s="1624"/>
      <c r="D19" s="1624"/>
      <c r="E19" s="1624"/>
      <c r="F19" s="1624"/>
      <c r="G19" s="2535"/>
      <c r="H19" s="2648"/>
      <c r="I19" s="3103"/>
    </row>
    <row r="20" spans="1:9" ht="39" customHeight="1">
      <c r="A20" s="1623" t="s">
        <v>1471</v>
      </c>
      <c r="B20" s="1624"/>
      <c r="C20" s="1624"/>
      <c r="D20" s="1624"/>
      <c r="E20" s="1624"/>
      <c r="F20" s="1624"/>
      <c r="G20" s="2535"/>
      <c r="H20" s="2648"/>
      <c r="I20" s="3103"/>
    </row>
    <row r="21" spans="1:9" ht="39" customHeight="1">
      <c r="A21" s="1623" t="s">
        <v>1472</v>
      </c>
      <c r="B21" s="1624">
        <v>0</v>
      </c>
      <c r="C21" s="1624">
        <v>0</v>
      </c>
      <c r="D21" s="1624">
        <v>0</v>
      </c>
      <c r="E21" s="1624">
        <v>0</v>
      </c>
      <c r="F21" s="1624">
        <v>0</v>
      </c>
      <c r="G21" s="2535">
        <v>0</v>
      </c>
      <c r="H21" s="2648">
        <v>0</v>
      </c>
      <c r="I21" s="3103">
        <v>0</v>
      </c>
    </row>
    <row r="22" spans="1:9" ht="39" customHeight="1">
      <c r="A22" s="1623" t="s">
        <v>1473</v>
      </c>
      <c r="B22" s="1624">
        <v>0.75</v>
      </c>
      <c r="C22" s="1624">
        <v>0.75</v>
      </c>
      <c r="D22" s="1624">
        <v>0.75</v>
      </c>
      <c r="E22" s="1624">
        <v>0.75</v>
      </c>
      <c r="F22" s="1624">
        <v>0.5</v>
      </c>
      <c r="G22" s="2535">
        <v>3</v>
      </c>
      <c r="H22" s="2648">
        <v>2</v>
      </c>
      <c r="I22" s="3103">
        <v>2</v>
      </c>
    </row>
    <row r="23" spans="1:9" ht="39" customHeight="1">
      <c r="A23" s="1623" t="s">
        <v>1474</v>
      </c>
      <c r="B23" s="1624">
        <v>2</v>
      </c>
      <c r="C23" s="1624">
        <v>2</v>
      </c>
      <c r="D23" s="1624">
        <v>2</v>
      </c>
      <c r="E23" s="1624">
        <v>2</v>
      </c>
      <c r="F23" s="1624">
        <v>2</v>
      </c>
      <c r="G23" s="2535">
        <v>2</v>
      </c>
      <c r="H23" s="2648">
        <v>2</v>
      </c>
      <c r="I23" s="3103">
        <v>2</v>
      </c>
    </row>
    <row r="24" spans="1:9" ht="39" customHeight="1">
      <c r="A24" s="1623" t="s">
        <v>1475</v>
      </c>
      <c r="B24" s="1624">
        <v>3</v>
      </c>
      <c r="C24" s="1624">
        <v>3</v>
      </c>
      <c r="D24" s="1624">
        <v>3</v>
      </c>
      <c r="E24" s="1624">
        <v>3</v>
      </c>
      <c r="F24" s="1624">
        <v>3</v>
      </c>
      <c r="G24" s="2535">
        <v>3</v>
      </c>
      <c r="H24" s="2648">
        <v>3</v>
      </c>
      <c r="I24" s="3103">
        <v>3</v>
      </c>
    </row>
    <row r="25" spans="1:9" ht="39" customHeight="1">
      <c r="A25" s="1623" t="s">
        <v>1476</v>
      </c>
      <c r="B25" s="1624">
        <v>0.05</v>
      </c>
      <c r="C25" s="1624">
        <v>0.1</v>
      </c>
      <c r="D25" s="1624">
        <v>0.1</v>
      </c>
      <c r="E25" s="1624">
        <v>0.1</v>
      </c>
      <c r="F25" s="2648">
        <v>0</v>
      </c>
      <c r="G25" s="2648">
        <v>0</v>
      </c>
      <c r="H25" s="2648">
        <v>0</v>
      </c>
      <c r="I25" s="3103">
        <v>0</v>
      </c>
    </row>
    <row r="26" spans="1:9" ht="39" customHeight="1">
      <c r="A26" s="1623" t="s">
        <v>1477</v>
      </c>
      <c r="B26" s="1624">
        <v>0.1</v>
      </c>
      <c r="C26" s="1624">
        <v>0.5</v>
      </c>
      <c r="D26" s="1624">
        <v>0.5</v>
      </c>
      <c r="E26" s="1624">
        <v>0.5</v>
      </c>
      <c r="F26" s="1624">
        <v>1</v>
      </c>
      <c r="G26" s="2535">
        <v>0.5</v>
      </c>
      <c r="H26" s="2648">
        <v>0</v>
      </c>
      <c r="I26" s="3103">
        <v>0</v>
      </c>
    </row>
    <row r="27" spans="1:9" ht="39" customHeight="1">
      <c r="A27" s="1623" t="s">
        <v>1478</v>
      </c>
      <c r="B27" s="1624">
        <v>0.05</v>
      </c>
      <c r="C27" s="1624">
        <v>0.1</v>
      </c>
      <c r="D27" s="1624">
        <v>0.1</v>
      </c>
      <c r="E27" s="1624">
        <v>0.1</v>
      </c>
      <c r="F27" s="1624">
        <v>0</v>
      </c>
      <c r="G27" s="2535">
        <v>0</v>
      </c>
      <c r="H27" s="2648">
        <v>0</v>
      </c>
      <c r="I27" s="3103">
        <v>0.01</v>
      </c>
    </row>
    <row r="28" spans="1:9" ht="39" customHeight="1">
      <c r="A28" s="1623" t="s">
        <v>1479</v>
      </c>
      <c r="B28" s="1624">
        <v>0.1</v>
      </c>
      <c r="C28" s="1624">
        <v>1</v>
      </c>
      <c r="D28" s="1624">
        <v>1</v>
      </c>
      <c r="E28" s="1624">
        <v>1</v>
      </c>
      <c r="F28" s="1624">
        <v>2.5</v>
      </c>
      <c r="G28" s="2535">
        <v>2.5</v>
      </c>
      <c r="H28" s="2648">
        <v>2.5</v>
      </c>
      <c r="I28" s="3103">
        <v>2.5</v>
      </c>
    </row>
    <row r="29" spans="1:9" ht="39" customHeight="1">
      <c r="A29" s="1623" t="s">
        <v>1480</v>
      </c>
      <c r="B29" s="1624">
        <v>0.05</v>
      </c>
      <c r="C29" s="1624">
        <v>0.1</v>
      </c>
      <c r="D29" s="1624">
        <v>0.1</v>
      </c>
      <c r="E29" s="1624">
        <v>0.1</v>
      </c>
      <c r="F29" s="1624">
        <v>0.1</v>
      </c>
      <c r="G29" s="2535">
        <v>0.1</v>
      </c>
      <c r="H29" s="2648">
        <v>0.01</v>
      </c>
      <c r="I29" s="3103">
        <v>0.01</v>
      </c>
    </row>
    <row r="30" spans="1:9" ht="39" customHeight="1">
      <c r="A30" s="1623" t="s">
        <v>1481</v>
      </c>
      <c r="B30" s="1624">
        <v>2.85</v>
      </c>
      <c r="C30" s="1624">
        <v>2.75</v>
      </c>
      <c r="D30" s="1624">
        <v>2.75</v>
      </c>
      <c r="E30" s="1624">
        <v>2.75</v>
      </c>
      <c r="F30" s="1624">
        <v>2.5</v>
      </c>
      <c r="G30" s="2535">
        <v>2.5</v>
      </c>
      <c r="H30" s="2648">
        <v>2.5</v>
      </c>
      <c r="I30" s="3103">
        <v>2.5</v>
      </c>
    </row>
    <row r="31" spans="1:9" ht="39" customHeight="1">
      <c r="A31" s="1623" t="s">
        <v>1482</v>
      </c>
      <c r="B31" s="1624">
        <v>1.750075</v>
      </c>
      <c r="C31" s="1624">
        <v>1.6100300000000001</v>
      </c>
      <c r="D31" s="1624">
        <v>1.534559</v>
      </c>
      <c r="E31" s="1624">
        <v>1.5264580000000001</v>
      </c>
      <c r="F31" s="1624">
        <v>1.536063</v>
      </c>
      <c r="G31" s="2535">
        <v>1.210836</v>
      </c>
      <c r="H31" s="2648">
        <v>1.170404</v>
      </c>
      <c r="I31" s="3103">
        <v>1.23</v>
      </c>
    </row>
    <row r="32" spans="1:9" ht="39" customHeight="1">
      <c r="A32" s="1623" t="s">
        <v>1483</v>
      </c>
      <c r="B32" s="1624">
        <v>0.27775499999999997</v>
      </c>
      <c r="C32" s="1624">
        <v>0.22432199999999999</v>
      </c>
      <c r="D32" s="1624">
        <v>0.23679</v>
      </c>
      <c r="E32" s="1624">
        <v>0.173286</v>
      </c>
      <c r="F32" s="1624">
        <v>0.13756499999999999</v>
      </c>
      <c r="G32" s="2535">
        <v>0.10806200000000001</v>
      </c>
      <c r="H32" s="2648">
        <v>0.15579200000000001</v>
      </c>
      <c r="I32" s="3103">
        <v>0.22</v>
      </c>
    </row>
    <row r="33" spans="1:9" ht="39" customHeight="1">
      <c r="A33" s="1623" t="s">
        <v>1484</v>
      </c>
      <c r="B33" s="1624">
        <v>2.4045800000000002</v>
      </c>
      <c r="C33" s="1624">
        <v>2.3701300000000001</v>
      </c>
      <c r="D33" s="1624">
        <v>2.3650380000000002</v>
      </c>
      <c r="E33" s="1624">
        <v>2.3531179999999998</v>
      </c>
      <c r="F33" s="1624">
        <v>2.3452389999999999</v>
      </c>
      <c r="G33" s="2535">
        <v>2.10758</v>
      </c>
      <c r="H33" s="2648">
        <v>2.0819610000000002</v>
      </c>
      <c r="I33" s="3103">
        <v>2.08</v>
      </c>
    </row>
    <row r="34" spans="1:9" ht="39" customHeight="1">
      <c r="A34" s="1623" t="s">
        <v>1485</v>
      </c>
      <c r="B34" s="1624">
        <v>1.8823669999999999</v>
      </c>
      <c r="C34" s="1624">
        <v>1.6689339999999999</v>
      </c>
      <c r="D34" s="1624">
        <v>1.3589739999999999</v>
      </c>
      <c r="E34" s="1624">
        <v>1.42164</v>
      </c>
      <c r="F34" s="1624">
        <v>1.541253</v>
      </c>
      <c r="G34" s="2535">
        <v>1.3128580000000001</v>
      </c>
      <c r="H34" s="2648">
        <v>1.142012</v>
      </c>
      <c r="I34" s="3103">
        <v>1.35</v>
      </c>
    </row>
    <row r="35" spans="1:9" ht="31.25" customHeight="1">
      <c r="A35" s="1623"/>
      <c r="B35" s="1624"/>
      <c r="C35" s="1624"/>
      <c r="D35" s="1624"/>
      <c r="E35" s="1624"/>
      <c r="F35" s="1624"/>
      <c r="G35" s="2535"/>
      <c r="H35" s="2648"/>
      <c r="I35" s="3103"/>
    </row>
    <row r="36" spans="1:9" ht="40.25" customHeight="1">
      <c r="A36" s="1623" t="s">
        <v>1463</v>
      </c>
      <c r="B36" s="1624"/>
      <c r="C36" s="1624"/>
      <c r="D36" s="1624"/>
      <c r="E36" s="1624"/>
      <c r="F36" s="1624"/>
      <c r="G36" s="2535"/>
      <c r="H36" s="2648"/>
      <c r="I36" s="3103"/>
    </row>
    <row r="37" spans="1:9" ht="40.25" customHeight="1">
      <c r="A37" s="1623" t="s">
        <v>1486</v>
      </c>
      <c r="B37" s="1624">
        <v>0.46345999999999998</v>
      </c>
      <c r="C37" s="1624">
        <v>0.349163</v>
      </c>
      <c r="D37" s="1624">
        <v>0.63971599999999995</v>
      </c>
      <c r="E37" s="1624">
        <v>0.66842800000000002</v>
      </c>
      <c r="F37" s="1624">
        <v>0.643648</v>
      </c>
      <c r="G37" s="2535">
        <v>0.468997</v>
      </c>
      <c r="H37" s="2648">
        <v>0.53603400000000001</v>
      </c>
      <c r="I37" s="3103">
        <v>0.55000000000000004</v>
      </c>
    </row>
    <row r="38" spans="1:9" ht="40.25" customHeight="1">
      <c r="A38" s="1623" t="s">
        <v>1487</v>
      </c>
      <c r="B38" s="1624">
        <v>0.258905</v>
      </c>
      <c r="C38" s="1624">
        <v>0.220667</v>
      </c>
      <c r="D38" s="1624">
        <v>0.29455799999999999</v>
      </c>
      <c r="E38" s="1624">
        <v>0.31884400000000002</v>
      </c>
      <c r="F38" s="1624">
        <v>0.36123100000000002</v>
      </c>
      <c r="G38" s="2535">
        <v>0.3337</v>
      </c>
      <c r="H38" s="2648">
        <v>0.44397399999999998</v>
      </c>
      <c r="I38" s="3103">
        <v>0.46</v>
      </c>
    </row>
    <row r="39" spans="1:9" ht="40.25" customHeight="1">
      <c r="A39" s="1623" t="s">
        <v>1488</v>
      </c>
      <c r="B39" s="1624">
        <v>0</v>
      </c>
      <c r="C39" s="1624">
        <v>0</v>
      </c>
      <c r="D39" s="1624">
        <v>0</v>
      </c>
      <c r="E39" s="1624">
        <v>0</v>
      </c>
      <c r="F39" s="1624">
        <v>0</v>
      </c>
      <c r="G39" s="2535">
        <v>1.9365079999999999</v>
      </c>
      <c r="H39" s="2648">
        <v>2</v>
      </c>
      <c r="I39" s="3103">
        <v>2</v>
      </c>
    </row>
    <row r="40" spans="1:9" ht="40.25" customHeight="1">
      <c r="A40" s="1623" t="s">
        <v>1489</v>
      </c>
      <c r="B40" s="1624">
        <v>1.2025140000000001</v>
      </c>
      <c r="C40" s="1624">
        <v>1.070875</v>
      </c>
      <c r="D40" s="1624">
        <v>2.1328239999999998</v>
      </c>
      <c r="E40" s="1624">
        <v>2.3273999999999999</v>
      </c>
      <c r="F40" s="1624">
        <v>2.8095699999999999</v>
      </c>
      <c r="G40" s="2535">
        <v>1.8182640000000001</v>
      </c>
      <c r="H40" s="2648">
        <v>1.712175</v>
      </c>
      <c r="I40" s="3103">
        <v>1.76</v>
      </c>
    </row>
    <row r="41" spans="1:9" ht="31.25" customHeight="1">
      <c r="A41" s="1623"/>
      <c r="B41" s="1624"/>
      <c r="C41" s="1624"/>
      <c r="D41" s="1624"/>
      <c r="E41" s="1624"/>
      <c r="F41" s="1624"/>
      <c r="G41" s="2535"/>
      <c r="H41" s="2648"/>
      <c r="I41" s="3103"/>
    </row>
    <row r="42" spans="1:9" ht="31.25" customHeight="1">
      <c r="A42" s="1623" t="s">
        <v>1217</v>
      </c>
      <c r="B42" s="1624"/>
      <c r="C42" s="1624"/>
      <c r="D42" s="1624"/>
      <c r="E42" s="1624"/>
      <c r="F42" s="1624"/>
      <c r="G42" s="2535"/>
      <c r="H42" s="2648"/>
      <c r="I42" s="3103"/>
    </row>
    <row r="43" spans="1:9" ht="31.25" customHeight="1">
      <c r="A43" s="1623"/>
      <c r="B43" s="1624"/>
      <c r="C43" s="1624"/>
      <c r="D43" s="1624"/>
      <c r="E43" s="1624"/>
      <c r="F43" s="1624"/>
      <c r="G43" s="2535"/>
      <c r="H43" s="2648"/>
      <c r="I43" s="3103"/>
    </row>
    <row r="44" spans="1:9" ht="36" hidden="1" customHeight="1">
      <c r="A44" s="2631" t="s">
        <v>1873</v>
      </c>
      <c r="B44" s="4532"/>
      <c r="C44" s="4532"/>
      <c r="D44" s="4532"/>
      <c r="E44" s="4532"/>
      <c r="F44" s="4532"/>
      <c r="G44" s="4533"/>
      <c r="H44" s="4534"/>
      <c r="I44" s="4531"/>
    </row>
    <row r="45" spans="1:9" ht="36" customHeight="1">
      <c r="A45" s="1623" t="s">
        <v>1874</v>
      </c>
      <c r="B45" s="1624">
        <v>7</v>
      </c>
      <c r="C45" s="1624">
        <v>7</v>
      </c>
      <c r="D45" s="1624">
        <v>9</v>
      </c>
      <c r="E45" s="1624">
        <v>9</v>
      </c>
      <c r="F45" s="1624">
        <v>9</v>
      </c>
      <c r="G45" s="2535">
        <v>9</v>
      </c>
      <c r="H45" s="2648">
        <v>9</v>
      </c>
      <c r="I45" s="3103">
        <v>9</v>
      </c>
    </row>
    <row r="46" spans="1:9" ht="36" customHeight="1">
      <c r="A46" s="1623" t="s">
        <v>1875</v>
      </c>
      <c r="B46" s="1624">
        <v>15</v>
      </c>
      <c r="C46" s="1624">
        <v>15</v>
      </c>
      <c r="D46" s="1624">
        <v>15</v>
      </c>
      <c r="E46" s="1624">
        <v>15</v>
      </c>
      <c r="F46" s="1624">
        <v>15</v>
      </c>
      <c r="G46" s="2535">
        <v>15</v>
      </c>
      <c r="H46" s="2648">
        <v>15</v>
      </c>
      <c r="I46" s="3103">
        <v>15</v>
      </c>
    </row>
    <row r="47" spans="1:9" ht="31.25" customHeight="1">
      <c r="A47" s="1623"/>
      <c r="B47" s="1624"/>
      <c r="C47" s="1624"/>
      <c r="D47" s="1624"/>
      <c r="E47" s="1624"/>
      <c r="F47" s="1624"/>
      <c r="G47" s="2535"/>
      <c r="H47" s="2648"/>
      <c r="I47" s="3103"/>
    </row>
    <row r="48" spans="1:9" ht="31.25" customHeight="1">
      <c r="A48" s="1623" t="s">
        <v>1455</v>
      </c>
      <c r="B48" s="1624"/>
      <c r="C48" s="1624"/>
      <c r="D48" s="1624"/>
      <c r="E48" s="1624"/>
      <c r="F48" s="1624"/>
      <c r="G48" s="2535"/>
      <c r="H48" s="2648"/>
      <c r="I48" s="3103"/>
    </row>
    <row r="49" spans="1:9" ht="31.25" customHeight="1">
      <c r="A49" s="1623"/>
      <c r="B49" s="1624"/>
      <c r="C49" s="1624"/>
      <c r="D49" s="1624"/>
      <c r="E49" s="1624"/>
      <c r="F49" s="1624"/>
      <c r="G49" s="2535"/>
      <c r="H49" s="2648"/>
      <c r="I49" s="3103"/>
    </row>
    <row r="50" spans="1:9" ht="36" customHeight="1">
      <c r="A50" s="1623" t="s">
        <v>1456</v>
      </c>
      <c r="B50" s="1624" t="s">
        <v>1019</v>
      </c>
      <c r="C50" s="1624" t="s">
        <v>1019</v>
      </c>
      <c r="D50" s="1624" t="s">
        <v>1019</v>
      </c>
      <c r="E50" s="1624" t="s">
        <v>1019</v>
      </c>
      <c r="F50" s="1624">
        <v>6.764132</v>
      </c>
      <c r="G50" s="2535">
        <v>6.6583069999999998</v>
      </c>
      <c r="H50" s="2648">
        <v>6.7951769999999998</v>
      </c>
      <c r="I50" s="3103">
        <v>6.64</v>
      </c>
    </row>
    <row r="51" spans="1:9" ht="36" customHeight="1">
      <c r="A51" s="1623" t="s">
        <v>1457</v>
      </c>
      <c r="B51" s="1624" t="s">
        <v>1019</v>
      </c>
      <c r="C51" s="1624" t="s">
        <v>1019</v>
      </c>
      <c r="D51" s="1624" t="s">
        <v>1019</v>
      </c>
      <c r="E51" s="1624" t="s">
        <v>1019</v>
      </c>
      <c r="F51" s="1624">
        <v>10.592828000000001</v>
      </c>
      <c r="G51" s="2535">
        <v>16.866917999999998</v>
      </c>
      <c r="H51" s="2648">
        <v>5.6772390000000001</v>
      </c>
      <c r="I51" s="3103">
        <v>4.9400000000000004</v>
      </c>
    </row>
    <row r="52" spans="1:9" ht="36" customHeight="1">
      <c r="A52" s="1623" t="s">
        <v>1458</v>
      </c>
      <c r="B52" s="1624">
        <v>8.1487639999999999</v>
      </c>
      <c r="C52" s="1624">
        <v>7.9896229999999999</v>
      </c>
      <c r="D52" s="1624">
        <v>7.9456699999999998</v>
      </c>
      <c r="E52" s="1624">
        <v>7.5646449999999996</v>
      </c>
      <c r="F52" s="1624">
        <v>6.9616499999999997</v>
      </c>
      <c r="G52" s="2535">
        <v>6.5453960000000002</v>
      </c>
      <c r="H52" s="2648">
        <v>6.6644410000000001</v>
      </c>
      <c r="I52" s="3103">
        <v>6.51</v>
      </c>
    </row>
    <row r="53" spans="1:9" ht="31.25" customHeight="1">
      <c r="A53" s="1623"/>
      <c r="B53" s="1624"/>
      <c r="C53" s="1624"/>
      <c r="D53" s="1624"/>
      <c r="E53" s="1624"/>
      <c r="F53" s="1624"/>
      <c r="G53" s="2535"/>
      <c r="H53" s="2648"/>
      <c r="I53" s="3103"/>
    </row>
    <row r="54" spans="1:9" ht="37.25" customHeight="1">
      <c r="A54" s="1623" t="s">
        <v>1459</v>
      </c>
      <c r="B54" s="1624"/>
      <c r="C54" s="1624"/>
      <c r="D54" s="1624"/>
      <c r="E54" s="1624"/>
      <c r="F54" s="1624"/>
      <c r="G54" s="2535"/>
      <c r="H54" s="2648"/>
      <c r="I54" s="3103"/>
    </row>
    <row r="55" spans="1:9" ht="37.25" customHeight="1">
      <c r="A55" s="1623" t="s">
        <v>1460</v>
      </c>
      <c r="B55" s="1624" t="s">
        <v>1019</v>
      </c>
      <c r="C55" s="1624" t="s">
        <v>1019</v>
      </c>
      <c r="D55" s="1624" t="s">
        <v>1019</v>
      </c>
      <c r="E55" s="1624" t="s">
        <v>1019</v>
      </c>
      <c r="F55" s="1624">
        <v>6.8048010000000003</v>
      </c>
      <c r="G55" s="2535">
        <v>6.6756450000000003</v>
      </c>
      <c r="H55" s="2648">
        <v>6.6327759999999998</v>
      </c>
      <c r="I55" s="3103">
        <v>6.51</v>
      </c>
    </row>
    <row r="56" spans="1:9" ht="37.25" customHeight="1">
      <c r="A56" s="1623" t="s">
        <v>1461</v>
      </c>
      <c r="B56" s="1624" t="s">
        <v>1019</v>
      </c>
      <c r="C56" s="1624" t="s">
        <v>1019</v>
      </c>
      <c r="D56" s="1624" t="s">
        <v>1019</v>
      </c>
      <c r="E56" s="1624" t="s">
        <v>1019</v>
      </c>
      <c r="F56" s="1624">
        <v>10.592828000000001</v>
      </c>
      <c r="G56" s="2535">
        <v>16.866917999999998</v>
      </c>
      <c r="H56" s="2648">
        <v>5.7282250000000001</v>
      </c>
      <c r="I56" s="3103">
        <v>4.9400000000000004</v>
      </c>
    </row>
    <row r="57" spans="1:9" ht="37.25" customHeight="1">
      <c r="A57" s="1623" t="s">
        <v>1462</v>
      </c>
      <c r="B57" s="1624">
        <v>8.4076509999999995</v>
      </c>
      <c r="C57" s="1624">
        <v>8.2362570000000002</v>
      </c>
      <c r="D57" s="1624">
        <v>7.9477919999999997</v>
      </c>
      <c r="E57" s="1624">
        <v>7.6119219999999999</v>
      </c>
      <c r="F57" s="1624">
        <v>7.0013480000000001</v>
      </c>
      <c r="G57" s="2535">
        <v>6.553566</v>
      </c>
      <c r="H57" s="2648">
        <v>6.4932299999999996</v>
      </c>
      <c r="I57" s="3103">
        <v>6.37</v>
      </c>
    </row>
    <row r="58" spans="1:9" ht="31.25" customHeight="1">
      <c r="A58" s="1623"/>
      <c r="B58" s="1624"/>
      <c r="C58" s="1624"/>
      <c r="D58" s="1624"/>
      <c r="E58" s="1624"/>
      <c r="F58" s="1624"/>
      <c r="G58" s="2535"/>
      <c r="H58" s="2648"/>
      <c r="I58" s="3103"/>
    </row>
    <row r="59" spans="1:9" ht="39" customHeight="1">
      <c r="A59" s="1623" t="s">
        <v>1463</v>
      </c>
      <c r="B59" s="1624"/>
      <c r="C59" s="1624"/>
      <c r="D59" s="1624"/>
      <c r="E59" s="1624"/>
      <c r="F59" s="1624"/>
      <c r="G59" s="2535"/>
      <c r="H59" s="2648"/>
      <c r="I59" s="3103"/>
    </row>
    <row r="60" spans="1:9" ht="39" customHeight="1">
      <c r="A60" s="1623" t="s">
        <v>1464</v>
      </c>
      <c r="B60" s="1624" t="s">
        <v>1019</v>
      </c>
      <c r="C60" s="1624" t="s">
        <v>1019</v>
      </c>
      <c r="D60" s="1624" t="s">
        <v>1019</v>
      </c>
      <c r="E60" s="1624" t="s">
        <v>1019</v>
      </c>
      <c r="F60" s="1624">
        <v>5.4989499999999998</v>
      </c>
      <c r="G60" s="2535">
        <v>6.1510300000000004</v>
      </c>
      <c r="H60" s="2648">
        <v>9.2422350000000009</v>
      </c>
      <c r="I60" s="3103">
        <v>9.52</v>
      </c>
    </row>
    <row r="61" spans="1:9" ht="39" customHeight="1">
      <c r="A61" s="1623" t="s">
        <v>1465</v>
      </c>
      <c r="B61" s="1624" t="s">
        <v>1019</v>
      </c>
      <c r="C61" s="1624" t="s">
        <v>1019</v>
      </c>
      <c r="D61" s="1624" t="s">
        <v>1019</v>
      </c>
      <c r="E61" s="1624" t="s">
        <v>1019</v>
      </c>
      <c r="F61" s="1624">
        <v>0</v>
      </c>
      <c r="G61" s="2535">
        <v>0</v>
      </c>
      <c r="H61" s="2648">
        <v>4.5</v>
      </c>
      <c r="I61" s="3103">
        <v>0</v>
      </c>
    </row>
    <row r="62" spans="1:9" ht="39" customHeight="1">
      <c r="A62" s="1623" t="s">
        <v>1466</v>
      </c>
      <c r="B62" s="1624">
        <v>5.7611109999999996</v>
      </c>
      <c r="C62" s="1624">
        <v>5.7611800000000004</v>
      </c>
      <c r="D62" s="1624">
        <v>7.925465</v>
      </c>
      <c r="E62" s="1624">
        <v>5.332713</v>
      </c>
      <c r="F62" s="1624">
        <v>5.682639</v>
      </c>
      <c r="G62" s="2535">
        <v>6.3038970000000001</v>
      </c>
      <c r="H62" s="2648">
        <v>9.2880319999999994</v>
      </c>
      <c r="I62" s="3103">
        <v>9.6</v>
      </c>
    </row>
    <row r="63" spans="1:9" ht="59" customHeight="1" thickBot="1">
      <c r="A63" s="1625"/>
      <c r="B63" s="1626"/>
      <c r="C63" s="1626"/>
      <c r="D63" s="1626"/>
      <c r="E63" s="1626"/>
      <c r="F63" s="1626"/>
      <c r="G63" s="2537"/>
      <c r="H63" s="3000"/>
      <c r="I63" s="3104"/>
    </row>
    <row r="64" spans="1:9" ht="36" customHeight="1">
      <c r="A64" s="1629" t="s">
        <v>72</v>
      </c>
    </row>
    <row r="65" spans="1:17" s="1620" customFormat="1" ht="36" customHeight="1">
      <c r="A65" s="1629" t="s">
        <v>2357</v>
      </c>
      <c r="B65" s="1630"/>
      <c r="C65" s="1630"/>
      <c r="D65" s="1630"/>
      <c r="E65" s="1630"/>
      <c r="F65" s="1630"/>
      <c r="G65" s="1630"/>
      <c r="H65" s="1619"/>
      <c r="I65" s="1619"/>
      <c r="J65" s="1619"/>
      <c r="K65" s="1619"/>
      <c r="L65" s="1619"/>
      <c r="M65" s="1619"/>
      <c r="N65" s="1619"/>
      <c r="O65" s="1619"/>
      <c r="P65" s="1619"/>
      <c r="Q65" s="1619"/>
    </row>
    <row r="66" spans="1:17" s="1620" customFormat="1">
      <c r="A66" s="2632" t="s">
        <v>390</v>
      </c>
      <c r="B66" s="1630"/>
      <c r="C66" s="1630"/>
      <c r="D66" s="1630"/>
      <c r="E66" s="1630"/>
      <c r="F66" s="1630"/>
      <c r="G66" s="1630"/>
      <c r="H66" s="1619"/>
      <c r="I66" s="1619"/>
      <c r="J66" s="1619"/>
      <c r="K66" s="1619"/>
      <c r="L66" s="1619"/>
      <c r="M66" s="1619"/>
      <c r="N66" s="1619"/>
      <c r="O66" s="1619"/>
      <c r="P66" s="1619"/>
      <c r="Q66" s="1619"/>
    </row>
  </sheetData>
  <mergeCells count="2">
    <mergeCell ref="A1:H1"/>
    <mergeCell ref="A2:H2"/>
  </mergeCells>
  <printOptions horizontalCentered="1" verticalCentered="1"/>
  <pageMargins left="0.25" right="0.25" top="0.75" bottom="0.75" header="0.3" footer="0.3"/>
  <pageSetup scale="21" firstPageNumber="103" orientation="landscape" useFirstPageNumber="1" r:id="rId1"/>
  <headerFooter scaleWithDoc="0" alignWithMargins="0">
    <oddFooter xml:space="preserve">&amp;C152
</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00B0F0"/>
    <pageSetUpPr fitToPage="1"/>
  </sheetPr>
  <dimension ref="A1:N49"/>
  <sheetViews>
    <sheetView showGridLines="0" view="pageBreakPreview" topLeftCell="B1" zoomScale="70" zoomScaleNormal="100" zoomScaleSheetLayoutView="70" workbookViewId="0">
      <pane xSplit="1" topLeftCell="C1" activePane="topRight" state="frozen"/>
      <selection activeCell="B44" sqref="B44"/>
      <selection pane="topRight" activeCell="B44" sqref="B44"/>
    </sheetView>
  </sheetViews>
  <sheetFormatPr defaultColWidth="17.6640625" defaultRowHeight="20.25"/>
  <cols>
    <col min="1" max="1" width="4.6640625" style="3802" hidden="1" customWidth="1"/>
    <col min="2" max="2" width="44.46484375" style="3802" customWidth="1"/>
    <col min="3" max="9" width="17.6640625" style="3802"/>
    <col min="10" max="10" width="21.6640625" style="3802" customWidth="1"/>
    <col min="11" max="11" width="17.6640625" style="3803"/>
    <col min="12" max="16384" width="17.6640625" style="3802"/>
  </cols>
  <sheetData>
    <row r="1" spans="2:14">
      <c r="B1" s="5941" t="s">
        <v>697</v>
      </c>
      <c r="C1" s="5941"/>
      <c r="D1" s="5941"/>
      <c r="E1" s="5941"/>
      <c r="F1" s="5941"/>
      <c r="G1" s="5941"/>
      <c r="H1" s="5941"/>
      <c r="I1" s="5941"/>
      <c r="J1" s="5941"/>
      <c r="K1" s="5941"/>
    </row>
    <row r="2" spans="2:14">
      <c r="B2" s="5941" t="s">
        <v>1058</v>
      </c>
      <c r="C2" s="5941"/>
      <c r="D2" s="5941"/>
      <c r="E2" s="5941"/>
      <c r="F2" s="5941"/>
      <c r="G2" s="5941"/>
      <c r="H2" s="5941"/>
      <c r="I2" s="5941"/>
      <c r="J2" s="5941"/>
      <c r="K2" s="5941"/>
    </row>
    <row r="3" spans="2:14">
      <c r="B3" s="5941" t="s">
        <v>1048</v>
      </c>
      <c r="C3" s="5941"/>
      <c r="D3" s="5941"/>
      <c r="E3" s="5941"/>
      <c r="F3" s="5941"/>
      <c r="G3" s="5941"/>
      <c r="H3" s="5941"/>
      <c r="I3" s="5941"/>
      <c r="J3" s="5941"/>
      <c r="K3" s="5941"/>
    </row>
    <row r="4" spans="2:14" ht="5" customHeight="1" thickBot="1"/>
    <row r="5" spans="2:14" ht="40.9" thickBot="1">
      <c r="B5" s="3804"/>
      <c r="C5" s="3805">
        <v>2017</v>
      </c>
      <c r="D5" s="3805">
        <v>2018</v>
      </c>
      <c r="E5" s="3805">
        <v>2019</v>
      </c>
      <c r="F5" s="3805">
        <v>2020</v>
      </c>
      <c r="G5" s="3805">
        <v>2021</v>
      </c>
      <c r="H5" s="3805">
        <v>2022</v>
      </c>
      <c r="I5" s="3806" t="s">
        <v>1959</v>
      </c>
      <c r="J5" s="3807" t="s">
        <v>1970</v>
      </c>
      <c r="K5" s="3808" t="s">
        <v>2307</v>
      </c>
    </row>
    <row r="6" spans="2:14" ht="40.5">
      <c r="B6" s="3809" t="s">
        <v>1190</v>
      </c>
      <c r="C6" s="3810">
        <v>12.622999999999999</v>
      </c>
      <c r="D6" s="3810">
        <v>9.7910000000000004</v>
      </c>
      <c r="E6" s="3810">
        <v>7.2149999999999999</v>
      </c>
      <c r="F6" s="3810">
        <v>6.1390000000000002</v>
      </c>
      <c r="G6" s="3810">
        <v>4.6660000000000004</v>
      </c>
      <c r="H6" s="3810">
        <v>3.84</v>
      </c>
      <c r="I6" s="3811">
        <v>8.18</v>
      </c>
      <c r="J6" s="3812">
        <f>I6/H6-1</f>
        <v>1.1302083333333335</v>
      </c>
      <c r="K6" s="3813">
        <f t="shared" ref="K6:K46" si="0">I6/$I$47</f>
        <v>2.2163817162055978E-3</v>
      </c>
    </row>
    <row r="7" spans="2:14">
      <c r="B7" s="3814" t="s">
        <v>1402</v>
      </c>
      <c r="C7" s="3815">
        <v>10.414</v>
      </c>
      <c r="D7" s="3815">
        <v>9.2750000000000004</v>
      </c>
      <c r="E7" s="3815">
        <v>6.7279999999999998</v>
      </c>
      <c r="F7" s="3815">
        <v>6.024</v>
      </c>
      <c r="G7" s="3815">
        <v>4.5919999999999996</v>
      </c>
      <c r="H7" s="3815">
        <v>3.7</v>
      </c>
      <c r="I7" s="3816">
        <v>8.06</v>
      </c>
      <c r="J7" s="4529">
        <f>I7/H7-1</f>
        <v>1.1783783783783783</v>
      </c>
      <c r="K7" s="4530">
        <f t="shared" si="0"/>
        <v>2.1838675589996477E-3</v>
      </c>
    </row>
    <row r="8" spans="2:14">
      <c r="B8" s="3814" t="s">
        <v>1400</v>
      </c>
      <c r="C8" s="3815">
        <v>0</v>
      </c>
      <c r="D8" s="3815">
        <v>0</v>
      </c>
      <c r="E8" s="3815">
        <v>0</v>
      </c>
      <c r="F8" s="3815">
        <v>5.97</v>
      </c>
      <c r="G8" s="3815">
        <v>4.524</v>
      </c>
      <c r="H8" s="3815">
        <v>3.7320000000000002</v>
      </c>
      <c r="I8" s="3816">
        <v>8.06</v>
      </c>
      <c r="J8" s="4529">
        <f>I8/H8-1</f>
        <v>1.159699892818864</v>
      </c>
      <c r="K8" s="4530">
        <f t="shared" si="0"/>
        <v>2.1838675589996477E-3</v>
      </c>
    </row>
    <row r="9" spans="2:14">
      <c r="B9" s="3814" t="s">
        <v>1401</v>
      </c>
      <c r="C9" s="3815">
        <v>0</v>
      </c>
      <c r="D9" s="3815">
        <v>0</v>
      </c>
      <c r="E9" s="3815">
        <v>0</v>
      </c>
      <c r="F9" s="3815">
        <v>5.3999999999999999E-2</v>
      </c>
      <c r="G9" s="3815">
        <v>6.8000000000000005E-2</v>
      </c>
      <c r="H9" s="3815">
        <v>0</v>
      </c>
      <c r="I9" s="3816">
        <v>0</v>
      </c>
      <c r="J9" s="4529">
        <f>H9/G9-1</f>
        <v>-1</v>
      </c>
      <c r="K9" s="4530">
        <f t="shared" si="0"/>
        <v>0</v>
      </c>
    </row>
    <row r="10" spans="2:14">
      <c r="B10" s="3814" t="s">
        <v>1403</v>
      </c>
      <c r="C10" s="3815">
        <v>2.2090000000000001</v>
      </c>
      <c r="D10" s="3815">
        <v>0.51600000000000001</v>
      </c>
      <c r="E10" s="3815">
        <v>0.48699999999999999</v>
      </c>
      <c r="F10" s="3815">
        <v>0.115</v>
      </c>
      <c r="G10" s="3815">
        <v>7.3999999999999996E-2</v>
      </c>
      <c r="H10" s="3815">
        <v>0.107</v>
      </c>
      <c r="I10" s="3816">
        <v>0.12</v>
      </c>
      <c r="J10" s="4529">
        <f t="shared" ref="J10:J15" si="1">I10/H10-1</f>
        <v>0.12149532710280364</v>
      </c>
      <c r="K10" s="4530">
        <f t="shared" si="0"/>
        <v>3.2514157205950088E-5</v>
      </c>
    </row>
    <row r="11" spans="2:14">
      <c r="B11" s="3809" t="s">
        <v>1191</v>
      </c>
      <c r="C11" s="3810">
        <v>5.2859999999999996</v>
      </c>
      <c r="D11" s="3810">
        <v>4.4889999999999999</v>
      </c>
      <c r="E11" s="3810">
        <v>3.9849999999999999</v>
      </c>
      <c r="F11" s="3810">
        <v>3.5739999999999998</v>
      </c>
      <c r="G11" s="3810">
        <v>3.4820000000000002</v>
      </c>
      <c r="H11" s="3810">
        <v>3.2570000000000001</v>
      </c>
      <c r="I11" s="3811">
        <v>2.92</v>
      </c>
      <c r="J11" s="3812">
        <f t="shared" si="1"/>
        <v>-0.10346945041449196</v>
      </c>
      <c r="K11" s="3813">
        <f t="shared" si="0"/>
        <v>7.9117782534478547E-4</v>
      </c>
    </row>
    <row r="12" spans="2:14">
      <c r="B12" s="3809" t="s">
        <v>392</v>
      </c>
      <c r="C12" s="3810">
        <v>59.9</v>
      </c>
      <c r="D12" s="3810">
        <v>68.489999999999995</v>
      </c>
      <c r="E12" s="3810">
        <v>77.795000000000002</v>
      </c>
      <c r="F12" s="3810">
        <v>79.078999999999994</v>
      </c>
      <c r="G12" s="3810">
        <v>81.48</v>
      </c>
      <c r="H12" s="3810">
        <v>72.97</v>
      </c>
      <c r="I12" s="3811">
        <v>103.61</v>
      </c>
      <c r="J12" s="3812">
        <f t="shared" si="1"/>
        <v>0.41989858846101136</v>
      </c>
      <c r="K12" s="3813">
        <f t="shared" si="0"/>
        <v>2.8073265234237404E-2</v>
      </c>
      <c r="L12" s="3802" t="s">
        <v>390</v>
      </c>
      <c r="N12" s="2551" t="s">
        <v>390</v>
      </c>
    </row>
    <row r="13" spans="2:14">
      <c r="B13" s="3809" t="s">
        <v>1192</v>
      </c>
      <c r="C13" s="3810">
        <v>26.541</v>
      </c>
      <c r="D13" s="3810">
        <v>42.518999999999998</v>
      </c>
      <c r="E13" s="3810">
        <v>36.822000000000003</v>
      </c>
      <c r="F13" s="3810">
        <v>77.460999999999999</v>
      </c>
      <c r="G13" s="3810">
        <f>SUM(G14:G15)</f>
        <v>42.207000000000001</v>
      </c>
      <c r="H13" s="3810">
        <f>SUM(H14:H15)</f>
        <v>57.191000000000003</v>
      </c>
      <c r="I13" s="3810">
        <f>SUM(I14:I15)</f>
        <v>78.900000000000006</v>
      </c>
      <c r="J13" s="3812">
        <f t="shared" si="1"/>
        <v>0.37958769736497011</v>
      </c>
      <c r="K13" s="3813">
        <f t="shared" si="0"/>
        <v>2.1378058362912185E-2</v>
      </c>
      <c r="L13" s="3802" t="s">
        <v>390</v>
      </c>
    </row>
    <row r="14" spans="2:14" ht="60.75">
      <c r="B14" s="3814" t="s">
        <v>1933</v>
      </c>
      <c r="C14" s="3815">
        <v>0</v>
      </c>
      <c r="D14" s="3815">
        <v>0</v>
      </c>
      <c r="E14" s="3815">
        <v>0</v>
      </c>
      <c r="F14" s="3815">
        <v>74.638999999999996</v>
      </c>
      <c r="G14" s="3815">
        <v>38.561</v>
      </c>
      <c r="H14" s="3815">
        <v>51.96</v>
      </c>
      <c r="I14" s="3816">
        <v>74.67</v>
      </c>
      <c r="J14" s="4529">
        <f t="shared" si="1"/>
        <v>0.43706697459584287</v>
      </c>
      <c r="K14" s="4530">
        <f t="shared" si="0"/>
        <v>2.0231934321402443E-2</v>
      </c>
    </row>
    <row r="15" spans="2:14" ht="40.5">
      <c r="B15" s="3814" t="s">
        <v>1404</v>
      </c>
      <c r="C15" s="3815">
        <v>0</v>
      </c>
      <c r="D15" s="3815">
        <v>0</v>
      </c>
      <c r="E15" s="3815">
        <v>0</v>
      </c>
      <c r="F15" s="3815">
        <v>2.8220000000000001</v>
      </c>
      <c r="G15" s="3815">
        <v>3.6459999999999999</v>
      </c>
      <c r="H15" s="3815">
        <v>5.2309999999999999</v>
      </c>
      <c r="I15" s="3816">
        <v>4.2300000000000004</v>
      </c>
      <c r="J15" s="4529">
        <f t="shared" si="1"/>
        <v>-0.19135920474096724</v>
      </c>
      <c r="K15" s="4530">
        <f t="shared" si="0"/>
        <v>1.1461240415097406E-3</v>
      </c>
    </row>
    <row r="16" spans="2:14" s="3817" customFormat="1" ht="40.5">
      <c r="B16" s="3809" t="s">
        <v>1193</v>
      </c>
      <c r="C16" s="3810">
        <v>1186.107</v>
      </c>
      <c r="D16" s="3810">
        <v>1160.0219999999999</v>
      </c>
      <c r="E16" s="3810">
        <v>795.49599999999998</v>
      </c>
      <c r="F16" s="3810">
        <v>700.67700000000002</v>
      </c>
      <c r="G16" s="3810">
        <v>695.01099999999997</v>
      </c>
      <c r="H16" s="3810">
        <v>685.44</v>
      </c>
      <c r="I16" s="3811">
        <v>659.93</v>
      </c>
      <c r="J16" s="3812">
        <f t="shared" ref="J16:J46" si="2">I16/H16-1</f>
        <v>-3.7216970121382031E-2</v>
      </c>
      <c r="K16" s="3813">
        <f t="shared" si="0"/>
        <v>0.17880889804102201</v>
      </c>
    </row>
    <row r="17" spans="2:12" ht="40.5">
      <c r="B17" s="3814" t="s">
        <v>1405</v>
      </c>
      <c r="C17" s="3815">
        <v>969.25400000000002</v>
      </c>
      <c r="D17" s="3815">
        <v>960.71500000000003</v>
      </c>
      <c r="E17" s="3815">
        <v>645.70600000000002</v>
      </c>
      <c r="F17" s="3815">
        <v>515.53899999999999</v>
      </c>
      <c r="G17" s="3815">
        <v>508.96100000000001</v>
      </c>
      <c r="H17" s="3815">
        <v>464.69</v>
      </c>
      <c r="I17" s="3816">
        <v>458.93</v>
      </c>
      <c r="J17" s="4529">
        <f t="shared" si="2"/>
        <v>-1.2395360347758677E-2</v>
      </c>
      <c r="K17" s="4530">
        <f t="shared" si="0"/>
        <v>0.12434768472105562</v>
      </c>
    </row>
    <row r="18" spans="2:12" ht="60.75">
      <c r="B18" s="3814" t="s">
        <v>1406</v>
      </c>
      <c r="C18" s="3815">
        <v>216.85300000000001</v>
      </c>
      <c r="D18" s="3815">
        <v>199.30699999999999</v>
      </c>
      <c r="E18" s="3815">
        <v>149.79</v>
      </c>
      <c r="F18" s="3815">
        <v>185.13800000000001</v>
      </c>
      <c r="G18" s="3815">
        <v>186.05</v>
      </c>
      <c r="H18" s="4423">
        <v>220.7</v>
      </c>
      <c r="I18" s="3816">
        <v>201.1</v>
      </c>
      <c r="J18" s="4529">
        <f t="shared" si="2"/>
        <v>-8.8808337109197999E-2</v>
      </c>
      <c r="K18" s="4530">
        <f t="shared" si="0"/>
        <v>5.4488308450971357E-2</v>
      </c>
    </row>
    <row r="19" spans="2:12">
      <c r="B19" s="3814" t="s">
        <v>1407</v>
      </c>
      <c r="C19" s="3815">
        <v>0</v>
      </c>
      <c r="D19" s="3815">
        <v>0</v>
      </c>
      <c r="E19" s="3815">
        <v>0</v>
      </c>
      <c r="F19" s="3815">
        <v>155.41300000000001</v>
      </c>
      <c r="G19" s="3815">
        <v>133.68</v>
      </c>
      <c r="H19" s="3815">
        <v>98.260999999999996</v>
      </c>
      <c r="I19" s="3816">
        <v>85.15</v>
      </c>
      <c r="J19" s="4529">
        <f t="shared" si="2"/>
        <v>-0.13343035385351254</v>
      </c>
      <c r="K19" s="4530">
        <f t="shared" si="0"/>
        <v>2.3071504050722086E-2</v>
      </c>
    </row>
    <row r="20" spans="2:12" ht="40.5">
      <c r="B20" s="3814" t="s">
        <v>1408</v>
      </c>
      <c r="C20" s="3815">
        <v>0</v>
      </c>
      <c r="D20" s="3815">
        <v>0</v>
      </c>
      <c r="E20" s="3815">
        <v>0</v>
      </c>
      <c r="F20" s="3815">
        <v>29.725000000000001</v>
      </c>
      <c r="G20" s="3815">
        <v>52.37</v>
      </c>
      <c r="H20" s="3815">
        <v>122.43</v>
      </c>
      <c r="I20" s="3816">
        <v>115.85</v>
      </c>
      <c r="J20" s="4529">
        <f t="shared" si="2"/>
        <v>-5.3744997141223605E-2</v>
      </c>
      <c r="K20" s="4530">
        <f t="shared" si="0"/>
        <v>3.1389709269244316E-2</v>
      </c>
    </row>
    <row r="21" spans="2:12" s="3823" customFormat="1" ht="60.75">
      <c r="B21" s="3818" t="s">
        <v>1194</v>
      </c>
      <c r="C21" s="3819">
        <v>255.49</v>
      </c>
      <c r="D21" s="3819">
        <v>253.32400000000001</v>
      </c>
      <c r="E21" s="3819">
        <v>266.43299999999999</v>
      </c>
      <c r="F21" s="3819">
        <v>258.90199999999999</v>
      </c>
      <c r="G21" s="3819">
        <v>279.50900000000001</v>
      </c>
      <c r="H21" s="3819">
        <v>317.33999999999997</v>
      </c>
      <c r="I21" s="3820">
        <v>324.08999999999997</v>
      </c>
      <c r="J21" s="3821">
        <f t="shared" si="2"/>
        <v>2.1270561542824806E-2</v>
      </c>
      <c r="K21" s="3822">
        <f t="shared" si="0"/>
        <v>8.7812610073969691E-2</v>
      </c>
    </row>
    <row r="22" spans="2:12" s="3817" customFormat="1">
      <c r="B22" s="3809" t="s">
        <v>1195</v>
      </c>
      <c r="C22" s="3810">
        <v>62.646999999999998</v>
      </c>
      <c r="D22" s="3810">
        <v>57.037999999999997</v>
      </c>
      <c r="E22" s="3810">
        <v>59.82</v>
      </c>
      <c r="F22" s="3810">
        <v>19.809999999999999</v>
      </c>
      <c r="G22" s="3810">
        <v>22.425999999999998</v>
      </c>
      <c r="H22" s="3810">
        <v>30.256</v>
      </c>
      <c r="I22" s="3811">
        <v>34.5</v>
      </c>
      <c r="J22" s="3812">
        <f t="shared" si="2"/>
        <v>0.14026969857218408</v>
      </c>
      <c r="K22" s="3813">
        <f t="shared" si="0"/>
        <v>9.347820196710651E-3</v>
      </c>
    </row>
    <row r="23" spans="2:12" s="3817" customFormat="1" ht="40.5">
      <c r="B23" s="3809" t="s">
        <v>1196</v>
      </c>
      <c r="C23" s="3810">
        <v>308.38</v>
      </c>
      <c r="D23" s="3810">
        <v>304.613</v>
      </c>
      <c r="E23" s="3810">
        <v>265.91500000000002</v>
      </c>
      <c r="F23" s="3810">
        <v>286.745</v>
      </c>
      <c r="G23" s="3810">
        <v>306.81700000000001</v>
      </c>
      <c r="H23" s="3810">
        <v>288.2</v>
      </c>
      <c r="I23" s="3811">
        <v>223.18</v>
      </c>
      <c r="J23" s="3812">
        <f t="shared" si="2"/>
        <v>-0.22560721721027055</v>
      </c>
      <c r="K23" s="3813">
        <f t="shared" si="0"/>
        <v>6.0470913376866171E-2</v>
      </c>
    </row>
    <row r="24" spans="2:12" s="3817" customFormat="1">
      <c r="B24" s="3809" t="s">
        <v>648</v>
      </c>
      <c r="C24" s="3810">
        <v>8.23</v>
      </c>
      <c r="D24" s="3810">
        <v>35.953000000000003</v>
      </c>
      <c r="E24" s="3810">
        <v>34.345999999999997</v>
      </c>
      <c r="F24" s="3810">
        <v>40.476999999999997</v>
      </c>
      <c r="G24" s="3810">
        <v>41.728000000000002</v>
      </c>
      <c r="H24" s="3810">
        <v>38.22</v>
      </c>
      <c r="I24" s="3811">
        <v>55.88</v>
      </c>
      <c r="J24" s="3812">
        <f t="shared" si="2"/>
        <v>0.46206174777603359</v>
      </c>
      <c r="K24" s="3813">
        <f t="shared" si="0"/>
        <v>1.5140759205570758E-2</v>
      </c>
    </row>
    <row r="25" spans="2:12" s="3817" customFormat="1" ht="60.75">
      <c r="B25" s="3809" t="s">
        <v>2319</v>
      </c>
      <c r="C25" s="3810">
        <v>381.00799999999998</v>
      </c>
      <c r="D25" s="3810">
        <v>324.96300000000002</v>
      </c>
      <c r="E25" s="3810">
        <v>318.56700000000001</v>
      </c>
      <c r="F25" s="3810">
        <v>208.71199999999999</v>
      </c>
      <c r="G25" s="3810">
        <v>226.06399999999999</v>
      </c>
      <c r="H25" s="3810">
        <f>SUM(H26:H31)</f>
        <v>814.41700000000003</v>
      </c>
      <c r="I25" s="3810">
        <f>SUM(I26:I31)</f>
        <v>888.61</v>
      </c>
      <c r="J25" s="3812">
        <f t="shared" si="2"/>
        <v>9.109952272607269E-2</v>
      </c>
      <c r="K25" s="3813">
        <f t="shared" si="0"/>
        <v>0.2407700436231609</v>
      </c>
      <c r="L25" s="4696">
        <f>I25-H25</f>
        <v>74.192999999999984</v>
      </c>
    </row>
    <row r="26" spans="2:12" ht="40.5">
      <c r="B26" s="3814" t="s">
        <v>1409</v>
      </c>
      <c r="C26" s="3815">
        <v>0</v>
      </c>
      <c r="D26" s="3815">
        <v>0</v>
      </c>
      <c r="E26" s="3815">
        <v>0</v>
      </c>
      <c r="F26" s="3815">
        <v>54.828000000000003</v>
      </c>
      <c r="G26" s="3815">
        <v>49.292000000000002</v>
      </c>
      <c r="H26" s="3815">
        <v>50.36</v>
      </c>
      <c r="I26" s="3816">
        <v>35.32</v>
      </c>
      <c r="J26" s="4529">
        <f t="shared" si="2"/>
        <v>-0.29864972200158857</v>
      </c>
      <c r="K26" s="4530">
        <f t="shared" si="0"/>
        <v>9.5700002709513086E-3</v>
      </c>
    </row>
    <row r="27" spans="2:12" ht="40.5">
      <c r="B27" s="3814" t="s">
        <v>1410</v>
      </c>
      <c r="C27" s="3815">
        <v>0</v>
      </c>
      <c r="D27" s="3815">
        <v>0</v>
      </c>
      <c r="E27" s="3815">
        <v>0</v>
      </c>
      <c r="F27" s="3815">
        <v>34.509</v>
      </c>
      <c r="G27" s="3815">
        <v>37.671999999999997</v>
      </c>
      <c r="H27" s="3815">
        <v>35.07</v>
      </c>
      <c r="I27" s="3816">
        <v>38.409999999999997</v>
      </c>
      <c r="J27" s="4529">
        <f t="shared" si="2"/>
        <v>9.5238095238095122E-2</v>
      </c>
      <c r="K27" s="4530">
        <f t="shared" si="0"/>
        <v>1.0407239819004523E-2</v>
      </c>
    </row>
    <row r="28" spans="2:12">
      <c r="B28" s="3814" t="s">
        <v>1411</v>
      </c>
      <c r="C28" s="3815">
        <v>0</v>
      </c>
      <c r="D28" s="3815">
        <v>0</v>
      </c>
      <c r="E28" s="3815">
        <v>0</v>
      </c>
      <c r="F28" s="3815">
        <v>34.484999999999999</v>
      </c>
      <c r="G28" s="3815">
        <v>24.132999999999999</v>
      </c>
      <c r="H28" s="3815">
        <v>28</v>
      </c>
      <c r="I28" s="3816">
        <v>29.96</v>
      </c>
      <c r="J28" s="4529">
        <f t="shared" si="2"/>
        <v>7.0000000000000062E-2</v>
      </c>
      <c r="K28" s="4530">
        <f t="shared" si="0"/>
        <v>8.1177012490855384E-3</v>
      </c>
    </row>
    <row r="29" spans="2:12" ht="40.5">
      <c r="B29" s="3814" t="s">
        <v>1412</v>
      </c>
      <c r="C29" s="3815">
        <v>0</v>
      </c>
      <c r="D29" s="3815">
        <v>0</v>
      </c>
      <c r="E29" s="3815">
        <v>0</v>
      </c>
      <c r="F29" s="3815">
        <v>7.4359999999999999</v>
      </c>
      <c r="G29" s="3815">
        <v>7.476</v>
      </c>
      <c r="H29" s="3815">
        <v>7.2889999999999997</v>
      </c>
      <c r="I29" s="3816">
        <v>7.68</v>
      </c>
      <c r="J29" s="4529">
        <f t="shared" si="2"/>
        <v>5.3642474962271924E-2</v>
      </c>
      <c r="K29" s="4530">
        <f t="shared" si="0"/>
        <v>2.0809060611808056E-3</v>
      </c>
    </row>
    <row r="30" spans="2:12" ht="40.5">
      <c r="B30" s="3814" t="s">
        <v>1413</v>
      </c>
      <c r="C30" s="3815">
        <v>0</v>
      </c>
      <c r="D30" s="3815">
        <v>0</v>
      </c>
      <c r="E30" s="3815">
        <v>0</v>
      </c>
      <c r="F30" s="3815">
        <v>15.487</v>
      </c>
      <c r="G30" s="3815">
        <v>21.215</v>
      </c>
      <c r="H30" s="3815">
        <v>21.14</v>
      </c>
      <c r="I30" s="3816">
        <v>35.28</v>
      </c>
      <c r="J30" s="4529">
        <f t="shared" si="2"/>
        <v>0.66887417218543055</v>
      </c>
      <c r="K30" s="4530">
        <f t="shared" si="0"/>
        <v>9.5591622185493257E-3</v>
      </c>
    </row>
    <row r="31" spans="2:12" ht="60.75">
      <c r="B31" s="3814" t="s">
        <v>1414</v>
      </c>
      <c r="C31" s="3815">
        <v>0</v>
      </c>
      <c r="D31" s="3815">
        <v>0</v>
      </c>
      <c r="E31" s="3815">
        <v>0</v>
      </c>
      <c r="F31" s="3815">
        <v>61.966999999999999</v>
      </c>
      <c r="G31" s="3815">
        <v>86.275999999999996</v>
      </c>
      <c r="H31" s="3815">
        <v>672.55799999999999</v>
      </c>
      <c r="I31" s="3816">
        <v>741.96</v>
      </c>
      <c r="J31" s="4529">
        <f t="shared" si="2"/>
        <v>0.1031911002471162</v>
      </c>
      <c r="K31" s="4530">
        <f t="shared" si="0"/>
        <v>0.20103503400438941</v>
      </c>
    </row>
    <row r="32" spans="2:12" s="3817" customFormat="1" ht="40.5">
      <c r="B32" s="3809" t="s">
        <v>1197</v>
      </c>
      <c r="C32" s="3810">
        <v>218.53</v>
      </c>
      <c r="D32" s="3810">
        <v>264.85199999999998</v>
      </c>
      <c r="E32" s="3810">
        <v>250.49299999999999</v>
      </c>
      <c r="F32" s="3810">
        <v>234.66499999999999</v>
      </c>
      <c r="G32" s="3810">
        <v>240.28100000000001</v>
      </c>
      <c r="H32" s="3810">
        <v>218.56700000000001</v>
      </c>
      <c r="I32" s="3811">
        <v>172.84</v>
      </c>
      <c r="J32" s="3812">
        <f t="shared" si="2"/>
        <v>-0.2092127356828799</v>
      </c>
      <c r="K32" s="3813">
        <f t="shared" si="0"/>
        <v>4.6831224428970114E-2</v>
      </c>
    </row>
    <row r="33" spans="2:11" s="3817" customFormat="1" ht="40.5">
      <c r="B33" s="3809" t="s">
        <v>1198</v>
      </c>
      <c r="C33" s="3810">
        <v>14.029</v>
      </c>
      <c r="D33" s="3810">
        <v>13.907</v>
      </c>
      <c r="E33" s="3810">
        <v>14.967000000000001</v>
      </c>
      <c r="F33" s="3810">
        <v>40.999000000000002</v>
      </c>
      <c r="G33" s="3810">
        <v>40.335000000000001</v>
      </c>
      <c r="H33" s="3810">
        <v>25.384</v>
      </c>
      <c r="I33" s="3811">
        <v>22.92</v>
      </c>
      <c r="J33" s="3812">
        <f t="shared" si="2"/>
        <v>-9.7069019855026695E-2</v>
      </c>
      <c r="K33" s="3813">
        <f t="shared" si="0"/>
        <v>6.2102040263364673E-3</v>
      </c>
    </row>
    <row r="34" spans="2:11" s="3817" customFormat="1" ht="60.75">
      <c r="B34" s="3809" t="s">
        <v>1199</v>
      </c>
      <c r="C34" s="3810">
        <v>0</v>
      </c>
      <c r="D34" s="3810">
        <v>0</v>
      </c>
      <c r="E34" s="3810">
        <v>0</v>
      </c>
      <c r="F34" s="3810">
        <v>119.889</v>
      </c>
      <c r="G34" s="3810">
        <v>116.14</v>
      </c>
      <c r="H34" s="3810">
        <f>SUM(H35:H36)</f>
        <v>92.192000000000007</v>
      </c>
      <c r="I34" s="3810">
        <f>SUM(I35:I36)</f>
        <v>99.52000000000001</v>
      </c>
      <c r="J34" s="3812">
        <f t="shared" si="2"/>
        <v>7.9486289482818551E-2</v>
      </c>
      <c r="K34" s="3813">
        <f t="shared" si="0"/>
        <v>2.6965074376134608E-2</v>
      </c>
    </row>
    <row r="35" spans="2:11">
      <c r="B35" s="3814" t="s">
        <v>1415</v>
      </c>
      <c r="C35" s="3815">
        <v>0</v>
      </c>
      <c r="D35" s="3815">
        <v>0</v>
      </c>
      <c r="E35" s="3815">
        <v>0</v>
      </c>
      <c r="F35" s="3815">
        <v>88.55</v>
      </c>
      <c r="G35" s="3815">
        <v>84.384</v>
      </c>
      <c r="H35" s="3815">
        <v>61.972000000000001</v>
      </c>
      <c r="I35" s="3816">
        <v>63.49</v>
      </c>
      <c r="J35" s="4529">
        <f t="shared" si="2"/>
        <v>2.4494933195636781E-2</v>
      </c>
      <c r="K35" s="4530">
        <f t="shared" si="0"/>
        <v>1.7202698675048093E-2</v>
      </c>
    </row>
    <row r="36" spans="2:11" ht="40.5">
      <c r="B36" s="3814" t="s">
        <v>1416</v>
      </c>
      <c r="C36" s="3815">
        <v>0</v>
      </c>
      <c r="D36" s="3815">
        <v>0</v>
      </c>
      <c r="E36" s="3815">
        <v>0</v>
      </c>
      <c r="F36" s="3815">
        <v>31.338999999999999</v>
      </c>
      <c r="G36" s="3815">
        <v>31.756</v>
      </c>
      <c r="H36" s="3815">
        <v>30.22</v>
      </c>
      <c r="I36" s="3816">
        <v>36.03</v>
      </c>
      <c r="J36" s="3812">
        <f t="shared" si="2"/>
        <v>0.19225678358702858</v>
      </c>
      <c r="K36" s="3813">
        <f t="shared" si="0"/>
        <v>9.7623757010865137E-3</v>
      </c>
    </row>
    <row r="37" spans="2:11" s="3817" customFormat="1" ht="40.5">
      <c r="B37" s="3809" t="s">
        <v>1200</v>
      </c>
      <c r="C37" s="3810">
        <v>361.62299999999999</v>
      </c>
      <c r="D37" s="3810">
        <v>366.21</v>
      </c>
      <c r="E37" s="3810">
        <v>399.05700000000002</v>
      </c>
      <c r="F37" s="3810">
        <v>402.52600000000001</v>
      </c>
      <c r="G37" s="3810">
        <v>415.85300000000001</v>
      </c>
      <c r="H37" s="3810">
        <f>SUM(H38:H39)</f>
        <v>468.85499999999996</v>
      </c>
      <c r="I37" s="3810">
        <f>SUM(I38:I39)</f>
        <v>492.44000000000005</v>
      </c>
      <c r="J37" s="3812">
        <f t="shared" si="2"/>
        <v>5.0303398705356939E-2</v>
      </c>
      <c r="K37" s="3813">
        <f t="shared" si="0"/>
        <v>0.13342726312081721</v>
      </c>
    </row>
    <row r="38" spans="2:11">
      <c r="B38" s="3814" t="s">
        <v>1417</v>
      </c>
      <c r="C38" s="3815">
        <v>0</v>
      </c>
      <c r="D38" s="3815">
        <v>0</v>
      </c>
      <c r="E38" s="3815">
        <v>0</v>
      </c>
      <c r="F38" s="3815">
        <v>281.25200000000001</v>
      </c>
      <c r="G38" s="3815">
        <v>293.36900000000003</v>
      </c>
      <c r="H38" s="3815">
        <v>363.71499999999997</v>
      </c>
      <c r="I38" s="3816">
        <v>394.97</v>
      </c>
      <c r="J38" s="4529">
        <f t="shared" si="2"/>
        <v>8.5932667060748313E-2</v>
      </c>
      <c r="K38" s="4530">
        <f t="shared" si="0"/>
        <v>0.10701763893028422</v>
      </c>
    </row>
    <row r="39" spans="2:11" ht="40.5">
      <c r="B39" s="3814" t="s">
        <v>1418</v>
      </c>
      <c r="C39" s="3815">
        <v>0</v>
      </c>
      <c r="D39" s="3815">
        <v>0</v>
      </c>
      <c r="E39" s="3815">
        <v>0</v>
      </c>
      <c r="F39" s="3815">
        <v>121.274</v>
      </c>
      <c r="G39" s="3815">
        <v>122.48399999999999</v>
      </c>
      <c r="H39" s="3815">
        <v>105.14</v>
      </c>
      <c r="I39" s="3816">
        <v>97.47</v>
      </c>
      <c r="J39" s="4529">
        <f t="shared" si="2"/>
        <v>-7.2950351911736711E-2</v>
      </c>
      <c r="K39" s="4530">
        <f t="shared" si="0"/>
        <v>2.6409624190532961E-2</v>
      </c>
    </row>
    <row r="40" spans="2:11" s="3817" customFormat="1">
      <c r="B40" s="3809" t="s">
        <v>1201</v>
      </c>
      <c r="C40" s="3810">
        <v>96.930999999999997</v>
      </c>
      <c r="D40" s="3810">
        <v>102.477</v>
      </c>
      <c r="E40" s="3810">
        <v>118.988</v>
      </c>
      <c r="F40" s="3810">
        <v>47.378999999999998</v>
      </c>
      <c r="G40" s="3810">
        <v>48.350999999999999</v>
      </c>
      <c r="H40" s="3810">
        <v>51.622999999999998</v>
      </c>
      <c r="I40" s="3811">
        <v>8.8800000000000008</v>
      </c>
      <c r="J40" s="3812">
        <f t="shared" si="2"/>
        <v>-0.82798365069833213</v>
      </c>
      <c r="K40" s="3813">
        <f t="shared" si="0"/>
        <v>2.4060476332403067E-3</v>
      </c>
    </row>
    <row r="41" spans="2:11" s="3817" customFormat="1">
      <c r="B41" s="3809" t="s">
        <v>1202</v>
      </c>
      <c r="C41" s="3810">
        <v>469.41300000000001</v>
      </c>
      <c r="D41" s="3810">
        <v>440.07</v>
      </c>
      <c r="E41" s="3810">
        <v>756.6</v>
      </c>
      <c r="F41" s="3810">
        <v>1015.777</v>
      </c>
      <c r="G41" s="3810">
        <v>992.18499999999995</v>
      </c>
      <c r="H41" s="3810">
        <f>SUM(H42:H46)</f>
        <v>424.32900000000001</v>
      </c>
      <c r="I41" s="3810">
        <f>SUM(I42:I46)</f>
        <v>514.29999999999995</v>
      </c>
      <c r="J41" s="3812">
        <f t="shared" si="2"/>
        <v>0.21203123048389316</v>
      </c>
      <c r="K41" s="3813">
        <f t="shared" si="0"/>
        <v>0.13935025875850107</v>
      </c>
    </row>
    <row r="42" spans="2:11">
      <c r="B42" s="3814" t="s">
        <v>1396</v>
      </c>
      <c r="C42" s="3815">
        <v>0</v>
      </c>
      <c r="D42" s="3815">
        <v>0</v>
      </c>
      <c r="E42" s="3815">
        <v>0</v>
      </c>
      <c r="F42" s="3815">
        <v>1.125</v>
      </c>
      <c r="G42" s="3815">
        <v>2.7</v>
      </c>
      <c r="H42" s="3815">
        <v>2.532</v>
      </c>
      <c r="I42" s="3816">
        <v>2.76</v>
      </c>
      <c r="J42" s="4529">
        <f t="shared" si="2"/>
        <v>9.004739336492884E-2</v>
      </c>
      <c r="K42" s="4530">
        <f t="shared" si="0"/>
        <v>7.4782561573685194E-4</v>
      </c>
    </row>
    <row r="43" spans="2:11">
      <c r="B43" s="3814" t="s">
        <v>1397</v>
      </c>
      <c r="C43" s="3815">
        <v>0</v>
      </c>
      <c r="D43" s="3815">
        <v>0</v>
      </c>
      <c r="E43" s="3815">
        <v>0</v>
      </c>
      <c r="F43" s="3815">
        <v>0.83</v>
      </c>
      <c r="G43" s="3815">
        <v>1.036</v>
      </c>
      <c r="H43" s="3815">
        <v>0.79700000000000004</v>
      </c>
      <c r="I43" s="3816">
        <v>1.1599999999999999</v>
      </c>
      <c r="J43" s="4529">
        <f t="shared" si="2"/>
        <v>0.45545796737766597</v>
      </c>
      <c r="K43" s="4530">
        <f t="shared" si="0"/>
        <v>3.1430351965751747E-4</v>
      </c>
    </row>
    <row r="44" spans="2:11">
      <c r="B44" s="3814" t="s">
        <v>1398</v>
      </c>
      <c r="C44" s="3815">
        <v>0</v>
      </c>
      <c r="D44" s="3815">
        <v>0</v>
      </c>
      <c r="E44" s="3815">
        <v>0</v>
      </c>
      <c r="F44" s="3815">
        <v>53.493000000000002</v>
      </c>
      <c r="G44" s="3815">
        <v>75.129000000000005</v>
      </c>
      <c r="H44" s="3815">
        <v>73.48</v>
      </c>
      <c r="I44" s="3816">
        <v>135.19</v>
      </c>
      <c r="J44" s="4529">
        <f t="shared" si="2"/>
        <v>0.83982035928143706</v>
      </c>
      <c r="K44" s="4530">
        <f t="shared" si="0"/>
        <v>3.6629907605603272E-2</v>
      </c>
    </row>
    <row r="45" spans="2:11" ht="40.5">
      <c r="B45" s="3814" t="s">
        <v>1399</v>
      </c>
      <c r="C45" s="3815">
        <v>0</v>
      </c>
      <c r="D45" s="3815">
        <v>0</v>
      </c>
      <c r="E45" s="3815">
        <v>0</v>
      </c>
      <c r="F45" s="3815">
        <v>56.89</v>
      </c>
      <c r="G45" s="3815">
        <v>52.363</v>
      </c>
      <c r="H45" s="3815">
        <v>47.79</v>
      </c>
      <c r="I45" s="3816">
        <v>43.44</v>
      </c>
      <c r="J45" s="4529">
        <f t="shared" si="2"/>
        <v>-9.1023226616447017E-2</v>
      </c>
      <c r="K45" s="4530">
        <f t="shared" si="0"/>
        <v>1.1770124908553932E-2</v>
      </c>
    </row>
    <row r="46" spans="2:11" ht="20.65" thickBot="1">
      <c r="B46" s="3814" t="s">
        <v>1878</v>
      </c>
      <c r="C46" s="3815">
        <v>0</v>
      </c>
      <c r="D46" s="3815">
        <v>0</v>
      </c>
      <c r="E46" s="3815">
        <v>0</v>
      </c>
      <c r="F46" s="3815">
        <v>903.43899999999996</v>
      </c>
      <c r="G46" s="3815">
        <v>860.95699999999999</v>
      </c>
      <c r="H46" s="3815">
        <v>299.73</v>
      </c>
      <c r="I46" s="3816">
        <v>331.75</v>
      </c>
      <c r="J46" s="4529">
        <f t="shared" si="2"/>
        <v>0.10682947986521185</v>
      </c>
      <c r="K46" s="4530">
        <f t="shared" si="0"/>
        <v>8.9888097108949516E-2</v>
      </c>
    </row>
    <row r="47" spans="2:11" s="3817" customFormat="1" ht="20.75" customHeight="1" thickBot="1">
      <c r="B47" s="3824" t="s">
        <v>1203</v>
      </c>
      <c r="C47" s="3825">
        <v>3466.7379999999998</v>
      </c>
      <c r="D47" s="3825">
        <v>3448.7179999999998</v>
      </c>
      <c r="E47" s="3826">
        <v>3406.4989999999998</v>
      </c>
      <c r="F47" s="3827">
        <v>3542.8110000000001</v>
      </c>
      <c r="G47" s="3825">
        <v>3556.5349999999999</v>
      </c>
      <c r="H47" s="3825">
        <v>3592.2</v>
      </c>
      <c r="I47" s="3825">
        <f>I41+I40+I37+I34+I33+I32+I25+I24+I23+I22+I21+I16+I13+I12+I11+I6</f>
        <v>3690.7000000000003</v>
      </c>
      <c r="J47" s="3828">
        <f>I47/H47-1</f>
        <v>2.7420522242636913E-2</v>
      </c>
      <c r="K47" s="3829">
        <f>I47/$I$47</f>
        <v>1</v>
      </c>
    </row>
    <row r="48" spans="2:11" ht="20.75" customHeight="1">
      <c r="B48" s="3830" t="s">
        <v>72</v>
      </c>
    </row>
    <row r="49" spans="2:2" ht="21">
      <c r="B49" s="3830" t="s">
        <v>2356</v>
      </c>
    </row>
  </sheetData>
  <mergeCells count="3">
    <mergeCell ref="B1:K1"/>
    <mergeCell ref="B2:K2"/>
    <mergeCell ref="B3:K3"/>
  </mergeCells>
  <printOptions horizontalCentered="1" verticalCentered="1"/>
  <pageMargins left="0.25" right="0.25" top="0.75" bottom="0.75" header="0.3" footer="0.3"/>
  <pageSetup scale="45" firstPageNumber="103" orientation="portrait" useFirstPageNumber="1" r:id="rId1"/>
  <headerFooter scaleWithDoc="0" alignWithMargins="0">
    <oddFooter xml:space="preserve">&amp;C153
</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00B0F0"/>
    <pageSetUpPr fitToPage="1"/>
  </sheetPr>
  <dimension ref="A1:I108"/>
  <sheetViews>
    <sheetView showGridLines="0" view="pageBreakPreview" zoomScale="50" zoomScaleNormal="70" zoomScaleSheetLayoutView="50" workbookViewId="0">
      <pane xSplit="1" topLeftCell="B1" activePane="topRight" state="frozen"/>
      <selection activeCell="B44" sqref="B44"/>
      <selection pane="topRight" activeCell="B44" sqref="B44"/>
    </sheetView>
  </sheetViews>
  <sheetFormatPr defaultColWidth="10.46484375" defaultRowHeight="22.9"/>
  <cols>
    <col min="1" max="1" width="131.6640625" style="1632" customWidth="1"/>
    <col min="2" max="6" width="29.46484375" style="1633" bestFit="1" customWidth="1"/>
    <col min="7" max="7" width="22.33203125" style="1632" customWidth="1"/>
    <col min="8" max="8" width="22.46484375" style="3080" customWidth="1"/>
    <col min="9" max="9" width="12.33203125" style="1632" bestFit="1" customWidth="1"/>
    <col min="10" max="16384" width="10.46484375" style="1632"/>
  </cols>
  <sheetData>
    <row r="1" spans="1:9">
      <c r="A1" s="5942" t="s">
        <v>1853</v>
      </c>
      <c r="B1" s="5942"/>
      <c r="C1" s="5942"/>
      <c r="D1" s="5942"/>
      <c r="E1" s="5942"/>
      <c r="F1" s="5942"/>
      <c r="G1" s="5942"/>
      <c r="H1" s="5942"/>
      <c r="I1" s="3831">
        <v>1000</v>
      </c>
    </row>
    <row r="2" spans="1:9">
      <c r="A2" s="5942" t="s">
        <v>1059</v>
      </c>
      <c r="B2" s="5942"/>
      <c r="C2" s="5942"/>
      <c r="D2" s="5942"/>
      <c r="E2" s="5942"/>
      <c r="F2" s="5942"/>
      <c r="G2" s="5942"/>
      <c r="H2" s="5942"/>
      <c r="I2" s="1632" t="s">
        <v>390</v>
      </c>
    </row>
    <row r="3" spans="1:9">
      <c r="A3" s="5942" t="s">
        <v>1048</v>
      </c>
      <c r="B3" s="5942"/>
      <c r="C3" s="5942"/>
      <c r="D3" s="5942"/>
      <c r="E3" s="5942"/>
      <c r="F3" s="5942"/>
      <c r="G3" s="5942"/>
      <c r="H3" s="5942"/>
    </row>
    <row r="4" spans="1:9" ht="9" customHeight="1" thickBot="1"/>
    <row r="5" spans="1:9" ht="25.5" thickBot="1">
      <c r="A5" s="1634"/>
      <c r="B5" s="1635">
        <v>2017</v>
      </c>
      <c r="C5" s="1635">
        <v>2018</v>
      </c>
      <c r="D5" s="1635">
        <v>2019</v>
      </c>
      <c r="E5" s="1635">
        <v>2020</v>
      </c>
      <c r="F5" s="1635">
        <v>2021</v>
      </c>
      <c r="G5" s="1635">
        <v>2022</v>
      </c>
      <c r="H5" s="3013" t="s">
        <v>1959</v>
      </c>
    </row>
    <row r="6" spans="1:9" s="1639" customFormat="1" ht="25.15">
      <c r="A6" s="1636" t="s">
        <v>1218</v>
      </c>
      <c r="B6" s="1638"/>
      <c r="C6" s="1637"/>
      <c r="D6" s="1637"/>
      <c r="E6" s="1637"/>
      <c r="F6" s="1637"/>
      <c r="G6" s="3001"/>
      <c r="H6" s="3081"/>
    </row>
    <row r="7" spans="1:9" s="1639" customFormat="1" ht="30" customHeight="1">
      <c r="A7" s="1640" t="s">
        <v>1021</v>
      </c>
      <c r="B7" s="1654">
        <v>830.40003000000002</v>
      </c>
      <c r="C7" s="1654">
        <v>742.48305000000005</v>
      </c>
      <c r="D7" s="1654">
        <v>683.17761129999997</v>
      </c>
      <c r="E7" s="1654">
        <v>605.72202500000003</v>
      </c>
      <c r="F7" s="1654">
        <v>946.96529699999996</v>
      </c>
      <c r="G7" s="3002">
        <v>837.02</v>
      </c>
      <c r="H7" s="3097">
        <v>1004.03</v>
      </c>
      <c r="I7" s="3098"/>
    </row>
    <row r="8" spans="1:9" s="1639" customFormat="1" ht="30" customHeight="1">
      <c r="A8" s="1640" t="s">
        <v>1019</v>
      </c>
      <c r="B8" s="1642" t="s">
        <v>1019</v>
      </c>
      <c r="C8" s="1642" t="s">
        <v>1019</v>
      </c>
      <c r="D8" s="1642" t="s">
        <v>1019</v>
      </c>
      <c r="E8" s="1642" t="s">
        <v>1019</v>
      </c>
      <c r="F8" s="1642" t="s">
        <v>1019</v>
      </c>
      <c r="G8" s="3003" t="s">
        <v>390</v>
      </c>
      <c r="H8" s="3081"/>
    </row>
    <row r="9" spans="1:9" s="1639" customFormat="1" ht="25.15">
      <c r="A9" s="1640" t="s">
        <v>1219</v>
      </c>
      <c r="B9" s="1654">
        <v>22.483720000000002</v>
      </c>
      <c r="C9" s="1655">
        <v>5.1540000000000002E-2</v>
      </c>
      <c r="D9" s="1655">
        <v>0.13985371000000002</v>
      </c>
      <c r="E9" s="1654">
        <v>126.5614721</v>
      </c>
      <c r="F9" s="1654">
        <v>127.99762489999999</v>
      </c>
      <c r="G9" s="3002">
        <v>123.99</v>
      </c>
      <c r="H9" s="3082">
        <v>52.83</v>
      </c>
    </row>
    <row r="10" spans="1:9" s="1639" customFormat="1" ht="30" customHeight="1">
      <c r="A10" s="1640" t="s">
        <v>1019</v>
      </c>
      <c r="B10" s="1642" t="s">
        <v>1019</v>
      </c>
      <c r="C10" s="1642" t="s">
        <v>1019</v>
      </c>
      <c r="D10" s="1642" t="s">
        <v>1019</v>
      </c>
      <c r="E10" s="1642" t="s">
        <v>1019</v>
      </c>
      <c r="F10" s="1642" t="s">
        <v>1019</v>
      </c>
      <c r="G10" s="3003" t="s">
        <v>390</v>
      </c>
      <c r="H10" s="3081"/>
    </row>
    <row r="11" spans="1:9" s="1639" customFormat="1" ht="30" customHeight="1">
      <c r="A11" s="1640" t="s">
        <v>1220</v>
      </c>
      <c r="B11" s="1654">
        <v>22.441419999999997</v>
      </c>
      <c r="C11" s="1644">
        <v>0</v>
      </c>
      <c r="D11" s="1655">
        <v>7.5740160000000001E-2</v>
      </c>
      <c r="E11" s="1654">
        <v>126.4767559</v>
      </c>
      <c r="F11" s="1654">
        <v>127.91271809999999</v>
      </c>
      <c r="G11" s="3002">
        <v>123.91</v>
      </c>
      <c r="H11" s="3081">
        <v>52.73</v>
      </c>
    </row>
    <row r="12" spans="1:9" s="1639" customFormat="1" ht="25.15">
      <c r="A12" s="1653" t="s">
        <v>1904</v>
      </c>
      <c r="B12" s="1654">
        <v>22.441419999999997</v>
      </c>
      <c r="C12" s="1644">
        <v>0</v>
      </c>
      <c r="D12" s="1655">
        <v>7.5740160000000001E-2</v>
      </c>
      <c r="E12" s="1654">
        <v>72.293755849999997</v>
      </c>
      <c r="F12" s="1654">
        <v>73.592468049999994</v>
      </c>
      <c r="G12" s="3002">
        <v>71.099190879999995</v>
      </c>
      <c r="H12" s="3081">
        <v>0</v>
      </c>
    </row>
    <row r="13" spans="1:9" s="1647" customFormat="1" ht="30" customHeight="1">
      <c r="A13" s="1645" t="s">
        <v>1245</v>
      </c>
      <c r="B13" s="1641">
        <v>22.441419999999997</v>
      </c>
      <c r="C13" s="1646">
        <v>0</v>
      </c>
      <c r="D13" s="1643">
        <v>7.5740160000000001E-2</v>
      </c>
      <c r="E13" s="1641">
        <v>72.293755849999997</v>
      </c>
      <c r="F13" s="1641">
        <v>73.592468049999994</v>
      </c>
      <c r="G13" s="3004">
        <v>71.099190879999995</v>
      </c>
      <c r="H13" s="3085">
        <v>0</v>
      </c>
    </row>
    <row r="14" spans="1:9" ht="30" customHeight="1">
      <c r="A14" s="1648" t="s">
        <v>1246</v>
      </c>
      <c r="B14" s="1646">
        <v>0</v>
      </c>
      <c r="C14" s="1646">
        <v>0</v>
      </c>
      <c r="D14" s="1646">
        <v>0</v>
      </c>
      <c r="E14" s="1646">
        <v>0</v>
      </c>
      <c r="F14" s="1646">
        <v>0</v>
      </c>
      <c r="G14" s="3005">
        <v>0</v>
      </c>
      <c r="H14" s="3085">
        <v>0</v>
      </c>
    </row>
    <row r="15" spans="1:9" s="1647" customFormat="1" ht="30" customHeight="1">
      <c r="A15" s="1649" t="s">
        <v>1247</v>
      </c>
      <c r="B15" s="1641">
        <v>22.441419999999997</v>
      </c>
      <c r="C15" s="1646">
        <v>0</v>
      </c>
      <c r="D15" s="1643">
        <v>7.5740160000000001E-2</v>
      </c>
      <c r="E15" s="1641">
        <v>72.293755849999997</v>
      </c>
      <c r="F15" s="1641">
        <v>73.592468049999994</v>
      </c>
      <c r="G15" s="3004">
        <v>71.099190879999995</v>
      </c>
      <c r="H15" s="3085">
        <v>0</v>
      </c>
    </row>
    <row r="16" spans="1:9" s="1652" customFormat="1" ht="30" customHeight="1">
      <c r="A16" s="1650" t="s">
        <v>1248</v>
      </c>
      <c r="B16" s="1651" t="s">
        <v>1019</v>
      </c>
      <c r="C16" s="1646" t="s">
        <v>1019</v>
      </c>
      <c r="D16" s="1646">
        <v>0</v>
      </c>
      <c r="E16" s="1646">
        <v>0</v>
      </c>
      <c r="F16" s="1646">
        <v>0</v>
      </c>
      <c r="G16" s="3005">
        <v>0</v>
      </c>
      <c r="H16" s="3085">
        <v>0</v>
      </c>
    </row>
    <row r="17" spans="1:9" ht="30" customHeight="1">
      <c r="A17" s="1650" t="s">
        <v>1249</v>
      </c>
      <c r="B17" s="1646">
        <v>0</v>
      </c>
      <c r="C17" s="1646">
        <v>0</v>
      </c>
      <c r="D17" s="1646">
        <v>0</v>
      </c>
      <c r="E17" s="1646">
        <v>0</v>
      </c>
      <c r="F17" s="1646">
        <v>0</v>
      </c>
      <c r="G17" s="3005">
        <v>0</v>
      </c>
      <c r="H17" s="3085">
        <v>0</v>
      </c>
    </row>
    <row r="18" spans="1:9" s="1652" customFormat="1" ht="30" customHeight="1">
      <c r="A18" s="2664" t="s">
        <v>1903</v>
      </c>
      <c r="B18" s="1644">
        <v>0</v>
      </c>
      <c r="C18" s="1644">
        <v>0</v>
      </c>
      <c r="D18" s="1644">
        <v>0</v>
      </c>
      <c r="E18" s="1654">
        <v>54</v>
      </c>
      <c r="F18" s="1654">
        <v>54</v>
      </c>
      <c r="G18" s="3002">
        <v>52.49</v>
      </c>
      <c r="H18" s="3086">
        <v>52.41</v>
      </c>
    </row>
    <row r="19" spans="1:9" s="1647" customFormat="1" ht="30" customHeight="1">
      <c r="A19" s="1649" t="s">
        <v>1250</v>
      </c>
      <c r="B19" s="1646">
        <v>0</v>
      </c>
      <c r="C19" s="1646">
        <v>0</v>
      </c>
      <c r="D19" s="1646">
        <v>0</v>
      </c>
      <c r="E19" s="1646">
        <v>0</v>
      </c>
      <c r="F19" s="1646">
        <v>0</v>
      </c>
      <c r="G19" s="3005">
        <v>0</v>
      </c>
      <c r="H19" s="3099">
        <v>0</v>
      </c>
    </row>
    <row r="20" spans="1:9" ht="30" customHeight="1">
      <c r="A20" s="1648" t="s">
        <v>1251</v>
      </c>
      <c r="B20" s="1646">
        <v>0</v>
      </c>
      <c r="C20" s="1646">
        <v>0</v>
      </c>
      <c r="D20" s="1646">
        <v>0</v>
      </c>
      <c r="E20" s="1641">
        <v>54</v>
      </c>
      <c r="F20" s="1641">
        <v>54</v>
      </c>
      <c r="G20" s="3087">
        <v>52.49</v>
      </c>
      <c r="H20" s="3100">
        <v>52.41</v>
      </c>
      <c r="I20" s="3101"/>
    </row>
    <row r="21" spans="1:9" s="1639" customFormat="1" ht="30" customHeight="1">
      <c r="A21" s="1653" t="s">
        <v>1221</v>
      </c>
      <c r="B21" s="1644">
        <v>0</v>
      </c>
      <c r="C21" s="1644">
        <v>0</v>
      </c>
      <c r="D21" s="1644">
        <v>0</v>
      </c>
      <c r="E21" s="1644">
        <v>0</v>
      </c>
      <c r="F21" s="1644">
        <v>0</v>
      </c>
      <c r="G21" s="3006">
        <v>0</v>
      </c>
      <c r="H21" s="3088">
        <v>0</v>
      </c>
    </row>
    <row r="22" spans="1:9" s="1639" customFormat="1" ht="30" customHeight="1">
      <c r="A22" s="1653" t="s">
        <v>1222</v>
      </c>
      <c r="B22" s="1644">
        <v>0</v>
      </c>
      <c r="C22" s="1644">
        <v>0</v>
      </c>
      <c r="D22" s="1644">
        <v>0</v>
      </c>
      <c r="E22" s="1644">
        <v>0</v>
      </c>
      <c r="F22" s="1644">
        <v>0</v>
      </c>
      <c r="G22" s="3006">
        <v>0</v>
      </c>
      <c r="H22" s="3088">
        <v>0</v>
      </c>
    </row>
    <row r="23" spans="1:9" s="1652" customFormat="1" ht="30" customHeight="1">
      <c r="A23" s="1653" t="s">
        <v>1905</v>
      </c>
      <c r="B23" s="1644">
        <v>0</v>
      </c>
      <c r="C23" s="1644">
        <v>0</v>
      </c>
      <c r="D23" s="1644">
        <v>0</v>
      </c>
      <c r="E23" s="1644">
        <v>0</v>
      </c>
      <c r="F23" s="1644">
        <v>0</v>
      </c>
      <c r="G23" s="3006">
        <v>0</v>
      </c>
      <c r="H23" s="3089">
        <v>0</v>
      </c>
    </row>
    <row r="24" spans="1:9" s="1652" customFormat="1" ht="30" customHeight="1">
      <c r="A24" s="1653" t="s">
        <v>1906</v>
      </c>
      <c r="B24" s="1644">
        <v>0</v>
      </c>
      <c r="C24" s="1644">
        <v>0</v>
      </c>
      <c r="D24" s="1644">
        <v>0</v>
      </c>
      <c r="E24" s="1654">
        <v>0.183</v>
      </c>
      <c r="F24" s="1654">
        <v>0.32024999999999998</v>
      </c>
      <c r="G24" s="3090">
        <v>0.32024999999999998</v>
      </c>
      <c r="H24" s="3089">
        <v>0.32</v>
      </c>
      <c r="I24" s="1652" t="s">
        <v>390</v>
      </c>
    </row>
    <row r="25" spans="1:9" ht="30" customHeight="1">
      <c r="A25" s="1648" t="s">
        <v>1252</v>
      </c>
      <c r="B25" s="1646">
        <v>0</v>
      </c>
      <c r="C25" s="1646">
        <v>0</v>
      </c>
      <c r="D25" s="1646">
        <v>0</v>
      </c>
      <c r="E25" s="1646">
        <v>0</v>
      </c>
      <c r="F25" s="1646">
        <v>0</v>
      </c>
      <c r="G25" s="3005">
        <v>0</v>
      </c>
      <c r="H25" s="3085">
        <v>0</v>
      </c>
    </row>
    <row r="26" spans="1:9" ht="30" customHeight="1">
      <c r="A26" s="1572" t="s">
        <v>1253</v>
      </c>
      <c r="B26" s="1646">
        <v>0</v>
      </c>
      <c r="C26" s="1646">
        <v>0</v>
      </c>
      <c r="D26" s="1646">
        <v>0</v>
      </c>
      <c r="E26" s="1641">
        <v>0.183</v>
      </c>
      <c r="F26" s="1641">
        <v>0.32024999999999998</v>
      </c>
      <c r="G26" s="3087">
        <v>0.32024999999999998</v>
      </c>
      <c r="H26" s="3085">
        <v>0.32</v>
      </c>
    </row>
    <row r="27" spans="1:9" s="1639" customFormat="1" ht="55.25" customHeight="1">
      <c r="A27" s="1864" t="s">
        <v>1223</v>
      </c>
      <c r="B27" s="1642" t="s">
        <v>1019</v>
      </c>
      <c r="C27" s="1644" t="s">
        <v>1019</v>
      </c>
      <c r="D27" s="1644" t="s">
        <v>1019</v>
      </c>
      <c r="E27" s="1642" t="s">
        <v>1019</v>
      </c>
      <c r="F27" s="1642" t="s">
        <v>1019</v>
      </c>
      <c r="G27" s="3003" t="s">
        <v>1019</v>
      </c>
      <c r="H27" s="3081"/>
    </row>
    <row r="28" spans="1:9" s="1647" customFormat="1" ht="30" customHeight="1">
      <c r="A28" s="1649" t="s">
        <v>1224</v>
      </c>
      <c r="B28" s="1646">
        <v>0</v>
      </c>
      <c r="C28" s="1646">
        <v>0</v>
      </c>
      <c r="D28" s="1646">
        <v>0</v>
      </c>
      <c r="E28" s="1646">
        <v>0</v>
      </c>
      <c r="F28" s="1646">
        <v>0</v>
      </c>
      <c r="G28" s="3005">
        <v>0</v>
      </c>
      <c r="H28" s="3085">
        <v>0</v>
      </c>
    </row>
    <row r="29" spans="1:9" s="1647" customFormat="1" ht="30" customHeight="1">
      <c r="A29" s="1648" t="s">
        <v>1907</v>
      </c>
      <c r="B29" s="1655">
        <v>4.2290000000000001E-2</v>
      </c>
      <c r="C29" s="1655">
        <v>5.1540000000000002E-2</v>
      </c>
      <c r="D29" s="1655">
        <v>6.4113550000000005E-2</v>
      </c>
      <c r="E29" s="1655">
        <v>8.471622999999999E-2</v>
      </c>
      <c r="F29" s="1655">
        <v>8.4906809999999999E-2</v>
      </c>
      <c r="G29" s="3007">
        <v>8.1711160000000005E-2</v>
      </c>
      <c r="H29" s="5189">
        <v>0.1</v>
      </c>
    </row>
    <row r="30" spans="1:9" ht="30" customHeight="1">
      <c r="A30" s="1648" t="s">
        <v>1254</v>
      </c>
      <c r="B30" s="1656">
        <v>7.3999999999999999E-4</v>
      </c>
      <c r="C30" s="1656">
        <v>5.2000000000000006E-4</v>
      </c>
      <c r="D30" s="1656">
        <v>2.8436999999999999E-4</v>
      </c>
      <c r="E30" s="1656">
        <v>9.5909999999999995E-4</v>
      </c>
      <c r="F30" s="1656">
        <v>7.0999999999999991E-4</v>
      </c>
      <c r="G30" s="3008">
        <v>1.7899999999999999E-4</v>
      </c>
      <c r="H30" s="5190">
        <v>0</v>
      </c>
    </row>
    <row r="31" spans="1:9" ht="30" customHeight="1">
      <c r="A31" s="1648" t="s">
        <v>1255</v>
      </c>
      <c r="B31" s="1646">
        <v>0</v>
      </c>
      <c r="C31" s="1646">
        <v>0</v>
      </c>
      <c r="D31" s="1646">
        <v>0</v>
      </c>
      <c r="E31" s="1646">
        <v>0</v>
      </c>
      <c r="F31" s="1646">
        <v>0</v>
      </c>
      <c r="G31" s="3005">
        <v>0</v>
      </c>
      <c r="H31" s="3085">
        <v>0</v>
      </c>
    </row>
    <row r="32" spans="1:9" s="1647" customFormat="1" ht="30" customHeight="1">
      <c r="A32" s="1649" t="s">
        <v>1256</v>
      </c>
      <c r="B32" s="1643">
        <v>4.1549999999999997E-2</v>
      </c>
      <c r="C32" s="1643">
        <v>5.1020000000000003E-2</v>
      </c>
      <c r="D32" s="1643">
        <v>6.3829179999999999E-2</v>
      </c>
      <c r="E32" s="1643">
        <v>8.3757129999999999E-2</v>
      </c>
      <c r="F32" s="1643">
        <v>8.4196809999999997E-2</v>
      </c>
      <c r="G32" s="3009">
        <v>8.1532160000000006E-2</v>
      </c>
      <c r="H32" s="3085">
        <v>0.1</v>
      </c>
    </row>
    <row r="33" spans="1:8" s="1647" customFormat="1" ht="30" customHeight="1">
      <c r="A33" s="1649" t="s">
        <v>1257</v>
      </c>
      <c r="B33" s="1646">
        <v>0</v>
      </c>
      <c r="C33" s="1646">
        <v>0</v>
      </c>
      <c r="D33" s="1646">
        <v>0</v>
      </c>
      <c r="E33" s="1646">
        <v>0</v>
      </c>
      <c r="F33" s="1646">
        <v>0</v>
      </c>
      <c r="G33" s="3005">
        <v>0</v>
      </c>
      <c r="H33" s="3085">
        <v>0</v>
      </c>
    </row>
    <row r="34" spans="1:8" s="1647" customFormat="1" ht="30" customHeight="1">
      <c r="A34" s="1649" t="s">
        <v>1258</v>
      </c>
      <c r="B34" s="1646">
        <v>0</v>
      </c>
      <c r="C34" s="1646">
        <v>0</v>
      </c>
      <c r="D34" s="1646">
        <v>0</v>
      </c>
      <c r="E34" s="1646">
        <v>0</v>
      </c>
      <c r="F34" s="1646">
        <v>0</v>
      </c>
      <c r="G34" s="3005">
        <v>0</v>
      </c>
      <c r="H34" s="3085">
        <v>0</v>
      </c>
    </row>
    <row r="35" spans="1:8" s="1647" customFormat="1" ht="30" customHeight="1">
      <c r="A35" s="1649" t="s">
        <v>1225</v>
      </c>
      <c r="B35" s="1646">
        <v>0</v>
      </c>
      <c r="C35" s="1646">
        <v>0</v>
      </c>
      <c r="D35" s="1646">
        <v>0</v>
      </c>
      <c r="E35" s="1646">
        <v>0</v>
      </c>
      <c r="F35" s="1646">
        <v>0</v>
      </c>
      <c r="G35" s="3005">
        <v>0</v>
      </c>
      <c r="H35" s="3085">
        <v>0</v>
      </c>
    </row>
    <row r="36" spans="1:8" s="1639" customFormat="1" ht="30" customHeight="1">
      <c r="A36" s="1640" t="s">
        <v>1226</v>
      </c>
      <c r="B36" s="1644" t="s">
        <v>1019</v>
      </c>
      <c r="C36" s="1644" t="s">
        <v>1019</v>
      </c>
      <c r="D36" s="1644" t="s">
        <v>1019</v>
      </c>
      <c r="E36" s="1644" t="s">
        <v>1019</v>
      </c>
      <c r="F36" s="1644" t="s">
        <v>1019</v>
      </c>
      <c r="G36" s="3006" t="s">
        <v>1019</v>
      </c>
      <c r="H36" s="3089"/>
    </row>
    <row r="37" spans="1:8" ht="30" customHeight="1">
      <c r="A37" s="1648" t="s">
        <v>1259</v>
      </c>
      <c r="B37" s="1646">
        <v>0</v>
      </c>
      <c r="C37" s="1646">
        <v>0</v>
      </c>
      <c r="D37" s="1646">
        <v>0</v>
      </c>
      <c r="E37" s="1646">
        <v>0</v>
      </c>
      <c r="F37" s="1646">
        <v>0</v>
      </c>
      <c r="G37" s="3005">
        <v>0</v>
      </c>
      <c r="H37" s="3085">
        <v>0</v>
      </c>
    </row>
    <row r="38" spans="1:8" s="1639" customFormat="1" ht="30" customHeight="1">
      <c r="A38" s="1640" t="s">
        <v>1227</v>
      </c>
      <c r="B38" s="1644">
        <v>0</v>
      </c>
      <c r="C38" s="1644">
        <v>0</v>
      </c>
      <c r="D38" s="1644">
        <v>0</v>
      </c>
      <c r="E38" s="1644">
        <v>0</v>
      </c>
      <c r="F38" s="1644">
        <v>0</v>
      </c>
      <c r="G38" s="3006">
        <v>0</v>
      </c>
      <c r="H38" s="3089">
        <v>0</v>
      </c>
    </row>
    <row r="39" spans="1:8" s="1652" customFormat="1" ht="30" customHeight="1">
      <c r="A39" s="1640" t="s">
        <v>1228</v>
      </c>
      <c r="B39" s="1644">
        <v>0</v>
      </c>
      <c r="C39" s="1644">
        <v>0</v>
      </c>
      <c r="D39" s="1644">
        <v>0</v>
      </c>
      <c r="E39" s="1644">
        <v>0</v>
      </c>
      <c r="F39" s="1644">
        <v>0</v>
      </c>
      <c r="G39" s="3006">
        <v>0</v>
      </c>
      <c r="H39" s="3089">
        <v>0</v>
      </c>
    </row>
    <row r="40" spans="1:8" s="1639" customFormat="1" ht="30" customHeight="1">
      <c r="A40" s="1640" t="s">
        <v>1229</v>
      </c>
      <c r="B40" s="1644">
        <v>0</v>
      </c>
      <c r="C40" s="1644">
        <v>0</v>
      </c>
      <c r="D40" s="1644">
        <v>0</v>
      </c>
      <c r="E40" s="1644">
        <v>0</v>
      </c>
      <c r="F40" s="1644">
        <v>0</v>
      </c>
      <c r="G40" s="3006">
        <v>0</v>
      </c>
      <c r="H40" s="3089">
        <v>0</v>
      </c>
    </row>
    <row r="41" spans="1:8" s="1639" customFormat="1" ht="30" customHeight="1">
      <c r="A41" s="1640" t="s">
        <v>1230</v>
      </c>
      <c r="B41" s="1644">
        <v>0</v>
      </c>
      <c r="C41" s="1644">
        <v>0</v>
      </c>
      <c r="D41" s="1644">
        <v>0</v>
      </c>
      <c r="E41" s="1644">
        <v>0</v>
      </c>
      <c r="F41" s="1644">
        <v>0</v>
      </c>
      <c r="G41" s="3006">
        <v>0</v>
      </c>
      <c r="H41" s="3089">
        <v>0</v>
      </c>
    </row>
    <row r="42" spans="1:8" s="1639" customFormat="1" ht="25.15">
      <c r="A42" s="1640" t="s">
        <v>1231</v>
      </c>
      <c r="B42" s="1644">
        <v>0</v>
      </c>
      <c r="C42" s="1644">
        <v>0</v>
      </c>
      <c r="D42" s="1644">
        <v>0</v>
      </c>
      <c r="E42" s="1644">
        <v>0</v>
      </c>
      <c r="F42" s="1644">
        <v>0</v>
      </c>
      <c r="G42" s="3006">
        <v>0</v>
      </c>
      <c r="H42" s="3089">
        <v>0</v>
      </c>
    </row>
    <row r="43" spans="1:8" s="1647" customFormat="1" ht="30" customHeight="1">
      <c r="A43" s="1645" t="s">
        <v>1019</v>
      </c>
      <c r="B43" s="1646" t="s">
        <v>1019</v>
      </c>
      <c r="C43" s="1651" t="s">
        <v>1019</v>
      </c>
      <c r="D43" s="1651" t="s">
        <v>1019</v>
      </c>
      <c r="E43" s="1651" t="s">
        <v>1019</v>
      </c>
      <c r="F43" s="1651" t="s">
        <v>1019</v>
      </c>
      <c r="G43" s="3010" t="s">
        <v>390</v>
      </c>
      <c r="H43" s="3085"/>
    </row>
    <row r="44" spans="1:8" s="1639" customFormat="1" ht="30" customHeight="1">
      <c r="A44" s="1640" t="s">
        <v>1232</v>
      </c>
      <c r="B44" s="1642" t="s">
        <v>1019</v>
      </c>
      <c r="C44" s="1642" t="s">
        <v>1019</v>
      </c>
      <c r="D44" s="1642" t="s">
        <v>1019</v>
      </c>
      <c r="E44" s="1642" t="s">
        <v>1019</v>
      </c>
      <c r="F44" s="1642" t="s">
        <v>1019</v>
      </c>
      <c r="G44" s="3003" t="s">
        <v>390</v>
      </c>
      <c r="H44" s="3089"/>
    </row>
    <row r="45" spans="1:8" s="1866" customFormat="1" ht="54" customHeight="1">
      <c r="A45" s="1867" t="s">
        <v>1022</v>
      </c>
      <c r="B45" s="1865">
        <v>852.88374999999996</v>
      </c>
      <c r="C45" s="1865">
        <v>742.53459999999995</v>
      </c>
      <c r="D45" s="1865">
        <v>683.31746499999997</v>
      </c>
      <c r="E45" s="1865">
        <v>732.28349710000009</v>
      </c>
      <c r="F45" s="1865">
        <v>1074.9629219999999</v>
      </c>
      <c r="G45" s="3011">
        <v>961.00590499999998</v>
      </c>
      <c r="H45" s="3091">
        <v>1056.8499999999999</v>
      </c>
    </row>
    <row r="46" spans="1:8" ht="30" customHeight="1" thickBot="1">
      <c r="A46" s="1657"/>
      <c r="B46" s="1658"/>
      <c r="C46" s="1658"/>
      <c r="D46" s="1658"/>
      <c r="E46" s="1658"/>
      <c r="F46" s="1658"/>
      <c r="G46" s="3012" t="s">
        <v>390</v>
      </c>
      <c r="H46" s="3092"/>
    </row>
    <row r="47" spans="1:8" s="1647" customFormat="1" ht="23.25">
      <c r="H47" s="4437"/>
    </row>
    <row r="49" spans="8:8" s="1647" customFormat="1" ht="23.25">
      <c r="H49" s="3083"/>
    </row>
    <row r="50" spans="8:8" s="1652" customFormat="1" ht="22.5">
      <c r="H50" s="3084"/>
    </row>
    <row r="51" spans="8:8" s="1652" customFormat="1" ht="22.5">
      <c r="H51" s="3084"/>
    </row>
    <row r="52" spans="8:8" s="1652" customFormat="1" ht="22.5">
      <c r="H52" s="3084"/>
    </row>
    <row r="53" spans="8:8" s="1652" customFormat="1" ht="22.5">
      <c r="H53" s="3084"/>
    </row>
    <row r="54" spans="8:8" s="1647" customFormat="1" ht="23.25">
      <c r="H54" s="3083"/>
    </row>
    <row r="55" spans="8:8" s="1647" customFormat="1" ht="23.25">
      <c r="H55" s="3083"/>
    </row>
    <row r="56" spans="8:8" s="1647" customFormat="1" ht="23.25">
      <c r="H56" s="3083"/>
    </row>
    <row r="57" spans="8:8" s="1647" customFormat="1" ht="23.25">
      <c r="H57" s="3083"/>
    </row>
    <row r="58" spans="8:8" s="1647" customFormat="1" ht="23.25">
      <c r="H58" s="3083"/>
    </row>
    <row r="59" spans="8:8" s="1647" customFormat="1" ht="23.25">
      <c r="H59" s="3083"/>
    </row>
    <row r="60" spans="8:8" s="1647" customFormat="1" ht="23.25">
      <c r="H60" s="3083"/>
    </row>
    <row r="61" spans="8:8" s="1647" customFormat="1" ht="23.25">
      <c r="H61" s="3083"/>
    </row>
    <row r="62" spans="8:8" s="1647" customFormat="1" ht="23.25">
      <c r="H62" s="3083"/>
    </row>
    <row r="63" spans="8:8" s="1647" customFormat="1" ht="23.25">
      <c r="H63" s="3083"/>
    </row>
    <row r="64" spans="8:8" s="1647" customFormat="1" ht="23.25">
      <c r="H64" s="3083"/>
    </row>
    <row r="65" spans="8:8" s="1647" customFormat="1" ht="23.25">
      <c r="H65" s="3083"/>
    </row>
    <row r="67" spans="8:8" s="1647" customFormat="1" ht="23.25">
      <c r="H67" s="3083"/>
    </row>
    <row r="68" spans="8:8" s="1647" customFormat="1" ht="23.25">
      <c r="H68" s="3083"/>
    </row>
    <row r="69" spans="8:8" s="1647" customFormat="1" ht="23.25">
      <c r="H69" s="3083"/>
    </row>
    <row r="70" spans="8:8" s="1647" customFormat="1" ht="23.25">
      <c r="H70" s="3083"/>
    </row>
    <row r="71" spans="8:8" s="1647" customFormat="1" ht="23.25">
      <c r="H71" s="3083"/>
    </row>
    <row r="73" spans="8:8" s="1647" customFormat="1" ht="23.25">
      <c r="H73" s="3083"/>
    </row>
    <row r="74" spans="8:8" s="1647" customFormat="1" ht="23.25">
      <c r="H74" s="3083"/>
    </row>
    <row r="76" spans="8:8" s="1647" customFormat="1" ht="23.25">
      <c r="H76" s="3083"/>
    </row>
    <row r="77" spans="8:8" s="1647" customFormat="1" ht="23.25">
      <c r="H77" s="3083"/>
    </row>
    <row r="79" spans="8:8" s="1647" customFormat="1" ht="23.25">
      <c r="H79" s="3083"/>
    </row>
    <row r="80" spans="8:8" s="1647" customFormat="1" ht="23.25">
      <c r="H80" s="3083"/>
    </row>
    <row r="82" spans="2:8" s="1647" customFormat="1" ht="23.25">
      <c r="H82" s="3083"/>
    </row>
    <row r="83" spans="2:8" s="1647" customFormat="1" ht="23.25">
      <c r="H83" s="3083"/>
    </row>
    <row r="85" spans="2:8" s="1647" customFormat="1" ht="23.25">
      <c r="H85" s="3083"/>
    </row>
    <row r="86" spans="2:8" s="1647" customFormat="1" ht="23.25">
      <c r="H86" s="3083"/>
    </row>
    <row r="88" spans="2:8" s="1647" customFormat="1" ht="23.25">
      <c r="H88" s="3083"/>
    </row>
    <row r="89" spans="2:8" s="1647" customFormat="1" ht="23.25">
      <c r="H89" s="3083"/>
    </row>
    <row r="90" spans="2:8" s="1647" customFormat="1" ht="23.25">
      <c r="H90" s="3083"/>
    </row>
    <row r="91" spans="2:8" s="1647" customFormat="1" ht="23.25">
      <c r="H91" s="3083"/>
    </row>
    <row r="93" spans="2:8" s="1647" customFormat="1" ht="23.25">
      <c r="H93" s="3083"/>
    </row>
    <row r="96" spans="2:8">
      <c r="B96" s="1659"/>
      <c r="C96" s="1659"/>
      <c r="D96" s="1659"/>
      <c r="E96" s="1659"/>
      <c r="F96" s="1659"/>
    </row>
    <row r="97" spans="1:6">
      <c r="A97" s="1660" t="s">
        <v>390</v>
      </c>
      <c r="B97" s="1659"/>
      <c r="C97" s="1659"/>
      <c r="D97" s="1659"/>
      <c r="E97" s="1659"/>
      <c r="F97" s="1659"/>
    </row>
    <row r="98" spans="1:6">
      <c r="B98" s="1659"/>
      <c r="C98" s="1659"/>
      <c r="D98" s="1659"/>
      <c r="E98" s="1659"/>
      <c r="F98" s="1659"/>
    </row>
    <row r="99" spans="1:6">
      <c r="B99" s="1659"/>
      <c r="C99" s="1659"/>
      <c r="D99" s="1659"/>
      <c r="E99" s="1659"/>
      <c r="F99" s="1659"/>
    </row>
    <row r="100" spans="1:6">
      <c r="B100" s="1659"/>
      <c r="C100" s="1659"/>
      <c r="D100" s="1659"/>
      <c r="E100" s="1659"/>
      <c r="F100" s="1659"/>
    </row>
    <row r="101" spans="1:6">
      <c r="B101" s="1659"/>
      <c r="C101" s="1659"/>
      <c r="D101" s="1659"/>
      <c r="E101" s="1659"/>
      <c r="F101" s="1659"/>
    </row>
    <row r="102" spans="1:6">
      <c r="B102" s="1659"/>
      <c r="C102" s="1659"/>
      <c r="D102" s="1659"/>
      <c r="E102" s="1659"/>
      <c r="F102" s="1659"/>
    </row>
    <row r="103" spans="1:6">
      <c r="B103" s="1659"/>
      <c r="C103" s="1659"/>
      <c r="D103" s="1659"/>
      <c r="E103" s="1659"/>
      <c r="F103" s="1659"/>
    </row>
    <row r="104" spans="1:6">
      <c r="B104" s="1659"/>
      <c r="C104" s="1659"/>
      <c r="D104" s="1659"/>
      <c r="E104" s="1659"/>
      <c r="F104" s="1659"/>
    </row>
    <row r="105" spans="1:6">
      <c r="B105" s="1659"/>
      <c r="C105" s="1659"/>
      <c r="D105" s="1659"/>
      <c r="E105" s="1659"/>
      <c r="F105" s="1659"/>
    </row>
    <row r="106" spans="1:6">
      <c r="B106" s="1659"/>
      <c r="C106" s="1659"/>
      <c r="D106" s="1659"/>
      <c r="E106" s="1659"/>
      <c r="F106" s="1659"/>
    </row>
    <row r="107" spans="1:6">
      <c r="B107" s="1659"/>
      <c r="C107" s="1659"/>
      <c r="D107" s="1659"/>
      <c r="E107" s="1659"/>
      <c r="F107" s="1659"/>
    </row>
    <row r="108" spans="1:6">
      <c r="B108" s="1659"/>
      <c r="C108" s="1659"/>
      <c r="D108" s="1659"/>
      <c r="E108" s="1659"/>
      <c r="F108" s="1659"/>
    </row>
  </sheetData>
  <mergeCells count="3">
    <mergeCell ref="A1:H1"/>
    <mergeCell ref="A2:H2"/>
    <mergeCell ref="A3:H3"/>
  </mergeCells>
  <printOptions horizontalCentered="1" verticalCentered="1"/>
  <pageMargins left="0.25" right="0.25" top="0.75" bottom="0.75" header="0.3" footer="0.3"/>
  <pageSetup scale="37" firstPageNumber="103" orientation="landscape" useFirstPageNumber="1" r:id="rId1"/>
  <headerFooter scaleWithDoc="0" alignWithMargins="0">
    <oddFooter xml:space="preserve">&amp;C154
</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0B0F0"/>
    <pageSetUpPr fitToPage="1"/>
  </sheetPr>
  <dimension ref="A1:I54"/>
  <sheetViews>
    <sheetView showGridLines="0" view="pageBreakPreview" zoomScale="40" zoomScaleNormal="70" zoomScaleSheetLayoutView="40" workbookViewId="0">
      <pane xSplit="1" topLeftCell="B1" activePane="topRight" state="frozen"/>
      <selection activeCell="B44" sqref="B44"/>
      <selection pane="topRight" activeCell="B44" sqref="B44"/>
    </sheetView>
  </sheetViews>
  <sheetFormatPr defaultColWidth="8.6640625" defaultRowHeight="31.9"/>
  <cols>
    <col min="1" max="1" width="169.33203125" style="1661" customWidth="1"/>
    <col min="2" max="6" width="37.33203125" style="1661" customWidth="1"/>
    <col min="7" max="7" width="27.33203125" style="1661" customWidth="1"/>
    <col min="8" max="8" width="24.33203125" style="3093" customWidth="1"/>
    <col min="9" max="9" width="4.46484375" style="1661" customWidth="1"/>
    <col min="10" max="16384" width="8.6640625" style="1661"/>
  </cols>
  <sheetData>
    <row r="1" spans="1:9">
      <c r="A1" s="5943" t="s">
        <v>1854</v>
      </c>
      <c r="B1" s="5943"/>
      <c r="C1" s="5943"/>
      <c r="D1" s="5943"/>
      <c r="E1" s="5943"/>
      <c r="F1" s="5943"/>
      <c r="G1" s="5943"/>
      <c r="H1" s="5943"/>
      <c r="I1" s="3832">
        <v>1000</v>
      </c>
    </row>
    <row r="2" spans="1:9">
      <c r="A2" s="5943" t="s">
        <v>2366</v>
      </c>
      <c r="B2" s="5943"/>
      <c r="C2" s="5943"/>
      <c r="D2" s="5943"/>
      <c r="E2" s="5943"/>
      <c r="F2" s="5943"/>
      <c r="G2" s="5943"/>
      <c r="H2" s="5943"/>
    </row>
    <row r="3" spans="1:9">
      <c r="A3" s="5943" t="s">
        <v>1048</v>
      </c>
      <c r="B3" s="5943"/>
      <c r="C3" s="5943"/>
      <c r="D3" s="5943"/>
      <c r="E3" s="5943"/>
      <c r="F3" s="5943"/>
      <c r="G3" s="5943"/>
      <c r="H3" s="5943"/>
    </row>
    <row r="4" spans="1:9" ht="14.55" customHeight="1" thickBot="1">
      <c r="A4" s="4900"/>
      <c r="B4" s="4900"/>
      <c r="C4" s="4900"/>
      <c r="D4" s="4900"/>
      <c r="E4" s="4900"/>
      <c r="F4" s="4900"/>
      <c r="G4" s="4900"/>
      <c r="H4" s="4900"/>
    </row>
    <row r="5" spans="1:9" ht="32.25" thickBot="1">
      <c r="A5" s="1662" t="s">
        <v>418</v>
      </c>
      <c r="B5" s="1663">
        <v>2017</v>
      </c>
      <c r="C5" s="1663">
        <v>2018</v>
      </c>
      <c r="D5" s="1663">
        <v>2019</v>
      </c>
      <c r="E5" s="1663">
        <v>2020</v>
      </c>
      <c r="F5" s="1663">
        <v>2021</v>
      </c>
      <c r="G5" s="3015">
        <v>2022</v>
      </c>
      <c r="H5" s="3014" t="s">
        <v>1959</v>
      </c>
    </row>
    <row r="6" spans="1:9" s="1665" customFormat="1" ht="35" customHeight="1">
      <c r="A6" s="1664" t="s">
        <v>1233</v>
      </c>
      <c r="B6" s="2054">
        <v>533.82992000000002</v>
      </c>
      <c r="C6" s="2054">
        <v>437.60901000000001</v>
      </c>
      <c r="D6" s="2054">
        <v>371.9633852</v>
      </c>
      <c r="E6" s="2054">
        <v>423.30801389999999</v>
      </c>
      <c r="F6" s="2054">
        <v>734.53078130000006</v>
      </c>
      <c r="G6" s="3016">
        <v>596.81549719999998</v>
      </c>
      <c r="H6" s="3095">
        <v>575.14</v>
      </c>
    </row>
    <row r="7" spans="1:9" ht="35" customHeight="1">
      <c r="A7" s="1672" t="s">
        <v>1234</v>
      </c>
      <c r="B7" s="1667">
        <v>0</v>
      </c>
      <c r="C7" s="1667">
        <v>0</v>
      </c>
      <c r="D7" s="1667">
        <v>0</v>
      </c>
      <c r="E7" s="1667">
        <v>0</v>
      </c>
      <c r="F7" s="1667">
        <v>0</v>
      </c>
      <c r="G7" s="3017">
        <v>0</v>
      </c>
      <c r="H7" s="3096">
        <v>0</v>
      </c>
    </row>
    <row r="8" spans="1:9" ht="35" customHeight="1">
      <c r="A8" s="1672" t="s">
        <v>1908</v>
      </c>
      <c r="B8" s="1668">
        <v>0</v>
      </c>
      <c r="C8" s="1668">
        <v>0</v>
      </c>
      <c r="D8" s="1668">
        <v>0</v>
      </c>
      <c r="E8" s="1668">
        <v>0</v>
      </c>
      <c r="F8" s="1668">
        <v>0</v>
      </c>
      <c r="G8" s="3018">
        <v>0</v>
      </c>
      <c r="H8" s="3096">
        <v>0</v>
      </c>
    </row>
    <row r="9" spans="1:9" ht="35" customHeight="1">
      <c r="A9" s="2665" t="s">
        <v>1909</v>
      </c>
      <c r="B9" s="1669">
        <v>533.82992000000002</v>
      </c>
      <c r="C9" s="1669">
        <v>437.60901000000001</v>
      </c>
      <c r="D9" s="1669">
        <v>336.86338520000004</v>
      </c>
      <c r="E9" s="1669">
        <v>423.30801389999999</v>
      </c>
      <c r="F9" s="1669">
        <v>734.53078130000006</v>
      </c>
      <c r="G9" s="3019">
        <v>596.81549719999998</v>
      </c>
      <c r="H9" s="3096">
        <v>575.14</v>
      </c>
    </row>
    <row r="10" spans="1:9" ht="35" customHeight="1">
      <c r="A10" s="2665" t="s">
        <v>1910</v>
      </c>
      <c r="B10" s="1668">
        <v>0</v>
      </c>
      <c r="C10" s="1668">
        <v>0</v>
      </c>
      <c r="D10" s="1670">
        <v>35.1</v>
      </c>
      <c r="E10" s="1668">
        <v>0</v>
      </c>
      <c r="F10" s="1668">
        <v>0</v>
      </c>
      <c r="G10" s="3018">
        <v>0</v>
      </c>
      <c r="H10" s="3096">
        <v>0</v>
      </c>
    </row>
    <row r="11" spans="1:9" ht="35" customHeight="1">
      <c r="A11" s="2665" t="s">
        <v>1911</v>
      </c>
      <c r="B11" s="1668">
        <v>0</v>
      </c>
      <c r="C11" s="1668">
        <v>0</v>
      </c>
      <c r="D11" s="1668">
        <v>0</v>
      </c>
      <c r="E11" s="1668">
        <v>0</v>
      </c>
      <c r="F11" s="1668">
        <v>0</v>
      </c>
      <c r="G11" s="3018">
        <v>0</v>
      </c>
      <c r="H11" s="3096">
        <v>0</v>
      </c>
    </row>
    <row r="12" spans="1:9" s="1665" customFormat="1" ht="35" customHeight="1">
      <c r="A12" s="1671" t="s">
        <v>1235</v>
      </c>
      <c r="B12" s="2055">
        <v>66.473619999999997</v>
      </c>
      <c r="C12" s="2055">
        <v>49.040019999999998</v>
      </c>
      <c r="D12" s="2055">
        <v>50.180948689999994</v>
      </c>
      <c r="E12" s="2055">
        <v>53.947023999999999</v>
      </c>
      <c r="F12" s="2055">
        <v>67.192020159999998</v>
      </c>
      <c r="G12" s="3020">
        <v>83.15</v>
      </c>
      <c r="H12" s="3095">
        <v>98.13</v>
      </c>
    </row>
    <row r="13" spans="1:9" s="1665" customFormat="1" ht="35" customHeight="1">
      <c r="A13" s="1664" t="s">
        <v>1236</v>
      </c>
      <c r="B13" s="2055">
        <v>10.875969999999999</v>
      </c>
      <c r="C13" s="2055">
        <v>12.909030000000001</v>
      </c>
      <c r="D13" s="2055">
        <v>16.97883058</v>
      </c>
      <c r="E13" s="2055">
        <v>20.014696830000002</v>
      </c>
      <c r="F13" s="2055">
        <v>21.724777509999999</v>
      </c>
      <c r="G13" s="3020">
        <v>23.55</v>
      </c>
      <c r="H13" s="3095">
        <v>25.09</v>
      </c>
    </row>
    <row r="14" spans="1:9" s="1665" customFormat="1" ht="35" customHeight="1">
      <c r="A14" s="1664" t="s">
        <v>1237</v>
      </c>
      <c r="B14" s="2055">
        <v>240.80214000000001</v>
      </c>
      <c r="C14" s="2055">
        <v>239.57465999999999</v>
      </c>
      <c r="D14" s="2055">
        <v>242.10156430000001</v>
      </c>
      <c r="E14" s="2055">
        <v>234.33180400000001</v>
      </c>
      <c r="F14" s="2055">
        <v>251.02212849999998</v>
      </c>
      <c r="G14" s="3020">
        <v>254.83328539999999</v>
      </c>
      <c r="H14" s="3095">
        <v>265.57</v>
      </c>
    </row>
    <row r="15" spans="1:9" ht="35" customHeight="1">
      <c r="A15" s="1672" t="s">
        <v>1912</v>
      </c>
      <c r="B15" s="1669">
        <v>215.71222</v>
      </c>
      <c r="C15" s="1669">
        <v>213.42344</v>
      </c>
      <c r="D15" s="1669">
        <v>214.93813310000002</v>
      </c>
      <c r="E15" s="1669">
        <v>206.68365539999999</v>
      </c>
      <c r="F15" s="1669">
        <v>222.62654190000001</v>
      </c>
      <c r="G15" s="3019">
        <v>225.1201312</v>
      </c>
      <c r="H15" s="3096">
        <v>234.37</v>
      </c>
    </row>
    <row r="16" spans="1:9" ht="35" customHeight="1">
      <c r="A16" s="1672" t="s">
        <v>1913</v>
      </c>
      <c r="B16" s="1669">
        <v>25.089919999999999</v>
      </c>
      <c r="C16" s="1669">
        <v>26.151220000000002</v>
      </c>
      <c r="D16" s="1669">
        <v>27.163431250000002</v>
      </c>
      <c r="E16" s="1669">
        <v>27.648148550000002</v>
      </c>
      <c r="F16" s="1669">
        <v>28.39558667</v>
      </c>
      <c r="G16" s="3019">
        <v>29.71315422</v>
      </c>
      <c r="H16" s="3096">
        <v>31.2</v>
      </c>
    </row>
    <row r="17" spans="1:8" s="1665" customFormat="1" ht="35" customHeight="1">
      <c r="A17" s="1664" t="s">
        <v>1238</v>
      </c>
      <c r="B17" s="2055">
        <v>0.46826999999999996</v>
      </c>
      <c r="C17" s="2055">
        <v>2.9677699999999998</v>
      </c>
      <c r="D17" s="2055">
        <v>1.6588535999999998</v>
      </c>
      <c r="E17" s="2055">
        <v>0.24816065000000001</v>
      </c>
      <c r="F17" s="2055">
        <v>3.732456E-2</v>
      </c>
      <c r="G17" s="3020">
        <v>2.23708931</v>
      </c>
      <c r="H17" s="3095">
        <v>92.5</v>
      </c>
    </row>
    <row r="18" spans="1:8" s="1665" customFormat="1" ht="35" customHeight="1">
      <c r="A18" s="1664" t="s">
        <v>1260</v>
      </c>
      <c r="B18" s="2055">
        <v>0.46826999999999996</v>
      </c>
      <c r="C18" s="2055">
        <v>2.9677699999999998</v>
      </c>
      <c r="D18" s="2055">
        <v>1.6588535999999998</v>
      </c>
      <c r="E18" s="2055">
        <v>0.24816065000000001</v>
      </c>
      <c r="F18" s="2055">
        <v>3.732456E-2</v>
      </c>
      <c r="G18" s="3020">
        <v>2.23708931</v>
      </c>
      <c r="H18" s="3095">
        <v>92.5</v>
      </c>
    </row>
    <row r="19" spans="1:8" ht="35" customHeight="1">
      <c r="A19" s="1672" t="s">
        <v>1261</v>
      </c>
      <c r="B19" s="1669">
        <v>6.6E-4</v>
      </c>
      <c r="C19" s="1669">
        <v>1.08551</v>
      </c>
      <c r="D19" s="1669">
        <v>1.5164571800000002</v>
      </c>
      <c r="E19" s="1669">
        <v>6.8679000000000006E-4</v>
      </c>
      <c r="F19" s="1669">
        <v>6.8679000000000006E-4</v>
      </c>
      <c r="G19" s="3019">
        <v>6.9066000000000006E-4</v>
      </c>
      <c r="H19" s="3094">
        <v>92.5</v>
      </c>
    </row>
    <row r="20" spans="1:8" ht="35" customHeight="1">
      <c r="A20" s="1672" t="s">
        <v>1262</v>
      </c>
      <c r="B20" s="1669">
        <v>0</v>
      </c>
      <c r="C20" s="1669">
        <v>1.08484</v>
      </c>
      <c r="D20" s="1669">
        <v>1.5157715599999999</v>
      </c>
      <c r="E20" s="1669">
        <v>0</v>
      </c>
      <c r="F20" s="1669">
        <v>0</v>
      </c>
      <c r="G20" s="3019">
        <v>0</v>
      </c>
      <c r="H20" s="3096">
        <v>38.25</v>
      </c>
    </row>
    <row r="21" spans="1:8" ht="35" customHeight="1">
      <c r="A21" s="1672" t="s">
        <v>1263</v>
      </c>
      <c r="B21" s="1669">
        <v>6.6E-4</v>
      </c>
      <c r="C21" s="1669">
        <v>6.7000000000000002E-4</v>
      </c>
      <c r="D21" s="1669">
        <v>6.8561999999999996E-4</v>
      </c>
      <c r="E21" s="1669">
        <v>6.8679000000000006E-4</v>
      </c>
      <c r="F21" s="1669">
        <v>6.8679000000000006E-4</v>
      </c>
      <c r="G21" s="3019">
        <v>6.9066000000000006E-4</v>
      </c>
      <c r="H21" s="3096">
        <v>0</v>
      </c>
    </row>
    <row r="22" spans="1:8" ht="35" customHeight="1">
      <c r="A22" s="1672" t="s">
        <v>1264</v>
      </c>
      <c r="B22" s="1668">
        <v>0</v>
      </c>
      <c r="C22" s="1668">
        <v>0</v>
      </c>
      <c r="D22" s="1668">
        <v>0</v>
      </c>
      <c r="E22" s="1668">
        <v>0</v>
      </c>
      <c r="F22" s="1668">
        <v>0</v>
      </c>
      <c r="G22" s="3018">
        <v>0</v>
      </c>
      <c r="H22" s="3096">
        <v>54.26</v>
      </c>
    </row>
    <row r="23" spans="1:8" ht="35" customHeight="1">
      <c r="A23" s="1672" t="s">
        <v>1265</v>
      </c>
      <c r="B23" s="1668">
        <v>0</v>
      </c>
      <c r="C23" s="1668">
        <v>0</v>
      </c>
      <c r="D23" s="1668">
        <v>0</v>
      </c>
      <c r="E23" s="1668">
        <v>0</v>
      </c>
      <c r="F23" s="1668">
        <v>0</v>
      </c>
      <c r="G23" s="3018">
        <v>0</v>
      </c>
      <c r="H23" s="3096">
        <v>0</v>
      </c>
    </row>
    <row r="24" spans="1:8" ht="35" customHeight="1">
      <c r="A24" s="2666" t="s">
        <v>1914</v>
      </c>
      <c r="B24" s="1668">
        <v>0</v>
      </c>
      <c r="C24" s="1668">
        <v>0</v>
      </c>
      <c r="D24" s="1668">
        <v>0</v>
      </c>
      <c r="E24" s="1668">
        <v>0</v>
      </c>
      <c r="F24" s="1668">
        <v>0</v>
      </c>
      <c r="G24" s="3018">
        <v>0</v>
      </c>
      <c r="H24" s="3096">
        <v>0</v>
      </c>
    </row>
    <row r="25" spans="1:8" ht="35" customHeight="1">
      <c r="A25" s="2666" t="s">
        <v>1915</v>
      </c>
      <c r="B25" s="1669">
        <v>0</v>
      </c>
      <c r="C25" s="1669">
        <v>1.75308</v>
      </c>
      <c r="D25" s="1669">
        <v>0</v>
      </c>
      <c r="E25" s="1669">
        <v>0</v>
      </c>
      <c r="F25" s="1669">
        <v>0</v>
      </c>
      <c r="G25" s="3019">
        <v>0</v>
      </c>
      <c r="H25" s="3096">
        <v>0</v>
      </c>
    </row>
    <row r="26" spans="1:8" ht="35" customHeight="1">
      <c r="A26" s="2666" t="s">
        <v>1916</v>
      </c>
      <c r="B26" s="1668">
        <v>0</v>
      </c>
      <c r="C26" s="1668">
        <v>0</v>
      </c>
      <c r="D26" s="1668">
        <v>0</v>
      </c>
      <c r="E26" s="1668">
        <v>0</v>
      </c>
      <c r="F26" s="1668">
        <v>0</v>
      </c>
      <c r="G26" s="3018">
        <v>0</v>
      </c>
      <c r="H26" s="3096">
        <v>0</v>
      </c>
    </row>
    <row r="27" spans="1:8" ht="35" customHeight="1">
      <c r="A27" s="2666" t="s">
        <v>1917</v>
      </c>
      <c r="B27" s="1668">
        <v>0</v>
      </c>
      <c r="C27" s="1668">
        <v>0</v>
      </c>
      <c r="D27" s="1668">
        <v>0</v>
      </c>
      <c r="E27" s="1668">
        <v>0</v>
      </c>
      <c r="F27" s="1668">
        <v>0</v>
      </c>
      <c r="G27" s="3018">
        <v>0</v>
      </c>
      <c r="H27" s="3096">
        <v>0</v>
      </c>
    </row>
    <row r="28" spans="1:8" ht="35" customHeight="1">
      <c r="A28" s="2666" t="s">
        <v>1918</v>
      </c>
      <c r="B28" s="1668">
        <v>0</v>
      </c>
      <c r="C28" s="1668">
        <v>0</v>
      </c>
      <c r="D28" s="1668">
        <v>0</v>
      </c>
      <c r="E28" s="1668">
        <v>0</v>
      </c>
      <c r="F28" s="1668">
        <v>0</v>
      </c>
      <c r="G28" s="3018">
        <v>0</v>
      </c>
      <c r="H28" s="3096">
        <v>0</v>
      </c>
    </row>
    <row r="29" spans="1:8" ht="35" customHeight="1">
      <c r="A29" s="2666" t="s">
        <v>1919</v>
      </c>
      <c r="B29" s="1668">
        <v>0</v>
      </c>
      <c r="C29" s="1668">
        <v>0</v>
      </c>
      <c r="D29" s="1668">
        <v>0</v>
      </c>
      <c r="E29" s="1668">
        <v>0</v>
      </c>
      <c r="F29" s="1668">
        <v>0</v>
      </c>
      <c r="G29" s="3018">
        <v>0</v>
      </c>
      <c r="H29" s="3096">
        <v>0</v>
      </c>
    </row>
    <row r="30" spans="1:8" ht="35" customHeight="1">
      <c r="A30" s="2666" t="s">
        <v>1920</v>
      </c>
      <c r="B30" s="1668">
        <v>0</v>
      </c>
      <c r="C30" s="1668">
        <v>0</v>
      </c>
      <c r="D30" s="1668">
        <v>0</v>
      </c>
      <c r="E30" s="1668">
        <v>0</v>
      </c>
      <c r="F30" s="1668">
        <v>0</v>
      </c>
      <c r="G30" s="3018">
        <v>0</v>
      </c>
      <c r="H30" s="3096">
        <v>0</v>
      </c>
    </row>
    <row r="31" spans="1:8" ht="35" customHeight="1">
      <c r="A31" s="4845" t="s">
        <v>1921</v>
      </c>
      <c r="B31" s="1669">
        <v>0.46761000000000003</v>
      </c>
      <c r="C31" s="1669">
        <v>0.12916999999999998</v>
      </c>
      <c r="D31" s="1669">
        <v>0.14239642</v>
      </c>
      <c r="E31" s="1669">
        <v>0.24747385999999999</v>
      </c>
      <c r="F31" s="1669">
        <v>3.663777E-2</v>
      </c>
      <c r="G31" s="3019">
        <v>2.2363986499999999</v>
      </c>
      <c r="H31" s="3096">
        <v>0</v>
      </c>
    </row>
    <row r="32" spans="1:8" ht="35" customHeight="1">
      <c r="A32" s="2666" t="s">
        <v>1922</v>
      </c>
      <c r="B32" s="1668">
        <v>0</v>
      </c>
      <c r="C32" s="1668">
        <v>0</v>
      </c>
      <c r="D32" s="1668">
        <v>0</v>
      </c>
      <c r="E32" s="1668">
        <v>0</v>
      </c>
      <c r="F32" s="1668">
        <v>0</v>
      </c>
      <c r="G32" s="3018">
        <v>0</v>
      </c>
      <c r="H32" s="3096">
        <v>0</v>
      </c>
    </row>
    <row r="33" spans="1:8" ht="35" customHeight="1">
      <c r="A33" s="4846" t="s">
        <v>1266</v>
      </c>
      <c r="B33" s="1668">
        <v>0</v>
      </c>
      <c r="C33" s="1668">
        <v>0</v>
      </c>
      <c r="D33" s="1668">
        <v>0</v>
      </c>
      <c r="E33" s="1668">
        <v>0</v>
      </c>
      <c r="F33" s="1668">
        <v>0</v>
      </c>
      <c r="G33" s="3018">
        <v>0</v>
      </c>
      <c r="H33" s="3096">
        <v>0</v>
      </c>
    </row>
    <row r="34" spans="1:8" ht="35" customHeight="1">
      <c r="A34" s="1666" t="s">
        <v>1267</v>
      </c>
      <c r="B34" s="1668">
        <v>0</v>
      </c>
      <c r="C34" s="1668">
        <v>0</v>
      </c>
      <c r="D34" s="1668">
        <v>0</v>
      </c>
      <c r="E34" s="1668">
        <v>0</v>
      </c>
      <c r="F34" s="1668">
        <v>0</v>
      </c>
      <c r="G34" s="3018">
        <v>0</v>
      </c>
      <c r="H34" s="3096">
        <v>0</v>
      </c>
    </row>
    <row r="35" spans="1:8" ht="35" customHeight="1">
      <c r="A35" s="4846" t="s">
        <v>1268</v>
      </c>
      <c r="B35" s="1668">
        <v>0</v>
      </c>
      <c r="C35" s="1668">
        <v>0</v>
      </c>
      <c r="D35" s="1668">
        <v>0</v>
      </c>
      <c r="E35" s="1668">
        <v>0</v>
      </c>
      <c r="F35" s="1668">
        <v>0</v>
      </c>
      <c r="G35" s="3018">
        <v>0</v>
      </c>
      <c r="H35" s="3096">
        <v>0</v>
      </c>
    </row>
    <row r="36" spans="1:8" s="1665" customFormat="1" ht="35" customHeight="1">
      <c r="A36" s="2667" t="s">
        <v>1923</v>
      </c>
      <c r="B36" s="1673">
        <v>0</v>
      </c>
      <c r="C36" s="1673">
        <v>0</v>
      </c>
      <c r="D36" s="1673">
        <v>0</v>
      </c>
      <c r="E36" s="1673">
        <v>0</v>
      </c>
      <c r="F36" s="1673">
        <v>0</v>
      </c>
      <c r="G36" s="3021">
        <v>0</v>
      </c>
      <c r="H36" s="3095">
        <v>0</v>
      </c>
    </row>
    <row r="37" spans="1:8" ht="35" customHeight="1">
      <c r="A37" s="2666" t="s">
        <v>1925</v>
      </c>
      <c r="B37" s="1668">
        <v>0</v>
      </c>
      <c r="C37" s="1668">
        <v>0</v>
      </c>
      <c r="D37" s="1668">
        <v>0</v>
      </c>
      <c r="E37" s="1668">
        <v>0</v>
      </c>
      <c r="F37" s="1668">
        <v>0</v>
      </c>
      <c r="G37" s="3018">
        <v>0</v>
      </c>
      <c r="H37" s="3096">
        <v>0</v>
      </c>
    </row>
    <row r="38" spans="1:8" ht="35" customHeight="1">
      <c r="A38" s="2666" t="s">
        <v>1924</v>
      </c>
      <c r="B38" s="1668">
        <v>0</v>
      </c>
      <c r="C38" s="1668">
        <v>0</v>
      </c>
      <c r="D38" s="1668">
        <v>0</v>
      </c>
      <c r="E38" s="1668">
        <v>0</v>
      </c>
      <c r="F38" s="1668">
        <v>0</v>
      </c>
      <c r="G38" s="3018">
        <v>0</v>
      </c>
      <c r="H38" s="3096">
        <v>0</v>
      </c>
    </row>
    <row r="39" spans="1:8" ht="35" customHeight="1">
      <c r="A39" s="4845" t="s">
        <v>1926</v>
      </c>
      <c r="B39" s="1668">
        <v>0</v>
      </c>
      <c r="C39" s="1668">
        <v>0</v>
      </c>
      <c r="D39" s="1668">
        <v>0</v>
      </c>
      <c r="E39" s="1668">
        <v>0</v>
      </c>
      <c r="F39" s="1668">
        <v>0</v>
      </c>
      <c r="G39" s="3018">
        <v>0</v>
      </c>
      <c r="H39" s="3096">
        <v>0</v>
      </c>
    </row>
    <row r="40" spans="1:8" ht="35" customHeight="1">
      <c r="A40" s="4845" t="s">
        <v>1927</v>
      </c>
      <c r="B40" s="1668">
        <v>0</v>
      </c>
      <c r="C40" s="1668">
        <v>0</v>
      </c>
      <c r="D40" s="1668">
        <v>0</v>
      </c>
      <c r="E40" s="1668">
        <v>0</v>
      </c>
      <c r="F40" s="1668">
        <v>0</v>
      </c>
      <c r="G40" s="3018">
        <v>0</v>
      </c>
      <c r="H40" s="3096">
        <v>0</v>
      </c>
    </row>
    <row r="41" spans="1:8" s="1665" customFormat="1" ht="35" customHeight="1">
      <c r="A41" s="1664" t="s">
        <v>1239</v>
      </c>
      <c r="B41" s="1673">
        <v>0</v>
      </c>
      <c r="C41" s="1673">
        <v>0</v>
      </c>
      <c r="D41" s="1673">
        <v>0</v>
      </c>
      <c r="E41" s="1673">
        <v>0</v>
      </c>
      <c r="F41" s="1673">
        <v>0</v>
      </c>
      <c r="G41" s="3021">
        <v>0</v>
      </c>
      <c r="H41" s="3095">
        <v>0</v>
      </c>
    </row>
    <row r="42" spans="1:8" ht="35" customHeight="1">
      <c r="A42" s="1666" t="s">
        <v>1928</v>
      </c>
      <c r="B42" s="1668">
        <v>0</v>
      </c>
      <c r="C42" s="1668">
        <v>0</v>
      </c>
      <c r="D42" s="1668">
        <v>0</v>
      </c>
      <c r="E42" s="1668">
        <v>0</v>
      </c>
      <c r="F42" s="1668">
        <v>0</v>
      </c>
      <c r="G42" s="3018">
        <v>0</v>
      </c>
      <c r="H42" s="3096">
        <v>0</v>
      </c>
    </row>
    <row r="43" spans="1:8" ht="35" customHeight="1">
      <c r="A43" s="1666" t="s">
        <v>1929</v>
      </c>
      <c r="B43" s="1668">
        <v>0</v>
      </c>
      <c r="C43" s="1668">
        <v>0</v>
      </c>
      <c r="D43" s="1668">
        <v>0</v>
      </c>
      <c r="E43" s="1668">
        <v>0</v>
      </c>
      <c r="F43" s="1668">
        <v>0</v>
      </c>
      <c r="G43" s="3018">
        <v>0</v>
      </c>
      <c r="H43" s="3096">
        <v>0</v>
      </c>
    </row>
    <row r="44" spans="1:8" ht="35" customHeight="1">
      <c r="A44" s="1666" t="s">
        <v>1240</v>
      </c>
      <c r="B44" s="1668">
        <v>0</v>
      </c>
      <c r="C44" s="1668">
        <v>0</v>
      </c>
      <c r="D44" s="1668">
        <v>0</v>
      </c>
      <c r="E44" s="1668">
        <v>0</v>
      </c>
      <c r="F44" s="1668">
        <v>0</v>
      </c>
      <c r="G44" s="3018">
        <v>0</v>
      </c>
      <c r="H44" s="3096">
        <v>0</v>
      </c>
    </row>
    <row r="45" spans="1:8" ht="35" customHeight="1">
      <c r="A45" s="1666" t="s">
        <v>1241</v>
      </c>
      <c r="B45" s="1668">
        <v>0</v>
      </c>
      <c r="C45" s="1668">
        <v>0</v>
      </c>
      <c r="D45" s="1668">
        <v>0</v>
      </c>
      <c r="E45" s="1668">
        <v>0</v>
      </c>
      <c r="F45" s="1668">
        <v>0</v>
      </c>
      <c r="G45" s="3018">
        <v>0</v>
      </c>
      <c r="H45" s="3096">
        <v>0</v>
      </c>
    </row>
    <row r="46" spans="1:8" ht="35" customHeight="1">
      <c r="A46" s="1666" t="s">
        <v>1930</v>
      </c>
      <c r="B46" s="1668">
        <v>0</v>
      </c>
      <c r="C46" s="1668">
        <v>0</v>
      </c>
      <c r="D46" s="1668">
        <v>0</v>
      </c>
      <c r="E46" s="1668">
        <v>0</v>
      </c>
      <c r="F46" s="1668">
        <v>0</v>
      </c>
      <c r="G46" s="3018">
        <v>0</v>
      </c>
      <c r="H46" s="3096">
        <v>0</v>
      </c>
    </row>
    <row r="47" spans="1:8" ht="35" customHeight="1">
      <c r="A47" s="1666" t="s">
        <v>1242</v>
      </c>
      <c r="B47" s="1668">
        <v>0</v>
      </c>
      <c r="C47" s="1668">
        <v>0</v>
      </c>
      <c r="D47" s="1668">
        <v>0</v>
      </c>
      <c r="E47" s="1668">
        <v>0</v>
      </c>
      <c r="F47" s="1668">
        <v>0</v>
      </c>
      <c r="G47" s="3018">
        <v>0</v>
      </c>
      <c r="H47" s="3096">
        <v>0</v>
      </c>
    </row>
    <row r="48" spans="1:8" s="1665" customFormat="1" ht="41.25" customHeight="1">
      <c r="A48" s="1664" t="s">
        <v>1243</v>
      </c>
      <c r="B48" s="2055">
        <v>0.43381999999999998</v>
      </c>
      <c r="C48" s="2055">
        <v>0.43411</v>
      </c>
      <c r="D48" s="2055">
        <v>0.43388258000000002</v>
      </c>
      <c r="E48" s="2055">
        <v>0.43379772999999999</v>
      </c>
      <c r="F48" s="2055">
        <v>0.45588985000000004</v>
      </c>
      <c r="G48" s="3020">
        <v>0.4267803</v>
      </c>
      <c r="H48" s="3095">
        <v>0.43</v>
      </c>
    </row>
    <row r="49" spans="1:8" ht="36.75" customHeight="1">
      <c r="A49" s="1666" t="s">
        <v>1931</v>
      </c>
      <c r="B49" s="1669">
        <v>0.42787000000000003</v>
      </c>
      <c r="C49" s="1669">
        <v>0.42787000000000003</v>
      </c>
      <c r="D49" s="1669">
        <v>0.42786960000000002</v>
      </c>
      <c r="E49" s="1669">
        <v>0.42786960000000002</v>
      </c>
      <c r="F49" s="1669">
        <v>0.44965929999999998</v>
      </c>
      <c r="G49" s="3019">
        <v>0.42094901000000001</v>
      </c>
      <c r="H49" s="3096">
        <v>0.42</v>
      </c>
    </row>
    <row r="50" spans="1:8" ht="48" customHeight="1">
      <c r="A50" s="1666" t="s">
        <v>1932</v>
      </c>
      <c r="B50" s="1669">
        <v>5.9500000000000004E-3</v>
      </c>
      <c r="C50" s="1669">
        <v>6.2399999999999999E-3</v>
      </c>
      <c r="D50" s="1669">
        <v>6.0129799999999994E-3</v>
      </c>
      <c r="E50" s="1669">
        <v>5.9281300000000002E-3</v>
      </c>
      <c r="F50" s="1669">
        <v>6.2305499999999996E-3</v>
      </c>
      <c r="G50" s="3019">
        <v>5.8312900000000003E-3</v>
      </c>
      <c r="H50" s="3096">
        <v>0.01</v>
      </c>
    </row>
    <row r="51" spans="1:8" s="1665" customFormat="1" ht="35" customHeight="1">
      <c r="A51" s="1664" t="s">
        <v>1244</v>
      </c>
      <c r="B51" s="1673">
        <v>0</v>
      </c>
      <c r="C51" s="1673">
        <v>0</v>
      </c>
      <c r="D51" s="1673">
        <v>0</v>
      </c>
      <c r="E51" s="1673">
        <v>0</v>
      </c>
      <c r="F51" s="1673">
        <v>0</v>
      </c>
      <c r="G51" s="3021">
        <v>0</v>
      </c>
      <c r="H51" s="3095">
        <v>0</v>
      </c>
    </row>
    <row r="52" spans="1:8" ht="30" customHeight="1" thickBot="1">
      <c r="A52" s="1674"/>
      <c r="B52" s="1675"/>
      <c r="C52" s="1675"/>
      <c r="D52" s="1675"/>
      <c r="E52" s="1675"/>
      <c r="F52" s="1675"/>
      <c r="G52" s="3022"/>
      <c r="H52" s="3237"/>
    </row>
    <row r="53" spans="1:8" ht="30" customHeight="1">
      <c r="A53" s="1573" t="s">
        <v>72</v>
      </c>
      <c r="B53" s="1676"/>
      <c r="C53" s="1676"/>
      <c r="D53" s="1676"/>
      <c r="E53" s="1676"/>
      <c r="F53" s="1676"/>
      <c r="H53" s="4436"/>
    </row>
    <row r="54" spans="1:8" ht="33">
      <c r="A54" s="4433" t="s">
        <v>2356</v>
      </c>
    </row>
  </sheetData>
  <mergeCells count="3">
    <mergeCell ref="A1:H1"/>
    <mergeCell ref="A2:H2"/>
    <mergeCell ref="A3:H3"/>
  </mergeCells>
  <printOptions horizontalCentered="1" verticalCentered="1"/>
  <pageMargins left="0.25" right="0.25" top="0.75" bottom="0.75" header="0.3" footer="0.3"/>
  <pageSetup scale="27" firstPageNumber="103" orientation="landscape" useFirstPageNumber="1" r:id="rId1"/>
  <headerFooter scaleWithDoc="0" alignWithMargins="0">
    <oddFooter xml:space="preserve">&amp;C155
</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00B0F0"/>
    <pageSetUpPr fitToPage="1"/>
  </sheetPr>
  <dimension ref="A1:Q79"/>
  <sheetViews>
    <sheetView view="pageBreakPreview" topLeftCell="B1" zoomScale="70" zoomScaleNormal="100" zoomScaleSheetLayoutView="70" workbookViewId="0">
      <pane xSplit="3" topLeftCell="E1" activePane="topRight" state="frozen"/>
      <selection activeCell="B44" sqref="B44"/>
      <selection pane="topRight" activeCell="H48" sqref="H48"/>
    </sheetView>
  </sheetViews>
  <sheetFormatPr defaultColWidth="9.46484375" defaultRowHeight="17.649999999999999"/>
  <cols>
    <col min="1" max="1" width="2" style="2352" hidden="1" customWidth="1"/>
    <col min="2" max="2" width="73.33203125" style="2352" customWidth="1"/>
    <col min="3" max="3" width="21.46484375" style="2385" hidden="1" customWidth="1"/>
    <col min="4" max="4" width="21.46484375" style="2352" hidden="1" customWidth="1"/>
    <col min="5" max="11" width="21.46484375" style="2352" customWidth="1"/>
    <col min="12" max="12" width="21.46484375" style="2417" bestFit="1" customWidth="1"/>
    <col min="13" max="13" width="4.46484375" style="2352" customWidth="1"/>
    <col min="14" max="14" width="11.46484375" style="2352" bestFit="1" customWidth="1"/>
    <col min="15" max="16384" width="9.46484375" style="2352"/>
  </cols>
  <sheetData>
    <row r="1" spans="2:17">
      <c r="B1" s="5944" t="s">
        <v>1395</v>
      </c>
      <c r="C1" s="5944"/>
      <c r="D1" s="5944"/>
      <c r="E1" s="5944"/>
      <c r="F1" s="5944"/>
      <c r="G1" s="5944"/>
      <c r="H1" s="5944"/>
      <c r="I1" s="5944"/>
      <c r="J1" s="5944"/>
      <c r="K1" s="5944"/>
      <c r="L1" s="5944"/>
    </row>
    <row r="2" spans="2:17">
      <c r="B2" s="5944" t="s">
        <v>249</v>
      </c>
      <c r="C2" s="5944"/>
      <c r="D2" s="5944"/>
      <c r="E2" s="5944"/>
      <c r="F2" s="5944"/>
      <c r="G2" s="5944"/>
      <c r="H2" s="5944"/>
      <c r="I2" s="5944"/>
      <c r="J2" s="5944"/>
      <c r="K2" s="5944"/>
      <c r="L2" s="5944"/>
    </row>
    <row r="3" spans="2:17">
      <c r="B3" s="5944" t="s">
        <v>250</v>
      </c>
      <c r="C3" s="5944"/>
      <c r="D3" s="5944"/>
      <c r="E3" s="5944"/>
      <c r="F3" s="5944"/>
      <c r="G3" s="5944"/>
      <c r="H3" s="5944"/>
      <c r="I3" s="5944"/>
      <c r="J3" s="5944"/>
      <c r="K3" s="5944"/>
      <c r="L3" s="5944"/>
    </row>
    <row r="4" spans="2:17">
      <c r="B4" s="5944" t="s">
        <v>513</v>
      </c>
      <c r="C4" s="5944"/>
      <c r="D4" s="5944"/>
      <c r="E4" s="5944"/>
      <c r="F4" s="5944"/>
      <c r="G4" s="5944"/>
      <c r="H4" s="5944"/>
      <c r="I4" s="5944"/>
      <c r="J4" s="5944"/>
      <c r="K4" s="5944"/>
      <c r="L4" s="5944"/>
    </row>
    <row r="5" spans="2:17" ht="18" thickBot="1">
      <c r="B5" s="2353"/>
      <c r="C5" s="2354"/>
      <c r="D5" s="2353"/>
      <c r="E5" s="2353"/>
      <c r="F5" s="2353"/>
      <c r="G5" s="2353"/>
      <c r="H5" s="2353"/>
      <c r="I5" s="2353"/>
      <c r="J5" s="2353"/>
      <c r="K5" s="2353"/>
    </row>
    <row r="6" spans="2:17" ht="18" thickBot="1">
      <c r="B6" s="2355" t="s">
        <v>251</v>
      </c>
      <c r="C6" s="2791" t="s">
        <v>572</v>
      </c>
      <c r="D6" s="3054" t="s">
        <v>637</v>
      </c>
      <c r="E6" s="2792">
        <v>2016</v>
      </c>
      <c r="F6" s="2793">
        <v>2017</v>
      </c>
      <c r="G6" s="5250">
        <v>2018</v>
      </c>
      <c r="H6" s="2793">
        <v>2019</v>
      </c>
      <c r="I6" s="2357">
        <v>2020</v>
      </c>
      <c r="J6" s="2793">
        <v>2021</v>
      </c>
      <c r="K6" s="2793" t="s">
        <v>1958</v>
      </c>
      <c r="L6" s="3133" t="s">
        <v>1959</v>
      </c>
      <c r="M6" s="3833"/>
    </row>
    <row r="7" spans="2:17" ht="7.5" customHeight="1">
      <c r="B7" s="2358"/>
      <c r="C7" s="2794"/>
      <c r="D7" s="2795"/>
      <c r="E7" s="2796"/>
      <c r="F7" s="2796"/>
      <c r="G7" s="2374"/>
      <c r="H7" s="2797"/>
      <c r="J7" s="2797"/>
      <c r="K7" s="2795"/>
      <c r="L7" s="3134"/>
      <c r="M7" s="3833"/>
    </row>
    <row r="8" spans="2:17" ht="18" customHeight="1">
      <c r="B8" s="2358" t="s">
        <v>252</v>
      </c>
      <c r="C8" s="2798">
        <f>SUM(C10:C13)</f>
        <v>650.26499999999999</v>
      </c>
      <c r="D8" s="2799">
        <f t="shared" ref="D8:L8" si="0">SUM(D10:D13)</f>
        <v>745.97714599999995</v>
      </c>
      <c r="E8" s="2799">
        <f t="shared" si="0"/>
        <v>830.9909550000001</v>
      </c>
      <c r="F8" s="2799">
        <f t="shared" si="0"/>
        <v>885.59121599999992</v>
      </c>
      <c r="G8" s="2361">
        <f t="shared" si="0"/>
        <v>843.97308199999998</v>
      </c>
      <c r="H8" s="2799">
        <f t="shared" si="0"/>
        <v>826.91604099999995</v>
      </c>
      <c r="I8" s="2800">
        <f t="shared" si="0"/>
        <v>725.875</v>
      </c>
      <c r="J8" s="2799">
        <f t="shared" si="0"/>
        <v>856.24895100000003</v>
      </c>
      <c r="K8" s="3135">
        <f t="shared" si="0"/>
        <v>1084.545801</v>
      </c>
      <c r="L8" s="3135">
        <f t="shared" si="0"/>
        <v>1091.609682</v>
      </c>
      <c r="M8" s="3834">
        <f>L8/K8-1</f>
        <v>6.513215941168049E-3</v>
      </c>
      <c r="N8" s="3053">
        <f>L8-K8</f>
        <v>7.0638810000000376</v>
      </c>
      <c r="O8" s="2363"/>
      <c r="P8" s="2552">
        <f t="shared" ref="P8:P9" si="1">L8/$L$27</f>
        <v>0.45147397330759825</v>
      </c>
      <c r="Q8" s="3176">
        <f>P10+P11+P12+P13</f>
        <v>0.45147397330759825</v>
      </c>
    </row>
    <row r="9" spans="2:17" ht="18" hidden="1" customHeight="1">
      <c r="B9" s="2364"/>
      <c r="C9" s="2801"/>
      <c r="D9" s="2802"/>
      <c r="E9" s="2802"/>
      <c r="F9" s="2802"/>
      <c r="G9" s="5251"/>
      <c r="H9" s="2802"/>
      <c r="I9" s="2365"/>
      <c r="J9" s="2802"/>
      <c r="K9" s="2802"/>
      <c r="L9" s="3136"/>
      <c r="M9" s="3834" t="e">
        <f t="shared" ref="M9:M27" si="2">L9/K9-1</f>
        <v>#DIV/0!</v>
      </c>
      <c r="N9" s="3053">
        <f t="shared" ref="N9:N27" si="3">L9-K9</f>
        <v>0</v>
      </c>
      <c r="O9" s="2365"/>
      <c r="P9" s="2552">
        <f t="shared" si="1"/>
        <v>0</v>
      </c>
    </row>
    <row r="10" spans="2:17" ht="18" customHeight="1">
      <c r="B10" s="2364" t="s">
        <v>253</v>
      </c>
      <c r="C10" s="2803">
        <v>364.125</v>
      </c>
      <c r="D10" s="2804">
        <v>350.47010999999998</v>
      </c>
      <c r="E10" s="2804">
        <v>337.79500000000002</v>
      </c>
      <c r="F10" s="2804">
        <v>355.73602599999998</v>
      </c>
      <c r="G10" s="2366">
        <v>367.017089</v>
      </c>
      <c r="H10" s="2804">
        <v>373.91598499999998</v>
      </c>
      <c r="I10" s="2805">
        <v>330.14400000000001</v>
      </c>
      <c r="J10" s="2804">
        <v>371.23078199999998</v>
      </c>
      <c r="K10" s="2804">
        <v>485.52702199999999</v>
      </c>
      <c r="L10" s="3136">
        <v>490.65973200000002</v>
      </c>
      <c r="M10" s="3834">
        <f t="shared" si="2"/>
        <v>1.0571419853949937E-2</v>
      </c>
      <c r="N10" s="3053">
        <f t="shared" si="3"/>
        <v>5.1327100000000314</v>
      </c>
      <c r="O10" s="2365"/>
      <c r="P10" s="2552">
        <f>L10/$L$27</f>
        <v>0.20292976729761297</v>
      </c>
    </row>
    <row r="11" spans="2:17" ht="18" customHeight="1">
      <c r="B11" s="2364" t="s">
        <v>254</v>
      </c>
      <c r="C11" s="2803">
        <v>43.1</v>
      </c>
      <c r="D11" s="2804">
        <v>41.268149999999999</v>
      </c>
      <c r="E11" s="2804">
        <v>45.313000000000002</v>
      </c>
      <c r="F11" s="2804">
        <v>42.716517000000003</v>
      </c>
      <c r="G11" s="2366">
        <v>46.061999</v>
      </c>
      <c r="H11" s="2804">
        <v>44.217865000000003</v>
      </c>
      <c r="I11" s="2805">
        <v>34.473999999999997</v>
      </c>
      <c r="J11" s="2804">
        <v>47.277008000000002</v>
      </c>
      <c r="K11" s="2804">
        <v>66.866032000000004</v>
      </c>
      <c r="L11" s="3136">
        <v>59.871164</v>
      </c>
      <c r="M11" s="3834">
        <f t="shared" si="2"/>
        <v>-0.10461018533296551</v>
      </c>
      <c r="N11" s="3053">
        <f t="shared" si="3"/>
        <v>-6.9948680000000039</v>
      </c>
      <c r="O11" s="2365"/>
      <c r="P11" s="2552">
        <f t="shared" ref="P11:P25" si="4">L11/$L$27</f>
        <v>2.4761847337325865E-2</v>
      </c>
    </row>
    <row r="12" spans="2:17" ht="18" customHeight="1">
      <c r="B12" s="2364" t="s">
        <v>255</v>
      </c>
      <c r="C12" s="2803">
        <f>24*0+23.94</f>
        <v>23.94</v>
      </c>
      <c r="D12" s="2804">
        <v>167.39606699999999</v>
      </c>
      <c r="E12" s="2804">
        <v>250.73752200000001</v>
      </c>
      <c r="F12" s="2804">
        <v>283.76960800000001</v>
      </c>
      <c r="G12" s="2366">
        <v>241.90939800000001</v>
      </c>
      <c r="H12" s="2804">
        <v>236.89086800000001</v>
      </c>
      <c r="I12" s="2805">
        <v>208.398</v>
      </c>
      <c r="J12" s="2804">
        <v>271.61312400000003</v>
      </c>
      <c r="K12" s="2804">
        <v>309.88221700000003</v>
      </c>
      <c r="L12" s="3136">
        <v>305.50604600000003</v>
      </c>
      <c r="M12" s="3834">
        <f t="shared" si="2"/>
        <v>-1.4122046248300824E-2</v>
      </c>
      <c r="N12" s="3053">
        <f t="shared" si="3"/>
        <v>-4.3761709999999994</v>
      </c>
      <c r="O12" s="2365"/>
      <c r="P12" s="2552">
        <f t="shared" si="4"/>
        <v>0.12635288119138713</v>
      </c>
    </row>
    <row r="13" spans="2:17" ht="18" customHeight="1">
      <c r="B13" s="2364" t="s">
        <v>256</v>
      </c>
      <c r="C13" s="2803">
        <v>219.1</v>
      </c>
      <c r="D13" s="2804">
        <v>186.84281899999999</v>
      </c>
      <c r="E13" s="2804">
        <v>197.145433</v>
      </c>
      <c r="F13" s="2804">
        <v>203.36906500000001</v>
      </c>
      <c r="G13" s="2366">
        <v>188.98459600000001</v>
      </c>
      <c r="H13" s="2804">
        <v>171.891323</v>
      </c>
      <c r="I13" s="2805">
        <v>152.85900000000001</v>
      </c>
      <c r="J13" s="2804">
        <v>166.12803700000001</v>
      </c>
      <c r="K13" s="2804">
        <v>222.27053000000001</v>
      </c>
      <c r="L13" s="2804">
        <v>235.57274000000001</v>
      </c>
      <c r="M13" s="3834">
        <f t="shared" si="2"/>
        <v>5.9846935173997196E-2</v>
      </c>
      <c r="N13" s="3053">
        <f t="shared" si="3"/>
        <v>13.302210000000002</v>
      </c>
      <c r="O13" s="2365"/>
      <c r="P13" s="2552">
        <f t="shared" si="4"/>
        <v>9.7429477481272272E-2</v>
      </c>
    </row>
    <row r="14" spans="2:17" ht="7.5" customHeight="1">
      <c r="B14" s="2364"/>
      <c r="C14" s="2801"/>
      <c r="D14" s="2802"/>
      <c r="E14" s="2802"/>
      <c r="F14" s="2802"/>
      <c r="G14" s="5251"/>
      <c r="H14" s="2802"/>
      <c r="I14" s="2365"/>
      <c r="J14" s="2802"/>
      <c r="K14" s="2802"/>
      <c r="L14" s="3136"/>
      <c r="M14" s="3834"/>
      <c r="N14" s="3053"/>
      <c r="O14" s="2365"/>
      <c r="P14" s="2552"/>
    </row>
    <row r="15" spans="2:17" ht="18" customHeight="1">
      <c r="B15" s="2358" t="s">
        <v>257</v>
      </c>
      <c r="C15" s="2798">
        <f>SUM(C17:C20)</f>
        <v>728.93499999999995</v>
      </c>
      <c r="D15" s="2799">
        <f t="shared" ref="D15:L15" si="5">SUM(D17:D20)</f>
        <v>484.20355900000004</v>
      </c>
      <c r="E15" s="2799">
        <f t="shared" si="5"/>
        <v>530.46683544999996</v>
      </c>
      <c r="F15" s="2799">
        <f t="shared" si="5"/>
        <v>455.54321600000003</v>
      </c>
      <c r="G15" s="2361">
        <f t="shared" si="5"/>
        <v>596.98705599999994</v>
      </c>
      <c r="H15" s="2799">
        <f t="shared" si="5"/>
        <v>461.38158999999996</v>
      </c>
      <c r="I15" s="2800">
        <f t="shared" si="5"/>
        <v>337.11900000000003</v>
      </c>
      <c r="J15" s="2799">
        <f t="shared" si="5"/>
        <v>424.32534399999997</v>
      </c>
      <c r="K15" s="2799">
        <f t="shared" si="5"/>
        <v>784.48531200000002</v>
      </c>
      <c r="L15" s="3137">
        <f t="shared" si="5"/>
        <v>876.14682700000003</v>
      </c>
      <c r="M15" s="3834">
        <f t="shared" si="2"/>
        <v>0.11684286958326129</v>
      </c>
      <c r="N15" s="3053">
        <f t="shared" si="3"/>
        <v>91.661515000000009</v>
      </c>
      <c r="O15" s="2363"/>
      <c r="P15" s="2552">
        <f>L15/$L$27</f>
        <v>0.36236165335379911</v>
      </c>
    </row>
    <row r="16" spans="2:17" ht="18" hidden="1" customHeight="1">
      <c r="B16" s="2364"/>
      <c r="C16" s="2801"/>
      <c r="D16" s="2802"/>
      <c r="E16" s="2802"/>
      <c r="F16" s="2802"/>
      <c r="G16" s="5251"/>
      <c r="H16" s="2802"/>
      <c r="I16" s="2365"/>
      <c r="J16" s="2802"/>
      <c r="K16" s="2802"/>
      <c r="L16" s="3136"/>
      <c r="M16" s="3834" t="e">
        <f t="shared" si="2"/>
        <v>#DIV/0!</v>
      </c>
      <c r="N16" s="3053">
        <f t="shared" si="3"/>
        <v>0</v>
      </c>
      <c r="O16" s="2365"/>
      <c r="P16" s="2552">
        <f t="shared" si="4"/>
        <v>0</v>
      </c>
    </row>
    <row r="17" spans="2:16" ht="18" customHeight="1">
      <c r="B17" s="2364" t="s">
        <v>258</v>
      </c>
      <c r="C17" s="2803">
        <v>172.9</v>
      </c>
      <c r="D17" s="2804">
        <v>85.845669999999998</v>
      </c>
      <c r="E17" s="2804">
        <v>27.6</v>
      </c>
      <c r="F17" s="2804">
        <v>26.80621</v>
      </c>
      <c r="G17" s="2366">
        <v>30.544781</v>
      </c>
      <c r="H17" s="2804">
        <v>25.440895000000001</v>
      </c>
      <c r="I17" s="2805">
        <v>26.207999999999998</v>
      </c>
      <c r="J17" s="2804">
        <v>37.339010000000002</v>
      </c>
      <c r="K17" s="2804">
        <v>35.569532000000002</v>
      </c>
      <c r="L17" s="3136">
        <v>36.338365000000003</v>
      </c>
      <c r="M17" s="3834">
        <f t="shared" si="2"/>
        <v>2.1614931565588247E-2</v>
      </c>
      <c r="N17" s="3053">
        <f t="shared" si="3"/>
        <v>0.76883300000000077</v>
      </c>
      <c r="O17" s="2365"/>
      <c r="P17" s="2552">
        <f t="shared" si="4"/>
        <v>1.5029022095144593E-2</v>
      </c>
    </row>
    <row r="18" spans="2:16" ht="18" customHeight="1">
      <c r="B18" s="2364" t="s">
        <v>259</v>
      </c>
      <c r="C18" s="2803">
        <v>427.1</v>
      </c>
      <c r="D18" s="2804">
        <v>255.08900299999999</v>
      </c>
      <c r="E18" s="2804">
        <v>346.8</v>
      </c>
      <c r="F18" s="2804">
        <v>279.06357200000002</v>
      </c>
      <c r="G18" s="2366">
        <v>400.591655</v>
      </c>
      <c r="H18" s="2804">
        <v>290.09842800000001</v>
      </c>
      <c r="I18" s="2805">
        <v>164.53299999999999</v>
      </c>
      <c r="J18" s="2804">
        <v>205.08990499999999</v>
      </c>
      <c r="K18" s="2804">
        <v>546.07231999999999</v>
      </c>
      <c r="L18" s="3136">
        <v>648.60878300000002</v>
      </c>
      <c r="M18" s="3834">
        <f t="shared" si="2"/>
        <v>0.18777084874032801</v>
      </c>
      <c r="N18" s="3053">
        <f t="shared" si="3"/>
        <v>102.53646300000003</v>
      </c>
      <c r="O18" s="2365"/>
      <c r="P18" s="2552">
        <f t="shared" si="4"/>
        <v>0.26825520990864182</v>
      </c>
    </row>
    <row r="19" spans="2:16" ht="18" customHeight="1">
      <c r="B19" s="2364" t="s">
        <v>260</v>
      </c>
      <c r="C19" s="2803">
        <f>8*0+7.935</f>
        <v>7.9349999999999996</v>
      </c>
      <c r="D19" s="2804">
        <v>7.9053170000000001</v>
      </c>
      <c r="E19" s="2804">
        <v>7.3177210599999993</v>
      </c>
      <c r="F19" s="2804">
        <v>6.7543189999999997</v>
      </c>
      <c r="G19" s="2366">
        <v>7.732043</v>
      </c>
      <c r="H19" s="2804">
        <v>6.3342130000000001</v>
      </c>
      <c r="I19" s="2805">
        <v>6.87</v>
      </c>
      <c r="J19" s="2804">
        <v>8.7557159999999996</v>
      </c>
      <c r="K19" s="2804">
        <v>10.196818</v>
      </c>
      <c r="L19" s="3136">
        <v>12.209464000000001</v>
      </c>
      <c r="M19" s="3834">
        <f t="shared" si="2"/>
        <v>0.19737981005446992</v>
      </c>
      <c r="N19" s="3053">
        <f t="shared" si="3"/>
        <v>2.0126460000000002</v>
      </c>
      <c r="O19" s="2365"/>
      <c r="P19" s="2552">
        <f t="shared" si="4"/>
        <v>5.0496576889431455E-3</v>
      </c>
    </row>
    <row r="20" spans="2:16" ht="18" customHeight="1">
      <c r="B20" s="2364" t="s">
        <v>261</v>
      </c>
      <c r="C20" s="2803">
        <v>121</v>
      </c>
      <c r="D20" s="2804">
        <v>135.36356900000001</v>
      </c>
      <c r="E20" s="2804">
        <v>148.74911438999999</v>
      </c>
      <c r="F20" s="2804">
        <v>142.91911500000001</v>
      </c>
      <c r="G20" s="2366">
        <v>158.11857699999999</v>
      </c>
      <c r="H20" s="2804">
        <v>139.50805399999999</v>
      </c>
      <c r="I20" s="2805">
        <v>139.50800000000001</v>
      </c>
      <c r="J20" s="2804">
        <v>173.14071300000001</v>
      </c>
      <c r="K20" s="2804">
        <v>192.64664200000001</v>
      </c>
      <c r="L20" s="3136">
        <v>178.99021500000001</v>
      </c>
      <c r="M20" s="3834">
        <f t="shared" si="2"/>
        <v>-7.0888476737632433E-2</v>
      </c>
      <c r="N20" s="3053">
        <f t="shared" si="3"/>
        <v>-13.656427000000008</v>
      </c>
      <c r="O20" s="2365"/>
      <c r="P20" s="2552">
        <f t="shared" si="4"/>
        <v>7.4027763661069529E-2</v>
      </c>
    </row>
    <row r="21" spans="2:16" ht="9.75" customHeight="1">
      <c r="B21" s="2358"/>
      <c r="C21" s="2801"/>
      <c r="D21" s="2802"/>
      <c r="E21" s="2802"/>
      <c r="F21" s="2802"/>
      <c r="G21" s="5251"/>
      <c r="H21" s="2802"/>
      <c r="I21" s="2365"/>
      <c r="J21" s="2802"/>
      <c r="K21" s="2802"/>
      <c r="L21" s="3136"/>
      <c r="M21" s="3834"/>
      <c r="N21" s="3053"/>
      <c r="O21" s="2365"/>
      <c r="P21" s="2552"/>
    </row>
    <row r="22" spans="2:16">
      <c r="B22" s="2358" t="s">
        <v>262</v>
      </c>
      <c r="C22" s="2798">
        <f t="shared" ref="C22:L22" si="6">SUM(C24:C25)</f>
        <v>270.42</v>
      </c>
      <c r="D22" s="2799">
        <f t="shared" si="6"/>
        <v>268.77829800000001</v>
      </c>
      <c r="E22" s="2799">
        <f t="shared" si="6"/>
        <v>325.27459475000001</v>
      </c>
      <c r="F22" s="2799">
        <f t="shared" si="6"/>
        <v>343.14826499999998</v>
      </c>
      <c r="G22" s="2361">
        <f t="shared" si="6"/>
        <v>337.60297400000002</v>
      </c>
      <c r="H22" s="2799">
        <f t="shared" si="6"/>
        <v>326.80385200000001</v>
      </c>
      <c r="I22" s="2800">
        <f t="shared" si="6"/>
        <v>299.14599999999996</v>
      </c>
      <c r="J22" s="2799">
        <f t="shared" si="6"/>
        <v>344.82757800000002</v>
      </c>
      <c r="K22" s="2799">
        <f t="shared" si="6"/>
        <v>384.07318000000004</v>
      </c>
      <c r="L22" s="3137">
        <f t="shared" si="6"/>
        <v>450.12302899999997</v>
      </c>
      <c r="M22" s="3834">
        <f t="shared" si="2"/>
        <v>0.17197204189055837</v>
      </c>
      <c r="N22" s="3053">
        <f t="shared" si="3"/>
        <v>66.049848999999938</v>
      </c>
      <c r="O22" s="2363"/>
      <c r="P22" s="2552">
        <f t="shared" si="4"/>
        <v>0.18616437333860258</v>
      </c>
    </row>
    <row r="23" spans="2:16" ht="18" hidden="1" customHeight="1">
      <c r="B23" s="2364"/>
      <c r="C23" s="2806"/>
      <c r="D23" s="2802"/>
      <c r="E23" s="2802"/>
      <c r="F23" s="2802"/>
      <c r="G23" s="5251"/>
      <c r="H23" s="2802"/>
      <c r="I23" s="2365"/>
      <c r="J23" s="2802"/>
      <c r="K23" s="2802"/>
      <c r="L23" s="3136"/>
      <c r="M23" s="3834" t="e">
        <f t="shared" si="2"/>
        <v>#DIV/0!</v>
      </c>
      <c r="N23" s="3053">
        <f t="shared" si="3"/>
        <v>0</v>
      </c>
      <c r="O23" s="2365"/>
      <c r="P23" s="2552">
        <f t="shared" si="4"/>
        <v>0</v>
      </c>
    </row>
    <row r="24" spans="2:16">
      <c r="B24" s="2364" t="s">
        <v>263</v>
      </c>
      <c r="C24" s="2803">
        <v>270.2</v>
      </c>
      <c r="D24" s="2804">
        <v>268.590802</v>
      </c>
      <c r="E24" s="2804">
        <v>325.13836707000002</v>
      </c>
      <c r="F24" s="2804">
        <v>343.05316299999998</v>
      </c>
      <c r="G24" s="2366">
        <v>337.562051</v>
      </c>
      <c r="H24" s="2804">
        <v>326.76039700000001</v>
      </c>
      <c r="I24" s="2805">
        <v>298.72899999999998</v>
      </c>
      <c r="J24" s="2804">
        <v>344.826615</v>
      </c>
      <c r="K24" s="2804">
        <v>383.98402900000002</v>
      </c>
      <c r="L24" s="3136">
        <v>450.081029</v>
      </c>
      <c r="M24" s="3834">
        <f t="shared" si="2"/>
        <v>0.17213476344871625</v>
      </c>
      <c r="N24" s="3053">
        <f t="shared" si="3"/>
        <v>66.09699999999998</v>
      </c>
      <c r="O24" s="2365"/>
      <c r="P24" s="2552">
        <f t="shared" si="4"/>
        <v>0.18614700274617238</v>
      </c>
    </row>
    <row r="25" spans="2:16">
      <c r="B25" s="2364" t="s">
        <v>264</v>
      </c>
      <c r="C25" s="2803">
        <v>0.22</v>
      </c>
      <c r="D25" s="2804">
        <v>0.187496</v>
      </c>
      <c r="E25" s="2804">
        <v>0.13622767999999999</v>
      </c>
      <c r="F25" s="2804">
        <v>9.5102000000000006E-2</v>
      </c>
      <c r="G25" s="2366">
        <v>4.0923000000000001E-2</v>
      </c>
      <c r="H25" s="2804">
        <v>4.3455000000000001E-2</v>
      </c>
      <c r="I25" s="2805">
        <v>0.41699999999999998</v>
      </c>
      <c r="J25" s="2804">
        <v>9.6299999999999999E-4</v>
      </c>
      <c r="K25" s="2804">
        <v>8.9150999999999994E-2</v>
      </c>
      <c r="L25" s="3136">
        <v>4.2000000000000003E-2</v>
      </c>
      <c r="M25" s="3834">
        <f t="shared" si="2"/>
        <v>-0.52888918800686469</v>
      </c>
      <c r="N25" s="3053">
        <f t="shared" si="3"/>
        <v>-4.7150999999999992E-2</v>
      </c>
      <c r="O25" s="2365"/>
      <c r="P25" s="2552">
        <f t="shared" si="4"/>
        <v>1.7370592430233801E-5</v>
      </c>
    </row>
    <row r="26" spans="2:16" ht="9.75" customHeight="1">
      <c r="B26" s="2364"/>
      <c r="C26" s="2369"/>
      <c r="D26" s="2370"/>
      <c r="E26" s="2370"/>
      <c r="F26" s="2370"/>
      <c r="G26" s="5251"/>
      <c r="H26" s="2802"/>
      <c r="I26" s="2365"/>
      <c r="J26" s="2802"/>
      <c r="K26" s="2370"/>
      <c r="L26" s="3138"/>
      <c r="M26" s="3834"/>
      <c r="N26" s="3053"/>
      <c r="O26" s="2365"/>
    </row>
    <row r="27" spans="2:16" ht="18" thickBot="1">
      <c r="B27" s="2371" t="s">
        <v>394</v>
      </c>
      <c r="C27" s="1677">
        <f>+C22+C15+C8</f>
        <v>1649.62</v>
      </c>
      <c r="D27" s="2068">
        <f>+D22+D15+D8</f>
        <v>1498.9590029999999</v>
      </c>
      <c r="E27" s="2068">
        <f>+E22+E15+E8</f>
        <v>1686.7323852</v>
      </c>
      <c r="F27" s="2706">
        <f t="shared" ref="F27:L27" si="7">+F22+F15+F8</f>
        <v>1684.2826970000001</v>
      </c>
      <c r="G27" s="5252">
        <f t="shared" si="7"/>
        <v>1778.5631119999998</v>
      </c>
      <c r="H27" s="2706">
        <f t="shared" si="7"/>
        <v>1615.1014829999999</v>
      </c>
      <c r="I27" s="2068">
        <f t="shared" si="7"/>
        <v>1362.1399999999999</v>
      </c>
      <c r="J27" s="2706">
        <f t="shared" si="7"/>
        <v>1625.401873</v>
      </c>
      <c r="K27" s="2706">
        <f t="shared" si="7"/>
        <v>2253.1042930000003</v>
      </c>
      <c r="L27" s="3139">
        <f t="shared" si="7"/>
        <v>2417.8795380000001</v>
      </c>
      <c r="M27" s="3834">
        <f t="shared" si="2"/>
        <v>7.3132542293726788E-2</v>
      </c>
      <c r="N27" s="3053">
        <f t="shared" si="3"/>
        <v>164.77524499999981</v>
      </c>
      <c r="O27" s="2363"/>
    </row>
    <row r="28" spans="2:16">
      <c r="B28" s="2372" t="s">
        <v>661</v>
      </c>
      <c r="C28" s="1678"/>
      <c r="D28" s="1679"/>
      <c r="E28" s="1680"/>
      <c r="F28" s="1680"/>
      <c r="G28" s="1680"/>
      <c r="H28" s="1680"/>
      <c r="I28" s="1680"/>
      <c r="J28" s="1680"/>
      <c r="K28" s="1680"/>
      <c r="L28" s="3126"/>
      <c r="M28" s="1680"/>
    </row>
    <row r="29" spans="2:16">
      <c r="B29" s="2372" t="s">
        <v>784</v>
      </c>
      <c r="C29" s="1681"/>
      <c r="E29" s="2362"/>
      <c r="F29" s="2362"/>
      <c r="G29" s="2362"/>
      <c r="H29" s="2362"/>
      <c r="I29" s="2362"/>
      <c r="J29" s="2362"/>
      <c r="K29" s="2770"/>
    </row>
    <row r="30" spans="2:16">
      <c r="B30" s="5945" t="s">
        <v>698</v>
      </c>
      <c r="C30" s="5945"/>
      <c r="D30" s="5945"/>
      <c r="E30" s="5945"/>
      <c r="F30" s="5945"/>
      <c r="G30" s="5945"/>
      <c r="H30" s="5945"/>
      <c r="I30" s="5945"/>
      <c r="J30" s="5945"/>
      <c r="K30" s="5945"/>
      <c r="L30" s="5945"/>
    </row>
    <row r="31" spans="2:16">
      <c r="B31" s="5944" t="s">
        <v>249</v>
      </c>
      <c r="C31" s="5944"/>
      <c r="D31" s="5944"/>
      <c r="E31" s="5944"/>
      <c r="F31" s="5944"/>
      <c r="G31" s="5944"/>
      <c r="H31" s="5944"/>
      <c r="I31" s="5944"/>
      <c r="J31" s="5944"/>
      <c r="K31" s="5944"/>
      <c r="L31" s="5944"/>
    </row>
    <row r="32" spans="2:16">
      <c r="B32" s="5944" t="s">
        <v>265</v>
      </c>
      <c r="C32" s="5944"/>
      <c r="D32" s="5944"/>
      <c r="E32" s="5944"/>
      <c r="F32" s="5944"/>
      <c r="G32" s="5944"/>
      <c r="H32" s="5944"/>
      <c r="I32" s="5944"/>
      <c r="J32" s="5944"/>
      <c r="K32" s="5944"/>
      <c r="L32" s="5944"/>
    </row>
    <row r="33" spans="2:14">
      <c r="B33" s="5944" t="s">
        <v>518</v>
      </c>
      <c r="C33" s="5944"/>
      <c r="D33" s="5944"/>
      <c r="E33" s="5944"/>
      <c r="F33" s="5944"/>
      <c r="G33" s="5944"/>
      <c r="H33" s="5944"/>
      <c r="I33" s="5944"/>
      <c r="J33" s="5944"/>
      <c r="K33" s="5944"/>
      <c r="L33" s="5944"/>
    </row>
    <row r="34" spans="2:14" ht="18" thickBot="1">
      <c r="B34" s="2353"/>
      <c r="C34" s="2354"/>
      <c r="D34" s="2353"/>
      <c r="E34" s="2353"/>
      <c r="F34" s="2353"/>
      <c r="G34" s="2353"/>
      <c r="H34" s="2353"/>
      <c r="I34" s="2353"/>
      <c r="J34" s="2353"/>
      <c r="K34" s="2353"/>
    </row>
    <row r="35" spans="2:14" ht="18" thickBot="1">
      <c r="B35" s="2355" t="s">
        <v>251</v>
      </c>
      <c r="C35" s="2373" t="s">
        <v>572</v>
      </c>
      <c r="D35" s="3055" t="s">
        <v>637</v>
      </c>
      <c r="E35" s="2356">
        <v>2016</v>
      </c>
      <c r="F35" s="2356">
        <v>2017</v>
      </c>
      <c r="G35" s="5250">
        <v>2018</v>
      </c>
      <c r="H35" s="2356">
        <v>2019</v>
      </c>
      <c r="I35" s="2357">
        <v>2020</v>
      </c>
      <c r="J35" s="2356">
        <v>2021</v>
      </c>
      <c r="K35" s="2357" t="s">
        <v>1958</v>
      </c>
      <c r="L35" s="3145" t="s">
        <v>1959</v>
      </c>
    </row>
    <row r="36" spans="2:14" ht="12" customHeight="1">
      <c r="B36" s="2358"/>
      <c r="C36" s="2368"/>
      <c r="D36" s="2374"/>
      <c r="E36" s="2375"/>
      <c r="F36" s="2360"/>
      <c r="G36" s="2359"/>
      <c r="H36" s="2359"/>
      <c r="J36" s="2374"/>
      <c r="K36" s="3299"/>
      <c r="L36" s="3301"/>
    </row>
    <row r="37" spans="2:14" ht="18" customHeight="1">
      <c r="B37" s="2358" t="s">
        <v>252</v>
      </c>
      <c r="C37" s="2367">
        <f>SUM(C39:C42)</f>
        <v>572.23320000000001</v>
      </c>
      <c r="D37" s="2376">
        <f t="shared" ref="D37:K37" si="8">SUM(D39:D42)</f>
        <v>656.45988848000002</v>
      </c>
      <c r="E37" s="2376">
        <f t="shared" si="8"/>
        <v>731.28405936000013</v>
      </c>
      <c r="F37" s="2376">
        <f t="shared" si="8"/>
        <v>779.32973512000012</v>
      </c>
      <c r="G37" s="2376">
        <f t="shared" si="8"/>
        <v>742.69631215999993</v>
      </c>
      <c r="H37" s="2376">
        <f t="shared" si="8"/>
        <v>727.68611608000003</v>
      </c>
      <c r="I37" s="2377">
        <f t="shared" si="8"/>
        <v>638.77</v>
      </c>
      <c r="J37" s="2376">
        <f t="shared" si="8"/>
        <v>753.49907687999996</v>
      </c>
      <c r="K37" s="3140">
        <f t="shared" si="8"/>
        <v>954.40030488000002</v>
      </c>
      <c r="L37" s="3302">
        <f t="shared" ref="L37" si="9">SUM(L39:L42)</f>
        <v>960.61652016000005</v>
      </c>
      <c r="M37" s="2552"/>
      <c r="N37" s="2365"/>
    </row>
    <row r="38" spans="2:14" ht="18" hidden="1" customHeight="1">
      <c r="B38" s="2364"/>
      <c r="C38" s="2367"/>
      <c r="D38" s="2378"/>
      <c r="E38" s="2378"/>
      <c r="F38" s="2378"/>
      <c r="G38" s="2379"/>
      <c r="H38" s="2379"/>
      <c r="I38" s="2362"/>
      <c r="J38" s="2379"/>
      <c r="K38" s="3141"/>
      <c r="L38" s="3303"/>
      <c r="M38" s="2552"/>
      <c r="N38" s="2365"/>
    </row>
    <row r="39" spans="2:14" ht="18" customHeight="1">
      <c r="B39" s="2364" t="s">
        <v>253</v>
      </c>
      <c r="C39" s="2366">
        <f t="shared" ref="C39:K42" si="10">+C10*0.88</f>
        <v>320.43</v>
      </c>
      <c r="D39" s="2380">
        <f t="shared" si="10"/>
        <v>308.41369679999997</v>
      </c>
      <c r="E39" s="2380">
        <f t="shared" si="10"/>
        <v>297.25960000000003</v>
      </c>
      <c r="F39" s="2380">
        <f t="shared" si="10"/>
        <v>313.04770287999997</v>
      </c>
      <c r="G39" s="2380">
        <f t="shared" si="10"/>
        <v>322.97503832000001</v>
      </c>
      <c r="H39" s="2381">
        <f t="shared" si="10"/>
        <v>329.04606680000001</v>
      </c>
      <c r="I39" s="2381">
        <f t="shared" si="10"/>
        <v>290.52672000000001</v>
      </c>
      <c r="J39" s="3056">
        <f t="shared" ref="J39" si="11">+J10*0.88</f>
        <v>326.68308815999995</v>
      </c>
      <c r="K39" s="3142">
        <f t="shared" si="10"/>
        <v>427.26377936</v>
      </c>
      <c r="L39" s="3303">
        <f t="shared" ref="L39" si="12">+L10*0.88</f>
        <v>431.78056416000004</v>
      </c>
      <c r="M39" s="2552"/>
      <c r="N39" s="2365"/>
    </row>
    <row r="40" spans="2:14" ht="18" customHeight="1">
      <c r="B40" s="2364" t="s">
        <v>254</v>
      </c>
      <c r="C40" s="2366">
        <f t="shared" si="10"/>
        <v>37.928000000000004</v>
      </c>
      <c r="D40" s="2380">
        <f t="shared" si="10"/>
        <v>36.315972000000002</v>
      </c>
      <c r="E40" s="2380">
        <f t="shared" si="10"/>
        <v>39.875440000000005</v>
      </c>
      <c r="F40" s="2380">
        <v>37.6</v>
      </c>
      <c r="G40" s="2380">
        <f t="shared" si="10"/>
        <v>40.534559119999997</v>
      </c>
      <c r="H40" s="2381">
        <f t="shared" si="10"/>
        <v>38.911721200000002</v>
      </c>
      <c r="I40" s="2381">
        <f t="shared" si="10"/>
        <v>30.337119999999999</v>
      </c>
      <c r="J40" s="3056">
        <f t="shared" ref="J40" si="13">+J11*0.88</f>
        <v>41.603767040000001</v>
      </c>
      <c r="K40" s="3142">
        <f t="shared" si="10"/>
        <v>58.842108160000002</v>
      </c>
      <c r="L40" s="3303">
        <f t="shared" ref="L40" si="14">+L11*0.88</f>
        <v>52.68662432</v>
      </c>
      <c r="M40" s="2552"/>
      <c r="N40" s="2365"/>
    </row>
    <row r="41" spans="2:14" ht="18" customHeight="1">
      <c r="B41" s="2364" t="s">
        <v>255</v>
      </c>
      <c r="C41" s="2366">
        <f t="shared" si="10"/>
        <v>21.0672</v>
      </c>
      <c r="D41" s="2380">
        <f t="shared" si="10"/>
        <v>147.30853895999999</v>
      </c>
      <c r="E41" s="2380">
        <f t="shared" si="10"/>
        <v>220.64901936000001</v>
      </c>
      <c r="F41" s="2380">
        <f t="shared" si="10"/>
        <v>249.71725504</v>
      </c>
      <c r="G41" s="2380">
        <f t="shared" si="10"/>
        <v>212.88027024000002</v>
      </c>
      <c r="H41" s="2381">
        <f t="shared" si="10"/>
        <v>208.46396384000002</v>
      </c>
      <c r="I41" s="2381">
        <f t="shared" si="10"/>
        <v>183.39024000000001</v>
      </c>
      <c r="J41" s="3056">
        <f t="shared" ref="J41" si="15">+J12*0.88</f>
        <v>239.01954912000002</v>
      </c>
      <c r="K41" s="3142">
        <f t="shared" si="10"/>
        <v>272.69635096000002</v>
      </c>
      <c r="L41" s="3303">
        <f t="shared" ref="L41" si="16">+L12*0.88</f>
        <v>268.84532048</v>
      </c>
      <c r="M41" s="2552"/>
      <c r="N41" s="2365"/>
    </row>
    <row r="42" spans="2:14" ht="18" customHeight="1">
      <c r="B42" s="2364" t="s">
        <v>256</v>
      </c>
      <c r="C42" s="2366">
        <f t="shared" si="10"/>
        <v>192.80799999999999</v>
      </c>
      <c r="D42" s="2380">
        <f t="shared" si="10"/>
        <v>164.42168071999998</v>
      </c>
      <c r="E42" s="2380">
        <v>173.5</v>
      </c>
      <c r="F42" s="2380">
        <f t="shared" si="10"/>
        <v>178.96477720000001</v>
      </c>
      <c r="G42" s="2380">
        <f t="shared" si="10"/>
        <v>166.30644448000001</v>
      </c>
      <c r="H42" s="2381">
        <f t="shared" si="10"/>
        <v>151.26436423999999</v>
      </c>
      <c r="I42" s="2381">
        <f t="shared" si="10"/>
        <v>134.51592000000002</v>
      </c>
      <c r="J42" s="3056">
        <f t="shared" ref="J42" si="17">+J13*0.88</f>
        <v>146.19267256000001</v>
      </c>
      <c r="K42" s="3142">
        <f t="shared" si="10"/>
        <v>195.59806640000002</v>
      </c>
      <c r="L42" s="3303">
        <f t="shared" ref="L42" si="18">+L13*0.88</f>
        <v>207.30401120000002</v>
      </c>
      <c r="M42" s="2552"/>
      <c r="N42" s="2365"/>
    </row>
    <row r="43" spans="2:14" ht="11.25" customHeight="1">
      <c r="B43" s="2364"/>
      <c r="C43" s="2367"/>
      <c r="D43" s="2378"/>
      <c r="E43" s="2378"/>
      <c r="F43" s="2378"/>
      <c r="G43" s="2379"/>
      <c r="H43" s="2379"/>
      <c r="I43" s="2362"/>
      <c r="J43" s="2379"/>
      <c r="K43" s="2362"/>
      <c r="L43" s="3303"/>
      <c r="M43" s="2552"/>
      <c r="N43" s="2365"/>
    </row>
    <row r="44" spans="2:14" ht="18" customHeight="1">
      <c r="B44" s="2358" t="s">
        <v>257</v>
      </c>
      <c r="C44" s="2361">
        <f>SUM(C46:C49)</f>
        <v>641.46280000000002</v>
      </c>
      <c r="D44" s="2378">
        <f t="shared" ref="D44:K44" si="19">SUM(D46:D49)</f>
        <v>426.09913191999999</v>
      </c>
      <c r="E44" s="2378">
        <f t="shared" si="19"/>
        <v>466.82281519600008</v>
      </c>
      <c r="F44" s="2378">
        <f t="shared" si="19"/>
        <v>400.87803008000003</v>
      </c>
      <c r="G44" s="2378">
        <f t="shared" si="19"/>
        <v>525.34860928000001</v>
      </c>
      <c r="H44" s="2378">
        <f t="shared" si="19"/>
        <v>406.38949567999998</v>
      </c>
      <c r="I44" s="2382">
        <f t="shared" si="19"/>
        <v>296.66471999999999</v>
      </c>
      <c r="J44" s="2378">
        <f t="shared" si="19"/>
        <v>373.40630271999999</v>
      </c>
      <c r="K44" s="2383">
        <f t="shared" si="19"/>
        <v>690.34707456000001</v>
      </c>
      <c r="L44" s="3302">
        <f t="shared" ref="L44" si="20">SUM(L46:L49)</f>
        <v>771.00920775999998</v>
      </c>
      <c r="M44" s="2552"/>
      <c r="N44" s="2365"/>
    </row>
    <row r="45" spans="2:14" ht="18" hidden="1" customHeight="1">
      <c r="B45" s="2364"/>
      <c r="C45" s="2361"/>
      <c r="D45" s="2378"/>
      <c r="E45" s="2378"/>
      <c r="F45" s="2378"/>
      <c r="G45" s="2379"/>
      <c r="H45" s="2378">
        <f>+H16*0.88</f>
        <v>0</v>
      </c>
      <c r="I45" s="2383"/>
      <c r="J45" s="2378"/>
      <c r="K45" s="2383"/>
      <c r="L45" s="3302"/>
      <c r="M45" s="2552"/>
      <c r="N45" s="2365"/>
    </row>
    <row r="46" spans="2:14" ht="18" customHeight="1">
      <c r="B46" s="2364" t="s">
        <v>258</v>
      </c>
      <c r="C46" s="2366">
        <f t="shared" ref="C46:E49" si="21">+C17*0.88</f>
        <v>152.15200000000002</v>
      </c>
      <c r="D46" s="2380">
        <f t="shared" si="21"/>
        <v>75.544189599999996</v>
      </c>
      <c r="E46" s="2380">
        <v>24.3</v>
      </c>
      <c r="F46" s="2380">
        <f t="shared" ref="F46:I49" si="22">+F17*0.88</f>
        <v>23.589464800000002</v>
      </c>
      <c r="G46" s="2380">
        <f t="shared" si="22"/>
        <v>26.879407279999999</v>
      </c>
      <c r="H46" s="2381">
        <f t="shared" si="22"/>
        <v>22.387987600000002</v>
      </c>
      <c r="I46" s="2381">
        <f t="shared" si="22"/>
        <v>23.063039999999997</v>
      </c>
      <c r="J46" s="2381">
        <f t="shared" ref="J46:L46" si="23">+J17*0.88</f>
        <v>32.858328800000002</v>
      </c>
      <c r="K46" s="3143">
        <f t="shared" si="23"/>
        <v>31.301188160000002</v>
      </c>
      <c r="L46" s="3303">
        <f t="shared" si="23"/>
        <v>31.977761200000003</v>
      </c>
      <c r="M46" s="2552"/>
      <c r="N46" s="2365"/>
    </row>
    <row r="47" spans="2:14" ht="18" customHeight="1">
      <c r="B47" s="2364" t="s">
        <v>259</v>
      </c>
      <c r="C47" s="2366">
        <f t="shared" si="21"/>
        <v>375.84800000000001</v>
      </c>
      <c r="D47" s="2380">
        <f t="shared" si="21"/>
        <v>224.47832263999999</v>
      </c>
      <c r="E47" s="2380">
        <f t="shared" si="21"/>
        <v>305.18400000000003</v>
      </c>
      <c r="F47" s="2380">
        <f t="shared" si="22"/>
        <v>245.57594336000002</v>
      </c>
      <c r="G47" s="2380">
        <f t="shared" si="22"/>
        <v>352.52065640000001</v>
      </c>
      <c r="H47" s="2381">
        <f t="shared" si="22"/>
        <v>255.28661664000001</v>
      </c>
      <c r="I47" s="2381">
        <f t="shared" si="22"/>
        <v>144.78904</v>
      </c>
      <c r="J47" s="2381">
        <f t="shared" ref="J47:L47" si="24">+J18*0.88</f>
        <v>180.47911639999998</v>
      </c>
      <c r="K47" s="3143">
        <f t="shared" si="24"/>
        <v>480.5436416</v>
      </c>
      <c r="L47" s="3303">
        <f t="shared" si="24"/>
        <v>570.77572903999999</v>
      </c>
      <c r="M47" s="2552"/>
      <c r="N47" s="2365"/>
    </row>
    <row r="48" spans="2:14" ht="18" customHeight="1">
      <c r="B48" s="2364" t="s">
        <v>260</v>
      </c>
      <c r="C48" s="2366">
        <f t="shared" si="21"/>
        <v>6.9828000000000001</v>
      </c>
      <c r="D48" s="2380">
        <f t="shared" si="21"/>
        <v>6.9566789600000005</v>
      </c>
      <c r="E48" s="2380">
        <f t="shared" si="21"/>
        <v>6.4395945327999993</v>
      </c>
      <c r="F48" s="2380">
        <f t="shared" si="22"/>
        <v>5.9438007199999996</v>
      </c>
      <c r="G48" s="2380">
        <f t="shared" si="22"/>
        <v>6.8041978399999996</v>
      </c>
      <c r="H48" s="2381">
        <f t="shared" si="22"/>
        <v>5.5741074399999997</v>
      </c>
      <c r="I48" s="2381">
        <f t="shared" si="22"/>
        <v>6.0456000000000003</v>
      </c>
      <c r="J48" s="2381">
        <f t="shared" ref="J48:L48" si="25">+J19*0.88</f>
        <v>7.7050300799999993</v>
      </c>
      <c r="K48" s="3143">
        <f t="shared" si="25"/>
        <v>8.9731998400000013</v>
      </c>
      <c r="L48" s="3303">
        <f t="shared" si="25"/>
        <v>10.744328320000001</v>
      </c>
      <c r="M48" s="2552"/>
      <c r="N48" s="2365"/>
    </row>
    <row r="49" spans="2:14" ht="18" customHeight="1">
      <c r="B49" s="2364" t="s">
        <v>261</v>
      </c>
      <c r="C49" s="2366">
        <f t="shared" si="21"/>
        <v>106.48</v>
      </c>
      <c r="D49" s="2380">
        <f t="shared" si="21"/>
        <v>119.11994072000002</v>
      </c>
      <c r="E49" s="2380">
        <f t="shared" si="21"/>
        <v>130.8992206632</v>
      </c>
      <c r="F49" s="2380">
        <f t="shared" si="22"/>
        <v>125.7688212</v>
      </c>
      <c r="G49" s="2380">
        <f t="shared" si="22"/>
        <v>139.14434775999999</v>
      </c>
      <c r="H49" s="2380">
        <v>123.140784</v>
      </c>
      <c r="I49" s="2381">
        <f t="shared" si="22"/>
        <v>122.76704000000001</v>
      </c>
      <c r="J49" s="2381">
        <f t="shared" ref="J49:L49" si="26">+J20*0.88</f>
        <v>152.36382743999999</v>
      </c>
      <c r="K49" s="3143">
        <f t="shared" si="26"/>
        <v>169.52904496000002</v>
      </c>
      <c r="L49" s="3303">
        <f t="shared" si="26"/>
        <v>157.5113892</v>
      </c>
      <c r="M49" s="2552"/>
      <c r="N49" s="2365"/>
    </row>
    <row r="50" spans="2:14" ht="8.25" customHeight="1">
      <c r="B50" s="2364"/>
      <c r="C50" s="2367"/>
      <c r="D50" s="2378"/>
      <c r="E50" s="2378"/>
      <c r="F50" s="2378"/>
      <c r="G50" s="2379"/>
      <c r="H50" s="2379"/>
      <c r="I50" s="2362"/>
      <c r="J50" s="2379"/>
      <c r="K50" s="2362"/>
      <c r="L50" s="3303"/>
      <c r="M50" s="2552"/>
      <c r="N50" s="2365"/>
    </row>
    <row r="51" spans="2:14" ht="18" customHeight="1">
      <c r="B51" s="2358" t="s">
        <v>262</v>
      </c>
      <c r="C51" s="2361">
        <f>SUM(C53:C54)</f>
        <v>237.96959999999999</v>
      </c>
      <c r="D51" s="2378">
        <f>SUM(D53:D54)</f>
        <v>236.52490224000002</v>
      </c>
      <c r="E51" s="2378">
        <f t="shared" ref="E51:K51" si="27">SUM(E53:E54)</f>
        <v>286.24164338000003</v>
      </c>
      <c r="F51" s="2378">
        <f t="shared" si="27"/>
        <v>301.97047320000001</v>
      </c>
      <c r="G51" s="2378">
        <f t="shared" si="27"/>
        <v>297.09061711999999</v>
      </c>
      <c r="H51" s="2378">
        <f t="shared" si="27"/>
        <v>287.58738976000001</v>
      </c>
      <c r="I51" s="2382">
        <f t="shared" si="27"/>
        <v>263.24847999999997</v>
      </c>
      <c r="J51" s="2378">
        <f t="shared" si="27"/>
        <v>303.44826863999998</v>
      </c>
      <c r="K51" s="2383">
        <f t="shared" si="27"/>
        <v>337.98439840000003</v>
      </c>
      <c r="L51" s="3302">
        <f t="shared" ref="L51" si="28">SUM(L53:L54)</f>
        <v>396.10826552000003</v>
      </c>
      <c r="M51" s="2552"/>
      <c r="N51" s="2365"/>
    </row>
    <row r="52" spans="2:14" ht="18" hidden="1" customHeight="1">
      <c r="B52" s="2364"/>
      <c r="C52" s="2361"/>
      <c r="D52" s="2378"/>
      <c r="E52" s="2378"/>
      <c r="F52" s="2378"/>
      <c r="G52" s="2379"/>
      <c r="H52" s="2378">
        <f t="shared" ref="H52:I53" si="29">+H23*0.88</f>
        <v>0</v>
      </c>
      <c r="I52" s="2383"/>
      <c r="J52" s="2378"/>
      <c r="K52" s="2383"/>
      <c r="L52" s="3302"/>
      <c r="M52" s="2552"/>
      <c r="N52" s="2365"/>
    </row>
    <row r="53" spans="2:14" ht="18" customHeight="1">
      <c r="B53" s="2364" t="s">
        <v>263</v>
      </c>
      <c r="C53" s="2366">
        <f>+C24*0.88</f>
        <v>237.77599999999998</v>
      </c>
      <c r="D53" s="2380">
        <f>+D24*0.88</f>
        <v>236.35990576</v>
      </c>
      <c r="E53" s="2380">
        <f>+E24*0.88</f>
        <v>286.12176302160003</v>
      </c>
      <c r="F53" s="2380">
        <f>+F24*0.88</f>
        <v>301.88678343999999</v>
      </c>
      <c r="G53" s="2380">
        <f>+G24*0.88</f>
        <v>297.05460488</v>
      </c>
      <c r="H53" s="2380">
        <f t="shared" si="29"/>
        <v>287.54914936</v>
      </c>
      <c r="I53" s="2381">
        <f t="shared" si="29"/>
        <v>262.88151999999997</v>
      </c>
      <c r="J53" s="2381">
        <f t="shared" ref="J53:K53" si="30">+J24*0.88</f>
        <v>303.44742120000001</v>
      </c>
      <c r="K53" s="3143">
        <f t="shared" si="30"/>
        <v>337.90594552000005</v>
      </c>
      <c r="L53" s="3303">
        <f t="shared" ref="L53" si="31">+L24*0.88</f>
        <v>396.07130552000001</v>
      </c>
      <c r="M53" s="2552"/>
      <c r="N53" s="2365"/>
    </row>
    <row r="54" spans="2:14" ht="18" customHeight="1">
      <c r="B54" s="2364" t="s">
        <v>264</v>
      </c>
      <c r="C54" s="2366">
        <f t="shared" ref="C54:I54" si="32">C25*0.88</f>
        <v>0.19359999999999999</v>
      </c>
      <c r="D54" s="2380">
        <f t="shared" si="32"/>
        <v>0.16499648</v>
      </c>
      <c r="E54" s="2380">
        <f t="shared" si="32"/>
        <v>0.1198803584</v>
      </c>
      <c r="F54" s="2380">
        <f t="shared" si="32"/>
        <v>8.3689760000000002E-2</v>
      </c>
      <c r="G54" s="2380">
        <f t="shared" si="32"/>
        <v>3.6012240000000001E-2</v>
      </c>
      <c r="H54" s="2380">
        <f t="shared" si="32"/>
        <v>3.8240400000000001E-2</v>
      </c>
      <c r="I54" s="2381">
        <f t="shared" si="32"/>
        <v>0.36696000000000001</v>
      </c>
      <c r="J54" s="2381">
        <f t="shared" ref="J54:K54" si="33">J25*0.88</f>
        <v>8.4743999999999998E-4</v>
      </c>
      <c r="K54" s="3143">
        <f t="shared" si="33"/>
        <v>7.8452879999999989E-2</v>
      </c>
      <c r="L54" s="3303">
        <f t="shared" ref="L54" si="34">L25*0.88</f>
        <v>3.696E-2</v>
      </c>
      <c r="M54" s="2552"/>
      <c r="N54" s="2365"/>
    </row>
    <row r="55" spans="2:14" ht="13.5" customHeight="1">
      <c r="B55" s="2364"/>
      <c r="C55" s="2367"/>
      <c r="D55" s="2378"/>
      <c r="E55" s="2378"/>
      <c r="F55" s="2378"/>
      <c r="G55" s="2379"/>
      <c r="H55" s="2379"/>
      <c r="I55" s="2362"/>
      <c r="J55" s="2705"/>
      <c r="K55" s="3144"/>
      <c r="L55" s="3304"/>
      <c r="M55" s="2552"/>
      <c r="N55" s="2365"/>
    </row>
    <row r="56" spans="2:14" ht="18" thickBot="1">
      <c r="B56" s="2371" t="s">
        <v>394</v>
      </c>
      <c r="C56" s="2384">
        <f t="shared" ref="C56:K56" si="35">SUM(C51,C44,C37)</f>
        <v>1451.6656</v>
      </c>
      <c r="D56" s="2322">
        <f t="shared" si="35"/>
        <v>1319.0839226400001</v>
      </c>
      <c r="E56" s="2322">
        <f t="shared" si="35"/>
        <v>1484.3485179360002</v>
      </c>
      <c r="F56" s="2322">
        <f t="shared" si="35"/>
        <v>1482.1782384000003</v>
      </c>
      <c r="G56" s="5252">
        <f t="shared" si="35"/>
        <v>1565.13553856</v>
      </c>
      <c r="H56" s="2322">
        <f t="shared" si="35"/>
        <v>1421.6630015199999</v>
      </c>
      <c r="I56" s="2068">
        <f t="shared" si="35"/>
        <v>1198.6831999999999</v>
      </c>
      <c r="J56" s="2706">
        <f t="shared" si="35"/>
        <v>1430.35364824</v>
      </c>
      <c r="K56" s="3300">
        <f t="shared" si="35"/>
        <v>1982.7317778400002</v>
      </c>
      <c r="L56" s="3305">
        <f t="shared" ref="L56" si="36">SUM(L51,L44,L37)</f>
        <v>2127.7339934400002</v>
      </c>
      <c r="M56" s="2552"/>
      <c r="N56" s="2365"/>
    </row>
    <row r="57" spans="2:14">
      <c r="B57" s="2372" t="s">
        <v>737</v>
      </c>
    </row>
    <row r="58" spans="2:14">
      <c r="B58" s="2372" t="s">
        <v>421</v>
      </c>
    </row>
    <row r="59" spans="2:14">
      <c r="B59" s="2372" t="s">
        <v>269</v>
      </c>
    </row>
    <row r="60" spans="2:14">
      <c r="B60" s="2372"/>
    </row>
    <row r="79" spans="2:2">
      <c r="B79" s="2352" t="s">
        <v>747</v>
      </c>
    </row>
  </sheetData>
  <mergeCells count="8">
    <mergeCell ref="B33:L33"/>
    <mergeCell ref="B1:L1"/>
    <mergeCell ref="B2:L2"/>
    <mergeCell ref="B3:L3"/>
    <mergeCell ref="B4:L4"/>
    <mergeCell ref="B32:L32"/>
    <mergeCell ref="B31:L31"/>
    <mergeCell ref="B30:L30"/>
  </mergeCells>
  <printOptions horizontalCentered="1" verticalCentered="1"/>
  <pageMargins left="0.25" right="0.25" top="0.75" bottom="0.75" header="0.3" footer="0.3"/>
  <pageSetup scale="54" firstPageNumber="103" orientation="landscape" useFirstPageNumber="1" r:id="rId1"/>
  <headerFooter scaleWithDoc="0" alignWithMargins="0">
    <oddFooter xml:space="preserve">&amp;C156
</oddFooter>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00B0F0"/>
    <pageSetUpPr fitToPage="1"/>
  </sheetPr>
  <dimension ref="A2:L81"/>
  <sheetViews>
    <sheetView view="pageBreakPreview" topLeftCell="B15" zoomScale="70" zoomScaleNormal="85" zoomScaleSheetLayoutView="70" workbookViewId="0">
      <selection activeCell="B44" sqref="B44"/>
    </sheetView>
  </sheetViews>
  <sheetFormatPr defaultColWidth="9.46484375" defaultRowHeight="15.75"/>
  <cols>
    <col min="1" max="1" width="2.46484375" style="2386" hidden="1" customWidth="1"/>
    <col min="2" max="2" width="59.46484375" style="2386" customWidth="1"/>
    <col min="3" max="3" width="17.46484375" style="2386" hidden="1" customWidth="1"/>
    <col min="4" max="5" width="16.46484375" style="2386" hidden="1" customWidth="1"/>
    <col min="6" max="10" width="16.46484375" style="2386" customWidth="1"/>
    <col min="11" max="11" width="14.6640625" style="2386" customWidth="1"/>
    <col min="12" max="12" width="12.6640625" style="2386" customWidth="1"/>
    <col min="13" max="13" width="1.6640625" style="2386" customWidth="1"/>
    <col min="14" max="16384" width="9.46484375" style="2386"/>
  </cols>
  <sheetData>
    <row r="2" spans="2:12">
      <c r="B2" s="5946" t="s">
        <v>1051</v>
      </c>
      <c r="C2" s="5946"/>
      <c r="D2" s="5946"/>
      <c r="E2" s="5946"/>
      <c r="F2" s="5946"/>
      <c r="G2" s="5946"/>
      <c r="H2" s="5946"/>
      <c r="I2" s="5946"/>
      <c r="J2" s="5946"/>
      <c r="K2" s="5946"/>
      <c r="L2" s="5946"/>
    </row>
    <row r="3" spans="2:12">
      <c r="B3" s="5946" t="s">
        <v>266</v>
      </c>
      <c r="C3" s="5946"/>
      <c r="D3" s="5946"/>
      <c r="E3" s="5946"/>
      <c r="F3" s="5946"/>
      <c r="G3" s="5946"/>
      <c r="H3" s="5946"/>
      <c r="I3" s="5946"/>
      <c r="J3" s="5946"/>
      <c r="K3" s="5946"/>
      <c r="L3" s="5946"/>
    </row>
    <row r="4" spans="2:12">
      <c r="B4" s="5946" t="s">
        <v>99</v>
      </c>
      <c r="C4" s="5946"/>
      <c r="D4" s="5946"/>
      <c r="E4" s="5946"/>
      <c r="F4" s="5946"/>
      <c r="G4" s="5946"/>
      <c r="H4" s="5946"/>
      <c r="I4" s="5946"/>
      <c r="J4" s="5946"/>
      <c r="K4" s="5946"/>
      <c r="L4" s="5946"/>
    </row>
    <row r="5" spans="2:12" ht="16.149999999999999" thickBot="1">
      <c r="B5" s="2387"/>
      <c r="C5" s="2387"/>
      <c r="D5" s="2387"/>
      <c r="E5" s="2387"/>
      <c r="F5" s="2387"/>
      <c r="G5" s="2387"/>
    </row>
    <row r="6" spans="2:12" ht="18" customHeight="1" thickBot="1">
      <c r="B6" s="2388" t="s">
        <v>251</v>
      </c>
      <c r="C6" s="2389">
        <v>2014</v>
      </c>
      <c r="D6" s="2390">
        <v>2015</v>
      </c>
      <c r="E6" s="2390">
        <v>2016</v>
      </c>
      <c r="F6" s="2390">
        <v>2017</v>
      </c>
      <c r="G6" s="2391">
        <v>2018</v>
      </c>
      <c r="H6" s="2391">
        <v>2019</v>
      </c>
      <c r="I6" s="2391">
        <v>2020</v>
      </c>
      <c r="J6" s="2391">
        <v>2021</v>
      </c>
      <c r="K6" s="3306" t="s">
        <v>1958</v>
      </c>
      <c r="L6" s="3312" t="s">
        <v>1959</v>
      </c>
    </row>
    <row r="7" spans="2:12" ht="18" customHeight="1">
      <c r="B7" s="2392"/>
      <c r="C7" s="2393"/>
      <c r="E7" s="2542"/>
      <c r="F7" s="2543"/>
      <c r="G7" s="2544"/>
      <c r="H7" s="2544"/>
      <c r="I7" s="2544"/>
      <c r="J7" s="2544"/>
      <c r="K7" s="3307"/>
      <c r="L7" s="3313"/>
    </row>
    <row r="8" spans="2:12" ht="18" customHeight="1">
      <c r="B8" s="2395" t="s">
        <v>252</v>
      </c>
      <c r="C8" s="2396"/>
      <c r="D8" s="1">
        <f>'[193]Import by Economic Function '!D8/'[193]Import by Economic Function '!C8-1</f>
        <v>8.2421577972058291E-3</v>
      </c>
      <c r="E8" s="2320">
        <f>'Import by Economic Function'!E8/'Import by Economic Function'!D8-1</f>
        <v>0.11396302079206078</v>
      </c>
      <c r="F8" s="2320">
        <f>'Import by Economic Function'!F8/'Import by Economic Function'!E8-1</f>
        <v>6.5705000363090349E-2</v>
      </c>
      <c r="G8" s="2320">
        <f>'Import by Economic Function'!G8/'Import by Economic Function'!F8-1</f>
        <v>-4.6994745711208541E-2</v>
      </c>
      <c r="H8" s="2320">
        <f>'Import by Economic Function'!H8/'Import by Economic Function'!G8-1</f>
        <v>-2.0210408795952595E-2</v>
      </c>
      <c r="I8" s="2320">
        <f>'Import by Economic Function'!I8/'Import by Economic Function'!H8-1</f>
        <v>-0.1221902055229328</v>
      </c>
      <c r="J8" s="2320">
        <f>'Import by Economic Function'!J8/'Import by Economic Function'!I8-1</f>
        <v>0.17960936938178063</v>
      </c>
      <c r="K8" s="3308">
        <f>'Import by Economic Function'!K8/'Import by Economic Function'!J8-1</f>
        <v>0.26662438503822461</v>
      </c>
      <c r="L8" s="3314">
        <f>'Import by Economic Function'!L8/'Import by Economic Function'!K8-1</f>
        <v>6.513215941168049E-3</v>
      </c>
    </row>
    <row r="9" spans="2:12" ht="18" hidden="1" customHeight="1">
      <c r="B9" s="2397"/>
      <c r="C9" s="2394"/>
      <c r="D9" s="2" t="e">
        <f>'[193]Import by Economic Function '!D9/'[193]Import by Economic Function '!C9-1</f>
        <v>#DIV/0!</v>
      </c>
      <c r="E9" s="2321" t="e">
        <f>'Import by Economic Function'!E9/'Import by Economic Function'!D9-1</f>
        <v>#DIV/0!</v>
      </c>
      <c r="F9" s="2321" t="e">
        <f>'Import by Economic Function'!F9/'Import by Economic Function'!E9-1</f>
        <v>#DIV/0!</v>
      </c>
      <c r="G9" s="2321" t="e">
        <f>'Import by Economic Function'!G9/'Import by Economic Function'!F9-1</f>
        <v>#DIV/0!</v>
      </c>
      <c r="H9" s="2321" t="e">
        <f>'Import by Economic Function'!H9/'Import by Economic Function'!G9-1</f>
        <v>#DIV/0!</v>
      </c>
      <c r="I9" s="2321" t="e">
        <f>'Import by Economic Function'!I9/'Import by Economic Function'!H9-1</f>
        <v>#DIV/0!</v>
      </c>
      <c r="J9" s="2321" t="e">
        <f>'Import by Economic Function'!J9/'Import by Economic Function'!I9-1</f>
        <v>#DIV/0!</v>
      </c>
      <c r="K9" s="3309" t="e">
        <f>'Import by Economic Function'!K9/'Import by Economic Function'!J9-1</f>
        <v>#DIV/0!</v>
      </c>
      <c r="L9" s="3315"/>
    </row>
    <row r="10" spans="2:12" ht="18" customHeight="1">
      <c r="B10" s="2397" t="s">
        <v>253</v>
      </c>
      <c r="C10" s="2394"/>
      <c r="D10" s="2">
        <v>-3.7538078050120105E-2</v>
      </c>
      <c r="E10" s="2321">
        <f>'Import by Economic Function'!E10/'Import by Economic Function'!D10-1</f>
        <v>-3.6166022831447653E-2</v>
      </c>
      <c r="F10" s="2321">
        <f>'Import by Economic Function'!F10/'Import by Economic Function'!E10-1</f>
        <v>5.3112171583356682E-2</v>
      </c>
      <c r="G10" s="2321">
        <f>'Import by Economic Function'!G10/'Import by Economic Function'!F10-1</f>
        <v>3.1711893582574646E-2</v>
      </c>
      <c r="H10" s="2321">
        <f>'Import by Economic Function'!H10/'Import by Economic Function'!G10-1</f>
        <v>1.8797206470132499E-2</v>
      </c>
      <c r="I10" s="2321">
        <f>'Import by Economic Function'!I10/'Import by Economic Function'!H10-1</f>
        <v>-0.11706369012279583</v>
      </c>
      <c r="J10" s="2321">
        <f>'Import by Economic Function'!J10/'Import by Economic Function'!I10-1</f>
        <v>0.124451094068043</v>
      </c>
      <c r="K10" s="3309">
        <f>'Import by Economic Function'!K10/'Import by Economic Function'!J10-1</f>
        <v>0.30788459778101052</v>
      </c>
      <c r="L10" s="3316">
        <f>'Import by Economic Function'!L10/'Import by Economic Function'!K10-1</f>
        <v>1.0571419853949937E-2</v>
      </c>
    </row>
    <row r="11" spans="2:12" ht="18" customHeight="1">
      <c r="B11" s="2397" t="s">
        <v>254</v>
      </c>
      <c r="C11" s="2394"/>
      <c r="D11" s="2">
        <v>-4.2502565893271615E-2</v>
      </c>
      <c r="E11" s="2321">
        <f>'Import by Economic Function'!E11/'Import by Economic Function'!D11-1</f>
        <v>9.8013843605783357E-2</v>
      </c>
      <c r="F11" s="2321">
        <f>'Import by Economic Function'!F11/'Import by Economic Function'!E11-1</f>
        <v>-5.7301061505528161E-2</v>
      </c>
      <c r="G11" s="2321">
        <f>'Import by Economic Function'!G11/'Import by Economic Function'!F11-1</f>
        <v>7.8318229924972504E-2</v>
      </c>
      <c r="H11" s="2321">
        <f>'Import by Economic Function'!H11/'Import by Economic Function'!G11-1</f>
        <v>-4.0035908993007352E-2</v>
      </c>
      <c r="I11" s="2321">
        <f>'Import by Economic Function'!I11/'Import by Economic Function'!H11-1</f>
        <v>-0.2203603679191658</v>
      </c>
      <c r="J11" s="2321">
        <f>'Import by Economic Function'!J11/'Import by Economic Function'!I11-1</f>
        <v>0.37138156291698121</v>
      </c>
      <c r="K11" s="3309">
        <f>'Import by Economic Function'!K11/'Import by Economic Function'!J11-1</f>
        <v>0.41434567940509259</v>
      </c>
      <c r="L11" s="3316">
        <f>'Import by Economic Function'!L11/'Import by Economic Function'!K11-1</f>
        <v>-0.10461018533296551</v>
      </c>
    </row>
    <row r="12" spans="2:12" ht="18" customHeight="1">
      <c r="B12" s="2397" t="s">
        <v>255</v>
      </c>
      <c r="C12" s="2394"/>
      <c r="D12" s="2">
        <v>0.25313283208020043</v>
      </c>
      <c r="E12" s="2321">
        <f>'Import by Economic Function'!E12/'Import by Economic Function'!D12-1</f>
        <v>0.49786985138665196</v>
      </c>
      <c r="F12" s="2321">
        <f>'Import by Economic Function'!F12/'Import by Economic Function'!E12-1</f>
        <v>0.13173970029104765</v>
      </c>
      <c r="G12" s="2321">
        <f>'Import by Economic Function'!G12/'Import by Economic Function'!F12-1</f>
        <v>-0.14751477543712144</v>
      </c>
      <c r="H12" s="2321">
        <f>'Import by Economic Function'!H12/'Import by Economic Function'!G12-1</f>
        <v>-2.0745494145704924E-2</v>
      </c>
      <c r="I12" s="2321">
        <f>'Import by Economic Function'!I12/'Import by Economic Function'!H12-1</f>
        <v>-0.12027845666047376</v>
      </c>
      <c r="J12" s="2321">
        <f>'Import by Economic Function'!J12/'Import by Economic Function'!I12-1</f>
        <v>0.3033384389485505</v>
      </c>
      <c r="K12" s="3309">
        <f>'Import by Economic Function'!K12/'Import by Economic Function'!J12-1</f>
        <v>0.14089559604638247</v>
      </c>
      <c r="L12" s="3316">
        <f>'Import by Economic Function'!L12/'Import by Economic Function'!K12-1</f>
        <v>-1.4122046248300824E-2</v>
      </c>
    </row>
    <row r="13" spans="2:12" ht="18" customHeight="1">
      <c r="B13" s="2397" t="s">
        <v>256</v>
      </c>
      <c r="C13" s="2394"/>
      <c r="D13" s="2">
        <v>6.7549064354176291E-2</v>
      </c>
      <c r="E13" s="2321">
        <f>'Import by Economic Function'!E13/'Import by Economic Function'!D13-1</f>
        <v>5.514054034905147E-2</v>
      </c>
      <c r="F13" s="2321">
        <f>'Import by Economic Function'!F13/'Import by Economic Function'!E13-1</f>
        <v>3.1568735350820942E-2</v>
      </c>
      <c r="G13" s="2321">
        <f>'Import by Economic Function'!G13/'Import by Economic Function'!F13-1</f>
        <v>-7.0730860664575457E-2</v>
      </c>
      <c r="H13" s="2321">
        <f>'Import by Economic Function'!H13/'Import by Economic Function'!G13-1</f>
        <v>-9.0447969632403313E-2</v>
      </c>
      <c r="I13" s="2321">
        <f>'Import by Economic Function'!I13/'Import by Economic Function'!H13-1</f>
        <v>-0.11072300025289816</v>
      </c>
      <c r="J13" s="2321">
        <f>'Import by Economic Function'!J13/'Import by Economic Function'!I13-1</f>
        <v>8.6805729463099945E-2</v>
      </c>
      <c r="K13" s="3309">
        <f>'Import by Economic Function'!K13/'Import by Economic Function'!J13-1</f>
        <v>0.3379471280937365</v>
      </c>
      <c r="L13" s="3316">
        <f>'Import by Economic Function'!L13/'Import by Economic Function'!K13-1</f>
        <v>5.9846935173997196E-2</v>
      </c>
    </row>
    <row r="14" spans="2:12" ht="18" customHeight="1">
      <c r="B14" s="2397"/>
      <c r="C14" s="2394"/>
      <c r="D14" s="1"/>
      <c r="E14" s="2320"/>
      <c r="F14" s="1"/>
      <c r="G14" s="2320"/>
      <c r="H14" s="2320"/>
      <c r="I14" s="2320"/>
      <c r="J14" s="2320"/>
      <c r="K14" s="3308"/>
      <c r="L14" s="3315"/>
    </row>
    <row r="15" spans="2:12" ht="18" customHeight="1">
      <c r="B15" s="2395" t="s">
        <v>257</v>
      </c>
      <c r="C15" s="2396"/>
      <c r="D15" s="1">
        <f>'[193]Import by Economic Function '!D15/'[193]Import by Economic Function '!C15-1</f>
        <v>-0.21177091951957305</v>
      </c>
      <c r="E15" s="2320">
        <f>'Import by Economic Function'!E15/'Import by Economic Function'!D15-1</f>
        <v>9.5545097903751541E-2</v>
      </c>
      <c r="F15" s="2320">
        <f>'Import by Economic Function'!F15/'Import by Economic Function'!E15-1</f>
        <v>-0.14124091167064479</v>
      </c>
      <c r="G15" s="2320">
        <f>'Import by Economic Function'!G15/'Import by Economic Function'!F15-1</f>
        <v>0.3104948883708103</v>
      </c>
      <c r="H15" s="2320">
        <f>'Import by Economic Function'!H15/'Import by Economic Function'!G15-1</f>
        <v>-0.22714975917333791</v>
      </c>
      <c r="I15" s="2320">
        <f>'Import by Economic Function'!I15/'Import by Economic Function'!H15-1</f>
        <v>-0.26932715282376118</v>
      </c>
      <c r="J15" s="2320">
        <f>'Import by Economic Function'!J15/'Import by Economic Function'!I15-1</f>
        <v>0.25868118972825593</v>
      </c>
      <c r="K15" s="3308">
        <f>'Import by Economic Function'!K15/'Import by Economic Function'!J15-1</f>
        <v>0.84878259828854352</v>
      </c>
      <c r="L15" s="3314">
        <f>'Import by Economic Function'!L15/'Import by Economic Function'!K15-1</f>
        <v>0.11684286958326129</v>
      </c>
    </row>
    <row r="16" spans="2:12" ht="18" hidden="1" customHeight="1">
      <c r="B16" s="2397"/>
      <c r="C16" s="2394"/>
      <c r="D16" s="2" t="e">
        <f>'[193]Import by Economic Function '!D16/'[193]Import by Economic Function '!C16-1</f>
        <v>#DIV/0!</v>
      </c>
      <c r="E16" s="2321" t="e">
        <f>'Import by Economic Function'!E16/'Import by Economic Function'!D16-1</f>
        <v>#DIV/0!</v>
      </c>
      <c r="F16" s="2321" t="e">
        <f>'Import by Economic Function'!F16/'Import by Economic Function'!E16-1</f>
        <v>#DIV/0!</v>
      </c>
      <c r="G16" s="2321" t="e">
        <f>'Import by Economic Function'!G16/'Import by Economic Function'!F16-1</f>
        <v>#DIV/0!</v>
      </c>
      <c r="H16" s="2321" t="e">
        <f>'Import by Economic Function'!H16/'Import by Economic Function'!G16-1</f>
        <v>#DIV/0!</v>
      </c>
      <c r="I16" s="2321" t="e">
        <f>'Import by Economic Function'!I16/'Import by Economic Function'!H16-1</f>
        <v>#DIV/0!</v>
      </c>
      <c r="J16" s="2321" t="e">
        <f>'Import by Economic Function'!J16/'Import by Economic Function'!I16-1</f>
        <v>#DIV/0!</v>
      </c>
      <c r="K16" s="3309" t="e">
        <f>'Import by Economic Function'!K16/'Import by Economic Function'!J16-1</f>
        <v>#DIV/0!</v>
      </c>
      <c r="L16" s="3316" t="e">
        <f>'Import by Economic Function'!L16/'Import by Economic Function'!K16-1</f>
        <v>#DIV/0!</v>
      </c>
    </row>
    <row r="17" spans="2:12" ht="18" customHeight="1">
      <c r="B17" s="2397" t="s">
        <v>258</v>
      </c>
      <c r="C17" s="2394"/>
      <c r="D17" s="2">
        <v>1.9086176980913638E-2</v>
      </c>
      <c r="E17" s="2321">
        <f>'Import by Economic Function'!E17/'Import by Economic Function'!D17-1</f>
        <v>-0.67849281157686803</v>
      </c>
      <c r="F17" s="2321">
        <f>'Import by Economic Function'!F17/'Import by Economic Function'!E17-1</f>
        <v>-2.876050724637691E-2</v>
      </c>
      <c r="G17" s="2321">
        <f>'Import by Economic Function'!G17/'Import by Economic Function'!F17-1</f>
        <v>0.1394666012091974</v>
      </c>
      <c r="H17" s="2321">
        <f>'Import by Economic Function'!H17/'Import by Economic Function'!G17-1</f>
        <v>-0.16709519050079291</v>
      </c>
      <c r="I17" s="2321">
        <f>'Import by Economic Function'!I17/'Import by Economic Function'!H17-1</f>
        <v>3.0152437640263763E-2</v>
      </c>
      <c r="J17" s="2321">
        <f>'Import by Economic Function'!J17/'Import by Economic Function'!I17-1</f>
        <v>0.42471802503052514</v>
      </c>
      <c r="K17" s="3309">
        <f>'Import by Economic Function'!K17/'Import by Economic Function'!J17-1</f>
        <v>-4.7389526396120263E-2</v>
      </c>
      <c r="L17" s="3316">
        <f>'Import by Economic Function'!L17/'Import by Economic Function'!K17-1</f>
        <v>2.1614931565588247E-2</v>
      </c>
    </row>
    <row r="18" spans="2:12" ht="18" customHeight="1">
      <c r="B18" s="2397" t="s">
        <v>259</v>
      </c>
      <c r="C18" s="2394"/>
      <c r="D18" s="2">
        <v>-0.40271599157106064</v>
      </c>
      <c r="E18" s="2321">
        <f>'Import by Economic Function'!E18/'Import by Economic Function'!D18-1</f>
        <v>0.35952548295466902</v>
      </c>
      <c r="F18" s="2321">
        <f>'Import by Economic Function'!F18/'Import by Economic Function'!E18-1</f>
        <v>-0.1953184198385236</v>
      </c>
      <c r="G18" s="2321">
        <f>'Import by Economic Function'!G18/'Import by Economic Function'!F18-1</f>
        <v>0.43548529866879204</v>
      </c>
      <c r="H18" s="2321">
        <f>'Import by Economic Function'!H18/'Import by Economic Function'!G18-1</f>
        <v>-0.27582508427440899</v>
      </c>
      <c r="I18" s="2321">
        <f>'Import by Economic Function'!I18/'Import by Economic Function'!H18-1</f>
        <v>-0.43283732650905649</v>
      </c>
      <c r="J18" s="2321">
        <f>'Import by Economic Function'!J18/'Import by Economic Function'!I18-1</f>
        <v>0.24649708569101647</v>
      </c>
      <c r="K18" s="3309">
        <f>'Import by Economic Function'!K18/'Import by Economic Function'!J18-1</f>
        <v>1.6625997023110428</v>
      </c>
      <c r="L18" s="3316">
        <f>'Import by Economic Function'!L18/'Import by Economic Function'!K18-1</f>
        <v>0.18777084874032801</v>
      </c>
    </row>
    <row r="19" spans="2:12" ht="18" customHeight="1">
      <c r="B19" s="2397" t="s">
        <v>260</v>
      </c>
      <c r="C19" s="2394"/>
      <c r="D19" s="2">
        <v>-3.8569086326400992E-3</v>
      </c>
      <c r="E19" s="2321">
        <f>'Import by Economic Function'!E19/'Import by Economic Function'!D19-1</f>
        <v>-7.4329206532767866E-2</v>
      </c>
      <c r="F19" s="2321">
        <f>'Import by Economic Function'!F19/'Import by Economic Function'!E19-1</f>
        <v>-7.6991464334389303E-2</v>
      </c>
      <c r="G19" s="2321">
        <f>'Import by Economic Function'!G19/'Import by Economic Function'!F19-1</f>
        <v>0.14475537800331906</v>
      </c>
      <c r="H19" s="2321">
        <f>'Import by Economic Function'!H19/'Import by Economic Function'!G19-1</f>
        <v>-0.18078404375143797</v>
      </c>
      <c r="I19" s="2321">
        <f>'Import by Economic Function'!I19/'Import by Economic Function'!H19-1</f>
        <v>8.4586198790599587E-2</v>
      </c>
      <c r="J19" s="2321">
        <f>'Import by Economic Function'!J19/'Import by Economic Function'!I19-1</f>
        <v>0.27448558951965052</v>
      </c>
      <c r="K19" s="3309">
        <f>'Import by Economic Function'!K19/'Import by Economic Function'!J19-1</f>
        <v>0.16458985193215514</v>
      </c>
      <c r="L19" s="3316">
        <f>'Import by Economic Function'!L19/'Import by Economic Function'!K19-1</f>
        <v>0.19737981005446992</v>
      </c>
    </row>
    <row r="20" spans="2:12" ht="18" customHeight="1">
      <c r="B20" s="2397" t="s">
        <v>261</v>
      </c>
      <c r="C20" s="2394"/>
      <c r="D20" s="2">
        <v>0.11870553181818178</v>
      </c>
      <c r="E20" s="2321">
        <f>'Import by Economic Function'!E20/'Import by Economic Function'!D20-1</f>
        <v>9.8885878149385764E-2</v>
      </c>
      <c r="F20" s="2321">
        <f>'Import by Economic Function'!F20/'Import by Economic Function'!E20-1</f>
        <v>-3.9193506555706414E-2</v>
      </c>
      <c r="G20" s="2321">
        <f>'Import by Economic Function'!G20/'Import by Economic Function'!F20-1</f>
        <v>0.10635009879539203</v>
      </c>
      <c r="H20" s="2321">
        <f>'Import by Economic Function'!H20/'Import by Economic Function'!G20-1</f>
        <v>-0.11769978805210224</v>
      </c>
      <c r="I20" s="2321">
        <f>'Import by Economic Function'!I20/'Import by Economic Function'!H20-1</f>
        <v>-3.8707442640006917E-7</v>
      </c>
      <c r="J20" s="2321">
        <f>'Import by Economic Function'!J20/'Import by Economic Function'!I20-1</f>
        <v>0.24108089141841327</v>
      </c>
      <c r="K20" s="3309">
        <f>'Import by Economic Function'!K20/'Import by Economic Function'!J20-1</f>
        <v>0.11265940091167348</v>
      </c>
      <c r="L20" s="3316">
        <f>'Import by Economic Function'!L20/'Import by Economic Function'!K20-1</f>
        <v>-7.0888476737632433E-2</v>
      </c>
    </row>
    <row r="21" spans="2:12" ht="18" customHeight="1">
      <c r="B21" s="2397"/>
      <c r="C21" s="2394"/>
      <c r="D21" s="1"/>
      <c r="E21" s="2320"/>
      <c r="F21" s="1"/>
      <c r="G21" s="2320"/>
      <c r="H21" s="2320"/>
      <c r="I21" s="2320"/>
      <c r="J21" s="2320"/>
      <c r="K21" s="3308"/>
      <c r="L21" s="3315"/>
    </row>
    <row r="22" spans="2:12" ht="18" customHeight="1">
      <c r="B22" s="2395" t="s">
        <v>262</v>
      </c>
      <c r="C22" s="2396"/>
      <c r="D22" s="1">
        <f>'[193]Import by Economic Function '!D22/'[193]Import by Economic Function '!C22-1</f>
        <v>-2.9981130463725414E-3</v>
      </c>
      <c r="E22" s="2320">
        <f>'Import by Economic Function'!E22/'Import by Economic Function'!D22-1</f>
        <v>0.21019664597325494</v>
      </c>
      <c r="F22" s="2320">
        <f>'Import by Economic Function'!F22/'Import by Economic Function'!E22-1</f>
        <v>5.4949481264398692E-2</v>
      </c>
      <c r="G22" s="2320">
        <f>'Import by Economic Function'!G22/'Import by Economic Function'!F22-1</f>
        <v>-1.6160043822456616E-2</v>
      </c>
      <c r="H22" s="2320">
        <f>'Import by Economic Function'!H22/'Import by Economic Function'!G22-1</f>
        <v>-3.1987638829271692E-2</v>
      </c>
      <c r="I22" s="2320">
        <f>'Import by Economic Function'!I22/'Import by Economic Function'!H22-1</f>
        <v>-8.4631352509272229E-2</v>
      </c>
      <c r="J22" s="2320">
        <f>'Import by Economic Function'!J22/'Import by Economic Function'!I22-1</f>
        <v>0.1527066315444634</v>
      </c>
      <c r="K22" s="3308">
        <f>'Import by Economic Function'!K22/'Import by Economic Function'!J22-1</f>
        <v>0.11381224850873162</v>
      </c>
      <c r="L22" s="3314">
        <f>'Import by Economic Function'!L22/'Import by Economic Function'!K22-1</f>
        <v>0.17197204189055837</v>
      </c>
    </row>
    <row r="23" spans="2:12" ht="18" hidden="1" customHeight="1">
      <c r="B23" s="2397"/>
      <c r="C23" s="2394"/>
      <c r="D23" s="2" t="e">
        <f>'[193]Import by Economic Function '!D23/'[193]Import by Economic Function '!C23-1</f>
        <v>#DIV/0!</v>
      </c>
      <c r="E23" s="2321" t="e">
        <f>'Import by Economic Function'!E23/'Import by Economic Function'!D23-1</f>
        <v>#DIV/0!</v>
      </c>
      <c r="F23" s="2321" t="e">
        <f>'Import by Economic Function'!F23/'Import by Economic Function'!E23-1</f>
        <v>#DIV/0!</v>
      </c>
      <c r="G23" s="2321" t="e">
        <f>'Import by Economic Function'!G23/'Import by Economic Function'!F23-1</f>
        <v>#DIV/0!</v>
      </c>
      <c r="H23" s="2321" t="e">
        <f>'Import by Economic Function'!H23/'Import by Economic Function'!G23-1</f>
        <v>#DIV/0!</v>
      </c>
      <c r="I23" s="2321" t="e">
        <f>'Import by Economic Function'!I23/'Import by Economic Function'!H23-1</f>
        <v>#DIV/0!</v>
      </c>
      <c r="J23" s="2321" t="e">
        <f>'Import by Economic Function'!J23/'Import by Economic Function'!I23-1</f>
        <v>#DIV/0!</v>
      </c>
      <c r="K23" s="3309" t="e">
        <f>'Import by Economic Function'!K23/'Import by Economic Function'!J23-1</f>
        <v>#DIV/0!</v>
      </c>
      <c r="L23" s="3316" t="e">
        <f>'Import by Economic Function'!L23/'Import by Economic Function'!K23-1</f>
        <v>#DIV/0!</v>
      </c>
    </row>
    <row r="24" spans="2:12" ht="18" customHeight="1">
      <c r="B24" s="2397" t="s">
        <v>263</v>
      </c>
      <c r="C24" s="2394"/>
      <c r="D24" s="2">
        <v>-2.8802574019245464E-3</v>
      </c>
      <c r="E24" s="2321">
        <f>'Import by Economic Function'!E24/'Import by Economic Function'!D24-1</f>
        <v>0.21053425749851273</v>
      </c>
      <c r="F24" s="2321">
        <f>'Import by Economic Function'!F24/'Import by Economic Function'!E24-1</f>
        <v>5.5098990904826284E-2</v>
      </c>
      <c r="G24" s="2321">
        <f>'Import by Economic Function'!G24/'Import by Economic Function'!F24-1</f>
        <v>-1.6006591957876792E-2</v>
      </c>
      <c r="H24" s="2321">
        <f>'Import by Economic Function'!H24/'Import by Economic Function'!G24-1</f>
        <v>-3.1999017567291621E-2</v>
      </c>
      <c r="I24" s="2321">
        <f>'Import by Economic Function'!I24/'Import by Economic Function'!H24-1</f>
        <v>-8.578578449946006E-2</v>
      </c>
      <c r="J24" s="2321">
        <f>'Import by Economic Function'!J24/'Import by Economic Function'!I24-1</f>
        <v>0.15431248723759672</v>
      </c>
      <c r="K24" s="3309">
        <f>'Import by Economic Function'!K24/'Import by Economic Function'!J24-1</f>
        <v>0.11355682043278481</v>
      </c>
      <c r="L24" s="3316">
        <f>'Import by Economic Function'!L24/'Import by Economic Function'!K24-1</f>
        <v>0.17213476344871625</v>
      </c>
    </row>
    <row r="25" spans="2:12" ht="18" customHeight="1">
      <c r="B25" s="2397" t="s">
        <v>264</v>
      </c>
      <c r="C25" s="2394"/>
      <c r="D25" s="2">
        <v>-0.1477462727272727</v>
      </c>
      <c r="E25" s="2321">
        <f>'Import by Economic Function'!E25/'Import by Economic Function'!D25-1</f>
        <v>-0.27343687331996425</v>
      </c>
      <c r="F25" s="2321">
        <f>'Import by Economic Function'!F25/'Import by Economic Function'!E25-1</f>
        <v>-0.3018893076649326</v>
      </c>
      <c r="G25" s="2321">
        <f>'Import by Economic Function'!G25/'Import by Economic Function'!F25-1</f>
        <v>-0.56969359214317261</v>
      </c>
      <c r="H25" s="2321">
        <f>'Import by Economic Function'!H25/'Import by Economic Function'!G25-1</f>
        <v>6.1872296752437439E-2</v>
      </c>
      <c r="I25" s="2321">
        <f>'Import by Economic Function'!I25/'Import by Economic Function'!H25-1</f>
        <v>8.5961339316534335</v>
      </c>
      <c r="J25" s="2321">
        <f>'Import by Economic Function'!J25/'Import by Economic Function'!I25-1</f>
        <v>-0.99769064748201441</v>
      </c>
      <c r="K25" s="3309">
        <f>'Import by Economic Function'!K25/'Import by Economic Function'!J25-1</f>
        <v>91.576323987538942</v>
      </c>
      <c r="L25" s="3316">
        <f>'Import by Economic Function'!L25/'Import by Economic Function'!K25-1</f>
        <v>-0.52888918800686469</v>
      </c>
    </row>
    <row r="26" spans="2:12" ht="18" customHeight="1" thickBot="1">
      <c r="B26" s="2397"/>
      <c r="C26" s="2394"/>
      <c r="D26" s="1"/>
      <c r="E26" s="87"/>
      <c r="F26" s="2545"/>
      <c r="G26" s="87"/>
      <c r="H26" s="87"/>
      <c r="I26" s="87"/>
      <c r="J26" s="87"/>
      <c r="K26" s="3310"/>
      <c r="L26" s="3317"/>
    </row>
    <row r="27" spans="2:12" ht="18" customHeight="1" thickBot="1">
      <c r="B27" s="2398" t="s">
        <v>394</v>
      </c>
      <c r="C27" s="2767"/>
      <c r="D27" s="2768">
        <f>'[193]Import by Economic Function '!D27/'[193]Import by Economic Function '!C27-1</f>
        <v>-9.0819945326802487E-2</v>
      </c>
      <c r="E27" s="2769">
        <f>'Import by Economic Function'!E27/'Import by Economic Function'!D27-1</f>
        <v>0.1252691913682713</v>
      </c>
      <c r="F27" s="2769">
        <f>'Import by Economic Function'!F27/'Import by Economic Function'!E27-1</f>
        <v>-1.4523277204459006E-3</v>
      </c>
      <c r="G27" s="2769">
        <f>'Import by Economic Function'!G27/'Import by Economic Function'!F27-1</f>
        <v>5.5976597733818467E-2</v>
      </c>
      <c r="H27" s="2769">
        <f>'Import by Economic Function'!H27/'Import by Economic Function'!G27-1</f>
        <v>-9.1906566540777335E-2</v>
      </c>
      <c r="I27" s="2769">
        <f>'Import by Economic Function'!I27/'Import by Economic Function'!H27-1</f>
        <v>-0.15662265539508524</v>
      </c>
      <c r="J27" s="2769">
        <f>'Import by Economic Function'!J27/'Import by Economic Function'!I27-1</f>
        <v>0.19327078934617603</v>
      </c>
      <c r="K27" s="3311">
        <f>'Import by Economic Function'!K27/'Import by Economic Function'!J27-1</f>
        <v>0.38618290677951017</v>
      </c>
      <c r="L27" s="3318">
        <f>'Import by Economic Function'!L27/'Import by Economic Function'!K27-1</f>
        <v>7.3132542293726788E-2</v>
      </c>
    </row>
    <row r="28" spans="2:12">
      <c r="B28" s="2400" t="s">
        <v>738</v>
      </c>
    </row>
    <row r="29" spans="2:12">
      <c r="B29" s="2400" t="s">
        <v>269</v>
      </c>
    </row>
    <row r="30" spans="2:12">
      <c r="B30" s="2401" t="s">
        <v>268</v>
      </c>
    </row>
    <row r="31" spans="2:12">
      <c r="B31" s="5946" t="s">
        <v>1052</v>
      </c>
      <c r="C31" s="5946"/>
      <c r="D31" s="5946"/>
      <c r="E31" s="5946"/>
      <c r="F31" s="5946"/>
      <c r="G31" s="5946"/>
      <c r="H31" s="5946"/>
      <c r="I31" s="5946"/>
      <c r="J31" s="5946"/>
      <c r="K31" s="5946"/>
      <c r="L31" s="5946"/>
    </row>
    <row r="32" spans="2:12">
      <c r="B32" s="5946" t="s">
        <v>266</v>
      </c>
      <c r="C32" s="5946"/>
      <c r="D32" s="5946"/>
      <c r="E32" s="5946"/>
      <c r="F32" s="5946"/>
      <c r="G32" s="5946"/>
      <c r="H32" s="5946"/>
      <c r="I32" s="5946"/>
      <c r="J32" s="5946"/>
      <c r="K32" s="5946"/>
      <c r="L32" s="5946"/>
    </row>
    <row r="33" spans="2:12">
      <c r="B33" s="5946" t="s">
        <v>267</v>
      </c>
      <c r="C33" s="5946"/>
      <c r="D33" s="5946"/>
      <c r="E33" s="5946"/>
      <c r="F33" s="5946"/>
      <c r="G33" s="5946"/>
      <c r="H33" s="5946"/>
      <c r="I33" s="5946"/>
      <c r="J33" s="5946"/>
      <c r="K33" s="5946"/>
      <c r="L33" s="5946"/>
    </row>
    <row r="34" spans="2:12" ht="16.149999999999999" thickBot="1">
      <c r="K34" s="2402"/>
      <c r="L34" s="2403"/>
    </row>
    <row r="35" spans="2:12" ht="18" customHeight="1" thickBot="1">
      <c r="B35" s="2404" t="s">
        <v>251</v>
      </c>
      <c r="C35" s="2390" t="s">
        <v>572</v>
      </c>
      <c r="D35" s="2390">
        <v>2015</v>
      </c>
      <c r="E35" s="2390">
        <v>2016</v>
      </c>
      <c r="F35" s="2390">
        <v>2017</v>
      </c>
      <c r="G35" s="2391">
        <v>2018</v>
      </c>
      <c r="H35" s="2391">
        <v>2019</v>
      </c>
      <c r="I35" s="2391">
        <v>2020</v>
      </c>
      <c r="J35" s="2391">
        <v>2021</v>
      </c>
      <c r="K35" s="3306" t="s">
        <v>1958</v>
      </c>
      <c r="L35" s="3312" t="s">
        <v>1959</v>
      </c>
    </row>
    <row r="36" spans="2:12" ht="18" customHeight="1">
      <c r="B36" s="2397"/>
      <c r="C36" s="2394"/>
      <c r="D36" s="2394"/>
      <c r="E36" s="2546"/>
      <c r="F36" s="2544"/>
      <c r="G36" s="2542"/>
      <c r="H36" s="2542"/>
      <c r="I36" s="2542"/>
      <c r="J36" s="2542"/>
      <c r="K36" s="3319"/>
      <c r="L36" s="3174"/>
    </row>
    <row r="37" spans="2:12" ht="18" customHeight="1">
      <c r="B37" s="2395" t="s">
        <v>252</v>
      </c>
      <c r="C37" s="2405">
        <f>'[193]Import by Economic Function '!C8/'[193]Import by Economic Function '!C27</f>
        <v>0.39419078333191887</v>
      </c>
      <c r="D37" s="2405">
        <f>D39+D40+D41+D42</f>
        <v>0.4371408764716066</v>
      </c>
      <c r="E37" s="2405">
        <f t="shared" ref="E37:K37" si="0">E39+E40+E41+E42</f>
        <v>0.49266318847697188</v>
      </c>
      <c r="F37" s="2405">
        <f t="shared" si="0"/>
        <v>0.52579725338115257</v>
      </c>
      <c r="G37" s="2405">
        <f t="shared" si="0"/>
        <v>0.47452523686435266</v>
      </c>
      <c r="H37" s="2405">
        <f t="shared" si="0"/>
        <v>0.51199014408929244</v>
      </c>
      <c r="I37" s="2405">
        <f t="shared" si="0"/>
        <v>0.53289309468923896</v>
      </c>
      <c r="J37" s="2405">
        <f t="shared" si="0"/>
        <v>0.52679215228146836</v>
      </c>
      <c r="K37" s="3320">
        <f t="shared" si="0"/>
        <v>0.48135623564763225</v>
      </c>
      <c r="L37" s="3323">
        <f>IFERROR(L39+L40+L41+L42,"0")</f>
        <v>0.45147397330759825</v>
      </c>
    </row>
    <row r="38" spans="2:12" ht="18" hidden="1" customHeight="1">
      <c r="B38" s="2397"/>
      <c r="C38" s="2405"/>
      <c r="D38" s="2405">
        <f>'[193]Import by Economic Function '!D9/'[193]Import by Economic Function '!D$27</f>
        <v>0</v>
      </c>
      <c r="E38" s="2405">
        <f>'[193]Import by Economic Function '!E9/'[193]Import by Economic Function '!E$27</f>
        <v>0</v>
      </c>
      <c r="F38" s="2405">
        <f>'[193]Import by Economic Function '!F9/'[193]Import by Economic Function '!F$27</f>
        <v>0</v>
      </c>
      <c r="G38" s="2405">
        <f>'[193]Import by Economic Function '!G9/'[193]Import by Economic Function '!G$27</f>
        <v>0</v>
      </c>
      <c r="H38" s="2405">
        <f>'[193]Import by Economic Function '!H9/'[193]Import by Economic Function '!H$27</f>
        <v>0</v>
      </c>
      <c r="I38" s="2405">
        <f>'[193]Import by Economic Function '!I9/'[193]Import by Economic Function '!I$27</f>
        <v>0</v>
      </c>
      <c r="J38" s="2405" t="e">
        <f>'[193]Import by Economic Function '!J9/'[193]Import by Economic Function '!J$27</f>
        <v>#REF!</v>
      </c>
      <c r="K38" s="3320" t="e">
        <f>'[193]Import by Economic Function '!K9/'[193]Import by Economic Function '!K$27</f>
        <v>#REF!</v>
      </c>
      <c r="L38" s="3323" t="e">
        <f>'[193]Import by Economic Function '!L9/'[193]Import by Economic Function '!L$27</f>
        <v>#REF!</v>
      </c>
    </row>
    <row r="39" spans="2:12" ht="18" customHeight="1">
      <c r="B39" s="2397" t="s">
        <v>253</v>
      </c>
      <c r="C39" s="2406">
        <f>'[193]Import by Economic Function '!C10/'[193]Import by Economic Function '!C27</f>
        <v>0.22073265358082469</v>
      </c>
      <c r="D39" s="2406">
        <v>0.23366853783309294</v>
      </c>
      <c r="E39" s="2406">
        <f>'Import by Economic Function'!E10/'Import by Economic Function'!E27</f>
        <v>0.20026591234266652</v>
      </c>
      <c r="F39" s="2406">
        <f>'Import by Economic Function'!F10/'Import by Economic Function'!F27</f>
        <v>0.21120921483883176</v>
      </c>
      <c r="G39" s="2406">
        <f>'Import by Economic Function'!G10/'Import by Economic Function'!G27</f>
        <v>0.20635595471632612</v>
      </c>
      <c r="H39" s="2406">
        <f>'Import by Economic Function'!H10/'Import by Economic Function'!H27</f>
        <v>0.23151237797482724</v>
      </c>
      <c r="I39" s="2406">
        <f>'Import by Economic Function'!I10/'Import by Economic Function'!I27</f>
        <v>0.24237156239446755</v>
      </c>
      <c r="J39" s="2406">
        <f>'Import by Economic Function'!J10/'Import by Economic Function'!J27</f>
        <v>0.22839322887872665</v>
      </c>
      <c r="K39" s="3321">
        <f>'Import by Economic Function'!K10/'Import by Economic Function'!K27</f>
        <v>0.21549247565168078</v>
      </c>
      <c r="L39" s="3324">
        <f>IFERROR('Import by Economic Function'!L10/'Import by Economic Function'!$L$27,"0%")</f>
        <v>0.20292976729761297</v>
      </c>
    </row>
    <row r="40" spans="2:12" ht="18" customHeight="1">
      <c r="B40" s="2397" t="s">
        <v>254</v>
      </c>
      <c r="C40" s="2406">
        <f>'[193]Import by Economic Function '!C11/'[193]Import by Economic Function '!C27</f>
        <v>2.6127229301293634E-2</v>
      </c>
      <c r="D40" s="2406">
        <v>2.7515732321359596E-2</v>
      </c>
      <c r="E40" s="2406">
        <f>'Import by Economic Function'!E11/'Import by Economic Function'!E27</f>
        <v>2.6864368288409386E-2</v>
      </c>
      <c r="F40" s="2406">
        <f>'Import by Economic Function'!F11/'Import by Economic Function'!F27</f>
        <v>2.5361845179604076E-2</v>
      </c>
      <c r="G40" s="2406">
        <f>'Import by Economic Function'!G11/'Import by Economic Function'!G27</f>
        <v>2.5898433791423425E-2</v>
      </c>
      <c r="H40" s="2406">
        <f>'Import by Economic Function'!H11/'Import by Economic Function'!H27</f>
        <v>2.7377762614561357E-2</v>
      </c>
      <c r="I40" s="2406">
        <f>'Import by Economic Function'!I11/'Import by Economic Function'!I27</f>
        <v>2.5308705419413571E-2</v>
      </c>
      <c r="J40" s="2406">
        <f>'Import by Economic Function'!J11/'Import by Economic Function'!J27</f>
        <v>2.9086350142282631E-2</v>
      </c>
      <c r="K40" s="3321">
        <f>'Import by Economic Function'!K11/'Import by Economic Function'!K27</f>
        <v>2.967729110797979E-2</v>
      </c>
      <c r="L40" s="3324">
        <f>IFERROR('Import by Economic Function'!L11/'Import by Economic Function'!$L$27,"0%")</f>
        <v>2.4761847337325865E-2</v>
      </c>
    </row>
    <row r="41" spans="2:12" ht="18" customHeight="1">
      <c r="B41" s="2397" t="s">
        <v>255</v>
      </c>
      <c r="C41" s="2406">
        <f>'[193]Import by Economic Function '!C12/'[193]Import by Economic Function '!C27</f>
        <v>1.451243316642621E-2</v>
      </c>
      <c r="D41" s="2406">
        <v>2.0002645659396058E-2</v>
      </c>
      <c r="E41" s="2406">
        <f>'Import by Economic Function'!E12/'Import by Economic Function'!E27</f>
        <v>0.14865281783883544</v>
      </c>
      <c r="F41" s="2406">
        <f>'Import by Economic Function'!F12/'Import by Economic Function'!F27</f>
        <v>0.16848098511339157</v>
      </c>
      <c r="G41" s="2406">
        <f>'Import by Economic Function'!G12/'Import by Economic Function'!G27</f>
        <v>0.1360139521436336</v>
      </c>
      <c r="H41" s="2406">
        <f>'Import by Economic Function'!H12/'Import by Economic Function'!H27</f>
        <v>0.14667243544348849</v>
      </c>
      <c r="I41" s="2406">
        <f>'Import by Economic Function'!I12/'Import by Economic Function'!I27</f>
        <v>0.152993084411294</v>
      </c>
      <c r="J41" s="2406">
        <f>'Import by Economic Function'!J12/'Import by Economic Function'!J27</f>
        <v>0.16710521164755668</v>
      </c>
      <c r="K41" s="3321">
        <f>'Import by Economic Function'!K12/'Import by Economic Function'!K27</f>
        <v>0.13753567376474746</v>
      </c>
      <c r="L41" s="3324">
        <f>IFERROR('Import by Economic Function'!L12/'Import by Economic Function'!$L$27,"0%")</f>
        <v>0.12635288119138713</v>
      </c>
    </row>
    <row r="42" spans="2:12" ht="18" customHeight="1">
      <c r="B42" s="2397" t="s">
        <v>256</v>
      </c>
      <c r="C42" s="2406">
        <f>'[193]Import by Economic Function '!C13/'[193]Import by Economic Function '!C27</f>
        <v>0.13281846728337435</v>
      </c>
      <c r="D42" s="2406">
        <v>0.15595396065775796</v>
      </c>
      <c r="E42" s="2406">
        <f>'Import by Economic Function'!E13/'Import by Economic Function'!E27</f>
        <v>0.11688009000706059</v>
      </c>
      <c r="F42" s="2406">
        <f>'Import by Economic Function'!F13/'Import by Economic Function'!F27</f>
        <v>0.12074520824932514</v>
      </c>
      <c r="G42" s="2406">
        <f>'Import by Economic Function'!G13/'Import by Economic Function'!G27</f>
        <v>0.10625689621296949</v>
      </c>
      <c r="H42" s="2406">
        <f>'Import by Economic Function'!H13/'Import by Economic Function'!H27</f>
        <v>0.10642756805641544</v>
      </c>
      <c r="I42" s="2406">
        <f>'Import by Economic Function'!I13/'Import by Economic Function'!I27</f>
        <v>0.11221974246406391</v>
      </c>
      <c r="J42" s="2406">
        <f>'Import by Economic Function'!J13/'Import by Economic Function'!J27</f>
        <v>0.10220736161290249</v>
      </c>
      <c r="K42" s="3321">
        <f>'Import by Economic Function'!K13/'Import by Economic Function'!K27</f>
        <v>9.8650795123224236E-2</v>
      </c>
      <c r="L42" s="3324">
        <f>IFERROR('Import by Economic Function'!L13/'Import by Economic Function'!$L$27,"0%")</f>
        <v>9.7429477481272272E-2</v>
      </c>
    </row>
    <row r="43" spans="2:12" ht="18" customHeight="1">
      <c r="B43" s="2397"/>
      <c r="C43" s="2405"/>
      <c r="D43" s="2405"/>
      <c r="E43" s="2405"/>
      <c r="F43" s="2405"/>
      <c r="G43" s="2405"/>
      <c r="H43" s="2405"/>
      <c r="I43" s="2405"/>
      <c r="J43" s="2405"/>
      <c r="K43" s="3320"/>
      <c r="L43" s="3323"/>
    </row>
    <row r="44" spans="2:12" ht="18" customHeight="1">
      <c r="B44" s="2395" t="s">
        <v>257</v>
      </c>
      <c r="C44" s="2405">
        <f>'[193]Import by Economic Function '!C15/'[193]Import by Economic Function '!C27</f>
        <v>0.44188055430947731</v>
      </c>
      <c r="D44" s="2405">
        <f>D46+D47+D48+D49</f>
        <v>0.38309584687351872</v>
      </c>
      <c r="E44" s="2405">
        <f t="shared" ref="E44:K44" si="1">E46+E47+E48+E49</f>
        <v>0.31449377512669341</v>
      </c>
      <c r="F44" s="2405">
        <f t="shared" si="1"/>
        <v>0.27046719461727031</v>
      </c>
      <c r="G44" s="2405">
        <f t="shared" si="1"/>
        <v>0.33565694237787613</v>
      </c>
      <c r="H44" s="2405">
        <f t="shared" si="1"/>
        <v>0.28566724435358593</v>
      </c>
      <c r="I44" s="2405">
        <f t="shared" si="1"/>
        <v>0.24749218142041202</v>
      </c>
      <c r="J44" s="2405">
        <f t="shared" si="1"/>
        <v>0.26105872710533046</v>
      </c>
      <c r="K44" s="3320">
        <f t="shared" si="1"/>
        <v>0.34817976000367945</v>
      </c>
      <c r="L44" s="3323">
        <f>IFERROR(L46+L47+L48+L49,"0")</f>
        <v>0.36236165335379911</v>
      </c>
    </row>
    <row r="45" spans="2:12" ht="18" hidden="1" customHeight="1">
      <c r="B45" s="2397"/>
      <c r="C45" s="2405"/>
      <c r="D45" s="2405">
        <f>'[193]Import by Economic Function '!D16/'[193]Import by Economic Function '!D$27</f>
        <v>0</v>
      </c>
      <c r="E45" s="2405">
        <f>'[193]Import by Economic Function '!E16/'[193]Import by Economic Function '!E$27</f>
        <v>0</v>
      </c>
      <c r="F45" s="2405">
        <f>'[193]Import by Economic Function '!F16/'[193]Import by Economic Function '!F$27</f>
        <v>0</v>
      </c>
      <c r="G45" s="2405">
        <f>'[193]Import by Economic Function '!G16/'[193]Import by Economic Function '!G$27</f>
        <v>0</v>
      </c>
      <c r="H45" s="2405">
        <f>'[193]Import by Economic Function '!H16/'[193]Import by Economic Function '!H$27</f>
        <v>0</v>
      </c>
      <c r="I45" s="2405">
        <f>'[193]Import by Economic Function '!I16/'[193]Import by Economic Function '!I$27</f>
        <v>0</v>
      </c>
      <c r="J45" s="2405" t="e">
        <f>'[193]Import by Economic Function '!J16/'[193]Import by Economic Function '!J$27</f>
        <v>#REF!</v>
      </c>
      <c r="K45" s="3320" t="e">
        <f>'[193]Import by Economic Function '!K16/'[193]Import by Economic Function '!K$27</f>
        <v>#REF!</v>
      </c>
      <c r="L45" s="3323" t="e">
        <f>'[193]Import by Economic Function '!L16/'[193]Import by Economic Function '!L$27</f>
        <v>#REF!</v>
      </c>
    </row>
    <row r="46" spans="2:12" ht="18" customHeight="1">
      <c r="B46" s="2397" t="s">
        <v>258</v>
      </c>
      <c r="C46" s="2406">
        <f>'[193]Import by Economic Function '!C17/'[193]Import by Economic Function '!C27</f>
        <v>0.10481201731307817</v>
      </c>
      <c r="D46" s="2406">
        <v>0.11748220550618618</v>
      </c>
      <c r="E46" s="2406">
        <f>'Import by Economic Function'!E17/'Import by Economic Function'!E27</f>
        <v>1.6362998802994706E-2</v>
      </c>
      <c r="F46" s="2406">
        <f>'Import by Economic Function'!F17/'Import by Economic Function'!F27</f>
        <v>1.5915505186716288E-2</v>
      </c>
      <c r="G46" s="2406">
        <f>'Import by Economic Function'!G17/'Import by Economic Function'!G27</f>
        <v>1.7173852754458794E-2</v>
      </c>
      <c r="H46" s="2406">
        <f>'Import by Economic Function'!H17/'Import by Economic Function'!H27</f>
        <v>1.5751886347565195E-2</v>
      </c>
      <c r="I46" s="2406">
        <f>'Import by Economic Function'!I17/'Import by Economic Function'!I27</f>
        <v>1.9240313036839093E-2</v>
      </c>
      <c r="J46" s="2406">
        <f>'Import by Economic Function'!J17/'Import by Economic Function'!J27</f>
        <v>2.297217114133349E-2</v>
      </c>
      <c r="K46" s="3321">
        <f>'Import by Economic Function'!K17/'Import by Economic Function'!K27</f>
        <v>1.57868999275836E-2</v>
      </c>
      <c r="L46" s="3324">
        <f>IFERROR('Import by Economic Function'!L17/'Import by Economic Function'!$L$27,"0%")</f>
        <v>1.5029022095144593E-2</v>
      </c>
    </row>
    <row r="47" spans="2:12" ht="18" customHeight="1">
      <c r="B47" s="2397" t="s">
        <v>259</v>
      </c>
      <c r="C47" s="2406">
        <f>'[193]Import by Economic Function '!C18/'[193]Import by Economic Function '!C27</f>
        <v>0.25890811217128795</v>
      </c>
      <c r="D47" s="2406">
        <v>0.17008916359039783</v>
      </c>
      <c r="E47" s="2406">
        <f>'Import by Economic Function'!E18/'Import by Economic Function'!E27</f>
        <v>0.20560463713328128</v>
      </c>
      <c r="F47" s="2406">
        <f>'Import by Economic Function'!F18/'Import by Economic Function'!F27</f>
        <v>0.16568689596886596</v>
      </c>
      <c r="G47" s="2406">
        <f>'Import by Economic Function'!G18/'Import by Economic Function'!G27</f>
        <v>0.22523330901062794</v>
      </c>
      <c r="H47" s="2406">
        <f>'Import by Economic Function'!H18/'Import by Economic Function'!H27</f>
        <v>0.1796162229144582</v>
      </c>
      <c r="I47" s="2406">
        <f>'Import by Economic Function'!I18/'Import by Economic Function'!I27</f>
        <v>0.12079008031479878</v>
      </c>
      <c r="J47" s="2406">
        <f>'Import by Economic Function'!J18/'Import by Economic Function'!J27</f>
        <v>0.126177967680981</v>
      </c>
      <c r="K47" s="3321">
        <f>'Import by Economic Function'!K18/'Import by Economic Function'!K27</f>
        <v>0.24236442214261936</v>
      </c>
      <c r="L47" s="3324">
        <f>IFERROR('Import by Economic Function'!L18/'Import by Economic Function'!$L$27,"0%")</f>
        <v>0.26825520990864182</v>
      </c>
    </row>
    <row r="48" spans="2:12" ht="18" customHeight="1">
      <c r="B48" s="2397" t="s">
        <v>260</v>
      </c>
      <c r="C48" s="2406">
        <f>'[193]Import by Economic Function '!C19/'[193]Import by Economic Function '!C27</f>
        <v>4.8101987124307419E-3</v>
      </c>
      <c r="D48" s="2406">
        <v>5.2702940312679847E-3</v>
      </c>
      <c r="E48" s="2406">
        <f>'Import by Economic Function'!E19/'Import by Economic Function'!E27</f>
        <v>4.3384007588923596E-3</v>
      </c>
      <c r="F48" s="2406">
        <f>'Import by Economic Function'!F19/'Import by Economic Function'!F27</f>
        <v>4.0102050635743127E-3</v>
      </c>
      <c r="G48" s="2406">
        <f>'Import by Economic Function'!G19/'Import by Economic Function'!G27</f>
        <v>4.3473537418108783E-3</v>
      </c>
      <c r="H48" s="2406">
        <f>'Import by Economic Function'!H19/'Import by Economic Function'!H27</f>
        <v>3.9218668713215466E-3</v>
      </c>
      <c r="I48" s="2406">
        <f>'Import by Economic Function'!I19/'Import by Economic Function'!I27</f>
        <v>5.043534438457134E-3</v>
      </c>
      <c r="J48" s="2406">
        <f>'Import by Economic Function'!J19/'Import by Economic Function'!J27</f>
        <v>5.3868007324487681E-3</v>
      </c>
      <c r="K48" s="3321">
        <f>'Import by Economic Function'!K19/'Import by Economic Function'!K27</f>
        <v>4.5256751015386749E-3</v>
      </c>
      <c r="L48" s="3324">
        <f>IFERROR('Import by Economic Function'!L19/'Import by Economic Function'!$L$27,"0%")</f>
        <v>5.0496576889431455E-3</v>
      </c>
    </row>
    <row r="49" spans="2:12" ht="18" customHeight="1">
      <c r="B49" s="2397" t="s">
        <v>261</v>
      </c>
      <c r="C49" s="2406">
        <f>'[193]Import by Economic Function '!C20/'[193]Import by Economic Function '!C27</f>
        <v>7.3350226112680494E-2</v>
      </c>
      <c r="D49" s="2406">
        <v>9.0254183745666766E-2</v>
      </c>
      <c r="E49" s="2406">
        <f>'Import by Economic Function'!E20/'Import by Economic Function'!E27</f>
        <v>8.8187738431525067E-2</v>
      </c>
      <c r="F49" s="2406">
        <f>'Import by Economic Function'!F20/'Import by Economic Function'!F27</f>
        <v>8.4854588398113787E-2</v>
      </c>
      <c r="G49" s="2406">
        <f>'Import by Economic Function'!G20/'Import by Economic Function'!G27</f>
        <v>8.8902426870978532E-2</v>
      </c>
      <c r="H49" s="2406">
        <f>'Import by Economic Function'!H20/'Import by Economic Function'!H27</f>
        <v>8.6377268220240985E-2</v>
      </c>
      <c r="I49" s="2406">
        <f>'Import by Economic Function'!I20/'Import by Economic Function'!I27</f>
        <v>0.10241825363031702</v>
      </c>
      <c r="J49" s="2406">
        <f>'Import by Economic Function'!J20/'Import by Economic Function'!J27</f>
        <v>0.1065217875505672</v>
      </c>
      <c r="K49" s="3321">
        <f>'Import by Economic Function'!K20/'Import by Economic Function'!K27</f>
        <v>8.5502762831937834E-2</v>
      </c>
      <c r="L49" s="3324">
        <f>IFERROR('Import by Economic Function'!L20/'Import by Economic Function'!$L$27,"0%")</f>
        <v>7.4027763661069529E-2</v>
      </c>
    </row>
    <row r="50" spans="2:12" ht="18" customHeight="1">
      <c r="B50" s="2397"/>
      <c r="C50" s="2405"/>
      <c r="D50" s="2405"/>
      <c r="E50" s="2405"/>
      <c r="F50" s="2405"/>
      <c r="G50" s="2405"/>
      <c r="H50" s="2405"/>
      <c r="I50" s="2405"/>
      <c r="J50" s="2405"/>
      <c r="K50" s="3320"/>
      <c r="L50" s="3323"/>
    </row>
    <row r="51" spans="2:12" ht="18" customHeight="1">
      <c r="B51" s="2395" t="s">
        <v>262</v>
      </c>
      <c r="C51" s="2405">
        <f>'[193]Import by Economic Function '!C22/'[193]Import by Economic Function '!C27</f>
        <v>0.16392866235860382</v>
      </c>
      <c r="D51" s="2405">
        <f>D53+D54</f>
        <v>0.17976327665487471</v>
      </c>
      <c r="E51" s="2405">
        <f>E53+E54</f>
        <v>0.19284303639633468</v>
      </c>
      <c r="F51" s="2405">
        <f t="shared" ref="F51:K51" si="2">F53+F54</f>
        <v>0.20373555200157706</v>
      </c>
      <c r="G51" s="2405">
        <f t="shared" si="2"/>
        <v>0.18981782075777137</v>
      </c>
      <c r="H51" s="2405">
        <f t="shared" si="2"/>
        <v>0.2023426115571216</v>
      </c>
      <c r="I51" s="2405">
        <f t="shared" si="2"/>
        <v>0.21961472389034903</v>
      </c>
      <c r="J51" s="2405">
        <f t="shared" si="2"/>
        <v>0.21214912061320113</v>
      </c>
      <c r="K51" s="3320">
        <f t="shared" si="2"/>
        <v>0.17046400434868816</v>
      </c>
      <c r="L51" s="3323">
        <f>IFERROR(L53+L54,"0")</f>
        <v>0.18616437333860261</v>
      </c>
    </row>
    <row r="52" spans="2:12" ht="18" hidden="1" customHeight="1">
      <c r="B52" s="2397"/>
      <c r="C52" s="2405"/>
      <c r="D52" s="2405">
        <f>'[193]Import by Economic Function '!D23/'[193]Import by Economic Function '!D$27</f>
        <v>0</v>
      </c>
      <c r="E52" s="2405">
        <f>'[193]Import by Economic Function '!E23/'[193]Import by Economic Function '!E$27</f>
        <v>0</v>
      </c>
      <c r="F52" s="2405">
        <f>'[193]Import by Economic Function '!F23/'[193]Import by Economic Function '!F$27</f>
        <v>0</v>
      </c>
      <c r="G52" s="2405">
        <f>'[193]Import by Economic Function '!G23/'[193]Import by Economic Function '!G$27</f>
        <v>0</v>
      </c>
      <c r="H52" s="2405">
        <f>'[193]Import by Economic Function '!H23/'[193]Import by Economic Function '!H$27</f>
        <v>0</v>
      </c>
      <c r="I52" s="2405">
        <f>'[193]Import by Economic Function '!I23/'[193]Import by Economic Function '!I$27</f>
        <v>0</v>
      </c>
      <c r="J52" s="2405" t="e">
        <f>'[193]Import by Economic Function '!J23/'[193]Import by Economic Function '!J$27</f>
        <v>#REF!</v>
      </c>
      <c r="K52" s="3320" t="e">
        <f>'[193]Import by Economic Function '!K23/'[193]Import by Economic Function '!K$27</f>
        <v>#REF!</v>
      </c>
      <c r="L52" s="3323" t="e">
        <f>'[193]Import by Economic Function '!L23/'[193]Import by Economic Function '!L$27</f>
        <v>#REF!</v>
      </c>
    </row>
    <row r="53" spans="2:12" ht="18" customHeight="1">
      <c r="B53" s="2397" t="s">
        <v>263</v>
      </c>
      <c r="C53" s="2406">
        <f>'[193]Import by Economic Function '!C24/'[193]Import by Economic Function '!C27</f>
        <v>0.16379529831112621</v>
      </c>
      <c r="D53" s="2406">
        <v>0.17963826290653878</v>
      </c>
      <c r="E53" s="2406">
        <f>'Import by Economic Function'!E24/'Import by Economic Function'!E27</f>
        <v>0.19276227214398778</v>
      </c>
      <c r="F53" s="2406">
        <f>'Import by Economic Function'!F24/'Import by Economic Function'!F27</f>
        <v>0.20367908760865217</v>
      </c>
      <c r="G53" s="2406">
        <f>'Import by Economic Function'!G24/'Import by Economic Function'!G27</f>
        <v>0.1897948117345189</v>
      </c>
      <c r="H53" s="2406">
        <f>'Import by Economic Function'!H24/'Import by Economic Function'!H27</f>
        <v>0.20231570612705582</v>
      </c>
      <c r="I53" s="2406">
        <f>'Import by Economic Function'!I24/'Import by Economic Function'!I27</f>
        <v>0.21930858795718502</v>
      </c>
      <c r="J53" s="2406">
        <f>'Import by Economic Function'!J24/'Import by Economic Function'!J27</f>
        <v>0.21214852814433788</v>
      </c>
      <c r="K53" s="3321">
        <f>'Import by Economic Function'!K24/'Import by Economic Function'!K27</f>
        <v>0.17042443627353204</v>
      </c>
      <c r="L53" s="3324">
        <f>IFERROR('Import by Economic Function'!L24/'Import by Economic Function'!$L$27,"0%")</f>
        <v>0.18614700274617238</v>
      </c>
    </row>
    <row r="54" spans="2:12" ht="18" customHeight="1">
      <c r="B54" s="2397" t="s">
        <v>264</v>
      </c>
      <c r="C54" s="2406">
        <f>'[193]Import by Economic Function '!C25/'[193]Import by Economic Function '!C27</f>
        <v>1.3336404747760092E-4</v>
      </c>
      <c r="D54" s="2406">
        <v>1.2501374833593016E-4</v>
      </c>
      <c r="E54" s="2406">
        <f>'Import by Economic Function'!E25/'Import by Economic Function'!E27</f>
        <v>8.0764252346911069E-5</v>
      </c>
      <c r="F54" s="2406">
        <f>'Import by Economic Function'!F25/'Import by Economic Function'!F27</f>
        <v>5.6464392924889138E-5</v>
      </c>
      <c r="G54" s="2406">
        <f>'Import by Economic Function'!G25/'Import by Economic Function'!G27</f>
        <v>2.300902325247371E-5</v>
      </c>
      <c r="H54" s="2406">
        <f>'Import by Economic Function'!H25/'Import by Economic Function'!H27</f>
        <v>2.6905430065783676E-5</v>
      </c>
      <c r="I54" s="2406">
        <f>'Import by Economic Function'!I25/'Import by Economic Function'!I27</f>
        <v>3.0613593316399196E-4</v>
      </c>
      <c r="J54" s="2406">
        <f>'Import by Economic Function'!J25/'Import by Economic Function'!J27</f>
        <v>5.9246886323724563E-7</v>
      </c>
      <c r="K54" s="3321">
        <f>'Import by Economic Function'!K25/'Import by Economic Function'!K27</f>
        <v>3.9568075156119715E-5</v>
      </c>
      <c r="L54" s="3324">
        <f>IFERROR('Import by Economic Function'!L25/'Import by Economic Function'!$L$27,"0%")</f>
        <v>1.7370592430233801E-5</v>
      </c>
    </row>
    <row r="55" spans="2:12" ht="18" customHeight="1" thickBot="1">
      <c r="B55" s="2397"/>
      <c r="C55" s="2407"/>
      <c r="D55" s="2407"/>
      <c r="E55" s="2547"/>
      <c r="F55" s="2547"/>
      <c r="G55" s="2408"/>
      <c r="H55" s="2408"/>
      <c r="I55" s="2408"/>
      <c r="J55" s="2408"/>
      <c r="K55" s="3310"/>
      <c r="L55" s="3175"/>
    </row>
    <row r="56" spans="2:12" ht="18" customHeight="1" thickBot="1">
      <c r="B56" s="2404" t="s">
        <v>394</v>
      </c>
      <c r="C56" s="2399">
        <f>C37+C44+C51</f>
        <v>1</v>
      </c>
      <c r="D56" s="2399">
        <f t="shared" ref="D56:K56" si="3">D37+D44+D51</f>
        <v>1</v>
      </c>
      <c r="E56" s="2399">
        <f t="shared" si="3"/>
        <v>1</v>
      </c>
      <c r="F56" s="2399">
        <f t="shared" si="3"/>
        <v>1</v>
      </c>
      <c r="G56" s="2399">
        <f t="shared" si="3"/>
        <v>1.0000000000000002</v>
      </c>
      <c r="H56" s="2399">
        <f t="shared" si="3"/>
        <v>1</v>
      </c>
      <c r="I56" s="2399">
        <f t="shared" si="3"/>
        <v>1</v>
      </c>
      <c r="J56" s="2399">
        <f t="shared" si="3"/>
        <v>1</v>
      </c>
      <c r="K56" s="3322">
        <f t="shared" si="3"/>
        <v>0.99999999999999989</v>
      </c>
      <c r="L56" s="3325">
        <f t="shared" ref="L56" si="4">L37+L44+L51</f>
        <v>0.99999999999999989</v>
      </c>
    </row>
    <row r="57" spans="2:12">
      <c r="B57" s="2400" t="s">
        <v>662</v>
      </c>
    </row>
    <row r="58" spans="2:12">
      <c r="B58" s="2400" t="s">
        <v>269</v>
      </c>
    </row>
    <row r="59" spans="2:12">
      <c r="B59" s="2401" t="s">
        <v>268</v>
      </c>
    </row>
    <row r="81" spans="2:2">
      <c r="B81" s="2386" t="s">
        <v>747</v>
      </c>
    </row>
  </sheetData>
  <mergeCells count="6">
    <mergeCell ref="B33:L33"/>
    <mergeCell ref="B2:L2"/>
    <mergeCell ref="B3:L3"/>
    <mergeCell ref="B4:L4"/>
    <mergeCell ref="B31:L31"/>
    <mergeCell ref="B32:L32"/>
  </mergeCells>
  <printOptions horizontalCentered="1" verticalCentered="1"/>
  <pageMargins left="0.25" right="0.25" top="0.75" bottom="0.75" header="0.3" footer="0.3"/>
  <pageSetup scale="56" firstPageNumber="103" orientation="landscape" useFirstPageNumber="1" r:id="rId1"/>
  <headerFooter scaleWithDoc="0" alignWithMargins="0">
    <oddFooter xml:space="preserve">&amp;C157
</oddFooter>
  </headerFooter>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00B0F0"/>
    <pageSetUpPr fitToPage="1"/>
  </sheetPr>
  <dimension ref="A3:N131"/>
  <sheetViews>
    <sheetView view="pageBreakPreview" topLeftCell="B29" zoomScale="70" zoomScaleNormal="80" zoomScaleSheetLayoutView="70" workbookViewId="0">
      <selection activeCell="B44" sqref="B44"/>
    </sheetView>
  </sheetViews>
  <sheetFormatPr defaultColWidth="9.46484375" defaultRowHeight="16.5"/>
  <cols>
    <col min="1" max="1" width="4.46484375" style="3836" hidden="1" customWidth="1"/>
    <col min="2" max="2" width="65.46484375" style="3836" bestFit="1" customWidth="1"/>
    <col min="3" max="3" width="11.46484375" style="3836" hidden="1" customWidth="1"/>
    <col min="4" max="4" width="18" style="3836" hidden="1" customWidth="1"/>
    <col min="5" max="11" width="18" style="3836" customWidth="1"/>
    <col min="12" max="12" width="15.33203125" style="3839" customWidth="1"/>
    <col min="13" max="13" width="14" style="3836" customWidth="1"/>
    <col min="14" max="16384" width="9.46484375" style="3836"/>
  </cols>
  <sheetData>
    <row r="3" spans="2:14" ht="18" customHeight="1">
      <c r="B3" s="5948" t="s">
        <v>699</v>
      </c>
      <c r="C3" s="5948"/>
      <c r="D3" s="5948"/>
      <c r="E3" s="5948"/>
      <c r="F3" s="5948"/>
      <c r="G3" s="5948"/>
      <c r="H3" s="5948"/>
      <c r="I3" s="5948"/>
      <c r="J3" s="5948"/>
      <c r="K3" s="5948"/>
      <c r="L3" s="5948"/>
      <c r="M3" s="3890"/>
    </row>
    <row r="4" spans="2:14" ht="18" customHeight="1">
      <c r="B4" s="5948" t="s">
        <v>550</v>
      </c>
      <c r="C4" s="5948"/>
      <c r="D4" s="5948"/>
      <c r="E4" s="5948"/>
      <c r="F4" s="5948"/>
      <c r="G4" s="5948"/>
      <c r="H4" s="5948"/>
      <c r="I4" s="5948"/>
      <c r="J4" s="5948"/>
      <c r="K4" s="5948"/>
      <c r="L4" s="5948"/>
      <c r="M4" s="3890"/>
    </row>
    <row r="5" spans="2:14" ht="18" customHeight="1">
      <c r="B5" s="5948" t="s">
        <v>513</v>
      </c>
      <c r="C5" s="5948"/>
      <c r="D5" s="5948"/>
      <c r="E5" s="5948"/>
      <c r="F5" s="5948"/>
      <c r="G5" s="5948"/>
      <c r="H5" s="5948"/>
      <c r="I5" s="5948"/>
      <c r="J5" s="5948"/>
      <c r="K5" s="5948"/>
      <c r="L5" s="5948"/>
      <c r="M5" s="3890"/>
    </row>
    <row r="6" spans="2:14" ht="16.899999999999999" thickBot="1">
      <c r="B6" s="3837"/>
      <c r="C6" s="3838"/>
      <c r="D6" s="3838"/>
      <c r="E6" s="3838"/>
      <c r="F6" s="3838"/>
      <c r="G6" s="3838"/>
      <c r="H6" s="3838"/>
      <c r="I6" s="3838"/>
      <c r="J6" s="3838"/>
      <c r="K6" s="3838"/>
    </row>
    <row r="7" spans="2:14" ht="18" customHeight="1" thickBot="1">
      <c r="B7" s="3840" t="s">
        <v>251</v>
      </c>
      <c r="C7" s="3841" t="s">
        <v>572</v>
      </c>
      <c r="D7" s="3842" t="s">
        <v>637</v>
      </c>
      <c r="E7" s="3843">
        <v>2016</v>
      </c>
      <c r="F7" s="3843">
        <v>2017</v>
      </c>
      <c r="G7" s="3843">
        <v>2018</v>
      </c>
      <c r="H7" s="3844">
        <v>2019</v>
      </c>
      <c r="I7" s="3841">
        <v>2020</v>
      </c>
      <c r="J7" s="3845">
        <v>2021</v>
      </c>
      <c r="K7" s="3843">
        <v>2022</v>
      </c>
      <c r="L7" s="3846" t="s">
        <v>1959</v>
      </c>
    </row>
    <row r="8" spans="2:14" ht="18" customHeight="1">
      <c r="B8" s="3847"/>
      <c r="C8" s="3848"/>
      <c r="D8" s="3849"/>
      <c r="E8" s="3849"/>
      <c r="F8" s="3849"/>
      <c r="H8" s="3849"/>
      <c r="J8" s="3849"/>
      <c r="K8" s="3850"/>
      <c r="L8" s="3851"/>
      <c r="M8" s="3852"/>
    </row>
    <row r="9" spans="2:14" ht="18" customHeight="1">
      <c r="B9" s="3853" t="s">
        <v>252</v>
      </c>
      <c r="C9" s="3854">
        <f>SUM(C11:C14)</f>
        <v>132.1</v>
      </c>
      <c r="D9" s="3855">
        <f t="shared" ref="D9:L9" si="0">SUM(D11:D14)</f>
        <v>77.080565980000017</v>
      </c>
      <c r="E9" s="3855">
        <f t="shared" si="0"/>
        <v>77.201969070000004</v>
      </c>
      <c r="F9" s="3855">
        <f t="shared" si="0"/>
        <v>75.549944459999992</v>
      </c>
      <c r="G9" s="3856">
        <f t="shared" si="0"/>
        <v>88.243828560000011</v>
      </c>
      <c r="H9" s="3855">
        <f t="shared" si="0"/>
        <v>86.754373409999985</v>
      </c>
      <c r="I9" s="3857">
        <f t="shared" si="0"/>
        <v>64.788111850000007</v>
      </c>
      <c r="J9" s="3855">
        <f t="shared" si="0"/>
        <v>69.234324990000005</v>
      </c>
      <c r="K9" s="3855">
        <f t="shared" si="0"/>
        <v>70.453524999999999</v>
      </c>
      <c r="L9" s="3858">
        <f t="shared" si="0"/>
        <v>71.609828999999991</v>
      </c>
      <c r="M9" s="3859">
        <f>L9/K9-1</f>
        <v>1.6412294487749168E-2</v>
      </c>
      <c r="N9" s="3860">
        <f>L9-K9</f>
        <v>1.1563039999999916</v>
      </c>
    </row>
    <row r="10" spans="2:14" ht="18" hidden="1" customHeight="1">
      <c r="B10" s="3861"/>
      <c r="C10" s="3862"/>
      <c r="D10" s="3863"/>
      <c r="E10" s="3863"/>
      <c r="F10" s="3863"/>
      <c r="H10" s="3864"/>
      <c r="J10" s="3864"/>
      <c r="K10" s="3864"/>
      <c r="L10" s="3865"/>
      <c r="M10" s="3859" t="e">
        <f t="shared" ref="M10:M28" si="1">L10/K10-1</f>
        <v>#DIV/0!</v>
      </c>
      <c r="N10" s="3860">
        <f t="shared" ref="N10:N28" si="2">L10-K10</f>
        <v>0</v>
      </c>
    </row>
    <row r="11" spans="2:14" ht="18" customHeight="1">
      <c r="B11" s="3861" t="s">
        <v>253</v>
      </c>
      <c r="C11" s="3862">
        <v>39.5</v>
      </c>
      <c r="D11" s="3866">
        <v>28.835842990000003</v>
      </c>
      <c r="E11" s="3866">
        <v>28.491255439999996</v>
      </c>
      <c r="F11" s="3866">
        <v>24.681453020000003</v>
      </c>
      <c r="G11" s="3866">
        <v>31.21008028</v>
      </c>
      <c r="H11" s="3866">
        <v>32.704211790000002</v>
      </c>
      <c r="I11" s="3866">
        <v>25.134033160000001</v>
      </c>
      <c r="J11" s="3866">
        <v>18.76716691</v>
      </c>
      <c r="K11" s="3866">
        <v>18.236318000000001</v>
      </c>
      <c r="L11" s="3865">
        <v>16.496589</v>
      </c>
      <c r="M11" s="3859">
        <f t="shared" si="1"/>
        <v>-9.5399137040711901E-2</v>
      </c>
      <c r="N11" s="3860">
        <f t="shared" si="2"/>
        <v>-1.7397290000000005</v>
      </c>
    </row>
    <row r="12" spans="2:14" ht="18" customHeight="1">
      <c r="B12" s="3861" t="s">
        <v>551</v>
      </c>
      <c r="C12" s="3862">
        <v>75</v>
      </c>
      <c r="D12" s="3866">
        <v>43.810683140000002</v>
      </c>
      <c r="E12" s="3866">
        <v>44.785318310000001</v>
      </c>
      <c r="F12" s="3866">
        <v>43.710693549999995</v>
      </c>
      <c r="G12" s="3866">
        <v>46.151291930000006</v>
      </c>
      <c r="H12" s="3866">
        <v>48.387186269999994</v>
      </c>
      <c r="I12" s="3866">
        <v>36.405245110000003</v>
      </c>
      <c r="J12" s="3866">
        <v>46.43941118</v>
      </c>
      <c r="K12" s="3866">
        <v>48.398398</v>
      </c>
      <c r="L12" s="3865">
        <v>51.232545000000002</v>
      </c>
      <c r="M12" s="3859">
        <f t="shared" si="1"/>
        <v>5.8558694442737647E-2</v>
      </c>
      <c r="N12" s="3860">
        <f t="shared" si="2"/>
        <v>2.8341470000000015</v>
      </c>
    </row>
    <row r="13" spans="2:14" ht="18" customHeight="1">
      <c r="B13" s="3861" t="s">
        <v>255</v>
      </c>
      <c r="C13" s="3862">
        <v>10.9</v>
      </c>
      <c r="D13" s="3866">
        <v>2.2023207899999999</v>
      </c>
      <c r="E13" s="3866">
        <v>2.1273805700000001</v>
      </c>
      <c r="F13" s="3866">
        <v>4.7850233800000002</v>
      </c>
      <c r="G13" s="3866">
        <v>8.0944873800000003</v>
      </c>
      <c r="H13" s="3866">
        <v>3.1296462000000003</v>
      </c>
      <c r="I13" s="3866">
        <v>1.7864199900000002</v>
      </c>
      <c r="J13" s="3866">
        <v>2.0675496</v>
      </c>
      <c r="K13" s="3866">
        <v>2.6838160000000002</v>
      </c>
      <c r="L13" s="3865">
        <v>2.4096350000000002</v>
      </c>
      <c r="M13" s="3859">
        <f t="shared" si="1"/>
        <v>-0.10216087839106702</v>
      </c>
      <c r="N13" s="3860">
        <f t="shared" si="2"/>
        <v>-0.27418100000000001</v>
      </c>
    </row>
    <row r="14" spans="2:14" ht="18" customHeight="1">
      <c r="B14" s="3861" t="s">
        <v>256</v>
      </c>
      <c r="C14" s="3862">
        <v>6.7</v>
      </c>
      <c r="D14" s="3866">
        <v>2.2317190600000001</v>
      </c>
      <c r="E14" s="3866">
        <v>1.7980147500000003</v>
      </c>
      <c r="F14" s="3866">
        <v>2.3727745099999997</v>
      </c>
      <c r="G14" s="3866">
        <v>2.7879689699999997</v>
      </c>
      <c r="H14" s="3866">
        <v>2.5333291499999997</v>
      </c>
      <c r="I14" s="3866">
        <v>1.4624135899999999</v>
      </c>
      <c r="J14" s="3866">
        <v>1.9601973000000001</v>
      </c>
      <c r="K14" s="3866">
        <v>1.1349929999999999</v>
      </c>
      <c r="L14" s="3865">
        <v>1.47106</v>
      </c>
      <c r="M14" s="3859">
        <f t="shared" si="1"/>
        <v>0.29609609927109704</v>
      </c>
      <c r="N14" s="3860">
        <f t="shared" si="2"/>
        <v>0.33606700000000012</v>
      </c>
    </row>
    <row r="15" spans="2:14" ht="18" customHeight="1">
      <c r="B15" s="3861"/>
      <c r="C15" s="3862"/>
      <c r="D15" s="3866"/>
      <c r="E15" s="3866"/>
      <c r="F15" s="3866"/>
      <c r="G15" s="3866"/>
      <c r="H15" s="3866"/>
      <c r="I15" s="3866"/>
      <c r="J15" s="3866"/>
      <c r="K15" s="3866"/>
      <c r="L15" s="3865"/>
      <c r="M15" s="3859"/>
      <c r="N15" s="3860"/>
    </row>
    <row r="16" spans="2:14" ht="18" customHeight="1">
      <c r="B16" s="3853" t="s">
        <v>257</v>
      </c>
      <c r="C16" s="3854">
        <f t="shared" ref="C16:L16" si="3">SUM(C18:C21)</f>
        <v>22.234626600000002</v>
      </c>
      <c r="D16" s="3855">
        <f t="shared" si="3"/>
        <v>18.041788500000003</v>
      </c>
      <c r="E16" s="3855">
        <f t="shared" si="3"/>
        <v>7.7445103200000007</v>
      </c>
      <c r="F16" s="3855">
        <f t="shared" si="3"/>
        <v>12.48309983</v>
      </c>
      <c r="G16" s="3855">
        <f t="shared" si="3"/>
        <v>17.80246176</v>
      </c>
      <c r="H16" s="3855">
        <f t="shared" si="3"/>
        <v>15.510252599999999</v>
      </c>
      <c r="I16" s="3855">
        <f t="shared" si="3"/>
        <v>20.579498979999997</v>
      </c>
      <c r="J16" s="3855">
        <f t="shared" si="3"/>
        <v>30.303230840000001</v>
      </c>
      <c r="K16" s="3855">
        <f t="shared" si="3"/>
        <v>34.441073000000003</v>
      </c>
      <c r="L16" s="3858">
        <f t="shared" si="3"/>
        <v>30.908020999999998</v>
      </c>
      <c r="M16" s="3859">
        <f t="shared" si="1"/>
        <v>-0.10258251826242482</v>
      </c>
      <c r="N16" s="3860">
        <f t="shared" si="2"/>
        <v>-3.533052000000005</v>
      </c>
    </row>
    <row r="17" spans="2:14" ht="18" hidden="1" customHeight="1">
      <c r="B17" s="3861"/>
      <c r="C17" s="3862"/>
      <c r="D17" s="3866"/>
      <c r="E17" s="3866"/>
      <c r="F17" s="3866"/>
      <c r="G17" s="3866"/>
      <c r="H17" s="3866"/>
      <c r="I17" s="3866"/>
      <c r="J17" s="3866"/>
      <c r="K17" s="3866"/>
      <c r="L17" s="3865"/>
      <c r="M17" s="3859" t="e">
        <f t="shared" si="1"/>
        <v>#DIV/0!</v>
      </c>
      <c r="N17" s="3860">
        <f t="shared" si="2"/>
        <v>0</v>
      </c>
    </row>
    <row r="18" spans="2:14" ht="18" customHeight="1">
      <c r="B18" s="3861" t="s">
        <v>552</v>
      </c>
      <c r="C18" s="3862">
        <v>19.5</v>
      </c>
      <c r="D18" s="3866">
        <v>14.37407776</v>
      </c>
      <c r="E18" s="3866">
        <v>4.1160025200000003</v>
      </c>
      <c r="F18" s="3866">
        <v>9.0350700100000001</v>
      </c>
      <c r="G18" s="3866">
        <v>12.73423543</v>
      </c>
      <c r="H18" s="3866">
        <v>10.958220379999998</v>
      </c>
      <c r="I18" s="3866">
        <v>12.983662839999999</v>
      </c>
      <c r="J18" s="3866">
        <v>23.142174369999999</v>
      </c>
      <c r="K18" s="3866">
        <v>26.661339000000002</v>
      </c>
      <c r="L18" s="3865">
        <v>25.506944000000001</v>
      </c>
      <c r="M18" s="3859">
        <f t="shared" si="1"/>
        <v>-4.3298462991674946E-2</v>
      </c>
      <c r="N18" s="3860">
        <f t="shared" si="2"/>
        <v>-1.1543950000000009</v>
      </c>
    </row>
    <row r="19" spans="2:14" ht="18" customHeight="1">
      <c r="B19" s="3861" t="s">
        <v>553</v>
      </c>
      <c r="C19" s="3862">
        <v>1.4596799999999999E-3</v>
      </c>
      <c r="D19" s="3866">
        <v>0</v>
      </c>
      <c r="E19" s="3866">
        <v>0</v>
      </c>
      <c r="F19" s="3866">
        <v>0</v>
      </c>
      <c r="G19" s="3866">
        <v>1.5E-3</v>
      </c>
      <c r="H19" s="3866">
        <v>2.1403740000000001E-2</v>
      </c>
      <c r="I19" s="3866">
        <v>0</v>
      </c>
      <c r="J19" s="3866">
        <v>0</v>
      </c>
      <c r="K19" s="3866">
        <v>4.3800000000000002E-4</v>
      </c>
      <c r="L19" s="3865">
        <v>2.99E-4</v>
      </c>
      <c r="M19" s="3859">
        <f t="shared" si="1"/>
        <v>-0.31735159817351599</v>
      </c>
      <c r="N19" s="3860">
        <f t="shared" si="2"/>
        <v>-1.3900000000000002E-4</v>
      </c>
    </row>
    <row r="20" spans="2:14" ht="18" customHeight="1">
      <c r="B20" s="3861" t="s">
        <v>554</v>
      </c>
      <c r="C20" s="3862">
        <v>5.8104999999999995E-4</v>
      </c>
      <c r="D20" s="3866">
        <v>2.8607100000000002E-3</v>
      </c>
      <c r="E20" s="3866">
        <v>4.3103000000000004E-3</v>
      </c>
      <c r="F20" s="3866">
        <v>1.1129710000000001E-2</v>
      </c>
      <c r="G20" s="3866">
        <v>3.1516380000000004E-2</v>
      </c>
      <c r="H20" s="3866">
        <v>6.3238409999999995E-2</v>
      </c>
      <c r="I20" s="3866">
        <v>4.0274789999999998E-2</v>
      </c>
      <c r="J20" s="3866">
        <v>4.6047980000000002E-2</v>
      </c>
      <c r="K20" s="3866">
        <v>6.2049E-2</v>
      </c>
      <c r="L20" s="3865">
        <v>5.8624999999999997E-2</v>
      </c>
      <c r="M20" s="3859">
        <f t="shared" si="1"/>
        <v>-5.5182194717078525E-2</v>
      </c>
      <c r="N20" s="3860">
        <f t="shared" si="2"/>
        <v>-3.4240000000000034E-3</v>
      </c>
    </row>
    <row r="21" spans="2:14" ht="18" customHeight="1">
      <c r="B21" s="3861" t="s">
        <v>261</v>
      </c>
      <c r="C21" s="3862">
        <v>2.7325858700000003</v>
      </c>
      <c r="D21" s="3866">
        <v>3.6648500300000002</v>
      </c>
      <c r="E21" s="3866">
        <v>3.6241975000000002</v>
      </c>
      <c r="F21" s="3866">
        <v>3.4369001100000003</v>
      </c>
      <c r="G21" s="3866">
        <v>5.0352099500000005</v>
      </c>
      <c r="H21" s="3866">
        <v>4.4673900700000004</v>
      </c>
      <c r="I21" s="3866">
        <v>7.5555613499999996</v>
      </c>
      <c r="J21" s="3866">
        <v>7.1150084900000001</v>
      </c>
      <c r="K21" s="3866">
        <v>7.7172470000000004</v>
      </c>
      <c r="L21" s="3865">
        <v>5.3421529999999997</v>
      </c>
      <c r="M21" s="3859">
        <f t="shared" si="1"/>
        <v>-0.30776441391599885</v>
      </c>
      <c r="N21" s="3860">
        <f t="shared" si="2"/>
        <v>-2.3750940000000007</v>
      </c>
    </row>
    <row r="22" spans="2:14" ht="18" customHeight="1">
      <c r="B22" s="3861"/>
      <c r="C22" s="3862"/>
      <c r="D22" s="3866"/>
      <c r="E22" s="3866"/>
      <c r="F22" s="3866"/>
      <c r="G22" s="3866"/>
      <c r="H22" s="3866"/>
      <c r="I22" s="3866"/>
      <c r="J22" s="3866"/>
      <c r="K22" s="3866"/>
      <c r="L22" s="3865"/>
      <c r="M22" s="3859"/>
      <c r="N22" s="3860"/>
    </row>
    <row r="23" spans="2:14" ht="18" customHeight="1">
      <c r="B23" s="3853" t="s">
        <v>262</v>
      </c>
      <c r="C23" s="3854">
        <f t="shared" ref="C23:L23" si="4">SUM(C25:C26)</f>
        <v>4.5</v>
      </c>
      <c r="D23" s="3855">
        <f t="shared" si="4"/>
        <v>2.2021064099999998</v>
      </c>
      <c r="E23" s="3855">
        <f t="shared" si="4"/>
        <v>3.3453147699999999</v>
      </c>
      <c r="F23" s="3855">
        <f t="shared" si="4"/>
        <v>1.5431744200000002</v>
      </c>
      <c r="G23" s="3855">
        <f t="shared" si="4"/>
        <v>1.81923401</v>
      </c>
      <c r="H23" s="3855">
        <f t="shared" si="4"/>
        <v>1.9572599300000002</v>
      </c>
      <c r="I23" s="3855">
        <f t="shared" si="4"/>
        <v>3.4916184299999995</v>
      </c>
      <c r="J23" s="3855">
        <f t="shared" si="4"/>
        <v>1.43649688</v>
      </c>
      <c r="K23" s="3855">
        <f t="shared" si="4"/>
        <v>2.655151</v>
      </c>
      <c r="L23" s="3858">
        <f t="shared" si="4"/>
        <v>2.0510350000000002</v>
      </c>
      <c r="M23" s="3859">
        <f t="shared" si="1"/>
        <v>-0.22752604277496835</v>
      </c>
      <c r="N23" s="3860">
        <f t="shared" si="2"/>
        <v>-0.60411599999999988</v>
      </c>
    </row>
    <row r="24" spans="2:14" ht="18" hidden="1" customHeight="1">
      <c r="B24" s="3861"/>
      <c r="C24" s="3862"/>
      <c r="D24" s="3866"/>
      <c r="E24" s="3866"/>
      <c r="F24" s="3866"/>
      <c r="G24" s="3866"/>
      <c r="H24" s="3866"/>
      <c r="I24" s="3866"/>
      <c r="J24" s="3866"/>
      <c r="K24" s="3866"/>
      <c r="L24" s="3865"/>
      <c r="M24" s="3859" t="e">
        <f t="shared" si="1"/>
        <v>#DIV/0!</v>
      </c>
      <c r="N24" s="3860">
        <f t="shared" si="2"/>
        <v>0</v>
      </c>
    </row>
    <row r="25" spans="2:14" ht="18" customHeight="1">
      <c r="B25" s="3861" t="s">
        <v>263</v>
      </c>
      <c r="C25" s="3862">
        <v>4.5</v>
      </c>
      <c r="D25" s="3866">
        <v>2.1921064100000001</v>
      </c>
      <c r="E25" s="3866">
        <v>2.67481546</v>
      </c>
      <c r="F25" s="3866">
        <v>1.5035076800000002</v>
      </c>
      <c r="G25" s="3866">
        <v>1.8167208799999999</v>
      </c>
      <c r="H25" s="3866">
        <v>1.9433954300000003</v>
      </c>
      <c r="I25" s="3866">
        <v>3.4916184299999995</v>
      </c>
      <c r="J25" s="3866">
        <v>1.43649688</v>
      </c>
      <c r="K25" s="3866">
        <v>2.655151</v>
      </c>
      <c r="L25" s="3865">
        <v>2.0399370000000001</v>
      </c>
      <c r="M25" s="3859">
        <f t="shared" si="1"/>
        <v>-0.23170584271854966</v>
      </c>
      <c r="N25" s="3860">
        <f t="shared" si="2"/>
        <v>-0.61521399999999993</v>
      </c>
    </row>
    <row r="26" spans="2:14" ht="18" customHeight="1">
      <c r="B26" s="3861" t="s">
        <v>264</v>
      </c>
      <c r="C26" s="3862">
        <v>0</v>
      </c>
      <c r="D26" s="3866">
        <v>0.01</v>
      </c>
      <c r="E26" s="3866">
        <v>0.67049931000000007</v>
      </c>
      <c r="F26" s="3866">
        <v>3.9666740000000006E-2</v>
      </c>
      <c r="G26" s="3866">
        <v>2.5131300000000001E-3</v>
      </c>
      <c r="H26" s="3866">
        <v>1.38645E-2</v>
      </c>
      <c r="I26" s="3866">
        <v>0</v>
      </c>
      <c r="J26" s="3866">
        <v>0</v>
      </c>
      <c r="K26" s="3866">
        <v>0</v>
      </c>
      <c r="L26" s="3865">
        <v>1.1098E-2</v>
      </c>
      <c r="M26" s="3867" t="str">
        <f>IFERROR(L26/K26-1,"0%")</f>
        <v>0%</v>
      </c>
      <c r="N26" s="3860">
        <f t="shared" si="2"/>
        <v>1.1098E-2</v>
      </c>
    </row>
    <row r="27" spans="2:14" ht="18" customHeight="1">
      <c r="B27" s="3861"/>
      <c r="C27" s="3868"/>
      <c r="D27" s="3869"/>
      <c r="E27" s="3869"/>
      <c r="F27" s="3869"/>
      <c r="G27" s="3869"/>
      <c r="H27" s="3869"/>
      <c r="I27" s="3869"/>
      <c r="J27" s="3869"/>
      <c r="K27" s="3869"/>
      <c r="L27" s="3870"/>
      <c r="M27" s="3859"/>
      <c r="N27" s="3860"/>
    </row>
    <row r="28" spans="2:14" ht="18" customHeight="1" thickBot="1">
      <c r="B28" s="3871" t="s">
        <v>394</v>
      </c>
      <c r="C28" s="3872">
        <f t="shared" ref="C28:L28" si="5">+C23+C16+C9</f>
        <v>158.83462660000001</v>
      </c>
      <c r="D28" s="3873">
        <f t="shared" si="5"/>
        <v>97.324460890000012</v>
      </c>
      <c r="E28" s="3874">
        <f t="shared" si="5"/>
        <v>88.291794160000009</v>
      </c>
      <c r="F28" s="3874">
        <f t="shared" si="5"/>
        <v>89.576218709999992</v>
      </c>
      <c r="G28" s="3874">
        <f t="shared" si="5"/>
        <v>107.86552433000001</v>
      </c>
      <c r="H28" s="3875">
        <f t="shared" si="5"/>
        <v>104.22188593999999</v>
      </c>
      <c r="I28" s="3876">
        <f t="shared" si="5"/>
        <v>88.859229260000006</v>
      </c>
      <c r="J28" s="3874">
        <f t="shared" si="5"/>
        <v>100.97405271000001</v>
      </c>
      <c r="K28" s="3874">
        <f t="shared" si="5"/>
        <v>107.54974900000001</v>
      </c>
      <c r="L28" s="3877">
        <f t="shared" si="5"/>
        <v>104.56888499999999</v>
      </c>
      <c r="M28" s="3859">
        <f t="shared" si="1"/>
        <v>-2.771614092748842E-2</v>
      </c>
      <c r="N28" s="3860">
        <f t="shared" si="2"/>
        <v>-2.9808640000000111</v>
      </c>
    </row>
    <row r="29" spans="2:14" ht="18" customHeight="1">
      <c r="B29" s="3878" t="s">
        <v>738</v>
      </c>
      <c r="C29" s="3856"/>
      <c r="D29" s="3856"/>
      <c r="E29" s="3856"/>
      <c r="F29" s="3856"/>
      <c r="G29" s="3856"/>
      <c r="H29" s="3856"/>
      <c r="I29" s="3856"/>
      <c r="J29" s="3856"/>
      <c r="K29" s="3856"/>
      <c r="L29" s="3879"/>
      <c r="M29" s="3852"/>
    </row>
    <row r="30" spans="2:14" ht="18" customHeight="1">
      <c r="B30" s="3878" t="s">
        <v>269</v>
      </c>
      <c r="C30" s="3856"/>
      <c r="D30" s="3856"/>
      <c r="E30" s="3856"/>
      <c r="F30" s="3856"/>
      <c r="G30" s="3856"/>
      <c r="H30" s="3856"/>
      <c r="I30" s="3856"/>
      <c r="J30" s="3856"/>
      <c r="K30" s="3856"/>
      <c r="L30" s="3879"/>
      <c r="M30" s="3852"/>
    </row>
    <row r="31" spans="2:14" ht="18" customHeight="1">
      <c r="B31" s="3878" t="s">
        <v>268</v>
      </c>
      <c r="C31" s="3856"/>
      <c r="D31" s="3856"/>
      <c r="E31" s="3856"/>
      <c r="F31" s="3856"/>
      <c r="G31" s="3856"/>
      <c r="H31" s="3856"/>
      <c r="I31" s="3856"/>
      <c r="J31" s="3856"/>
      <c r="K31" s="3856"/>
      <c r="L31" s="3879"/>
      <c r="M31" s="3852"/>
    </row>
    <row r="32" spans="2:14" ht="18" customHeight="1">
      <c r="B32" s="5947" t="s">
        <v>700</v>
      </c>
      <c r="C32" s="5947"/>
      <c r="D32" s="5947"/>
      <c r="E32" s="5947"/>
      <c r="F32" s="5947"/>
      <c r="G32" s="5947"/>
      <c r="H32" s="5947"/>
      <c r="I32" s="5947"/>
      <c r="J32" s="5947"/>
      <c r="K32" s="5947"/>
      <c r="L32" s="5947"/>
      <c r="M32" s="5947"/>
    </row>
    <row r="33" spans="2:13" ht="18" customHeight="1">
      <c r="B33" s="5947" t="s">
        <v>550</v>
      </c>
      <c r="C33" s="5947"/>
      <c r="D33" s="5947"/>
      <c r="E33" s="5947"/>
      <c r="F33" s="5947"/>
      <c r="G33" s="5947"/>
      <c r="H33" s="5947"/>
      <c r="I33" s="5947"/>
      <c r="J33" s="5947"/>
      <c r="K33" s="5947"/>
      <c r="L33" s="5947"/>
      <c r="M33" s="5947"/>
    </row>
    <row r="34" spans="2:13" ht="18" customHeight="1">
      <c r="B34" s="5947" t="s">
        <v>99</v>
      </c>
      <c r="C34" s="5947"/>
      <c r="D34" s="5947"/>
      <c r="E34" s="5947"/>
      <c r="F34" s="5947"/>
      <c r="G34" s="5947"/>
      <c r="H34" s="5947"/>
      <c r="I34" s="5947"/>
      <c r="J34" s="5947"/>
      <c r="K34" s="5947"/>
      <c r="L34" s="5947"/>
      <c r="M34" s="5947"/>
    </row>
    <row r="35" spans="2:13" ht="12.75" customHeight="1" thickBot="1">
      <c r="B35" s="3880"/>
      <c r="C35" s="3880"/>
      <c r="D35" s="3880"/>
      <c r="E35" s="3880"/>
      <c r="F35" s="3880"/>
      <c r="G35" s="3880"/>
      <c r="L35" s="3879"/>
      <c r="M35" s="3852"/>
    </row>
    <row r="36" spans="2:13" ht="18" customHeight="1" thickBot="1">
      <c r="B36" s="3881" t="s">
        <v>251</v>
      </c>
      <c r="C36" s="3841">
        <v>2014</v>
      </c>
      <c r="D36" s="3882" t="s">
        <v>637</v>
      </c>
      <c r="E36" s="3843">
        <v>2016</v>
      </c>
      <c r="F36" s="3843">
        <v>2017</v>
      </c>
      <c r="G36" s="3841">
        <v>2018</v>
      </c>
      <c r="H36" s="3843">
        <v>2019</v>
      </c>
      <c r="I36" s="3841">
        <v>2020</v>
      </c>
      <c r="J36" s="3843">
        <v>2021</v>
      </c>
      <c r="K36" s="3843">
        <v>2022</v>
      </c>
      <c r="L36" s="3883" t="s">
        <v>1959</v>
      </c>
      <c r="M36" s="3852"/>
    </row>
    <row r="37" spans="2:13" ht="18" customHeight="1">
      <c r="B37" s="3884"/>
      <c r="C37" s="3885"/>
      <c r="D37" s="3886"/>
      <c r="E37" s="3849"/>
      <c r="F37" s="3849"/>
      <c r="G37" s="3887"/>
      <c r="H37" s="3849"/>
      <c r="I37" s="3887"/>
      <c r="J37" s="3849"/>
      <c r="K37" s="3850"/>
      <c r="M37" s="3888"/>
    </row>
    <row r="38" spans="2:13" ht="18" customHeight="1">
      <c r="B38" s="3889" t="s">
        <v>252</v>
      </c>
      <c r="C38" s="3890"/>
      <c r="D38" s="3891">
        <f>D9/C9-1</f>
        <v>-0.41649836502649495</v>
      </c>
      <c r="E38" s="3892">
        <f t="shared" ref="E38:L38" si="6">E9/D9-1</f>
        <v>1.5750155497233909E-3</v>
      </c>
      <c r="F38" s="3892">
        <f t="shared" si="6"/>
        <v>-2.139873671489001E-2</v>
      </c>
      <c r="G38" s="3892">
        <f t="shared" si="6"/>
        <v>0.16801976746284453</v>
      </c>
      <c r="H38" s="3892">
        <f t="shared" si="6"/>
        <v>-1.6878859114632494E-2</v>
      </c>
      <c r="I38" s="3893">
        <f t="shared" si="6"/>
        <v>-0.25320062489746453</v>
      </c>
      <c r="J38" s="3892">
        <f t="shared" si="6"/>
        <v>6.8626990554903733E-2</v>
      </c>
      <c r="K38" s="3894">
        <f t="shared" si="6"/>
        <v>1.7609762356693537E-2</v>
      </c>
      <c r="L38" s="3894">
        <f t="shared" si="6"/>
        <v>1.6412294487749168E-2</v>
      </c>
      <c r="M38" s="3888"/>
    </row>
    <row r="39" spans="2:13" ht="18" customHeight="1">
      <c r="B39" s="3895" t="s">
        <v>253</v>
      </c>
      <c r="D39" s="3896">
        <f t="shared" ref="D39:L42" si="7">D11/C11-1</f>
        <v>-0.26997865848101255</v>
      </c>
      <c r="E39" s="3897">
        <f t="shared" si="7"/>
        <v>-1.1949973167751926E-2</v>
      </c>
      <c r="F39" s="3897">
        <f t="shared" si="7"/>
        <v>-0.13371830623691161</v>
      </c>
      <c r="G39" s="3897">
        <f t="shared" si="7"/>
        <v>0.26451551514044525</v>
      </c>
      <c r="H39" s="3898">
        <f>H11/G11-1</f>
        <v>4.7873363240192202E-2</v>
      </c>
      <c r="I39" s="3897">
        <f>I11/H11-1</f>
        <v>-0.23147411956018282</v>
      </c>
      <c r="J39" s="3898">
        <f>J11/I11-1</f>
        <v>-0.2533165373606916</v>
      </c>
      <c r="K39" s="3899">
        <f>K11/J11-1</f>
        <v>-2.8286044054797621E-2</v>
      </c>
      <c r="L39" s="3899">
        <f>L11/K11-1</f>
        <v>-9.5399137040711901E-2</v>
      </c>
      <c r="M39" s="3888"/>
    </row>
    <row r="40" spans="2:13" ht="18" customHeight="1">
      <c r="B40" s="3895" t="s">
        <v>551</v>
      </c>
      <c r="D40" s="3896">
        <f t="shared" si="7"/>
        <v>-0.41585755813333336</v>
      </c>
      <c r="E40" s="3897">
        <f t="shared" si="7"/>
        <v>2.2246518432170737E-2</v>
      </c>
      <c r="F40" s="3897">
        <f t="shared" si="7"/>
        <v>-2.3995023381581215E-2</v>
      </c>
      <c r="G40" s="3897">
        <f t="shared" si="7"/>
        <v>5.5835270085757172E-2</v>
      </c>
      <c r="H40" s="3898">
        <f t="shared" si="7"/>
        <v>4.8447058500361795E-2</v>
      </c>
      <c r="I40" s="3897">
        <f t="shared" si="7"/>
        <v>-0.24762632596863321</v>
      </c>
      <c r="J40" s="3898">
        <f t="shared" si="7"/>
        <v>0.27562418656106669</v>
      </c>
      <c r="K40" s="3899">
        <f t="shared" si="7"/>
        <v>4.2183713579117876E-2</v>
      </c>
      <c r="L40" s="3899">
        <f t="shared" si="7"/>
        <v>5.8558694442737647E-2</v>
      </c>
      <c r="M40" s="3888"/>
    </row>
    <row r="41" spans="2:13" ht="18" customHeight="1">
      <c r="B41" s="3895" t="s">
        <v>255</v>
      </c>
      <c r="D41" s="3896">
        <f t="shared" si="7"/>
        <v>-0.79795222110091746</v>
      </c>
      <c r="E41" s="3897">
        <f t="shared" si="7"/>
        <v>-3.4027840240294815E-2</v>
      </c>
      <c r="F41" s="3897">
        <f t="shared" si="7"/>
        <v>1.2492559382546209</v>
      </c>
      <c r="G41" s="3897">
        <f t="shared" si="7"/>
        <v>0.69162964048046094</v>
      </c>
      <c r="H41" s="3898">
        <f t="shared" si="7"/>
        <v>-0.61336079073607741</v>
      </c>
      <c r="I41" s="3897">
        <f t="shared" si="7"/>
        <v>-0.42919426802940219</v>
      </c>
      <c r="J41" s="3898">
        <f t="shared" si="7"/>
        <v>0.15737038970326322</v>
      </c>
      <c r="K41" s="3899">
        <f t="shared" si="7"/>
        <v>0.29806607783436023</v>
      </c>
      <c r="L41" s="3899">
        <f t="shared" si="7"/>
        <v>-0.10216087839106702</v>
      </c>
      <c r="M41" s="3888"/>
    </row>
    <row r="42" spans="2:13" ht="18" customHeight="1">
      <c r="B42" s="3895" t="s">
        <v>256</v>
      </c>
      <c r="D42" s="3896">
        <f t="shared" si="7"/>
        <v>-0.66690760298507468</v>
      </c>
      <c r="E42" s="3897">
        <f t="shared" si="7"/>
        <v>-0.19433642781184102</v>
      </c>
      <c r="F42" s="3897">
        <f t="shared" si="7"/>
        <v>0.31966354002379527</v>
      </c>
      <c r="G42" s="3897">
        <f t="shared" si="7"/>
        <v>0.1749826872507998</v>
      </c>
      <c r="H42" s="3898">
        <f t="shared" si="7"/>
        <v>-9.1335241797902755E-2</v>
      </c>
      <c r="I42" s="3897">
        <f t="shared" si="7"/>
        <v>-0.42273052437737901</v>
      </c>
      <c r="J42" s="3898">
        <f t="shared" si="7"/>
        <v>0.34038504114284129</v>
      </c>
      <c r="K42" s="3899">
        <f t="shared" si="7"/>
        <v>-0.42098022479675912</v>
      </c>
      <c r="L42" s="3899">
        <f t="shared" si="7"/>
        <v>0.29609609927109704</v>
      </c>
      <c r="M42" s="3888"/>
    </row>
    <row r="43" spans="2:13" ht="18" customHeight="1">
      <c r="B43" s="3895"/>
      <c r="D43" s="3900"/>
      <c r="E43" s="3898"/>
      <c r="F43" s="3898"/>
      <c r="G43" s="3901"/>
      <c r="H43" s="3898"/>
      <c r="I43" s="3897"/>
      <c r="J43" s="3898"/>
      <c r="K43" s="3899"/>
      <c r="M43" s="3888"/>
    </row>
    <row r="44" spans="2:13" ht="18" customHeight="1">
      <c r="B44" s="3889" t="s">
        <v>257</v>
      </c>
      <c r="C44" s="3890"/>
      <c r="D44" s="3902">
        <f>D16/C16-1</f>
        <v>-0.18857245392193811</v>
      </c>
      <c r="E44" s="3892">
        <f>E16/D16-1</f>
        <v>-0.57074597565535146</v>
      </c>
      <c r="F44" s="3892">
        <f t="shared" ref="F44:L44" si="8">F16/E16-1</f>
        <v>0.61186431603851221</v>
      </c>
      <c r="G44" s="3892">
        <f t="shared" si="8"/>
        <v>0.42612508130522575</v>
      </c>
      <c r="H44" s="3892">
        <f t="shared" si="8"/>
        <v>-0.12875798813118755</v>
      </c>
      <c r="I44" s="3893">
        <f t="shared" si="8"/>
        <v>0.32683196790747293</v>
      </c>
      <c r="J44" s="3892">
        <f t="shared" si="8"/>
        <v>0.47249604421613611</v>
      </c>
      <c r="K44" s="3894">
        <f t="shared" si="8"/>
        <v>0.13654788764431314</v>
      </c>
      <c r="L44" s="3894">
        <f t="shared" si="8"/>
        <v>-0.10258251826242482</v>
      </c>
      <c r="M44" s="3888"/>
    </row>
    <row r="45" spans="2:13" ht="18" customHeight="1">
      <c r="B45" s="3895" t="s">
        <v>552</v>
      </c>
      <c r="D45" s="3896">
        <f>D16/C16-1</f>
        <v>-0.18857245392193811</v>
      </c>
      <c r="E45" s="3897">
        <f t="shared" ref="D45:L48" si="9">E18/D18-1</f>
        <v>-0.71365101895761551</v>
      </c>
      <c r="F45" s="3897">
        <f t="shared" si="9"/>
        <v>1.1951079879319413</v>
      </c>
      <c r="G45" s="3897">
        <f t="shared" si="9"/>
        <v>0.40942299460942411</v>
      </c>
      <c r="H45" s="3898">
        <f>H18/G18-1</f>
        <v>-0.13946774109547</v>
      </c>
      <c r="I45" s="3897">
        <f>I18/H18-1</f>
        <v>0.18483315627569086</v>
      </c>
      <c r="J45" s="3898">
        <f>J18/I18-1</f>
        <v>0.78240721860888995</v>
      </c>
      <c r="K45" s="3899">
        <f>K18/J18-1</f>
        <v>0.15206715556348138</v>
      </c>
      <c r="L45" s="3899">
        <f>L18/K18-1</f>
        <v>-4.3298462991674946E-2</v>
      </c>
      <c r="M45" s="3888"/>
    </row>
    <row r="46" spans="2:13" ht="18" customHeight="1">
      <c r="B46" s="3895" t="s">
        <v>553</v>
      </c>
      <c r="D46" s="3896">
        <v>-1</v>
      </c>
      <c r="E46" s="3897">
        <v>0</v>
      </c>
      <c r="F46" s="3897">
        <v>0</v>
      </c>
      <c r="G46" s="3897">
        <v>1</v>
      </c>
      <c r="H46" s="3898">
        <v>2</v>
      </c>
      <c r="I46" s="3897">
        <v>3</v>
      </c>
      <c r="J46" s="3898">
        <v>3</v>
      </c>
      <c r="K46" s="3899">
        <v>0</v>
      </c>
      <c r="L46" s="3899">
        <v>0</v>
      </c>
      <c r="M46" s="3903"/>
    </row>
    <row r="47" spans="2:13" ht="18" customHeight="1">
      <c r="B47" s="3895" t="s">
        <v>554</v>
      </c>
      <c r="D47" s="3896">
        <f t="shared" si="9"/>
        <v>3.9233456673263927</v>
      </c>
      <c r="E47" s="3897">
        <f t="shared" si="9"/>
        <v>0.5067238552666995</v>
      </c>
      <c r="F47" s="3897">
        <f t="shared" si="9"/>
        <v>1.5821195740435701</v>
      </c>
      <c r="G47" s="3897">
        <f t="shared" si="9"/>
        <v>1.8317341601892592</v>
      </c>
      <c r="H47" s="3898">
        <f t="shared" si="9"/>
        <v>1.0065251783358362</v>
      </c>
      <c r="I47" s="3897">
        <f t="shared" si="9"/>
        <v>-0.36312772569708818</v>
      </c>
      <c r="J47" s="3898">
        <f t="shared" si="9"/>
        <v>0.14334500564745345</v>
      </c>
      <c r="K47" s="3899">
        <f t="shared" si="9"/>
        <v>0.34748581805325651</v>
      </c>
      <c r="L47" s="3899">
        <f t="shared" si="9"/>
        <v>-5.5182194717078525E-2</v>
      </c>
      <c r="M47" s="3903"/>
    </row>
    <row r="48" spans="2:13" ht="18" customHeight="1">
      <c r="B48" s="3895" t="s">
        <v>261</v>
      </c>
      <c r="D48" s="3896">
        <f t="shared" si="9"/>
        <v>0.34116554953861322</v>
      </c>
      <c r="E48" s="3897">
        <f t="shared" si="9"/>
        <v>-1.1092549399627116E-2</v>
      </c>
      <c r="F48" s="3897">
        <f t="shared" si="9"/>
        <v>-5.1679686330560082E-2</v>
      </c>
      <c r="G48" s="3897">
        <f t="shared" si="9"/>
        <v>0.46504401898372305</v>
      </c>
      <c r="H48" s="3898">
        <f t="shared" si="9"/>
        <v>-0.11276985183110388</v>
      </c>
      <c r="I48" s="3897">
        <f t="shared" si="9"/>
        <v>0.69126967459996136</v>
      </c>
      <c r="J48" s="3898">
        <f t="shared" si="9"/>
        <v>-5.830842204729092E-2</v>
      </c>
      <c r="K48" s="3899">
        <f t="shared" si="9"/>
        <v>8.464340005306159E-2</v>
      </c>
      <c r="L48" s="3899">
        <f t="shared" si="9"/>
        <v>-0.30776441391599885</v>
      </c>
      <c r="M48" s="3903"/>
    </row>
    <row r="49" spans="2:13" ht="18" customHeight="1">
      <c r="B49" s="3895"/>
      <c r="D49" s="3900"/>
      <c r="E49" s="3898"/>
      <c r="F49" s="3898"/>
      <c r="G49" s="3901"/>
      <c r="H49" s="3898"/>
      <c r="I49" s="3897"/>
      <c r="J49" s="3898"/>
      <c r="K49" s="3899"/>
      <c r="M49" s="3903"/>
    </row>
    <row r="50" spans="2:13" ht="18" customHeight="1">
      <c r="B50" s="3889" t="s">
        <v>262</v>
      </c>
      <c r="C50" s="3901"/>
      <c r="D50" s="3902">
        <f>D23/C23-1</f>
        <v>-0.51064302000000006</v>
      </c>
      <c r="E50" s="3892">
        <f>E23/D23-1</f>
        <v>0.51914310535066299</v>
      </c>
      <c r="F50" s="3892">
        <f t="shared" ref="F50:L50" si="10">F23/E23-1</f>
        <v>-0.5387057643009181</v>
      </c>
      <c r="G50" s="3892">
        <f t="shared" si="10"/>
        <v>0.17889072448466314</v>
      </c>
      <c r="H50" s="3892">
        <f t="shared" si="10"/>
        <v>7.587034941150872E-2</v>
      </c>
      <c r="I50" s="3893">
        <f t="shared" si="10"/>
        <v>0.78393190218736009</v>
      </c>
      <c r="J50" s="3892">
        <f t="shared" si="10"/>
        <v>-0.58858709541179732</v>
      </c>
      <c r="K50" s="3894">
        <f t="shared" si="10"/>
        <v>0.84835138660377751</v>
      </c>
      <c r="L50" s="3894">
        <f t="shared" si="10"/>
        <v>-0.22752604277496835</v>
      </c>
      <c r="M50" s="3903"/>
    </row>
    <row r="51" spans="2:13" ht="18" customHeight="1">
      <c r="B51" s="3895"/>
      <c r="D51" s="3891"/>
      <c r="E51" s="3892"/>
      <c r="F51" s="3892"/>
      <c r="G51" s="3901"/>
      <c r="H51" s="3904"/>
      <c r="I51" s="3905"/>
      <c r="J51" s="3904"/>
      <c r="K51" s="3864"/>
      <c r="M51" s="3903"/>
    </row>
    <row r="52" spans="2:13" ht="18" customHeight="1">
      <c r="B52" s="3895" t="s">
        <v>263</v>
      </c>
      <c r="D52" s="3896">
        <f t="shared" ref="D52:G53" si="11">D25/C25-1</f>
        <v>-0.51286524222222218</v>
      </c>
      <c r="E52" s="3897">
        <f t="shared" si="11"/>
        <v>0.22020329295966978</v>
      </c>
      <c r="F52" s="3897">
        <f t="shared" si="11"/>
        <v>-0.43790227681725746</v>
      </c>
      <c r="G52" s="3897">
        <f t="shared" si="11"/>
        <v>0.2083216495442175</v>
      </c>
      <c r="H52" s="3898">
        <f>H25/G25-1</f>
        <v>6.9727029283662034E-2</v>
      </c>
      <c r="I52" s="3897">
        <f>I25/H25-1</f>
        <v>0.7966587633686053</v>
      </c>
      <c r="J52" s="3898">
        <f>J25/I25-1</f>
        <v>-0.58858709541179732</v>
      </c>
      <c r="K52" s="3899">
        <f>K25/J25-1</f>
        <v>0.84835138660377751</v>
      </c>
      <c r="L52" s="3899">
        <f>L25/K25-1</f>
        <v>-0.23170584271854966</v>
      </c>
      <c r="M52" s="3903"/>
    </row>
    <row r="53" spans="2:13" ht="18" customHeight="1">
      <c r="B53" s="3895" t="s">
        <v>264</v>
      </c>
      <c r="D53" s="3896">
        <v>0</v>
      </c>
      <c r="E53" s="3897">
        <f t="shared" si="11"/>
        <v>66.049931000000001</v>
      </c>
      <c r="F53" s="3897">
        <f t="shared" si="11"/>
        <v>-0.94083999877643421</v>
      </c>
      <c r="G53" s="3897">
        <f t="shared" si="11"/>
        <v>-0.93664389864153197</v>
      </c>
      <c r="H53" s="3898">
        <f>H26/G26-1</f>
        <v>4.5168256317818809</v>
      </c>
      <c r="I53" s="3897">
        <f>I26/H26-1</f>
        <v>-1</v>
      </c>
      <c r="J53" s="3898">
        <v>0</v>
      </c>
      <c r="K53" s="3899">
        <v>0</v>
      </c>
      <c r="L53" s="3899">
        <v>0</v>
      </c>
      <c r="M53" s="3903"/>
    </row>
    <row r="54" spans="2:13" ht="18" customHeight="1">
      <c r="B54" s="3906"/>
      <c r="C54" s="3907"/>
      <c r="D54" s="3908"/>
      <c r="E54" s="3909"/>
      <c r="F54" s="3909"/>
      <c r="G54" s="3909"/>
      <c r="H54" s="3910"/>
      <c r="I54" s="3909"/>
      <c r="J54" s="3910"/>
      <c r="K54" s="3910"/>
      <c r="L54" s="3911"/>
      <c r="M54" s="3903"/>
    </row>
    <row r="55" spans="2:13" ht="18" customHeight="1" thickBot="1">
      <c r="B55" s="3912" t="s">
        <v>394</v>
      </c>
      <c r="C55" s="3913"/>
      <c r="D55" s="3914">
        <f t="shared" ref="D55:L55" si="12">D28/C28-1</f>
        <v>-0.38725917028724255</v>
      </c>
      <c r="E55" s="3915">
        <f t="shared" si="12"/>
        <v>-9.2809830616057409E-2</v>
      </c>
      <c r="F55" s="3915">
        <f t="shared" si="12"/>
        <v>1.4547496312877994E-2</v>
      </c>
      <c r="G55" s="3916">
        <f t="shared" si="12"/>
        <v>0.20417590609859348</v>
      </c>
      <c r="H55" s="3915">
        <f t="shared" si="12"/>
        <v>-3.377945281990935E-2</v>
      </c>
      <c r="I55" s="3916">
        <f t="shared" si="12"/>
        <v>-0.14740336486373107</v>
      </c>
      <c r="J55" s="3915">
        <f t="shared" si="12"/>
        <v>0.13633725557704657</v>
      </c>
      <c r="K55" s="3917">
        <f t="shared" si="12"/>
        <v>6.512263411755459E-2</v>
      </c>
      <c r="L55" s="3917">
        <f t="shared" si="12"/>
        <v>-2.771614092748842E-2</v>
      </c>
      <c r="M55" s="3903"/>
    </row>
    <row r="56" spans="2:13" ht="18" customHeight="1">
      <c r="B56" s="3878" t="s">
        <v>738</v>
      </c>
      <c r="C56" s="3918"/>
      <c r="D56" s="3918"/>
      <c r="E56" s="3918"/>
      <c r="F56" s="3919"/>
      <c r="G56" s="3919"/>
      <c r="H56" s="3880"/>
      <c r="I56" s="3880"/>
      <c r="J56" s="3880"/>
      <c r="K56" s="3880"/>
      <c r="L56" s="3879"/>
    </row>
    <row r="57" spans="2:13" ht="18" customHeight="1">
      <c r="B57" s="3878" t="s">
        <v>268</v>
      </c>
      <c r="C57" s="3918"/>
      <c r="D57" s="3918"/>
      <c r="E57" s="3918"/>
      <c r="F57" s="3918"/>
      <c r="G57" s="3918"/>
      <c r="H57" s="3880"/>
      <c r="I57" s="3880"/>
      <c r="J57" s="3880"/>
      <c r="K57" s="3880"/>
      <c r="L57" s="3879"/>
    </row>
    <row r="58" spans="2:13" ht="18" customHeight="1">
      <c r="C58" s="3901"/>
      <c r="D58" s="3901"/>
      <c r="E58" s="3901"/>
      <c r="F58" s="3901"/>
      <c r="G58" s="3901"/>
      <c r="H58" s="3920"/>
      <c r="I58" s="3920"/>
      <c r="J58" s="3920"/>
      <c r="K58" s="3920"/>
      <c r="L58" s="3879"/>
    </row>
    <row r="59" spans="2:13" ht="18" customHeight="1">
      <c r="L59" s="3879"/>
    </row>
    <row r="60" spans="2:13" ht="18" customHeight="1">
      <c r="L60" s="3879"/>
    </row>
    <row r="61" spans="2:13" ht="18" customHeight="1">
      <c r="L61" s="3879"/>
    </row>
    <row r="62" spans="2:13" ht="18" customHeight="1">
      <c r="L62" s="3879"/>
    </row>
    <row r="63" spans="2:13" ht="18" customHeight="1">
      <c r="B63" s="3921"/>
      <c r="H63" s="3839"/>
      <c r="I63" s="3839"/>
      <c r="J63" s="3839"/>
      <c r="K63" s="3839"/>
      <c r="L63" s="3879"/>
    </row>
    <row r="64" spans="2:13" ht="18" customHeight="1">
      <c r="L64" s="3879"/>
    </row>
    <row r="65" spans="2:12" ht="18" customHeight="1">
      <c r="L65" s="3879"/>
    </row>
    <row r="66" spans="2:12" ht="18" customHeight="1">
      <c r="L66" s="3879"/>
    </row>
    <row r="67" spans="2:12" ht="18" customHeight="1">
      <c r="L67" s="3879"/>
    </row>
    <row r="68" spans="2:12" ht="18" customHeight="1">
      <c r="L68" s="3879"/>
    </row>
    <row r="69" spans="2:12" ht="18" customHeight="1">
      <c r="L69" s="3879"/>
    </row>
    <row r="70" spans="2:12" ht="18" customHeight="1">
      <c r="L70" s="3879"/>
    </row>
    <row r="71" spans="2:12" ht="18" customHeight="1">
      <c r="L71" s="3879"/>
    </row>
    <row r="72" spans="2:12" ht="18" customHeight="1">
      <c r="B72" s="3895"/>
      <c r="C72" s="3893"/>
      <c r="D72" s="3901"/>
      <c r="E72" s="3901"/>
      <c r="L72" s="3879"/>
    </row>
    <row r="73" spans="2:12" ht="18" customHeight="1">
      <c r="L73" s="3879"/>
    </row>
    <row r="74" spans="2:12" ht="18" customHeight="1">
      <c r="L74" s="3879"/>
    </row>
    <row r="75" spans="2:12" ht="18" customHeight="1">
      <c r="L75" s="3879"/>
    </row>
    <row r="76" spans="2:12" ht="18" customHeight="1">
      <c r="L76" s="3879"/>
    </row>
    <row r="77" spans="2:12" ht="18" customHeight="1">
      <c r="L77" s="3879"/>
    </row>
    <row r="78" spans="2:12" ht="18" customHeight="1">
      <c r="L78" s="3879"/>
    </row>
    <row r="79" spans="2:12" ht="18" customHeight="1">
      <c r="B79" s="3895"/>
      <c r="C79" s="3893"/>
      <c r="D79" s="3901"/>
      <c r="E79" s="3901"/>
      <c r="L79" s="3879"/>
    </row>
    <row r="80" spans="2:12" ht="18" customHeight="1">
      <c r="L80" s="3879"/>
    </row>
    <row r="84" spans="2:5">
      <c r="B84" s="3895"/>
      <c r="C84" s="3893"/>
      <c r="D84" s="3901"/>
      <c r="E84" s="3901"/>
    </row>
    <row r="131" spans="2:2">
      <c r="B131" s="3836" t="s">
        <v>747</v>
      </c>
    </row>
  </sheetData>
  <mergeCells count="6">
    <mergeCell ref="B33:M33"/>
    <mergeCell ref="B32:M32"/>
    <mergeCell ref="B34:M34"/>
    <mergeCell ref="B3:L3"/>
    <mergeCell ref="B4:L4"/>
    <mergeCell ref="B5:L5"/>
  </mergeCells>
  <printOptions horizontalCentered="1" verticalCentered="1"/>
  <pageMargins left="0.25" right="0.25" top="0.75" bottom="0.75" header="0.3" footer="0.3"/>
  <pageSetup scale="54" firstPageNumber="103" orientation="landscape" useFirstPageNumber="1" r:id="rId1"/>
  <headerFooter scaleWithDoc="0" alignWithMargins="0">
    <oddFooter xml:space="preserve">&amp;C158
</oddFooter>
  </headerFooter>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B0F0"/>
    <pageSetUpPr fitToPage="1"/>
  </sheetPr>
  <dimension ref="A1:N78"/>
  <sheetViews>
    <sheetView view="pageBreakPreview" topLeftCell="B1" zoomScale="70" zoomScaleNormal="100" zoomScaleSheetLayoutView="70" workbookViewId="0">
      <pane xSplit="3" topLeftCell="E1" activePane="topRight" state="frozen"/>
      <selection activeCell="B44" sqref="B44"/>
      <selection pane="topRight" activeCell="B44" sqref="B44"/>
    </sheetView>
  </sheetViews>
  <sheetFormatPr defaultColWidth="9.46484375" defaultRowHeight="15.75"/>
  <cols>
    <col min="1" max="1" width="3.33203125" style="2449" hidden="1" customWidth="1"/>
    <col min="2" max="2" width="64.46484375" style="2449" customWidth="1"/>
    <col min="3" max="3" width="13" style="2449" hidden="1" customWidth="1"/>
    <col min="4" max="4" width="15.6640625" style="2449" hidden="1" customWidth="1"/>
    <col min="5" max="11" width="15.6640625" style="2449" customWidth="1"/>
    <col min="12" max="12" width="15" style="2449" bestFit="1" customWidth="1"/>
    <col min="13" max="13" width="3.46484375" style="2449" customWidth="1"/>
    <col min="14" max="16384" width="9.46484375" style="2449"/>
  </cols>
  <sheetData>
    <row r="1" spans="2:12" s="2409" customFormat="1">
      <c r="B1" s="5949" t="s">
        <v>701</v>
      </c>
      <c r="C1" s="5949"/>
      <c r="D1" s="5949"/>
      <c r="E1" s="5949"/>
      <c r="F1" s="5949"/>
      <c r="G1" s="5949"/>
      <c r="H1" s="5949"/>
      <c r="I1" s="5949"/>
      <c r="J1" s="5949"/>
      <c r="K1" s="5949"/>
      <c r="L1" s="5949"/>
    </row>
    <row r="2" spans="2:12" s="2409" customFormat="1" ht="16.5" customHeight="1">
      <c r="B2" s="5949" t="s">
        <v>555</v>
      </c>
      <c r="C2" s="5949"/>
      <c r="D2" s="5949"/>
      <c r="E2" s="5949"/>
      <c r="F2" s="5949"/>
      <c r="G2" s="5949"/>
      <c r="H2" s="5949"/>
      <c r="I2" s="5949"/>
      <c r="J2" s="5949"/>
      <c r="K2" s="5949"/>
      <c r="L2" s="5949"/>
    </row>
    <row r="3" spans="2:12" s="2409" customFormat="1">
      <c r="B3" s="5949" t="s">
        <v>556</v>
      </c>
      <c r="C3" s="5949"/>
      <c r="D3" s="5949"/>
      <c r="E3" s="5949"/>
      <c r="F3" s="5949"/>
      <c r="G3" s="5949"/>
      <c r="H3" s="5949"/>
      <c r="I3" s="5949"/>
      <c r="J3" s="5949"/>
      <c r="K3" s="5949"/>
      <c r="L3" s="5949"/>
    </row>
    <row r="4" spans="2:12" s="2409" customFormat="1" ht="16.149999999999999" thickBot="1">
      <c r="B4" s="2410"/>
      <c r="C4" s="2410"/>
      <c r="D4" s="2410"/>
      <c r="E4" s="2410"/>
      <c r="F4" s="2410"/>
      <c r="G4" s="2410"/>
      <c r="H4" s="2411"/>
      <c r="I4" s="2411"/>
      <c r="J4" s="2411"/>
      <c r="K4" s="2411"/>
      <c r="L4" s="2416"/>
    </row>
    <row r="5" spans="2:12" s="2409" customFormat="1" ht="18" customHeight="1" thickBot="1">
      <c r="B5" s="2412" t="s">
        <v>251</v>
      </c>
      <c r="C5" s="2418">
        <v>2014</v>
      </c>
      <c r="D5" s="3055" t="s">
        <v>637</v>
      </c>
      <c r="E5" s="3177">
        <v>2016</v>
      </c>
      <c r="F5" s="2356">
        <v>2017</v>
      </c>
      <c r="G5" s="2356">
        <v>2018</v>
      </c>
      <c r="H5" s="2356">
        <v>2019</v>
      </c>
      <c r="I5" s="2419">
        <v>2020</v>
      </c>
      <c r="J5" s="2356">
        <v>2021</v>
      </c>
      <c r="K5" s="2793">
        <v>2022</v>
      </c>
      <c r="L5" s="3145" t="s">
        <v>1959</v>
      </c>
    </row>
    <row r="6" spans="2:12" s="2409" customFormat="1" ht="18" customHeight="1">
      <c r="B6" s="2413"/>
      <c r="C6" s="2420"/>
      <c r="D6" s="2374"/>
      <c r="E6" s="2415"/>
      <c r="F6" s="2548"/>
      <c r="G6" s="2548"/>
      <c r="H6" s="2548"/>
      <c r="I6" s="2549"/>
      <c r="J6" s="2548"/>
      <c r="K6" s="2795"/>
      <c r="L6" s="3148"/>
    </row>
    <row r="7" spans="2:12" s="2409" customFormat="1" ht="18" customHeight="1">
      <c r="B7" s="2413" t="s">
        <v>252</v>
      </c>
      <c r="C7" s="1682">
        <f>'[193] Exports'!C7/'[193] Exports'!C26</f>
        <v>0.83168263008967835</v>
      </c>
      <c r="D7" s="1682">
        <f t="shared" ref="D7:I7" si="0">SUM(D9:D12)</f>
        <v>0.79199581765081173</v>
      </c>
      <c r="E7" s="1682">
        <f t="shared" si="0"/>
        <v>0.87439574429869071</v>
      </c>
      <c r="F7" s="1682">
        <f t="shared" si="0"/>
        <v>0.84341520046286411</v>
      </c>
      <c r="G7" s="1682">
        <f t="shared" si="0"/>
        <v>0.81809112882101165</v>
      </c>
      <c r="H7" s="1682">
        <f t="shared" si="0"/>
        <v>0.8324007249297336</v>
      </c>
      <c r="I7" s="1682">
        <f t="shared" si="0"/>
        <v>0.72910954089452562</v>
      </c>
      <c r="J7" s="1682">
        <f>SUM(J9:J12)</f>
        <v>0.68566451609942503</v>
      </c>
      <c r="K7" s="3146">
        <f>SUM(K9:K12)</f>
        <v>0.65507846977866957</v>
      </c>
      <c r="L7" s="3149">
        <f>SUM(L9:L12)</f>
        <v>0.68481010388510899</v>
      </c>
    </row>
    <row r="8" spans="2:12" s="2409" customFormat="1" ht="18" customHeight="1">
      <c r="B8" s="2414"/>
      <c r="C8" s="2318"/>
      <c r="D8" s="2421"/>
      <c r="E8" s="2422"/>
      <c r="F8" s="2421"/>
      <c r="G8" s="2374"/>
      <c r="H8" s="2374"/>
      <c r="I8" s="2352"/>
      <c r="J8" s="2374"/>
      <c r="K8" s="2797"/>
      <c r="L8" s="3150"/>
    </row>
    <row r="9" spans="2:12" s="2409" customFormat="1" ht="18" customHeight="1">
      <c r="B9" s="2414" t="s">
        <v>253</v>
      </c>
      <c r="C9" s="2318">
        <f>'[193] Exports'!C9/'[193] Exports'!C26</f>
        <v>0.24868632769524826</v>
      </c>
      <c r="D9" s="2318">
        <f>' Exports new'!D11/' Exports new'!D28</f>
        <v>0.29628566884733554</v>
      </c>
      <c r="E9" s="2318">
        <f>' Exports new'!E11/' Exports new'!E28</f>
        <v>0.32269426293873826</v>
      </c>
      <c r="F9" s="2318">
        <f>' Exports new'!F11/' Exports new'!F28</f>
        <v>0.27553577696671233</v>
      </c>
      <c r="G9" s="2318">
        <f>' Exports new'!G11/' Exports new'!G28</f>
        <v>0.28934249820653513</v>
      </c>
      <c r="H9" s="2318">
        <f>' Exports new'!H11/' Exports new'!H28</f>
        <v>0.31379408936072839</v>
      </c>
      <c r="I9" s="2318">
        <f>' Exports new'!I11/' Exports new'!I28</f>
        <v>0.28285225259447633</v>
      </c>
      <c r="J9" s="2318">
        <f>' Exports new'!J11/' Exports new'!J28</f>
        <v>0.18586128224346674</v>
      </c>
      <c r="K9" s="3147">
        <f>' Exports new'!K11/' Exports new'!K28</f>
        <v>0.1695616974429201</v>
      </c>
      <c r="L9" s="3151">
        <f>IFERROR(' Exports new'!L11/' Exports new'!$L$28,"0%")</f>
        <v>0.1577581036653494</v>
      </c>
    </row>
    <row r="10" spans="2:12" s="2409" customFormat="1" ht="18" customHeight="1">
      <c r="B10" s="2414" t="s">
        <v>551</v>
      </c>
      <c r="C10" s="2318">
        <f>'[193] Exports'!C10/'[193] Exports'!C26</f>
        <v>0.47218922980110434</v>
      </c>
      <c r="D10" s="2318">
        <f>' Exports new'!D12/' Exports new'!D28</f>
        <v>0.45015079189101886</v>
      </c>
      <c r="E10" s="2318">
        <f>' Exports new'!E12/' Exports new'!E28</f>
        <v>0.50724213655508299</v>
      </c>
      <c r="F10" s="2318">
        <f>' Exports new'!F12/' Exports new'!F28</f>
        <v>0.48797207762823636</v>
      </c>
      <c r="G10" s="2318">
        <f>' Exports new'!G12/' Exports new'!G28</f>
        <v>0.42785952431665153</v>
      </c>
      <c r="H10" s="2318">
        <f>' Exports new'!H12/' Exports new'!H28</f>
        <v>0.46427087586820537</v>
      </c>
      <c r="I10" s="2318">
        <f>' Exports new'!I12/' Exports new'!I28</f>
        <v>0.40969571099338614</v>
      </c>
      <c r="J10" s="2318">
        <f>' Exports new'!J12/' Exports new'!J28</f>
        <v>0.45991430405764877</v>
      </c>
      <c r="K10" s="3147">
        <f>' Exports new'!K12/' Exports new'!K28</f>
        <v>0.45000939983597726</v>
      </c>
      <c r="L10" s="3151">
        <f>IFERROR(' Exports new'!L12/' Exports new'!$L$28,"0%")</f>
        <v>0.48994062621974027</v>
      </c>
    </row>
    <row r="11" spans="2:12" s="2409" customFormat="1" ht="18" customHeight="1">
      <c r="B11" s="2414" t="s">
        <v>255</v>
      </c>
      <c r="C11" s="2318">
        <f>'[193] Exports'!C11/'[193] Exports'!C26</f>
        <v>6.8624834731093834E-2</v>
      </c>
      <c r="D11" s="2318">
        <f>' Exports new'!D13/' Exports new'!D28</f>
        <v>2.2628646178571188E-2</v>
      </c>
      <c r="E11" s="2318">
        <f>' Exports new'!E13/' Exports new'!E28</f>
        <v>2.4094884357484213E-2</v>
      </c>
      <c r="F11" s="2318">
        <f>' Exports new'!F13/' Exports new'!F28</f>
        <v>5.3418456917581583E-2</v>
      </c>
      <c r="G11" s="2318">
        <f>' Exports new'!G13/' Exports new'!G28</f>
        <v>7.5042395893205036E-2</v>
      </c>
      <c r="H11" s="2318">
        <f>' Exports new'!H13/' Exports new'!H28</f>
        <v>3.0028685163130914E-2</v>
      </c>
      <c r="I11" s="2318">
        <f>' Exports new'!I13/' Exports new'!I28</f>
        <v>2.0103932983404318E-2</v>
      </c>
      <c r="J11" s="2318">
        <f>' Exports new'!J13/' Exports new'!J28</f>
        <v>2.0476048494736106E-2</v>
      </c>
      <c r="K11" s="3147">
        <f>' Exports new'!K13/' Exports new'!K28</f>
        <v>2.4954181901438003E-2</v>
      </c>
      <c r="L11" s="3151">
        <f>IFERROR(' Exports new'!L13/' Exports new'!$L$28,"0%")</f>
        <v>2.3043518155520165E-2</v>
      </c>
    </row>
    <row r="12" spans="2:12" s="2409" customFormat="1" ht="18" customHeight="1">
      <c r="B12" s="2414" t="s">
        <v>256</v>
      </c>
      <c r="C12" s="2318">
        <f>'[193] Exports'!C12/'[193] Exports'!C26</f>
        <v>4.2182237862231985E-2</v>
      </c>
      <c r="D12" s="2318">
        <f>' Exports new'!D14/' Exports new'!D28</f>
        <v>2.2930710733886087E-2</v>
      </c>
      <c r="E12" s="2318">
        <f>' Exports new'!E14/' Exports new'!E28</f>
        <v>2.0364460447385251E-2</v>
      </c>
      <c r="F12" s="2318">
        <f>' Exports new'!F14/' Exports new'!F28</f>
        <v>2.6488888950333769E-2</v>
      </c>
      <c r="G12" s="2318">
        <f>' Exports new'!G14/' Exports new'!G28</f>
        <v>2.5846710404619968E-2</v>
      </c>
      <c r="H12" s="2318">
        <f>' Exports new'!H14/' Exports new'!H28</f>
        <v>2.4307074537668838E-2</v>
      </c>
      <c r="I12" s="2318">
        <f>' Exports new'!I14/' Exports new'!I28</f>
        <v>1.6457644323258896E-2</v>
      </c>
      <c r="J12" s="2318">
        <f>' Exports new'!J14/' Exports new'!J28</f>
        <v>1.9412881303573458E-2</v>
      </c>
      <c r="K12" s="3147">
        <f>' Exports new'!K14/' Exports new'!K28</f>
        <v>1.0553190598334171E-2</v>
      </c>
      <c r="L12" s="3151">
        <f>IFERROR(' Exports new'!L14/' Exports new'!$L$28,"0%")</f>
        <v>1.406785584449906E-2</v>
      </c>
    </row>
    <row r="13" spans="2:12" s="2409" customFormat="1" ht="18" customHeight="1">
      <c r="B13" s="2414"/>
      <c r="C13" s="2318"/>
      <c r="D13" s="2421"/>
      <c r="E13" s="2422"/>
      <c r="F13" s="2421"/>
      <c r="G13" s="2374"/>
      <c r="H13" s="2374"/>
      <c r="I13" s="2352"/>
      <c r="J13" s="2374"/>
      <c r="K13" s="2797"/>
      <c r="L13" s="3150"/>
    </row>
    <row r="14" spans="2:12" s="2409" customFormat="1" ht="18" customHeight="1">
      <c r="B14" s="2413" t="s">
        <v>257</v>
      </c>
      <c r="C14" s="1682">
        <f>'[193] Exports'!C14/'[193] Exports'!C26</f>
        <v>0.13998601612225531</v>
      </c>
      <c r="D14" s="1682">
        <f t="shared" ref="D14:I14" si="1">SUM(D16:D19)</f>
        <v>0.18537773890565445</v>
      </c>
      <c r="E14" s="1682">
        <f t="shared" si="1"/>
        <v>8.7714950111508747E-2</v>
      </c>
      <c r="F14" s="1682">
        <f t="shared" si="1"/>
        <v>0.13935729828486754</v>
      </c>
      <c r="G14" s="1682">
        <f t="shared" si="1"/>
        <v>0.16504311150925083</v>
      </c>
      <c r="H14" s="1682">
        <f t="shared" si="1"/>
        <v>0.14881953497683942</v>
      </c>
      <c r="I14" s="1682">
        <f t="shared" si="1"/>
        <v>0.23159664056712523</v>
      </c>
      <c r="J14" s="1682">
        <f>SUM(J16:J19)</f>
        <v>0.30010908769831823</v>
      </c>
      <c r="K14" s="3146">
        <f>SUM(K16:K19)</f>
        <v>0.32023387613856724</v>
      </c>
      <c r="L14" s="3149">
        <f>SUM(L16:L19)</f>
        <v>0.295575696346002</v>
      </c>
    </row>
    <row r="15" spans="2:12" s="2409" customFormat="1" ht="18" customHeight="1">
      <c r="B15" s="2414"/>
      <c r="C15" s="2318"/>
      <c r="D15" s="2421"/>
      <c r="E15" s="2422"/>
      <c r="F15" s="2421"/>
      <c r="G15" s="2374"/>
      <c r="H15" s="2374"/>
      <c r="I15" s="2352"/>
      <c r="J15" s="2374"/>
      <c r="K15" s="2797"/>
      <c r="L15" s="3150"/>
    </row>
    <row r="16" spans="2:12" s="2409" customFormat="1" ht="18" customHeight="1">
      <c r="B16" s="2414" t="s">
        <v>552</v>
      </c>
      <c r="C16" s="2318">
        <f>'[193] Exports'!C16/'[193] Exports'!C26</f>
        <v>0.12276919974828712</v>
      </c>
      <c r="D16" s="2318">
        <f>' Exports new'!D18/' Exports new'!D28</f>
        <v>0.14769234402691586</v>
      </c>
      <c r="E16" s="2318">
        <f>' Exports new'!E18/' Exports new'!E28</f>
        <v>4.6618177364717399E-2</v>
      </c>
      <c r="F16" s="2318">
        <f>' Exports new'!F18/' Exports new'!F28</f>
        <v>0.10086460603177208</v>
      </c>
      <c r="G16" s="2318">
        <f>' Exports new'!G18/' Exports new'!G28</f>
        <v>0.11805658489214149</v>
      </c>
      <c r="H16" s="2318">
        <f>' Exports new'!H18/' Exports new'!H28</f>
        <v>0.10514317872072081</v>
      </c>
      <c r="I16" s="2318">
        <f>' Exports new'!I18/' Exports new'!I28</f>
        <v>0.146114961249665</v>
      </c>
      <c r="J16" s="2318">
        <f>' Exports new'!J18/' Exports new'!J28</f>
        <v>0.22918931892795172</v>
      </c>
      <c r="K16" s="3147">
        <f>' Exports new'!K18/' Exports new'!K28</f>
        <v>0.24789773335500764</v>
      </c>
      <c r="L16" s="3151">
        <f>IFERROR(' Exports new'!L18/' Exports new'!$L$28,"0%")</f>
        <v>0.24392479655874691</v>
      </c>
    </row>
    <row r="17" spans="2:12" s="2409" customFormat="1" ht="18" customHeight="1">
      <c r="B17" s="2414" t="s">
        <v>553</v>
      </c>
      <c r="C17" s="2318">
        <f>'[193] Exports'!C17/'[193] Exports'!C26</f>
        <v>9.1899356660810114E-6</v>
      </c>
      <c r="D17" s="2318">
        <f>' Exports new'!D19/' Exports new'!D28</f>
        <v>0</v>
      </c>
      <c r="E17" s="2318">
        <f>' Exports new'!E19/' Exports new'!E28</f>
        <v>0</v>
      </c>
      <c r="F17" s="2318">
        <f>' Exports new'!F19/' Exports new'!F28</f>
        <v>0</v>
      </c>
      <c r="G17" s="2318">
        <f>' Exports new'!G19/' Exports new'!G28</f>
        <v>1.3906204130718842E-5</v>
      </c>
      <c r="H17" s="2318">
        <f>' Exports new'!H19/' Exports new'!H28</f>
        <v>2.0536703790144446E-4</v>
      </c>
      <c r="I17" s="2318">
        <f>' Exports new'!I19/' Exports new'!I28</f>
        <v>0</v>
      </c>
      <c r="J17" s="2318">
        <f>' Exports new'!J19/' Exports new'!J28</f>
        <v>0</v>
      </c>
      <c r="K17" s="3147">
        <f>' Exports new'!K19/' Exports new'!K28</f>
        <v>4.0725339117248894E-6</v>
      </c>
      <c r="L17" s="3151">
        <f>IFERROR(' Exports new'!L19/' Exports new'!$L$28,"0%")</f>
        <v>2.8593591678824922E-6</v>
      </c>
    </row>
    <row r="18" spans="2:12" s="2409" customFormat="1" ht="18" customHeight="1">
      <c r="B18" s="2414" t="s">
        <v>554</v>
      </c>
      <c r="C18" s="2318">
        <f>'[193] Exports'!C18/'[193] Exports'!C26</f>
        <v>3.6582073596790884E-6</v>
      </c>
      <c r="D18" s="2318">
        <f>' Exports new'!D20/' Exports new'!D28</f>
        <v>2.9393535539162029E-5</v>
      </c>
      <c r="E18" s="2318">
        <f>' Exports new'!E20/' Exports new'!E28</f>
        <v>4.881880633424428E-5</v>
      </c>
      <c r="F18" s="2318">
        <f>' Exports new'!F20/' Exports new'!F28</f>
        <v>1.2424849095307388E-4</v>
      </c>
      <c r="G18" s="2318">
        <f>' Exports new'!G20/' Exports new'!G28</f>
        <v>2.9218214249420317E-4</v>
      </c>
      <c r="H18" s="2318">
        <f>' Exports new'!H20/' Exports new'!H28</f>
        <v>6.0676708571946226E-4</v>
      </c>
      <c r="I18" s="2318">
        <f>' Exports new'!I20/' Exports new'!I28</f>
        <v>4.5324262133938741E-4</v>
      </c>
      <c r="J18" s="2318">
        <f>' Exports new'!J20/' Exports new'!J28</f>
        <v>4.5603775191881173E-4</v>
      </c>
      <c r="K18" s="3147">
        <f>' Exports new'!K20/' Exports new'!K28</f>
        <v>5.7693300613839639E-4</v>
      </c>
      <c r="L18" s="3151">
        <f>IFERROR(' Exports new'!L20/' Exports new'!$L$28,"0%")</f>
        <v>5.6063522146190998E-4</v>
      </c>
    </row>
    <row r="19" spans="2:12" s="2409" customFormat="1" ht="18" customHeight="1">
      <c r="B19" s="2414" t="s">
        <v>261</v>
      </c>
      <c r="C19" s="2318">
        <f>'[193] Exports'!C19/'[193] Exports'!C26</f>
        <v>1.7203968230942411E-2</v>
      </c>
      <c r="D19" s="2318">
        <f>' Exports new'!D21/' Exports new'!D28</f>
        <v>3.7656001343199422E-2</v>
      </c>
      <c r="E19" s="2318">
        <f>' Exports new'!E21/' Exports new'!E28</f>
        <v>4.1047953940457106E-2</v>
      </c>
      <c r="F19" s="2318">
        <f>' Exports new'!F21/' Exports new'!F28</f>
        <v>3.8368443762142372E-2</v>
      </c>
      <c r="G19" s="2318">
        <f>' Exports new'!G21/' Exports new'!G28</f>
        <v>4.6680438270484417E-2</v>
      </c>
      <c r="H19" s="2318">
        <f>' Exports new'!H21/' Exports new'!H28</f>
        <v>4.2864222132497715E-2</v>
      </c>
      <c r="I19" s="2318">
        <f>' Exports new'!I21/' Exports new'!I28</f>
        <v>8.502843669612084E-2</v>
      </c>
      <c r="J19" s="2318">
        <f>' Exports new'!J21/' Exports new'!J28</f>
        <v>7.0463731018447689E-2</v>
      </c>
      <c r="K19" s="3147">
        <f>' Exports new'!K21/' Exports new'!K28</f>
        <v>7.1755137243509515E-2</v>
      </c>
      <c r="L19" s="3151">
        <f>IFERROR(' Exports new'!L21/' Exports new'!$L$28,"0%")</f>
        <v>5.1087405206625282E-2</v>
      </c>
    </row>
    <row r="20" spans="2:12" s="2409" customFormat="1" ht="18" customHeight="1">
      <c r="B20" s="2414"/>
      <c r="C20" s="2318"/>
      <c r="D20" s="2423"/>
      <c r="E20" s="2424"/>
      <c r="F20" s="2423"/>
      <c r="G20" s="2374"/>
      <c r="H20" s="2374"/>
      <c r="I20" s="2352"/>
      <c r="J20" s="2374"/>
      <c r="K20" s="2797"/>
      <c r="L20" s="3150"/>
    </row>
    <row r="21" spans="2:12" s="2409" customFormat="1" ht="18" customHeight="1">
      <c r="B21" s="2413" t="s">
        <v>262</v>
      </c>
      <c r="C21" s="1682">
        <f>'[193] Exports'!C21/'[193] Exports'!C26</f>
        <v>2.8331353788066258E-2</v>
      </c>
      <c r="D21" s="1682">
        <f t="shared" ref="D21:I21" si="2">SUM(D23:D24)</f>
        <v>2.2626443443533775E-2</v>
      </c>
      <c r="E21" s="1682">
        <f t="shared" si="2"/>
        <v>3.7889305589800464E-2</v>
      </c>
      <c r="F21" s="1682">
        <f t="shared" si="2"/>
        <v>1.7227501252268483E-2</v>
      </c>
      <c r="G21" s="1682">
        <f t="shared" si="2"/>
        <v>1.6865759669737468E-2</v>
      </c>
      <c r="H21" s="1682">
        <f t="shared" si="2"/>
        <v>1.8779740093427064E-2</v>
      </c>
      <c r="I21" s="1682">
        <f t="shared" si="2"/>
        <v>3.9293818538349082E-2</v>
      </c>
      <c r="J21" s="1682">
        <f>SUM(J23:J24)</f>
        <v>1.4226396202256582E-2</v>
      </c>
      <c r="K21" s="3146">
        <f>SUM(K23:K24)</f>
        <v>2.468765408276313E-2</v>
      </c>
      <c r="L21" s="3149">
        <f>SUM(L23:L24)</f>
        <v>1.9614199768889187E-2</v>
      </c>
    </row>
    <row r="22" spans="2:12" s="2409" customFormat="1" ht="18" customHeight="1">
      <c r="B22" s="2414"/>
      <c r="C22" s="2318"/>
      <c r="D22" s="2421"/>
      <c r="E22" s="2422"/>
      <c r="F22" s="2421"/>
      <c r="G22" s="2374"/>
      <c r="H22" s="2374"/>
      <c r="I22" s="2352"/>
      <c r="J22" s="2374"/>
      <c r="K22" s="2797"/>
      <c r="L22" s="3150"/>
    </row>
    <row r="23" spans="2:12" s="2409" customFormat="1" ht="18" customHeight="1">
      <c r="B23" s="2414" t="s">
        <v>263</v>
      </c>
      <c r="C23" s="2318">
        <f>'[193] Exports'!C23/'[193] Exports'!C26</f>
        <v>2.8331353788066258E-2</v>
      </c>
      <c r="D23" s="2318">
        <f>' Exports new'!D25/' Exports new'!D28</f>
        <v>2.2523694351388252E-2</v>
      </c>
      <c r="E23" s="2318">
        <f>' Exports new'!E25/' Exports new'!E28</f>
        <v>3.0295176187639494E-2</v>
      </c>
      <c r="F23" s="2318">
        <f>' Exports new'!F25/' Exports new'!F28</f>
        <v>1.6784674567114247E-2</v>
      </c>
      <c r="G23" s="2318">
        <f>' Exports new'!G25/' Exports new'!G28</f>
        <v>1.684246093721278E-2</v>
      </c>
      <c r="H23" s="2318">
        <f>' Exports new'!H25/' Exports new'!H28</f>
        <v>1.8646711412599107E-2</v>
      </c>
      <c r="I23" s="2318">
        <f>' Exports new'!I25/' Exports new'!I28</f>
        <v>3.9293818538349082E-2</v>
      </c>
      <c r="J23" s="2318">
        <f>' Exports new'!J25/' Exports new'!J28</f>
        <v>1.4226396202256582E-2</v>
      </c>
      <c r="K23" s="3147">
        <f>' Exports new'!K25/' Exports new'!K28</f>
        <v>2.468765408276313E-2</v>
      </c>
      <c r="L23" s="3151">
        <f>IFERROR(' Exports new'!L25/' Exports new'!$L$28,"0%")</f>
        <v>1.9508068772082634E-2</v>
      </c>
    </row>
    <row r="24" spans="2:12" s="2409" customFormat="1" ht="18" customHeight="1">
      <c r="B24" s="2414" t="s">
        <v>264</v>
      </c>
      <c r="C24" s="2318">
        <f>'[193] Exports'!C24/'[193] Exports'!C26</f>
        <v>0</v>
      </c>
      <c r="D24" s="2318">
        <f>' Exports new'!D26/' Exports new'!D28</f>
        <v>1.027490921455234E-4</v>
      </c>
      <c r="E24" s="2318">
        <f>' Exports new'!E26/' Exports new'!E28</f>
        <v>7.5941294021609675E-3</v>
      </c>
      <c r="F24" s="2318">
        <f>' Exports new'!F26/' Exports new'!F28</f>
        <v>4.4282668515423441E-4</v>
      </c>
      <c r="G24" s="2318">
        <f>' Exports new'!G26/' Exports new'!G28</f>
        <v>2.3298732524688964E-5</v>
      </c>
      <c r="H24" s="2318">
        <f>' Exports new'!H26/' Exports new'!H28</f>
        <v>1.3302868082795701E-4</v>
      </c>
      <c r="I24" s="2318">
        <f>' Exports new'!I26/' Exports new'!I28</f>
        <v>0</v>
      </c>
      <c r="J24" s="2318">
        <f>' Exports new'!J26/' Exports new'!J28</f>
        <v>0</v>
      </c>
      <c r="K24" s="3147">
        <f>' Exports new'!K26/' Exports new'!K28</f>
        <v>0</v>
      </c>
      <c r="L24" s="3151">
        <f>IFERROR(' Exports new'!L26/' Exports new'!$L$28,"0%")</f>
        <v>1.0613099680655485E-4</v>
      </c>
    </row>
    <row r="25" spans="2:12" s="2409" customFormat="1" ht="18" customHeight="1" thickBot="1">
      <c r="B25" s="2414"/>
      <c r="C25" s="2425"/>
      <c r="D25" s="2374"/>
      <c r="E25" s="2415"/>
      <c r="F25" s="2426"/>
      <c r="G25" s="2426"/>
      <c r="H25" s="2426"/>
      <c r="I25" s="2550"/>
      <c r="J25" s="2426"/>
      <c r="K25" s="3152"/>
      <c r="L25" s="3153"/>
    </row>
    <row r="26" spans="2:12" s="2409" customFormat="1" ht="18" customHeight="1" thickBot="1">
      <c r="B26" s="2412" t="s">
        <v>394</v>
      </c>
      <c r="C26" s="2319">
        <f>+C7+C14+C21</f>
        <v>1</v>
      </c>
      <c r="D26" s="2319">
        <f t="shared" ref="D26:L26" si="3">+D7+D14+D21</f>
        <v>1</v>
      </c>
      <c r="E26" s="2319">
        <f t="shared" si="3"/>
        <v>0.99999999999999989</v>
      </c>
      <c r="F26" s="2319">
        <f t="shared" si="3"/>
        <v>1.0000000000000002</v>
      </c>
      <c r="G26" s="2319">
        <f t="shared" si="3"/>
        <v>1</v>
      </c>
      <c r="H26" s="2319">
        <f t="shared" si="3"/>
        <v>1</v>
      </c>
      <c r="I26" s="1683">
        <f t="shared" si="3"/>
        <v>1</v>
      </c>
      <c r="J26" s="2319">
        <f t="shared" si="3"/>
        <v>0.99999999999999989</v>
      </c>
      <c r="K26" s="3154">
        <f t="shared" si="3"/>
        <v>0.99999999999999989</v>
      </c>
      <c r="L26" s="3155">
        <f t="shared" si="3"/>
        <v>1.0000000000000002</v>
      </c>
    </row>
    <row r="27" spans="2:12" s="2409" customFormat="1" ht="17.649999999999999">
      <c r="B27" s="2400" t="s">
        <v>738</v>
      </c>
      <c r="C27" s="2427"/>
      <c r="D27" s="2427"/>
      <c r="E27" s="2427"/>
      <c r="F27" s="2427"/>
      <c r="G27" s="2427"/>
      <c r="H27" s="2427"/>
      <c r="I27" s="2427"/>
      <c r="J27" s="2427"/>
      <c r="K27" s="2427"/>
    </row>
    <row r="28" spans="2:12" s="2409" customFormat="1" ht="17.649999999999999">
      <c r="B28" s="2400" t="s">
        <v>268</v>
      </c>
      <c r="C28" s="2427"/>
      <c r="D28" s="2427"/>
      <c r="E28" s="2427"/>
      <c r="F28" s="2427"/>
      <c r="G28" s="2427"/>
      <c r="H28" s="2427"/>
      <c r="I28" s="2427"/>
      <c r="J28" s="2427"/>
      <c r="K28" s="2427"/>
    </row>
    <row r="29" spans="2:12" s="2409" customFormat="1" ht="17.649999999999999">
      <c r="B29" s="5925" t="s">
        <v>702</v>
      </c>
      <c r="C29" s="5925"/>
      <c r="D29" s="5925"/>
      <c r="E29" s="5925"/>
      <c r="F29" s="5925"/>
      <c r="G29" s="5925"/>
      <c r="H29" s="5925"/>
      <c r="I29" s="5925"/>
      <c r="J29" s="5925"/>
      <c r="K29" s="5925"/>
      <c r="L29" s="5925"/>
    </row>
    <row r="30" spans="2:12" s="2409" customFormat="1" ht="17.649999999999999">
      <c r="B30" s="5925" t="s">
        <v>1176</v>
      </c>
      <c r="C30" s="5925"/>
      <c r="D30" s="5925"/>
      <c r="E30" s="5925"/>
      <c r="F30" s="5925"/>
      <c r="G30" s="5925"/>
      <c r="H30" s="5925"/>
      <c r="I30" s="5925"/>
      <c r="J30" s="5925"/>
      <c r="K30" s="5925"/>
      <c r="L30" s="5925"/>
    </row>
    <row r="31" spans="2:12" s="2409" customFormat="1" ht="17.649999999999999">
      <c r="B31" s="5925" t="s">
        <v>557</v>
      </c>
      <c r="C31" s="5925"/>
      <c r="D31" s="5925"/>
      <c r="E31" s="5925"/>
      <c r="F31" s="5925"/>
      <c r="G31" s="5925"/>
      <c r="H31" s="5925"/>
      <c r="I31" s="5925"/>
      <c r="J31" s="5925"/>
      <c r="K31" s="5925"/>
      <c r="L31" s="5925"/>
    </row>
    <row r="32" spans="2:12" s="2409" customFormat="1" ht="18" thickBot="1">
      <c r="B32" s="2428"/>
      <c r="C32" s="2429"/>
      <c r="D32" s="2429"/>
      <c r="E32" s="2429"/>
      <c r="F32" s="2429"/>
      <c r="G32" s="2429"/>
      <c r="H32" s="2429"/>
      <c r="I32" s="2430"/>
      <c r="J32" s="2430"/>
      <c r="K32" s="2430"/>
    </row>
    <row r="33" spans="2:14" s="2409" customFormat="1" ht="18" thickBot="1">
      <c r="B33" s="2431" t="s">
        <v>251</v>
      </c>
      <c r="C33" s="2432" t="s">
        <v>572</v>
      </c>
      <c r="D33" s="2433">
        <v>2015</v>
      </c>
      <c r="E33" s="2433">
        <v>2016</v>
      </c>
      <c r="F33" s="2432">
        <v>2017</v>
      </c>
      <c r="G33" s="2432">
        <v>2018</v>
      </c>
      <c r="H33" s="2432">
        <v>2019</v>
      </c>
      <c r="I33" s="2432">
        <v>2020</v>
      </c>
      <c r="J33" s="2432">
        <v>2021</v>
      </c>
      <c r="K33" s="3326" t="s">
        <v>1958</v>
      </c>
      <c r="L33" s="3145" t="s">
        <v>1959</v>
      </c>
    </row>
    <row r="34" spans="2:14" s="2409" customFormat="1" ht="17.649999999999999">
      <c r="B34" s="2434"/>
      <c r="C34" s="2435"/>
      <c r="D34" s="2435"/>
      <c r="E34" s="2435"/>
      <c r="F34" s="2435"/>
      <c r="G34" s="2436"/>
      <c r="H34" s="2437"/>
      <c r="I34" s="2437"/>
      <c r="J34" s="2437"/>
      <c r="K34" s="3327"/>
      <c r="L34" s="3333"/>
      <c r="M34" s="3835"/>
    </row>
    <row r="35" spans="2:14" s="2409" customFormat="1" ht="17.649999999999999">
      <c r="B35" s="2438" t="s">
        <v>252</v>
      </c>
      <c r="C35" s="2439">
        <f t="shared" ref="C35:K35" si="4">SUM(C37:C40)</f>
        <v>5.4499999999999993</v>
      </c>
      <c r="D35" s="2439">
        <f t="shared" si="4"/>
        <v>73.827364700000004</v>
      </c>
      <c r="E35" s="2439">
        <f t="shared" si="4"/>
        <v>66.385229330000001</v>
      </c>
      <c r="F35" s="2439">
        <f t="shared" si="4"/>
        <v>66.731371350000003</v>
      </c>
      <c r="G35" s="2439">
        <f t="shared" si="4"/>
        <v>108.68299714</v>
      </c>
      <c r="H35" s="2439">
        <f t="shared" si="4"/>
        <v>77.90484502000001</v>
      </c>
      <c r="I35" s="2439">
        <f t="shared" si="4"/>
        <v>38.164518340000001</v>
      </c>
      <c r="J35" s="2439">
        <f t="shared" si="4"/>
        <v>30.631238369999998</v>
      </c>
      <c r="K35" s="3328">
        <f t="shared" si="4"/>
        <v>38.718936999999997</v>
      </c>
      <c r="L35" s="3334">
        <f t="shared" ref="L35" si="5">SUM(L37:L40)</f>
        <v>67.542321999999999</v>
      </c>
      <c r="M35" s="3922">
        <f>L35/K35-1</f>
        <v>0.7444260414484003</v>
      </c>
      <c r="N35" s="2440">
        <f>L35-K35</f>
        <v>28.823385000000002</v>
      </c>
    </row>
    <row r="36" spans="2:14" s="2409" customFormat="1" ht="17.649999999999999">
      <c r="B36" s="2434"/>
      <c r="C36" s="2441"/>
      <c r="D36" s="2441"/>
      <c r="E36" s="2441"/>
      <c r="F36" s="2441"/>
      <c r="G36" s="2441"/>
      <c r="H36" s="2441"/>
      <c r="I36" s="2441"/>
      <c r="J36" s="2441"/>
      <c r="K36" s="3329"/>
      <c r="L36" s="3335"/>
      <c r="M36" s="3922"/>
      <c r="N36" s="2440"/>
    </row>
    <row r="37" spans="2:14" s="2409" customFormat="1" ht="17.649999999999999">
      <c r="B37" s="2434" t="s">
        <v>253</v>
      </c>
      <c r="C37" s="2445">
        <v>0.6</v>
      </c>
      <c r="D37" s="2445">
        <v>1.03592646</v>
      </c>
      <c r="E37" s="2445">
        <v>0.99487148000000003</v>
      </c>
      <c r="F37" s="2445">
        <v>1.27972756</v>
      </c>
      <c r="G37" s="2445">
        <v>1.6753153199999999</v>
      </c>
      <c r="H37" s="2445">
        <v>1.4747596699999999</v>
      </c>
      <c r="I37" s="2445">
        <v>1.69174202</v>
      </c>
      <c r="J37" s="2445">
        <v>0.66090349000000004</v>
      </c>
      <c r="K37" s="3330">
        <v>1.5296179999999999</v>
      </c>
      <c r="L37" s="3336">
        <v>0.80599900000000002</v>
      </c>
      <c r="M37" s="3922">
        <f t="shared" ref="M37:M54" si="6">L37/K37-1</f>
        <v>-0.47307170809966925</v>
      </c>
      <c r="N37" s="2440">
        <f t="shared" ref="N37:N54" si="7">L37-K37</f>
        <v>-0.7236189999999999</v>
      </c>
    </row>
    <row r="38" spans="2:14" s="2409" customFormat="1" ht="17.649999999999999">
      <c r="B38" s="2434" t="s">
        <v>551</v>
      </c>
      <c r="C38" s="2445">
        <v>0.05</v>
      </c>
      <c r="D38" s="2445">
        <v>7.3056308700000008</v>
      </c>
      <c r="E38" s="2445">
        <v>4.6657303099999998</v>
      </c>
      <c r="F38" s="2445">
        <v>6.5626910400000007</v>
      </c>
      <c r="G38" s="2445">
        <v>14.793753890000001</v>
      </c>
      <c r="H38" s="2445">
        <v>13.119988879999999</v>
      </c>
      <c r="I38" s="2445">
        <v>5.4113450999999992</v>
      </c>
      <c r="J38" s="2445">
        <v>2.2237883599999999</v>
      </c>
      <c r="K38" s="3330">
        <v>1.53809</v>
      </c>
      <c r="L38" s="3336">
        <v>6.0804530000000003</v>
      </c>
      <c r="M38" s="3922">
        <f t="shared" si="6"/>
        <v>2.9532491596720609</v>
      </c>
      <c r="N38" s="2440">
        <f t="shared" si="7"/>
        <v>4.5423629999999999</v>
      </c>
    </row>
    <row r="39" spans="2:14" s="2409" customFormat="1" ht="17.649999999999999">
      <c r="B39" s="2434" t="s">
        <v>255</v>
      </c>
      <c r="C39" s="2445">
        <v>0.2</v>
      </c>
      <c r="D39" s="2445">
        <v>5.4367207899999999</v>
      </c>
      <c r="E39" s="2445">
        <v>5.8849623699999993</v>
      </c>
      <c r="F39" s="2445">
        <v>9.2233804899999985</v>
      </c>
      <c r="G39" s="2445">
        <v>7.4660861199999999</v>
      </c>
      <c r="H39" s="2445">
        <v>5.7665829499999992</v>
      </c>
      <c r="I39" s="2445">
        <v>3.9678384100000001</v>
      </c>
      <c r="J39" s="2445">
        <v>3.7961486999999998</v>
      </c>
      <c r="K39" s="3330">
        <v>6.0548109999999999</v>
      </c>
      <c r="L39" s="3336">
        <v>6.2136500000000003</v>
      </c>
      <c r="M39" s="3922">
        <f t="shared" si="6"/>
        <v>2.6233519097458302E-2</v>
      </c>
      <c r="N39" s="2440">
        <f t="shared" si="7"/>
        <v>0.1588390000000004</v>
      </c>
    </row>
    <row r="40" spans="2:14" s="2409" customFormat="1" ht="17.649999999999999">
      <c r="B40" s="2434" t="s">
        <v>256</v>
      </c>
      <c r="C40" s="2445">
        <v>4.5999999999999996</v>
      </c>
      <c r="D40" s="2445">
        <v>60.049086580000001</v>
      </c>
      <c r="E40" s="2445">
        <v>54.839665170000004</v>
      </c>
      <c r="F40" s="2445">
        <v>49.665572260000005</v>
      </c>
      <c r="G40" s="2445">
        <v>84.747841809999997</v>
      </c>
      <c r="H40" s="2445">
        <v>57.543513520000005</v>
      </c>
      <c r="I40" s="2445">
        <v>27.093592809999997</v>
      </c>
      <c r="J40" s="2445">
        <v>23.950397819999999</v>
      </c>
      <c r="K40" s="3330">
        <v>29.596418</v>
      </c>
      <c r="L40" s="3336">
        <v>54.442219999999999</v>
      </c>
      <c r="M40" s="3922">
        <f t="shared" si="6"/>
        <v>0.8394867919489446</v>
      </c>
      <c r="N40" s="2440">
        <f t="shared" si="7"/>
        <v>24.845801999999999</v>
      </c>
    </row>
    <row r="41" spans="2:14" s="2409" customFormat="1" ht="17.649999999999999">
      <c r="B41" s="2434"/>
      <c r="C41" s="2441"/>
      <c r="D41" s="2441"/>
      <c r="E41" s="2441"/>
      <c r="F41" s="2441"/>
      <c r="G41" s="2441"/>
      <c r="H41" s="2441"/>
      <c r="I41" s="2441"/>
      <c r="J41" s="2441"/>
      <c r="K41" s="3329"/>
      <c r="L41" s="3335"/>
      <c r="M41" s="3922"/>
      <c r="N41" s="2440"/>
    </row>
    <row r="42" spans="2:14" s="2409" customFormat="1" ht="17.649999999999999">
      <c r="B42" s="2438" t="s">
        <v>257</v>
      </c>
      <c r="C42" s="2439">
        <f t="shared" ref="C42:K42" si="8">SUM(C43:C47)</f>
        <v>86.902000000000001</v>
      </c>
      <c r="D42" s="2439">
        <f t="shared" si="8"/>
        <v>120.38470088999999</v>
      </c>
      <c r="E42" s="2439">
        <f t="shared" si="8"/>
        <v>11.715372070000001</v>
      </c>
      <c r="F42" s="2439">
        <f t="shared" si="8"/>
        <v>26.490406749999998</v>
      </c>
      <c r="G42" s="2439">
        <f t="shared" si="8"/>
        <v>17.82517601</v>
      </c>
      <c r="H42" s="2439">
        <f t="shared" si="8"/>
        <v>13.267207469999999</v>
      </c>
      <c r="I42" s="2439">
        <f t="shared" si="8"/>
        <v>9.9401264299999994</v>
      </c>
      <c r="J42" s="2439">
        <f t="shared" si="8"/>
        <v>6.5827714900000007</v>
      </c>
      <c r="K42" s="3328">
        <f t="shared" si="8"/>
        <v>48.336542999999999</v>
      </c>
      <c r="L42" s="3334">
        <f t="shared" ref="L42" si="9">SUM(L43:L47)</f>
        <v>23.277961999999999</v>
      </c>
      <c r="M42" s="3922">
        <f t="shared" si="6"/>
        <v>-0.51841897340486265</v>
      </c>
      <c r="N42" s="2440">
        <f t="shared" si="7"/>
        <v>-25.058581</v>
      </c>
    </row>
    <row r="43" spans="2:14" s="2409" customFormat="1" ht="17.649999999999999">
      <c r="B43" s="2434"/>
      <c r="C43" s="2441"/>
      <c r="D43" s="2441"/>
      <c r="E43" s="2441"/>
      <c r="F43" s="2441"/>
      <c r="G43" s="2441"/>
      <c r="H43" s="2441"/>
      <c r="I43" s="2441"/>
      <c r="J43" s="2441"/>
      <c r="K43" s="3329"/>
      <c r="L43" s="3335"/>
      <c r="M43" s="3922"/>
      <c r="N43" s="2440"/>
    </row>
    <row r="44" spans="2:14" s="2409" customFormat="1" ht="17.649999999999999">
      <c r="B44" s="2434" t="s">
        <v>552</v>
      </c>
      <c r="C44" s="2445">
        <v>5.2</v>
      </c>
      <c r="D44" s="2445">
        <v>12.51430498</v>
      </c>
      <c r="E44" s="2445">
        <v>1.1358120199999999</v>
      </c>
      <c r="F44" s="2445">
        <v>1.3036644199999998</v>
      </c>
      <c r="G44" s="2445">
        <v>1.75489301</v>
      </c>
      <c r="H44" s="2445">
        <v>1.43456056</v>
      </c>
      <c r="I44" s="2445">
        <v>0.66568128000000004</v>
      </c>
      <c r="J44" s="2445">
        <v>0.41112568999999999</v>
      </c>
      <c r="K44" s="3330">
        <v>0.50994799999999996</v>
      </c>
      <c r="L44" s="3336">
        <v>0.60925200000000002</v>
      </c>
      <c r="M44" s="3922">
        <f t="shared" si="6"/>
        <v>0.19473358067881441</v>
      </c>
      <c r="N44" s="2440">
        <f t="shared" si="7"/>
        <v>9.9304000000000059E-2</v>
      </c>
    </row>
    <row r="45" spans="2:14" s="2409" customFormat="1" ht="17.649999999999999">
      <c r="B45" s="2434" t="s">
        <v>553</v>
      </c>
      <c r="C45" s="2445">
        <v>81.5</v>
      </c>
      <c r="D45" s="2445">
        <v>103.52560931999999</v>
      </c>
      <c r="E45" s="2445">
        <v>6.7215792400000005</v>
      </c>
      <c r="F45" s="2445">
        <v>20.905920829999999</v>
      </c>
      <c r="G45" s="2445">
        <v>10.707181940000002</v>
      </c>
      <c r="H45" s="2445">
        <v>9.0259683099999997</v>
      </c>
      <c r="I45" s="2445">
        <v>6.0269081899999994</v>
      </c>
      <c r="J45" s="2445">
        <v>4.6100868300000002</v>
      </c>
      <c r="K45" s="3330">
        <v>45.292676</v>
      </c>
      <c r="L45" s="3336">
        <v>17.645738999999999</v>
      </c>
      <c r="M45" s="3922">
        <f t="shared" si="6"/>
        <v>-0.61040634914130498</v>
      </c>
      <c r="N45" s="2440">
        <f t="shared" si="7"/>
        <v>-27.646937000000001</v>
      </c>
    </row>
    <row r="46" spans="2:14" s="2409" customFormat="1" ht="17.649999999999999">
      <c r="B46" s="2434" t="s">
        <v>554</v>
      </c>
      <c r="C46" s="2445">
        <v>2E-3</v>
      </c>
      <c r="D46" s="2445">
        <v>2.9733999999999997E-3</v>
      </c>
      <c r="E46" s="2445">
        <v>4.7983999999999995E-3</v>
      </c>
      <c r="F46" s="2445">
        <v>6.6161100000000006E-3</v>
      </c>
      <c r="G46" s="2445">
        <v>2.0097449999999999E-2</v>
      </c>
      <c r="H46" s="2445">
        <v>4.67535E-3</v>
      </c>
      <c r="I46" s="2445">
        <v>6.0914899999999998E-3</v>
      </c>
      <c r="J46" s="2445">
        <v>2.3280000000000002E-4</v>
      </c>
      <c r="K46" s="3330">
        <v>8.2050000000000005E-3</v>
      </c>
      <c r="L46" s="3336">
        <v>1.6200000000000001E-4</v>
      </c>
      <c r="M46" s="3922">
        <f t="shared" si="6"/>
        <v>-0.9802559414990859</v>
      </c>
      <c r="N46" s="2440">
        <f t="shared" si="7"/>
        <v>-8.0429999999999998E-3</v>
      </c>
    </row>
    <row r="47" spans="2:14" s="2409" customFormat="1" ht="17.649999999999999">
      <c r="B47" s="2434" t="s">
        <v>261</v>
      </c>
      <c r="C47" s="2445">
        <v>0.2</v>
      </c>
      <c r="D47" s="2445">
        <v>4.3418131900000008</v>
      </c>
      <c r="E47" s="2445">
        <v>3.8531824100000001</v>
      </c>
      <c r="F47" s="2445">
        <v>4.2742053900000005</v>
      </c>
      <c r="G47" s="2445">
        <v>5.3430036099999993</v>
      </c>
      <c r="H47" s="2445">
        <v>2.8020032499999998</v>
      </c>
      <c r="I47" s="2445">
        <v>3.2414454699999999</v>
      </c>
      <c r="J47" s="2445">
        <v>1.5613261699999998</v>
      </c>
      <c r="K47" s="3330">
        <v>2.5257139999999998</v>
      </c>
      <c r="L47" s="3336">
        <v>5.0228089999999996</v>
      </c>
      <c r="M47" s="3922">
        <f t="shared" si="6"/>
        <v>0.98866894668200755</v>
      </c>
      <c r="N47" s="2440">
        <f t="shared" si="7"/>
        <v>2.4970949999999998</v>
      </c>
    </row>
    <row r="48" spans="2:14" s="2409" customFormat="1" ht="17.649999999999999">
      <c r="B48" s="2434"/>
      <c r="C48" s="2441"/>
      <c r="D48" s="2441"/>
      <c r="E48" s="2441"/>
      <c r="F48" s="2441"/>
      <c r="G48" s="2441"/>
      <c r="H48" s="2441"/>
      <c r="I48" s="2441"/>
      <c r="J48" s="2441"/>
      <c r="K48" s="3329"/>
      <c r="L48" s="3335"/>
      <c r="M48" s="3922"/>
      <c r="N48" s="2440"/>
    </row>
    <row r="49" spans="2:14" s="2409" customFormat="1" ht="17.649999999999999">
      <c r="B49" s="2438" t="s">
        <v>262</v>
      </c>
      <c r="C49" s="2439">
        <f t="shared" ref="C49:K49" si="10">SUM(C50:C52)</f>
        <v>13.07891173</v>
      </c>
      <c r="D49" s="2439">
        <f t="shared" si="10"/>
        <v>20.59969139</v>
      </c>
      <c r="E49" s="2439">
        <f t="shared" si="10"/>
        <v>20.429581419999998</v>
      </c>
      <c r="F49" s="2439">
        <f t="shared" si="10"/>
        <v>28.862281549999999</v>
      </c>
      <c r="G49" s="2439">
        <f t="shared" si="10"/>
        <v>29.114395900000002</v>
      </c>
      <c r="H49" s="2439">
        <f t="shared" si="10"/>
        <v>26.166965919999999</v>
      </c>
      <c r="I49" s="2439">
        <f t="shared" si="10"/>
        <v>12.094306359999999</v>
      </c>
      <c r="J49" s="2439">
        <f t="shared" si="10"/>
        <v>19.970434529999999</v>
      </c>
      <c r="K49" s="3328">
        <f t="shared" si="10"/>
        <v>18.832791</v>
      </c>
      <c r="L49" s="3334">
        <f t="shared" ref="L49" si="11">SUM(L50:L52)</f>
        <v>19.629778999999999</v>
      </c>
      <c r="M49" s="3922">
        <f t="shared" si="6"/>
        <v>4.231916554482007E-2</v>
      </c>
      <c r="N49" s="2440">
        <f t="shared" si="7"/>
        <v>0.79698799999999892</v>
      </c>
    </row>
    <row r="50" spans="2:14" s="2409" customFormat="1" ht="17.649999999999999">
      <c r="B50" s="2434"/>
      <c r="C50" s="2441"/>
      <c r="D50" s="2441"/>
      <c r="E50" s="2441"/>
      <c r="F50" s="2441"/>
      <c r="G50" s="2441"/>
      <c r="H50" s="2441"/>
      <c r="I50" s="2441"/>
      <c r="J50" s="2441"/>
      <c r="K50" s="3329"/>
      <c r="L50" s="3335"/>
      <c r="M50" s="3922"/>
      <c r="N50" s="2440"/>
    </row>
    <row r="51" spans="2:14" s="2409" customFormat="1" ht="17.649999999999999">
      <c r="B51" s="2434" t="s">
        <v>263</v>
      </c>
      <c r="C51" s="2445">
        <v>11.9</v>
      </c>
      <c r="D51" s="2445">
        <v>19.02364202</v>
      </c>
      <c r="E51" s="2445">
        <v>19.003653329999999</v>
      </c>
      <c r="F51" s="2445">
        <v>28.329259</v>
      </c>
      <c r="G51" s="2445">
        <v>28.720557410000001</v>
      </c>
      <c r="H51" s="2445">
        <v>25.90973666</v>
      </c>
      <c r="I51" s="2445">
        <v>11.878649599999999</v>
      </c>
      <c r="J51" s="2445">
        <v>19.44822821</v>
      </c>
      <c r="K51" s="3330">
        <v>18.432929000000001</v>
      </c>
      <c r="L51" s="3336">
        <v>18.824960999999998</v>
      </c>
      <c r="M51" s="3922">
        <f t="shared" si="6"/>
        <v>2.1268025282362713E-2</v>
      </c>
      <c r="N51" s="2440">
        <f t="shared" si="7"/>
        <v>0.39203199999999683</v>
      </c>
    </row>
    <row r="52" spans="2:14" s="2409" customFormat="1" ht="17.649999999999999">
      <c r="B52" s="2434" t="s">
        <v>264</v>
      </c>
      <c r="C52" s="2445">
        <v>1.17891173</v>
      </c>
      <c r="D52" s="2445">
        <v>1.5760493699999998</v>
      </c>
      <c r="E52" s="2445">
        <v>1.42592809</v>
      </c>
      <c r="F52" s="2445">
        <v>0.53302255000000009</v>
      </c>
      <c r="G52" s="2445">
        <v>0.39383848999999999</v>
      </c>
      <c r="H52" s="2445">
        <v>0.25722926000000002</v>
      </c>
      <c r="I52" s="2445">
        <v>0.21565676</v>
      </c>
      <c r="J52" s="2445">
        <v>0.52220632</v>
      </c>
      <c r="K52" s="3330">
        <v>0.399862</v>
      </c>
      <c r="L52" s="3336">
        <v>0.80481800000000003</v>
      </c>
      <c r="M52" s="3922">
        <f t="shared" si="6"/>
        <v>1.0127393950913066</v>
      </c>
      <c r="N52" s="2440">
        <f t="shared" si="7"/>
        <v>0.40495600000000004</v>
      </c>
    </row>
    <row r="53" spans="2:14" s="2409" customFormat="1" ht="17.649999999999999">
      <c r="B53" s="2434"/>
      <c r="C53" s="2441"/>
      <c r="D53" s="2442"/>
      <c r="E53" s="2442"/>
      <c r="F53" s="2442"/>
      <c r="G53" s="2443"/>
      <c r="H53" s="2444"/>
      <c r="I53" s="2444"/>
      <c r="J53" s="2444"/>
      <c r="K53" s="3331"/>
      <c r="L53" s="3337"/>
      <c r="M53" s="3922"/>
      <c r="N53" s="2440"/>
    </row>
    <row r="54" spans="2:14" s="2409" customFormat="1" ht="18" thickBot="1">
      <c r="B54" s="2446" t="s">
        <v>394</v>
      </c>
      <c r="C54" s="2447">
        <f t="shared" ref="C54:K54" si="12">+C49+C42+C35</f>
        <v>105.43091173000001</v>
      </c>
      <c r="D54" s="2447">
        <f t="shared" si="12"/>
        <v>214.81175697999998</v>
      </c>
      <c r="E54" s="2447">
        <f t="shared" si="12"/>
        <v>98.530182819999993</v>
      </c>
      <c r="F54" s="2447">
        <f t="shared" si="12"/>
        <v>122.08405965</v>
      </c>
      <c r="G54" s="2448">
        <f t="shared" si="12"/>
        <v>155.62256904999998</v>
      </c>
      <c r="H54" s="2447">
        <f t="shared" si="12"/>
        <v>117.33901841000001</v>
      </c>
      <c r="I54" s="2447">
        <f t="shared" si="12"/>
        <v>60.198951129999998</v>
      </c>
      <c r="J54" s="2447">
        <f t="shared" si="12"/>
        <v>57.184444389999996</v>
      </c>
      <c r="K54" s="3332">
        <f t="shared" si="12"/>
        <v>105.88827099999999</v>
      </c>
      <c r="L54" s="3338">
        <f t="shared" ref="L54" si="13">+L49+L42+L35</f>
        <v>110.450063</v>
      </c>
      <c r="M54" s="3922">
        <f t="shared" si="6"/>
        <v>4.3081183184113137E-2</v>
      </c>
      <c r="N54" s="2440">
        <f t="shared" si="7"/>
        <v>4.5617920000000112</v>
      </c>
    </row>
    <row r="55" spans="2:14" s="2409" customFormat="1">
      <c r="B55" s="2400" t="s">
        <v>738</v>
      </c>
      <c r="K55" s="2409" t="s">
        <v>390</v>
      </c>
    </row>
    <row r="56" spans="2:14" s="2409" customFormat="1">
      <c r="B56" s="2400" t="s">
        <v>232</v>
      </c>
      <c r="J56" s="1842"/>
      <c r="K56" s="1842"/>
    </row>
    <row r="57" spans="2:14" s="2409" customFormat="1">
      <c r="B57" s="2400" t="s">
        <v>269</v>
      </c>
    </row>
    <row r="58" spans="2:14" s="2409" customFormat="1"/>
    <row r="78" spans="2:2">
      <c r="B78" s="2449" t="s">
        <v>747</v>
      </c>
    </row>
  </sheetData>
  <mergeCells count="6">
    <mergeCell ref="B31:L31"/>
    <mergeCell ref="B1:L1"/>
    <mergeCell ref="B3:L3"/>
    <mergeCell ref="B2:L2"/>
    <mergeCell ref="B29:L29"/>
    <mergeCell ref="B30:L30"/>
  </mergeCells>
  <printOptions horizontalCentered="1" verticalCentered="1"/>
  <pageMargins left="0.25" right="0.25" top="0.75" bottom="0.75" header="0.3" footer="0.3"/>
  <pageSetup scale="51" firstPageNumber="103" orientation="landscape" useFirstPageNumber="1" r:id="rId1"/>
  <headerFooter scaleWithDoc="0" alignWithMargins="0">
    <oddFooter xml:space="preserve">&amp;C159
</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00B0F0"/>
    <pageSetUpPr fitToPage="1"/>
  </sheetPr>
  <dimension ref="A1:O73"/>
  <sheetViews>
    <sheetView view="pageBreakPreview" topLeftCell="B28" zoomScale="60" workbookViewId="0">
      <selection activeCell="B44" sqref="B44"/>
    </sheetView>
  </sheetViews>
  <sheetFormatPr defaultColWidth="9.46484375" defaultRowHeight="20.25"/>
  <cols>
    <col min="1" max="1" width="3.46484375" style="1773" hidden="1" customWidth="1"/>
    <col min="2" max="2" width="90.46484375" style="1773" customWidth="1"/>
    <col min="3" max="3" width="20.46484375" style="1773" hidden="1" customWidth="1"/>
    <col min="4" max="4" width="25.46484375" style="1773" hidden="1" customWidth="1"/>
    <col min="5" max="12" width="22" style="1773" customWidth="1"/>
    <col min="13" max="13" width="5.33203125" style="1773" customWidth="1"/>
    <col min="14" max="14" width="15.33203125" style="1773" bestFit="1" customWidth="1"/>
    <col min="15" max="15" width="10.6640625" style="1773" bestFit="1" customWidth="1"/>
    <col min="16" max="16384" width="9.46484375" style="1773"/>
  </cols>
  <sheetData>
    <row r="1" spans="2:15" ht="22.5">
      <c r="B1" s="5798" t="s">
        <v>703</v>
      </c>
      <c r="C1" s="5798"/>
      <c r="D1" s="5798"/>
      <c r="E1" s="5798"/>
      <c r="F1" s="5798"/>
      <c r="G1" s="5798"/>
      <c r="H1" s="5798"/>
      <c r="I1" s="5798"/>
      <c r="J1" s="5798"/>
      <c r="K1" s="5798"/>
      <c r="L1" s="5798"/>
    </row>
    <row r="2" spans="2:15" ht="23.25" customHeight="1">
      <c r="B2" s="5798" t="s">
        <v>558</v>
      </c>
      <c r="C2" s="5798"/>
      <c r="D2" s="5798"/>
      <c r="E2" s="5798"/>
      <c r="F2" s="5798"/>
      <c r="G2" s="5798"/>
      <c r="H2" s="5798"/>
      <c r="I2" s="5798"/>
      <c r="J2" s="5798"/>
      <c r="K2" s="5798"/>
      <c r="L2" s="5798"/>
    </row>
    <row r="3" spans="2:15" ht="22.5">
      <c r="B3" s="5798" t="s">
        <v>557</v>
      </c>
      <c r="C3" s="5798"/>
      <c r="D3" s="5798"/>
      <c r="E3" s="5798"/>
      <c r="F3" s="5798"/>
      <c r="G3" s="5798"/>
      <c r="H3" s="5798"/>
      <c r="I3" s="5798"/>
      <c r="J3" s="5798"/>
      <c r="K3" s="5798"/>
      <c r="L3" s="5798"/>
    </row>
    <row r="4" spans="2:15" ht="20" customHeight="1" thickBot="1">
      <c r="B4" s="2450"/>
      <c r="C4" s="2450"/>
      <c r="D4" s="2450"/>
      <c r="E4" s="2450"/>
      <c r="F4" s="2450"/>
      <c r="G4" s="2450"/>
      <c r="H4" s="2450"/>
      <c r="I4" s="2450"/>
      <c r="J4" s="2450"/>
      <c r="K4" s="2450"/>
    </row>
    <row r="5" spans="2:15" s="2456" customFormat="1" ht="29" customHeight="1" thickBot="1">
      <c r="B5" s="2451" t="s">
        <v>251</v>
      </c>
      <c r="C5" s="2452" t="s">
        <v>572</v>
      </c>
      <c r="D5" s="3057" t="s">
        <v>637</v>
      </c>
      <c r="E5" s="2453">
        <v>2016</v>
      </c>
      <c r="F5" s="2454">
        <v>2017</v>
      </c>
      <c r="G5" s="2454">
        <v>2018</v>
      </c>
      <c r="H5" s="2454">
        <v>2019</v>
      </c>
      <c r="I5" s="2454">
        <v>2020</v>
      </c>
      <c r="J5" s="2454">
        <v>2021</v>
      </c>
      <c r="K5" s="3024" t="s">
        <v>1958</v>
      </c>
      <c r="L5" s="3156" t="s">
        <v>1959</v>
      </c>
      <c r="M5" s="3923"/>
      <c r="N5" s="3924"/>
    </row>
    <row r="6" spans="2:15" ht="16.5" hidden="1" customHeight="1">
      <c r="B6" s="2451" t="s">
        <v>251</v>
      </c>
      <c r="C6" s="2452">
        <v>2014</v>
      </c>
      <c r="D6" s="2454">
        <v>2015</v>
      </c>
      <c r="E6" s="2454">
        <v>2016</v>
      </c>
      <c r="F6" s="2453" t="s">
        <v>708</v>
      </c>
      <c r="G6" s="2454">
        <v>2017</v>
      </c>
      <c r="H6" s="2454">
        <v>2018</v>
      </c>
      <c r="I6" s="2454"/>
      <c r="J6" s="2454"/>
      <c r="K6" s="3024"/>
      <c r="L6" s="2457"/>
      <c r="M6" s="3925"/>
      <c r="N6" s="3926"/>
    </row>
    <row r="7" spans="2:15" ht="25.5">
      <c r="B7" s="2458"/>
      <c r="C7" s="2459"/>
      <c r="D7" s="2460"/>
      <c r="E7" s="2460"/>
      <c r="F7" s="2460"/>
      <c r="G7" s="2461"/>
      <c r="H7" s="2461"/>
      <c r="I7" s="2461"/>
      <c r="J7" s="2461"/>
      <c r="K7" s="3025"/>
      <c r="L7" s="3157"/>
      <c r="M7" s="3927" t="s">
        <v>1825</v>
      </c>
      <c r="N7" s="3928" t="s">
        <v>1826</v>
      </c>
    </row>
    <row r="8" spans="2:15" ht="22.5">
      <c r="B8" s="2462" t="s">
        <v>252</v>
      </c>
      <c r="C8" s="2463">
        <f>SUM(C10:C13)</f>
        <v>137.55000000000001</v>
      </c>
      <c r="D8" s="2463">
        <f>SUM(D10:D13)</f>
        <v>150.90793068000002</v>
      </c>
      <c r="E8" s="2463">
        <f t="shared" ref="E8:K8" si="0">SUM(E10:E13)</f>
        <v>143.58719840000001</v>
      </c>
      <c r="F8" s="2463">
        <f t="shared" si="0"/>
        <v>142.28131581</v>
      </c>
      <c r="G8" s="2463">
        <f t="shared" si="0"/>
        <v>196.92682569999999</v>
      </c>
      <c r="H8" s="2463">
        <f t="shared" si="0"/>
        <v>164.65921842999998</v>
      </c>
      <c r="I8" s="2463">
        <f t="shared" si="0"/>
        <v>102.95263019000001</v>
      </c>
      <c r="J8" s="2463">
        <f t="shared" si="0"/>
        <v>99.865563359999996</v>
      </c>
      <c r="K8" s="3158">
        <f t="shared" si="0"/>
        <v>109.172462</v>
      </c>
      <c r="L8" s="3159">
        <f t="shared" ref="L8" si="1">SUM(L10:L13)</f>
        <v>139.152151</v>
      </c>
      <c r="M8" s="3929">
        <f>K8/J8-1</f>
        <v>9.3194273650167636E-2</v>
      </c>
      <c r="N8" s="3930">
        <f>K8-J8</f>
        <v>9.30689864</v>
      </c>
    </row>
    <row r="9" spans="2:15" ht="22.9">
      <c r="B9" s="2464"/>
      <c r="C9" s="2465"/>
      <c r="D9" s="2465"/>
      <c r="E9" s="2465"/>
      <c r="F9" s="2465"/>
      <c r="G9" s="2465"/>
      <c r="H9" s="2465"/>
      <c r="I9" s="2465"/>
      <c r="J9" s="2465"/>
      <c r="K9" s="3160"/>
      <c r="L9" s="3157"/>
      <c r="M9" s="3929"/>
      <c r="N9" s="3930">
        <f t="shared" ref="N9:N26" si="2">K9-J9</f>
        <v>0</v>
      </c>
    </row>
    <row r="10" spans="2:15" ht="25.25" customHeight="1">
      <c r="B10" s="2464" t="s">
        <v>253</v>
      </c>
      <c r="C10" s="2466">
        <f>'[193] Exports'!C9+'[193]Export % total &amp; change'!C36</f>
        <v>40.1</v>
      </c>
      <c r="D10" s="2466">
        <v>29.871769450000002</v>
      </c>
      <c r="E10" s="2466">
        <v>29.486126919999997</v>
      </c>
      <c r="F10" s="2466">
        <v>25.961180580000001</v>
      </c>
      <c r="G10" s="2466">
        <v>32.885395600000003</v>
      </c>
      <c r="H10" s="2466">
        <v>34.17897146</v>
      </c>
      <c r="I10" s="2466">
        <v>26.825775180000001</v>
      </c>
      <c r="J10" s="2466">
        <v>19.428070399999999</v>
      </c>
      <c r="K10" s="3161">
        <v>19.765934999999999</v>
      </c>
      <c r="L10" s="3162">
        <v>17.302588</v>
      </c>
      <c r="M10" s="3929">
        <f t="shared" ref="M10:M25" si="3">K10/J10-1</f>
        <v>1.7390538177172843E-2</v>
      </c>
      <c r="N10" s="3930">
        <f t="shared" si="2"/>
        <v>0.33786459999999963</v>
      </c>
    </row>
    <row r="11" spans="2:15" ht="25.25" customHeight="1">
      <c r="B11" s="2464" t="s">
        <v>551</v>
      </c>
      <c r="C11" s="2466">
        <f>'[193] Exports'!C10+'[193]Export % total &amp; change'!C37</f>
        <v>75.05</v>
      </c>
      <c r="D11" s="2466">
        <v>51.116314010000004</v>
      </c>
      <c r="E11" s="2466">
        <v>49.451048620000002</v>
      </c>
      <c r="F11" s="2466">
        <v>50.273384589999999</v>
      </c>
      <c r="G11" s="2466">
        <v>60.945045820000004</v>
      </c>
      <c r="H11" s="2466">
        <v>61.507175149999988</v>
      </c>
      <c r="I11" s="2466">
        <v>41.816590210000001</v>
      </c>
      <c r="J11" s="2466">
        <v>48.663199540000001</v>
      </c>
      <c r="K11" s="3161">
        <v>49.936489000000002</v>
      </c>
      <c r="L11" s="3162">
        <v>57.312998</v>
      </c>
      <c r="M11" s="3929">
        <f t="shared" si="3"/>
        <v>2.6165346134986223E-2</v>
      </c>
      <c r="N11" s="3930">
        <f t="shared" si="2"/>
        <v>1.2732894600000009</v>
      </c>
    </row>
    <row r="12" spans="2:15" s="2456" customFormat="1" ht="25.25" customHeight="1">
      <c r="B12" s="2464" t="s">
        <v>255</v>
      </c>
      <c r="C12" s="2466">
        <f>'[193] Exports'!C11+'[193]Export % total &amp; change'!C38</f>
        <v>11.1</v>
      </c>
      <c r="D12" s="2466">
        <v>7.6390415799999998</v>
      </c>
      <c r="E12" s="2466">
        <v>8.0123429399999999</v>
      </c>
      <c r="F12" s="2466">
        <v>14.008403869999997</v>
      </c>
      <c r="G12" s="2466">
        <v>15.5605735</v>
      </c>
      <c r="H12" s="2466">
        <v>8.8962291499999981</v>
      </c>
      <c r="I12" s="2466">
        <v>5.7542584000000003</v>
      </c>
      <c r="J12" s="2466">
        <v>5.8636983000000003</v>
      </c>
      <c r="K12" s="3161">
        <v>8.7386269999999993</v>
      </c>
      <c r="L12" s="3162">
        <v>8.6232849999999992</v>
      </c>
      <c r="M12" s="3929">
        <f t="shared" si="3"/>
        <v>0.4902927389698748</v>
      </c>
      <c r="N12" s="3930">
        <f t="shared" si="2"/>
        <v>2.874928699999999</v>
      </c>
    </row>
    <row r="13" spans="2:15" ht="25.25" customHeight="1">
      <c r="B13" s="2464" t="s">
        <v>256</v>
      </c>
      <c r="C13" s="2466">
        <f>'[193] Exports'!C12+'[193]Export % total &amp; change'!C39</f>
        <v>11.3</v>
      </c>
      <c r="D13" s="2466">
        <v>62.280805640000004</v>
      </c>
      <c r="E13" s="2466">
        <v>56.637679920000004</v>
      </c>
      <c r="F13" s="2466">
        <v>52.038346770000004</v>
      </c>
      <c r="G13" s="2466">
        <v>87.535810780000006</v>
      </c>
      <c r="H13" s="2466">
        <v>60.076842670000005</v>
      </c>
      <c r="I13" s="2466">
        <v>28.556006399999998</v>
      </c>
      <c r="J13" s="2466">
        <v>25.91059512</v>
      </c>
      <c r="K13" s="3161">
        <v>30.731411000000001</v>
      </c>
      <c r="L13" s="3162">
        <v>55.91328</v>
      </c>
      <c r="M13" s="3929">
        <f t="shared" si="3"/>
        <v>0.186055775935416</v>
      </c>
      <c r="N13" s="3930">
        <f t="shared" si="2"/>
        <v>4.8208158800000014</v>
      </c>
    </row>
    <row r="14" spans="2:15" ht="22.9">
      <c r="B14" s="2464"/>
      <c r="C14" s="2465"/>
      <c r="D14" s="2465"/>
      <c r="E14" s="2465"/>
      <c r="F14" s="2465"/>
      <c r="G14" s="2465"/>
      <c r="H14" s="2465"/>
      <c r="I14" s="2465"/>
      <c r="J14" s="2465"/>
      <c r="K14" s="3160"/>
      <c r="L14" s="3157"/>
      <c r="M14" s="3929"/>
      <c r="N14" s="3930">
        <f t="shared" si="2"/>
        <v>0</v>
      </c>
    </row>
    <row r="15" spans="2:15" ht="22.5">
      <c r="B15" s="2462" t="s">
        <v>257</v>
      </c>
      <c r="C15" s="2463">
        <f>SUM(C17:C20)</f>
        <v>109.1366266</v>
      </c>
      <c r="D15" s="2463">
        <f>SUM(D17:D20)</f>
        <v>138.42648939</v>
      </c>
      <c r="E15" s="2463">
        <f t="shared" ref="E15:K15" si="4">SUM(E17:E20)</f>
        <v>19.459882390000001</v>
      </c>
      <c r="F15" s="2463">
        <f t="shared" si="4"/>
        <v>38.973506579999999</v>
      </c>
      <c r="G15" s="2463">
        <f t="shared" si="4"/>
        <v>35.62763777</v>
      </c>
      <c r="H15" s="2463">
        <f t="shared" si="4"/>
        <v>28.777460070000004</v>
      </c>
      <c r="I15" s="2463">
        <f t="shared" si="4"/>
        <v>30.51962541</v>
      </c>
      <c r="J15" s="2463">
        <f t="shared" si="4"/>
        <v>36.886002330000004</v>
      </c>
      <c r="K15" s="3158">
        <f t="shared" si="4"/>
        <v>82.777614999999997</v>
      </c>
      <c r="L15" s="3159">
        <f t="shared" ref="L15" si="5">SUM(L17:L20)</f>
        <v>54.185984000000005</v>
      </c>
      <c r="M15" s="3929">
        <f t="shared" si="3"/>
        <v>1.2441470956768761</v>
      </c>
      <c r="N15" s="3930">
        <f t="shared" si="2"/>
        <v>45.891612669999994</v>
      </c>
      <c r="O15" s="5"/>
    </row>
    <row r="16" spans="2:15" ht="22.9">
      <c r="B16" s="2464"/>
      <c r="C16" s="2465"/>
      <c r="D16" s="2465"/>
      <c r="E16" s="2465"/>
      <c r="F16" s="2465"/>
      <c r="G16" s="2465"/>
      <c r="H16" s="2465"/>
      <c r="I16" s="2465"/>
      <c r="J16" s="2465"/>
      <c r="K16" s="3160"/>
      <c r="L16" s="3157"/>
      <c r="M16" s="3929"/>
      <c r="N16" s="3930">
        <f t="shared" si="2"/>
        <v>0</v>
      </c>
    </row>
    <row r="17" spans="2:14" ht="25.25" customHeight="1">
      <c r="B17" s="2464" t="s">
        <v>552</v>
      </c>
      <c r="C17" s="2466">
        <f>'[193] Exports'!C16+'[193]Export % total &amp; change'!C43</f>
        <v>24.7</v>
      </c>
      <c r="D17" s="2466">
        <v>26.888382740000001</v>
      </c>
      <c r="E17" s="2466">
        <v>5.2518145399999998</v>
      </c>
      <c r="F17" s="2466">
        <v>10.338734430000001</v>
      </c>
      <c r="G17" s="2466">
        <v>14.48912844</v>
      </c>
      <c r="H17" s="2466">
        <v>12.39278094</v>
      </c>
      <c r="I17" s="2466">
        <v>13.649344119999999</v>
      </c>
      <c r="J17" s="2466">
        <v>23.553300060000002</v>
      </c>
      <c r="K17" s="3161">
        <v>27.171285999999998</v>
      </c>
      <c r="L17" s="3162">
        <v>26.116197</v>
      </c>
      <c r="M17" s="3929">
        <f t="shared" si="3"/>
        <v>0.15360845107834109</v>
      </c>
      <c r="N17" s="3930">
        <f t="shared" si="2"/>
        <v>3.617985939999997</v>
      </c>
    </row>
    <row r="18" spans="2:14" ht="25.25" customHeight="1">
      <c r="B18" s="2464" t="s">
        <v>553</v>
      </c>
      <c r="C18" s="2466">
        <f>'[193] Exports'!C17+'[193]Export % total &amp; change'!C44</f>
        <v>81.501459679999996</v>
      </c>
      <c r="D18" s="2466">
        <v>103.52560931999999</v>
      </c>
      <c r="E18" s="2466">
        <v>6.7215792400000005</v>
      </c>
      <c r="F18" s="2466">
        <v>20.905920829999999</v>
      </c>
      <c r="G18" s="2466">
        <v>10.708681940000002</v>
      </c>
      <c r="H18" s="2466">
        <v>9.0473720499999999</v>
      </c>
      <c r="I18" s="2466">
        <v>6.0269081899999994</v>
      </c>
      <c r="J18" s="2466">
        <v>4.6100868300000002</v>
      </c>
      <c r="K18" s="3161">
        <v>45.293114000000003</v>
      </c>
      <c r="L18" s="3162">
        <v>17.646038000000001</v>
      </c>
      <c r="M18" s="3929">
        <f t="shared" si="3"/>
        <v>8.82478544769622</v>
      </c>
      <c r="N18" s="3930">
        <f t="shared" si="2"/>
        <v>40.683027170000003</v>
      </c>
    </row>
    <row r="19" spans="2:14" s="2456" customFormat="1" ht="25.25" customHeight="1">
      <c r="B19" s="2464" t="s">
        <v>554</v>
      </c>
      <c r="C19" s="2466">
        <f>'[193] Exports'!C18+'[193]Export % total &amp; change'!C45</f>
        <v>2.5810500000000001E-3</v>
      </c>
      <c r="D19" s="2466">
        <v>5.83411E-3</v>
      </c>
      <c r="E19" s="2466">
        <v>9.1087000000000008E-3</v>
      </c>
      <c r="F19" s="2466">
        <v>1.7745819999999999E-2</v>
      </c>
      <c r="G19" s="2466">
        <v>5.1613829999999999E-2</v>
      </c>
      <c r="H19" s="2466">
        <v>6.791375999999999E-2</v>
      </c>
      <c r="I19" s="2466">
        <v>4.6366279999999996E-2</v>
      </c>
      <c r="J19" s="2466">
        <v>4.6280780000000007E-2</v>
      </c>
      <c r="K19" s="3161">
        <v>7.0253999999999997E-2</v>
      </c>
      <c r="L19" s="3162">
        <v>5.8786999999999999E-2</v>
      </c>
      <c r="M19" s="3929">
        <f t="shared" si="3"/>
        <v>0.51799515911356697</v>
      </c>
      <c r="N19" s="3930">
        <f t="shared" si="2"/>
        <v>2.397321999999999E-2</v>
      </c>
    </row>
    <row r="20" spans="2:14" ht="25.25" customHeight="1">
      <c r="B20" s="2464" t="s">
        <v>261</v>
      </c>
      <c r="C20" s="2466">
        <f>'[193] Exports'!C19+'[193]Export % total &amp; change'!C46</f>
        <v>2.9325858700000005</v>
      </c>
      <c r="D20" s="2466">
        <v>8.0066632200000001</v>
      </c>
      <c r="E20" s="2466">
        <v>7.4773799099999998</v>
      </c>
      <c r="F20" s="2466">
        <v>7.7111055000000013</v>
      </c>
      <c r="G20" s="2466">
        <v>10.378213559999999</v>
      </c>
      <c r="H20" s="2466">
        <v>7.2693933200000007</v>
      </c>
      <c r="I20" s="2466">
        <v>10.79700682</v>
      </c>
      <c r="J20" s="2466">
        <v>8.6763346600000002</v>
      </c>
      <c r="K20" s="3161">
        <v>10.242960999999999</v>
      </c>
      <c r="L20" s="3162">
        <v>10.364962</v>
      </c>
      <c r="M20" s="3929">
        <f t="shared" si="3"/>
        <v>0.18056315268964029</v>
      </c>
      <c r="N20" s="3930">
        <f t="shared" si="2"/>
        <v>1.5666263399999991</v>
      </c>
    </row>
    <row r="21" spans="2:14" ht="22.9">
      <c r="B21" s="2464"/>
      <c r="C21" s="2465"/>
      <c r="D21" s="2465"/>
      <c r="E21" s="2465"/>
      <c r="F21" s="2465"/>
      <c r="G21" s="2465"/>
      <c r="H21" s="2465"/>
      <c r="I21" s="2465"/>
      <c r="J21" s="2465"/>
      <c r="K21" s="3160"/>
      <c r="L21" s="3157"/>
      <c r="M21" s="3929"/>
      <c r="N21" s="3930">
        <f t="shared" si="2"/>
        <v>0</v>
      </c>
    </row>
    <row r="22" spans="2:14" ht="22.5">
      <c r="B22" s="2462" t="s">
        <v>262</v>
      </c>
      <c r="C22" s="2463">
        <f>SUM(C24:C25)</f>
        <v>17.578911729999998</v>
      </c>
      <c r="D22" s="2463">
        <f>SUM(D24:D25)</f>
        <v>22.801797800000003</v>
      </c>
      <c r="E22" s="2463">
        <f t="shared" ref="E22:K22" si="6">SUM(E24:E25)</f>
        <v>23.77489619</v>
      </c>
      <c r="F22" s="2463">
        <f t="shared" si="6"/>
        <v>30.405455969999998</v>
      </c>
      <c r="G22" s="2463">
        <f t="shared" si="6"/>
        <v>30.933629910000001</v>
      </c>
      <c r="H22" s="2463">
        <f t="shared" si="6"/>
        <v>28.124225849999998</v>
      </c>
      <c r="I22" s="2463">
        <f t="shared" si="6"/>
        <v>15.58592479</v>
      </c>
      <c r="J22" s="2463">
        <f t="shared" si="6"/>
        <v>21.406931409999999</v>
      </c>
      <c r="K22" s="3158">
        <f t="shared" si="6"/>
        <v>21.487942</v>
      </c>
      <c r="L22" s="3159">
        <f t="shared" ref="L22" si="7">SUM(L24:L25)</f>
        <v>21.680814000000002</v>
      </c>
      <c r="M22" s="3929">
        <f t="shared" si="3"/>
        <v>3.7843158577206548E-3</v>
      </c>
      <c r="N22" s="3930">
        <f t="shared" si="2"/>
        <v>8.101059000000177E-2</v>
      </c>
    </row>
    <row r="23" spans="2:14" ht="22.9">
      <c r="B23" s="2464"/>
      <c r="C23" s="2465"/>
      <c r="D23" s="2465"/>
      <c r="E23" s="2465"/>
      <c r="F23" s="2465"/>
      <c r="G23" s="2465"/>
      <c r="H23" s="2465"/>
      <c r="I23" s="2465"/>
      <c r="J23" s="2465"/>
      <c r="K23" s="3160"/>
      <c r="L23" s="3157"/>
      <c r="M23" s="3929"/>
      <c r="N23" s="3930">
        <f t="shared" si="2"/>
        <v>0</v>
      </c>
    </row>
    <row r="24" spans="2:14" s="2456" customFormat="1" ht="25.25" customHeight="1">
      <c r="B24" s="2464" t="s">
        <v>263</v>
      </c>
      <c r="C24" s="2466">
        <f>'[193] Exports'!C23+'[193]Export % total &amp; change'!C50</f>
        <v>16.399999999999999</v>
      </c>
      <c r="D24" s="2466">
        <v>21.215748430000001</v>
      </c>
      <c r="E24" s="2466">
        <v>21.67846879</v>
      </c>
      <c r="F24" s="2466">
        <v>29.832766679999999</v>
      </c>
      <c r="G24" s="2466">
        <v>30.53727829</v>
      </c>
      <c r="H24" s="2466">
        <v>27.853132089999999</v>
      </c>
      <c r="I24" s="2466">
        <v>15.37026803</v>
      </c>
      <c r="J24" s="2466">
        <v>20.88472509</v>
      </c>
      <c r="K24" s="3161">
        <v>21.088080000000001</v>
      </c>
      <c r="L24" s="3162">
        <v>20.864898</v>
      </c>
      <c r="M24" s="3929">
        <f t="shared" si="3"/>
        <v>9.7370163659646902E-3</v>
      </c>
      <c r="N24" s="3930">
        <f t="shared" si="2"/>
        <v>0.20335491000000161</v>
      </c>
    </row>
    <row r="25" spans="2:14" s="2468" customFormat="1" ht="25.25" customHeight="1">
      <c r="B25" s="2464" t="s">
        <v>264</v>
      </c>
      <c r="C25" s="2466">
        <f>'[193] Exports'!C24+'[193]Export % total &amp; change'!C51</f>
        <v>1.17891173</v>
      </c>
      <c r="D25" s="2466">
        <v>1.5860493699999998</v>
      </c>
      <c r="E25" s="2466">
        <v>2.0964274000000001</v>
      </c>
      <c r="F25" s="2466">
        <v>0.57268929000000002</v>
      </c>
      <c r="G25" s="2466">
        <v>0.39635162000000002</v>
      </c>
      <c r="H25" s="2466">
        <v>0.27109376000000002</v>
      </c>
      <c r="I25" s="2466">
        <v>0.21565676</v>
      </c>
      <c r="J25" s="2466">
        <v>0.52220632</v>
      </c>
      <c r="K25" s="3161">
        <v>0.399862</v>
      </c>
      <c r="L25" s="3162">
        <v>0.81591599999999997</v>
      </c>
      <c r="M25" s="3929">
        <f t="shared" si="3"/>
        <v>-0.23428349162836637</v>
      </c>
      <c r="N25" s="3930">
        <f t="shared" si="2"/>
        <v>-0.12234432000000001</v>
      </c>
    </row>
    <row r="26" spans="2:14" ht="25.25" customHeight="1" thickBot="1">
      <c r="B26" s="2469"/>
      <c r="C26" s="2470"/>
      <c r="D26" s="2471"/>
      <c r="E26" s="2471"/>
      <c r="F26" s="2471"/>
      <c r="G26" s="2472"/>
      <c r="H26" s="2472"/>
      <c r="I26" s="2472"/>
      <c r="J26" s="2472"/>
      <c r="K26" s="3163"/>
      <c r="L26" s="3164"/>
      <c r="M26" s="3929"/>
      <c r="N26" s="3930">
        <f t="shared" si="2"/>
        <v>0</v>
      </c>
    </row>
    <row r="27" spans="2:14" ht="25.25" customHeight="1" thickBot="1">
      <c r="B27" s="2451" t="s">
        <v>394</v>
      </c>
      <c r="C27" s="2473">
        <f t="shared" ref="C27:K27" si="8">C8+C15+C22</f>
        <v>264.26553833000003</v>
      </c>
      <c r="D27" s="2474">
        <f t="shared" si="8"/>
        <v>312.13621787</v>
      </c>
      <c r="E27" s="2474">
        <f t="shared" si="8"/>
        <v>186.82197697999999</v>
      </c>
      <c r="F27" s="2474">
        <f t="shared" si="8"/>
        <v>211.66027835999998</v>
      </c>
      <c r="G27" s="2475">
        <f t="shared" si="8"/>
        <v>263.48809338000001</v>
      </c>
      <c r="H27" s="2475">
        <f t="shared" si="8"/>
        <v>221.56090434999996</v>
      </c>
      <c r="I27" s="2475">
        <f t="shared" si="8"/>
        <v>149.05818039000002</v>
      </c>
      <c r="J27" s="2475">
        <f t="shared" si="8"/>
        <v>158.15849710000001</v>
      </c>
      <c r="K27" s="3165">
        <f t="shared" si="8"/>
        <v>213.438019</v>
      </c>
      <c r="L27" s="3166">
        <f t="shared" ref="L27" si="9">L8+L15+L22</f>
        <v>215.01894900000002</v>
      </c>
      <c r="M27" s="3929">
        <f t="shared" ref="M27" si="10">K27/J27-1</f>
        <v>0.34951977233981935</v>
      </c>
      <c r="N27" s="3930">
        <f t="shared" ref="N27" si="11">K27-J27</f>
        <v>55.279521899999992</v>
      </c>
    </row>
    <row r="28" spans="2:14" ht="25.25" customHeight="1" thickBot="1">
      <c r="B28" s="2451" t="s">
        <v>99</v>
      </c>
      <c r="C28" s="2476"/>
      <c r="D28" s="1684">
        <f>D27/C27-1</f>
        <v>0.18114612992111656</v>
      </c>
      <c r="E28" s="1684">
        <f>E27/D27-1</f>
        <v>-0.40147292661241729</v>
      </c>
      <c r="F28" s="1684">
        <f t="shared" ref="F28:L28" si="12">+F27/E27-1</f>
        <v>0.13295171040106823</v>
      </c>
      <c r="G28" s="2316">
        <f t="shared" si="12"/>
        <v>0.24486320920285887</v>
      </c>
      <c r="H28" s="2316">
        <f t="shared" si="12"/>
        <v>-0.15912365713441579</v>
      </c>
      <c r="I28" s="2316">
        <f t="shared" si="12"/>
        <v>-0.32723608965536322</v>
      </c>
      <c r="J28" s="2316">
        <f t="shared" si="12"/>
        <v>6.1052111908180162E-2</v>
      </c>
      <c r="K28" s="3167">
        <f t="shared" si="12"/>
        <v>0.34951977233981935</v>
      </c>
      <c r="L28" s="3168">
        <f t="shared" si="12"/>
        <v>7.4069746683698146E-3</v>
      </c>
      <c r="M28" s="3928"/>
      <c r="N28" s="3928"/>
    </row>
    <row r="29" spans="2:14" ht="21">
      <c r="B29" s="2477" t="s">
        <v>738</v>
      </c>
      <c r="M29" s="3926"/>
      <c r="N29" s="3926"/>
    </row>
    <row r="30" spans="2:14" ht="21">
      <c r="B30" s="2477" t="s">
        <v>1049</v>
      </c>
      <c r="M30" s="3926"/>
      <c r="N30" s="3926"/>
    </row>
    <row r="31" spans="2:14" ht="21">
      <c r="B31" s="2468" t="s">
        <v>268</v>
      </c>
      <c r="M31" s="3926"/>
      <c r="N31" s="3926"/>
    </row>
    <row r="32" spans="2:14" ht="22.5">
      <c r="B32" s="5798" t="s">
        <v>1956</v>
      </c>
      <c r="C32" s="5798"/>
      <c r="D32" s="5798"/>
      <c r="E32" s="5798"/>
      <c r="F32" s="5798"/>
      <c r="G32" s="5798"/>
      <c r="H32" s="5798"/>
      <c r="I32" s="5798"/>
      <c r="J32" s="5798"/>
      <c r="K32" s="5798"/>
      <c r="M32" s="3926"/>
      <c r="N32" s="3926"/>
    </row>
    <row r="33" spans="2:14" ht="22.5">
      <c r="B33" s="5798" t="s">
        <v>1523</v>
      </c>
      <c r="C33" s="5798"/>
      <c r="D33" s="5798"/>
      <c r="E33" s="5798"/>
      <c r="F33" s="5798"/>
      <c r="G33" s="5798"/>
      <c r="H33" s="5798"/>
      <c r="I33" s="5798"/>
      <c r="J33" s="5798"/>
      <c r="K33" s="5798"/>
      <c r="M33" s="3926"/>
      <c r="N33" s="3926"/>
    </row>
    <row r="34" spans="2:14" ht="22.5">
      <c r="B34" s="5798" t="s">
        <v>557</v>
      </c>
      <c r="C34" s="5798"/>
      <c r="D34" s="5798"/>
      <c r="E34" s="5798"/>
      <c r="F34" s="5798"/>
      <c r="G34" s="5798"/>
      <c r="H34" s="5798"/>
      <c r="I34" s="5798"/>
      <c r="J34" s="5798"/>
      <c r="K34" s="5798"/>
      <c r="L34" s="2455"/>
      <c r="M34" s="3926"/>
      <c r="N34" s="3926"/>
    </row>
    <row r="35" spans="2:14" hidden="1">
      <c r="L35" s="2457"/>
    </row>
    <row r="36" spans="2:14" ht="30" customHeight="1" thickBot="1">
      <c r="L36" s="2457"/>
    </row>
    <row r="37" spans="2:14" ht="30" customHeight="1" thickBot="1">
      <c r="B37" s="2478"/>
      <c r="C37" s="2452" t="s">
        <v>572</v>
      </c>
      <c r="D37" s="3058" t="s">
        <v>637</v>
      </c>
      <c r="E37" s="2454">
        <v>2016</v>
      </c>
      <c r="F37" s="2454">
        <v>2017</v>
      </c>
      <c r="G37" s="2454">
        <v>2018</v>
      </c>
      <c r="H37" s="2454">
        <v>2019</v>
      </c>
      <c r="I37" s="2454">
        <v>2020</v>
      </c>
      <c r="J37" s="2454">
        <v>2021</v>
      </c>
      <c r="K37" s="3339" t="s">
        <v>1958</v>
      </c>
      <c r="L37" s="3341" t="s">
        <v>1959</v>
      </c>
      <c r="M37" s="2551"/>
      <c r="N37" s="2457"/>
    </row>
    <row r="38" spans="2:14" ht="30" customHeight="1">
      <c r="B38" s="2479" t="s">
        <v>1948</v>
      </c>
      <c r="C38" s="2480">
        <f>'[193]Import by Economic Function '!C56</f>
        <v>1451.6656</v>
      </c>
      <c r="D38" s="1603" t="e">
        <f>#REF!</f>
        <v>#REF!</v>
      </c>
      <c r="E38" s="1603">
        <f>'Import by Economic Function'!E27</f>
        <v>1686.7323852</v>
      </c>
      <c r="F38" s="1603">
        <f>'Import by Economic Function'!F27</f>
        <v>1684.2826970000001</v>
      </c>
      <c r="G38" s="1603">
        <f>'Import by Economic Function'!G27</f>
        <v>1778.5631119999998</v>
      </c>
      <c r="H38" s="1603">
        <f>'Import by Economic Function'!H27</f>
        <v>1615.1014829999999</v>
      </c>
      <c r="I38" s="1603">
        <f>'Import by Economic Function'!I27</f>
        <v>1362.1399999999999</v>
      </c>
      <c r="J38" s="1603">
        <f>'Import by Economic Function'!J27</f>
        <v>1625.401873</v>
      </c>
      <c r="K38" s="1603">
        <f>'Import by Economic Function'!K27</f>
        <v>2253.1042930000003</v>
      </c>
      <c r="L38" s="1603">
        <f>'Import by Economic Function'!L27</f>
        <v>2417.8795380000001</v>
      </c>
      <c r="M38" s="3929">
        <f>L38/K38-1</f>
        <v>7.3132542293726788E-2</v>
      </c>
      <c r="N38" s="3930">
        <f>L38-K38</f>
        <v>164.77524499999981</v>
      </c>
    </row>
    <row r="39" spans="2:14" ht="30" customHeight="1" thickBot="1">
      <c r="B39" s="2479" t="s">
        <v>603</v>
      </c>
      <c r="C39" s="2481">
        <f>C27</f>
        <v>264.26553833000003</v>
      </c>
      <c r="D39" s="2467">
        <f>D27</f>
        <v>312.13621787</v>
      </c>
      <c r="E39" s="2467">
        <f t="shared" ref="E39" si="13">E27</f>
        <v>186.82197697999999</v>
      </c>
      <c r="F39" s="2467">
        <f t="shared" ref="F39:L39" si="14">F27</f>
        <v>211.66027835999998</v>
      </c>
      <c r="G39" s="2467">
        <f t="shared" si="14"/>
        <v>263.48809338000001</v>
      </c>
      <c r="H39" s="2467">
        <f t="shared" si="14"/>
        <v>221.56090434999996</v>
      </c>
      <c r="I39" s="2467">
        <f t="shared" si="14"/>
        <v>149.05818039000002</v>
      </c>
      <c r="J39" s="2467">
        <f t="shared" si="14"/>
        <v>158.15849710000001</v>
      </c>
      <c r="K39" s="2467">
        <f t="shared" si="14"/>
        <v>213.438019</v>
      </c>
      <c r="L39" s="2467">
        <f t="shared" si="14"/>
        <v>215.01894900000002</v>
      </c>
      <c r="M39" s="3929">
        <f t="shared" ref="M39:M40" si="15">L39/K39-1</f>
        <v>7.4069746683698146E-3</v>
      </c>
      <c r="N39" s="3930">
        <f t="shared" ref="N39:N40" si="16">L39-K39</f>
        <v>1.5809300000000235</v>
      </c>
    </row>
    <row r="40" spans="2:14" ht="30" customHeight="1" thickBot="1">
      <c r="B40" s="2482" t="s">
        <v>773</v>
      </c>
      <c r="C40" s="2483">
        <f>C39-C38</f>
        <v>-1187.40006167</v>
      </c>
      <c r="D40" s="2317" t="e">
        <f>D39-D38</f>
        <v>#REF!</v>
      </c>
      <c r="E40" s="2317">
        <f t="shared" ref="E40:L40" si="17">E39-E38</f>
        <v>-1499.9104082199999</v>
      </c>
      <c r="F40" s="2317">
        <f t="shared" si="17"/>
        <v>-1472.6224186400002</v>
      </c>
      <c r="G40" s="2317">
        <f t="shared" si="17"/>
        <v>-1515.0750186199998</v>
      </c>
      <c r="H40" s="2317">
        <f t="shared" si="17"/>
        <v>-1393.54057865</v>
      </c>
      <c r="I40" s="2317">
        <f t="shared" si="17"/>
        <v>-1213.0818196099999</v>
      </c>
      <c r="J40" s="2317">
        <f t="shared" si="17"/>
        <v>-1467.2433759</v>
      </c>
      <c r="K40" s="3340">
        <f t="shared" si="17"/>
        <v>-2039.6662740000004</v>
      </c>
      <c r="L40" s="3340">
        <f t="shared" si="17"/>
        <v>-2202.8605889999999</v>
      </c>
      <c r="M40" s="4424">
        <f t="shared" si="15"/>
        <v>8.0010302214762907E-2</v>
      </c>
      <c r="N40" s="3930">
        <f t="shared" si="16"/>
        <v>-163.19431499999951</v>
      </c>
    </row>
    <row r="41" spans="2:14" ht="21">
      <c r="B41" s="2477" t="s">
        <v>738</v>
      </c>
      <c r="L41" s="2457"/>
    </row>
    <row r="42" spans="2:14" ht="21">
      <c r="B42" s="2477" t="s">
        <v>1049</v>
      </c>
      <c r="L42" s="2455"/>
    </row>
    <row r="43" spans="2:14" hidden="1">
      <c r="L43" s="2457"/>
    </row>
    <row r="44" spans="2:14" ht="21">
      <c r="B44" s="2468" t="s">
        <v>268</v>
      </c>
      <c r="L44" s="2457"/>
    </row>
    <row r="45" spans="2:14">
      <c r="L45" s="2457"/>
    </row>
    <row r="46" spans="2:14" hidden="1">
      <c r="L46" s="2457"/>
    </row>
    <row r="47" spans="2:14">
      <c r="J47" s="1773">
        <v>4815.4335133139848</v>
      </c>
      <c r="K47" s="1773">
        <v>6292.8949895964979</v>
      </c>
      <c r="L47" s="2457"/>
    </row>
    <row r="48" spans="2:14">
      <c r="J48" s="2551">
        <f>J40/J47</f>
        <v>-0.3046960095790508</v>
      </c>
      <c r="K48" s="2551">
        <f>K40/K47</f>
        <v>-0.32412208965380884</v>
      </c>
      <c r="L48" s="2457"/>
    </row>
    <row r="49" spans="5:14">
      <c r="L49" s="2457"/>
    </row>
    <row r="50" spans="5:14">
      <c r="L50" s="2455"/>
    </row>
    <row r="51" spans="5:14">
      <c r="L51" s="2457"/>
      <c r="M51" s="2457"/>
      <c r="N51" s="2457"/>
    </row>
    <row r="52" spans="5:14" s="2468" customFormat="1" ht="21"/>
    <row r="53" spans="5:14" s="2468" customFormat="1" ht="21"/>
    <row r="54" spans="5:14" s="2468" customFormat="1" ht="21">
      <c r="E54" s="2484"/>
      <c r="F54" s="2484"/>
      <c r="G54" s="2484"/>
      <c r="H54" s="2484"/>
      <c r="I54" s="2484"/>
      <c r="J54" s="2484"/>
      <c r="K54" s="2484"/>
      <c r="M54" s="81"/>
      <c r="N54" s="81"/>
    </row>
    <row r="55" spans="5:14">
      <c r="F55" s="2485"/>
      <c r="G55" s="2485"/>
      <c r="H55" s="2485"/>
      <c r="I55" s="2485"/>
      <c r="J55" s="2485"/>
      <c r="K55" s="2485"/>
    </row>
    <row r="73" spans="2:2">
      <c r="B73" s="1773" t="s">
        <v>768</v>
      </c>
    </row>
  </sheetData>
  <mergeCells count="6">
    <mergeCell ref="B34:K34"/>
    <mergeCell ref="B32:K32"/>
    <mergeCell ref="B33:K33"/>
    <mergeCell ref="B1:L1"/>
    <mergeCell ref="B2:L2"/>
    <mergeCell ref="B3:L3"/>
  </mergeCells>
  <printOptions horizontalCentered="1" verticalCentered="1"/>
  <pageMargins left="0.25" right="0.25" top="0.75" bottom="0.75" header="0.3" footer="0.3"/>
  <pageSetup scale="50" firstPageNumber="103" orientation="landscape" useFirstPageNumber="1" r:id="rId1"/>
  <headerFooter scaleWithDoc="0" alignWithMargins="0">
    <oddFooter xml:space="preserve">&amp;C160
</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1">
    <tabColor rgb="FF00B0F0"/>
    <pageSetUpPr fitToPage="1"/>
  </sheetPr>
  <dimension ref="A1:J90"/>
  <sheetViews>
    <sheetView zoomScale="16" zoomScaleNormal="100" zoomScaleSheetLayoutView="20" workbookViewId="0">
      <selection activeCell="B44" sqref="B44"/>
    </sheetView>
  </sheetViews>
  <sheetFormatPr defaultColWidth="9.46484375" defaultRowHeight="48.4"/>
  <cols>
    <col min="1" max="1" width="9.46484375" style="1566"/>
    <col min="2" max="2" width="78.6640625" style="1695" customWidth="1"/>
    <col min="3" max="3" width="53.46484375" style="1566" customWidth="1"/>
    <col min="4" max="5" width="49.6640625" style="1695" customWidth="1"/>
    <col min="6" max="6" width="55.6640625" style="1695" customWidth="1"/>
    <col min="7" max="7" width="53.33203125" style="1695" customWidth="1"/>
    <col min="8" max="8" width="50.33203125" style="1695" customWidth="1"/>
    <col min="9" max="9" width="51.46484375" style="1695" customWidth="1"/>
    <col min="10" max="16384" width="9.46484375" style="1566"/>
  </cols>
  <sheetData>
    <row r="1" spans="2:10">
      <c r="B1" s="5662" t="s">
        <v>2326</v>
      </c>
      <c r="C1" s="5662"/>
      <c r="D1" s="5662"/>
      <c r="E1" s="5662"/>
      <c r="F1" s="5662"/>
      <c r="G1" s="5662"/>
      <c r="H1" s="5662"/>
      <c r="I1" s="5662"/>
    </row>
    <row r="2" spans="2:10">
      <c r="B2" s="5662" t="s">
        <v>424</v>
      </c>
      <c r="C2" s="5662"/>
      <c r="D2" s="5662"/>
      <c r="E2" s="5662"/>
      <c r="F2" s="5662"/>
      <c r="G2" s="5662"/>
      <c r="H2" s="5662"/>
      <c r="I2" s="5662"/>
    </row>
    <row r="3" spans="2:10">
      <c r="B3" s="5662" t="s">
        <v>425</v>
      </c>
      <c r="C3" s="5662"/>
      <c r="D3" s="5662"/>
      <c r="E3" s="5662"/>
      <c r="F3" s="5662"/>
      <c r="G3" s="5662"/>
      <c r="H3" s="5662"/>
      <c r="I3" s="5662"/>
    </row>
    <row r="4" spans="2:10" ht="48.75" thickBot="1">
      <c r="B4" s="1688"/>
      <c r="C4" s="1689"/>
      <c r="D4" s="1690"/>
      <c r="E4" s="1690"/>
      <c r="F4" s="1690"/>
      <c r="G4" s="1690"/>
      <c r="H4" s="1688"/>
      <c r="I4" s="1688"/>
    </row>
    <row r="5" spans="2:10" s="1697" customFormat="1" ht="51.4">
      <c r="B5" s="2807" t="s">
        <v>426</v>
      </c>
      <c r="C5" s="2808" t="s">
        <v>310</v>
      </c>
      <c r="D5" s="5950" t="s">
        <v>146</v>
      </c>
      <c r="E5" s="5951"/>
      <c r="F5" s="5952"/>
      <c r="G5" s="5950" t="s">
        <v>147</v>
      </c>
      <c r="H5" s="5951"/>
      <c r="I5" s="5953"/>
    </row>
    <row r="6" spans="2:10" s="1697" customFormat="1" ht="51.75" thickBot="1">
      <c r="B6" s="2809" t="s">
        <v>427</v>
      </c>
      <c r="C6" s="2810" t="s">
        <v>309</v>
      </c>
      <c r="D6" s="2811" t="s">
        <v>148</v>
      </c>
      <c r="E6" s="2811" t="s">
        <v>149</v>
      </c>
      <c r="F6" s="2812" t="s">
        <v>394</v>
      </c>
      <c r="G6" s="3342" t="s">
        <v>148</v>
      </c>
      <c r="H6" s="3343" t="s">
        <v>149</v>
      </c>
      <c r="I6" s="3344" t="s">
        <v>394</v>
      </c>
    </row>
    <row r="7" spans="2:10" hidden="1">
      <c r="B7" s="2813"/>
      <c r="C7" s="2814"/>
      <c r="D7" s="2815"/>
      <c r="E7" s="2815"/>
      <c r="F7" s="1691"/>
      <c r="G7" s="2816"/>
      <c r="H7" s="2816"/>
      <c r="I7" s="1692"/>
    </row>
    <row r="8" spans="2:10" hidden="1">
      <c r="B8" s="2817" t="s">
        <v>152</v>
      </c>
      <c r="C8" s="2818">
        <v>84</v>
      </c>
      <c r="D8" s="2819">
        <v>15986</v>
      </c>
      <c r="E8" s="2819">
        <v>15208</v>
      </c>
      <c r="F8" s="1693">
        <f>SUM(D8:E8)</f>
        <v>31194</v>
      </c>
      <c r="G8" s="2818">
        <v>195</v>
      </c>
      <c r="H8" s="2818">
        <v>985</v>
      </c>
      <c r="I8" s="1692">
        <f>SUM(G8:H8)</f>
        <v>1180</v>
      </c>
    </row>
    <row r="9" spans="2:10" hidden="1">
      <c r="B9" s="2817"/>
      <c r="C9" s="2818"/>
      <c r="D9" s="2819"/>
      <c r="E9" s="2819"/>
      <c r="F9" s="1693"/>
      <c r="G9" s="2818"/>
      <c r="H9" s="2818"/>
      <c r="I9" s="1692"/>
    </row>
    <row r="10" spans="2:10" hidden="1">
      <c r="B10" s="2817" t="s">
        <v>153</v>
      </c>
      <c r="C10" s="2818">
        <v>86</v>
      </c>
      <c r="D10" s="2819">
        <v>16004</v>
      </c>
      <c r="E10" s="2819">
        <v>15368</v>
      </c>
      <c r="F10" s="1693">
        <f>SUM(D10:E10)</f>
        <v>31372</v>
      </c>
      <c r="G10" s="2818">
        <v>195</v>
      </c>
      <c r="H10" s="2818">
        <v>944</v>
      </c>
      <c r="I10" s="1692">
        <f>SUM(G10:H10)</f>
        <v>1139</v>
      </c>
    </row>
    <row r="11" spans="2:10" hidden="1">
      <c r="B11" s="2817"/>
      <c r="C11" s="2818"/>
      <c r="D11" s="2819"/>
      <c r="E11" s="2819"/>
      <c r="F11" s="1693"/>
      <c r="G11" s="1694"/>
      <c r="H11" s="2818"/>
      <c r="I11" s="1692"/>
    </row>
    <row r="12" spans="2:10" s="1701" customFormat="1" ht="53.65" hidden="1">
      <c r="B12" s="1706" t="s">
        <v>154</v>
      </c>
      <c r="C12" s="2820">
        <v>84</v>
      </c>
      <c r="D12" s="2821">
        <v>16159</v>
      </c>
      <c r="E12" s="2821">
        <v>15389</v>
      </c>
      <c r="F12" s="1698">
        <f>SUM(D12:E12)</f>
        <v>31548</v>
      </c>
      <c r="G12" s="1699">
        <v>213</v>
      </c>
      <c r="H12" s="2820">
        <v>962</v>
      </c>
      <c r="I12" s="1700">
        <f>SUM(G12:H12)</f>
        <v>1175</v>
      </c>
    </row>
    <row r="13" spans="2:10" s="1701" customFormat="1" ht="53.65" hidden="1">
      <c r="B13" s="1706"/>
      <c r="C13" s="2820"/>
      <c r="D13" s="2821"/>
      <c r="E13" s="2821"/>
      <c r="F13" s="1698"/>
      <c r="G13" s="1699"/>
      <c r="H13" s="2820"/>
      <c r="I13" s="1700"/>
    </row>
    <row r="14" spans="2:10" s="1701" customFormat="1" ht="53.65">
      <c r="B14" s="1706" t="s">
        <v>155</v>
      </c>
      <c r="C14" s="2820">
        <v>84</v>
      </c>
      <c r="D14" s="2821">
        <v>16111</v>
      </c>
      <c r="E14" s="2821">
        <v>15326</v>
      </c>
      <c r="F14" s="1698">
        <f>SUM(D14:E14)</f>
        <v>31437</v>
      </c>
      <c r="G14" s="2820">
        <v>220</v>
      </c>
      <c r="H14" s="2820">
        <v>948</v>
      </c>
      <c r="I14" s="2822">
        <f t="shared" ref="I14:I60" si="0">G14+H14</f>
        <v>1168</v>
      </c>
      <c r="J14" s="3931"/>
    </row>
    <row r="15" spans="2:10" s="1701" customFormat="1" ht="53.65">
      <c r="B15" s="1706"/>
      <c r="C15" s="2820"/>
      <c r="D15" s="2821"/>
      <c r="E15" s="2821"/>
      <c r="F15" s="1698"/>
      <c r="G15" s="2820"/>
      <c r="H15" s="2820"/>
      <c r="I15" s="2822"/>
    </row>
    <row r="16" spans="2:10" s="1701" customFormat="1" ht="53.65">
      <c r="B16" s="1706" t="s">
        <v>156</v>
      </c>
      <c r="C16" s="2820">
        <v>82</v>
      </c>
      <c r="D16" s="2821">
        <v>15399</v>
      </c>
      <c r="E16" s="2821">
        <v>14232</v>
      </c>
      <c r="F16" s="1698">
        <f>SUM(D16:E16)</f>
        <v>29631</v>
      </c>
      <c r="G16" s="2820">
        <v>176</v>
      </c>
      <c r="H16" s="2820">
        <v>959</v>
      </c>
      <c r="I16" s="2822">
        <f t="shared" si="0"/>
        <v>1135</v>
      </c>
    </row>
    <row r="17" spans="2:9" s="1701" customFormat="1" ht="53.65">
      <c r="B17" s="1706"/>
      <c r="C17" s="2820"/>
      <c r="D17" s="2821"/>
      <c r="E17" s="2821"/>
      <c r="F17" s="1698"/>
      <c r="G17" s="2820"/>
      <c r="H17" s="2820"/>
      <c r="I17" s="2822"/>
    </row>
    <row r="18" spans="2:9" s="1701" customFormat="1" ht="53.65">
      <c r="B18" s="1706" t="s">
        <v>157</v>
      </c>
      <c r="C18" s="2820">
        <v>82</v>
      </c>
      <c r="D18" s="2821">
        <v>14991</v>
      </c>
      <c r="E18" s="2821">
        <v>13984</v>
      </c>
      <c r="F18" s="1698">
        <f>SUM(D18:E18)</f>
        <v>28975</v>
      </c>
      <c r="G18" s="2820">
        <v>171</v>
      </c>
      <c r="H18" s="2820">
        <v>910</v>
      </c>
      <c r="I18" s="2822">
        <f t="shared" si="0"/>
        <v>1081</v>
      </c>
    </row>
    <row r="19" spans="2:9" s="1701" customFormat="1" ht="53.65">
      <c r="B19" s="1706"/>
      <c r="C19" s="2820"/>
      <c r="D19" s="2821"/>
      <c r="E19" s="2821"/>
      <c r="F19" s="1698"/>
      <c r="G19" s="2820"/>
      <c r="H19" s="2820"/>
      <c r="I19" s="2822"/>
    </row>
    <row r="20" spans="2:9" s="1701" customFormat="1" ht="53.65">
      <c r="B20" s="1706" t="s">
        <v>158</v>
      </c>
      <c r="C20" s="2820">
        <v>82</v>
      </c>
      <c r="D20" s="2821">
        <v>14991</v>
      </c>
      <c r="E20" s="2821">
        <v>13627</v>
      </c>
      <c r="F20" s="1698">
        <f>SUM(D20:E20)</f>
        <v>28618</v>
      </c>
      <c r="G20" s="2820">
        <v>180</v>
      </c>
      <c r="H20" s="2820">
        <v>872</v>
      </c>
      <c r="I20" s="2822">
        <f t="shared" si="0"/>
        <v>1052</v>
      </c>
    </row>
    <row r="21" spans="2:9" s="1701" customFormat="1" ht="53.65">
      <c r="B21" s="1706"/>
      <c r="C21" s="2820"/>
      <c r="D21" s="2821"/>
      <c r="E21" s="2821"/>
      <c r="F21" s="1698"/>
      <c r="G21" s="2820"/>
      <c r="H21" s="2820"/>
      <c r="I21" s="2822"/>
    </row>
    <row r="22" spans="2:9" s="1701" customFormat="1" ht="53.65">
      <c r="B22" s="1706" t="s">
        <v>159</v>
      </c>
      <c r="C22" s="2820">
        <v>82</v>
      </c>
      <c r="D22" s="2821">
        <v>14588</v>
      </c>
      <c r="E22" s="2821">
        <v>13367</v>
      </c>
      <c r="F22" s="1698">
        <f>SUM(D22:E22)</f>
        <v>27955</v>
      </c>
      <c r="G22" s="2820">
        <v>170</v>
      </c>
      <c r="H22" s="2820">
        <v>892</v>
      </c>
      <c r="I22" s="2822">
        <f t="shared" si="0"/>
        <v>1062</v>
      </c>
    </row>
    <row r="23" spans="2:9" s="1701" customFormat="1" ht="53.65">
      <c r="B23" s="1706"/>
      <c r="C23" s="2820"/>
      <c r="D23" s="2821"/>
      <c r="E23" s="2821"/>
      <c r="F23" s="1698"/>
      <c r="G23" s="2820"/>
      <c r="H23" s="2820"/>
      <c r="I23" s="2822"/>
    </row>
    <row r="24" spans="2:9" s="1701" customFormat="1" ht="53.65">
      <c r="B24" s="1706" t="s">
        <v>160</v>
      </c>
      <c r="C24" s="2820">
        <v>81</v>
      </c>
      <c r="D24" s="2821">
        <v>14323</v>
      </c>
      <c r="E24" s="2821">
        <v>12852</v>
      </c>
      <c r="F24" s="1698">
        <f>SUM(D24:E24)</f>
        <v>27175</v>
      </c>
      <c r="G24" s="2820">
        <v>158</v>
      </c>
      <c r="H24" s="2820">
        <v>899</v>
      </c>
      <c r="I24" s="2822">
        <f t="shared" si="0"/>
        <v>1057</v>
      </c>
    </row>
    <row r="25" spans="2:9" s="1701" customFormat="1" ht="53.65">
      <c r="B25" s="1706"/>
      <c r="C25" s="2820"/>
      <c r="D25" s="2821"/>
      <c r="E25" s="2821"/>
      <c r="F25" s="1698"/>
      <c r="G25" s="2820"/>
      <c r="H25" s="2820"/>
      <c r="I25" s="2822"/>
    </row>
    <row r="26" spans="2:9" s="1701" customFormat="1" ht="53.65">
      <c r="B26" s="1706" t="s">
        <v>161</v>
      </c>
      <c r="C26" s="2820">
        <v>78</v>
      </c>
      <c r="D26" s="2821">
        <v>13522</v>
      </c>
      <c r="E26" s="2821">
        <v>12151</v>
      </c>
      <c r="F26" s="1698">
        <f>SUM(D26:E26)</f>
        <v>25673</v>
      </c>
      <c r="G26" s="2820">
        <v>153</v>
      </c>
      <c r="H26" s="2820">
        <v>886</v>
      </c>
      <c r="I26" s="2822">
        <f t="shared" si="0"/>
        <v>1039</v>
      </c>
    </row>
    <row r="27" spans="2:9" s="1701" customFormat="1" ht="53.65">
      <c r="B27" s="1706"/>
      <c r="C27" s="2820"/>
      <c r="D27" s="2821"/>
      <c r="E27" s="2821"/>
      <c r="F27" s="1698"/>
      <c r="G27" s="2820"/>
      <c r="H27" s="2820"/>
      <c r="I27" s="2822"/>
    </row>
    <row r="28" spans="2:9" s="1701" customFormat="1" ht="53.65">
      <c r="B28" s="1706" t="s">
        <v>162</v>
      </c>
      <c r="C28" s="2820">
        <v>78</v>
      </c>
      <c r="D28" s="2821">
        <v>13193</v>
      </c>
      <c r="E28" s="2821">
        <v>11816</v>
      </c>
      <c r="F28" s="1698">
        <f>SUM(D28:E28)</f>
        <v>25009</v>
      </c>
      <c r="G28" s="2820">
        <v>151</v>
      </c>
      <c r="H28" s="2820">
        <v>873</v>
      </c>
      <c r="I28" s="2822">
        <f t="shared" si="0"/>
        <v>1024</v>
      </c>
    </row>
    <row r="29" spans="2:9" s="1701" customFormat="1" ht="53.65">
      <c r="B29" s="1706"/>
      <c r="C29" s="2820"/>
      <c r="D29" s="2821"/>
      <c r="E29" s="2821"/>
      <c r="F29" s="1698"/>
      <c r="G29" s="2820"/>
      <c r="H29" s="2820"/>
      <c r="I29" s="2822"/>
    </row>
    <row r="30" spans="2:9" s="1701" customFormat="1" ht="53.65">
      <c r="B30" s="1706" t="s">
        <v>163</v>
      </c>
      <c r="C30" s="2820">
        <v>78</v>
      </c>
      <c r="D30" s="2821">
        <v>12559</v>
      </c>
      <c r="E30" s="2821">
        <v>11410</v>
      </c>
      <c r="F30" s="1698">
        <f>SUM(D30:E30)</f>
        <v>23969</v>
      </c>
      <c r="G30" s="2820">
        <v>154</v>
      </c>
      <c r="H30" s="2820">
        <v>853</v>
      </c>
      <c r="I30" s="2822">
        <f t="shared" si="0"/>
        <v>1007</v>
      </c>
    </row>
    <row r="31" spans="2:9" s="1701" customFormat="1" ht="53.65">
      <c r="B31" s="1706"/>
      <c r="C31" s="2820"/>
      <c r="D31" s="2821"/>
      <c r="E31" s="2821"/>
      <c r="F31" s="1702"/>
      <c r="G31" s="2820"/>
      <c r="H31" s="2820"/>
      <c r="I31" s="2822"/>
    </row>
    <row r="32" spans="2:9" s="1701" customFormat="1" ht="53.65">
      <c r="B32" s="1706" t="s">
        <v>164</v>
      </c>
      <c r="C32" s="2820">
        <v>75</v>
      </c>
      <c r="D32" s="2821">
        <v>10947</v>
      </c>
      <c r="E32" s="2821">
        <v>10382</v>
      </c>
      <c r="F32" s="1702">
        <f>SUM(D32:E32)</f>
        <v>21329</v>
      </c>
      <c r="G32" s="2820">
        <v>118</v>
      </c>
      <c r="H32" s="2820">
        <v>801</v>
      </c>
      <c r="I32" s="2822">
        <f t="shared" si="0"/>
        <v>919</v>
      </c>
    </row>
    <row r="33" spans="2:9" s="1701" customFormat="1" ht="53.65">
      <c r="B33" s="1706"/>
      <c r="C33" s="2820"/>
      <c r="D33" s="2821"/>
      <c r="E33" s="2821"/>
      <c r="F33" s="1702"/>
      <c r="G33" s="2820"/>
      <c r="H33" s="2820"/>
      <c r="I33" s="2822"/>
    </row>
    <row r="34" spans="2:9" s="1701" customFormat="1" ht="53.65">
      <c r="B34" s="1706" t="s">
        <v>165</v>
      </c>
      <c r="C34" s="2820">
        <v>75</v>
      </c>
      <c r="D34" s="2821">
        <v>10255</v>
      </c>
      <c r="E34" s="2821">
        <v>9909</v>
      </c>
      <c r="F34" s="1702">
        <v>20164</v>
      </c>
      <c r="G34" s="2820">
        <v>118</v>
      </c>
      <c r="H34" s="2820">
        <v>804</v>
      </c>
      <c r="I34" s="2822">
        <f t="shared" si="0"/>
        <v>922</v>
      </c>
    </row>
    <row r="35" spans="2:9" s="1701" customFormat="1" ht="53.65">
      <c r="B35" s="1706"/>
      <c r="C35" s="2820"/>
      <c r="D35" s="2821"/>
      <c r="E35" s="2821"/>
      <c r="F35" s="1702"/>
      <c r="G35" s="2820"/>
      <c r="H35" s="2820"/>
      <c r="I35" s="2822"/>
    </row>
    <row r="36" spans="2:9" s="1701" customFormat="1" ht="53.65">
      <c r="B36" s="1706" t="s">
        <v>295</v>
      </c>
      <c r="C36" s="2820">
        <v>75</v>
      </c>
      <c r="D36" s="2821">
        <f>(F36-E36)</f>
        <v>9833</v>
      </c>
      <c r="E36" s="2821">
        <v>9454</v>
      </c>
      <c r="F36" s="1702">
        <v>19287</v>
      </c>
      <c r="G36" s="2821">
        <v>189</v>
      </c>
      <c r="H36" s="2820">
        <v>828</v>
      </c>
      <c r="I36" s="2822">
        <f t="shared" si="0"/>
        <v>1017</v>
      </c>
    </row>
    <row r="37" spans="2:9" s="1701" customFormat="1" ht="53.65">
      <c r="B37" s="1706"/>
      <c r="C37" s="2820"/>
      <c r="D37" s="2821"/>
      <c r="E37" s="2821"/>
      <c r="F37" s="1702"/>
      <c r="G37" s="2821"/>
      <c r="H37" s="2820"/>
      <c r="I37" s="2822"/>
    </row>
    <row r="38" spans="2:9" s="1701" customFormat="1" ht="53.65">
      <c r="B38" s="1706" t="s">
        <v>428</v>
      </c>
      <c r="C38" s="2820">
        <v>75</v>
      </c>
      <c r="D38" s="2821">
        <v>9529</v>
      </c>
      <c r="E38" s="2821">
        <v>9065</v>
      </c>
      <c r="F38" s="1702">
        <f>E38+D38</f>
        <v>18594</v>
      </c>
      <c r="G38" s="2821">
        <v>134</v>
      </c>
      <c r="H38" s="2820">
        <v>847</v>
      </c>
      <c r="I38" s="1700">
        <f t="shared" si="0"/>
        <v>981</v>
      </c>
    </row>
    <row r="39" spans="2:9" s="1701" customFormat="1" ht="53.65">
      <c r="B39" s="1706"/>
      <c r="C39" s="2820"/>
      <c r="D39" s="2821"/>
      <c r="E39" s="2821"/>
      <c r="F39" s="1702"/>
      <c r="G39" s="2821"/>
      <c r="H39" s="2820"/>
      <c r="I39" s="1700"/>
    </row>
    <row r="40" spans="2:9" s="1701" customFormat="1" ht="53.65">
      <c r="B40" s="1706" t="s">
        <v>284</v>
      </c>
      <c r="C40" s="2820">
        <v>75</v>
      </c>
      <c r="D40" s="1710">
        <v>9148</v>
      </c>
      <c r="E40" s="2821">
        <v>8834</v>
      </c>
      <c r="F40" s="1702">
        <f>E40+D40</f>
        <v>17982</v>
      </c>
      <c r="G40" s="2821">
        <v>139</v>
      </c>
      <c r="H40" s="2821">
        <v>859</v>
      </c>
      <c r="I40" s="1700">
        <f t="shared" si="0"/>
        <v>998</v>
      </c>
    </row>
    <row r="41" spans="2:9" s="1701" customFormat="1" ht="53.65">
      <c r="B41" s="1703"/>
      <c r="C41" s="2820"/>
      <c r="D41" s="1704"/>
      <c r="E41" s="2820"/>
      <c r="F41" s="1704"/>
      <c r="G41" s="2820"/>
      <c r="H41" s="2820"/>
      <c r="I41" s="1700"/>
    </row>
    <row r="42" spans="2:9" s="1701" customFormat="1" ht="53.65">
      <c r="B42" s="1705" t="s">
        <v>478</v>
      </c>
      <c r="C42" s="2820">
        <v>75</v>
      </c>
      <c r="D42" s="1704">
        <v>8832</v>
      </c>
      <c r="E42" s="2820">
        <v>8444</v>
      </c>
      <c r="F42" s="1704">
        <f>E42+D42</f>
        <v>17276</v>
      </c>
      <c r="G42" s="2820">
        <v>136</v>
      </c>
      <c r="H42" s="2820">
        <v>853</v>
      </c>
      <c r="I42" s="1700">
        <f t="shared" si="0"/>
        <v>989</v>
      </c>
    </row>
    <row r="43" spans="2:9" s="1701" customFormat="1" ht="53.65">
      <c r="B43" s="1703"/>
      <c r="C43" s="2820"/>
      <c r="D43" s="1704"/>
      <c r="E43" s="2820"/>
      <c r="F43" s="1704"/>
      <c r="G43" s="2820"/>
      <c r="H43" s="2820"/>
      <c r="I43" s="1700"/>
    </row>
    <row r="44" spans="2:9" s="1701" customFormat="1" ht="53.65">
      <c r="B44" s="1703" t="s">
        <v>485</v>
      </c>
      <c r="C44" s="2820">
        <v>75</v>
      </c>
      <c r="D44" s="1702">
        <v>8640</v>
      </c>
      <c r="E44" s="2821">
        <v>8124</v>
      </c>
      <c r="F44" s="1702">
        <f>E44+D44</f>
        <v>16764</v>
      </c>
      <c r="G44" s="2821">
        <v>130</v>
      </c>
      <c r="H44" s="2821">
        <v>857</v>
      </c>
      <c r="I44" s="1700">
        <f t="shared" si="0"/>
        <v>987</v>
      </c>
    </row>
    <row r="45" spans="2:9" s="1701" customFormat="1" ht="53.65">
      <c r="B45" s="1703"/>
      <c r="C45" s="2820"/>
      <c r="D45" s="1702"/>
      <c r="E45" s="2821"/>
      <c r="F45" s="1702"/>
      <c r="G45" s="2821"/>
      <c r="H45" s="2821"/>
      <c r="I45" s="1700"/>
    </row>
    <row r="46" spans="2:9" s="1701" customFormat="1" ht="53.65">
      <c r="B46" s="1703" t="s">
        <v>540</v>
      </c>
      <c r="C46" s="2820">
        <v>74</v>
      </c>
      <c r="D46" s="1702">
        <v>8395</v>
      </c>
      <c r="E46" s="2821">
        <v>7873</v>
      </c>
      <c r="F46" s="1702">
        <f>E46+D46</f>
        <v>16268</v>
      </c>
      <c r="G46" s="2821">
        <v>136</v>
      </c>
      <c r="H46" s="2821">
        <v>871</v>
      </c>
      <c r="I46" s="1700">
        <f t="shared" si="0"/>
        <v>1007</v>
      </c>
    </row>
    <row r="47" spans="2:9" s="1701" customFormat="1" ht="53.65">
      <c r="B47" s="1703"/>
      <c r="C47" s="2820"/>
      <c r="D47" s="1702"/>
      <c r="E47" s="2821"/>
      <c r="F47" s="1702"/>
      <c r="G47" s="2821"/>
      <c r="H47" s="2821"/>
      <c r="I47" s="1700"/>
    </row>
    <row r="48" spans="2:9" s="1701" customFormat="1" ht="53.65">
      <c r="B48" s="1703" t="s">
        <v>588</v>
      </c>
      <c r="C48" s="2820">
        <v>74</v>
      </c>
      <c r="D48" s="1702">
        <v>8166</v>
      </c>
      <c r="E48" s="2821">
        <v>7683</v>
      </c>
      <c r="F48" s="2821">
        <f>E48+D48</f>
        <v>15849</v>
      </c>
      <c r="G48" s="2821">
        <v>139</v>
      </c>
      <c r="H48" s="2821">
        <v>869</v>
      </c>
      <c r="I48" s="1700">
        <f t="shared" si="0"/>
        <v>1008</v>
      </c>
    </row>
    <row r="49" spans="1:10" s="1701" customFormat="1" ht="53.65">
      <c r="B49" s="1703"/>
      <c r="C49" s="2820"/>
      <c r="D49" s="1702"/>
      <c r="E49" s="2821"/>
      <c r="F49" s="2821"/>
      <c r="G49" s="2821"/>
      <c r="H49" s="2821"/>
      <c r="I49" s="3932"/>
    </row>
    <row r="50" spans="1:10" s="1701" customFormat="1" ht="53.65">
      <c r="B50" s="1706" t="s">
        <v>610</v>
      </c>
      <c r="C50" s="2823">
        <v>74</v>
      </c>
      <c r="D50" s="2824">
        <v>7958</v>
      </c>
      <c r="E50" s="2824">
        <v>7505</v>
      </c>
      <c r="F50" s="2821">
        <f>E50+D50</f>
        <v>15463</v>
      </c>
      <c r="G50" s="2824">
        <v>137</v>
      </c>
      <c r="H50" s="2823">
        <v>876</v>
      </c>
      <c r="I50" s="3932">
        <f t="shared" si="0"/>
        <v>1013</v>
      </c>
    </row>
    <row r="51" spans="1:10" s="1701" customFormat="1" ht="53.65">
      <c r="B51" s="1706"/>
      <c r="C51" s="2823"/>
      <c r="D51" s="2824"/>
      <c r="E51" s="2824"/>
      <c r="F51" s="2821"/>
      <c r="G51" s="2824"/>
      <c r="H51" s="2823"/>
      <c r="I51" s="3932"/>
    </row>
    <row r="52" spans="1:10" s="1701" customFormat="1" ht="53.65">
      <c r="B52" s="1706" t="s">
        <v>710</v>
      </c>
      <c r="C52" s="2823">
        <v>74</v>
      </c>
      <c r="D52" s="2820">
        <v>7685</v>
      </c>
      <c r="E52" s="2824">
        <v>7404</v>
      </c>
      <c r="F52" s="2821">
        <f>D52+E52</f>
        <v>15089</v>
      </c>
      <c r="G52" s="2824">
        <v>139</v>
      </c>
      <c r="H52" s="2823">
        <v>883</v>
      </c>
      <c r="I52" s="1700">
        <f t="shared" si="0"/>
        <v>1022</v>
      </c>
    </row>
    <row r="53" spans="1:10" s="1701" customFormat="1" ht="53.65">
      <c r="B53" s="1706"/>
      <c r="C53" s="2823"/>
      <c r="D53" s="2820"/>
      <c r="E53" s="2824"/>
      <c r="F53" s="2821"/>
      <c r="G53" s="2824"/>
      <c r="H53" s="2823"/>
      <c r="I53" s="1700"/>
    </row>
    <row r="54" spans="1:10" s="1701" customFormat="1" ht="53.65">
      <c r="B54" s="1706" t="s">
        <v>750</v>
      </c>
      <c r="C54" s="2823">
        <v>74</v>
      </c>
      <c r="D54" s="2824">
        <v>7501</v>
      </c>
      <c r="E54" s="2824">
        <v>7393</v>
      </c>
      <c r="F54" s="2821">
        <v>14894</v>
      </c>
      <c r="G54" s="2824">
        <v>137</v>
      </c>
      <c r="H54" s="2823">
        <v>867</v>
      </c>
      <c r="I54" s="1700">
        <f t="shared" si="0"/>
        <v>1004</v>
      </c>
    </row>
    <row r="55" spans="1:10" s="1701" customFormat="1" ht="53.65">
      <c r="A55" s="1707"/>
      <c r="B55" s="1703"/>
      <c r="C55" s="1708"/>
      <c r="D55" s="1709"/>
      <c r="E55" s="1709"/>
      <c r="F55" s="1710"/>
      <c r="G55" s="2824"/>
      <c r="H55" s="2823"/>
      <c r="I55" s="1700"/>
    </row>
    <row r="56" spans="1:10" s="1701" customFormat="1" ht="53.65">
      <c r="A56" s="1707"/>
      <c r="B56" s="1703" t="s">
        <v>786</v>
      </c>
      <c r="C56" s="1708">
        <v>74</v>
      </c>
      <c r="D56" s="1709">
        <v>7400</v>
      </c>
      <c r="E56" s="1709">
        <v>7315</v>
      </c>
      <c r="F56" s="1710">
        <v>14715</v>
      </c>
      <c r="G56" s="2824">
        <v>153</v>
      </c>
      <c r="H56" s="2823">
        <v>860</v>
      </c>
      <c r="I56" s="1700">
        <f t="shared" si="0"/>
        <v>1013</v>
      </c>
    </row>
    <row r="57" spans="1:10" s="1701" customFormat="1" ht="53.65">
      <c r="A57" s="1707"/>
      <c r="B57" s="1706"/>
      <c r="C57" s="1711"/>
      <c r="D57" s="1712"/>
      <c r="E57" s="2824"/>
      <c r="F57" s="2821"/>
      <c r="G57" s="2824"/>
      <c r="H57" s="2823"/>
      <c r="I57" s="2822"/>
    </row>
    <row r="58" spans="1:10" s="1701" customFormat="1" ht="53.65">
      <c r="A58" s="1707"/>
      <c r="B58" s="1706" t="s">
        <v>852</v>
      </c>
      <c r="C58" s="2823">
        <v>71</v>
      </c>
      <c r="D58" s="2824">
        <v>7288</v>
      </c>
      <c r="E58" s="2824">
        <v>7264</v>
      </c>
      <c r="F58" s="2821">
        <v>14552</v>
      </c>
      <c r="G58" s="2824">
        <v>137</v>
      </c>
      <c r="H58" s="2823">
        <v>871</v>
      </c>
      <c r="I58" s="2822">
        <f t="shared" si="0"/>
        <v>1008</v>
      </c>
    </row>
    <row r="59" spans="1:10" s="1701" customFormat="1" ht="53.65">
      <c r="A59" s="1707"/>
      <c r="B59" s="1703"/>
      <c r="C59" s="2823"/>
      <c r="D59" s="2824"/>
      <c r="E59" s="2824"/>
      <c r="F59" s="2821"/>
      <c r="G59" s="2824"/>
      <c r="H59" s="2823"/>
      <c r="I59" s="2822"/>
    </row>
    <row r="60" spans="1:10" s="1701" customFormat="1" ht="53.65">
      <c r="A60" s="1707"/>
      <c r="B60" s="1703" t="s">
        <v>1032</v>
      </c>
      <c r="C60" s="2823">
        <v>71</v>
      </c>
      <c r="D60" s="2824">
        <v>7289</v>
      </c>
      <c r="E60" s="2824">
        <v>7290</v>
      </c>
      <c r="F60" s="2821">
        <v>14579</v>
      </c>
      <c r="G60" s="2824">
        <v>148</v>
      </c>
      <c r="H60" s="2823">
        <v>935</v>
      </c>
      <c r="I60" s="2822">
        <f t="shared" si="0"/>
        <v>1083</v>
      </c>
    </row>
    <row r="61" spans="1:10" s="1701" customFormat="1" ht="53.65">
      <c r="B61" s="1703"/>
      <c r="C61" s="2823"/>
      <c r="D61" s="2824"/>
      <c r="E61" s="2824"/>
      <c r="F61" s="2821"/>
      <c r="G61" s="2824"/>
      <c r="H61" s="2823"/>
      <c r="I61" s="2822"/>
    </row>
    <row r="62" spans="1:10" s="1701" customFormat="1" ht="53.65">
      <c r="B62" s="1703" t="s">
        <v>1532</v>
      </c>
      <c r="C62" s="2823">
        <v>71</v>
      </c>
      <c r="D62" s="2824">
        <v>7283</v>
      </c>
      <c r="E62" s="2824">
        <v>7184</v>
      </c>
      <c r="F62" s="2821">
        <v>14467</v>
      </c>
      <c r="G62" s="2824">
        <v>155</v>
      </c>
      <c r="H62" s="2823">
        <v>862</v>
      </c>
      <c r="I62" s="3933">
        <f>G62+H62</f>
        <v>1017</v>
      </c>
      <c r="J62" s="3931"/>
    </row>
    <row r="63" spans="1:10" s="1701" customFormat="1" ht="53.65">
      <c r="B63" s="1703"/>
      <c r="C63" s="3026"/>
      <c r="D63" s="2824"/>
      <c r="E63" s="2824"/>
      <c r="F63" s="2821"/>
      <c r="G63" s="2824"/>
      <c r="H63" s="2823"/>
      <c r="I63" s="1710"/>
      <c r="J63" s="3931"/>
    </row>
    <row r="64" spans="1:10" ht="54" thickBot="1">
      <c r="B64" s="2825" t="s">
        <v>1971</v>
      </c>
      <c r="C64" s="2826">
        <v>71</v>
      </c>
      <c r="D64" s="2827">
        <v>7003</v>
      </c>
      <c r="E64" s="2827">
        <v>6811</v>
      </c>
      <c r="F64" s="2828">
        <v>13814</v>
      </c>
      <c r="G64" s="2827">
        <v>151</v>
      </c>
      <c r="H64" s="2826">
        <v>850</v>
      </c>
      <c r="I64" s="1710">
        <f>G64+H64</f>
        <v>1001</v>
      </c>
      <c r="J64" s="3934"/>
    </row>
    <row r="65" spans="2:9" ht="54.4">
      <c r="B65" s="1713" t="s">
        <v>1529</v>
      </c>
      <c r="C65" s="1714"/>
      <c r="D65" s="1715"/>
      <c r="E65" s="1715"/>
      <c r="F65" s="1715"/>
      <c r="G65" s="1716"/>
      <c r="H65" s="1715"/>
      <c r="I65" s="3935"/>
    </row>
    <row r="67" spans="2:9">
      <c r="E67" s="1696"/>
    </row>
    <row r="90" spans="2:2">
      <c r="B90" s="1695" t="s">
        <v>747</v>
      </c>
    </row>
  </sheetData>
  <mergeCells count="5">
    <mergeCell ref="B2:I2"/>
    <mergeCell ref="B3:I3"/>
    <mergeCell ref="B1:I1"/>
    <mergeCell ref="D5:F5"/>
    <mergeCell ref="G5:I5"/>
  </mergeCells>
  <printOptions horizontalCentered="1" verticalCentered="1"/>
  <pageMargins left="0.25" right="0.25" top="0.75" bottom="0.75" header="0.3" footer="0.3"/>
  <pageSetup scale="22" firstPageNumber="103" orientation="portrait" useFirstPageNumber="1" r:id="rId1"/>
  <headerFooter scaleWithDoc="0" alignWithMargins="0">
    <oddFooter xml:space="preserve">&amp;C161
</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2">
    <tabColor rgb="FF00B0F0"/>
    <pageSetUpPr fitToPage="1"/>
  </sheetPr>
  <dimension ref="A1:J90"/>
  <sheetViews>
    <sheetView view="pageBreakPreview" zoomScale="40" zoomScaleNormal="86" zoomScaleSheetLayoutView="40" workbookViewId="0">
      <selection activeCell="B44" sqref="B44"/>
    </sheetView>
  </sheetViews>
  <sheetFormatPr defaultColWidth="9.46484375" defaultRowHeight="33"/>
  <cols>
    <col min="1" max="1" width="9.46484375" style="1717"/>
    <col min="2" max="2" width="40.6640625" style="1740" customWidth="1"/>
    <col min="3" max="3" width="28.6640625" style="1717" customWidth="1"/>
    <col min="4" max="9" width="28.6640625" style="1740" customWidth="1"/>
    <col min="10" max="16384" width="9.46484375" style="1717"/>
  </cols>
  <sheetData>
    <row r="1" spans="2:9">
      <c r="B1" s="5954" t="s">
        <v>1855</v>
      </c>
      <c r="C1" s="5954"/>
      <c r="D1" s="5954"/>
      <c r="E1" s="5954"/>
      <c r="F1" s="5954"/>
      <c r="G1" s="5954"/>
      <c r="H1" s="5954"/>
      <c r="I1" s="5954"/>
    </row>
    <row r="2" spans="2:9">
      <c r="B2" s="5954" t="s">
        <v>429</v>
      </c>
      <c r="C2" s="5954"/>
      <c r="D2" s="5954"/>
      <c r="E2" s="5954"/>
      <c r="F2" s="5954"/>
      <c r="G2" s="5954"/>
      <c r="H2" s="5954"/>
      <c r="I2" s="5954"/>
    </row>
    <row r="3" spans="2:9">
      <c r="B3" s="5954" t="s">
        <v>425</v>
      </c>
      <c r="C3" s="5954"/>
      <c r="D3" s="5954"/>
      <c r="E3" s="5954"/>
      <c r="F3" s="5954"/>
      <c r="G3" s="5954"/>
      <c r="H3" s="5954"/>
      <c r="I3" s="5954"/>
    </row>
    <row r="4" spans="2:9" ht="33.4" thickBot="1">
      <c r="B4" s="1718"/>
      <c r="C4" s="1719"/>
      <c r="D4" s="1718"/>
      <c r="E4" s="1718"/>
      <c r="F4" s="1718"/>
      <c r="G4" s="1720"/>
      <c r="H4" s="1720"/>
      <c r="I4" s="1720"/>
    </row>
    <row r="5" spans="2:9">
      <c r="B5" s="2849"/>
      <c r="C5" s="2850"/>
      <c r="D5" s="1721"/>
      <c r="E5" s="1722" t="s">
        <v>146</v>
      </c>
      <c r="F5" s="1723"/>
      <c r="G5" s="1722"/>
      <c r="H5" s="2725" t="s">
        <v>147</v>
      </c>
      <c r="I5" s="1724"/>
    </row>
    <row r="6" spans="2:9">
      <c r="B6" s="1725" t="s">
        <v>274</v>
      </c>
      <c r="C6" s="2851" t="s">
        <v>310</v>
      </c>
      <c r="D6" s="2851"/>
      <c r="E6" s="2852"/>
      <c r="F6" s="1726"/>
      <c r="G6" s="2853"/>
      <c r="H6" s="2853"/>
      <c r="I6" s="1727"/>
    </row>
    <row r="7" spans="2:9" ht="33.4" thickBot="1">
      <c r="B7" s="2854" t="s">
        <v>129</v>
      </c>
      <c r="C7" s="2855" t="s">
        <v>309</v>
      </c>
      <c r="D7" s="2855" t="s">
        <v>148</v>
      </c>
      <c r="E7" s="2856" t="s">
        <v>149</v>
      </c>
      <c r="F7" s="2856" t="s">
        <v>394</v>
      </c>
      <c r="G7" s="2855" t="s">
        <v>148</v>
      </c>
      <c r="H7" s="2855" t="s">
        <v>149</v>
      </c>
      <c r="I7" s="2857" t="s">
        <v>394</v>
      </c>
    </row>
    <row r="8" spans="2:9" ht="34.25" hidden="1" customHeight="1">
      <c r="B8" s="2858" t="s">
        <v>151</v>
      </c>
      <c r="C8" s="2859">
        <v>14</v>
      </c>
      <c r="D8" s="2860">
        <v>4193</v>
      </c>
      <c r="E8" s="2860">
        <v>5528</v>
      </c>
      <c r="F8" s="2860">
        <f>SUM(D8:E8)</f>
        <v>9721</v>
      </c>
      <c r="G8" s="2860">
        <v>249</v>
      </c>
      <c r="H8" s="2860">
        <v>323</v>
      </c>
      <c r="I8" s="2861">
        <f>SUM(G8:H8)</f>
        <v>572</v>
      </c>
    </row>
    <row r="9" spans="2:9" hidden="1">
      <c r="B9" s="2858"/>
      <c r="C9" s="2859"/>
      <c r="D9" s="2860"/>
      <c r="E9" s="2860"/>
      <c r="F9" s="2860"/>
      <c r="G9" s="2860"/>
      <c r="H9" s="2860"/>
      <c r="I9" s="2861"/>
    </row>
    <row r="10" spans="2:9" hidden="1">
      <c r="B10" s="2858" t="s">
        <v>152</v>
      </c>
      <c r="C10" s="2859">
        <v>14</v>
      </c>
      <c r="D10" s="2860">
        <v>4435</v>
      </c>
      <c r="E10" s="2860">
        <v>5755</v>
      </c>
      <c r="F10" s="2860">
        <f>SUM(D10:E10)</f>
        <v>10190</v>
      </c>
      <c r="G10" s="2860">
        <v>279</v>
      </c>
      <c r="H10" s="2860">
        <v>340</v>
      </c>
      <c r="I10" s="2861">
        <f>SUM(G10:H10)</f>
        <v>619</v>
      </c>
    </row>
    <row r="11" spans="2:9">
      <c r="B11" s="2858"/>
      <c r="C11" s="2859"/>
      <c r="D11" s="2860"/>
      <c r="E11" s="2860"/>
      <c r="F11" s="2860"/>
      <c r="G11" s="2860"/>
      <c r="H11" s="2860"/>
      <c r="I11" s="2861"/>
    </row>
    <row r="12" spans="2:9">
      <c r="B12" s="2858" t="s">
        <v>153</v>
      </c>
      <c r="C12" s="2859">
        <v>15</v>
      </c>
      <c r="D12" s="2860">
        <v>4431</v>
      </c>
      <c r="E12" s="2860">
        <v>5883</v>
      </c>
      <c r="F12" s="2860">
        <f>SUM(D12:E12)</f>
        <v>10314</v>
      </c>
      <c r="G12" s="2860">
        <v>247</v>
      </c>
      <c r="H12" s="2860">
        <v>373</v>
      </c>
      <c r="I12" s="2861">
        <f>SUM(G12:H12)</f>
        <v>620</v>
      </c>
    </row>
    <row r="13" spans="2:9">
      <c r="B13" s="2858"/>
      <c r="C13" s="2859"/>
      <c r="D13" s="2860"/>
      <c r="E13" s="2860"/>
      <c r="F13" s="2860"/>
      <c r="G13" s="2860"/>
      <c r="H13" s="2860"/>
      <c r="I13" s="2861"/>
    </row>
    <row r="14" spans="2:9">
      <c r="B14" s="2858" t="s">
        <v>154</v>
      </c>
      <c r="C14" s="2859">
        <v>15</v>
      </c>
      <c r="D14" s="2860">
        <v>4870</v>
      </c>
      <c r="E14" s="2860">
        <v>6212</v>
      </c>
      <c r="F14" s="2860">
        <f>SUM(D14:E14)</f>
        <v>11082</v>
      </c>
      <c r="G14" s="2860">
        <v>247</v>
      </c>
      <c r="H14" s="2860">
        <v>385</v>
      </c>
      <c r="I14" s="2861">
        <f>SUM(G14:H14)</f>
        <v>632</v>
      </c>
    </row>
    <row r="15" spans="2:9">
      <c r="B15" s="2858"/>
      <c r="C15" s="2859"/>
      <c r="D15" s="2860"/>
      <c r="E15" s="2860"/>
      <c r="F15" s="2860"/>
      <c r="G15" s="2860"/>
      <c r="H15" s="2860"/>
      <c r="I15" s="2861"/>
    </row>
    <row r="16" spans="2:9">
      <c r="B16" s="2858" t="s">
        <v>155</v>
      </c>
      <c r="C16" s="2859">
        <v>15</v>
      </c>
      <c r="D16" s="2860">
        <v>5050</v>
      </c>
      <c r="E16" s="2860">
        <v>6490</v>
      </c>
      <c r="F16" s="2860">
        <f>SUM(D16:E16)</f>
        <v>11540</v>
      </c>
      <c r="G16" s="2860">
        <v>255</v>
      </c>
      <c r="H16" s="2860">
        <v>375</v>
      </c>
      <c r="I16" s="2861">
        <f>SUM(G16:H16)</f>
        <v>630</v>
      </c>
    </row>
    <row r="17" spans="2:9">
      <c r="B17" s="2858"/>
      <c r="C17" s="2859"/>
      <c r="D17" s="2860"/>
      <c r="E17" s="2860"/>
      <c r="F17" s="2860"/>
      <c r="G17" s="2860"/>
      <c r="H17" s="2860"/>
      <c r="I17" s="2861"/>
    </row>
    <row r="18" spans="2:9">
      <c r="B18" s="2858" t="s">
        <v>156</v>
      </c>
      <c r="C18" s="2859">
        <v>16</v>
      </c>
      <c r="D18" s="2860">
        <v>5406</v>
      </c>
      <c r="E18" s="2860">
        <v>6441</v>
      </c>
      <c r="F18" s="2860">
        <f>SUM(D18:E18)</f>
        <v>11847</v>
      </c>
      <c r="G18" s="2860">
        <v>264</v>
      </c>
      <c r="H18" s="2860">
        <v>376</v>
      </c>
      <c r="I18" s="2861">
        <f>SUM(G18:H18)</f>
        <v>640</v>
      </c>
    </row>
    <row r="19" spans="2:9">
      <c r="B19" s="2858"/>
      <c r="C19" s="2859"/>
      <c r="D19" s="2860"/>
      <c r="E19" s="2860"/>
      <c r="F19" s="2860"/>
      <c r="G19" s="2860"/>
      <c r="H19" s="2860"/>
      <c r="I19" s="2861"/>
    </row>
    <row r="20" spans="2:9">
      <c r="B20" s="2858" t="s">
        <v>157</v>
      </c>
      <c r="C20" s="2859">
        <v>18</v>
      </c>
      <c r="D20" s="2860">
        <v>5367</v>
      </c>
      <c r="E20" s="2860">
        <v>7163</v>
      </c>
      <c r="F20" s="2860">
        <f>SUM(D20:E20)</f>
        <v>12530</v>
      </c>
      <c r="G20" s="2860">
        <v>253</v>
      </c>
      <c r="H20" s="2860">
        <v>392</v>
      </c>
      <c r="I20" s="2861">
        <f>SUM(G20:H20)</f>
        <v>645</v>
      </c>
    </row>
    <row r="21" spans="2:9">
      <c r="B21" s="2858"/>
      <c r="C21" s="2859"/>
      <c r="D21" s="2860"/>
      <c r="E21" s="2860"/>
      <c r="F21" s="2860"/>
      <c r="G21" s="2860"/>
      <c r="H21" s="2860"/>
      <c r="I21" s="2861"/>
    </row>
    <row r="22" spans="2:9">
      <c r="B22" s="2858" t="s">
        <v>158</v>
      </c>
      <c r="C22" s="2859">
        <v>18</v>
      </c>
      <c r="D22" s="2860">
        <v>5544</v>
      </c>
      <c r="E22" s="2860">
        <v>7194</v>
      </c>
      <c r="F22" s="2860">
        <f>SUM(D22:E22)</f>
        <v>12738</v>
      </c>
      <c r="G22" s="2860">
        <v>256</v>
      </c>
      <c r="H22" s="2860">
        <v>422</v>
      </c>
      <c r="I22" s="2861">
        <f>SUM(G22:H22)</f>
        <v>678</v>
      </c>
    </row>
    <row r="23" spans="2:9">
      <c r="B23" s="2858"/>
      <c r="C23" s="2859"/>
      <c r="D23" s="2860"/>
      <c r="E23" s="2860"/>
      <c r="F23" s="2860"/>
      <c r="G23" s="2860"/>
      <c r="H23" s="2860"/>
      <c r="I23" s="2861"/>
    </row>
    <row r="24" spans="2:9">
      <c r="B24" s="2858" t="s">
        <v>159</v>
      </c>
      <c r="C24" s="2859">
        <v>18</v>
      </c>
      <c r="D24" s="2860">
        <v>5488</v>
      </c>
      <c r="E24" s="2860">
        <v>7255</v>
      </c>
      <c r="F24" s="2860">
        <f>SUM(D24:E24)</f>
        <v>12743</v>
      </c>
      <c r="G24" s="2860">
        <v>256</v>
      </c>
      <c r="H24" s="2860">
        <v>454</v>
      </c>
      <c r="I24" s="2861">
        <f>SUM(G24:H24)</f>
        <v>710</v>
      </c>
    </row>
    <row r="25" spans="2:9">
      <c r="B25" s="2858"/>
      <c r="C25" s="2859"/>
      <c r="D25" s="2860"/>
      <c r="E25" s="2860"/>
      <c r="F25" s="2860"/>
      <c r="G25" s="2860"/>
      <c r="H25" s="2860"/>
      <c r="I25" s="2861"/>
    </row>
    <row r="26" spans="2:9">
      <c r="B26" s="2858" t="s">
        <v>160</v>
      </c>
      <c r="C26" s="2859">
        <v>18</v>
      </c>
      <c r="D26" s="2860">
        <v>5469</v>
      </c>
      <c r="E26" s="2860">
        <v>7186</v>
      </c>
      <c r="F26" s="2860">
        <f>SUM(D26:E26)</f>
        <v>12655</v>
      </c>
      <c r="G26" s="2860">
        <v>261</v>
      </c>
      <c r="H26" s="2860">
        <v>445</v>
      </c>
      <c r="I26" s="2861">
        <f>SUM(G26:H26)</f>
        <v>706</v>
      </c>
    </row>
    <row r="27" spans="2:9">
      <c r="B27" s="2858"/>
      <c r="C27" s="2859"/>
      <c r="D27" s="2860"/>
      <c r="E27" s="2860"/>
      <c r="F27" s="2860"/>
      <c r="G27" s="2860"/>
      <c r="H27" s="2860"/>
      <c r="I27" s="2861"/>
    </row>
    <row r="28" spans="2:9">
      <c r="B28" s="2858" t="s">
        <v>161</v>
      </c>
      <c r="C28" s="2859">
        <v>19</v>
      </c>
      <c r="D28" s="2860">
        <v>5659</v>
      </c>
      <c r="E28" s="2860">
        <v>7272</v>
      </c>
      <c r="F28" s="2860">
        <f>SUM(D28:E28)</f>
        <v>12931</v>
      </c>
      <c r="G28" s="2860">
        <v>256</v>
      </c>
      <c r="H28" s="2860">
        <v>474</v>
      </c>
      <c r="I28" s="2861">
        <f>SUM(G28:H28)</f>
        <v>730</v>
      </c>
    </row>
    <row r="29" spans="2:9">
      <c r="B29" s="2858"/>
      <c r="C29" s="2859"/>
      <c r="D29" s="2860"/>
      <c r="E29" s="2860"/>
      <c r="F29" s="2860"/>
      <c r="G29" s="2860"/>
      <c r="H29" s="2860"/>
      <c r="I29" s="2861"/>
    </row>
    <row r="30" spans="2:9">
      <c r="B30" s="2858" t="s">
        <v>162</v>
      </c>
      <c r="C30" s="2859">
        <v>19</v>
      </c>
      <c r="D30" s="2860">
        <v>5745</v>
      </c>
      <c r="E30" s="2860">
        <v>7070</v>
      </c>
      <c r="F30" s="2860">
        <f>SUM(D30:E30)</f>
        <v>12815</v>
      </c>
      <c r="G30" s="2860">
        <v>267</v>
      </c>
      <c r="H30" s="2860">
        <v>463</v>
      </c>
      <c r="I30" s="2861">
        <f>SUM(G30:H30)</f>
        <v>730</v>
      </c>
    </row>
    <row r="31" spans="2:9">
      <c r="B31" s="2858"/>
      <c r="C31" s="2859"/>
      <c r="D31" s="2860"/>
      <c r="E31" s="2860"/>
      <c r="F31" s="2860"/>
      <c r="G31" s="2860"/>
      <c r="H31" s="2860"/>
      <c r="I31" s="2861"/>
    </row>
    <row r="32" spans="2:9" ht="33.75">
      <c r="B32" s="2858" t="s">
        <v>163</v>
      </c>
      <c r="C32" s="2859">
        <v>19</v>
      </c>
      <c r="D32" s="2860">
        <v>5800</v>
      </c>
      <c r="E32" s="2860">
        <v>7165</v>
      </c>
      <c r="F32" s="2860">
        <f>SUM(D32:E32)</f>
        <v>12965</v>
      </c>
      <c r="G32" s="2862">
        <v>265</v>
      </c>
      <c r="H32" s="2860">
        <v>473</v>
      </c>
      <c r="I32" s="2861">
        <f>SUM(G32:H32)</f>
        <v>738</v>
      </c>
    </row>
    <row r="33" spans="2:9">
      <c r="B33" s="2858"/>
      <c r="C33" s="2859"/>
      <c r="D33" s="2860"/>
      <c r="E33" s="2860"/>
      <c r="F33" s="2860"/>
      <c r="G33" s="2860"/>
      <c r="H33" s="2860"/>
      <c r="I33" s="2861"/>
    </row>
    <row r="34" spans="2:9">
      <c r="B34" s="2858" t="s">
        <v>164</v>
      </c>
      <c r="C34" s="2859">
        <v>23</v>
      </c>
      <c r="D34" s="2860">
        <v>6854</v>
      </c>
      <c r="E34" s="2860">
        <v>7724</v>
      </c>
      <c r="F34" s="2860">
        <f>SUM(D34:E34)</f>
        <v>14578</v>
      </c>
      <c r="G34" s="2860">
        <v>294</v>
      </c>
      <c r="H34" s="2860">
        <v>561</v>
      </c>
      <c r="I34" s="2861">
        <f>SUM(G34:H34)</f>
        <v>855</v>
      </c>
    </row>
    <row r="35" spans="2:9">
      <c r="B35" s="2858"/>
      <c r="C35" s="2859"/>
      <c r="D35" s="2860"/>
      <c r="E35" s="2860"/>
      <c r="F35" s="2860"/>
      <c r="G35" s="2860"/>
      <c r="H35" s="2860"/>
      <c r="I35" s="2861"/>
    </row>
    <row r="36" spans="2:9">
      <c r="B36" s="2858" t="s">
        <v>165</v>
      </c>
      <c r="C36" s="2859">
        <v>23</v>
      </c>
      <c r="D36" s="2860">
        <v>7588</v>
      </c>
      <c r="E36" s="2860">
        <v>7939</v>
      </c>
      <c r="F36" s="2860">
        <f>SUM(D36:E36)</f>
        <v>15527</v>
      </c>
      <c r="G36" s="2860">
        <v>308</v>
      </c>
      <c r="H36" s="2860">
        <v>616</v>
      </c>
      <c r="I36" s="2861">
        <f>H36+G36</f>
        <v>924</v>
      </c>
    </row>
    <row r="37" spans="2:9">
      <c r="B37" s="2858"/>
      <c r="C37" s="2859"/>
      <c r="D37" s="2860"/>
      <c r="E37" s="2860"/>
      <c r="F37" s="2860"/>
      <c r="G37" s="2860"/>
      <c r="H37" s="2860"/>
      <c r="I37" s="2861"/>
    </row>
    <row r="38" spans="2:9">
      <c r="B38" s="2858" t="s">
        <v>295</v>
      </c>
      <c r="C38" s="2859">
        <v>23</v>
      </c>
      <c r="D38" s="2860">
        <f>(F38-E38)</f>
        <v>6588</v>
      </c>
      <c r="E38" s="2860">
        <v>7990</v>
      </c>
      <c r="F38" s="2860">
        <v>14578</v>
      </c>
      <c r="G38" s="2860">
        <f>(I38-H38)</f>
        <v>309</v>
      </c>
      <c r="H38" s="2860">
        <v>643</v>
      </c>
      <c r="I38" s="2861">
        <v>952</v>
      </c>
    </row>
    <row r="39" spans="2:9">
      <c r="B39" s="2858"/>
      <c r="C39" s="2859"/>
      <c r="D39" s="2860"/>
      <c r="E39" s="2860"/>
      <c r="F39" s="2860"/>
      <c r="G39" s="2860"/>
      <c r="H39" s="2860"/>
      <c r="I39" s="2861"/>
    </row>
    <row r="40" spans="2:9">
      <c r="B40" s="2858" t="s">
        <v>428</v>
      </c>
      <c r="C40" s="2859">
        <v>23</v>
      </c>
      <c r="D40" s="2860">
        <v>7932</v>
      </c>
      <c r="E40" s="2860">
        <v>7723</v>
      </c>
      <c r="F40" s="2860">
        <f>SUM(D40:E40)</f>
        <v>15655</v>
      </c>
      <c r="G40" s="2860">
        <v>302</v>
      </c>
      <c r="H40" s="2860">
        <v>660</v>
      </c>
      <c r="I40" s="2861">
        <f>H40+G40</f>
        <v>962</v>
      </c>
    </row>
    <row r="41" spans="2:9">
      <c r="B41" s="2858"/>
      <c r="C41" s="2859"/>
      <c r="D41" s="2860"/>
      <c r="E41" s="2860"/>
      <c r="F41" s="2860"/>
      <c r="G41" s="2860"/>
      <c r="H41" s="2860"/>
      <c r="I41" s="2861"/>
    </row>
    <row r="42" spans="2:9">
      <c r="B42" s="2858" t="s">
        <v>284</v>
      </c>
      <c r="C42" s="2859">
        <v>23</v>
      </c>
      <c r="D42" s="2860">
        <v>7754</v>
      </c>
      <c r="E42" s="2860">
        <v>7501</v>
      </c>
      <c r="F42" s="2860">
        <f>SUM(D42:E42)</f>
        <v>15255</v>
      </c>
      <c r="G42" s="2860">
        <v>290</v>
      </c>
      <c r="H42" s="2860">
        <v>673</v>
      </c>
      <c r="I42" s="2861">
        <f>H42+G42</f>
        <v>963</v>
      </c>
    </row>
    <row r="43" spans="2:9">
      <c r="B43" s="2858"/>
      <c r="C43" s="2859"/>
      <c r="D43" s="2860"/>
      <c r="E43" s="2860"/>
      <c r="F43" s="2860"/>
      <c r="G43" s="2860"/>
      <c r="H43" s="2860"/>
      <c r="I43" s="2861"/>
    </row>
    <row r="44" spans="2:9">
      <c r="B44" s="2858" t="s">
        <v>478</v>
      </c>
      <c r="C44" s="2859">
        <v>23</v>
      </c>
      <c r="D44" s="2860">
        <v>7249</v>
      </c>
      <c r="E44" s="2860">
        <v>7132</v>
      </c>
      <c r="F44" s="2860">
        <f>SUM(D44:E44)</f>
        <v>14381</v>
      </c>
      <c r="G44" s="2860">
        <v>289</v>
      </c>
      <c r="H44" s="2860">
        <v>679</v>
      </c>
      <c r="I44" s="2861">
        <f>H44+G44</f>
        <v>968</v>
      </c>
    </row>
    <row r="45" spans="2:9">
      <c r="B45" s="2858"/>
      <c r="C45" s="2859"/>
      <c r="D45" s="2860"/>
      <c r="E45" s="2860"/>
      <c r="F45" s="2860"/>
      <c r="G45" s="2860"/>
      <c r="H45" s="2860"/>
      <c r="I45" s="2861"/>
    </row>
    <row r="46" spans="2:9">
      <c r="B46" s="2858" t="s">
        <v>485</v>
      </c>
      <c r="C46" s="2859">
        <v>23</v>
      </c>
      <c r="D46" s="2860">
        <v>6574</v>
      </c>
      <c r="E46" s="2860">
        <v>7132</v>
      </c>
      <c r="F46" s="2860">
        <f>SUM(D46:E46)</f>
        <v>13706</v>
      </c>
      <c r="G46" s="2860">
        <v>284</v>
      </c>
      <c r="H46" s="2860">
        <v>698</v>
      </c>
      <c r="I46" s="2861">
        <f>H46+G46</f>
        <v>982</v>
      </c>
    </row>
    <row r="47" spans="2:9">
      <c r="B47" s="2858"/>
      <c r="C47" s="2859"/>
      <c r="D47" s="2860"/>
      <c r="E47" s="2860"/>
      <c r="F47" s="2860"/>
      <c r="G47" s="2860"/>
      <c r="H47" s="2860"/>
      <c r="I47" s="2861"/>
    </row>
    <row r="48" spans="2:9">
      <c r="B48" s="2858" t="s">
        <v>540</v>
      </c>
      <c r="C48" s="1728">
        <v>23</v>
      </c>
      <c r="D48" s="1729">
        <v>6637</v>
      </c>
      <c r="E48" s="1729">
        <v>6575</v>
      </c>
      <c r="F48" s="2860">
        <f>SUM(D48:E48)</f>
        <v>13212</v>
      </c>
      <c r="G48" s="1729">
        <v>300</v>
      </c>
      <c r="H48" s="1730">
        <v>709</v>
      </c>
      <c r="I48" s="2861">
        <f>H48+G48</f>
        <v>1009</v>
      </c>
    </row>
    <row r="49" spans="1:10">
      <c r="B49" s="2858"/>
      <c r="C49" s="2859"/>
      <c r="D49" s="2860"/>
      <c r="E49" s="2860"/>
      <c r="F49" s="2860"/>
      <c r="G49" s="2860"/>
      <c r="H49" s="2860"/>
      <c r="I49" s="2861"/>
    </row>
    <row r="50" spans="1:10">
      <c r="B50" s="2858" t="s">
        <v>588</v>
      </c>
      <c r="C50" s="2863">
        <v>23</v>
      </c>
      <c r="D50" s="2864">
        <v>6338</v>
      </c>
      <c r="E50" s="2864">
        <v>6382</v>
      </c>
      <c r="F50" s="2860">
        <f>SUM(D50:E50)</f>
        <v>12720</v>
      </c>
      <c r="G50" s="2860">
        <v>297</v>
      </c>
      <c r="H50" s="2860">
        <v>726</v>
      </c>
      <c r="I50" s="2861">
        <f>H50+G50</f>
        <v>1023</v>
      </c>
    </row>
    <row r="51" spans="1:10">
      <c r="B51" s="2858"/>
      <c r="C51" s="2863"/>
      <c r="D51" s="2864"/>
      <c r="E51" s="2864"/>
      <c r="F51" s="2860"/>
      <c r="G51" s="2860"/>
      <c r="H51" s="2860"/>
      <c r="I51" s="2861"/>
    </row>
    <row r="52" spans="1:10">
      <c r="B52" s="2858" t="s">
        <v>610</v>
      </c>
      <c r="C52" s="2863">
        <v>23</v>
      </c>
      <c r="D52" s="2864">
        <v>6089</v>
      </c>
      <c r="E52" s="2864">
        <v>6271</v>
      </c>
      <c r="F52" s="2860">
        <f>SUM(D52:E52)</f>
        <v>12360</v>
      </c>
      <c r="G52" s="2860">
        <v>303</v>
      </c>
      <c r="H52" s="2860">
        <v>722</v>
      </c>
      <c r="I52" s="2861">
        <f>H52+G52</f>
        <v>1025</v>
      </c>
    </row>
    <row r="53" spans="1:10">
      <c r="B53" s="2858"/>
      <c r="C53" s="2863"/>
      <c r="D53" s="2864"/>
      <c r="E53" s="2864"/>
      <c r="F53" s="2860"/>
      <c r="G53" s="2860"/>
      <c r="H53" s="2860"/>
      <c r="I53" s="2861"/>
    </row>
    <row r="54" spans="1:10">
      <c r="B54" s="2858" t="s">
        <v>710</v>
      </c>
      <c r="C54" s="1731">
        <v>23</v>
      </c>
      <c r="D54" s="2864">
        <v>5979</v>
      </c>
      <c r="E54" s="2864">
        <v>5962</v>
      </c>
      <c r="F54" s="2860">
        <v>11941</v>
      </c>
      <c r="G54" s="2864">
        <v>292</v>
      </c>
      <c r="H54" s="2864">
        <v>729</v>
      </c>
      <c r="I54" s="1732">
        <v>1021</v>
      </c>
    </row>
    <row r="55" spans="1:10">
      <c r="B55" s="2858"/>
      <c r="C55" s="2863"/>
      <c r="D55" s="2864"/>
      <c r="E55" s="2864"/>
      <c r="F55" s="2860"/>
      <c r="G55" s="2860"/>
      <c r="H55" s="2860"/>
      <c r="I55" s="1732"/>
    </row>
    <row r="56" spans="1:10">
      <c r="B56" s="1733" t="s">
        <v>750</v>
      </c>
      <c r="C56" s="2859">
        <v>23</v>
      </c>
      <c r="D56" s="2860">
        <v>5710</v>
      </c>
      <c r="E56" s="2860">
        <v>5712</v>
      </c>
      <c r="F56" s="2860">
        <v>11422</v>
      </c>
      <c r="G56" s="2859">
        <v>293</v>
      </c>
      <c r="H56" s="2859">
        <v>713</v>
      </c>
      <c r="I56" s="1732">
        <v>1006</v>
      </c>
    </row>
    <row r="57" spans="1:10">
      <c r="A57" s="1734"/>
      <c r="B57" s="1733"/>
      <c r="C57" s="1735"/>
      <c r="D57" s="1736"/>
      <c r="E57" s="2860"/>
      <c r="F57" s="1730"/>
      <c r="G57" s="1737"/>
      <c r="H57" s="1737"/>
      <c r="I57" s="2861"/>
    </row>
    <row r="58" spans="1:10">
      <c r="A58" s="1734"/>
      <c r="B58" s="1733" t="s">
        <v>786</v>
      </c>
      <c r="C58" s="2859">
        <v>22</v>
      </c>
      <c r="D58" s="2860">
        <v>5611</v>
      </c>
      <c r="E58" s="2860">
        <v>5515</v>
      </c>
      <c r="F58" s="2860">
        <v>11126</v>
      </c>
      <c r="G58" s="1737">
        <v>300</v>
      </c>
      <c r="H58" s="1737">
        <v>702</v>
      </c>
      <c r="I58" s="2861">
        <v>1002</v>
      </c>
    </row>
    <row r="59" spans="1:10">
      <c r="A59" s="1734"/>
      <c r="B59" s="1733"/>
      <c r="C59" s="2859"/>
      <c r="D59" s="2860"/>
      <c r="E59" s="2860"/>
      <c r="F59" s="2860"/>
      <c r="G59" s="2859"/>
      <c r="H59" s="2859"/>
      <c r="I59" s="2861"/>
    </row>
    <row r="60" spans="1:10">
      <c r="A60" s="1734"/>
      <c r="B60" s="1733" t="s">
        <v>852</v>
      </c>
      <c r="C60" s="2859">
        <v>22</v>
      </c>
      <c r="D60" s="2860">
        <v>5477</v>
      </c>
      <c r="E60" s="2860">
        <v>5448</v>
      </c>
      <c r="F60" s="1729">
        <v>10925</v>
      </c>
      <c r="G60" s="1728">
        <v>288</v>
      </c>
      <c r="H60" s="2859">
        <v>729</v>
      </c>
      <c r="I60" s="2861">
        <v>1017</v>
      </c>
    </row>
    <row r="61" spans="1:10">
      <c r="B61" s="1733"/>
      <c r="C61" s="2859"/>
      <c r="D61" s="2860"/>
      <c r="E61" s="2860"/>
      <c r="F61" s="1729"/>
      <c r="G61" s="1735"/>
      <c r="H61" s="1737"/>
      <c r="I61" s="2861"/>
      <c r="J61" s="1738"/>
    </row>
    <row r="62" spans="1:10">
      <c r="B62" s="1733" t="s">
        <v>1032</v>
      </c>
      <c r="C62" s="2859">
        <v>22</v>
      </c>
      <c r="D62" s="1729">
        <v>5376</v>
      </c>
      <c r="E62" s="2860">
        <v>5363</v>
      </c>
      <c r="F62" s="1729">
        <v>10739</v>
      </c>
      <c r="G62" s="2859">
        <v>285</v>
      </c>
      <c r="H62" s="2859">
        <v>736</v>
      </c>
      <c r="I62" s="2861">
        <v>1021</v>
      </c>
    </row>
    <row r="63" spans="1:10">
      <c r="B63" s="1733"/>
      <c r="C63" s="2859"/>
      <c r="D63" s="1729"/>
      <c r="E63" s="2860"/>
      <c r="F63" s="1729"/>
      <c r="G63" s="2859"/>
      <c r="H63" s="2859"/>
      <c r="I63" s="1732"/>
    </row>
    <row r="64" spans="1:10">
      <c r="B64" s="1733" t="s">
        <v>1532</v>
      </c>
      <c r="C64" s="2859">
        <v>22</v>
      </c>
      <c r="D64" s="1729">
        <v>5299</v>
      </c>
      <c r="E64" s="2860">
        <v>5354</v>
      </c>
      <c r="F64" s="1729">
        <v>10653</v>
      </c>
      <c r="G64" s="2859">
        <v>286</v>
      </c>
      <c r="H64" s="2859">
        <v>739</v>
      </c>
      <c r="I64" s="1732">
        <v>1025</v>
      </c>
    </row>
    <row r="65" spans="1:9">
      <c r="B65" s="1733"/>
      <c r="C65" s="2859"/>
      <c r="D65" s="2860"/>
      <c r="E65" s="2860"/>
      <c r="F65" s="2860"/>
      <c r="G65" s="2859"/>
      <c r="H65" s="2859"/>
      <c r="I65" s="1732"/>
    </row>
    <row r="66" spans="1:9" ht="33.4" thickBot="1">
      <c r="A66" s="1734"/>
      <c r="B66" s="1739" t="s">
        <v>1971</v>
      </c>
      <c r="C66" s="2554">
        <v>22</v>
      </c>
      <c r="D66" s="2555">
        <v>5227</v>
      </c>
      <c r="E66" s="2555">
        <v>5335</v>
      </c>
      <c r="F66" s="2555">
        <v>10562</v>
      </c>
      <c r="G66" s="2554">
        <v>288</v>
      </c>
      <c r="H66" s="2554">
        <v>743</v>
      </c>
      <c r="I66" s="2556">
        <v>1031</v>
      </c>
    </row>
    <row r="67" spans="1:9" s="2103" customFormat="1" ht="40.5" customHeight="1">
      <c r="B67" s="451" t="s">
        <v>1530</v>
      </c>
      <c r="C67" s="2104"/>
      <c r="D67" s="2105"/>
      <c r="E67" s="2104"/>
      <c r="F67" s="2106"/>
      <c r="G67" s="2104"/>
      <c r="H67" s="2104"/>
      <c r="I67" s="2104"/>
    </row>
    <row r="68" spans="1:9">
      <c r="C68" s="1740"/>
      <c r="F68" s="299"/>
    </row>
    <row r="69" spans="1:9">
      <c r="F69" s="299"/>
    </row>
    <row r="73" spans="1:9">
      <c r="F73" s="1735"/>
    </row>
    <row r="90" spans="2:2">
      <c r="B90" s="1740" t="s">
        <v>747</v>
      </c>
    </row>
  </sheetData>
  <mergeCells count="3">
    <mergeCell ref="B2:I2"/>
    <mergeCell ref="B3:I3"/>
    <mergeCell ref="B1:I1"/>
  </mergeCells>
  <printOptions horizontalCentered="1" verticalCentered="1"/>
  <pageMargins left="0.25" right="0.25" top="0.75" bottom="0.75" header="0.3" footer="0.3"/>
  <pageSetup scale="33" firstPageNumber="103" orientation="portrait" useFirstPageNumber="1" r:id="rId1"/>
  <headerFooter scaleWithDoc="0" alignWithMargins="0">
    <oddFooter xml:space="preserve">&amp;C162
</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3">
    <tabColor rgb="FF00B0F0"/>
    <pageSetUpPr fitToPage="1"/>
  </sheetPr>
  <dimension ref="B1:AA80"/>
  <sheetViews>
    <sheetView view="pageBreakPreview" topLeftCell="B1" zoomScale="30" zoomScaleNormal="84" zoomScaleSheetLayoutView="30" workbookViewId="0">
      <pane xSplit="10" topLeftCell="L1" activePane="topRight" state="frozen"/>
      <selection activeCell="B44" sqref="B44"/>
      <selection pane="topRight" activeCell="B44" sqref="B44"/>
    </sheetView>
  </sheetViews>
  <sheetFormatPr defaultColWidth="9.46484375" defaultRowHeight="43.15"/>
  <cols>
    <col min="1" max="1" width="0" style="1685" hidden="1" customWidth="1"/>
    <col min="2" max="2" width="99" style="1685" customWidth="1"/>
    <col min="3" max="3" width="0" style="1685" hidden="1" customWidth="1"/>
    <col min="4" max="5" width="10.46484375" style="1685" hidden="1" customWidth="1"/>
    <col min="6" max="7" width="10.46484375" style="1687" hidden="1" customWidth="1"/>
    <col min="8" max="8" width="10" style="1687" hidden="1" customWidth="1"/>
    <col min="9" max="9" width="14.46484375" style="1687" hidden="1" customWidth="1"/>
    <col min="10" max="10" width="5.33203125" style="1687" hidden="1" customWidth="1"/>
    <col min="11" max="11" width="32.6640625" style="1687" hidden="1" customWidth="1"/>
    <col min="12" max="12" width="33.6640625" style="1687" hidden="1" customWidth="1"/>
    <col min="13" max="14" width="33.6640625" style="1687" customWidth="1"/>
    <col min="15" max="20" width="33.6640625" style="1685" customWidth="1"/>
    <col min="21" max="21" width="33.6640625" style="1687" customWidth="1"/>
    <col min="22" max="24" width="33.6640625" style="1685" customWidth="1"/>
    <col min="25" max="25" width="35.6640625" style="1685" customWidth="1"/>
    <col min="26" max="26" width="35.46484375" style="1685" customWidth="1"/>
    <col min="27" max="27" width="32.6640625" style="1685" customWidth="1"/>
    <col min="28" max="16384" width="9.46484375" style="1685"/>
  </cols>
  <sheetData>
    <row r="1" spans="2:27">
      <c r="B1" s="5785" t="s">
        <v>1490</v>
      </c>
      <c r="C1" s="5785"/>
      <c r="D1" s="5785"/>
      <c r="E1" s="5785"/>
      <c r="F1" s="5785"/>
      <c r="G1" s="5785"/>
      <c r="H1" s="5785"/>
      <c r="I1" s="5785"/>
      <c r="J1" s="5785"/>
      <c r="K1" s="5785"/>
      <c r="L1" s="5785"/>
      <c r="M1" s="5785"/>
      <c r="N1" s="5785"/>
      <c r="O1" s="5785"/>
      <c r="P1" s="5785"/>
      <c r="Q1" s="5785"/>
      <c r="R1" s="5785"/>
      <c r="S1" s="5785"/>
      <c r="T1" s="5785"/>
      <c r="U1" s="5785"/>
      <c r="V1" s="5785"/>
      <c r="W1" s="5785"/>
      <c r="X1" s="5785"/>
      <c r="Y1" s="5785"/>
      <c r="Z1" s="5785"/>
      <c r="AA1" s="5785"/>
    </row>
    <row r="2" spans="2:27">
      <c r="B2" s="5785" t="s">
        <v>705</v>
      </c>
      <c r="C2" s="5785"/>
      <c r="D2" s="5785"/>
      <c r="E2" s="5785"/>
      <c r="F2" s="5785"/>
      <c r="G2" s="5785"/>
      <c r="H2" s="5785"/>
      <c r="I2" s="5785"/>
      <c r="J2" s="5785"/>
      <c r="K2" s="5785"/>
      <c r="L2" s="5785"/>
      <c r="M2" s="5785"/>
      <c r="N2" s="5785"/>
      <c r="O2" s="5785"/>
      <c r="P2" s="5785"/>
      <c r="Q2" s="5785"/>
      <c r="R2" s="5785"/>
      <c r="S2" s="5785"/>
      <c r="T2" s="5785"/>
      <c r="U2" s="5785"/>
      <c r="V2" s="5785"/>
      <c r="W2" s="5785"/>
      <c r="X2" s="5785"/>
      <c r="Y2" s="5785"/>
      <c r="Z2" s="5785"/>
      <c r="AA2" s="5785"/>
    </row>
    <row r="3" spans="2:27" ht="43.5" thickBot="1"/>
    <row r="4" spans="2:27" ht="43.5" thickBot="1">
      <c r="B4" s="5956" t="s">
        <v>166</v>
      </c>
      <c r="C4" s="5957"/>
      <c r="D4" s="5957"/>
      <c r="E4" s="5957"/>
      <c r="F4" s="5957"/>
      <c r="G4" s="5957"/>
      <c r="H4" s="5957"/>
      <c r="I4" s="5957"/>
      <c r="J4" s="5957"/>
      <c r="K4" s="5957"/>
      <c r="L4" s="5957"/>
      <c r="M4" s="5957"/>
      <c r="N4" s="5957"/>
      <c r="O4" s="5957"/>
      <c r="P4" s="5957"/>
      <c r="Q4" s="5957"/>
      <c r="R4" s="5957"/>
      <c r="S4" s="5957"/>
      <c r="T4" s="5957"/>
      <c r="U4" s="5957"/>
      <c r="V4" s="5957"/>
      <c r="W4" s="5957"/>
      <c r="X4" s="5957"/>
      <c r="Y4" s="5957"/>
      <c r="Z4" s="5958"/>
      <c r="AA4" s="3028"/>
    </row>
    <row r="5" spans="2:27" ht="43.5" thickBot="1">
      <c r="B5" s="1743"/>
      <c r="C5" s="2310"/>
      <c r="D5" s="2311">
        <v>2001</v>
      </c>
      <c r="E5" s="2311">
        <v>2002</v>
      </c>
      <c r="F5" s="2312">
        <v>2003</v>
      </c>
      <c r="G5" s="2312">
        <v>2004</v>
      </c>
      <c r="H5" s="2312">
        <v>2005</v>
      </c>
      <c r="I5" s="2312">
        <v>2006</v>
      </c>
      <c r="J5" s="2312"/>
      <c r="K5" s="2312">
        <v>2007</v>
      </c>
      <c r="L5" s="2312">
        <v>2008</v>
      </c>
      <c r="M5" s="2312">
        <v>2009</v>
      </c>
      <c r="N5" s="2313">
        <v>2010</v>
      </c>
      <c r="O5" s="2312">
        <v>2011</v>
      </c>
      <c r="P5" s="2314">
        <v>2012</v>
      </c>
      <c r="Q5" s="2312">
        <v>2013</v>
      </c>
      <c r="R5" s="2313">
        <v>2014</v>
      </c>
      <c r="S5" s="2313" t="s">
        <v>1524</v>
      </c>
      <c r="T5" s="2313">
        <v>2016</v>
      </c>
      <c r="U5" s="2312">
        <v>2017</v>
      </c>
      <c r="V5" s="2312">
        <v>2018</v>
      </c>
      <c r="W5" s="2312">
        <v>2019</v>
      </c>
      <c r="X5" s="2315">
        <v>2020</v>
      </c>
      <c r="Y5" s="2829">
        <v>2021</v>
      </c>
      <c r="Z5" s="2829">
        <v>2022</v>
      </c>
      <c r="AA5" s="2954">
        <v>2023</v>
      </c>
    </row>
    <row r="6" spans="2:27" ht="89.75" customHeight="1">
      <c r="B6" s="1753" t="s">
        <v>430</v>
      </c>
      <c r="D6" s="2835">
        <v>72.069999999999993</v>
      </c>
      <c r="E6" s="2835">
        <v>75.3</v>
      </c>
      <c r="F6" s="2835">
        <v>81.3</v>
      </c>
      <c r="G6" s="2835">
        <v>79.760000000000005</v>
      </c>
      <c r="H6" s="2835">
        <v>79.31</v>
      </c>
      <c r="I6" s="2841">
        <v>80.41</v>
      </c>
      <c r="J6" s="2841"/>
      <c r="K6" s="2841">
        <v>81.72</v>
      </c>
      <c r="L6" s="2844">
        <v>84.36</v>
      </c>
      <c r="M6" s="2844">
        <v>79.959999999999994</v>
      </c>
      <c r="N6" s="2842">
        <v>78.37</v>
      </c>
      <c r="O6" s="2841">
        <v>72.02</v>
      </c>
      <c r="P6" s="1741">
        <v>97.6</v>
      </c>
      <c r="Q6" s="2841">
        <v>74.099999999999994</v>
      </c>
      <c r="R6" s="2844">
        <v>78.31</v>
      </c>
      <c r="S6" s="2842">
        <v>95.9</v>
      </c>
      <c r="T6" s="2842">
        <v>93.6</v>
      </c>
      <c r="U6" s="2841">
        <v>95.3</v>
      </c>
      <c r="V6" s="2844">
        <v>96.77</v>
      </c>
      <c r="W6" s="2844">
        <v>96.75</v>
      </c>
      <c r="X6" s="2845">
        <v>96.9</v>
      </c>
      <c r="Y6" s="5959" t="s">
        <v>1525</v>
      </c>
      <c r="Z6" s="2844">
        <v>92.84</v>
      </c>
      <c r="AA6" s="4745">
        <v>78.290000000000006</v>
      </c>
    </row>
    <row r="7" spans="2:27" ht="50" customHeight="1">
      <c r="B7" s="1751"/>
      <c r="C7" s="1685" t="s">
        <v>167</v>
      </c>
      <c r="D7" s="2835"/>
      <c r="E7" s="2835"/>
      <c r="F7" s="2835"/>
      <c r="G7" s="2835"/>
      <c r="H7" s="2835"/>
      <c r="I7" s="2841"/>
      <c r="J7" s="2841"/>
      <c r="K7" s="2841"/>
      <c r="L7" s="2841"/>
      <c r="M7" s="2841"/>
      <c r="N7" s="2841"/>
      <c r="O7" s="2841"/>
      <c r="P7" s="1741"/>
      <c r="Q7" s="2841"/>
      <c r="R7" s="2841"/>
      <c r="S7" s="2842"/>
      <c r="T7" s="2842"/>
      <c r="U7" s="2841"/>
      <c r="V7" s="2841"/>
      <c r="W7" s="2841"/>
      <c r="X7" s="1742"/>
      <c r="Y7" s="5960"/>
      <c r="Z7" s="2841"/>
      <c r="AA7" s="4746"/>
    </row>
    <row r="8" spans="2:27" ht="75.5" customHeight="1">
      <c r="B8" s="1753" t="s">
        <v>1070</v>
      </c>
      <c r="D8" s="2835">
        <v>59.38</v>
      </c>
      <c r="E8" s="2835">
        <v>76.87</v>
      </c>
      <c r="F8" s="2835">
        <v>70.760000000000005</v>
      </c>
      <c r="G8" s="2835">
        <v>65.8</v>
      </c>
      <c r="H8" s="2835">
        <v>69.5</v>
      </c>
      <c r="I8" s="2841">
        <v>83.14</v>
      </c>
      <c r="J8" s="2841"/>
      <c r="K8" s="2841">
        <v>67.52</v>
      </c>
      <c r="L8" s="2841">
        <v>66.12</v>
      </c>
      <c r="M8" s="2841">
        <v>61.7</v>
      </c>
      <c r="N8" s="2841">
        <v>79.17</v>
      </c>
      <c r="O8" s="2841">
        <v>74.34</v>
      </c>
      <c r="P8" s="1741">
        <v>79.87</v>
      </c>
      <c r="Q8" s="2841">
        <v>84.2</v>
      </c>
      <c r="R8" s="2841">
        <v>82.63</v>
      </c>
      <c r="S8" s="2842">
        <v>93.1</v>
      </c>
      <c r="T8" s="2842">
        <v>89.7</v>
      </c>
      <c r="U8" s="2841">
        <v>93.5</v>
      </c>
      <c r="V8" s="2841">
        <v>97.4</v>
      </c>
      <c r="W8" s="2841">
        <v>97.4</v>
      </c>
      <c r="X8" s="1742">
        <v>95.4</v>
      </c>
      <c r="Y8" s="5960"/>
      <c r="Z8" s="2841">
        <v>95.1</v>
      </c>
      <c r="AA8" s="4746">
        <v>80.290000000000006</v>
      </c>
    </row>
    <row r="9" spans="2:27" ht="43.5" thickBot="1">
      <c r="B9" s="1743"/>
      <c r="C9" s="2310" t="s">
        <v>168</v>
      </c>
      <c r="D9" s="1744"/>
      <c r="E9" s="1744"/>
      <c r="F9" s="1744"/>
      <c r="G9" s="1744"/>
      <c r="H9" s="1744"/>
      <c r="I9" s="1744"/>
      <c r="J9" s="1744"/>
      <c r="K9" s="1744"/>
      <c r="L9" s="1744"/>
      <c r="M9" s="1744"/>
      <c r="N9" s="1744"/>
      <c r="O9" s="1744"/>
      <c r="P9" s="2846"/>
      <c r="Q9" s="2847"/>
      <c r="R9" s="2847"/>
      <c r="S9" s="2848"/>
      <c r="T9" s="2848"/>
      <c r="U9" s="2311"/>
      <c r="V9" s="1744"/>
      <c r="W9" s="1745"/>
      <c r="X9" s="1746"/>
      <c r="Y9" s="5961"/>
      <c r="Z9" s="3029"/>
      <c r="AA9" s="4697"/>
    </row>
    <row r="10" spans="2:27" s="1747" customFormat="1" ht="43.9">
      <c r="B10" s="1747" t="s">
        <v>1530</v>
      </c>
      <c r="F10" s="1748"/>
      <c r="G10" s="1748"/>
      <c r="H10" s="1748"/>
      <c r="I10" s="1748"/>
      <c r="J10" s="1748"/>
      <c r="K10" s="1748"/>
      <c r="L10" s="1748"/>
      <c r="M10" s="1748"/>
      <c r="N10" s="1748"/>
      <c r="U10" s="1748"/>
      <c r="V10" s="1749"/>
    </row>
    <row r="11" spans="2:27" s="1747" customFormat="1" ht="43.9">
      <c r="B11" s="1747" t="s">
        <v>706</v>
      </c>
      <c r="F11" s="1748"/>
      <c r="G11" s="1748"/>
      <c r="H11" s="1748"/>
      <c r="I11" s="1748"/>
      <c r="J11" s="1748"/>
      <c r="K11" s="5955" t="s">
        <v>1526</v>
      </c>
      <c r="L11" s="5955"/>
      <c r="M11" s="5955"/>
      <c r="N11" s="5955"/>
      <c r="O11" s="5955"/>
      <c r="P11" s="5955"/>
      <c r="Q11" s="5955"/>
      <c r="R11" s="5955"/>
      <c r="S11" s="5955"/>
      <c r="T11" s="5955"/>
      <c r="U11" s="5955"/>
      <c r="V11" s="5955"/>
      <c r="W11" s="5955"/>
      <c r="X11" s="5955"/>
      <c r="Y11" s="5955"/>
      <c r="Z11" s="2553"/>
    </row>
    <row r="12" spans="2:27" s="1747" customFormat="1" ht="43.9">
      <c r="F12" s="1748"/>
      <c r="G12" s="1748"/>
      <c r="H12" s="1748"/>
      <c r="I12" s="1748"/>
      <c r="J12" s="1748"/>
      <c r="K12" s="1748"/>
      <c r="L12" s="1748"/>
      <c r="M12" s="1748"/>
      <c r="N12" s="1748"/>
      <c r="U12" s="1748"/>
    </row>
    <row r="13" spans="2:27">
      <c r="B13" s="5785" t="s">
        <v>1053</v>
      </c>
      <c r="C13" s="5785"/>
      <c r="D13" s="5785"/>
      <c r="E13" s="5785"/>
      <c r="F13" s="5785"/>
      <c r="G13" s="5785"/>
      <c r="H13" s="5785"/>
      <c r="I13" s="5785"/>
      <c r="J13" s="5785"/>
      <c r="K13" s="5785"/>
      <c r="L13" s="5785"/>
      <c r="M13" s="5785"/>
      <c r="N13" s="5785"/>
      <c r="O13" s="5785"/>
      <c r="P13" s="5785"/>
      <c r="Q13" s="5785"/>
      <c r="R13" s="5785"/>
      <c r="S13" s="5785"/>
      <c r="T13" s="5785"/>
      <c r="U13" s="5785"/>
      <c r="V13" s="5785"/>
      <c r="W13" s="5785"/>
      <c r="X13" s="5785"/>
      <c r="Y13" s="5785"/>
      <c r="Z13" s="5785"/>
      <c r="AA13" s="5785"/>
    </row>
    <row r="14" spans="2:27">
      <c r="B14" s="5785" t="s">
        <v>1498</v>
      </c>
      <c r="C14" s="5785"/>
      <c r="D14" s="5785"/>
      <c r="E14" s="5785"/>
      <c r="F14" s="5785"/>
      <c r="G14" s="5785"/>
      <c r="H14" s="5785"/>
      <c r="I14" s="5785"/>
      <c r="J14" s="5785"/>
      <c r="K14" s="5785"/>
      <c r="L14" s="5785"/>
      <c r="M14" s="5785"/>
      <c r="N14" s="5785"/>
      <c r="O14" s="5785"/>
      <c r="P14" s="5785"/>
      <c r="Q14" s="5785"/>
      <c r="R14" s="5785"/>
      <c r="S14" s="5785"/>
      <c r="T14" s="5785"/>
      <c r="U14" s="5785"/>
      <c r="V14" s="5785"/>
      <c r="W14" s="5785"/>
      <c r="X14" s="5785"/>
      <c r="Y14" s="5785"/>
      <c r="Z14" s="5785"/>
      <c r="AA14" s="5785"/>
    </row>
    <row r="15" spans="2:27" ht="44" customHeight="1">
      <c r="B15" s="5785" t="s">
        <v>513</v>
      </c>
      <c r="C15" s="5785"/>
      <c r="D15" s="5785"/>
      <c r="E15" s="5785"/>
      <c r="F15" s="5785"/>
      <c r="G15" s="5785"/>
      <c r="H15" s="5785"/>
      <c r="I15" s="5785"/>
      <c r="J15" s="5785"/>
      <c r="K15" s="5785"/>
      <c r="L15" s="5785"/>
      <c r="M15" s="5785"/>
      <c r="N15" s="5785"/>
      <c r="O15" s="5785"/>
      <c r="P15" s="5785"/>
      <c r="Q15" s="5785"/>
      <c r="R15" s="5785"/>
      <c r="S15" s="5785"/>
      <c r="T15" s="5785"/>
      <c r="U15" s="5785"/>
      <c r="V15" s="5785"/>
      <c r="W15" s="5785"/>
      <c r="X15" s="5785"/>
      <c r="Y15" s="5785"/>
      <c r="Z15" s="5785"/>
      <c r="AA15" s="5785"/>
    </row>
    <row r="16" spans="2:27" ht="43.5" thickBot="1">
      <c r="B16" s="1750"/>
      <c r="C16" s="1750"/>
      <c r="D16" s="1750"/>
      <c r="E16" s="1750"/>
      <c r="F16" s="1686"/>
      <c r="G16" s="1686"/>
      <c r="H16" s="1686"/>
      <c r="I16" s="1686"/>
      <c r="J16" s="1686"/>
      <c r="K16" s="1686"/>
      <c r="L16" s="1686"/>
    </row>
    <row r="17" spans="2:27" ht="86.75" customHeight="1" thickBot="1">
      <c r="B17" s="4847" t="s">
        <v>512</v>
      </c>
      <c r="C17" s="2072"/>
      <c r="D17" s="5153" t="s">
        <v>158</v>
      </c>
      <c r="E17" s="5153" t="s">
        <v>159</v>
      </c>
      <c r="F17" s="5154" t="s">
        <v>160</v>
      </c>
      <c r="G17" s="5154" t="s">
        <v>161</v>
      </c>
      <c r="H17" s="5154" t="s">
        <v>162</v>
      </c>
      <c r="I17" s="5154" t="s">
        <v>163</v>
      </c>
      <c r="J17" s="5154" t="s">
        <v>164</v>
      </c>
      <c r="K17" s="5154" t="s">
        <v>165</v>
      </c>
      <c r="L17" s="5155" t="s">
        <v>295</v>
      </c>
      <c r="M17" s="2557" t="s">
        <v>428</v>
      </c>
      <c r="N17" s="5156" t="s">
        <v>284</v>
      </c>
      <c r="O17" s="5156" t="s">
        <v>478</v>
      </c>
      <c r="P17" s="5155" t="s">
        <v>485</v>
      </c>
      <c r="Q17" s="5156" t="s">
        <v>540</v>
      </c>
      <c r="R17" s="5156" t="s">
        <v>588</v>
      </c>
      <c r="S17" s="5155" t="s">
        <v>610</v>
      </c>
      <c r="T17" s="5155" t="s">
        <v>710</v>
      </c>
      <c r="U17" s="5155" t="s">
        <v>750</v>
      </c>
      <c r="V17" s="5155" t="s">
        <v>786</v>
      </c>
      <c r="W17" s="5155" t="s">
        <v>852</v>
      </c>
      <c r="X17" s="5155" t="s">
        <v>1032</v>
      </c>
      <c r="Y17" s="5157" t="s">
        <v>1532</v>
      </c>
      <c r="Z17" s="5158" t="s">
        <v>1972</v>
      </c>
      <c r="AA17" s="5152"/>
    </row>
    <row r="18" spans="2:27" ht="20.75" customHeight="1">
      <c r="B18" s="4848"/>
      <c r="C18" s="1752"/>
      <c r="D18" s="2830"/>
      <c r="E18" s="2830"/>
      <c r="F18" s="2831"/>
      <c r="G18" s="2831"/>
      <c r="H18" s="2831"/>
      <c r="I18" s="2831"/>
      <c r="J18" s="2831"/>
      <c r="K18" s="2831"/>
      <c r="L18" s="2831"/>
      <c r="M18" s="2832"/>
      <c r="N18" s="5159"/>
      <c r="O18" s="5159"/>
      <c r="P18" s="2831"/>
      <c r="Q18" s="5159"/>
      <c r="R18" s="5159"/>
      <c r="S18" s="2832"/>
      <c r="T18" s="2832"/>
      <c r="U18" s="2831"/>
      <c r="V18" s="2831"/>
      <c r="W18" s="2831"/>
      <c r="X18" s="2831"/>
      <c r="Y18" s="2833"/>
      <c r="Z18" s="5160"/>
    </row>
    <row r="19" spans="2:27">
      <c r="B19" s="4848" t="s">
        <v>1497</v>
      </c>
      <c r="C19" s="1752"/>
      <c r="D19" s="2834"/>
      <c r="E19" s="2834"/>
      <c r="F19" s="2835"/>
      <c r="G19" s="2835"/>
      <c r="H19" s="2836"/>
      <c r="I19" s="2835"/>
      <c r="J19" s="2835"/>
      <c r="K19" s="2837">
        <v>124.28</v>
      </c>
      <c r="L19" s="2837">
        <v>134.69999999999999</v>
      </c>
      <c r="M19" s="2837">
        <v>145.04</v>
      </c>
      <c r="N19" s="5150">
        <v>154.75</v>
      </c>
      <c r="O19" s="5150">
        <v>161.01</v>
      </c>
      <c r="P19" s="2838">
        <v>160.92000000000004</v>
      </c>
      <c r="Q19" s="5161">
        <v>165.63</v>
      </c>
      <c r="R19" s="5161">
        <v>159.5</v>
      </c>
      <c r="S19" s="2839">
        <v>169.96</v>
      </c>
      <c r="T19" s="2839">
        <v>172.52000100000001</v>
      </c>
      <c r="U19" s="2838">
        <v>177.14000000000001</v>
      </c>
      <c r="V19" s="2837">
        <v>192.3</v>
      </c>
      <c r="W19" s="2837">
        <v>205.4</v>
      </c>
      <c r="X19" s="2837">
        <v>201.2</v>
      </c>
      <c r="Y19" s="2837">
        <v>215.98899999999998</v>
      </c>
      <c r="Z19" s="5162">
        <v>217.339</v>
      </c>
      <c r="AA19" s="2071"/>
    </row>
    <row r="20" spans="2:27">
      <c r="B20" s="4849" t="s">
        <v>50</v>
      </c>
      <c r="C20" s="1752"/>
      <c r="D20" s="2834"/>
      <c r="E20" s="2834"/>
      <c r="F20" s="2835"/>
      <c r="G20" s="2835"/>
      <c r="H20" s="2836"/>
      <c r="I20" s="2835"/>
      <c r="J20" s="2835"/>
      <c r="K20" s="2835"/>
      <c r="L20" s="2835"/>
      <c r="M20" s="2835"/>
      <c r="N20" s="5163"/>
      <c r="O20" s="5163"/>
      <c r="P20" s="2834"/>
      <c r="Q20" s="5164"/>
      <c r="R20" s="5165"/>
      <c r="S20" s="2840"/>
      <c r="T20" s="2840"/>
      <c r="U20" s="2834"/>
      <c r="V20" s="2841"/>
      <c r="W20" s="2841"/>
      <c r="X20" s="2841"/>
      <c r="Y20" s="2841"/>
      <c r="Z20" s="3246"/>
    </row>
    <row r="21" spans="2:27">
      <c r="B21" s="1751" t="s">
        <v>1499</v>
      </c>
      <c r="C21" s="1752"/>
      <c r="D21" s="2835">
        <v>0.36</v>
      </c>
      <c r="E21" s="2835">
        <v>0.27</v>
      </c>
      <c r="F21" s="2835">
        <v>0.36</v>
      </c>
      <c r="G21" s="2835">
        <v>0.45</v>
      </c>
      <c r="H21" s="2835">
        <v>0.45</v>
      </c>
      <c r="I21" s="2841">
        <v>0.53</v>
      </c>
      <c r="J21" s="2841">
        <v>1.91</v>
      </c>
      <c r="K21" s="2841">
        <v>1.82</v>
      </c>
      <c r="L21" s="2841">
        <v>1.83</v>
      </c>
      <c r="M21" s="2841">
        <v>2.2200000000000002</v>
      </c>
      <c r="N21" s="5151">
        <v>2.21</v>
      </c>
      <c r="O21" s="5151">
        <v>2.2799999999999998</v>
      </c>
      <c r="P21" s="2841">
        <v>2.54</v>
      </c>
      <c r="Q21" s="5151">
        <v>2.6</v>
      </c>
      <c r="R21" s="5151">
        <v>2.58</v>
      </c>
      <c r="S21" s="2843">
        <v>2.62</v>
      </c>
      <c r="T21" s="2843">
        <v>2.6030570000000002</v>
      </c>
      <c r="U21" s="2841">
        <v>2.6</v>
      </c>
      <c r="V21" s="2841">
        <v>2.3439999999999999</v>
      </c>
      <c r="W21" s="2841">
        <v>2.613</v>
      </c>
      <c r="X21" s="2841">
        <v>2.052</v>
      </c>
      <c r="Y21" s="2841">
        <v>3.2530000000000001</v>
      </c>
      <c r="Z21" s="3246">
        <v>2.8</v>
      </c>
      <c r="AA21" s="1741"/>
    </row>
    <row r="22" spans="2:27">
      <c r="B22" s="1751"/>
      <c r="C22" s="1752"/>
      <c r="D22" s="2835"/>
      <c r="E22" s="2835"/>
      <c r="F22" s="2835"/>
      <c r="G22" s="2835"/>
      <c r="H22" s="2835"/>
      <c r="I22" s="2841"/>
      <c r="J22" s="2841"/>
      <c r="K22" s="2841"/>
      <c r="L22" s="2841"/>
      <c r="M22" s="2841"/>
      <c r="N22" s="5151"/>
      <c r="O22" s="5151"/>
      <c r="P22" s="2841"/>
      <c r="Q22" s="5151"/>
      <c r="R22" s="5151"/>
      <c r="S22" s="2843"/>
      <c r="T22" s="2843"/>
      <c r="U22" s="2841"/>
      <c r="V22" s="2841"/>
      <c r="W22" s="2841"/>
      <c r="X22" s="2841"/>
      <c r="Y22" s="2841"/>
      <c r="Z22" s="3246"/>
      <c r="AA22" s="1741"/>
    </row>
    <row r="23" spans="2:27">
      <c r="B23" s="1751" t="s">
        <v>1500</v>
      </c>
      <c r="C23" s="1752"/>
      <c r="D23" s="2835">
        <v>1.45</v>
      </c>
      <c r="E23" s="2835">
        <v>1.35</v>
      </c>
      <c r="F23" s="2835">
        <v>1.49</v>
      </c>
      <c r="G23" s="2835">
        <v>1.52</v>
      </c>
      <c r="H23" s="2835">
        <v>1.65</v>
      </c>
      <c r="I23" s="2841">
        <v>1.64</v>
      </c>
      <c r="J23" s="2841">
        <v>1.79</v>
      </c>
      <c r="K23" s="2841">
        <v>1.83</v>
      </c>
      <c r="L23" s="2841">
        <v>2.2599999999999998</v>
      </c>
      <c r="M23" s="2841">
        <v>2.4700000000000002</v>
      </c>
      <c r="N23" s="5151">
        <v>2.93</v>
      </c>
      <c r="O23" s="5151">
        <v>3.4</v>
      </c>
      <c r="P23" s="2841">
        <v>2.86</v>
      </c>
      <c r="Q23" s="5151">
        <v>2.95</v>
      </c>
      <c r="R23" s="5151">
        <v>2.91</v>
      </c>
      <c r="S23" s="2843">
        <v>3.17</v>
      </c>
      <c r="T23" s="2843">
        <v>3.1661009999999998</v>
      </c>
      <c r="U23" s="2841">
        <v>3.38</v>
      </c>
      <c r="V23" s="2841">
        <v>3.649</v>
      </c>
      <c r="W23" s="2841">
        <v>3.9590000000000001</v>
      </c>
      <c r="X23" s="2841">
        <v>4.798</v>
      </c>
      <c r="Y23" s="2841">
        <v>4.8129999999999997</v>
      </c>
      <c r="Z23" s="3246">
        <v>4.8600000000000003</v>
      </c>
      <c r="AA23" s="1741"/>
    </row>
    <row r="24" spans="2:27">
      <c r="B24" s="1751"/>
      <c r="C24" s="1752"/>
      <c r="D24" s="2835"/>
      <c r="E24" s="2835"/>
      <c r="F24" s="2835"/>
      <c r="G24" s="2835"/>
      <c r="H24" s="2835"/>
      <c r="I24" s="2841"/>
      <c r="J24" s="2841"/>
      <c r="K24" s="2841"/>
      <c r="L24" s="2841"/>
      <c r="M24" s="2841"/>
      <c r="N24" s="5151"/>
      <c r="O24" s="5151"/>
      <c r="P24" s="2841"/>
      <c r="Q24" s="5151"/>
      <c r="R24" s="5151"/>
      <c r="S24" s="2843"/>
      <c r="T24" s="2843"/>
      <c r="U24" s="2841"/>
      <c r="V24" s="2841"/>
      <c r="W24" s="2841"/>
      <c r="X24" s="2841"/>
      <c r="Y24" s="2841"/>
      <c r="Z24" s="3246"/>
      <c r="AA24" s="1741"/>
    </row>
    <row r="25" spans="2:27">
      <c r="B25" s="1751" t="s">
        <v>1501</v>
      </c>
      <c r="C25" s="1752"/>
      <c r="D25" s="2835">
        <v>43.32</v>
      </c>
      <c r="E25" s="2835">
        <v>45.96</v>
      </c>
      <c r="F25" s="2835">
        <v>45.28</v>
      </c>
      <c r="G25" s="2835">
        <v>44.4</v>
      </c>
      <c r="H25" s="2835">
        <v>46.2</v>
      </c>
      <c r="I25" s="2841">
        <v>46.12</v>
      </c>
      <c r="J25" s="2841">
        <v>49.59</v>
      </c>
      <c r="K25" s="2841">
        <v>49.39</v>
      </c>
      <c r="L25" s="2841">
        <v>49.46</v>
      </c>
      <c r="M25" s="2841">
        <v>53.81</v>
      </c>
      <c r="N25" s="5151">
        <v>54.78</v>
      </c>
      <c r="O25" s="5151">
        <v>57.12</v>
      </c>
      <c r="P25" s="2841">
        <v>57.31</v>
      </c>
      <c r="Q25" s="5151">
        <v>58.08</v>
      </c>
      <c r="R25" s="5151">
        <v>56.68</v>
      </c>
      <c r="S25" s="2843">
        <v>61.91</v>
      </c>
      <c r="T25" s="2843">
        <v>62.166026000000002</v>
      </c>
      <c r="U25" s="2841">
        <v>63.16</v>
      </c>
      <c r="V25" s="2841">
        <v>62.695</v>
      </c>
      <c r="W25" s="2841">
        <v>63.356000000000002</v>
      </c>
      <c r="X25" s="2841">
        <v>63.831000000000003</v>
      </c>
      <c r="Y25" s="2841">
        <v>64.088999999999999</v>
      </c>
      <c r="Z25" s="3246">
        <v>65.152000000000001</v>
      </c>
      <c r="AA25" s="1741"/>
    </row>
    <row r="26" spans="2:27">
      <c r="B26" s="1751"/>
      <c r="C26" s="1752"/>
      <c r="D26" s="2835"/>
      <c r="E26" s="2835"/>
      <c r="F26" s="2835"/>
      <c r="G26" s="2835"/>
      <c r="H26" s="2835"/>
      <c r="I26" s="2841"/>
      <c r="J26" s="2841"/>
      <c r="K26" s="2841"/>
      <c r="L26" s="2841"/>
      <c r="M26" s="2841"/>
      <c r="N26" s="5151"/>
      <c r="O26" s="5151"/>
      <c r="P26" s="2841"/>
      <c r="Q26" s="5151"/>
      <c r="R26" s="5151"/>
      <c r="S26" s="2843"/>
      <c r="T26" s="2843"/>
      <c r="U26" s="2841"/>
      <c r="V26" s="2841"/>
      <c r="W26" s="2841"/>
      <c r="X26" s="2841"/>
      <c r="Y26" s="2841"/>
      <c r="Z26" s="3246"/>
      <c r="AA26" s="1741"/>
    </row>
    <row r="27" spans="2:27">
      <c r="B27" s="1751" t="s">
        <v>1502</v>
      </c>
      <c r="C27" s="1752"/>
      <c r="D27" s="2835">
        <v>28.41</v>
      </c>
      <c r="E27" s="2835">
        <v>30.44</v>
      </c>
      <c r="F27" s="2835">
        <v>32.29</v>
      </c>
      <c r="G27" s="2835">
        <v>32.130000000000003</v>
      </c>
      <c r="H27" s="2835">
        <v>34.29</v>
      </c>
      <c r="I27" s="2841">
        <v>35.81</v>
      </c>
      <c r="J27" s="2841">
        <v>39.25</v>
      </c>
      <c r="K27" s="2841">
        <v>43.77</v>
      </c>
      <c r="L27" s="2841">
        <v>50.66</v>
      </c>
      <c r="M27" s="2841">
        <v>56.11</v>
      </c>
      <c r="N27" s="5151">
        <v>61.03</v>
      </c>
      <c r="O27" s="5151">
        <v>64.92</v>
      </c>
      <c r="P27" s="2841">
        <v>65.11</v>
      </c>
      <c r="Q27" s="5151">
        <v>68.36</v>
      </c>
      <c r="R27" s="5151">
        <v>65.25</v>
      </c>
      <c r="S27" s="2843">
        <v>68.349999999999994</v>
      </c>
      <c r="T27" s="2843">
        <v>70.280962000000002</v>
      </c>
      <c r="U27" s="2841">
        <v>72.58</v>
      </c>
      <c r="V27" s="2841">
        <v>71.194999999999993</v>
      </c>
      <c r="W27" s="2841">
        <v>71.888999999999996</v>
      </c>
      <c r="X27" s="2841">
        <v>73.804000000000002</v>
      </c>
      <c r="Y27" s="2841">
        <v>76.980999999999995</v>
      </c>
      <c r="Z27" s="3246">
        <v>81.691999999999993</v>
      </c>
      <c r="AA27" s="1741"/>
    </row>
    <row r="28" spans="2:27">
      <c r="B28" s="1751"/>
      <c r="C28" s="1752"/>
      <c r="D28" s="2835"/>
      <c r="E28" s="2835"/>
      <c r="F28" s="2835"/>
      <c r="G28" s="2835"/>
      <c r="H28" s="2835"/>
      <c r="I28" s="2841"/>
      <c r="J28" s="2841"/>
      <c r="K28" s="2841"/>
      <c r="L28" s="2841"/>
      <c r="M28" s="2841"/>
      <c r="N28" s="5151"/>
      <c r="O28" s="5151"/>
      <c r="P28" s="2841"/>
      <c r="Q28" s="5151"/>
      <c r="R28" s="5151"/>
      <c r="S28" s="2843"/>
      <c r="T28" s="2843"/>
      <c r="U28" s="2841"/>
      <c r="V28" s="2841"/>
      <c r="W28" s="2841"/>
      <c r="X28" s="2841"/>
      <c r="Y28" s="2841"/>
      <c r="Z28" s="3246"/>
      <c r="AA28" s="1741"/>
    </row>
    <row r="29" spans="2:27">
      <c r="B29" s="1751" t="s">
        <v>1503</v>
      </c>
      <c r="C29" s="1752"/>
      <c r="D29" s="2835">
        <v>13.15</v>
      </c>
      <c r="E29" s="2835">
        <v>13.75</v>
      </c>
      <c r="F29" s="2835">
        <v>12.86</v>
      </c>
      <c r="G29" s="2835">
        <v>12.65</v>
      </c>
      <c r="H29" s="2835">
        <v>12.5</v>
      </c>
      <c r="I29" s="2841">
        <v>14.09</v>
      </c>
      <c r="J29" s="2841">
        <v>13.56</v>
      </c>
      <c r="K29" s="2841">
        <v>13.56</v>
      </c>
      <c r="L29" s="2841">
        <v>13.86</v>
      </c>
      <c r="M29" s="2841">
        <v>14.86</v>
      </c>
      <c r="N29" s="5151">
        <v>15.8</v>
      </c>
      <c r="O29" s="5151">
        <v>15.8</v>
      </c>
      <c r="P29" s="2841">
        <v>15.8</v>
      </c>
      <c r="Q29" s="5151">
        <v>15.69</v>
      </c>
      <c r="R29" s="5151">
        <v>15.69</v>
      </c>
      <c r="S29" s="2843">
        <v>15.69</v>
      </c>
      <c r="T29" s="2843">
        <v>15.694000000000001</v>
      </c>
      <c r="U29" s="2841">
        <v>15.69</v>
      </c>
      <c r="V29" s="2841">
        <v>17.193899999999999</v>
      </c>
      <c r="W29" s="2841">
        <v>18.25</v>
      </c>
      <c r="X29" s="2841">
        <v>17.524999999999999</v>
      </c>
      <c r="Y29" s="2841">
        <v>18.015999999999998</v>
      </c>
      <c r="Z29" s="3246">
        <v>17.524999999999999</v>
      </c>
      <c r="AA29" s="1741"/>
    </row>
    <row r="30" spans="2:27">
      <c r="B30" s="1751"/>
      <c r="C30" s="1752"/>
      <c r="D30" s="2835"/>
      <c r="E30" s="2835"/>
      <c r="F30" s="2835"/>
      <c r="G30" s="2835"/>
      <c r="H30" s="2835"/>
      <c r="I30" s="2841"/>
      <c r="J30" s="2841"/>
      <c r="K30" s="2841"/>
      <c r="L30" s="2841"/>
      <c r="M30" s="2841"/>
      <c r="N30" s="5151"/>
      <c r="O30" s="5151"/>
      <c r="P30" s="2841"/>
      <c r="Q30" s="5151"/>
      <c r="R30" s="5151"/>
      <c r="S30" s="2843"/>
      <c r="T30" s="2843"/>
      <c r="U30" s="2841"/>
      <c r="V30" s="2841"/>
      <c r="W30" s="2841"/>
      <c r="X30" s="2841"/>
      <c r="Y30" s="5151"/>
      <c r="Z30" s="3246"/>
      <c r="AA30" s="1741"/>
    </row>
    <row r="31" spans="2:27">
      <c r="B31" s="1751" t="s">
        <v>1504</v>
      </c>
      <c r="C31" s="1752"/>
      <c r="D31" s="2835">
        <v>0.63</v>
      </c>
      <c r="E31" s="2835">
        <v>0.57999999999999996</v>
      </c>
      <c r="F31" s="2835">
        <v>0.86</v>
      </c>
      <c r="G31" s="2835">
        <v>0.85</v>
      </c>
      <c r="H31" s="2835">
        <v>0.8</v>
      </c>
      <c r="I31" s="2841">
        <v>0.66</v>
      </c>
      <c r="J31" s="2841">
        <v>0.65</v>
      </c>
      <c r="K31" s="2841">
        <v>0.67</v>
      </c>
      <c r="L31" s="2841">
        <v>0.62</v>
      </c>
      <c r="M31" s="2841">
        <v>0.71</v>
      </c>
      <c r="N31" s="5151">
        <v>0.74</v>
      </c>
      <c r="O31" s="5151">
        <v>0.73</v>
      </c>
      <c r="P31" s="2841">
        <v>0.81</v>
      </c>
      <c r="Q31" s="5151">
        <v>0.8</v>
      </c>
      <c r="R31" s="5151">
        <v>0.73</v>
      </c>
      <c r="S31" s="2843">
        <v>0.79</v>
      </c>
      <c r="T31" s="2843">
        <v>0.78861999999999999</v>
      </c>
      <c r="U31" s="2841">
        <v>0.79</v>
      </c>
      <c r="V31" s="2841">
        <v>0.67527000000000004</v>
      </c>
      <c r="W31" s="2841">
        <v>0.94399999999999995</v>
      </c>
      <c r="X31" s="2841">
        <v>1.0049999999999999</v>
      </c>
      <c r="Y31" s="2841">
        <v>2.198</v>
      </c>
      <c r="Z31" s="3246">
        <v>2.8740000000000001</v>
      </c>
      <c r="AA31" s="1741"/>
    </row>
    <row r="32" spans="2:27">
      <c r="B32" s="1751"/>
      <c r="C32" s="1752"/>
      <c r="D32" s="2835"/>
      <c r="E32" s="2835"/>
      <c r="F32" s="2835"/>
      <c r="G32" s="2835"/>
      <c r="H32" s="2835"/>
      <c r="I32" s="2841"/>
      <c r="J32" s="2841"/>
      <c r="K32" s="2841"/>
      <c r="L32" s="2841"/>
      <c r="M32" s="2841"/>
      <c r="N32" s="5151"/>
      <c r="O32" s="5151"/>
      <c r="P32" s="2841"/>
      <c r="Q32" s="5151"/>
      <c r="R32" s="5151"/>
      <c r="S32" s="2843"/>
      <c r="T32" s="2843"/>
      <c r="U32" s="2841"/>
      <c r="V32" s="2841"/>
      <c r="W32" s="2841"/>
      <c r="X32" s="2841"/>
      <c r="Y32" s="2841"/>
      <c r="Z32" s="3246"/>
      <c r="AA32" s="1741"/>
    </row>
    <row r="33" spans="2:27">
      <c r="B33" s="1751" t="s">
        <v>1505</v>
      </c>
      <c r="C33" s="1752"/>
      <c r="D33" s="2835">
        <v>5.14</v>
      </c>
      <c r="E33" s="2835">
        <v>4.7300000000000004</v>
      </c>
      <c r="F33" s="2835">
        <v>5.59</v>
      </c>
      <c r="G33" s="2835">
        <v>6.18</v>
      </c>
      <c r="H33" s="2835">
        <v>6.31</v>
      </c>
      <c r="I33" s="2841">
        <v>6.74</v>
      </c>
      <c r="J33" s="2841">
        <v>8.74</v>
      </c>
      <c r="K33" s="2841">
        <v>7.77</v>
      </c>
      <c r="L33" s="2841">
        <v>8.9499999999999993</v>
      </c>
      <c r="M33" s="2841">
        <v>9.48</v>
      </c>
      <c r="N33" s="5151">
        <v>10.25</v>
      </c>
      <c r="O33" s="5151">
        <v>10.220000000000001</v>
      </c>
      <c r="P33" s="2841">
        <v>11.86</v>
      </c>
      <c r="Q33" s="5151">
        <v>9.2899999999999991</v>
      </c>
      <c r="R33" s="5151">
        <v>8.16</v>
      </c>
      <c r="S33" s="2843">
        <v>9.6300000000000008</v>
      </c>
      <c r="T33" s="2843">
        <v>9.7878489999999942</v>
      </c>
      <c r="U33" s="2841">
        <v>10.58</v>
      </c>
      <c r="V33" s="2841">
        <v>2.6970000000000001</v>
      </c>
      <c r="W33" s="2841">
        <v>3.94</v>
      </c>
      <c r="X33" s="2841">
        <v>2.664523</v>
      </c>
      <c r="Y33" s="2841">
        <v>2.464</v>
      </c>
      <c r="Z33" s="3246">
        <v>2.5</v>
      </c>
      <c r="AA33" s="1741"/>
    </row>
    <row r="34" spans="2:27">
      <c r="B34" s="1751"/>
      <c r="C34" s="1752"/>
      <c r="D34" s="2835"/>
      <c r="E34" s="2835"/>
      <c r="F34" s="2835"/>
      <c r="G34" s="2835"/>
      <c r="H34" s="2835"/>
      <c r="I34" s="2841"/>
      <c r="J34" s="2841"/>
      <c r="K34" s="2841"/>
      <c r="L34" s="2841"/>
      <c r="M34" s="2841"/>
      <c r="N34" s="5151"/>
      <c r="O34" s="5151"/>
      <c r="P34" s="2841"/>
      <c r="Q34" s="5151"/>
      <c r="R34" s="5151"/>
      <c r="S34" s="2843"/>
      <c r="T34" s="2843"/>
      <c r="U34" s="2841"/>
      <c r="V34" s="2841"/>
      <c r="W34" s="2841"/>
      <c r="X34" s="2841"/>
      <c r="Y34" s="5151"/>
      <c r="Z34" s="3246"/>
      <c r="AA34" s="1741"/>
    </row>
    <row r="35" spans="2:27">
      <c r="B35" s="1751" t="s">
        <v>1506</v>
      </c>
      <c r="C35" s="1752"/>
      <c r="D35" s="2835">
        <v>3.86</v>
      </c>
      <c r="E35" s="2835">
        <v>3.53</v>
      </c>
      <c r="F35" s="2835">
        <v>3.65</v>
      </c>
      <c r="G35" s="2835">
        <v>3.6</v>
      </c>
      <c r="H35" s="2835">
        <v>3.71</v>
      </c>
      <c r="I35" s="2841">
        <v>4.34</v>
      </c>
      <c r="J35" s="2841">
        <v>4.33</v>
      </c>
      <c r="K35" s="2841">
        <v>3.76</v>
      </c>
      <c r="L35" s="2841">
        <v>5.45</v>
      </c>
      <c r="M35" s="2841">
        <v>3.92</v>
      </c>
      <c r="N35" s="5151">
        <v>5.1100000000000003</v>
      </c>
      <c r="O35" s="5151">
        <v>4.59</v>
      </c>
      <c r="P35" s="2841">
        <v>2.59</v>
      </c>
      <c r="Q35" s="5151">
        <v>5.82</v>
      </c>
      <c r="R35" s="5151">
        <v>5.56</v>
      </c>
      <c r="S35" s="2843">
        <v>5.75</v>
      </c>
      <c r="T35" s="2843">
        <v>6.004785</v>
      </c>
      <c r="U35" s="2841">
        <v>6.34</v>
      </c>
      <c r="V35" s="2841">
        <v>14.01</v>
      </c>
      <c r="W35" s="2841">
        <v>18.045999999999999</v>
      </c>
      <c r="X35" s="2841">
        <v>18.007999999999999</v>
      </c>
      <c r="Y35" s="5151">
        <v>23.187999999999999</v>
      </c>
      <c r="Z35" s="3246">
        <v>19.399999999999999</v>
      </c>
      <c r="AA35" s="1741"/>
    </row>
    <row r="36" spans="2:27">
      <c r="B36" s="1751"/>
      <c r="C36" s="1752"/>
      <c r="D36" s="2835"/>
      <c r="E36" s="2835"/>
      <c r="F36" s="2835"/>
      <c r="G36" s="2835"/>
      <c r="H36" s="2835"/>
      <c r="I36" s="2841"/>
      <c r="J36" s="2841"/>
      <c r="K36" s="2841"/>
      <c r="L36" s="2841"/>
      <c r="M36" s="2841"/>
      <c r="N36" s="5151"/>
      <c r="O36" s="5151"/>
      <c r="P36" s="2841"/>
      <c r="Q36" s="5151"/>
      <c r="R36" s="5151"/>
      <c r="S36" s="2843"/>
      <c r="T36" s="2843"/>
      <c r="U36" s="2841"/>
      <c r="V36" s="2841"/>
      <c r="W36" s="2841"/>
      <c r="X36" s="2841"/>
      <c r="Y36" s="5151"/>
      <c r="Z36" s="3246"/>
      <c r="AA36" s="1741"/>
    </row>
    <row r="37" spans="2:27">
      <c r="B37" s="1751" t="s">
        <v>1507</v>
      </c>
      <c r="C37" s="1752"/>
      <c r="D37" s="2835">
        <v>1.1599999999999999</v>
      </c>
      <c r="E37" s="2835">
        <v>1.17</v>
      </c>
      <c r="F37" s="2835">
        <v>1.2</v>
      </c>
      <c r="G37" s="2835">
        <v>1.34</v>
      </c>
      <c r="H37" s="2835">
        <v>1.33</v>
      </c>
      <c r="I37" s="2841">
        <v>1.4</v>
      </c>
      <c r="J37" s="2841">
        <v>1.47</v>
      </c>
      <c r="K37" s="2841">
        <v>1.46</v>
      </c>
      <c r="L37" s="2841">
        <v>1.39</v>
      </c>
      <c r="M37" s="2841">
        <v>1.3</v>
      </c>
      <c r="N37" s="5151">
        <v>1.64</v>
      </c>
      <c r="O37" s="5151">
        <v>1.7</v>
      </c>
      <c r="P37" s="2841">
        <v>1.74</v>
      </c>
      <c r="Q37" s="5151">
        <v>1.75</v>
      </c>
      <c r="R37" s="5151">
        <v>1.68</v>
      </c>
      <c r="S37" s="2843">
        <v>1.77</v>
      </c>
      <c r="T37" s="2843">
        <v>1.7573510000000001</v>
      </c>
      <c r="U37" s="2841">
        <v>1.75</v>
      </c>
      <c r="V37" s="2841">
        <v>1.6167400000000001</v>
      </c>
      <c r="W37" s="2841">
        <v>1.694</v>
      </c>
      <c r="X37" s="2841">
        <v>1.653</v>
      </c>
      <c r="Y37" s="5151">
        <v>1.571</v>
      </c>
      <c r="Z37" s="3246">
        <v>1.653</v>
      </c>
      <c r="AA37" s="1741"/>
    </row>
    <row r="38" spans="2:27">
      <c r="B38" s="1751"/>
      <c r="C38" s="1752"/>
      <c r="D38" s="2835"/>
      <c r="E38" s="2835"/>
      <c r="F38" s="2835"/>
      <c r="G38" s="2835"/>
      <c r="H38" s="2835"/>
      <c r="I38" s="2841"/>
      <c r="J38" s="2841"/>
      <c r="K38" s="2841"/>
      <c r="L38" s="2841"/>
      <c r="M38" s="2841"/>
      <c r="N38" s="5151"/>
      <c r="O38" s="5151"/>
      <c r="P38" s="2841"/>
      <c r="Q38" s="5151"/>
      <c r="R38" s="5150"/>
      <c r="S38" s="2843"/>
      <c r="T38" s="2843"/>
      <c r="U38" s="2841"/>
      <c r="V38" s="2841"/>
      <c r="W38" s="2841"/>
      <c r="X38" s="2841"/>
      <c r="Y38" s="5151"/>
      <c r="Z38" s="3246"/>
      <c r="AA38" s="1741"/>
    </row>
    <row r="39" spans="2:27">
      <c r="B39" s="1751" t="s">
        <v>1508</v>
      </c>
      <c r="C39" s="1752"/>
      <c r="D39" s="2835">
        <v>0.15</v>
      </c>
      <c r="E39" s="2835">
        <v>0.13</v>
      </c>
      <c r="F39" s="2835">
        <v>0.15</v>
      </c>
      <c r="G39" s="2835">
        <v>0.18</v>
      </c>
      <c r="H39" s="2835">
        <v>0.16</v>
      </c>
      <c r="I39" s="2841">
        <v>0.24</v>
      </c>
      <c r="J39" s="2841">
        <v>0.28000000000000003</v>
      </c>
      <c r="K39" s="2841">
        <v>0.25</v>
      </c>
      <c r="L39" s="2841">
        <v>0.22</v>
      </c>
      <c r="M39" s="2841">
        <v>0.16</v>
      </c>
      <c r="N39" s="5151">
        <v>0.26</v>
      </c>
      <c r="O39" s="5151">
        <v>0.25</v>
      </c>
      <c r="P39" s="2841">
        <v>0.3</v>
      </c>
      <c r="Q39" s="5151">
        <v>0.28999999999999998</v>
      </c>
      <c r="R39" s="5151">
        <v>0.26</v>
      </c>
      <c r="S39" s="2843">
        <v>0.28000000000000003</v>
      </c>
      <c r="T39" s="2843">
        <v>0.27124999999999999</v>
      </c>
      <c r="U39" s="2841">
        <v>0.27</v>
      </c>
      <c r="V39" s="2841" t="s">
        <v>1510</v>
      </c>
      <c r="W39" s="2841" t="s">
        <v>1510</v>
      </c>
      <c r="X39" s="2841" t="s">
        <v>1510</v>
      </c>
      <c r="Y39" s="5151" t="s">
        <v>1510</v>
      </c>
      <c r="Z39" s="3246" t="s">
        <v>1510</v>
      </c>
      <c r="AA39" s="1741"/>
    </row>
    <row r="40" spans="2:27">
      <c r="B40" s="1751"/>
      <c r="C40" s="1752"/>
      <c r="D40" s="2835"/>
      <c r="E40" s="2835"/>
      <c r="F40" s="2835"/>
      <c r="G40" s="2835"/>
      <c r="H40" s="2835"/>
      <c r="I40" s="2841"/>
      <c r="J40" s="2841"/>
      <c r="K40" s="2841"/>
      <c r="L40" s="2841"/>
      <c r="M40" s="2841"/>
      <c r="N40" s="5151"/>
      <c r="O40" s="5151"/>
      <c r="P40" s="2841"/>
      <c r="Q40" s="5151"/>
      <c r="R40" s="5151"/>
      <c r="S40" s="2843"/>
      <c r="T40" s="2843"/>
      <c r="U40" s="2841"/>
      <c r="V40" s="2841"/>
      <c r="W40" s="2841"/>
      <c r="X40" s="2841"/>
      <c r="Y40" s="2841"/>
      <c r="Z40" s="3246"/>
      <c r="AA40" s="1741"/>
    </row>
    <row r="41" spans="2:27" ht="43.5" thickBot="1">
      <c r="B41" s="5166" t="s">
        <v>1509</v>
      </c>
      <c r="C41" s="5167"/>
      <c r="D41" s="3029"/>
      <c r="E41" s="3029"/>
      <c r="F41" s="3029"/>
      <c r="G41" s="3029"/>
      <c r="H41" s="3029"/>
      <c r="I41" s="3027"/>
      <c r="J41" s="3027"/>
      <c r="K41" s="3027" t="s">
        <v>1510</v>
      </c>
      <c r="L41" s="3027" t="s">
        <v>1510</v>
      </c>
      <c r="M41" s="3027" t="s">
        <v>1510</v>
      </c>
      <c r="N41" s="3027" t="s">
        <v>1510</v>
      </c>
      <c r="O41" s="3027" t="s">
        <v>1510</v>
      </c>
      <c r="P41" s="3027" t="s">
        <v>1510</v>
      </c>
      <c r="Q41" s="3027" t="s">
        <v>1510</v>
      </c>
      <c r="R41" s="3027" t="s">
        <v>1510</v>
      </c>
      <c r="S41" s="3027" t="s">
        <v>1510</v>
      </c>
      <c r="T41" s="3027" t="s">
        <v>1510</v>
      </c>
      <c r="U41" s="3027" t="s">
        <v>1510</v>
      </c>
      <c r="V41" s="3027">
        <v>16.224090000000047</v>
      </c>
      <c r="W41" s="3027">
        <v>20.709000000000032</v>
      </c>
      <c r="X41" s="3027">
        <v>15.85947699999997</v>
      </c>
      <c r="Y41" s="3027">
        <v>19.415999999999997</v>
      </c>
      <c r="Z41" s="5168">
        <v>18.899999999999999</v>
      </c>
      <c r="AA41" s="1741"/>
    </row>
    <row r="42" spans="2:27">
      <c r="B42" s="1752"/>
      <c r="C42" s="1752"/>
      <c r="D42" s="2069"/>
      <c r="E42" s="2069"/>
      <c r="F42" s="2069"/>
      <c r="G42" s="2069"/>
      <c r="H42" s="2070"/>
      <c r="I42" s="2071"/>
      <c r="J42" s="2071"/>
      <c r="K42" s="2071"/>
      <c r="L42" s="2071"/>
      <c r="M42" s="2071"/>
      <c r="N42" s="2071"/>
      <c r="O42" s="2071"/>
      <c r="P42" s="2071"/>
      <c r="Q42" s="2071"/>
      <c r="R42" s="2071"/>
      <c r="S42" s="2071"/>
      <c r="T42" s="2071"/>
      <c r="U42" s="2071"/>
      <c r="V42" s="2071"/>
      <c r="W42" s="2071"/>
      <c r="X42" s="2071"/>
      <c r="Y42" s="2071"/>
      <c r="Z42" s="2071"/>
    </row>
    <row r="43" spans="2:27" ht="53.75" customHeight="1">
      <c r="B43" s="1747" t="s">
        <v>1531</v>
      </c>
    </row>
    <row r="47" spans="2:27">
      <c r="O47" s="1685" t="s">
        <v>390</v>
      </c>
    </row>
    <row r="80" spans="2:2">
      <c r="B80" s="1685" t="s">
        <v>747</v>
      </c>
    </row>
  </sheetData>
  <mergeCells count="8">
    <mergeCell ref="B1:AA1"/>
    <mergeCell ref="B2:AA2"/>
    <mergeCell ref="B13:AA13"/>
    <mergeCell ref="B14:AA14"/>
    <mergeCell ref="B15:AA15"/>
    <mergeCell ref="K11:Y11"/>
    <mergeCell ref="B4:Z4"/>
    <mergeCell ref="Y6:Y9"/>
  </mergeCells>
  <printOptions horizontalCentered="1" verticalCentered="1"/>
  <pageMargins left="0.25" right="0.25" top="0.75" bottom="0.75" header="0.3" footer="0.3"/>
  <pageSetup scale="21" firstPageNumber="103" orientation="landscape" useFirstPageNumber="1" r:id="rId1"/>
  <headerFooter scaleWithDoc="0" alignWithMargins="0">
    <oddFooter xml:space="preserve">&amp;C163
</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163EF07F61174AA157EE781B0F6A78" ma:contentTypeVersion="13" ma:contentTypeDescription="Create a new document." ma:contentTypeScope="" ma:versionID="d353a1ec6a3bf330fbda652832ff1669">
  <xsd:schema xmlns:xsd="http://www.w3.org/2001/XMLSchema" xmlns:xs="http://www.w3.org/2001/XMLSchema" xmlns:p="http://schemas.microsoft.com/office/2006/metadata/properties" xmlns:ns2="f8844f28-3ec2-449e-b326-425ae51fc0d0" xmlns:ns3="ae57eefb-0a99-4cbc-a219-45089607572b" targetNamespace="http://schemas.microsoft.com/office/2006/metadata/properties" ma:root="true" ma:fieldsID="4a0224ff4a043d72dafaba4a33746fe1" ns2:_="" ns3:_="">
    <xsd:import namespace="f8844f28-3ec2-449e-b326-425ae51fc0d0"/>
    <xsd:import namespace="ae57eefb-0a99-4cbc-a219-45089607572b"/>
    <xsd:element name="properties">
      <xsd:complexType>
        <xsd:sequence>
          <xsd:element name="documentManagement">
            <xsd:complexType>
              <xsd:all>
                <xsd:element ref="ns2:Status" minOccurs="0"/>
                <xsd:element ref="ns2:MediaServiceMetadata" minOccurs="0"/>
                <xsd:element ref="ns2:MediaServiceFastMetadata" minOccurs="0"/>
                <xsd:element ref="ns2:MediaServiceSearchProperties" minOccurs="0"/>
                <xsd:element ref="ns2:MediaServiceObjectDetectorVersions"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844f28-3ec2-449e-b326-425ae51fc0d0" elementFormDefault="qualified">
    <xsd:import namespace="http://schemas.microsoft.com/office/2006/documentManagement/types"/>
    <xsd:import namespace="http://schemas.microsoft.com/office/infopath/2007/PartnerControls"/>
    <xsd:element name="Status" ma:index="2" nillable="true" ma:displayName="Status" ma:description="Current status" ma:format="Dropdown" ma:internalName="Status" ma:readOnly="false">
      <xsd:simpleType>
        <xsd:restriction base="dms:Text">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4bd10c2e-d44e-425c-828d-1e328126013e"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e57eefb-0a99-4cbc-a219-45089607572b"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35eeeaff-8b22-4b09-8507-48a7b6a89713}" ma:internalName="TaxCatchAll" ma:showField="CatchAllData" ma:web="ae57eefb-0a99-4cbc-a219-4508960757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1EC3FF6F-5E44-46BC-B7A1-3B1C16FC75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844f28-3ec2-449e-b326-425ae51fc0d0"/>
    <ds:schemaRef ds:uri="ae57eefb-0a99-4cbc-a219-4508960757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3D734EF-7528-4D29-8DD6-92E16900585F}">
  <ds:schemaRefs>
    <ds:schemaRef ds:uri="http://schemas.microsoft.com/sharepoint/v3/contenttype/forms"/>
  </ds:schemaRefs>
</ds:datastoreItem>
</file>

<file path=customXml/itemProps3.xml><?xml version="1.0" encoding="utf-8"?>
<ds:datastoreItem xmlns:ds="http://schemas.openxmlformats.org/officeDocument/2006/customXml" ds:itemID="{FC677041-5744-4DEA-81DB-8E51710A94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64</vt:i4>
      </vt:variant>
      <vt:variant>
        <vt:lpstr>Named Ranges</vt:lpstr>
      </vt:variant>
      <vt:variant>
        <vt:i4>62</vt:i4>
      </vt:variant>
    </vt:vector>
  </HeadingPairs>
  <TitlesOfParts>
    <vt:vector size="126" baseType="lpstr">
      <vt:lpstr>GDP  nominal prices</vt:lpstr>
      <vt:lpstr>Constant Prices</vt:lpstr>
      <vt:lpstr>GDP (CP) Rate of Growth</vt:lpstr>
      <vt:lpstr>Share of Total </vt:lpstr>
      <vt:lpstr>Visitor Statistics </vt:lpstr>
      <vt:lpstr>Janai's Blog Info</vt:lpstr>
      <vt:lpstr>Sheet1</vt:lpstr>
      <vt:lpstr>Visitor Category</vt:lpstr>
      <vt:lpstr>Arrivals By Origin</vt:lpstr>
      <vt:lpstr>Construction Imports</vt:lpstr>
      <vt:lpstr>Quarterly Banana Exports</vt:lpstr>
      <vt:lpstr>Supermarkets and Hotels </vt:lpstr>
      <vt:lpstr>Livestock</vt:lpstr>
      <vt:lpstr>Fisheries</vt:lpstr>
      <vt:lpstr>Manufacturing</vt:lpstr>
      <vt:lpstr>Cargo</vt:lpstr>
      <vt:lpstr>Air Traffic Stats</vt:lpstr>
      <vt:lpstr>Aircraft Movement</vt:lpstr>
      <vt:lpstr>Elec. Con. and Output</vt:lpstr>
      <vt:lpstr>Fuel Surcharge and Price</vt:lpstr>
      <vt:lpstr>Water Con. and Output</vt:lpstr>
      <vt:lpstr>CPI </vt:lpstr>
      <vt:lpstr>Category</vt:lpstr>
      <vt:lpstr>LF Indicators Summary </vt:lpstr>
      <vt:lpstr>Central Gov't Fiscal Operations</vt:lpstr>
      <vt:lpstr>Gov't fiscal operations to GDP</vt:lpstr>
      <vt:lpstr>Central Gov't Revenue</vt:lpstr>
      <vt:lpstr>Central Gov't Expenditure</vt:lpstr>
      <vt:lpstr>Debt Summary</vt:lpstr>
      <vt:lpstr>Debt By Holder </vt:lpstr>
      <vt:lpstr>Debt term instrument</vt:lpstr>
      <vt:lpstr>Domestic Debt</vt:lpstr>
      <vt:lpstr>Domestic Debt (B)</vt:lpstr>
      <vt:lpstr>Domestic Debt (C)</vt:lpstr>
      <vt:lpstr> External Debt</vt:lpstr>
      <vt:lpstr> External Debt (E)</vt:lpstr>
      <vt:lpstr>External Debt Cont'd</vt:lpstr>
      <vt:lpstr>External Debt Cont'd (2)</vt:lpstr>
      <vt:lpstr>External Debt Cont'd 2</vt:lpstr>
      <vt:lpstr>External Debt Cont'd 3</vt:lpstr>
      <vt:lpstr>External Debt Cont'd 3 (2)</vt:lpstr>
      <vt:lpstr>Debt Creditor</vt:lpstr>
      <vt:lpstr>Debt Sectoral</vt:lpstr>
      <vt:lpstr>Credit By Sector</vt:lpstr>
      <vt:lpstr>DetailedMonSurvey43A-Yearly</vt:lpstr>
      <vt:lpstr>DetailedMonSurvey43B-Yearly</vt:lpstr>
      <vt:lpstr>DetailedMonSurvey43C-Yearly</vt:lpstr>
      <vt:lpstr>Detailed MonSurvey43D-Yearly</vt:lpstr>
      <vt:lpstr>Summarised Monetary Survey</vt:lpstr>
      <vt:lpstr>Supp A - Total Deposits</vt:lpstr>
      <vt:lpstr>Assets and Liabilities</vt:lpstr>
      <vt:lpstr>Liquidity Ratios-Yrly</vt:lpstr>
      <vt:lpstr>Interest Rates-Yrly</vt:lpstr>
      <vt:lpstr>Loans by Economic Sector-Yearly</vt:lpstr>
      <vt:lpstr>Imputed Reserves A-Yearly</vt:lpstr>
      <vt:lpstr>Imputed Reserves B-Yearly</vt:lpstr>
      <vt:lpstr>Import by Economic Function</vt:lpstr>
      <vt:lpstr>Import  % total &amp; change new</vt:lpstr>
      <vt:lpstr> Exports new</vt:lpstr>
      <vt:lpstr>Export % total &amp; change new</vt:lpstr>
      <vt:lpstr>Total exports and re-export </vt:lpstr>
      <vt:lpstr>Analysis of primary schools (2</vt:lpstr>
      <vt:lpstr>analysis of seconday school (2</vt:lpstr>
      <vt:lpstr>cambridge advance level edu (2</vt:lpstr>
      <vt:lpstr>' Exports new'!Print_Area</vt:lpstr>
      <vt:lpstr>' External Debt'!Print_Area</vt:lpstr>
      <vt:lpstr>' External Debt (E)'!Print_Area</vt:lpstr>
      <vt:lpstr>'Air Traffic Stats'!Print_Area</vt:lpstr>
      <vt:lpstr>'Aircraft Movement'!Print_Area</vt:lpstr>
      <vt:lpstr>'Analysis of primary schools (2'!Print_Area</vt:lpstr>
      <vt:lpstr>'analysis of seconday school (2'!Print_Area</vt:lpstr>
      <vt:lpstr>'Arrivals By Origin'!Print_Area</vt:lpstr>
      <vt:lpstr>'Assets and Liabilities'!Print_Area</vt:lpstr>
      <vt:lpstr>'cambridge advance level edu (2'!Print_Area</vt:lpstr>
      <vt:lpstr>Cargo!Print_Area</vt:lpstr>
      <vt:lpstr>Category!Print_Area</vt:lpstr>
      <vt:lpstr>'Central Gov''t Expenditure'!Print_Area</vt:lpstr>
      <vt:lpstr>'Central Gov''t Fiscal Operations'!Print_Area</vt:lpstr>
      <vt:lpstr>'Central Gov''t Revenue'!Print_Area</vt:lpstr>
      <vt:lpstr>'Constant Prices'!Print_Area</vt:lpstr>
      <vt:lpstr>'Construction Imports'!Print_Area</vt:lpstr>
      <vt:lpstr>'CPI '!Print_Area</vt:lpstr>
      <vt:lpstr>'Credit By Sector'!Print_Area</vt:lpstr>
      <vt:lpstr>'Debt By Holder '!Print_Area</vt:lpstr>
      <vt:lpstr>'Debt Creditor'!Print_Area</vt:lpstr>
      <vt:lpstr>'Debt Sectoral'!Print_Area</vt:lpstr>
      <vt:lpstr>'Debt Summary'!Print_Area</vt:lpstr>
      <vt:lpstr>'Debt term instrument'!Print_Area</vt:lpstr>
      <vt:lpstr>'Detailed MonSurvey43D-Yearly'!Print_Area</vt:lpstr>
      <vt:lpstr>'DetailedMonSurvey43A-Yearly'!Print_Area</vt:lpstr>
      <vt:lpstr>'DetailedMonSurvey43B-Yearly'!Print_Area</vt:lpstr>
      <vt:lpstr>'DetailedMonSurvey43C-Yearly'!Print_Area</vt:lpstr>
      <vt:lpstr>'Domestic Debt'!Print_Area</vt:lpstr>
      <vt:lpstr>'Domestic Debt (B)'!Print_Area</vt:lpstr>
      <vt:lpstr>'Domestic Debt (C)'!Print_Area</vt:lpstr>
      <vt:lpstr>'Elec. Con. and Output'!Print_Area</vt:lpstr>
      <vt:lpstr>'Export % total &amp; change new'!Print_Area</vt:lpstr>
      <vt:lpstr>'External Debt Cont''d'!Print_Area</vt:lpstr>
      <vt:lpstr>'External Debt Cont''d (2)'!Print_Area</vt:lpstr>
      <vt:lpstr>'External Debt Cont''d 2'!Print_Area</vt:lpstr>
      <vt:lpstr>'External Debt Cont''d 3'!Print_Area</vt:lpstr>
      <vt:lpstr>'External Debt Cont''d 3 (2)'!Print_Area</vt:lpstr>
      <vt:lpstr>Fisheries!Print_Area</vt:lpstr>
      <vt:lpstr>'Fuel Surcharge and Price'!Print_Area</vt:lpstr>
      <vt:lpstr>'GDP  nominal prices'!Print_Area</vt:lpstr>
      <vt:lpstr>'GDP (CP) Rate of Growth'!Print_Area</vt:lpstr>
      <vt:lpstr>'Gov''t fiscal operations to GDP'!Print_Area</vt:lpstr>
      <vt:lpstr>'Import  % total &amp; change new'!Print_Area</vt:lpstr>
      <vt:lpstr>'Import by Economic Function'!Print_Area</vt:lpstr>
      <vt:lpstr>'Imputed Reserves A-Yearly'!Print_Area</vt:lpstr>
      <vt:lpstr>'Imputed Reserves B-Yearly'!Print_Area</vt:lpstr>
      <vt:lpstr>'Interest Rates-Yrly'!Print_Area</vt:lpstr>
      <vt:lpstr>'LF Indicators Summary '!Print_Area</vt:lpstr>
      <vt:lpstr>'Liquidity Ratios-Yrly'!Print_Area</vt:lpstr>
      <vt:lpstr>Livestock!Print_Area</vt:lpstr>
      <vt:lpstr>'Loans by Economic Sector-Yearly'!Print_Area</vt:lpstr>
      <vt:lpstr>Manufacturing!Print_Area</vt:lpstr>
      <vt:lpstr>'Quarterly Banana Exports'!Print_Area</vt:lpstr>
      <vt:lpstr>'Share of Total '!Print_Area</vt:lpstr>
      <vt:lpstr>'Summarised Monetary Survey'!Print_Area</vt:lpstr>
      <vt:lpstr>'Supermarkets and Hotels '!Print_Area</vt:lpstr>
      <vt:lpstr>'Supp A - Total Deposits'!Print_Area</vt:lpstr>
      <vt:lpstr>'Total exports and re-export '!Print_Area</vt:lpstr>
      <vt:lpstr>'Visitor Category'!Print_Area</vt:lpstr>
      <vt:lpstr>'Visitor Statistics '!Print_Area</vt:lpstr>
      <vt:lpstr>'Water Con. and Output'!Print_Area</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ROSEMARIE PIERRE-LOUIS</dc:creator>
  <cp:lastModifiedBy>Janai Leonce</cp:lastModifiedBy>
  <cp:lastPrinted>2024-04-16T16:08:43Z</cp:lastPrinted>
  <dcterms:created xsi:type="dcterms:W3CDTF">2009-04-09T15:01:30Z</dcterms:created>
  <dcterms:modified xsi:type="dcterms:W3CDTF">2024-09-12T23:58:37Z</dcterms:modified>
</cp:coreProperties>
</file>